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.xml" ContentType="application/vnd.openxmlformats-officedocument.drawingml.chartshapes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3.xml" ContentType="application/vnd.openxmlformats-officedocument.drawing+xml"/>
  <Override PartName="/xl/charts/chart35.xml" ContentType="application/vnd.openxmlformats-officedocument.drawingml.chart+xml"/>
  <Override PartName="/xl/drawings/drawing4.xml" ContentType="application/vnd.openxmlformats-officedocument.drawingml.chartshapes+xml"/>
  <Override PartName="/xl/charts/chart36.xml" ContentType="application/vnd.openxmlformats-officedocument.drawingml.chart+xml"/>
  <Override PartName="/xl/theme/themeOverride2.xml" ContentType="application/vnd.openxmlformats-officedocument.themeOverrid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.xml" ContentType="application/vnd.openxmlformats-officedocument.drawingml.chartshapes+xml"/>
  <Override PartName="/xl/charts/chart55.xml" ContentType="application/vnd.openxmlformats-officedocument.drawingml.chart+xml"/>
  <Override PartName="/xl/drawings/drawing7.xml" ContentType="application/vnd.openxmlformats-officedocument.drawingml.chartshapes+xml"/>
  <Override PartName="/xl/charts/chart56.xml" ContentType="application/vnd.openxmlformats-officedocument.drawingml.chart+xml"/>
  <Override PartName="/xl/drawings/drawing8.xml" ContentType="application/vnd.openxmlformats-officedocument.drawingml.chartshapes+xml"/>
  <Override PartName="/xl/charts/chart57.xml" ContentType="application/vnd.openxmlformats-officedocument.drawingml.chart+xml"/>
  <Override PartName="/xl/drawings/drawing9.xml" ContentType="application/vnd.openxmlformats-officedocument.drawingml.chartshapes+xml"/>
  <Override PartName="/xl/charts/chart58.xml" ContentType="application/vnd.openxmlformats-officedocument.drawingml.chart+xml"/>
  <Override PartName="/xl/drawings/drawing10.xml" ContentType="application/vnd.openxmlformats-officedocument.drawingml.chartshapes+xml"/>
  <Override PartName="/xl/charts/chart59.xml" ContentType="application/vnd.openxmlformats-officedocument.drawingml.chart+xml"/>
  <Override PartName="/xl/drawings/drawing11.xml" ContentType="application/vnd.openxmlformats-officedocument.drawingml.chartshape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2.xml" ContentType="application/vnd.openxmlformats-officedocument.drawingml.chartshapes+xml"/>
  <Override PartName="/xl/charts/chart65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theme/themeOverride3.xml" ContentType="application/vnd.openxmlformats-officedocument.themeOverride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5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16.xml" ContentType="application/vnd.openxmlformats-officedocument.drawingml.chartshapes+xml"/>
  <Override PartName="/xl/charts/chart86.xml" ContentType="application/vnd.openxmlformats-officedocument.drawingml.chart+xml"/>
  <Override PartName="/xl/drawings/drawing17.xml" ContentType="application/vnd.openxmlformats-officedocument.drawingml.chartshapes+xml"/>
  <Override PartName="/xl/charts/chart87.xml" ContentType="application/vnd.openxmlformats-officedocument.drawingml.chart+xml"/>
  <Override PartName="/xl/drawings/drawing18.xml" ContentType="application/vnd.openxmlformats-officedocument.drawingml.chartshapes+xml"/>
  <Override PartName="/xl/charts/chart88.xml" ContentType="application/vnd.openxmlformats-officedocument.drawingml.chart+xml"/>
  <Override PartName="/xl/drawings/drawing19.xml" ContentType="application/vnd.openxmlformats-officedocument.drawingml.chartshapes+xml"/>
  <Override PartName="/xl/charts/chart89.xml" ContentType="application/vnd.openxmlformats-officedocument.drawingml.chart+xml"/>
  <Override PartName="/xl/drawings/drawing20.xml" ContentType="application/vnd.openxmlformats-officedocument.drawingml.chartshapes+xml"/>
  <Override PartName="/xl/charts/chart90.xml" ContentType="application/vnd.openxmlformats-officedocument.drawingml.chart+xml"/>
  <Override PartName="/xl/drawings/drawing21.xml" ContentType="application/vnd.openxmlformats-officedocument.drawingml.chartshapes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2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theme/themeOverride4.xml" ContentType="application/vnd.openxmlformats-officedocument.themeOverride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23.xml" ContentType="application/vnd.openxmlformats-officedocument.drawingml.chartshapes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4.xml" ContentType="application/vnd.openxmlformats-officedocument.drawingml.chartshapes+xml"/>
  <Override PartName="/xl/charts/chart128.xml" ContentType="application/vnd.openxmlformats-officedocument.drawingml.chart+xml"/>
  <Override PartName="/xl/drawings/drawing25.xml" ContentType="application/vnd.openxmlformats-officedocument.drawingml.chartshapes+xml"/>
  <Override PartName="/xl/charts/chart129.xml" ContentType="application/vnd.openxmlformats-officedocument.drawingml.chart+xml"/>
  <Override PartName="/xl/drawings/drawing26.xml" ContentType="application/vnd.openxmlformats-officedocument.drawingml.chartshapes+xml"/>
  <Override PartName="/xl/charts/chart130.xml" ContentType="application/vnd.openxmlformats-officedocument.drawingml.chart+xml"/>
  <Override PartName="/xl/drawings/drawing27.xml" ContentType="application/vnd.openxmlformats-officedocument.drawingml.chartshapes+xml"/>
  <Override PartName="/xl/charts/chart131.xml" ContentType="application/vnd.openxmlformats-officedocument.drawingml.chart+xml"/>
  <Override PartName="/xl/drawings/drawing28.xml" ContentType="application/vnd.openxmlformats-officedocument.drawingml.chartshapes+xml"/>
  <Override PartName="/xl/charts/chart132.xml" ContentType="application/vnd.openxmlformats-officedocument.drawingml.chart+xml"/>
  <Override PartName="/xl/drawings/drawing29.xml" ContentType="application/vnd.openxmlformats-officedocument.drawingml.chartshapes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30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theme/themeOverride5.xml" ContentType="application/vnd.openxmlformats-officedocument.themeOverride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31.xml" ContentType="application/vnd.openxmlformats-officedocument.drawingml.chartshapes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32.xml" ContentType="application/vnd.openxmlformats-officedocument.drawingml.chartshapes+xml"/>
  <Override PartName="/xl/charts/chart159.xml" ContentType="application/vnd.openxmlformats-officedocument.drawingml.chart+xml"/>
  <Override PartName="/xl/drawings/drawing33.xml" ContentType="application/vnd.openxmlformats-officedocument.drawingml.chartshapes+xml"/>
  <Override PartName="/xl/charts/chart160.xml" ContentType="application/vnd.openxmlformats-officedocument.drawingml.chart+xml"/>
  <Override PartName="/xl/drawings/drawing34.xml" ContentType="application/vnd.openxmlformats-officedocument.drawingml.chartshapes+xml"/>
  <Override PartName="/xl/charts/chart161.xml" ContentType="application/vnd.openxmlformats-officedocument.drawingml.chart+xml"/>
  <Override PartName="/xl/drawings/drawing35.xml" ContentType="application/vnd.openxmlformats-officedocument.drawingml.chartshapes+xml"/>
  <Override PartName="/xl/charts/chart162.xml" ContentType="application/vnd.openxmlformats-officedocument.drawingml.chart+xml"/>
  <Override PartName="/xl/drawings/drawing36.xml" ContentType="application/vnd.openxmlformats-officedocument.drawingml.chartshapes+xml"/>
  <Override PartName="/xl/charts/chart163.xml" ContentType="application/vnd.openxmlformats-officedocument.drawingml.chart+xml"/>
  <Override PartName="/xl/drawings/drawing37.xml" ContentType="application/vnd.openxmlformats-officedocument.drawingml.chartshapes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drawings/drawing38.xml" ContentType="application/vnd.openxmlformats-officedocument.drawing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theme/themeOverride6.xml" ContentType="application/vnd.openxmlformats-officedocument.themeOverride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39.xml" ContentType="application/vnd.openxmlformats-officedocument.drawingml.chartshapes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drawings/drawing40.xml" ContentType="application/vnd.openxmlformats-officedocument.drawingml.chartshapes+xml"/>
  <Override PartName="/xl/charts/chart190.xml" ContentType="application/vnd.openxmlformats-officedocument.drawingml.chart+xml"/>
  <Override PartName="/xl/drawings/drawing41.xml" ContentType="application/vnd.openxmlformats-officedocument.drawingml.chartshapes+xml"/>
  <Override PartName="/xl/charts/chart191.xml" ContentType="application/vnd.openxmlformats-officedocument.drawingml.chart+xml"/>
  <Override PartName="/xl/drawings/drawing42.xml" ContentType="application/vnd.openxmlformats-officedocument.drawingml.chartshapes+xml"/>
  <Override PartName="/xl/charts/chart192.xml" ContentType="application/vnd.openxmlformats-officedocument.drawingml.chart+xml"/>
  <Override PartName="/xl/drawings/drawing43.xml" ContentType="application/vnd.openxmlformats-officedocument.drawingml.chartshapes+xml"/>
  <Override PartName="/xl/charts/chart193.xml" ContentType="application/vnd.openxmlformats-officedocument.drawingml.chart+xml"/>
  <Override PartName="/xl/drawings/drawing44.xml" ContentType="application/vnd.openxmlformats-officedocument.drawingml.chartshapes+xml"/>
  <Override PartName="/xl/charts/chart194.xml" ContentType="application/vnd.openxmlformats-officedocument.drawingml.chart+xml"/>
  <Override PartName="/xl/drawings/drawing45.xml" ContentType="application/vnd.openxmlformats-officedocument.drawingml.chartshapes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6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theme/themeOverride7.xml" ContentType="application/vnd.openxmlformats-officedocument.themeOverride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47.xml" ContentType="application/vnd.openxmlformats-officedocument.drawingml.chartshapes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drawings/drawing48.xml" ContentType="application/vnd.openxmlformats-officedocument.drawingml.chartshapes+xml"/>
  <Override PartName="/xl/charts/chart220.xml" ContentType="application/vnd.openxmlformats-officedocument.drawingml.chart+xml"/>
  <Override PartName="/xl/drawings/drawing49.xml" ContentType="application/vnd.openxmlformats-officedocument.drawingml.chartshapes+xml"/>
  <Override PartName="/xl/charts/chart221.xml" ContentType="application/vnd.openxmlformats-officedocument.drawingml.chart+xml"/>
  <Override PartName="/xl/drawings/drawing50.xml" ContentType="application/vnd.openxmlformats-officedocument.drawingml.chartshapes+xml"/>
  <Override PartName="/xl/charts/chart222.xml" ContentType="application/vnd.openxmlformats-officedocument.drawingml.chart+xml"/>
  <Override PartName="/xl/drawings/drawing51.xml" ContentType="application/vnd.openxmlformats-officedocument.drawingml.chartshapes+xml"/>
  <Override PartName="/xl/charts/chart223.xml" ContentType="application/vnd.openxmlformats-officedocument.drawingml.chart+xml"/>
  <Override PartName="/xl/drawings/drawing52.xml" ContentType="application/vnd.openxmlformats-officedocument.drawingml.chartshapes+xml"/>
  <Override PartName="/xl/charts/chart224.xml" ContentType="application/vnd.openxmlformats-officedocument.drawingml.chart+xml"/>
  <Override PartName="/xl/drawings/drawing53.xml" ContentType="application/vnd.openxmlformats-officedocument.drawingml.chartshapes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54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theme/themeOverride8.xml" ContentType="application/vnd.openxmlformats-officedocument.themeOverride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55.xml" ContentType="application/vnd.openxmlformats-officedocument.drawingml.chartshapes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6.xml" ContentType="application/vnd.openxmlformats-officedocument.drawingml.chartshapes+xml"/>
  <Override PartName="/xl/charts/chart251.xml" ContentType="application/vnd.openxmlformats-officedocument.drawingml.chart+xml"/>
  <Override PartName="/xl/drawings/drawing57.xml" ContentType="application/vnd.openxmlformats-officedocument.drawingml.chartshapes+xml"/>
  <Override PartName="/xl/charts/chart252.xml" ContentType="application/vnd.openxmlformats-officedocument.drawingml.chart+xml"/>
  <Override PartName="/xl/drawings/drawing58.xml" ContentType="application/vnd.openxmlformats-officedocument.drawingml.chartshapes+xml"/>
  <Override PartName="/xl/charts/chart253.xml" ContentType="application/vnd.openxmlformats-officedocument.drawingml.chart+xml"/>
  <Override PartName="/xl/drawings/drawing59.xml" ContentType="application/vnd.openxmlformats-officedocument.drawingml.chartshapes+xml"/>
  <Override PartName="/xl/charts/chart254.xml" ContentType="application/vnd.openxmlformats-officedocument.drawingml.chart+xml"/>
  <Override PartName="/xl/drawings/drawing60.xml" ContentType="application/vnd.openxmlformats-officedocument.drawingml.chartshapes+xml"/>
  <Override PartName="/xl/charts/chart255.xml" ContentType="application/vnd.openxmlformats-officedocument.drawingml.chart+xml"/>
  <Override PartName="/xl/drawings/drawing61.xml" ContentType="application/vnd.openxmlformats-officedocument.drawingml.chartshapes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drawings/drawing62.xml" ContentType="application/vnd.openxmlformats-officedocument.drawing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theme/themeOverride9.xml" ContentType="application/vnd.openxmlformats-officedocument.themeOverride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drawings/drawing63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64.xml" ContentType="application/vnd.openxmlformats-officedocument.drawingml.chartshapes+xml"/>
  <Override PartName="/xl/charts/chart282.xml" ContentType="application/vnd.openxmlformats-officedocument.drawingml.chart+xml"/>
  <Override PartName="/xl/drawings/drawing65.xml" ContentType="application/vnd.openxmlformats-officedocument.drawingml.chartshapes+xml"/>
  <Override PartName="/xl/charts/chart283.xml" ContentType="application/vnd.openxmlformats-officedocument.drawingml.chart+xml"/>
  <Override PartName="/xl/drawings/drawing66.xml" ContentType="application/vnd.openxmlformats-officedocument.drawingml.chartshapes+xml"/>
  <Override PartName="/xl/charts/chart284.xml" ContentType="application/vnd.openxmlformats-officedocument.drawingml.chart+xml"/>
  <Override PartName="/xl/drawings/drawing67.xml" ContentType="application/vnd.openxmlformats-officedocument.drawingml.chartshapes+xml"/>
  <Override PartName="/xl/charts/chart285.xml" ContentType="application/vnd.openxmlformats-officedocument.drawingml.chart+xml"/>
  <Override PartName="/xl/drawings/drawing68.xml" ContentType="application/vnd.openxmlformats-officedocument.drawingml.chartshapes+xml"/>
  <Override PartName="/xl/charts/chart286.xml" ContentType="application/vnd.openxmlformats-officedocument.drawingml.chart+xml"/>
  <Override PartName="/xl/drawings/drawing69.xml" ContentType="application/vnd.openxmlformats-officedocument.drawingml.chartshapes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drawings/drawing70.xml" ContentType="application/vnd.openxmlformats-officedocument.drawing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theme/themeOverride10.xml" ContentType="application/vnd.openxmlformats-officedocument.themeOverride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71.xml" ContentType="application/vnd.openxmlformats-officedocument.drawingml.chartshapes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72.xml" ContentType="application/vnd.openxmlformats-officedocument.drawingml.chartshapes+xml"/>
  <Override PartName="/xl/charts/chart313.xml" ContentType="application/vnd.openxmlformats-officedocument.drawingml.chart+xml"/>
  <Override PartName="/xl/drawings/drawing73.xml" ContentType="application/vnd.openxmlformats-officedocument.drawingml.chartshapes+xml"/>
  <Override PartName="/xl/charts/chart314.xml" ContentType="application/vnd.openxmlformats-officedocument.drawingml.chart+xml"/>
  <Override PartName="/xl/drawings/drawing74.xml" ContentType="application/vnd.openxmlformats-officedocument.drawingml.chartshapes+xml"/>
  <Override PartName="/xl/charts/chart315.xml" ContentType="application/vnd.openxmlformats-officedocument.drawingml.chart+xml"/>
  <Override PartName="/xl/drawings/drawing75.xml" ContentType="application/vnd.openxmlformats-officedocument.drawingml.chartshapes+xml"/>
  <Override PartName="/xl/charts/chart316.xml" ContentType="application/vnd.openxmlformats-officedocument.drawingml.chart+xml"/>
  <Override PartName="/xl/drawings/drawing76.xml" ContentType="application/vnd.openxmlformats-officedocument.drawingml.chartshapes+xml"/>
  <Override PartName="/xl/charts/chart317.xml" ContentType="application/vnd.openxmlformats-officedocument.drawingml.chart+xml"/>
  <Override PartName="/xl/drawings/drawing77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drawings/drawing78.xml" ContentType="application/vnd.openxmlformats-officedocument.drawing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theme/themeOverride11.xml" ContentType="application/vnd.openxmlformats-officedocument.themeOverride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79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80.xml" ContentType="application/vnd.openxmlformats-officedocument.drawingml.chartshapes+xml"/>
  <Override PartName="/xl/charts/chart344.xml" ContentType="application/vnd.openxmlformats-officedocument.drawingml.chart+xml"/>
  <Override PartName="/xl/drawings/drawing81.xml" ContentType="application/vnd.openxmlformats-officedocument.drawingml.chartshapes+xml"/>
  <Override PartName="/xl/charts/chart345.xml" ContentType="application/vnd.openxmlformats-officedocument.drawingml.chart+xml"/>
  <Override PartName="/xl/drawings/drawing82.xml" ContentType="application/vnd.openxmlformats-officedocument.drawingml.chartshapes+xml"/>
  <Override PartName="/xl/charts/chart346.xml" ContentType="application/vnd.openxmlformats-officedocument.drawingml.chart+xml"/>
  <Override PartName="/xl/drawings/drawing83.xml" ContentType="application/vnd.openxmlformats-officedocument.drawingml.chartshapes+xml"/>
  <Override PartName="/xl/charts/chart347.xml" ContentType="application/vnd.openxmlformats-officedocument.drawingml.chart+xml"/>
  <Override PartName="/xl/drawings/drawing84.xml" ContentType="application/vnd.openxmlformats-officedocument.drawingml.chartshapes+xml"/>
  <Override PartName="/xl/charts/chart348.xml" ContentType="application/vnd.openxmlformats-officedocument.drawingml.chart+xml"/>
  <Override PartName="/xl/drawings/drawing85.xml" ContentType="application/vnd.openxmlformats-officedocument.drawingml.chartshapes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drawings/drawing86.xml" ContentType="application/vnd.openxmlformats-officedocument.drawing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theme/themeOverride12.xml" ContentType="application/vnd.openxmlformats-officedocument.themeOverride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drawings/drawing87.xml" ContentType="application/vnd.openxmlformats-officedocument.drawingml.chartshapes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88.xml" ContentType="application/vnd.openxmlformats-officedocument.drawingml.chartshapes+xml"/>
  <Override PartName="/xl/charts/chart378.xml" ContentType="application/vnd.openxmlformats-officedocument.drawingml.chart+xml"/>
  <Override PartName="/xl/drawings/drawing89.xml" ContentType="application/vnd.openxmlformats-officedocument.drawingml.chartshapes+xml"/>
  <Override PartName="/xl/charts/chart379.xml" ContentType="application/vnd.openxmlformats-officedocument.drawingml.chart+xml"/>
  <Override PartName="/xl/drawings/drawing90.xml" ContentType="application/vnd.openxmlformats-officedocument.drawingml.chartshapes+xml"/>
  <Override PartName="/xl/charts/chart380.xml" ContentType="application/vnd.openxmlformats-officedocument.drawingml.chart+xml"/>
  <Override PartName="/xl/drawings/drawing91.xml" ContentType="application/vnd.openxmlformats-officedocument.drawingml.chartshapes+xml"/>
  <Override PartName="/xl/charts/chart381.xml" ContentType="application/vnd.openxmlformats-officedocument.drawingml.chart+xml"/>
  <Override PartName="/xl/drawings/drawing92.xml" ContentType="application/vnd.openxmlformats-officedocument.drawingml.chartshapes+xml"/>
  <Override PartName="/xl/charts/chart382.xml" ContentType="application/vnd.openxmlformats-officedocument.drawingml.chart+xml"/>
  <Override PartName="/xl/drawings/drawing93.xml" ContentType="application/vnd.openxmlformats-officedocument.drawingml.chartshapes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drawings/drawing94.xml" ContentType="application/vnd.openxmlformats-officedocument.drawing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theme/themeOverride13.xml" ContentType="application/vnd.openxmlformats-officedocument.themeOverride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drawings/drawing95.xml" ContentType="application/vnd.openxmlformats-officedocument.drawingml.chartshapes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drawings/drawing96.xml" ContentType="application/vnd.openxmlformats-officedocument.drawingml.chartshapes+xml"/>
  <Override PartName="/xl/charts/chart409.xml" ContentType="application/vnd.openxmlformats-officedocument.drawingml.chart+xml"/>
  <Override PartName="/xl/drawings/drawing97.xml" ContentType="application/vnd.openxmlformats-officedocument.drawingml.chartshapes+xml"/>
  <Override PartName="/xl/charts/chart410.xml" ContentType="application/vnd.openxmlformats-officedocument.drawingml.chart+xml"/>
  <Override PartName="/xl/drawings/drawing98.xml" ContentType="application/vnd.openxmlformats-officedocument.drawingml.chartshapes+xml"/>
  <Override PartName="/xl/charts/chart411.xml" ContentType="application/vnd.openxmlformats-officedocument.drawingml.chart+xml"/>
  <Override PartName="/xl/drawings/drawing99.xml" ContentType="application/vnd.openxmlformats-officedocument.drawingml.chartshapes+xml"/>
  <Override PartName="/xl/charts/chart412.xml" ContentType="application/vnd.openxmlformats-officedocument.drawingml.chart+xml"/>
  <Override PartName="/xl/drawings/drawing100.xml" ContentType="application/vnd.openxmlformats-officedocument.drawingml.chartshapes+xml"/>
  <Override PartName="/xl/charts/chart413.xml" ContentType="application/vnd.openxmlformats-officedocument.drawingml.chart+xml"/>
  <Override PartName="/xl/drawings/drawing101.xml" ContentType="application/vnd.openxmlformats-officedocument.drawingml.chartshapes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drawings/drawing102.xml" ContentType="application/vnd.openxmlformats-officedocument.drawing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theme/themeOverride14.xml" ContentType="application/vnd.openxmlformats-officedocument.themeOverride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drawings/drawing103.xml" ContentType="application/vnd.openxmlformats-officedocument.drawingml.chartshapes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drawings/drawing104.xml" ContentType="application/vnd.openxmlformats-officedocument.drawingml.chartshapes+xml"/>
  <Override PartName="/xl/charts/chart452.xml" ContentType="application/vnd.openxmlformats-officedocument.drawingml.chart+xml"/>
  <Override PartName="/xl/drawings/drawing105.xml" ContentType="application/vnd.openxmlformats-officedocument.drawingml.chartshapes+xml"/>
  <Override PartName="/xl/charts/chart453.xml" ContentType="application/vnd.openxmlformats-officedocument.drawingml.chart+xml"/>
  <Override PartName="/xl/drawings/drawing106.xml" ContentType="application/vnd.openxmlformats-officedocument.drawingml.chartshapes+xml"/>
  <Override PartName="/xl/charts/chart454.xml" ContentType="application/vnd.openxmlformats-officedocument.drawingml.chart+xml"/>
  <Override PartName="/xl/drawings/drawing107.xml" ContentType="application/vnd.openxmlformats-officedocument.drawingml.chartshapes+xml"/>
  <Override PartName="/xl/charts/chart455.xml" ContentType="application/vnd.openxmlformats-officedocument.drawingml.chart+xml"/>
  <Override PartName="/xl/drawings/drawing108.xml" ContentType="application/vnd.openxmlformats-officedocument.drawingml.chartshapes+xml"/>
  <Override PartName="/xl/charts/chart456.xml" ContentType="application/vnd.openxmlformats-officedocument.drawingml.chart+xml"/>
  <Override PartName="/xl/drawings/drawing109.xml" ContentType="application/vnd.openxmlformats-officedocument.drawingml.chartshapes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drawings/drawing110.xml" ContentType="application/vnd.openxmlformats-officedocument.drawing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theme/themeOverride15.xml" ContentType="application/vnd.openxmlformats-officedocument.themeOverride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drawings/drawing111.xml" ContentType="application/vnd.openxmlformats-officedocument.drawingml.chartshapes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drawings/drawing112.xml" ContentType="application/vnd.openxmlformats-officedocument.drawingml.chartshapes+xml"/>
  <Override PartName="/xl/charts/chart495.xml" ContentType="application/vnd.openxmlformats-officedocument.drawingml.chart+xml"/>
  <Override PartName="/xl/drawings/drawing113.xml" ContentType="application/vnd.openxmlformats-officedocument.drawingml.chartshapes+xml"/>
  <Override PartName="/xl/charts/chart496.xml" ContentType="application/vnd.openxmlformats-officedocument.drawingml.chart+xml"/>
  <Override PartName="/xl/drawings/drawing114.xml" ContentType="application/vnd.openxmlformats-officedocument.drawingml.chartshapes+xml"/>
  <Override PartName="/xl/charts/chart497.xml" ContentType="application/vnd.openxmlformats-officedocument.drawingml.chart+xml"/>
  <Override PartName="/xl/drawings/drawing115.xml" ContentType="application/vnd.openxmlformats-officedocument.drawingml.chartshapes+xml"/>
  <Override PartName="/xl/charts/chart498.xml" ContentType="application/vnd.openxmlformats-officedocument.drawingml.chart+xml"/>
  <Override PartName="/xl/drawings/drawing116.xml" ContentType="application/vnd.openxmlformats-officedocument.drawingml.chartshapes+xml"/>
  <Override PartName="/xl/charts/chart499.xml" ContentType="application/vnd.openxmlformats-officedocument.drawingml.chart+xml"/>
  <Override PartName="/xl/drawings/drawing117.xml" ContentType="application/vnd.openxmlformats-officedocument.drawingml.chartshapes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drawings/drawing118.xml" ContentType="application/vnd.openxmlformats-officedocument.drawing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theme/themeOverride16.xml" ContentType="application/vnd.openxmlformats-officedocument.themeOverride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drawings/drawing119.xml" ContentType="application/vnd.openxmlformats-officedocument.drawingml.chartshapes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drawings/drawing120.xml" ContentType="application/vnd.openxmlformats-officedocument.drawingml.chartshapes+xml"/>
  <Override PartName="/xl/charts/chart526.xml" ContentType="application/vnd.openxmlformats-officedocument.drawingml.chart+xml"/>
  <Override PartName="/xl/drawings/drawing121.xml" ContentType="application/vnd.openxmlformats-officedocument.drawingml.chartshapes+xml"/>
  <Override PartName="/xl/charts/chart527.xml" ContentType="application/vnd.openxmlformats-officedocument.drawingml.chart+xml"/>
  <Override PartName="/xl/drawings/drawing122.xml" ContentType="application/vnd.openxmlformats-officedocument.drawingml.chartshapes+xml"/>
  <Override PartName="/xl/charts/chart528.xml" ContentType="application/vnd.openxmlformats-officedocument.drawingml.chart+xml"/>
  <Override PartName="/xl/drawings/drawing123.xml" ContentType="application/vnd.openxmlformats-officedocument.drawingml.chartshapes+xml"/>
  <Override PartName="/xl/charts/chart529.xml" ContentType="application/vnd.openxmlformats-officedocument.drawingml.chart+xml"/>
  <Override PartName="/xl/drawings/drawing124.xml" ContentType="application/vnd.openxmlformats-officedocument.drawingml.chartshapes+xml"/>
  <Override PartName="/xl/charts/chart530.xml" ContentType="application/vnd.openxmlformats-officedocument.drawingml.chart+xml"/>
  <Override PartName="/xl/drawings/drawing125.xml" ContentType="application/vnd.openxmlformats-officedocument.drawingml.chartshapes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drawings/drawing126.xml" ContentType="application/vnd.openxmlformats-officedocument.drawing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theme/themeOverride17.xml" ContentType="application/vnd.openxmlformats-officedocument.themeOverride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27.xml" ContentType="application/vnd.openxmlformats-officedocument.drawingml.chartshapes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drawings/drawing128.xml" ContentType="application/vnd.openxmlformats-officedocument.drawingml.chartshapes+xml"/>
  <Override PartName="/xl/charts/chart557.xml" ContentType="application/vnd.openxmlformats-officedocument.drawingml.chart+xml"/>
  <Override PartName="/xl/drawings/drawing129.xml" ContentType="application/vnd.openxmlformats-officedocument.drawingml.chartshapes+xml"/>
  <Override PartName="/xl/charts/chart558.xml" ContentType="application/vnd.openxmlformats-officedocument.drawingml.chart+xml"/>
  <Override PartName="/xl/drawings/drawing130.xml" ContentType="application/vnd.openxmlformats-officedocument.drawingml.chartshapes+xml"/>
  <Override PartName="/xl/charts/chart559.xml" ContentType="application/vnd.openxmlformats-officedocument.drawingml.chart+xml"/>
  <Override PartName="/xl/drawings/drawing131.xml" ContentType="application/vnd.openxmlformats-officedocument.drawingml.chartshapes+xml"/>
  <Override PartName="/xl/charts/chart560.xml" ContentType="application/vnd.openxmlformats-officedocument.drawingml.chart+xml"/>
  <Override PartName="/xl/drawings/drawing132.xml" ContentType="application/vnd.openxmlformats-officedocument.drawingml.chartshapes+xml"/>
  <Override PartName="/xl/charts/chart561.xml" ContentType="application/vnd.openxmlformats-officedocument.drawingml.chart+xml"/>
  <Override PartName="/xl/drawings/drawing133.xml" ContentType="application/vnd.openxmlformats-officedocument.drawingml.chartshapes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34.xml" ContentType="application/vnd.openxmlformats-officedocument.drawing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theme/themeOverride18.xml" ContentType="application/vnd.openxmlformats-officedocument.themeOverride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drawings/drawing135.xml" ContentType="application/vnd.openxmlformats-officedocument.drawingml.chartshapes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drawings/drawing136.xml" ContentType="application/vnd.openxmlformats-officedocument.drawingml.chartshapes+xml"/>
  <Override PartName="/xl/charts/chart587.xml" ContentType="application/vnd.openxmlformats-officedocument.drawingml.chart+xml"/>
  <Override PartName="/xl/drawings/drawing137.xml" ContentType="application/vnd.openxmlformats-officedocument.drawingml.chartshapes+xml"/>
  <Override PartName="/xl/charts/chart588.xml" ContentType="application/vnd.openxmlformats-officedocument.drawingml.chart+xml"/>
  <Override PartName="/xl/drawings/drawing138.xml" ContentType="application/vnd.openxmlformats-officedocument.drawingml.chartshapes+xml"/>
  <Override PartName="/xl/charts/chart589.xml" ContentType="application/vnd.openxmlformats-officedocument.drawingml.chart+xml"/>
  <Override PartName="/xl/drawings/drawing139.xml" ContentType="application/vnd.openxmlformats-officedocument.drawingml.chartshapes+xml"/>
  <Override PartName="/xl/charts/chart590.xml" ContentType="application/vnd.openxmlformats-officedocument.drawingml.chart+xml"/>
  <Override PartName="/xl/drawings/drawing140.xml" ContentType="application/vnd.openxmlformats-officedocument.drawingml.chartshapes+xml"/>
  <Override PartName="/xl/charts/chart591.xml" ContentType="application/vnd.openxmlformats-officedocument.drawingml.chart+xml"/>
  <Override PartName="/xl/drawings/drawing141.xml" ContentType="application/vnd.openxmlformats-officedocument.drawingml.chartshapes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42.xml" ContentType="application/vnd.openxmlformats-officedocument.drawing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theme/themeOverride19.xml" ContentType="application/vnd.openxmlformats-officedocument.themeOverride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drawings/drawing143.xml" ContentType="application/vnd.openxmlformats-officedocument.drawingml.chartshapes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44.xml" ContentType="application/vnd.openxmlformats-officedocument.drawingml.chartshapes+xml"/>
  <Override PartName="/xl/charts/chart618.xml" ContentType="application/vnd.openxmlformats-officedocument.drawingml.chart+xml"/>
  <Override PartName="/xl/drawings/drawing145.xml" ContentType="application/vnd.openxmlformats-officedocument.drawingml.chartshapes+xml"/>
  <Override PartName="/xl/charts/chart619.xml" ContentType="application/vnd.openxmlformats-officedocument.drawingml.chart+xml"/>
  <Override PartName="/xl/drawings/drawing146.xml" ContentType="application/vnd.openxmlformats-officedocument.drawingml.chartshapes+xml"/>
  <Override PartName="/xl/charts/chart620.xml" ContentType="application/vnd.openxmlformats-officedocument.drawingml.chart+xml"/>
  <Override PartName="/xl/drawings/drawing147.xml" ContentType="application/vnd.openxmlformats-officedocument.drawingml.chartshapes+xml"/>
  <Override PartName="/xl/charts/chart621.xml" ContentType="application/vnd.openxmlformats-officedocument.drawingml.chart+xml"/>
  <Override PartName="/xl/drawings/drawing148.xml" ContentType="application/vnd.openxmlformats-officedocument.drawingml.chartshapes+xml"/>
  <Override PartName="/xl/charts/chart622.xml" ContentType="application/vnd.openxmlformats-officedocument.drawingml.chart+xml"/>
  <Override PartName="/xl/drawings/drawing149.xml" ContentType="application/vnd.openxmlformats-officedocument.drawingml.chartshapes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drawings/drawing150.xml" ContentType="application/vnd.openxmlformats-officedocument.drawing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theme/themeOverride20.xml" ContentType="application/vnd.openxmlformats-officedocument.themeOverride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drawings/drawing151.xml" ContentType="application/vnd.openxmlformats-officedocument.drawingml.chartshapes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drawings/drawing152.xml" ContentType="application/vnd.openxmlformats-officedocument.drawingml.chartshapes+xml"/>
  <Override PartName="/xl/charts/chart649.xml" ContentType="application/vnd.openxmlformats-officedocument.drawingml.chart+xml"/>
  <Override PartName="/xl/drawings/drawing153.xml" ContentType="application/vnd.openxmlformats-officedocument.drawingml.chartshapes+xml"/>
  <Override PartName="/xl/charts/chart650.xml" ContentType="application/vnd.openxmlformats-officedocument.drawingml.chart+xml"/>
  <Override PartName="/xl/drawings/drawing154.xml" ContentType="application/vnd.openxmlformats-officedocument.drawingml.chartshapes+xml"/>
  <Override PartName="/xl/charts/chart651.xml" ContentType="application/vnd.openxmlformats-officedocument.drawingml.chart+xml"/>
  <Override PartName="/xl/drawings/drawing155.xml" ContentType="application/vnd.openxmlformats-officedocument.drawingml.chartshapes+xml"/>
  <Override PartName="/xl/charts/chart652.xml" ContentType="application/vnd.openxmlformats-officedocument.drawingml.chart+xml"/>
  <Override PartName="/xl/drawings/drawing156.xml" ContentType="application/vnd.openxmlformats-officedocument.drawingml.chartshapes+xml"/>
  <Override PartName="/xl/charts/chart653.xml" ContentType="application/vnd.openxmlformats-officedocument.drawingml.chart+xml"/>
  <Override PartName="/xl/drawings/drawing157.xml" ContentType="application/vnd.openxmlformats-officedocument.drawingml.chartshapes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drawings/drawing158.xml" ContentType="application/vnd.openxmlformats-officedocument.drawing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theme/themeOverride21.xml" ContentType="application/vnd.openxmlformats-officedocument.themeOverride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drawings/drawing159.xml" ContentType="application/vnd.openxmlformats-officedocument.drawingml.chartshapes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charts/chart691.xml" ContentType="application/vnd.openxmlformats-officedocument.drawingml.chart+xml"/>
  <Override PartName="/xl/drawings/drawing160.xml" ContentType="application/vnd.openxmlformats-officedocument.drawingml.chartshapes+xml"/>
  <Override PartName="/xl/charts/chart692.xml" ContentType="application/vnd.openxmlformats-officedocument.drawingml.chart+xml"/>
  <Override PartName="/xl/drawings/drawing161.xml" ContentType="application/vnd.openxmlformats-officedocument.drawingml.chartshapes+xml"/>
  <Override PartName="/xl/charts/chart693.xml" ContentType="application/vnd.openxmlformats-officedocument.drawingml.chart+xml"/>
  <Override PartName="/xl/drawings/drawing162.xml" ContentType="application/vnd.openxmlformats-officedocument.drawingml.chartshapes+xml"/>
  <Override PartName="/xl/charts/chart694.xml" ContentType="application/vnd.openxmlformats-officedocument.drawingml.chart+xml"/>
  <Override PartName="/xl/drawings/drawing163.xml" ContentType="application/vnd.openxmlformats-officedocument.drawingml.chartshapes+xml"/>
  <Override PartName="/xl/charts/chart695.xml" ContentType="application/vnd.openxmlformats-officedocument.drawingml.chart+xml"/>
  <Override PartName="/xl/drawings/drawing164.xml" ContentType="application/vnd.openxmlformats-officedocument.drawingml.chartshapes+xml"/>
  <Override PartName="/xl/charts/chart696.xml" ContentType="application/vnd.openxmlformats-officedocument.drawingml.chart+xml"/>
  <Override PartName="/xl/drawings/drawing165.xml" ContentType="application/vnd.openxmlformats-officedocument.drawingml.chartshapes+xml"/>
  <Override PartName="/xl/charts/chart697.xml" ContentType="application/vnd.openxmlformats-officedocument.drawingml.chart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drawings/drawing166.xml" ContentType="application/vnd.openxmlformats-officedocument.drawing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theme/themeOverride22.xml" ContentType="application/vnd.openxmlformats-officedocument.themeOverride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drawings/drawing167.xml" ContentType="application/vnd.openxmlformats-officedocument.drawingml.chartshapes+xml"/>
  <Override PartName="/xl/charts/chart707.xml" ContentType="application/vnd.openxmlformats-officedocument.drawingml.chart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drawings/drawing168.xml" ContentType="application/vnd.openxmlformats-officedocument.drawingml.chartshapes+xml"/>
  <Override PartName="/xl/charts/chart723.xml" ContentType="application/vnd.openxmlformats-officedocument.drawingml.chart+xml"/>
  <Override PartName="/xl/drawings/drawing169.xml" ContentType="application/vnd.openxmlformats-officedocument.drawingml.chartshapes+xml"/>
  <Override PartName="/xl/charts/chart724.xml" ContentType="application/vnd.openxmlformats-officedocument.drawingml.chart+xml"/>
  <Override PartName="/xl/drawings/drawing170.xml" ContentType="application/vnd.openxmlformats-officedocument.drawingml.chartshapes+xml"/>
  <Override PartName="/xl/charts/chart725.xml" ContentType="application/vnd.openxmlformats-officedocument.drawingml.chart+xml"/>
  <Override PartName="/xl/drawings/drawing171.xml" ContentType="application/vnd.openxmlformats-officedocument.drawingml.chartshapes+xml"/>
  <Override PartName="/xl/charts/chart726.xml" ContentType="application/vnd.openxmlformats-officedocument.drawingml.chart+xml"/>
  <Override PartName="/xl/drawings/drawing172.xml" ContentType="application/vnd.openxmlformats-officedocument.drawingml.chartshapes+xml"/>
  <Override PartName="/xl/charts/chart727.xml" ContentType="application/vnd.openxmlformats-officedocument.drawingml.chart+xml"/>
  <Override PartName="/xl/drawings/drawing173.xml" ContentType="application/vnd.openxmlformats-officedocument.drawingml.chartshapes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drawings/drawing174.xml" ContentType="application/vnd.openxmlformats-officedocument.drawing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theme/themeOverride23.xml" ContentType="application/vnd.openxmlformats-officedocument.themeOverride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drawings/drawing175.xml" ContentType="application/vnd.openxmlformats-officedocument.drawingml.chartshapes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drawings/drawing176.xml" ContentType="application/vnd.openxmlformats-officedocument.drawingml.chartshapes+xml"/>
  <Override PartName="/xl/charts/chart754.xml" ContentType="application/vnd.openxmlformats-officedocument.drawingml.chart+xml"/>
  <Override PartName="/xl/drawings/drawing177.xml" ContentType="application/vnd.openxmlformats-officedocument.drawingml.chartshapes+xml"/>
  <Override PartName="/xl/charts/chart755.xml" ContentType="application/vnd.openxmlformats-officedocument.drawingml.chart+xml"/>
  <Override PartName="/xl/drawings/drawing178.xml" ContentType="application/vnd.openxmlformats-officedocument.drawingml.chartshapes+xml"/>
  <Override PartName="/xl/charts/chart756.xml" ContentType="application/vnd.openxmlformats-officedocument.drawingml.chart+xml"/>
  <Override PartName="/xl/drawings/drawing179.xml" ContentType="application/vnd.openxmlformats-officedocument.drawingml.chartshapes+xml"/>
  <Override PartName="/xl/charts/chart757.xml" ContentType="application/vnd.openxmlformats-officedocument.drawingml.chart+xml"/>
  <Override PartName="/xl/drawings/drawing180.xml" ContentType="application/vnd.openxmlformats-officedocument.drawingml.chartshapes+xml"/>
  <Override PartName="/xl/charts/chart758.xml" ContentType="application/vnd.openxmlformats-officedocument.drawingml.chart+xml"/>
  <Override PartName="/xl/drawings/drawing181.xml" ContentType="application/vnd.openxmlformats-officedocument.drawingml.chartshapes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drawings/drawing182.xml" ContentType="application/vnd.openxmlformats-officedocument.drawing+xml"/>
  <Override PartName="/xl/charts/chart777.xml" ContentType="application/vnd.openxmlformats-officedocument.drawingml.chart+xml"/>
  <Override PartName="/xl/charts/chart778.xml" ContentType="application/vnd.openxmlformats-officedocument.drawingml.chart+xml"/>
  <Override PartName="/xl/theme/themeOverride24.xml" ContentType="application/vnd.openxmlformats-officedocument.themeOverride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drawings/drawing183.xml" ContentType="application/vnd.openxmlformats-officedocument.drawingml.chartshapes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harts/chart785.xml" ContentType="application/vnd.openxmlformats-officedocument.drawingml.chart+xml"/>
  <Override PartName="/xl/charts/chart786.xml" ContentType="application/vnd.openxmlformats-officedocument.drawingml.chart+xml"/>
  <Override PartName="/xl/charts/chart787.xml" ContentType="application/vnd.openxmlformats-officedocument.drawingml.chart+xml"/>
  <Override PartName="/xl/charts/chart788.xml" ContentType="application/vnd.openxmlformats-officedocument.drawingml.chart+xml"/>
  <Override PartName="/xl/charts/chart789.xml" ContentType="application/vnd.openxmlformats-officedocument.drawingml.chart+xml"/>
  <Override PartName="/xl/charts/chart790.xml" ContentType="application/vnd.openxmlformats-officedocument.drawingml.chart+xml"/>
  <Override PartName="/xl/charts/chart791.xml" ContentType="application/vnd.openxmlformats-officedocument.drawingml.chart+xml"/>
  <Override PartName="/xl/charts/chart792.xml" ContentType="application/vnd.openxmlformats-officedocument.drawingml.chart+xml"/>
  <Override PartName="/xl/charts/chart793.xml" ContentType="application/vnd.openxmlformats-officedocument.drawingml.chart+xml"/>
  <Override PartName="/xl/charts/chart794.xml" ContentType="application/vnd.openxmlformats-officedocument.drawingml.chart+xml"/>
  <Override PartName="/xl/charts/chart795.xml" ContentType="application/vnd.openxmlformats-officedocument.drawingml.chart+xml"/>
  <Override PartName="/xl/charts/chart796.xml" ContentType="application/vnd.openxmlformats-officedocument.drawingml.chart+xml"/>
  <Override PartName="/xl/charts/chart797.xml" ContentType="application/vnd.openxmlformats-officedocument.drawingml.chart+xml"/>
  <Override PartName="/xl/charts/chart798.xml" ContentType="application/vnd.openxmlformats-officedocument.drawingml.chart+xml"/>
  <Override PartName="/xl/charts/chart799.xml" ContentType="application/vnd.openxmlformats-officedocument.drawingml.chart+xml"/>
  <Override PartName="/xl/drawings/drawing184.xml" ContentType="application/vnd.openxmlformats-officedocument.drawingml.chartshapes+xml"/>
  <Override PartName="/xl/charts/chart800.xml" ContentType="application/vnd.openxmlformats-officedocument.drawingml.chart+xml"/>
  <Override PartName="/xl/drawings/drawing185.xml" ContentType="application/vnd.openxmlformats-officedocument.drawingml.chartshapes+xml"/>
  <Override PartName="/xl/charts/chart801.xml" ContentType="application/vnd.openxmlformats-officedocument.drawingml.chart+xml"/>
  <Override PartName="/xl/drawings/drawing186.xml" ContentType="application/vnd.openxmlformats-officedocument.drawingml.chartshapes+xml"/>
  <Override PartName="/xl/charts/chart802.xml" ContentType="application/vnd.openxmlformats-officedocument.drawingml.chart+xml"/>
  <Override PartName="/xl/drawings/drawing187.xml" ContentType="application/vnd.openxmlformats-officedocument.drawingml.chartshapes+xml"/>
  <Override PartName="/xl/charts/chart803.xml" ContentType="application/vnd.openxmlformats-officedocument.drawingml.chart+xml"/>
  <Override PartName="/xl/drawings/drawing188.xml" ContentType="application/vnd.openxmlformats-officedocument.drawingml.chartshapes+xml"/>
  <Override PartName="/xl/charts/chart804.xml" ContentType="application/vnd.openxmlformats-officedocument.drawingml.chart+xml"/>
  <Override PartName="/xl/drawings/drawing189.xml" ContentType="application/vnd.openxmlformats-officedocument.drawingml.chartshapes+xml"/>
  <Override PartName="/xl/charts/chart805.xml" ContentType="application/vnd.openxmlformats-officedocument.drawingml.chart+xml"/>
  <Override PartName="/xl/charts/chart806.xml" ContentType="application/vnd.openxmlformats-officedocument.drawingml.chart+xml"/>
  <Override PartName="/xl/charts/chart807.xml" ContentType="application/vnd.openxmlformats-officedocument.drawingml.chart+xml"/>
  <Override PartName="/xl/charts/chart808.xml" ContentType="application/vnd.openxmlformats-officedocument.drawingml.chart+xml"/>
  <Override PartName="/xl/charts/chart809.xml" ContentType="application/vnd.openxmlformats-officedocument.drawingml.chart+xml"/>
  <Override PartName="/xl/charts/chart810.xml" ContentType="application/vnd.openxmlformats-officedocument.drawingml.chart+xml"/>
  <Override PartName="/xl/drawings/drawing190.xml" ContentType="application/vnd.openxmlformats-officedocument.drawing+xml"/>
  <Override PartName="/xl/charts/chart811.xml" ContentType="application/vnd.openxmlformats-officedocument.drawingml.chart+xml"/>
  <Override PartName="/xl/charts/chart812.xml" ContentType="application/vnd.openxmlformats-officedocument.drawingml.chart+xml"/>
  <Override PartName="/xl/theme/themeOverride25.xml" ContentType="application/vnd.openxmlformats-officedocument.themeOverride+xml"/>
  <Override PartName="/xl/charts/chart813.xml" ContentType="application/vnd.openxmlformats-officedocument.drawingml.chart+xml"/>
  <Override PartName="/xl/charts/chart814.xml" ContentType="application/vnd.openxmlformats-officedocument.drawingml.chart+xml"/>
  <Override PartName="/xl/drawings/drawing191.xml" ContentType="application/vnd.openxmlformats-officedocument.drawingml.chartshapes+xml"/>
  <Override PartName="/xl/charts/chart815.xml" ContentType="application/vnd.openxmlformats-officedocument.drawingml.chart+xml"/>
  <Override PartName="/xl/charts/chart816.xml" ContentType="application/vnd.openxmlformats-officedocument.drawingml.chart+xml"/>
  <Override PartName="/xl/charts/chart817.xml" ContentType="application/vnd.openxmlformats-officedocument.drawingml.chart+xml"/>
  <Override PartName="/xl/charts/chart818.xml" ContentType="application/vnd.openxmlformats-officedocument.drawingml.chart+xml"/>
  <Override PartName="/xl/charts/chart819.xml" ContentType="application/vnd.openxmlformats-officedocument.drawingml.chart+xml"/>
  <Override PartName="/xl/charts/chart820.xml" ContentType="application/vnd.openxmlformats-officedocument.drawingml.chart+xml"/>
  <Override PartName="/xl/charts/chart821.xml" ContentType="application/vnd.openxmlformats-officedocument.drawingml.chart+xml"/>
  <Override PartName="/xl/charts/chart822.xml" ContentType="application/vnd.openxmlformats-officedocument.drawingml.chart+xml"/>
  <Override PartName="/xl/charts/chart823.xml" ContentType="application/vnd.openxmlformats-officedocument.drawingml.chart+xml"/>
  <Override PartName="/xl/charts/chart824.xml" ContentType="application/vnd.openxmlformats-officedocument.drawingml.chart+xml"/>
  <Override PartName="/xl/charts/chart825.xml" ContentType="application/vnd.openxmlformats-officedocument.drawingml.chart+xml"/>
  <Override PartName="/xl/charts/chart826.xml" ContentType="application/vnd.openxmlformats-officedocument.drawingml.chart+xml"/>
  <Override PartName="/xl/charts/chart827.xml" ContentType="application/vnd.openxmlformats-officedocument.drawingml.chart+xml"/>
  <Override PartName="/xl/charts/chart828.xml" ContentType="application/vnd.openxmlformats-officedocument.drawingml.chart+xml"/>
  <Override PartName="/xl/charts/chart829.xml" ContentType="application/vnd.openxmlformats-officedocument.drawingml.chart+xml"/>
  <Override PartName="/xl/charts/chart830.xml" ContentType="application/vnd.openxmlformats-officedocument.drawingml.chart+xml"/>
  <Override PartName="/xl/drawings/drawing192.xml" ContentType="application/vnd.openxmlformats-officedocument.drawingml.chartshapes+xml"/>
  <Override PartName="/xl/charts/chart831.xml" ContentType="application/vnd.openxmlformats-officedocument.drawingml.chart+xml"/>
  <Override PartName="/xl/drawings/drawing193.xml" ContentType="application/vnd.openxmlformats-officedocument.drawingml.chartshapes+xml"/>
  <Override PartName="/xl/charts/chart832.xml" ContentType="application/vnd.openxmlformats-officedocument.drawingml.chart+xml"/>
  <Override PartName="/xl/drawings/drawing194.xml" ContentType="application/vnd.openxmlformats-officedocument.drawingml.chartshapes+xml"/>
  <Override PartName="/xl/charts/chart833.xml" ContentType="application/vnd.openxmlformats-officedocument.drawingml.chart+xml"/>
  <Override PartName="/xl/drawings/drawing195.xml" ContentType="application/vnd.openxmlformats-officedocument.drawingml.chartshapes+xml"/>
  <Override PartName="/xl/charts/chart834.xml" ContentType="application/vnd.openxmlformats-officedocument.drawingml.chart+xml"/>
  <Override PartName="/xl/drawings/drawing196.xml" ContentType="application/vnd.openxmlformats-officedocument.drawingml.chartshapes+xml"/>
  <Override PartName="/xl/charts/chart835.xml" ContentType="application/vnd.openxmlformats-officedocument.drawingml.chart+xml"/>
  <Override PartName="/xl/drawings/drawing197.xml" ContentType="application/vnd.openxmlformats-officedocument.drawingml.chartshapes+xml"/>
  <Override PartName="/xl/charts/chart836.xml" ContentType="application/vnd.openxmlformats-officedocument.drawingml.chart+xml"/>
  <Override PartName="/xl/charts/chart837.xml" ContentType="application/vnd.openxmlformats-officedocument.drawingml.chart+xml"/>
  <Override PartName="/xl/charts/chart838.xml" ContentType="application/vnd.openxmlformats-officedocument.drawingml.chart+xml"/>
  <Override PartName="/xl/charts/chart839.xml" ContentType="application/vnd.openxmlformats-officedocument.drawingml.chart+xml"/>
  <Override PartName="/xl/charts/chart840.xml" ContentType="application/vnd.openxmlformats-officedocument.drawingml.chart+xml"/>
  <Override PartName="/xl/charts/chart841.xml" ContentType="application/vnd.openxmlformats-officedocument.drawingml.chart+xml"/>
  <Override PartName="/xl/drawings/drawing198.xml" ContentType="application/vnd.openxmlformats-officedocument.drawing+xml"/>
  <Override PartName="/xl/charts/chart842.xml" ContentType="application/vnd.openxmlformats-officedocument.drawingml.chart+xml"/>
  <Override PartName="/xl/charts/chart843.xml" ContentType="application/vnd.openxmlformats-officedocument.drawingml.chart+xml"/>
  <Override PartName="/xl/theme/themeOverride26.xml" ContentType="application/vnd.openxmlformats-officedocument.themeOverride+xml"/>
  <Override PartName="/xl/charts/chart844.xml" ContentType="application/vnd.openxmlformats-officedocument.drawingml.chart+xml"/>
  <Override PartName="/xl/charts/chart845.xml" ContentType="application/vnd.openxmlformats-officedocument.drawingml.chart+xml"/>
  <Override PartName="/xl/drawings/drawing199.xml" ContentType="application/vnd.openxmlformats-officedocument.drawingml.chartshapes+xml"/>
  <Override PartName="/xl/charts/chart846.xml" ContentType="application/vnd.openxmlformats-officedocument.drawingml.chart+xml"/>
  <Override PartName="/xl/charts/chart847.xml" ContentType="application/vnd.openxmlformats-officedocument.drawingml.chart+xml"/>
  <Override PartName="/xl/charts/chart848.xml" ContentType="application/vnd.openxmlformats-officedocument.drawingml.chart+xml"/>
  <Override PartName="/xl/charts/chart849.xml" ContentType="application/vnd.openxmlformats-officedocument.drawingml.chart+xml"/>
  <Override PartName="/xl/charts/chart850.xml" ContentType="application/vnd.openxmlformats-officedocument.drawingml.chart+xml"/>
  <Override PartName="/xl/charts/chart851.xml" ContentType="application/vnd.openxmlformats-officedocument.drawingml.chart+xml"/>
  <Override PartName="/xl/charts/chart852.xml" ContentType="application/vnd.openxmlformats-officedocument.drawingml.chart+xml"/>
  <Override PartName="/xl/charts/chart853.xml" ContentType="application/vnd.openxmlformats-officedocument.drawingml.chart+xml"/>
  <Override PartName="/xl/charts/chart854.xml" ContentType="application/vnd.openxmlformats-officedocument.drawingml.chart+xml"/>
  <Override PartName="/xl/charts/chart855.xml" ContentType="application/vnd.openxmlformats-officedocument.drawingml.chart+xml"/>
  <Override PartName="/xl/charts/chart856.xml" ContentType="application/vnd.openxmlformats-officedocument.drawingml.chart+xml"/>
  <Override PartName="/xl/charts/chart857.xml" ContentType="application/vnd.openxmlformats-officedocument.drawingml.chart+xml"/>
  <Override PartName="/xl/charts/chart858.xml" ContentType="application/vnd.openxmlformats-officedocument.drawingml.chart+xml"/>
  <Override PartName="/xl/charts/chart859.xml" ContentType="application/vnd.openxmlformats-officedocument.drawingml.chart+xml"/>
  <Override PartName="/xl/charts/chart860.xml" ContentType="application/vnd.openxmlformats-officedocument.drawingml.chart+xml"/>
  <Override PartName="/xl/charts/chart861.xml" ContentType="application/vnd.openxmlformats-officedocument.drawingml.chart+xml"/>
  <Override PartName="/xl/drawings/drawing200.xml" ContentType="application/vnd.openxmlformats-officedocument.drawingml.chartshapes+xml"/>
  <Override PartName="/xl/charts/chart862.xml" ContentType="application/vnd.openxmlformats-officedocument.drawingml.chart+xml"/>
  <Override PartName="/xl/drawings/drawing201.xml" ContentType="application/vnd.openxmlformats-officedocument.drawingml.chartshapes+xml"/>
  <Override PartName="/xl/charts/chart863.xml" ContentType="application/vnd.openxmlformats-officedocument.drawingml.chart+xml"/>
  <Override PartName="/xl/drawings/drawing202.xml" ContentType="application/vnd.openxmlformats-officedocument.drawingml.chartshapes+xml"/>
  <Override PartName="/xl/charts/chart864.xml" ContentType="application/vnd.openxmlformats-officedocument.drawingml.chart+xml"/>
  <Override PartName="/xl/drawings/drawing203.xml" ContentType="application/vnd.openxmlformats-officedocument.drawingml.chartshapes+xml"/>
  <Override PartName="/xl/charts/chart865.xml" ContentType="application/vnd.openxmlformats-officedocument.drawingml.chart+xml"/>
  <Override PartName="/xl/drawings/drawing204.xml" ContentType="application/vnd.openxmlformats-officedocument.drawingml.chartshapes+xml"/>
  <Override PartName="/xl/charts/chart866.xml" ContentType="application/vnd.openxmlformats-officedocument.drawingml.chart+xml"/>
  <Override PartName="/xl/drawings/drawing205.xml" ContentType="application/vnd.openxmlformats-officedocument.drawingml.chartshapes+xml"/>
  <Override PartName="/xl/charts/chart867.xml" ContentType="application/vnd.openxmlformats-officedocument.drawingml.chart+xml"/>
  <Override PartName="/xl/charts/chart868.xml" ContentType="application/vnd.openxmlformats-officedocument.drawingml.chart+xml"/>
  <Override PartName="/xl/charts/chart869.xml" ContentType="application/vnd.openxmlformats-officedocument.drawingml.chart+xml"/>
  <Override PartName="/xl/charts/chart870.xml" ContentType="application/vnd.openxmlformats-officedocument.drawingml.chart+xml"/>
  <Override PartName="/xl/charts/chart871.xml" ContentType="application/vnd.openxmlformats-officedocument.drawingml.chart+xml"/>
  <Override PartName="/xl/charts/chart872.xml" ContentType="application/vnd.openxmlformats-officedocument.drawingml.chart+xml"/>
  <Override PartName="/xl/drawings/drawing206.xml" ContentType="application/vnd.openxmlformats-officedocument.drawing+xml"/>
  <Override PartName="/xl/charts/chart873.xml" ContentType="application/vnd.openxmlformats-officedocument.drawingml.chart+xml"/>
  <Override PartName="/xl/charts/chart874.xml" ContentType="application/vnd.openxmlformats-officedocument.drawingml.chart+xml"/>
  <Override PartName="/xl/theme/themeOverride27.xml" ContentType="application/vnd.openxmlformats-officedocument.themeOverride+xml"/>
  <Override PartName="/xl/charts/chart875.xml" ContentType="application/vnd.openxmlformats-officedocument.drawingml.chart+xml"/>
  <Override PartName="/xl/charts/chart876.xml" ContentType="application/vnd.openxmlformats-officedocument.drawingml.chart+xml"/>
  <Override PartName="/xl/drawings/drawing207.xml" ContentType="application/vnd.openxmlformats-officedocument.drawingml.chartshapes+xml"/>
  <Override PartName="/xl/charts/chart877.xml" ContentType="application/vnd.openxmlformats-officedocument.drawingml.chart+xml"/>
  <Override PartName="/xl/charts/chart878.xml" ContentType="application/vnd.openxmlformats-officedocument.drawingml.chart+xml"/>
  <Override PartName="/xl/charts/chart879.xml" ContentType="application/vnd.openxmlformats-officedocument.drawingml.chart+xml"/>
  <Override PartName="/xl/charts/chart880.xml" ContentType="application/vnd.openxmlformats-officedocument.drawingml.chart+xml"/>
  <Override PartName="/xl/charts/chart881.xml" ContentType="application/vnd.openxmlformats-officedocument.drawingml.chart+xml"/>
  <Override PartName="/xl/charts/chart882.xml" ContentType="application/vnd.openxmlformats-officedocument.drawingml.chart+xml"/>
  <Override PartName="/xl/charts/chart883.xml" ContentType="application/vnd.openxmlformats-officedocument.drawingml.chart+xml"/>
  <Override PartName="/xl/charts/chart884.xml" ContentType="application/vnd.openxmlformats-officedocument.drawingml.chart+xml"/>
  <Override PartName="/xl/charts/chart885.xml" ContentType="application/vnd.openxmlformats-officedocument.drawingml.chart+xml"/>
  <Override PartName="/xl/charts/chart886.xml" ContentType="application/vnd.openxmlformats-officedocument.drawingml.chart+xml"/>
  <Override PartName="/xl/charts/chart887.xml" ContentType="application/vnd.openxmlformats-officedocument.drawingml.chart+xml"/>
  <Override PartName="/xl/charts/chart888.xml" ContentType="application/vnd.openxmlformats-officedocument.drawingml.chart+xml"/>
  <Override PartName="/xl/charts/chart889.xml" ContentType="application/vnd.openxmlformats-officedocument.drawingml.chart+xml"/>
  <Override PartName="/xl/charts/chart890.xml" ContentType="application/vnd.openxmlformats-officedocument.drawingml.chart+xml"/>
  <Override PartName="/xl/charts/chart891.xml" ContentType="application/vnd.openxmlformats-officedocument.drawingml.chart+xml"/>
  <Override PartName="/xl/charts/chart892.xml" ContentType="application/vnd.openxmlformats-officedocument.drawingml.chart+xml"/>
  <Override PartName="/xl/drawings/drawing208.xml" ContentType="application/vnd.openxmlformats-officedocument.drawingml.chartshapes+xml"/>
  <Override PartName="/xl/charts/chart893.xml" ContentType="application/vnd.openxmlformats-officedocument.drawingml.chart+xml"/>
  <Override PartName="/xl/drawings/drawing209.xml" ContentType="application/vnd.openxmlformats-officedocument.drawingml.chartshapes+xml"/>
  <Override PartName="/xl/charts/chart894.xml" ContentType="application/vnd.openxmlformats-officedocument.drawingml.chart+xml"/>
  <Override PartName="/xl/drawings/drawing210.xml" ContentType="application/vnd.openxmlformats-officedocument.drawingml.chartshapes+xml"/>
  <Override PartName="/xl/charts/chart895.xml" ContentType="application/vnd.openxmlformats-officedocument.drawingml.chart+xml"/>
  <Override PartName="/xl/charts/chart896.xml" ContentType="application/vnd.openxmlformats-officedocument.drawingml.chart+xml"/>
  <Override PartName="/xl/charts/chart897.xml" ContentType="application/vnd.openxmlformats-officedocument.drawingml.chart+xml"/>
  <Override PartName="/xl/charts/chart898.xml" ContentType="application/vnd.openxmlformats-officedocument.drawingml.chart+xml"/>
  <Override PartName="/xl/charts/chart899.xml" ContentType="application/vnd.openxmlformats-officedocument.drawingml.chart+xml"/>
  <Override PartName="/xl/charts/chart900.xml" ContentType="application/vnd.openxmlformats-officedocument.drawingml.chart+xml"/>
  <Override PartName="/xl/charts/chart901.xml" ContentType="application/vnd.openxmlformats-officedocument.drawingml.chart+xml"/>
  <Override PartName="/xl/drawings/drawing211.xml" ContentType="application/vnd.openxmlformats-officedocument.drawingml.chartshapes+xml"/>
  <Override PartName="/xl/charts/chart902.xml" ContentType="application/vnd.openxmlformats-officedocument.drawingml.chart+xml"/>
  <Override PartName="/xl/drawings/drawing212.xml" ContentType="application/vnd.openxmlformats-officedocument.drawingml.chartshapes+xml"/>
  <Override PartName="/xl/charts/chart903.xml" ContentType="application/vnd.openxmlformats-officedocument.drawingml.chart+xml"/>
  <Override PartName="/xl/drawings/drawing213.xml" ContentType="application/vnd.openxmlformats-officedocument.drawingml.chartshapes+xml"/>
  <Override PartName="/xl/drawings/drawing214.xml" ContentType="application/vnd.openxmlformats-officedocument.drawing+xml"/>
  <Override PartName="/xl/charts/chart904.xml" ContentType="application/vnd.openxmlformats-officedocument.drawingml.chart+xml"/>
  <Override PartName="/xl/charts/chart905.xml" ContentType="application/vnd.openxmlformats-officedocument.drawingml.chart+xml"/>
  <Override PartName="/xl/theme/themeOverride28.xml" ContentType="application/vnd.openxmlformats-officedocument.themeOverride+xml"/>
  <Override PartName="/xl/charts/chart906.xml" ContentType="application/vnd.openxmlformats-officedocument.drawingml.chart+xml"/>
  <Override PartName="/xl/charts/chart907.xml" ContentType="application/vnd.openxmlformats-officedocument.drawingml.chart+xml"/>
  <Override PartName="/xl/drawings/drawing215.xml" ContentType="application/vnd.openxmlformats-officedocument.drawingml.chartshapes+xml"/>
  <Override PartName="/xl/charts/chart908.xml" ContentType="application/vnd.openxmlformats-officedocument.drawingml.chart+xml"/>
  <Override PartName="/xl/charts/chart909.xml" ContentType="application/vnd.openxmlformats-officedocument.drawingml.chart+xml"/>
  <Override PartName="/xl/charts/chart910.xml" ContentType="application/vnd.openxmlformats-officedocument.drawingml.chart+xml"/>
  <Override PartName="/xl/charts/chart911.xml" ContentType="application/vnd.openxmlformats-officedocument.drawingml.chart+xml"/>
  <Override PartName="/xl/charts/chart912.xml" ContentType="application/vnd.openxmlformats-officedocument.drawingml.chart+xml"/>
  <Override PartName="/xl/charts/chart913.xml" ContentType="application/vnd.openxmlformats-officedocument.drawingml.chart+xml"/>
  <Override PartName="/xl/charts/chart914.xml" ContentType="application/vnd.openxmlformats-officedocument.drawingml.chart+xml"/>
  <Override PartName="/xl/charts/chart915.xml" ContentType="application/vnd.openxmlformats-officedocument.drawingml.chart+xml"/>
  <Override PartName="/xl/charts/chart916.xml" ContentType="application/vnd.openxmlformats-officedocument.drawingml.chart+xml"/>
  <Override PartName="/xl/charts/chart917.xml" ContentType="application/vnd.openxmlformats-officedocument.drawingml.chart+xml"/>
  <Override PartName="/xl/charts/chart918.xml" ContentType="application/vnd.openxmlformats-officedocument.drawingml.chart+xml"/>
  <Override PartName="/xl/charts/chart919.xml" ContentType="application/vnd.openxmlformats-officedocument.drawingml.chart+xml"/>
  <Override PartName="/xl/charts/chart920.xml" ContentType="application/vnd.openxmlformats-officedocument.drawingml.chart+xml"/>
  <Override PartName="/xl/charts/chart921.xml" ContentType="application/vnd.openxmlformats-officedocument.drawingml.chart+xml"/>
  <Override PartName="/xl/charts/chart922.xml" ContentType="application/vnd.openxmlformats-officedocument.drawingml.chart+xml"/>
  <Override PartName="/xl/charts/chart923.xml" ContentType="application/vnd.openxmlformats-officedocument.drawingml.chart+xml"/>
  <Override PartName="/xl/drawings/drawing216.xml" ContentType="application/vnd.openxmlformats-officedocument.drawingml.chartshapes+xml"/>
  <Override PartName="/xl/charts/chart924.xml" ContentType="application/vnd.openxmlformats-officedocument.drawingml.chart+xml"/>
  <Override PartName="/xl/drawings/drawing217.xml" ContentType="application/vnd.openxmlformats-officedocument.drawingml.chartshapes+xml"/>
  <Override PartName="/xl/charts/chart925.xml" ContentType="application/vnd.openxmlformats-officedocument.drawingml.chart+xml"/>
  <Override PartName="/xl/drawings/drawing218.xml" ContentType="application/vnd.openxmlformats-officedocument.drawingml.chartshapes+xml"/>
  <Override PartName="/xl/charts/chart926.xml" ContentType="application/vnd.openxmlformats-officedocument.drawingml.chart+xml"/>
  <Override PartName="/xl/drawings/drawing219.xml" ContentType="application/vnd.openxmlformats-officedocument.drawingml.chartshapes+xml"/>
  <Override PartName="/xl/charts/chart927.xml" ContentType="application/vnd.openxmlformats-officedocument.drawingml.chart+xml"/>
  <Override PartName="/xl/drawings/drawing220.xml" ContentType="application/vnd.openxmlformats-officedocument.drawingml.chartshapes+xml"/>
  <Override PartName="/xl/charts/chart928.xml" ContentType="application/vnd.openxmlformats-officedocument.drawingml.chart+xml"/>
  <Override PartName="/xl/drawings/drawing221.xml" ContentType="application/vnd.openxmlformats-officedocument.drawingml.chartshapes+xml"/>
  <Override PartName="/xl/charts/chart929.xml" ContentType="application/vnd.openxmlformats-officedocument.drawingml.chart+xml"/>
  <Override PartName="/xl/charts/chart930.xml" ContentType="application/vnd.openxmlformats-officedocument.drawingml.chart+xml"/>
  <Override PartName="/xl/charts/chart931.xml" ContentType="application/vnd.openxmlformats-officedocument.drawingml.chart+xml"/>
  <Override PartName="/xl/charts/chart932.xml" ContentType="application/vnd.openxmlformats-officedocument.drawingml.chart+xml"/>
  <Override PartName="/xl/charts/chart933.xml" ContentType="application/vnd.openxmlformats-officedocument.drawingml.chart+xml"/>
  <Override PartName="/xl/charts/chart934.xml" ContentType="application/vnd.openxmlformats-officedocument.drawingml.chart+xml"/>
  <Override PartName="/xl/drawings/drawing222.xml" ContentType="application/vnd.openxmlformats-officedocument.drawing+xml"/>
  <Override PartName="/xl/charts/chart935.xml" ContentType="application/vnd.openxmlformats-officedocument.drawingml.chart+xml"/>
  <Override PartName="/xl/charts/chart936.xml" ContentType="application/vnd.openxmlformats-officedocument.drawingml.chart+xml"/>
  <Override PartName="/xl/theme/themeOverride29.xml" ContentType="application/vnd.openxmlformats-officedocument.themeOverride+xml"/>
  <Override PartName="/xl/charts/chart937.xml" ContentType="application/vnd.openxmlformats-officedocument.drawingml.chart+xml"/>
  <Override PartName="/xl/charts/chart938.xml" ContentType="application/vnd.openxmlformats-officedocument.drawingml.chart+xml"/>
  <Override PartName="/xl/drawings/drawing223.xml" ContentType="application/vnd.openxmlformats-officedocument.drawingml.chartshapes+xml"/>
  <Override PartName="/xl/charts/chart939.xml" ContentType="application/vnd.openxmlformats-officedocument.drawingml.chart+xml"/>
  <Override PartName="/xl/charts/chart940.xml" ContentType="application/vnd.openxmlformats-officedocument.drawingml.chart+xml"/>
  <Override PartName="/xl/charts/chart941.xml" ContentType="application/vnd.openxmlformats-officedocument.drawingml.chart+xml"/>
  <Override PartName="/xl/charts/chart942.xml" ContentType="application/vnd.openxmlformats-officedocument.drawingml.chart+xml"/>
  <Override PartName="/xl/charts/chart943.xml" ContentType="application/vnd.openxmlformats-officedocument.drawingml.chart+xml"/>
  <Override PartName="/xl/charts/chart944.xml" ContentType="application/vnd.openxmlformats-officedocument.drawingml.chart+xml"/>
  <Override PartName="/xl/charts/chart945.xml" ContentType="application/vnd.openxmlformats-officedocument.drawingml.chart+xml"/>
  <Override PartName="/xl/charts/chart946.xml" ContentType="application/vnd.openxmlformats-officedocument.drawingml.chart+xml"/>
  <Override PartName="/xl/charts/chart947.xml" ContentType="application/vnd.openxmlformats-officedocument.drawingml.chart+xml"/>
  <Override PartName="/xl/charts/chart948.xml" ContentType="application/vnd.openxmlformats-officedocument.drawingml.chart+xml"/>
  <Override PartName="/xl/charts/chart949.xml" ContentType="application/vnd.openxmlformats-officedocument.drawingml.chart+xml"/>
  <Override PartName="/xl/charts/chart950.xml" ContentType="application/vnd.openxmlformats-officedocument.drawingml.chart+xml"/>
  <Override PartName="/xl/charts/chart951.xml" ContentType="application/vnd.openxmlformats-officedocument.drawingml.chart+xml"/>
  <Override PartName="/xl/charts/chart952.xml" ContentType="application/vnd.openxmlformats-officedocument.drawingml.chart+xml"/>
  <Override PartName="/xl/charts/chart953.xml" ContentType="application/vnd.openxmlformats-officedocument.drawingml.chart+xml"/>
  <Override PartName="/xl/charts/chart954.xml" ContentType="application/vnd.openxmlformats-officedocument.drawingml.chart+xml"/>
  <Override PartName="/xl/drawings/drawing224.xml" ContentType="application/vnd.openxmlformats-officedocument.drawingml.chartshapes+xml"/>
  <Override PartName="/xl/charts/chart955.xml" ContentType="application/vnd.openxmlformats-officedocument.drawingml.chart+xml"/>
  <Override PartName="/xl/drawings/drawing225.xml" ContentType="application/vnd.openxmlformats-officedocument.drawingml.chartshapes+xml"/>
  <Override PartName="/xl/charts/chart956.xml" ContentType="application/vnd.openxmlformats-officedocument.drawingml.chart+xml"/>
  <Override PartName="/xl/drawings/drawing226.xml" ContentType="application/vnd.openxmlformats-officedocument.drawingml.chartshapes+xml"/>
  <Override PartName="/xl/charts/chart957.xml" ContentType="application/vnd.openxmlformats-officedocument.drawingml.chart+xml"/>
  <Override PartName="/xl/drawings/drawing227.xml" ContentType="application/vnd.openxmlformats-officedocument.drawingml.chartshapes+xml"/>
  <Override PartName="/xl/charts/chart958.xml" ContentType="application/vnd.openxmlformats-officedocument.drawingml.chart+xml"/>
  <Override PartName="/xl/drawings/drawing228.xml" ContentType="application/vnd.openxmlformats-officedocument.drawingml.chartshapes+xml"/>
  <Override PartName="/xl/charts/chart959.xml" ContentType="application/vnd.openxmlformats-officedocument.drawingml.chart+xml"/>
  <Override PartName="/xl/drawings/drawing229.xml" ContentType="application/vnd.openxmlformats-officedocument.drawingml.chartshapes+xml"/>
  <Override PartName="/xl/charts/chart960.xml" ContentType="application/vnd.openxmlformats-officedocument.drawingml.chart+xml"/>
  <Override PartName="/xl/charts/chart961.xml" ContentType="application/vnd.openxmlformats-officedocument.drawingml.chart+xml"/>
  <Override PartName="/xl/charts/chart962.xml" ContentType="application/vnd.openxmlformats-officedocument.drawingml.chart+xml"/>
  <Override PartName="/xl/charts/chart963.xml" ContentType="application/vnd.openxmlformats-officedocument.drawingml.chart+xml"/>
  <Override PartName="/xl/charts/chart964.xml" ContentType="application/vnd.openxmlformats-officedocument.drawingml.chart+xml"/>
  <Override PartName="/xl/charts/chart965.xml" ContentType="application/vnd.openxmlformats-officedocument.drawingml.chart+xml"/>
  <Override PartName="/xl/drawings/drawing230.xml" ContentType="application/vnd.openxmlformats-officedocument.drawing+xml"/>
  <Override PartName="/xl/charts/chart966.xml" ContentType="application/vnd.openxmlformats-officedocument.drawingml.chart+xml"/>
  <Override PartName="/xl/charts/chart967.xml" ContentType="application/vnd.openxmlformats-officedocument.drawingml.chart+xml"/>
  <Override PartName="/xl/theme/themeOverride30.xml" ContentType="application/vnd.openxmlformats-officedocument.themeOverride+xml"/>
  <Override PartName="/xl/charts/chart968.xml" ContentType="application/vnd.openxmlformats-officedocument.drawingml.chart+xml"/>
  <Override PartName="/xl/charts/chart969.xml" ContentType="application/vnd.openxmlformats-officedocument.drawingml.chart+xml"/>
  <Override PartName="/xl/charts/chart970.xml" ContentType="application/vnd.openxmlformats-officedocument.drawingml.chart+xml"/>
  <Override PartName="/xl/charts/chart971.xml" ContentType="application/vnd.openxmlformats-officedocument.drawingml.chart+xml"/>
  <Override PartName="/xl/charts/chart972.xml" ContentType="application/vnd.openxmlformats-officedocument.drawingml.chart+xml"/>
  <Override PartName="/xl/charts/chart973.xml" ContentType="application/vnd.openxmlformats-officedocument.drawingml.chart+xml"/>
  <Override PartName="/xl/charts/chart974.xml" ContentType="application/vnd.openxmlformats-officedocument.drawingml.chart+xml"/>
  <Override PartName="/xl/charts/chart975.xml" ContentType="application/vnd.openxmlformats-officedocument.drawingml.chart+xml"/>
  <Override PartName="/xl/charts/chart976.xml" ContentType="application/vnd.openxmlformats-officedocument.drawingml.chart+xml"/>
  <Override PartName="/xl/charts/chart977.xml" ContentType="application/vnd.openxmlformats-officedocument.drawingml.chart+xml"/>
  <Override PartName="/xl/charts/chart978.xml" ContentType="application/vnd.openxmlformats-officedocument.drawingml.chart+xml"/>
  <Override PartName="/xl/charts/chart979.xml" ContentType="application/vnd.openxmlformats-officedocument.drawingml.chart+xml"/>
  <Override PartName="/xl/charts/chart980.xml" ContentType="application/vnd.openxmlformats-officedocument.drawingml.chart+xml"/>
  <Override PartName="/xl/charts/chart981.xml" ContentType="application/vnd.openxmlformats-officedocument.drawingml.chart+xml"/>
  <Override PartName="/xl/charts/chart982.xml" ContentType="application/vnd.openxmlformats-officedocument.drawingml.chart+xml"/>
  <Override PartName="/xl/charts/chart983.xml" ContentType="application/vnd.openxmlformats-officedocument.drawingml.chart+xml"/>
  <Override PartName="/xl/charts/chart984.xml" ContentType="application/vnd.openxmlformats-officedocument.drawingml.chart+xml"/>
  <Override PartName="/xl/charts/chart985.xml" ContentType="application/vnd.openxmlformats-officedocument.drawingml.chart+xml"/>
  <Override PartName="/xl/charts/chart986.xml" ContentType="application/vnd.openxmlformats-officedocument.drawingml.chart+xml"/>
  <Override PartName="/xl/drawings/drawing231.xml" ContentType="application/vnd.openxmlformats-officedocument.drawingml.chartshapes+xml"/>
  <Override PartName="/xl/charts/chart987.xml" ContentType="application/vnd.openxmlformats-officedocument.drawingml.chart+xml"/>
  <Override PartName="/xl/charts/chart988.xml" ContentType="application/vnd.openxmlformats-officedocument.drawingml.chart+xml"/>
  <Override PartName="/xl/charts/chart989.xml" ContentType="application/vnd.openxmlformats-officedocument.drawingml.chart+xml"/>
  <Override PartName="/xl/charts/chart990.xml" ContentType="application/vnd.openxmlformats-officedocument.drawingml.chart+xml"/>
  <Override PartName="/xl/charts/chart991.xml" ContentType="application/vnd.openxmlformats-officedocument.drawingml.chart+xml"/>
  <Override PartName="/xl/charts/chart992.xml" ContentType="application/vnd.openxmlformats-officedocument.drawingml.chart+xml"/>
  <Override PartName="/xl/charts/chart993.xml" ContentType="application/vnd.openxmlformats-officedocument.drawingml.chart+xml"/>
  <Override PartName="/xl/charts/chart994.xml" ContentType="application/vnd.openxmlformats-officedocument.drawingml.chart+xml"/>
  <Override PartName="/xl/charts/chart995.xml" ContentType="application/vnd.openxmlformats-officedocument.drawingml.chart+xml"/>
  <Override PartName="/xl/charts/chart996.xml" ContentType="application/vnd.openxmlformats-officedocument.drawingml.chart+xml"/>
  <Override PartName="/xl/charts/chart997.xml" ContentType="application/vnd.openxmlformats-officedocument.drawingml.chart+xml"/>
  <Override PartName="/xl/charts/chart998.xml" ContentType="application/vnd.openxmlformats-officedocument.drawingml.chart+xml"/>
  <Override PartName="/xl/charts/chart999.xml" ContentType="application/vnd.openxmlformats-officedocument.drawingml.chart+xml"/>
  <Override PartName="/xl/charts/chart1000.xml" ContentType="application/vnd.openxmlformats-officedocument.drawingml.chart+xml"/>
  <Override PartName="/xl/charts/chart1001.xml" ContentType="application/vnd.openxmlformats-officedocument.drawingml.chart+xml"/>
  <Override PartName="/xl/charts/chart1002.xml" ContentType="application/vnd.openxmlformats-officedocument.drawingml.chart+xml"/>
  <Override PartName="/xl/charts/chart1003.xml" ContentType="application/vnd.openxmlformats-officedocument.drawingml.chart+xml"/>
  <Override PartName="/xl/charts/chart1004.xml" ContentType="application/vnd.openxmlformats-officedocument.drawingml.chart+xml"/>
  <Override PartName="/xl/charts/chart1005.xml" ContentType="application/vnd.openxmlformats-officedocument.drawingml.chart+xml"/>
  <Override PartName="/xl/charts/chart1006.xml" ContentType="application/vnd.openxmlformats-officedocument.drawingml.chart+xml"/>
  <Override PartName="/xl/charts/chart1007.xml" ContentType="application/vnd.openxmlformats-officedocument.drawingml.chart+xml"/>
  <Override PartName="/xl/charts/chart1008.xml" ContentType="application/vnd.openxmlformats-officedocument.drawingml.chart+xml"/>
  <Override PartName="/xl/charts/chart1009.xml" ContentType="application/vnd.openxmlformats-officedocument.drawingml.chart+xml"/>
  <Override PartName="/xl/charts/chart1010.xml" ContentType="application/vnd.openxmlformats-officedocument.drawingml.chart+xml"/>
  <Override PartName="/xl/charts/chart1011.xml" ContentType="application/vnd.openxmlformats-officedocument.drawingml.chart+xml"/>
  <Override PartName="/xl/charts/chart1012.xml" ContentType="application/vnd.openxmlformats-officedocument.drawingml.chart+xml"/>
  <Override PartName="/xl/drawings/drawing232.xml" ContentType="application/vnd.openxmlformats-officedocument.drawingml.chartshapes+xml"/>
  <Override PartName="/xl/charts/chart1013.xml" ContentType="application/vnd.openxmlformats-officedocument.drawingml.chart+xml"/>
  <Override PartName="/xl/drawings/drawing233.xml" ContentType="application/vnd.openxmlformats-officedocument.drawingml.chartshapes+xml"/>
  <Override PartName="/xl/charts/chart1014.xml" ContentType="application/vnd.openxmlformats-officedocument.drawingml.chart+xml"/>
  <Override PartName="/xl/drawings/drawing234.xml" ContentType="application/vnd.openxmlformats-officedocument.drawingml.chartshapes+xml"/>
  <Override PartName="/xl/charts/chart1015.xml" ContentType="application/vnd.openxmlformats-officedocument.drawingml.chart+xml"/>
  <Override PartName="/xl/drawings/drawing235.xml" ContentType="application/vnd.openxmlformats-officedocument.drawingml.chartshapes+xml"/>
  <Override PartName="/xl/charts/chart1016.xml" ContentType="application/vnd.openxmlformats-officedocument.drawingml.chart+xml"/>
  <Override PartName="/xl/drawings/drawing236.xml" ContentType="application/vnd.openxmlformats-officedocument.drawingml.chartshapes+xml"/>
  <Override PartName="/xl/charts/chart1017.xml" ContentType="application/vnd.openxmlformats-officedocument.drawingml.chart+xml"/>
  <Override PartName="/xl/drawings/drawing237.xml" ContentType="application/vnd.openxmlformats-officedocument.drawingml.chartshapes+xml"/>
  <Override PartName="/xl/charts/chart1018.xml" ContentType="application/vnd.openxmlformats-officedocument.drawingml.chart+xml"/>
  <Override PartName="/xl/charts/chart1019.xml" ContentType="application/vnd.openxmlformats-officedocument.drawingml.chart+xml"/>
  <Override PartName="/xl/charts/chart1020.xml" ContentType="application/vnd.openxmlformats-officedocument.drawingml.chart+xml"/>
  <Override PartName="/xl/charts/chart1021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38.xml" ContentType="application/vnd.openxmlformats-officedocument.drawing+xml"/>
  <Override PartName="/xl/charts/chart1022.xml" ContentType="application/vnd.openxmlformats-officedocument.drawingml.chart+xml"/>
  <Override PartName="/xl/charts/chart1023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-15" windowWidth="19185" windowHeight="7605" tabRatio="820"/>
  </bookViews>
  <sheets>
    <sheet name="Contents" sheetId="14" r:id="rId1"/>
    <sheet name="Alpine" sheetId="31" r:id="rId2"/>
    <sheet name="Aurora" sheetId="32" r:id="rId3"/>
    <sheet name="Buller" sheetId="33" r:id="rId4"/>
    <sheet name="Centralines" sheetId="51" r:id="rId5"/>
    <sheet name="Counties" sheetId="34" r:id="rId6"/>
    <sheet name="Eastland" sheetId="35" r:id="rId7"/>
    <sheet name="Electra" sheetId="36" r:id="rId8"/>
    <sheet name="Ashburton" sheetId="37" r:id="rId9"/>
    <sheet name="Invercargill" sheetId="38" r:id="rId10"/>
    <sheet name="Horizon" sheetId="39" r:id="rId11"/>
    <sheet name="LinesCo" sheetId="53" r:id="rId12"/>
    <sheet name="Mainpower" sheetId="41" r:id="rId13"/>
    <sheet name="Marlborough" sheetId="42" r:id="rId14"/>
    <sheet name="Nelson" sheetId="43" r:id="rId15"/>
    <sheet name="Tasman" sheetId="44" r:id="rId16"/>
    <sheet name="Waitaki" sheetId="46" r:id="rId17"/>
    <sheet name="Northpower" sheetId="47" r:id="rId18"/>
    <sheet name="Orion" sheetId="48" r:id="rId19"/>
    <sheet name="OtagoNet" sheetId="50" r:id="rId20"/>
    <sheet name="PowerCo" sheetId="52" r:id="rId21"/>
    <sheet name="Scanpower" sheetId="61" r:id="rId22"/>
    <sheet name="TEL" sheetId="54" r:id="rId23"/>
    <sheet name="Unison" sheetId="55" r:id="rId24"/>
    <sheet name="Vector" sheetId="56" r:id="rId25"/>
    <sheet name="Waipa" sheetId="57" r:id="rId26"/>
    <sheet name="WEL" sheetId="58" r:id="rId27"/>
    <sheet name="Wellington" sheetId="59" r:id="rId28"/>
    <sheet name="Westpower" sheetId="60" r:id="rId29"/>
    <sheet name="TPCL" sheetId="62" r:id="rId30"/>
    <sheet name="Total" sheetId="67" r:id="rId31"/>
    <sheet name="&gt;&gt;&gt;&gt; input data" sheetId="69" r:id="rId32"/>
    <sheet name="FS (2011)" sheetId="11" r:id="rId33"/>
    <sheet name="AV (2011)" sheetId="68" r:id="rId34"/>
    <sheet name="MP (2011)" sheetId="25" r:id="rId35"/>
    <sheet name="AM (2011)" sheetId="5" r:id="rId36"/>
    <sheet name="MED price allocation" sheetId="26" r:id="rId37"/>
    <sheet name="Compliance data" sheetId="22" r:id="rId38"/>
    <sheet name="CPI" sheetId="12" r:id="rId39"/>
    <sheet name="Industry calcs" sheetId="18" r:id="rId40"/>
    <sheet name="FS (nominal)" sheetId="1" r:id="rId41"/>
    <sheet name="AV (nominal)" sheetId="3" r:id="rId42"/>
    <sheet name="MP (nominal)" sheetId="6" r:id="rId43"/>
    <sheet name="AM (nominal)" sheetId="64" r:id="rId44"/>
    <sheet name="References" sheetId="30" r:id="rId45"/>
  </sheets>
  <definedNames>
    <definedName name="_xlnm._FilterDatabase" localSheetId="35" hidden="1">'AM (2011)'!$B$9:$N$444</definedName>
    <definedName name="_xlnm._FilterDatabase" localSheetId="43" hidden="1">'AM (nominal)'!$B$9:$CF$444</definedName>
    <definedName name="_xlnm._FilterDatabase" localSheetId="33" hidden="1">'AV (2011)'!$A$10:$F$214</definedName>
    <definedName name="_xlnm._FilterDatabase" localSheetId="41" hidden="1">'AV (nominal)'!$A$10:$G$214</definedName>
    <definedName name="_xlnm._FilterDatabase" localSheetId="32" hidden="1">'FS (2011)'!$A$10:$AH$245</definedName>
    <definedName name="_xlnm._FilterDatabase" localSheetId="40" hidden="1">'FS (nominal)'!$A$13:$AG$246</definedName>
    <definedName name="_xlnm._FilterDatabase" localSheetId="34" hidden="1">'MP (2011)'!$A$11:$AR$246</definedName>
    <definedName name="_xlnm._FilterDatabase" localSheetId="42" hidden="1">'MP (nominal)'!$A$10:$AM$245</definedName>
    <definedName name="EDBs" localSheetId="1">Alpine!$B$258:$B$286</definedName>
    <definedName name="EDBs" localSheetId="8">Ashburton!$B$258:$B$286</definedName>
    <definedName name="EDBs" localSheetId="2">Aurora!$B$258:$B$286</definedName>
    <definedName name="EDBs" localSheetId="3">Buller!$B$258:$B$286</definedName>
    <definedName name="EDBs" localSheetId="4">Centralines!$B$258:$B$286</definedName>
    <definedName name="EDBs" localSheetId="5">Counties!$B$258:$B$286</definedName>
    <definedName name="EDBs" localSheetId="6">Eastland!$B$258:$B$286</definedName>
    <definedName name="EDBs" localSheetId="7">Electra!$B$258:$B$286</definedName>
    <definedName name="EDBs" localSheetId="10">Horizon!$B$258:$B$286</definedName>
    <definedName name="EDBs" localSheetId="9">Invercargill!$B$258:$B$286</definedName>
    <definedName name="EDBs" localSheetId="11">LinesCo!$B$258:$B$286</definedName>
    <definedName name="EDBs" localSheetId="12">Mainpower!$B$258:$B$286</definedName>
    <definedName name="EDBs" localSheetId="13">Marlborough!$B$258:$B$286</definedName>
    <definedName name="EDBs" localSheetId="14">Nelson!$B$258:$B$286</definedName>
    <definedName name="EDBs" localSheetId="17">Northpower!$B$258:$B$286</definedName>
    <definedName name="EDBs" localSheetId="18">Orion!$B$258:$B$286</definedName>
    <definedName name="EDBs" localSheetId="19">OtagoNet!$B$258:$B$286</definedName>
    <definedName name="EDBs" localSheetId="20">PowerCo!$B$258:$B$286</definedName>
    <definedName name="EDBs" localSheetId="21">Scanpower!$B$258:$B$286</definedName>
    <definedName name="EDBs" localSheetId="15">Tasman!$B$258:$B$286</definedName>
    <definedName name="EDBs" localSheetId="22">TEL!$B$258:$B$286</definedName>
    <definedName name="EDBs" localSheetId="30">Total!#REF!</definedName>
    <definedName name="EDBs" localSheetId="29">TPCL!$B$258:$B$286</definedName>
    <definedName name="EDBs" localSheetId="23">Unison!$B$258:$B$286</definedName>
    <definedName name="EDBs" localSheetId="24">Vector!$B$258:$B$286</definedName>
    <definedName name="EDBs" localSheetId="25">Waipa!$B$258:$B$286</definedName>
    <definedName name="EDBs" localSheetId="16">Waitaki!$B$258:$B$286</definedName>
    <definedName name="EDBs" localSheetId="26">WEL!$B$258:$B$286</definedName>
    <definedName name="EDBs" localSheetId="27">Wellington!$B$258:$B$286</definedName>
    <definedName name="EDBs" localSheetId="28">Westpower!$B$258:$B$286</definedName>
    <definedName name="EDBs">References!$B$258:$B$286</definedName>
  </definedNames>
  <calcPr calcId="145621"/>
</workbook>
</file>

<file path=xl/calcChain.xml><?xml version="1.0" encoding="utf-8"?>
<calcChain xmlns="http://schemas.openxmlformats.org/spreadsheetml/2006/main">
  <c r="I162" i="26" l="1"/>
  <c r="I143" i="26"/>
  <c r="I144" i="26"/>
  <c r="G78" i="18"/>
  <c r="H143" i="26"/>
  <c r="G143" i="26"/>
  <c r="G144" i="26"/>
  <c r="H144" i="26"/>
  <c r="J144" i="26"/>
  <c r="G145" i="26"/>
  <c r="H145" i="26"/>
  <c r="I145" i="26"/>
  <c r="J145" i="26"/>
  <c r="G146" i="26"/>
  <c r="H146" i="26"/>
  <c r="I146" i="26"/>
  <c r="J146" i="26"/>
  <c r="G147" i="26"/>
  <c r="H147" i="26"/>
  <c r="I147" i="26"/>
  <c r="J147" i="26"/>
  <c r="G148" i="26"/>
  <c r="H148" i="26"/>
  <c r="I148" i="26"/>
  <c r="J148" i="26"/>
  <c r="G149" i="26"/>
  <c r="H149" i="26"/>
  <c r="I149" i="26"/>
  <c r="J149" i="26"/>
  <c r="G150" i="26"/>
  <c r="H150" i="26"/>
  <c r="I150" i="26"/>
  <c r="J150" i="26"/>
  <c r="G151" i="26"/>
  <c r="H151" i="26"/>
  <c r="I151" i="26"/>
  <c r="J151" i="26"/>
  <c r="G152" i="26"/>
  <c r="H152" i="26"/>
  <c r="I152" i="26"/>
  <c r="J152" i="26"/>
  <c r="G153" i="26"/>
  <c r="H153" i="26"/>
  <c r="I153" i="26"/>
  <c r="J153" i="26"/>
  <c r="G154" i="26"/>
  <c r="H154" i="26"/>
  <c r="I154" i="26"/>
  <c r="J154" i="26"/>
  <c r="G155" i="26"/>
  <c r="H155" i="26"/>
  <c r="I155" i="26"/>
  <c r="J155" i="26"/>
  <c r="G156" i="26"/>
  <c r="H156" i="26"/>
  <c r="I156" i="26"/>
  <c r="J156" i="26"/>
  <c r="G157" i="26"/>
  <c r="H157" i="26"/>
  <c r="I157" i="26"/>
  <c r="J157" i="26"/>
  <c r="G158" i="26"/>
  <c r="H158" i="26"/>
  <c r="I158" i="26"/>
  <c r="J158" i="26"/>
  <c r="G159" i="26"/>
  <c r="H159" i="26"/>
  <c r="I159" i="26"/>
  <c r="J159" i="26"/>
  <c r="G160" i="26"/>
  <c r="H160" i="26"/>
  <c r="I160" i="26"/>
  <c r="J160" i="26"/>
  <c r="G161" i="26"/>
  <c r="H161" i="26"/>
  <c r="I161" i="26"/>
  <c r="J161" i="26"/>
  <c r="G162" i="26"/>
  <c r="H162" i="26"/>
  <c r="J162" i="26"/>
  <c r="G163" i="26"/>
  <c r="H163" i="26"/>
  <c r="I163" i="26"/>
  <c r="J163" i="26"/>
  <c r="G164" i="26"/>
  <c r="H164" i="26"/>
  <c r="I164" i="26"/>
  <c r="J164" i="26"/>
  <c r="G165" i="26"/>
  <c r="H165" i="26"/>
  <c r="I165" i="26"/>
  <c r="J165" i="26"/>
  <c r="G166" i="26"/>
  <c r="H166" i="26"/>
  <c r="I166" i="26"/>
  <c r="J166" i="26"/>
  <c r="G167" i="26"/>
  <c r="H167" i="26"/>
  <c r="I167" i="26"/>
  <c r="J167" i="26"/>
  <c r="G168" i="26"/>
  <c r="H168" i="26"/>
  <c r="I168" i="26"/>
  <c r="J168" i="26"/>
  <c r="G169" i="26"/>
  <c r="H169" i="26"/>
  <c r="I169" i="26"/>
  <c r="J169" i="26"/>
  <c r="G170" i="26"/>
  <c r="H170" i="26"/>
  <c r="I170" i="26"/>
  <c r="J170" i="26"/>
  <c r="G171" i="26"/>
  <c r="H171" i="26"/>
  <c r="I171" i="26"/>
  <c r="J171" i="26"/>
  <c r="J143" i="26"/>
  <c r="B174" i="26"/>
  <c r="C174" i="26" s="1"/>
  <c r="D174" i="26" s="1"/>
  <c r="E174" i="26" s="1"/>
  <c r="F174" i="26" s="1"/>
  <c r="G174" i="26" s="1"/>
  <c r="H174" i="26" s="1"/>
  <c r="I174" i="26" s="1"/>
  <c r="J174" i="26" s="1"/>
  <c r="G107" i="18"/>
  <c r="D80" i="18"/>
  <c r="R139" i="18" l="1"/>
  <c r="R138" i="18"/>
  <c r="R137" i="18"/>
  <c r="R136" i="18"/>
  <c r="R135" i="18"/>
  <c r="R134" i="18"/>
  <c r="R133" i="18"/>
  <c r="R132" i="18"/>
  <c r="R131" i="18"/>
  <c r="R130" i="18"/>
  <c r="R129" i="18"/>
  <c r="R128" i="18"/>
  <c r="R127" i="18"/>
  <c r="R126" i="18"/>
  <c r="R125" i="18"/>
  <c r="R124" i="18"/>
  <c r="R123" i="18"/>
  <c r="R122" i="18"/>
  <c r="R121" i="18"/>
  <c r="R120" i="18"/>
  <c r="R119" i="18"/>
  <c r="R118" i="18"/>
  <c r="R117" i="18"/>
  <c r="R116" i="18"/>
  <c r="R115" i="18"/>
  <c r="R114" i="18"/>
  <c r="R113" i="18"/>
  <c r="R112" i="18"/>
  <c r="R111" i="18"/>
  <c r="R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10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D79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78" i="18"/>
  <c r="AF270" i="18"/>
  <c r="AD270" i="18"/>
  <c r="AC270" i="18"/>
  <c r="Y270" i="18"/>
  <c r="W270" i="18"/>
  <c r="S270" i="18"/>
  <c r="R270" i="18"/>
  <c r="O270" i="18"/>
  <c r="N270" i="18"/>
  <c r="J270" i="18"/>
  <c r="H270" i="18"/>
  <c r="F270" i="18"/>
  <c r="AF269" i="18"/>
  <c r="AD269" i="18"/>
  <c r="AC269" i="18"/>
  <c r="Y269" i="18"/>
  <c r="W269" i="18"/>
  <c r="S269" i="18"/>
  <c r="R269" i="18"/>
  <c r="O269" i="18"/>
  <c r="N269" i="18"/>
  <c r="J269" i="18"/>
  <c r="H269" i="18"/>
  <c r="F269" i="18"/>
  <c r="AF268" i="18"/>
  <c r="AD268" i="18"/>
  <c r="AC268" i="18"/>
  <c r="Y268" i="18"/>
  <c r="W268" i="18"/>
  <c r="S268" i="18"/>
  <c r="R268" i="18"/>
  <c r="O268" i="18"/>
  <c r="N268" i="18"/>
  <c r="J268" i="18"/>
  <c r="H268" i="18"/>
  <c r="F268" i="18"/>
  <c r="AF267" i="18"/>
  <c r="AD267" i="18"/>
  <c r="AC267" i="18"/>
  <c r="Y267" i="18"/>
  <c r="W267" i="18"/>
  <c r="S267" i="18"/>
  <c r="R267" i="18"/>
  <c r="O267" i="18"/>
  <c r="N267" i="18"/>
  <c r="J267" i="18"/>
  <c r="H267" i="18"/>
  <c r="F267" i="18"/>
  <c r="AF266" i="18"/>
  <c r="AD266" i="18"/>
  <c r="AC266" i="18"/>
  <c r="Y266" i="18"/>
  <c r="W266" i="18"/>
  <c r="S266" i="18"/>
  <c r="R266" i="18"/>
  <c r="O266" i="18"/>
  <c r="N266" i="18"/>
  <c r="J266" i="18"/>
  <c r="H266" i="18"/>
  <c r="F266" i="18"/>
  <c r="AF265" i="18"/>
  <c r="AD265" i="18"/>
  <c r="AC265" i="18"/>
  <c r="Y265" i="18"/>
  <c r="W265" i="18"/>
  <c r="S265" i="18"/>
  <c r="R265" i="18"/>
  <c r="O265" i="18"/>
  <c r="N265" i="18"/>
  <c r="J265" i="18"/>
  <c r="H265" i="18"/>
  <c r="F265" i="18"/>
  <c r="AF264" i="18"/>
  <c r="AD264" i="18"/>
  <c r="AC264" i="18"/>
  <c r="Y264" i="18"/>
  <c r="W264" i="18"/>
  <c r="S264" i="18"/>
  <c r="R264" i="18"/>
  <c r="O264" i="18"/>
  <c r="N264" i="18"/>
  <c r="J264" i="18"/>
  <c r="H264" i="18"/>
  <c r="F264" i="18"/>
  <c r="AF263" i="18"/>
  <c r="AD263" i="18"/>
  <c r="AC263" i="18"/>
  <c r="Y263" i="18"/>
  <c r="W263" i="18"/>
  <c r="S263" i="18"/>
  <c r="R263" i="18"/>
  <c r="O263" i="18"/>
  <c r="N263" i="18"/>
  <c r="J263" i="18"/>
  <c r="H263" i="18"/>
  <c r="F263" i="18"/>
  <c r="AE263" i="18"/>
  <c r="AE267" i="18"/>
  <c r="T257" i="18" l="1"/>
  <c r="AE211" i="18"/>
  <c r="AE199" i="18"/>
  <c r="AE207" i="18"/>
  <c r="AE203" i="18"/>
  <c r="AE215" i="18" l="1"/>
  <c r="AE221" i="18"/>
  <c r="AE167" i="18"/>
  <c r="AE177" i="18"/>
  <c r="AE173" i="18"/>
  <c r="AE181" i="18"/>
  <c r="AE191" i="18" l="1"/>
  <c r="AE237" i="18"/>
  <c r="AE185" i="18"/>
  <c r="AE155" i="18"/>
  <c r="AE151" i="18"/>
  <c r="AE143" i="18"/>
  <c r="AE147" i="18"/>
  <c r="AE163" i="18" l="1"/>
  <c r="AE225" i="18"/>
  <c r="AE159" i="18"/>
  <c r="AE231" i="18" s="1"/>
  <c r="AE243" i="18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B252" i="67"/>
  <c r="B249" i="67"/>
  <c r="B246" i="67"/>
  <c r="B214" i="68"/>
  <c r="C214" i="68" s="1"/>
  <c r="D214" i="68" s="1"/>
  <c r="E214" i="68" s="1"/>
  <c r="F214" i="68" s="1"/>
  <c r="B246" i="25"/>
  <c r="C246" i="25" s="1"/>
  <c r="D246" i="25" s="1"/>
  <c r="E246" i="25" s="1"/>
  <c r="F246" i="25" s="1"/>
  <c r="G246" i="25" s="1"/>
  <c r="H246" i="25" s="1"/>
  <c r="I246" i="25" s="1"/>
  <c r="J246" i="25" s="1"/>
  <c r="K246" i="25" s="1"/>
  <c r="L246" i="25" s="1"/>
  <c r="M246" i="25" s="1"/>
  <c r="N246" i="25" s="1"/>
  <c r="O246" i="25" s="1"/>
  <c r="P246" i="25" s="1"/>
  <c r="Q246" i="25" s="1"/>
  <c r="R246" i="25" s="1"/>
  <c r="S246" i="25" s="1"/>
  <c r="T246" i="25" s="1"/>
  <c r="U246" i="25" s="1"/>
  <c r="V246" i="25" s="1"/>
  <c r="W246" i="25" s="1"/>
  <c r="X246" i="25" s="1"/>
  <c r="Y246" i="25" s="1"/>
  <c r="Z246" i="25" s="1"/>
  <c r="AA246" i="25" s="1"/>
  <c r="AB246" i="25" s="1"/>
  <c r="AC246" i="25" s="1"/>
  <c r="AD246" i="25" s="1"/>
  <c r="AE246" i="25" s="1"/>
  <c r="AF246" i="25" s="1"/>
  <c r="AG246" i="25" s="1"/>
  <c r="AH246" i="25" s="1"/>
  <c r="AI246" i="25" s="1"/>
  <c r="AJ246" i="25" s="1"/>
  <c r="AK246" i="25" s="1"/>
  <c r="AL246" i="25" s="1"/>
  <c r="AM246" i="25" s="1"/>
  <c r="AN246" i="25" s="1"/>
  <c r="AO246" i="25" s="1"/>
  <c r="AP246" i="25" s="1"/>
  <c r="AQ246" i="25" s="1"/>
  <c r="AR246" i="25" s="1"/>
  <c r="F14" i="25"/>
  <c r="G14" i="25"/>
  <c r="H14" i="25"/>
  <c r="I14" i="25"/>
  <c r="J14" i="25"/>
  <c r="L14" i="25"/>
  <c r="F15" i="25"/>
  <c r="G15" i="25"/>
  <c r="H15" i="25"/>
  <c r="I15" i="25"/>
  <c r="J15" i="25"/>
  <c r="L15" i="25"/>
  <c r="F16" i="25"/>
  <c r="G16" i="25"/>
  <c r="H16" i="25"/>
  <c r="I16" i="25"/>
  <c r="J16" i="25"/>
  <c r="L16" i="25"/>
  <c r="F17" i="25"/>
  <c r="G17" i="25"/>
  <c r="H17" i="25"/>
  <c r="I17" i="25"/>
  <c r="J17" i="25"/>
  <c r="L17" i="25"/>
  <c r="F18" i="25"/>
  <c r="G18" i="25"/>
  <c r="H18" i="25"/>
  <c r="I18" i="25"/>
  <c r="J18" i="25"/>
  <c r="L18" i="25"/>
  <c r="F19" i="25"/>
  <c r="G19" i="25"/>
  <c r="H19" i="25"/>
  <c r="I19" i="25"/>
  <c r="J19" i="25"/>
  <c r="L19" i="25"/>
  <c r="F20" i="25"/>
  <c r="G20" i="25"/>
  <c r="H20" i="25"/>
  <c r="I20" i="25"/>
  <c r="J20" i="25"/>
  <c r="L20" i="25"/>
  <c r="F21" i="25"/>
  <c r="G21" i="25"/>
  <c r="H21" i="25"/>
  <c r="I21" i="25"/>
  <c r="J21" i="25"/>
  <c r="L21" i="25"/>
  <c r="F22" i="25"/>
  <c r="G22" i="25"/>
  <c r="H22" i="25"/>
  <c r="I22" i="25"/>
  <c r="J22" i="25"/>
  <c r="L22" i="25"/>
  <c r="F23" i="25"/>
  <c r="G23" i="25"/>
  <c r="H23" i="25"/>
  <c r="I23" i="25"/>
  <c r="J23" i="25"/>
  <c r="L23" i="25"/>
  <c r="F24" i="25"/>
  <c r="G24" i="25"/>
  <c r="H24" i="25"/>
  <c r="I24" i="25"/>
  <c r="J24" i="25"/>
  <c r="L24" i="25"/>
  <c r="F25" i="25"/>
  <c r="G25" i="25"/>
  <c r="H25" i="25"/>
  <c r="I25" i="25"/>
  <c r="J25" i="25"/>
  <c r="L25" i="25"/>
  <c r="F26" i="25"/>
  <c r="G26" i="25"/>
  <c r="H26" i="25"/>
  <c r="I26" i="25"/>
  <c r="J26" i="25"/>
  <c r="L26" i="25"/>
  <c r="F27" i="25"/>
  <c r="G27" i="25"/>
  <c r="H27" i="25"/>
  <c r="I27" i="25"/>
  <c r="J27" i="25"/>
  <c r="L27" i="25"/>
  <c r="F28" i="25"/>
  <c r="G28" i="25"/>
  <c r="H28" i="25"/>
  <c r="I28" i="25"/>
  <c r="J28" i="25"/>
  <c r="L28" i="25"/>
  <c r="F29" i="25"/>
  <c r="G29" i="25"/>
  <c r="H29" i="25"/>
  <c r="I29" i="25"/>
  <c r="J29" i="25"/>
  <c r="L29" i="25"/>
  <c r="F30" i="25"/>
  <c r="G30" i="25"/>
  <c r="H30" i="25"/>
  <c r="I30" i="25"/>
  <c r="J30" i="25"/>
  <c r="L30" i="25"/>
  <c r="F31" i="25"/>
  <c r="G31" i="25"/>
  <c r="H31" i="25"/>
  <c r="I31" i="25"/>
  <c r="J31" i="25"/>
  <c r="L31" i="25"/>
  <c r="F32" i="25"/>
  <c r="G32" i="25"/>
  <c r="H32" i="25"/>
  <c r="I32" i="25"/>
  <c r="J32" i="25"/>
  <c r="L32" i="25"/>
  <c r="F33" i="25"/>
  <c r="G33" i="25"/>
  <c r="H33" i="25"/>
  <c r="I33" i="25"/>
  <c r="J33" i="25"/>
  <c r="L33" i="25"/>
  <c r="F34" i="25"/>
  <c r="G34" i="25"/>
  <c r="H34" i="25"/>
  <c r="I34" i="25"/>
  <c r="J34" i="25"/>
  <c r="L34" i="25"/>
  <c r="F35" i="25"/>
  <c r="G35" i="25"/>
  <c r="H35" i="25"/>
  <c r="I35" i="25"/>
  <c r="J35" i="25"/>
  <c r="L35" i="25"/>
  <c r="F36" i="25"/>
  <c r="G36" i="25"/>
  <c r="H36" i="25"/>
  <c r="I36" i="25"/>
  <c r="J36" i="25"/>
  <c r="L36" i="25"/>
  <c r="F37" i="25"/>
  <c r="G37" i="25"/>
  <c r="H37" i="25"/>
  <c r="I37" i="25"/>
  <c r="J37" i="25"/>
  <c r="L37" i="25"/>
  <c r="F38" i="25"/>
  <c r="G38" i="25"/>
  <c r="H38" i="25"/>
  <c r="I38" i="25"/>
  <c r="J38" i="25"/>
  <c r="L38" i="25"/>
  <c r="F39" i="25"/>
  <c r="G39" i="25"/>
  <c r="H39" i="25"/>
  <c r="I39" i="25"/>
  <c r="J39" i="25"/>
  <c r="L39" i="25"/>
  <c r="F40" i="25"/>
  <c r="G40" i="25"/>
  <c r="H40" i="25"/>
  <c r="I40" i="25"/>
  <c r="J40" i="25"/>
  <c r="L40" i="25"/>
  <c r="F41" i="25"/>
  <c r="G41" i="25"/>
  <c r="H41" i="25"/>
  <c r="I41" i="25"/>
  <c r="J41" i="25"/>
  <c r="L41" i="25"/>
  <c r="F42" i="25"/>
  <c r="G42" i="25"/>
  <c r="H42" i="25"/>
  <c r="I42" i="25"/>
  <c r="J42" i="25"/>
  <c r="L42" i="25"/>
  <c r="F43" i="25"/>
  <c r="G43" i="25"/>
  <c r="H43" i="25"/>
  <c r="I43" i="25"/>
  <c r="J43" i="25"/>
  <c r="L43" i="25"/>
  <c r="F44" i="25"/>
  <c r="G44" i="25"/>
  <c r="H44" i="25"/>
  <c r="I44" i="25"/>
  <c r="J44" i="25"/>
  <c r="L44" i="25"/>
  <c r="F45" i="25"/>
  <c r="G45" i="25"/>
  <c r="H45" i="25"/>
  <c r="I45" i="25"/>
  <c r="J45" i="25"/>
  <c r="L45" i="25"/>
  <c r="F46" i="25"/>
  <c r="G46" i="25"/>
  <c r="H46" i="25"/>
  <c r="I46" i="25"/>
  <c r="J46" i="25"/>
  <c r="L46" i="25"/>
  <c r="F47" i="25"/>
  <c r="G47" i="25"/>
  <c r="H47" i="25"/>
  <c r="I47" i="25"/>
  <c r="J47" i="25"/>
  <c r="L47" i="25"/>
  <c r="F48" i="25"/>
  <c r="G48" i="25"/>
  <c r="H48" i="25"/>
  <c r="I48" i="25"/>
  <c r="J48" i="25"/>
  <c r="L48" i="25"/>
  <c r="F49" i="25"/>
  <c r="G49" i="25"/>
  <c r="H49" i="25"/>
  <c r="I49" i="25"/>
  <c r="J49" i="25"/>
  <c r="L49" i="25"/>
  <c r="F50" i="25"/>
  <c r="G50" i="25"/>
  <c r="H50" i="25"/>
  <c r="I50" i="25"/>
  <c r="J50" i="25"/>
  <c r="L50" i="25"/>
  <c r="F51" i="25"/>
  <c r="G51" i="25"/>
  <c r="H51" i="25"/>
  <c r="I51" i="25"/>
  <c r="J51" i="25"/>
  <c r="L51" i="25"/>
  <c r="F52" i="25"/>
  <c r="G52" i="25"/>
  <c r="H52" i="25"/>
  <c r="I52" i="25"/>
  <c r="J52" i="25"/>
  <c r="L52" i="25"/>
  <c r="F53" i="25"/>
  <c r="G53" i="25"/>
  <c r="H53" i="25"/>
  <c r="I53" i="25"/>
  <c r="J53" i="25"/>
  <c r="L53" i="25"/>
  <c r="F54" i="25"/>
  <c r="G54" i="25"/>
  <c r="H54" i="25"/>
  <c r="I54" i="25"/>
  <c r="J54" i="25"/>
  <c r="L54" i="25"/>
  <c r="F55" i="25"/>
  <c r="G55" i="25"/>
  <c r="H55" i="25"/>
  <c r="I55" i="25"/>
  <c r="J55" i="25"/>
  <c r="L55" i="25"/>
  <c r="F56" i="25"/>
  <c r="G56" i="25"/>
  <c r="H56" i="25"/>
  <c r="I56" i="25"/>
  <c r="J56" i="25"/>
  <c r="L56" i="25"/>
  <c r="F57" i="25"/>
  <c r="G57" i="25"/>
  <c r="H57" i="25"/>
  <c r="I57" i="25"/>
  <c r="J57" i="25"/>
  <c r="L57" i="25"/>
  <c r="F58" i="25"/>
  <c r="G58" i="25"/>
  <c r="H58" i="25"/>
  <c r="I58" i="25"/>
  <c r="J58" i="25"/>
  <c r="L58" i="25"/>
  <c r="F59" i="25"/>
  <c r="G59" i="25"/>
  <c r="H59" i="25"/>
  <c r="I59" i="25"/>
  <c r="J59" i="25"/>
  <c r="L59" i="25"/>
  <c r="F60" i="25"/>
  <c r="G60" i="25"/>
  <c r="H60" i="25"/>
  <c r="I60" i="25"/>
  <c r="J60" i="25"/>
  <c r="L60" i="25"/>
  <c r="F61" i="25"/>
  <c r="G61" i="25"/>
  <c r="H61" i="25"/>
  <c r="I61" i="25"/>
  <c r="J61" i="25"/>
  <c r="L61" i="25"/>
  <c r="F62" i="25"/>
  <c r="G62" i="25"/>
  <c r="H62" i="25"/>
  <c r="I62" i="25"/>
  <c r="J62" i="25"/>
  <c r="L62" i="25"/>
  <c r="F63" i="25"/>
  <c r="G63" i="25"/>
  <c r="H63" i="25"/>
  <c r="I63" i="25"/>
  <c r="J63" i="25"/>
  <c r="L63" i="25"/>
  <c r="F64" i="25"/>
  <c r="G64" i="25"/>
  <c r="H64" i="25"/>
  <c r="I64" i="25"/>
  <c r="J64" i="25"/>
  <c r="L64" i="25"/>
  <c r="F65" i="25"/>
  <c r="G65" i="25"/>
  <c r="H65" i="25"/>
  <c r="I65" i="25"/>
  <c r="J65" i="25"/>
  <c r="L65" i="25"/>
  <c r="F66" i="25"/>
  <c r="G66" i="25"/>
  <c r="H66" i="25"/>
  <c r="I66" i="25"/>
  <c r="J66" i="25"/>
  <c r="L66" i="25"/>
  <c r="F67" i="25"/>
  <c r="G67" i="25"/>
  <c r="H67" i="25"/>
  <c r="I67" i="25"/>
  <c r="J67" i="25"/>
  <c r="L67" i="25"/>
  <c r="F68" i="25"/>
  <c r="G68" i="25"/>
  <c r="H68" i="25"/>
  <c r="I68" i="25"/>
  <c r="J68" i="25"/>
  <c r="L68" i="25"/>
  <c r="F69" i="25"/>
  <c r="G69" i="25"/>
  <c r="H69" i="25"/>
  <c r="I69" i="25"/>
  <c r="J69" i="25"/>
  <c r="L69" i="25"/>
  <c r="F70" i="25"/>
  <c r="G70" i="25"/>
  <c r="H70" i="25"/>
  <c r="I70" i="25"/>
  <c r="J70" i="25"/>
  <c r="L70" i="25"/>
  <c r="F71" i="25"/>
  <c r="G71" i="25"/>
  <c r="H71" i="25"/>
  <c r="I71" i="25"/>
  <c r="J71" i="25"/>
  <c r="L71" i="25"/>
  <c r="F72" i="25"/>
  <c r="G72" i="25"/>
  <c r="H72" i="25"/>
  <c r="I72" i="25"/>
  <c r="J72" i="25"/>
  <c r="L72" i="25"/>
  <c r="F73" i="25"/>
  <c r="G73" i="25"/>
  <c r="H73" i="25"/>
  <c r="I73" i="25"/>
  <c r="J73" i="25"/>
  <c r="L73" i="25"/>
  <c r="F74" i="25"/>
  <c r="G74" i="25"/>
  <c r="H74" i="25"/>
  <c r="I74" i="25"/>
  <c r="J74" i="25"/>
  <c r="L74" i="25"/>
  <c r="F75" i="25"/>
  <c r="G75" i="25"/>
  <c r="H75" i="25"/>
  <c r="I75" i="25"/>
  <c r="J75" i="25"/>
  <c r="L75" i="25"/>
  <c r="F76" i="25"/>
  <c r="G76" i="25"/>
  <c r="H76" i="25"/>
  <c r="I76" i="25"/>
  <c r="J76" i="25"/>
  <c r="L76" i="25"/>
  <c r="F77" i="25"/>
  <c r="G77" i="25"/>
  <c r="H77" i="25"/>
  <c r="I77" i="25"/>
  <c r="J77" i="25"/>
  <c r="L77" i="25"/>
  <c r="F78" i="25"/>
  <c r="G78" i="25"/>
  <c r="H78" i="25"/>
  <c r="I78" i="25"/>
  <c r="J78" i="25"/>
  <c r="L78" i="25"/>
  <c r="F79" i="25"/>
  <c r="G79" i="25"/>
  <c r="H79" i="25"/>
  <c r="I79" i="25"/>
  <c r="J79" i="25"/>
  <c r="L79" i="25"/>
  <c r="F80" i="25"/>
  <c r="G80" i="25"/>
  <c r="H80" i="25"/>
  <c r="I80" i="25"/>
  <c r="J80" i="25"/>
  <c r="L80" i="25"/>
  <c r="F81" i="25"/>
  <c r="G81" i="25"/>
  <c r="H81" i="25"/>
  <c r="I81" i="25"/>
  <c r="J81" i="25"/>
  <c r="L81" i="25"/>
  <c r="F82" i="25"/>
  <c r="G82" i="25"/>
  <c r="H82" i="25"/>
  <c r="I82" i="25"/>
  <c r="J82" i="25"/>
  <c r="L82" i="25"/>
  <c r="F83" i="25"/>
  <c r="G83" i="25"/>
  <c r="H83" i="25"/>
  <c r="I83" i="25"/>
  <c r="J83" i="25"/>
  <c r="L83" i="25"/>
  <c r="F84" i="25"/>
  <c r="G84" i="25"/>
  <c r="H84" i="25"/>
  <c r="I84" i="25"/>
  <c r="J84" i="25"/>
  <c r="L84" i="25"/>
  <c r="F85" i="25"/>
  <c r="G85" i="25"/>
  <c r="H85" i="25"/>
  <c r="I85" i="25"/>
  <c r="J85" i="25"/>
  <c r="L85" i="25"/>
  <c r="F86" i="25"/>
  <c r="G86" i="25"/>
  <c r="H86" i="25"/>
  <c r="I86" i="25"/>
  <c r="J86" i="25"/>
  <c r="L86" i="25"/>
  <c r="F87" i="25"/>
  <c r="G87" i="25"/>
  <c r="H87" i="25"/>
  <c r="I87" i="25"/>
  <c r="J87" i="25"/>
  <c r="L87" i="25"/>
  <c r="F88" i="25"/>
  <c r="G88" i="25"/>
  <c r="H88" i="25"/>
  <c r="I88" i="25"/>
  <c r="J88" i="25"/>
  <c r="L88" i="25"/>
  <c r="F89" i="25"/>
  <c r="G89" i="25"/>
  <c r="H89" i="25"/>
  <c r="I89" i="25"/>
  <c r="J89" i="25"/>
  <c r="L89" i="25"/>
  <c r="F90" i="25"/>
  <c r="G90" i="25"/>
  <c r="H90" i="25"/>
  <c r="I90" i="25"/>
  <c r="J90" i="25"/>
  <c r="L90" i="25"/>
  <c r="F91" i="25"/>
  <c r="G91" i="25"/>
  <c r="H91" i="25"/>
  <c r="I91" i="25"/>
  <c r="J91" i="25"/>
  <c r="L91" i="25"/>
  <c r="F92" i="25"/>
  <c r="G92" i="25"/>
  <c r="H92" i="25"/>
  <c r="I92" i="25"/>
  <c r="J92" i="25"/>
  <c r="L92" i="25"/>
  <c r="F93" i="25"/>
  <c r="G93" i="25"/>
  <c r="H93" i="25"/>
  <c r="I93" i="25"/>
  <c r="J93" i="25"/>
  <c r="L93" i="25"/>
  <c r="F94" i="25"/>
  <c r="G94" i="25"/>
  <c r="H94" i="25"/>
  <c r="I94" i="25"/>
  <c r="J94" i="25"/>
  <c r="L94" i="25"/>
  <c r="F95" i="25"/>
  <c r="G95" i="25"/>
  <c r="H95" i="25"/>
  <c r="I95" i="25"/>
  <c r="J95" i="25"/>
  <c r="L95" i="25"/>
  <c r="F96" i="25"/>
  <c r="G96" i="25"/>
  <c r="H96" i="25"/>
  <c r="I96" i="25"/>
  <c r="J96" i="25"/>
  <c r="L96" i="25"/>
  <c r="F97" i="25"/>
  <c r="G97" i="25"/>
  <c r="H97" i="25"/>
  <c r="I97" i="25"/>
  <c r="J97" i="25"/>
  <c r="L97" i="25"/>
  <c r="F98" i="25"/>
  <c r="G98" i="25"/>
  <c r="H98" i="25"/>
  <c r="I98" i="25"/>
  <c r="J98" i="25"/>
  <c r="L98" i="25"/>
  <c r="F99" i="25"/>
  <c r="G99" i="25"/>
  <c r="H99" i="25"/>
  <c r="I99" i="25"/>
  <c r="J99" i="25"/>
  <c r="L99" i="25"/>
  <c r="F100" i="25"/>
  <c r="G100" i="25"/>
  <c r="H100" i="25"/>
  <c r="I100" i="25"/>
  <c r="J100" i="25"/>
  <c r="L100" i="25"/>
  <c r="F101" i="25"/>
  <c r="G101" i="25"/>
  <c r="H101" i="25"/>
  <c r="I101" i="25"/>
  <c r="J101" i="25"/>
  <c r="L101" i="25"/>
  <c r="F102" i="25"/>
  <c r="G102" i="25"/>
  <c r="H102" i="25"/>
  <c r="I102" i="25"/>
  <c r="J102" i="25"/>
  <c r="L102" i="25"/>
  <c r="F103" i="25"/>
  <c r="G103" i="25"/>
  <c r="H103" i="25"/>
  <c r="I103" i="25"/>
  <c r="J103" i="25"/>
  <c r="L103" i="25"/>
  <c r="F104" i="25"/>
  <c r="G104" i="25"/>
  <c r="H104" i="25"/>
  <c r="I104" i="25"/>
  <c r="J104" i="25"/>
  <c r="L104" i="25"/>
  <c r="F105" i="25"/>
  <c r="G105" i="25"/>
  <c r="H105" i="25"/>
  <c r="I105" i="25"/>
  <c r="J105" i="25"/>
  <c r="L105" i="25"/>
  <c r="F106" i="25"/>
  <c r="G106" i="25"/>
  <c r="H106" i="25"/>
  <c r="I106" i="25"/>
  <c r="J106" i="25"/>
  <c r="L106" i="25"/>
  <c r="F107" i="25"/>
  <c r="G107" i="25"/>
  <c r="H107" i="25"/>
  <c r="I107" i="25"/>
  <c r="J107" i="25"/>
  <c r="L107" i="25"/>
  <c r="F108" i="25"/>
  <c r="G108" i="25"/>
  <c r="H108" i="25"/>
  <c r="I108" i="25"/>
  <c r="J108" i="25"/>
  <c r="L108" i="25"/>
  <c r="F109" i="25"/>
  <c r="G109" i="25"/>
  <c r="H109" i="25"/>
  <c r="I109" i="25"/>
  <c r="J109" i="25"/>
  <c r="L109" i="25"/>
  <c r="F110" i="25"/>
  <c r="G110" i="25"/>
  <c r="H110" i="25"/>
  <c r="I110" i="25"/>
  <c r="J110" i="25"/>
  <c r="L110" i="25"/>
  <c r="F111" i="25"/>
  <c r="G111" i="25"/>
  <c r="H111" i="25"/>
  <c r="I111" i="25"/>
  <c r="J111" i="25"/>
  <c r="L111" i="25"/>
  <c r="F112" i="25"/>
  <c r="G112" i="25"/>
  <c r="H112" i="25"/>
  <c r="I112" i="25"/>
  <c r="J112" i="25"/>
  <c r="L112" i="25"/>
  <c r="F113" i="25"/>
  <c r="G113" i="25"/>
  <c r="H113" i="25"/>
  <c r="I113" i="25"/>
  <c r="J113" i="25"/>
  <c r="L113" i="25"/>
  <c r="F114" i="25"/>
  <c r="G114" i="25"/>
  <c r="H114" i="25"/>
  <c r="I114" i="25"/>
  <c r="J114" i="25"/>
  <c r="L114" i="25"/>
  <c r="F115" i="25"/>
  <c r="G115" i="25"/>
  <c r="H115" i="25"/>
  <c r="I115" i="25"/>
  <c r="J115" i="25"/>
  <c r="L115" i="25"/>
  <c r="F116" i="25"/>
  <c r="G116" i="25"/>
  <c r="H116" i="25"/>
  <c r="I116" i="25"/>
  <c r="J116" i="25"/>
  <c r="L116" i="25"/>
  <c r="F117" i="25"/>
  <c r="G117" i="25"/>
  <c r="H117" i="25"/>
  <c r="I117" i="25"/>
  <c r="J117" i="25"/>
  <c r="L117" i="25"/>
  <c r="F118" i="25"/>
  <c r="G118" i="25"/>
  <c r="H118" i="25"/>
  <c r="I118" i="25"/>
  <c r="J118" i="25"/>
  <c r="L118" i="25"/>
  <c r="F119" i="25"/>
  <c r="G119" i="25"/>
  <c r="H119" i="25"/>
  <c r="I119" i="25"/>
  <c r="J119" i="25"/>
  <c r="L119" i="25"/>
  <c r="F120" i="25"/>
  <c r="G120" i="25"/>
  <c r="H120" i="25"/>
  <c r="I120" i="25"/>
  <c r="J120" i="25"/>
  <c r="L120" i="25"/>
  <c r="F121" i="25"/>
  <c r="G121" i="25"/>
  <c r="H121" i="25"/>
  <c r="I121" i="25"/>
  <c r="J121" i="25"/>
  <c r="L121" i="25"/>
  <c r="F122" i="25"/>
  <c r="G122" i="25"/>
  <c r="H122" i="25"/>
  <c r="I122" i="25"/>
  <c r="J122" i="25"/>
  <c r="L122" i="25"/>
  <c r="F123" i="25"/>
  <c r="G123" i="25"/>
  <c r="H123" i="25"/>
  <c r="I123" i="25"/>
  <c r="J123" i="25"/>
  <c r="L123" i="25"/>
  <c r="F124" i="25"/>
  <c r="G124" i="25"/>
  <c r="H124" i="25"/>
  <c r="I124" i="25"/>
  <c r="J124" i="25"/>
  <c r="L124" i="25"/>
  <c r="F125" i="25"/>
  <c r="G125" i="25"/>
  <c r="H125" i="25"/>
  <c r="I125" i="25"/>
  <c r="J125" i="25"/>
  <c r="L125" i="25"/>
  <c r="F126" i="25"/>
  <c r="G126" i="25"/>
  <c r="H126" i="25"/>
  <c r="I126" i="25"/>
  <c r="J126" i="25"/>
  <c r="L126" i="25"/>
  <c r="F127" i="25"/>
  <c r="G127" i="25"/>
  <c r="H127" i="25"/>
  <c r="I127" i="25"/>
  <c r="J127" i="25"/>
  <c r="L127" i="25"/>
  <c r="F128" i="25"/>
  <c r="G128" i="25"/>
  <c r="H128" i="25"/>
  <c r="I128" i="25"/>
  <c r="J128" i="25"/>
  <c r="L128" i="25"/>
  <c r="F129" i="25"/>
  <c r="G129" i="25"/>
  <c r="H129" i="25"/>
  <c r="I129" i="25"/>
  <c r="J129" i="25"/>
  <c r="L129" i="25"/>
  <c r="F130" i="25"/>
  <c r="G130" i="25"/>
  <c r="H130" i="25"/>
  <c r="I130" i="25"/>
  <c r="J130" i="25"/>
  <c r="L130" i="25"/>
  <c r="F131" i="25"/>
  <c r="G131" i="25"/>
  <c r="H131" i="25"/>
  <c r="I131" i="25"/>
  <c r="J131" i="25"/>
  <c r="L131" i="25"/>
  <c r="F132" i="25"/>
  <c r="G132" i="25"/>
  <c r="H132" i="25"/>
  <c r="I132" i="25"/>
  <c r="J132" i="25"/>
  <c r="L132" i="25"/>
  <c r="F133" i="25"/>
  <c r="G133" i="25"/>
  <c r="H133" i="25"/>
  <c r="I133" i="25"/>
  <c r="J133" i="25"/>
  <c r="L133" i="25"/>
  <c r="F134" i="25"/>
  <c r="G134" i="25"/>
  <c r="H134" i="25"/>
  <c r="I134" i="25"/>
  <c r="J134" i="25"/>
  <c r="L134" i="25"/>
  <c r="F135" i="25"/>
  <c r="G135" i="25"/>
  <c r="H135" i="25"/>
  <c r="I135" i="25"/>
  <c r="J135" i="25"/>
  <c r="L135" i="25"/>
  <c r="F136" i="25"/>
  <c r="G136" i="25"/>
  <c r="H136" i="25"/>
  <c r="I136" i="25"/>
  <c r="J136" i="25"/>
  <c r="L136" i="25"/>
  <c r="F137" i="25"/>
  <c r="G137" i="25"/>
  <c r="H137" i="25"/>
  <c r="I137" i="25"/>
  <c r="J137" i="25"/>
  <c r="L137" i="25"/>
  <c r="F138" i="25"/>
  <c r="G138" i="25"/>
  <c r="H138" i="25"/>
  <c r="I138" i="25"/>
  <c r="J138" i="25"/>
  <c r="L138" i="25"/>
  <c r="F139" i="25"/>
  <c r="G139" i="25"/>
  <c r="H139" i="25"/>
  <c r="I139" i="25"/>
  <c r="J139" i="25"/>
  <c r="L139" i="25"/>
  <c r="F140" i="25"/>
  <c r="G140" i="25"/>
  <c r="H140" i="25"/>
  <c r="I140" i="25"/>
  <c r="J140" i="25"/>
  <c r="L140" i="25"/>
  <c r="F141" i="25"/>
  <c r="G141" i="25"/>
  <c r="H141" i="25"/>
  <c r="I141" i="25"/>
  <c r="J141" i="25"/>
  <c r="L141" i="25"/>
  <c r="F142" i="25"/>
  <c r="G142" i="25"/>
  <c r="H142" i="25"/>
  <c r="I142" i="25"/>
  <c r="J142" i="25"/>
  <c r="L142" i="25"/>
  <c r="F143" i="25"/>
  <c r="G143" i="25"/>
  <c r="H143" i="25"/>
  <c r="I143" i="25"/>
  <c r="J143" i="25"/>
  <c r="L143" i="25"/>
  <c r="F144" i="25"/>
  <c r="G144" i="25"/>
  <c r="H144" i="25"/>
  <c r="I144" i="25"/>
  <c r="J144" i="25"/>
  <c r="L144" i="25"/>
  <c r="F145" i="25"/>
  <c r="G145" i="25"/>
  <c r="H145" i="25"/>
  <c r="I145" i="25"/>
  <c r="J145" i="25"/>
  <c r="L145" i="25"/>
  <c r="F146" i="25"/>
  <c r="G146" i="25"/>
  <c r="H146" i="25"/>
  <c r="I146" i="25"/>
  <c r="J146" i="25"/>
  <c r="L146" i="25"/>
  <c r="F147" i="25"/>
  <c r="G147" i="25"/>
  <c r="H147" i="25"/>
  <c r="I147" i="25"/>
  <c r="J147" i="25"/>
  <c r="L147" i="25"/>
  <c r="F148" i="25"/>
  <c r="G148" i="25"/>
  <c r="H148" i="25"/>
  <c r="I148" i="25"/>
  <c r="J148" i="25"/>
  <c r="L148" i="25"/>
  <c r="F150" i="25"/>
  <c r="G150" i="25"/>
  <c r="H150" i="25"/>
  <c r="I150" i="25"/>
  <c r="J150" i="25"/>
  <c r="L150" i="25"/>
  <c r="F151" i="25"/>
  <c r="G151" i="25"/>
  <c r="H151" i="25"/>
  <c r="I151" i="25"/>
  <c r="J151" i="25"/>
  <c r="L151" i="25"/>
  <c r="F152" i="25"/>
  <c r="G152" i="25"/>
  <c r="H152" i="25"/>
  <c r="I152" i="25"/>
  <c r="J152" i="25"/>
  <c r="L152" i="25"/>
  <c r="F153" i="25"/>
  <c r="G153" i="25"/>
  <c r="H153" i="25"/>
  <c r="I153" i="25"/>
  <c r="J153" i="25"/>
  <c r="L153" i="25"/>
  <c r="F154" i="25"/>
  <c r="G154" i="25"/>
  <c r="H154" i="25"/>
  <c r="I154" i="25"/>
  <c r="J154" i="25"/>
  <c r="L154" i="25"/>
  <c r="F155" i="25"/>
  <c r="G155" i="25"/>
  <c r="H155" i="25"/>
  <c r="I155" i="25"/>
  <c r="J155" i="25"/>
  <c r="L155" i="25"/>
  <c r="F156" i="25"/>
  <c r="G156" i="25"/>
  <c r="H156" i="25"/>
  <c r="I156" i="25"/>
  <c r="J156" i="25"/>
  <c r="L156" i="25"/>
  <c r="F157" i="25"/>
  <c r="G157" i="25"/>
  <c r="H157" i="25"/>
  <c r="I157" i="25"/>
  <c r="J157" i="25"/>
  <c r="L157" i="25"/>
  <c r="F158" i="25"/>
  <c r="G158" i="25"/>
  <c r="H158" i="25"/>
  <c r="I158" i="25"/>
  <c r="J158" i="25"/>
  <c r="L158" i="25"/>
  <c r="F159" i="25"/>
  <c r="G159" i="25"/>
  <c r="H159" i="25"/>
  <c r="I159" i="25"/>
  <c r="J159" i="25"/>
  <c r="L159" i="25"/>
  <c r="F160" i="25"/>
  <c r="G160" i="25"/>
  <c r="H160" i="25"/>
  <c r="I160" i="25"/>
  <c r="J160" i="25"/>
  <c r="L160" i="25"/>
  <c r="F161" i="25"/>
  <c r="G161" i="25"/>
  <c r="H161" i="25"/>
  <c r="I161" i="25"/>
  <c r="J161" i="25"/>
  <c r="L161" i="25"/>
  <c r="F162" i="25"/>
  <c r="G162" i="25"/>
  <c r="H162" i="25"/>
  <c r="I162" i="25"/>
  <c r="J162" i="25"/>
  <c r="L162" i="25"/>
  <c r="F163" i="25"/>
  <c r="G163" i="25"/>
  <c r="H163" i="25"/>
  <c r="I163" i="25"/>
  <c r="J163" i="25"/>
  <c r="L163" i="25"/>
  <c r="F164" i="25"/>
  <c r="G164" i="25"/>
  <c r="H164" i="25"/>
  <c r="I164" i="25"/>
  <c r="J164" i="25"/>
  <c r="L164" i="25"/>
  <c r="F165" i="25"/>
  <c r="G165" i="25"/>
  <c r="H165" i="25"/>
  <c r="I165" i="25"/>
  <c r="J165" i="25"/>
  <c r="L165" i="25"/>
  <c r="F166" i="25"/>
  <c r="G166" i="25"/>
  <c r="H166" i="25"/>
  <c r="I166" i="25"/>
  <c r="J166" i="25"/>
  <c r="L166" i="25"/>
  <c r="F167" i="25"/>
  <c r="G167" i="25"/>
  <c r="H167" i="25"/>
  <c r="I167" i="25"/>
  <c r="J167" i="25"/>
  <c r="L167" i="25"/>
  <c r="F168" i="25"/>
  <c r="G168" i="25"/>
  <c r="H168" i="25"/>
  <c r="I168" i="25"/>
  <c r="J168" i="25"/>
  <c r="L168" i="25"/>
  <c r="F169" i="25"/>
  <c r="G169" i="25"/>
  <c r="H169" i="25"/>
  <c r="I169" i="25"/>
  <c r="J169" i="25"/>
  <c r="L169" i="25"/>
  <c r="F170" i="25"/>
  <c r="G170" i="25"/>
  <c r="H170" i="25"/>
  <c r="I170" i="25"/>
  <c r="J170" i="25"/>
  <c r="L170" i="25"/>
  <c r="F171" i="25"/>
  <c r="G171" i="25"/>
  <c r="H171" i="25"/>
  <c r="I171" i="25"/>
  <c r="J171" i="25"/>
  <c r="L171" i="25"/>
  <c r="F172" i="25"/>
  <c r="G172" i="25"/>
  <c r="H172" i="25"/>
  <c r="I172" i="25"/>
  <c r="J172" i="25"/>
  <c r="L172" i="25"/>
  <c r="F173" i="25"/>
  <c r="G173" i="25"/>
  <c r="H173" i="25"/>
  <c r="I173" i="25"/>
  <c r="J173" i="25"/>
  <c r="L173" i="25"/>
  <c r="F174" i="25"/>
  <c r="G174" i="25"/>
  <c r="H174" i="25"/>
  <c r="I174" i="25"/>
  <c r="J174" i="25"/>
  <c r="L174" i="25"/>
  <c r="F175" i="25"/>
  <c r="G175" i="25"/>
  <c r="H175" i="25"/>
  <c r="I175" i="25"/>
  <c r="J175" i="25"/>
  <c r="L175" i="25"/>
  <c r="F176" i="25"/>
  <c r="G176" i="25"/>
  <c r="H176" i="25"/>
  <c r="I176" i="25"/>
  <c r="J176" i="25"/>
  <c r="L176" i="25"/>
  <c r="F177" i="25"/>
  <c r="G177" i="25"/>
  <c r="H177" i="25"/>
  <c r="I177" i="25"/>
  <c r="J177" i="25"/>
  <c r="L177" i="25"/>
  <c r="F178" i="25"/>
  <c r="G178" i="25"/>
  <c r="H178" i="25"/>
  <c r="I178" i="25"/>
  <c r="J178" i="25"/>
  <c r="L178" i="25"/>
  <c r="F179" i="25"/>
  <c r="G179" i="25"/>
  <c r="H179" i="25"/>
  <c r="I179" i="25"/>
  <c r="J179" i="25"/>
  <c r="L179" i="25"/>
  <c r="F180" i="25"/>
  <c r="G180" i="25"/>
  <c r="H180" i="25"/>
  <c r="I180" i="25"/>
  <c r="J180" i="25"/>
  <c r="L180" i="25"/>
  <c r="F181" i="25"/>
  <c r="G181" i="25"/>
  <c r="H181" i="25"/>
  <c r="I181" i="25"/>
  <c r="J181" i="25"/>
  <c r="L181" i="25"/>
  <c r="F182" i="25"/>
  <c r="G182" i="25"/>
  <c r="H182" i="25"/>
  <c r="I182" i="25"/>
  <c r="J182" i="25"/>
  <c r="L182" i="25"/>
  <c r="F183" i="25"/>
  <c r="G183" i="25"/>
  <c r="H183" i="25"/>
  <c r="I183" i="25"/>
  <c r="J183" i="25"/>
  <c r="L183" i="25"/>
  <c r="F184" i="25"/>
  <c r="G184" i="25"/>
  <c r="H184" i="25"/>
  <c r="I184" i="25"/>
  <c r="J184" i="25"/>
  <c r="L184" i="25"/>
  <c r="F185" i="25"/>
  <c r="G185" i="25"/>
  <c r="H185" i="25"/>
  <c r="I185" i="25"/>
  <c r="J185" i="25"/>
  <c r="L185" i="25"/>
  <c r="F186" i="25"/>
  <c r="G186" i="25"/>
  <c r="H186" i="25"/>
  <c r="I186" i="25"/>
  <c r="J186" i="25"/>
  <c r="L186" i="25"/>
  <c r="F187" i="25"/>
  <c r="G187" i="25"/>
  <c r="H187" i="25"/>
  <c r="I187" i="25"/>
  <c r="J187" i="25"/>
  <c r="L187" i="25"/>
  <c r="F188" i="25"/>
  <c r="G188" i="25"/>
  <c r="H188" i="25"/>
  <c r="I188" i="25"/>
  <c r="J188" i="25"/>
  <c r="L188" i="25"/>
  <c r="F189" i="25"/>
  <c r="G189" i="25"/>
  <c r="H189" i="25"/>
  <c r="I189" i="25"/>
  <c r="J189" i="25"/>
  <c r="L189" i="25"/>
  <c r="F190" i="25"/>
  <c r="G190" i="25"/>
  <c r="H190" i="25"/>
  <c r="I190" i="25"/>
  <c r="J190" i="25"/>
  <c r="L190" i="25"/>
  <c r="F191" i="25"/>
  <c r="G191" i="25"/>
  <c r="H191" i="25"/>
  <c r="I191" i="25"/>
  <c r="J191" i="25"/>
  <c r="L191" i="25"/>
  <c r="F192" i="25"/>
  <c r="G192" i="25"/>
  <c r="H192" i="25"/>
  <c r="I192" i="25"/>
  <c r="J192" i="25"/>
  <c r="L192" i="25"/>
  <c r="F193" i="25"/>
  <c r="G193" i="25"/>
  <c r="H193" i="25"/>
  <c r="I193" i="25"/>
  <c r="J193" i="25"/>
  <c r="L193" i="25"/>
  <c r="F194" i="25"/>
  <c r="G194" i="25"/>
  <c r="H194" i="25"/>
  <c r="I194" i="25"/>
  <c r="J194" i="25"/>
  <c r="L194" i="25"/>
  <c r="F195" i="25"/>
  <c r="G195" i="25"/>
  <c r="H195" i="25"/>
  <c r="I195" i="25"/>
  <c r="J195" i="25"/>
  <c r="L195" i="25"/>
  <c r="F196" i="25"/>
  <c r="G196" i="25"/>
  <c r="H196" i="25"/>
  <c r="I196" i="25"/>
  <c r="J196" i="25"/>
  <c r="L196" i="25"/>
  <c r="F197" i="25"/>
  <c r="G197" i="25"/>
  <c r="H197" i="25"/>
  <c r="I197" i="25"/>
  <c r="J197" i="25"/>
  <c r="L197" i="25"/>
  <c r="F198" i="25"/>
  <c r="G198" i="25"/>
  <c r="H198" i="25"/>
  <c r="I198" i="25"/>
  <c r="J198" i="25"/>
  <c r="L198" i="25"/>
  <c r="F199" i="25"/>
  <c r="G199" i="25"/>
  <c r="H199" i="25"/>
  <c r="I199" i="25"/>
  <c r="J199" i="25"/>
  <c r="L199" i="25"/>
  <c r="F200" i="25"/>
  <c r="G200" i="25"/>
  <c r="H200" i="25"/>
  <c r="I200" i="25"/>
  <c r="J200" i="25"/>
  <c r="L200" i="25"/>
  <c r="F201" i="25"/>
  <c r="G201" i="25"/>
  <c r="H201" i="25"/>
  <c r="I201" i="25"/>
  <c r="J201" i="25"/>
  <c r="L201" i="25"/>
  <c r="F202" i="25"/>
  <c r="G202" i="25"/>
  <c r="H202" i="25"/>
  <c r="I202" i="25"/>
  <c r="J202" i="25"/>
  <c r="L202" i="25"/>
  <c r="F203" i="25"/>
  <c r="G203" i="25"/>
  <c r="H203" i="25"/>
  <c r="I203" i="25"/>
  <c r="J203" i="25"/>
  <c r="L203" i="25"/>
  <c r="F204" i="25"/>
  <c r="G204" i="25"/>
  <c r="H204" i="25"/>
  <c r="I204" i="25"/>
  <c r="J204" i="25"/>
  <c r="L204" i="25"/>
  <c r="F205" i="25"/>
  <c r="G205" i="25"/>
  <c r="H205" i="25"/>
  <c r="I205" i="25"/>
  <c r="J205" i="25"/>
  <c r="L205" i="25"/>
  <c r="F206" i="25"/>
  <c r="G206" i="25"/>
  <c r="H206" i="25"/>
  <c r="I206" i="25"/>
  <c r="J206" i="25"/>
  <c r="L206" i="25"/>
  <c r="F207" i="25"/>
  <c r="G207" i="25"/>
  <c r="H207" i="25"/>
  <c r="I207" i="25"/>
  <c r="J207" i="25"/>
  <c r="L207" i="25"/>
  <c r="F208" i="25"/>
  <c r="G208" i="25"/>
  <c r="H208" i="25"/>
  <c r="I208" i="25"/>
  <c r="J208" i="25"/>
  <c r="L208" i="25"/>
  <c r="F209" i="25"/>
  <c r="G209" i="25"/>
  <c r="H209" i="25"/>
  <c r="I209" i="25"/>
  <c r="J209" i="25"/>
  <c r="L209" i="25"/>
  <c r="F210" i="25"/>
  <c r="G210" i="25"/>
  <c r="H210" i="25"/>
  <c r="I210" i="25"/>
  <c r="J210" i="25"/>
  <c r="L210" i="25"/>
  <c r="F211" i="25"/>
  <c r="G211" i="25"/>
  <c r="H211" i="25"/>
  <c r="I211" i="25"/>
  <c r="J211" i="25"/>
  <c r="L211" i="25"/>
  <c r="F212" i="25"/>
  <c r="G212" i="25"/>
  <c r="H212" i="25"/>
  <c r="I212" i="25"/>
  <c r="J212" i="25"/>
  <c r="L212" i="25"/>
  <c r="F213" i="25"/>
  <c r="G213" i="25"/>
  <c r="H213" i="25"/>
  <c r="I213" i="25"/>
  <c r="J213" i="25"/>
  <c r="L213" i="25"/>
  <c r="F214" i="25"/>
  <c r="G214" i="25"/>
  <c r="H214" i="25"/>
  <c r="I214" i="25"/>
  <c r="J214" i="25"/>
  <c r="L214" i="25"/>
  <c r="F215" i="25"/>
  <c r="G215" i="25"/>
  <c r="H215" i="25"/>
  <c r="I215" i="25"/>
  <c r="J215" i="25"/>
  <c r="L215" i="25"/>
  <c r="F216" i="25"/>
  <c r="G216" i="25"/>
  <c r="H216" i="25"/>
  <c r="I216" i="25"/>
  <c r="J216" i="25"/>
  <c r="L216" i="25"/>
  <c r="F217" i="25"/>
  <c r="G217" i="25"/>
  <c r="H217" i="25"/>
  <c r="I217" i="25"/>
  <c r="J217" i="25"/>
  <c r="L217" i="25"/>
  <c r="F218" i="25"/>
  <c r="G218" i="25"/>
  <c r="H218" i="25"/>
  <c r="I218" i="25"/>
  <c r="J218" i="25"/>
  <c r="L218" i="25"/>
  <c r="F219" i="25"/>
  <c r="G219" i="25"/>
  <c r="H219" i="25"/>
  <c r="I219" i="25"/>
  <c r="J219" i="25"/>
  <c r="L219" i="25"/>
  <c r="F220" i="25"/>
  <c r="G220" i="25"/>
  <c r="H220" i="25"/>
  <c r="I220" i="25"/>
  <c r="J220" i="25"/>
  <c r="L220" i="25"/>
  <c r="F221" i="25"/>
  <c r="G221" i="25"/>
  <c r="H221" i="25"/>
  <c r="I221" i="25"/>
  <c r="J221" i="25"/>
  <c r="L221" i="25"/>
  <c r="F222" i="25"/>
  <c r="G222" i="25"/>
  <c r="H222" i="25"/>
  <c r="I222" i="25"/>
  <c r="J222" i="25"/>
  <c r="L222" i="25"/>
  <c r="F223" i="25"/>
  <c r="G223" i="25"/>
  <c r="H223" i="25"/>
  <c r="I223" i="25"/>
  <c r="J223" i="25"/>
  <c r="L223" i="25"/>
  <c r="F224" i="25"/>
  <c r="G224" i="25"/>
  <c r="H224" i="25"/>
  <c r="I224" i="25"/>
  <c r="J224" i="25"/>
  <c r="L224" i="25"/>
  <c r="F225" i="25"/>
  <c r="G225" i="25"/>
  <c r="H225" i="25"/>
  <c r="I225" i="25"/>
  <c r="J225" i="25"/>
  <c r="L225" i="25"/>
  <c r="F226" i="25"/>
  <c r="G226" i="25"/>
  <c r="H226" i="25"/>
  <c r="I226" i="25"/>
  <c r="J226" i="25"/>
  <c r="L226" i="25"/>
  <c r="F227" i="25"/>
  <c r="G227" i="25"/>
  <c r="H227" i="25"/>
  <c r="I227" i="25"/>
  <c r="J227" i="25"/>
  <c r="L227" i="25"/>
  <c r="F228" i="25"/>
  <c r="G228" i="25"/>
  <c r="H228" i="25"/>
  <c r="I228" i="25"/>
  <c r="J228" i="25"/>
  <c r="L228" i="25"/>
  <c r="F229" i="25"/>
  <c r="G229" i="25"/>
  <c r="H229" i="25"/>
  <c r="I229" i="25"/>
  <c r="J229" i="25"/>
  <c r="L229" i="25"/>
  <c r="F230" i="25"/>
  <c r="G230" i="25"/>
  <c r="H230" i="25"/>
  <c r="I230" i="25"/>
  <c r="J230" i="25"/>
  <c r="L230" i="25"/>
  <c r="F231" i="25"/>
  <c r="G231" i="25"/>
  <c r="H231" i="25"/>
  <c r="I231" i="25"/>
  <c r="J231" i="25"/>
  <c r="L231" i="25"/>
  <c r="F232" i="25"/>
  <c r="G232" i="25"/>
  <c r="H232" i="25"/>
  <c r="I232" i="25"/>
  <c r="J232" i="25"/>
  <c r="L232" i="25"/>
  <c r="F233" i="25"/>
  <c r="G233" i="25"/>
  <c r="H233" i="25"/>
  <c r="I233" i="25"/>
  <c r="J233" i="25"/>
  <c r="L233" i="25"/>
  <c r="F234" i="25"/>
  <c r="G234" i="25"/>
  <c r="H234" i="25"/>
  <c r="I234" i="25"/>
  <c r="J234" i="25"/>
  <c r="L234" i="25"/>
  <c r="F235" i="25"/>
  <c r="G235" i="25"/>
  <c r="H235" i="25"/>
  <c r="I235" i="25"/>
  <c r="J235" i="25"/>
  <c r="L235" i="25"/>
  <c r="F236" i="25"/>
  <c r="G236" i="25"/>
  <c r="H236" i="25"/>
  <c r="I236" i="25"/>
  <c r="J236" i="25"/>
  <c r="L236" i="25"/>
  <c r="F237" i="25"/>
  <c r="G237" i="25"/>
  <c r="H237" i="25"/>
  <c r="I237" i="25"/>
  <c r="J237" i="25"/>
  <c r="L237" i="25"/>
  <c r="F238" i="25"/>
  <c r="G238" i="25"/>
  <c r="H238" i="25"/>
  <c r="I238" i="25"/>
  <c r="J238" i="25"/>
  <c r="L238" i="25"/>
  <c r="F239" i="25"/>
  <c r="G239" i="25"/>
  <c r="H239" i="25"/>
  <c r="I239" i="25"/>
  <c r="J239" i="25"/>
  <c r="L239" i="25"/>
  <c r="F240" i="25"/>
  <c r="G240" i="25"/>
  <c r="H240" i="25"/>
  <c r="I240" i="25"/>
  <c r="J240" i="25"/>
  <c r="L240" i="25"/>
  <c r="F241" i="25"/>
  <c r="G241" i="25"/>
  <c r="H241" i="25"/>
  <c r="I241" i="25"/>
  <c r="J241" i="25"/>
  <c r="L241" i="25"/>
  <c r="F242" i="25"/>
  <c r="G242" i="25"/>
  <c r="H242" i="25"/>
  <c r="I242" i="25"/>
  <c r="J242" i="25"/>
  <c r="L242" i="25"/>
  <c r="F243" i="25"/>
  <c r="G243" i="25"/>
  <c r="H243" i="25"/>
  <c r="I243" i="25"/>
  <c r="J243" i="25"/>
  <c r="L243" i="25"/>
  <c r="F244" i="25"/>
  <c r="G244" i="25"/>
  <c r="H244" i="25"/>
  <c r="I244" i="25"/>
  <c r="J244" i="25"/>
  <c r="L244" i="25"/>
  <c r="F245" i="25"/>
  <c r="G245" i="25"/>
  <c r="H245" i="25"/>
  <c r="I245" i="25"/>
  <c r="J245" i="25"/>
  <c r="L245" i="25"/>
  <c r="L148" i="6"/>
  <c r="M148" i="6"/>
  <c r="G148" i="6"/>
  <c r="G149" i="25" s="1"/>
  <c r="Y122" i="42"/>
  <c r="X122" i="42"/>
  <c r="W122" i="42"/>
  <c r="V122" i="42"/>
  <c r="U112" i="42"/>
  <c r="Y107" i="42"/>
  <c r="X107" i="42"/>
  <c r="W107" i="42"/>
  <c r="V107" i="42"/>
  <c r="Y92" i="42"/>
  <c r="X92" i="42"/>
  <c r="W92" i="42"/>
  <c r="V92" i="42"/>
  <c r="U89" i="42"/>
  <c r="U83" i="42"/>
  <c r="Y78" i="42"/>
  <c r="X78" i="42"/>
  <c r="W78" i="42"/>
  <c r="V78" i="42"/>
  <c r="U75" i="42"/>
  <c r="U69" i="42"/>
  <c r="Y63" i="42"/>
  <c r="X63" i="42"/>
  <c r="W63" i="42"/>
  <c r="V63" i="42"/>
  <c r="U60" i="42"/>
  <c r="U53" i="42"/>
  <c r="Y122" i="52" l="1"/>
  <c r="X122" i="52"/>
  <c r="W122" i="52"/>
  <c r="V122" i="52"/>
  <c r="U112" i="52"/>
  <c r="Y107" i="52"/>
  <c r="X107" i="52"/>
  <c r="W107" i="52"/>
  <c r="V107" i="52"/>
  <c r="Y92" i="52"/>
  <c r="X92" i="52"/>
  <c r="W92" i="52"/>
  <c r="V92" i="52"/>
  <c r="U89" i="52"/>
  <c r="U83" i="52"/>
  <c r="Y78" i="52"/>
  <c r="X78" i="52"/>
  <c r="W78" i="52"/>
  <c r="V78" i="52"/>
  <c r="U75" i="52"/>
  <c r="U69" i="52"/>
  <c r="Y63" i="52"/>
  <c r="X63" i="52"/>
  <c r="W63" i="52"/>
  <c r="V63" i="52"/>
  <c r="U60" i="52"/>
  <c r="U53" i="52"/>
  <c r="Y122" i="55"/>
  <c r="X122" i="55"/>
  <c r="W122" i="55"/>
  <c r="V122" i="55"/>
  <c r="U112" i="55"/>
  <c r="Y107" i="55"/>
  <c r="X107" i="55"/>
  <c r="W107" i="55"/>
  <c r="V107" i="55"/>
  <c r="Y92" i="55"/>
  <c r="X92" i="55"/>
  <c r="W92" i="55"/>
  <c r="V92" i="55"/>
  <c r="U89" i="55"/>
  <c r="U83" i="55"/>
  <c r="Y78" i="55"/>
  <c r="X78" i="55"/>
  <c r="W78" i="55"/>
  <c r="V78" i="55"/>
  <c r="U75" i="55"/>
  <c r="U69" i="55"/>
  <c r="Y63" i="55"/>
  <c r="X63" i="55"/>
  <c r="W63" i="55"/>
  <c r="V63" i="55"/>
  <c r="U60" i="55"/>
  <c r="U53" i="55"/>
  <c r="Y122" i="43"/>
  <c r="X122" i="43"/>
  <c r="W122" i="43"/>
  <c r="V122" i="43"/>
  <c r="U112" i="43"/>
  <c r="Y107" i="43"/>
  <c r="X107" i="43"/>
  <c r="W107" i="43"/>
  <c r="V107" i="43"/>
  <c r="Y92" i="43"/>
  <c r="X92" i="43"/>
  <c r="W92" i="43"/>
  <c r="V92" i="43"/>
  <c r="U89" i="43"/>
  <c r="U83" i="43"/>
  <c r="Y78" i="43"/>
  <c r="X78" i="43"/>
  <c r="W78" i="43"/>
  <c r="V78" i="43"/>
  <c r="U75" i="43"/>
  <c r="U69" i="43"/>
  <c r="Y63" i="43"/>
  <c r="X63" i="43"/>
  <c r="W63" i="43"/>
  <c r="V63" i="43"/>
  <c r="U60" i="43"/>
  <c r="U53" i="43"/>
  <c r="V92" i="33"/>
  <c r="W92" i="33"/>
  <c r="X92" i="33"/>
  <c r="Y92" i="33"/>
  <c r="Y122" i="33"/>
  <c r="X122" i="33"/>
  <c r="W122" i="33"/>
  <c r="V122" i="33"/>
  <c r="V107" i="33"/>
  <c r="W107" i="33"/>
  <c r="X107" i="33"/>
  <c r="Y107" i="33"/>
  <c r="V78" i="33"/>
  <c r="W78" i="33"/>
  <c r="X78" i="33"/>
  <c r="Y78" i="33"/>
  <c r="V63" i="33"/>
  <c r="W63" i="33"/>
  <c r="X63" i="33"/>
  <c r="Y63" i="33"/>
  <c r="U112" i="33"/>
  <c r="U89" i="33"/>
  <c r="U83" i="33"/>
  <c r="U75" i="33"/>
  <c r="U69" i="33"/>
  <c r="U60" i="33"/>
  <c r="U53" i="33"/>
  <c r="B86" i="67"/>
  <c r="B82" i="67"/>
  <c r="B108" i="67"/>
  <c r="B104" i="67"/>
  <c r="AK91" i="67"/>
  <c r="AK69" i="67"/>
  <c r="C156" i="48" l="1"/>
  <c r="C155" i="48"/>
  <c r="C154" i="48"/>
  <c r="AM244" i="6"/>
  <c r="AM243" i="6"/>
  <c r="AM242" i="6"/>
  <c r="AM241" i="6"/>
  <c r="AM240" i="6"/>
  <c r="AM239" i="6"/>
  <c r="AM238" i="6"/>
  <c r="AM237" i="6"/>
  <c r="AM236" i="6"/>
  <c r="AM235" i="6"/>
  <c r="AM234" i="6"/>
  <c r="AM232" i="6"/>
  <c r="AM231" i="6"/>
  <c r="AM230" i="6"/>
  <c r="AM229" i="6"/>
  <c r="AM228" i="6"/>
  <c r="AM227" i="6"/>
  <c r="AM226" i="6"/>
  <c r="AM225" i="6"/>
  <c r="AM224" i="6"/>
  <c r="AM223" i="6"/>
  <c r="AM222" i="6"/>
  <c r="AM221" i="6"/>
  <c r="AM220" i="6"/>
  <c r="AM219" i="6"/>
  <c r="AM218" i="6"/>
  <c r="AM217" i="6"/>
  <c r="AM216" i="6"/>
  <c r="AM215" i="6"/>
  <c r="AM214" i="6"/>
  <c r="AM213" i="6"/>
  <c r="AM212" i="6"/>
  <c r="AM211" i="6"/>
  <c r="AM210" i="6"/>
  <c r="AM209" i="6"/>
  <c r="AM208" i="6"/>
  <c r="AM207" i="6"/>
  <c r="AM206" i="6"/>
  <c r="AM205" i="6"/>
  <c r="AM204" i="6"/>
  <c r="AM203" i="6"/>
  <c r="AM202" i="6"/>
  <c r="AM201" i="6"/>
  <c r="AM200" i="6"/>
  <c r="AM199" i="6"/>
  <c r="AM198" i="6"/>
  <c r="AM197" i="6"/>
  <c r="AM196" i="6"/>
  <c r="AM195" i="6"/>
  <c r="AM194" i="6"/>
  <c r="AM193" i="6"/>
  <c r="AM192" i="6"/>
  <c r="AM191" i="6"/>
  <c r="AM190" i="6"/>
  <c r="AM189" i="6"/>
  <c r="AM188" i="6"/>
  <c r="AM187" i="6"/>
  <c r="AM186" i="6"/>
  <c r="AM185" i="6"/>
  <c r="AM184" i="6"/>
  <c r="AM183" i="6"/>
  <c r="AM182" i="6"/>
  <c r="AM181" i="6"/>
  <c r="AM180" i="6"/>
  <c r="AM179" i="6"/>
  <c r="AM178" i="6"/>
  <c r="AM177" i="6"/>
  <c r="AM176" i="6"/>
  <c r="AM175" i="6"/>
  <c r="AM174" i="6"/>
  <c r="AM173" i="6"/>
  <c r="AM172" i="6"/>
  <c r="AM171" i="6"/>
  <c r="AM170" i="6"/>
  <c r="AM169" i="6"/>
  <c r="AM168" i="6"/>
  <c r="AM167" i="6"/>
  <c r="AM166" i="6"/>
  <c r="AM165" i="6"/>
  <c r="AM164" i="6"/>
  <c r="AM163" i="6"/>
  <c r="AM162" i="6"/>
  <c r="AM161" i="6"/>
  <c r="AM160" i="6"/>
  <c r="AM159" i="6"/>
  <c r="AM158" i="6"/>
  <c r="AM157" i="6"/>
  <c r="AM156" i="6"/>
  <c r="AM155" i="6"/>
  <c r="AM154" i="6"/>
  <c r="AM153" i="6"/>
  <c r="AM152" i="6"/>
  <c r="AM151" i="6"/>
  <c r="AM150" i="6"/>
  <c r="AM149" i="6"/>
  <c r="AM147" i="6"/>
  <c r="AM146" i="6"/>
  <c r="AM145" i="6"/>
  <c r="AM144" i="6"/>
  <c r="AM143" i="6"/>
  <c r="AM142" i="6"/>
  <c r="AM141" i="6"/>
  <c r="AM140" i="6"/>
  <c r="AM139" i="6"/>
  <c r="AM138" i="6"/>
  <c r="AM137" i="6"/>
  <c r="AM136" i="6"/>
  <c r="AM135" i="6"/>
  <c r="AM134" i="6"/>
  <c r="AM133" i="6"/>
  <c r="AM132" i="6"/>
  <c r="AM131" i="6"/>
  <c r="AM130" i="6"/>
  <c r="AM129" i="6"/>
  <c r="AM128" i="6"/>
  <c r="AM127" i="6"/>
  <c r="AM126" i="6"/>
  <c r="AM125" i="6"/>
  <c r="AM124" i="6"/>
  <c r="AM123" i="6"/>
  <c r="AM122" i="6"/>
  <c r="AM121" i="6"/>
  <c r="AM120" i="6"/>
  <c r="AM119" i="6"/>
  <c r="AM118" i="6"/>
  <c r="AM117" i="6"/>
  <c r="AM116" i="6"/>
  <c r="AM115" i="6"/>
  <c r="AM114" i="6"/>
  <c r="AM113" i="6"/>
  <c r="AM112" i="6"/>
  <c r="AM111" i="6"/>
  <c r="AM110" i="6"/>
  <c r="AM109" i="6"/>
  <c r="AM108" i="6"/>
  <c r="AM107" i="6"/>
  <c r="AM106" i="6"/>
  <c r="AM105" i="6"/>
  <c r="AM104" i="6"/>
  <c r="AM103" i="6"/>
  <c r="AM102" i="6"/>
  <c r="AM101" i="6"/>
  <c r="AM100" i="6"/>
  <c r="AM99" i="6"/>
  <c r="AM98" i="6"/>
  <c r="AM97" i="6"/>
  <c r="AM96" i="6"/>
  <c r="AM95" i="6"/>
  <c r="AM94" i="6"/>
  <c r="AM93" i="6"/>
  <c r="AM92" i="6"/>
  <c r="AM91" i="6"/>
  <c r="AM90" i="6"/>
  <c r="AM89" i="6"/>
  <c r="AM88" i="6"/>
  <c r="AM87" i="6"/>
  <c r="AM86" i="6"/>
  <c r="AM85" i="6"/>
  <c r="AM84" i="6"/>
  <c r="AM83" i="6"/>
  <c r="AM82" i="6"/>
  <c r="AM81" i="6"/>
  <c r="AM80" i="6"/>
  <c r="AM79" i="6"/>
  <c r="AM78" i="6"/>
  <c r="AM77" i="6"/>
  <c r="AM76" i="6"/>
  <c r="AM75" i="6"/>
  <c r="AM74" i="6"/>
  <c r="AM73" i="6"/>
  <c r="AM72" i="6"/>
  <c r="AM71" i="6"/>
  <c r="AM70" i="6"/>
  <c r="AM69" i="6"/>
  <c r="AM68" i="6"/>
  <c r="AM67" i="6"/>
  <c r="AM66" i="6"/>
  <c r="AM65" i="6"/>
  <c r="AM64" i="6"/>
  <c r="AM63" i="6"/>
  <c r="AM62" i="6"/>
  <c r="AM61" i="6"/>
  <c r="AM60" i="6"/>
  <c r="AM59" i="6"/>
  <c r="AM58" i="6"/>
  <c r="AM57" i="6"/>
  <c r="AM56" i="6"/>
  <c r="AM55" i="6"/>
  <c r="AM54" i="6"/>
  <c r="AM53" i="6"/>
  <c r="AM52" i="6"/>
  <c r="AM51" i="6"/>
  <c r="AM50" i="6"/>
  <c r="AM49" i="6"/>
  <c r="AM48" i="6"/>
  <c r="AM47" i="6"/>
  <c r="AM46" i="6"/>
  <c r="AM45" i="6"/>
  <c r="AM44" i="6"/>
  <c r="AM43" i="6"/>
  <c r="AM42" i="6"/>
  <c r="AM41" i="6"/>
  <c r="AM40" i="6"/>
  <c r="AM39" i="6"/>
  <c r="AM38" i="6"/>
  <c r="AM37" i="6"/>
  <c r="AM36" i="6"/>
  <c r="AM35" i="6"/>
  <c r="AM34" i="6"/>
  <c r="AM33" i="6"/>
  <c r="AM32" i="6"/>
  <c r="AM31" i="6"/>
  <c r="AM30" i="6"/>
  <c r="AM29" i="6"/>
  <c r="AM28" i="6"/>
  <c r="AM27" i="6"/>
  <c r="AM26" i="6"/>
  <c r="AM25" i="6"/>
  <c r="AM24" i="6"/>
  <c r="AM23" i="6"/>
  <c r="AM22" i="6"/>
  <c r="AM21" i="6"/>
  <c r="AM20" i="6"/>
  <c r="AM19" i="6"/>
  <c r="AM18" i="6"/>
  <c r="AM17" i="6"/>
  <c r="AM16" i="6"/>
  <c r="AM15" i="6"/>
  <c r="AM14" i="6"/>
  <c r="AM13" i="6"/>
  <c r="AP241" i="25"/>
  <c r="AP240" i="25"/>
  <c r="AP239" i="25"/>
  <c r="AP238" i="25"/>
  <c r="AP234" i="25"/>
  <c r="AP233" i="25"/>
  <c r="AP232" i="25"/>
  <c r="AP231" i="25"/>
  <c r="AP230" i="25"/>
  <c r="AP225" i="25"/>
  <c r="AP224" i="25"/>
  <c r="AP223" i="25"/>
  <c r="AP222" i="25"/>
  <c r="AP217" i="25"/>
  <c r="AP216" i="25"/>
  <c r="AP215" i="25"/>
  <c r="AP214" i="25"/>
  <c r="AP209" i="25"/>
  <c r="AP208" i="25"/>
  <c r="AP207" i="25"/>
  <c r="AP206" i="25"/>
  <c r="AP201" i="25"/>
  <c r="AP200" i="25"/>
  <c r="AP199" i="25"/>
  <c r="AP198" i="25"/>
  <c r="AP193" i="25"/>
  <c r="AP192" i="25"/>
  <c r="AP191" i="25"/>
  <c r="AP190" i="25"/>
  <c r="AP185" i="25"/>
  <c r="AP184" i="25"/>
  <c r="AP183" i="25"/>
  <c r="AP182" i="25"/>
  <c r="AP177" i="25"/>
  <c r="AP176" i="25"/>
  <c r="AP175" i="25"/>
  <c r="AP174" i="25"/>
  <c r="AP169" i="25"/>
  <c r="AP168" i="25"/>
  <c r="AP167" i="25"/>
  <c r="AP166" i="25"/>
  <c r="AP161" i="25"/>
  <c r="AP160" i="25"/>
  <c r="AP159" i="25"/>
  <c r="AP158" i="25"/>
  <c r="AP153" i="25"/>
  <c r="AP152" i="25"/>
  <c r="AP151" i="25"/>
  <c r="AP150" i="25"/>
  <c r="AP145" i="25"/>
  <c r="AP144" i="25"/>
  <c r="AP143" i="25"/>
  <c r="AP142" i="25"/>
  <c r="AP137" i="25"/>
  <c r="AP136" i="25"/>
  <c r="AP135" i="25"/>
  <c r="AP134" i="25"/>
  <c r="AP129" i="25"/>
  <c r="AP128" i="25"/>
  <c r="AP127" i="25"/>
  <c r="AP126" i="25"/>
  <c r="AP121" i="25"/>
  <c r="AP120" i="25"/>
  <c r="AP119" i="25"/>
  <c r="AP118" i="25"/>
  <c r="AP113" i="25"/>
  <c r="AP112" i="25"/>
  <c r="AP111" i="25"/>
  <c r="AP110" i="25"/>
  <c r="AP105" i="25"/>
  <c r="AP104" i="25"/>
  <c r="AP103" i="25"/>
  <c r="AP102" i="25"/>
  <c r="AP97" i="25"/>
  <c r="AP96" i="25"/>
  <c r="AP95" i="25"/>
  <c r="AP94" i="25"/>
  <c r="AP89" i="25"/>
  <c r="AP88" i="25"/>
  <c r="AP87" i="25"/>
  <c r="AP86" i="25"/>
  <c r="AP81" i="25"/>
  <c r="AP80" i="25"/>
  <c r="AP79" i="25"/>
  <c r="AP78" i="25"/>
  <c r="AP73" i="25"/>
  <c r="AP72" i="25"/>
  <c r="AP71" i="25"/>
  <c r="AP70" i="25"/>
  <c r="AP65" i="25"/>
  <c r="AP64" i="25"/>
  <c r="AP63" i="25"/>
  <c r="AP62" i="25"/>
  <c r="AP57" i="25"/>
  <c r="AP56" i="25"/>
  <c r="AP55" i="25"/>
  <c r="AP54" i="25"/>
  <c r="AP49" i="25"/>
  <c r="AP48" i="25"/>
  <c r="AP47" i="25"/>
  <c r="AP46" i="25"/>
  <c r="AP41" i="25"/>
  <c r="AP40" i="25"/>
  <c r="AP39" i="25"/>
  <c r="AP38" i="25"/>
  <c r="AP33" i="25"/>
  <c r="AP32" i="25"/>
  <c r="AP31" i="25"/>
  <c r="AP30" i="25"/>
  <c r="AP25" i="25"/>
  <c r="AP24" i="25"/>
  <c r="AP23" i="25"/>
  <c r="AP22" i="25"/>
  <c r="AP17" i="25"/>
  <c r="AP16" i="25"/>
  <c r="AP15" i="25"/>
  <c r="AP14" i="25"/>
  <c r="AL241" i="25"/>
  <c r="AL240" i="25"/>
  <c r="AL239" i="25"/>
  <c r="AL238" i="25"/>
  <c r="AL234" i="25"/>
  <c r="AL233" i="25"/>
  <c r="AL232" i="25"/>
  <c r="AL231" i="25"/>
  <c r="AL230" i="25"/>
  <c r="AL225" i="25"/>
  <c r="AL224" i="25"/>
  <c r="AL223" i="25"/>
  <c r="AL222" i="25"/>
  <c r="AL217" i="25"/>
  <c r="AL216" i="25"/>
  <c r="AL215" i="25"/>
  <c r="AL214" i="25"/>
  <c r="AL209" i="25"/>
  <c r="AL208" i="25"/>
  <c r="AL207" i="25"/>
  <c r="AL206" i="25"/>
  <c r="AL201" i="25"/>
  <c r="AL200" i="25"/>
  <c r="AL199" i="25"/>
  <c r="AL198" i="25"/>
  <c r="AL193" i="25"/>
  <c r="AL192" i="25"/>
  <c r="AL191" i="25"/>
  <c r="AL190" i="25"/>
  <c r="AL185" i="25"/>
  <c r="AL184" i="25"/>
  <c r="AL183" i="25"/>
  <c r="AL182" i="25"/>
  <c r="AL177" i="25"/>
  <c r="AL176" i="25"/>
  <c r="AL175" i="25"/>
  <c r="AL174" i="25"/>
  <c r="AL169" i="25"/>
  <c r="AL168" i="25"/>
  <c r="AL167" i="25"/>
  <c r="AL166" i="25"/>
  <c r="AL161" i="25"/>
  <c r="AL160" i="25"/>
  <c r="AL159" i="25"/>
  <c r="AL158" i="25"/>
  <c r="AL153" i="25"/>
  <c r="AL152" i="25"/>
  <c r="AL151" i="25"/>
  <c r="AL150" i="25"/>
  <c r="AL145" i="25"/>
  <c r="AL144" i="25"/>
  <c r="AL143" i="25"/>
  <c r="AL142" i="25"/>
  <c r="AL137" i="25"/>
  <c r="AL136" i="25"/>
  <c r="AL135" i="25"/>
  <c r="AL134" i="25"/>
  <c r="AL129" i="25"/>
  <c r="AL128" i="25"/>
  <c r="AL127" i="25"/>
  <c r="AL126" i="25"/>
  <c r="AL121" i="25"/>
  <c r="AL120" i="25"/>
  <c r="AL119" i="25"/>
  <c r="AL118" i="25"/>
  <c r="AL113" i="25"/>
  <c r="AL112" i="25"/>
  <c r="AL111" i="25"/>
  <c r="AL110" i="25"/>
  <c r="AL105" i="25"/>
  <c r="AL104" i="25"/>
  <c r="AL103" i="25"/>
  <c r="AL102" i="25"/>
  <c r="AL97" i="25"/>
  <c r="AL96" i="25"/>
  <c r="AL95" i="25"/>
  <c r="AL94" i="25"/>
  <c r="AL89" i="25"/>
  <c r="AL88" i="25"/>
  <c r="AL87" i="25"/>
  <c r="AL86" i="25"/>
  <c r="AL81" i="25"/>
  <c r="AL80" i="25"/>
  <c r="AL79" i="25"/>
  <c r="AL78" i="25"/>
  <c r="AL73" i="25"/>
  <c r="AL72" i="25"/>
  <c r="AL71" i="25"/>
  <c r="AL70" i="25"/>
  <c r="AL65" i="25"/>
  <c r="AL64" i="25"/>
  <c r="AL63" i="25"/>
  <c r="AL62" i="25"/>
  <c r="AL57" i="25"/>
  <c r="AL56" i="25"/>
  <c r="AL55" i="25"/>
  <c r="AL54" i="25"/>
  <c r="AL49" i="25"/>
  <c r="AL48" i="25"/>
  <c r="AL47" i="25"/>
  <c r="AL46" i="25"/>
  <c r="AL41" i="25"/>
  <c r="AL40" i="25"/>
  <c r="AL39" i="25"/>
  <c r="AL38" i="25"/>
  <c r="AL33" i="25"/>
  <c r="AL32" i="25"/>
  <c r="AL31" i="25"/>
  <c r="AL30" i="25"/>
  <c r="AL25" i="25"/>
  <c r="AL24" i="25"/>
  <c r="AL23" i="25"/>
  <c r="AL22" i="25"/>
  <c r="AL17" i="25"/>
  <c r="AL16" i="25"/>
  <c r="AL15" i="25"/>
  <c r="AL14" i="25"/>
  <c r="AH241" i="25"/>
  <c r="AH240" i="25"/>
  <c r="AH239" i="25"/>
  <c r="AH238" i="25"/>
  <c r="AH234" i="25"/>
  <c r="AH233" i="25"/>
  <c r="AH232" i="25"/>
  <c r="AH231" i="25"/>
  <c r="AH230" i="25"/>
  <c r="AH225" i="25"/>
  <c r="AH224" i="25"/>
  <c r="AH223" i="25"/>
  <c r="AH222" i="25"/>
  <c r="AH217" i="25"/>
  <c r="AH216" i="25"/>
  <c r="AH215" i="25"/>
  <c r="AH214" i="25"/>
  <c r="AH209" i="25"/>
  <c r="AH208" i="25"/>
  <c r="AH207" i="25"/>
  <c r="AH206" i="25"/>
  <c r="AH201" i="25"/>
  <c r="AH200" i="25"/>
  <c r="AH199" i="25"/>
  <c r="AH198" i="25"/>
  <c r="AH193" i="25"/>
  <c r="AH192" i="25"/>
  <c r="AH191" i="25"/>
  <c r="AH190" i="25"/>
  <c r="AH185" i="25"/>
  <c r="AH184" i="25"/>
  <c r="AH183" i="25"/>
  <c r="AH182" i="25"/>
  <c r="AH177" i="25"/>
  <c r="AH176" i="25"/>
  <c r="AH175" i="25"/>
  <c r="AH174" i="25"/>
  <c r="AH169" i="25"/>
  <c r="AH168" i="25"/>
  <c r="AH167" i="25"/>
  <c r="AH166" i="25"/>
  <c r="AH161" i="25"/>
  <c r="AH160" i="25"/>
  <c r="AH159" i="25"/>
  <c r="AH158" i="25"/>
  <c r="AH153" i="25"/>
  <c r="AH152" i="25"/>
  <c r="AH151" i="25"/>
  <c r="AH150" i="25"/>
  <c r="AH145" i="25"/>
  <c r="AH144" i="25"/>
  <c r="AH143" i="25"/>
  <c r="AH142" i="25"/>
  <c r="AH137" i="25"/>
  <c r="AH136" i="25"/>
  <c r="AH135" i="25"/>
  <c r="AH134" i="25"/>
  <c r="AH129" i="25"/>
  <c r="AH128" i="25"/>
  <c r="AH127" i="25"/>
  <c r="AH126" i="25"/>
  <c r="AH121" i="25"/>
  <c r="AH120" i="25"/>
  <c r="AH119" i="25"/>
  <c r="AH118" i="25"/>
  <c r="AH113" i="25"/>
  <c r="AH112" i="25"/>
  <c r="AH111" i="25"/>
  <c r="AH110" i="25"/>
  <c r="AH105" i="25"/>
  <c r="AH104" i="25"/>
  <c r="AH103" i="25"/>
  <c r="AH102" i="25"/>
  <c r="AH97" i="25"/>
  <c r="AH96" i="25"/>
  <c r="AH95" i="25"/>
  <c r="AH94" i="25"/>
  <c r="AH89" i="25"/>
  <c r="AH88" i="25"/>
  <c r="AH87" i="25"/>
  <c r="AH86" i="25"/>
  <c r="AH81" i="25"/>
  <c r="AH80" i="25"/>
  <c r="AH79" i="25"/>
  <c r="AH78" i="25"/>
  <c r="AH73" i="25"/>
  <c r="AH72" i="25"/>
  <c r="AH71" i="25"/>
  <c r="AH70" i="25"/>
  <c r="AH65" i="25"/>
  <c r="AH64" i="25"/>
  <c r="AH63" i="25"/>
  <c r="AH62" i="25"/>
  <c r="AH57" i="25"/>
  <c r="AH56" i="25"/>
  <c r="AH55" i="25"/>
  <c r="AH54" i="25"/>
  <c r="AH49" i="25"/>
  <c r="AH48" i="25"/>
  <c r="AH47" i="25"/>
  <c r="AH46" i="25"/>
  <c r="AH41" i="25"/>
  <c r="AH40" i="25"/>
  <c r="AH39" i="25"/>
  <c r="AH38" i="25"/>
  <c r="AH33" i="25"/>
  <c r="AH32" i="25"/>
  <c r="AH31" i="25"/>
  <c r="AH30" i="25"/>
  <c r="AH25" i="25"/>
  <c r="AH24" i="25"/>
  <c r="AH23" i="25"/>
  <c r="AH22" i="25"/>
  <c r="AH17" i="25"/>
  <c r="AH16" i="25"/>
  <c r="AH15" i="25"/>
  <c r="AH14" i="25"/>
  <c r="AD241" i="25"/>
  <c r="AD240" i="25"/>
  <c r="AD239" i="25"/>
  <c r="AD238" i="25"/>
  <c r="AD234" i="25"/>
  <c r="AD233" i="25"/>
  <c r="AD232" i="25"/>
  <c r="AD231" i="25"/>
  <c r="AD230" i="25"/>
  <c r="AD225" i="25"/>
  <c r="AD224" i="25"/>
  <c r="AD223" i="25"/>
  <c r="AD222" i="25"/>
  <c r="AD217" i="25"/>
  <c r="AD216" i="25"/>
  <c r="AD215" i="25"/>
  <c r="AD214" i="25"/>
  <c r="AD209" i="25"/>
  <c r="AD208" i="25"/>
  <c r="AD207" i="25"/>
  <c r="AD206" i="25"/>
  <c r="AD201" i="25"/>
  <c r="AD200" i="25"/>
  <c r="AD199" i="25"/>
  <c r="AD198" i="25"/>
  <c r="AD193" i="25"/>
  <c r="AD192" i="25"/>
  <c r="AD191" i="25"/>
  <c r="AD190" i="25"/>
  <c r="AD185" i="25"/>
  <c r="AD184" i="25"/>
  <c r="AD183" i="25"/>
  <c r="AD182" i="25"/>
  <c r="AD177" i="25"/>
  <c r="AD176" i="25"/>
  <c r="AD175" i="25"/>
  <c r="AD174" i="25"/>
  <c r="AD169" i="25"/>
  <c r="AD168" i="25"/>
  <c r="AD167" i="25"/>
  <c r="AD166" i="25"/>
  <c r="AD161" i="25"/>
  <c r="AD160" i="25"/>
  <c r="AD159" i="25"/>
  <c r="AD158" i="25"/>
  <c r="AD153" i="25"/>
  <c r="AD152" i="25"/>
  <c r="AD151" i="25"/>
  <c r="AD150" i="25"/>
  <c r="AD145" i="25"/>
  <c r="AD144" i="25"/>
  <c r="AD143" i="25"/>
  <c r="AD142" i="25"/>
  <c r="AD137" i="25"/>
  <c r="AD136" i="25"/>
  <c r="AD135" i="25"/>
  <c r="AD134" i="25"/>
  <c r="AD129" i="25"/>
  <c r="AD128" i="25"/>
  <c r="AD127" i="25"/>
  <c r="AD126" i="25"/>
  <c r="AD121" i="25"/>
  <c r="AD120" i="25"/>
  <c r="AD119" i="25"/>
  <c r="AD118" i="25"/>
  <c r="AD113" i="25"/>
  <c r="AD112" i="25"/>
  <c r="AD111" i="25"/>
  <c r="AD110" i="25"/>
  <c r="AD105" i="25"/>
  <c r="AD104" i="25"/>
  <c r="AD103" i="25"/>
  <c r="AD102" i="25"/>
  <c r="AD97" i="25"/>
  <c r="AD96" i="25"/>
  <c r="AD95" i="25"/>
  <c r="AD94" i="25"/>
  <c r="AD89" i="25"/>
  <c r="AD88" i="25"/>
  <c r="AD87" i="25"/>
  <c r="AD86" i="25"/>
  <c r="AD81" i="25"/>
  <c r="AD80" i="25"/>
  <c r="AD79" i="25"/>
  <c r="AD78" i="25"/>
  <c r="AD73" i="25"/>
  <c r="AD72" i="25"/>
  <c r="AD71" i="25"/>
  <c r="AD70" i="25"/>
  <c r="AD65" i="25"/>
  <c r="AD64" i="25"/>
  <c r="AD63" i="25"/>
  <c r="AD62" i="25"/>
  <c r="AD57" i="25"/>
  <c r="AD56" i="25"/>
  <c r="AD55" i="25"/>
  <c r="AD54" i="25"/>
  <c r="AD49" i="25"/>
  <c r="AD48" i="25"/>
  <c r="AD47" i="25"/>
  <c r="AD46" i="25"/>
  <c r="AD41" i="25"/>
  <c r="AD40" i="25"/>
  <c r="AD39" i="25"/>
  <c r="AD38" i="25"/>
  <c r="AD33" i="25"/>
  <c r="AD32" i="25"/>
  <c r="AD31" i="25"/>
  <c r="AD30" i="25"/>
  <c r="AD25" i="25"/>
  <c r="AD24" i="25"/>
  <c r="AD23" i="25"/>
  <c r="AD22" i="25"/>
  <c r="AD17" i="25"/>
  <c r="AD16" i="25"/>
  <c r="AD15" i="25"/>
  <c r="AD14" i="25"/>
  <c r="Z241" i="25"/>
  <c r="Z240" i="25"/>
  <c r="Z239" i="25"/>
  <c r="Z238" i="25"/>
  <c r="Z234" i="25"/>
  <c r="Z233" i="25"/>
  <c r="Z232" i="25"/>
  <c r="Z231" i="25"/>
  <c r="Z230" i="25"/>
  <c r="Z225" i="25"/>
  <c r="Z224" i="25"/>
  <c r="Z223" i="25"/>
  <c r="Z222" i="25"/>
  <c r="Z217" i="25"/>
  <c r="Z216" i="25"/>
  <c r="Z215" i="25"/>
  <c r="Z214" i="25"/>
  <c r="Z209" i="25"/>
  <c r="Z208" i="25"/>
  <c r="Z207" i="25"/>
  <c r="Z206" i="25"/>
  <c r="Z201" i="25"/>
  <c r="Z200" i="25"/>
  <c r="Z199" i="25"/>
  <c r="Z198" i="25"/>
  <c r="Z193" i="25"/>
  <c r="Z192" i="25"/>
  <c r="Z191" i="25"/>
  <c r="Z190" i="25"/>
  <c r="Z185" i="25"/>
  <c r="Z184" i="25"/>
  <c r="Z183" i="25"/>
  <c r="Z182" i="25"/>
  <c r="Z177" i="25"/>
  <c r="Z176" i="25"/>
  <c r="Z175" i="25"/>
  <c r="Z174" i="25"/>
  <c r="Z169" i="25"/>
  <c r="Z168" i="25"/>
  <c r="Z167" i="25"/>
  <c r="Z166" i="25"/>
  <c r="Z161" i="25"/>
  <c r="Z160" i="25"/>
  <c r="Z159" i="25"/>
  <c r="Z158" i="25"/>
  <c r="Z153" i="25"/>
  <c r="Z152" i="25"/>
  <c r="Z151" i="25"/>
  <c r="Z150" i="25"/>
  <c r="Z145" i="25"/>
  <c r="Z144" i="25"/>
  <c r="Z143" i="25"/>
  <c r="Z142" i="25"/>
  <c r="Z137" i="25"/>
  <c r="Z136" i="25"/>
  <c r="Z135" i="25"/>
  <c r="Z134" i="25"/>
  <c r="Z129" i="25"/>
  <c r="Z128" i="25"/>
  <c r="Z127" i="25"/>
  <c r="Z126" i="25"/>
  <c r="Z121" i="25"/>
  <c r="Z120" i="25"/>
  <c r="Z119" i="25"/>
  <c r="Z118" i="25"/>
  <c r="Z113" i="25"/>
  <c r="Z112" i="25"/>
  <c r="Z111" i="25"/>
  <c r="Z110" i="25"/>
  <c r="Z105" i="25"/>
  <c r="Z104" i="25"/>
  <c r="Z103" i="25"/>
  <c r="Z102" i="25"/>
  <c r="Z97" i="25"/>
  <c r="Z96" i="25"/>
  <c r="Z95" i="25"/>
  <c r="Z94" i="25"/>
  <c r="Z89" i="25"/>
  <c r="Z88" i="25"/>
  <c r="Z87" i="25"/>
  <c r="Z86" i="25"/>
  <c r="Z81" i="25"/>
  <c r="Z80" i="25"/>
  <c r="Z79" i="25"/>
  <c r="Z78" i="25"/>
  <c r="Z73" i="25"/>
  <c r="Z72" i="25"/>
  <c r="Z71" i="25"/>
  <c r="Z70" i="25"/>
  <c r="Z65" i="25"/>
  <c r="Z64" i="25"/>
  <c r="Z63" i="25"/>
  <c r="Z62" i="25"/>
  <c r="Z57" i="25"/>
  <c r="Z56" i="25"/>
  <c r="Z55" i="25"/>
  <c r="Z54" i="25"/>
  <c r="Z49" i="25"/>
  <c r="Z48" i="25"/>
  <c r="Z47" i="25"/>
  <c r="Z46" i="25"/>
  <c r="Z41" i="25"/>
  <c r="Z40" i="25"/>
  <c r="Z39" i="25"/>
  <c r="Z38" i="25"/>
  <c r="Z33" i="25"/>
  <c r="Z32" i="25"/>
  <c r="Z31" i="25"/>
  <c r="Z30" i="25"/>
  <c r="Z25" i="25"/>
  <c r="Z24" i="25"/>
  <c r="Z23" i="25"/>
  <c r="Z22" i="25"/>
  <c r="Z17" i="25"/>
  <c r="Z16" i="25"/>
  <c r="Z15" i="25"/>
  <c r="Z14" i="25"/>
  <c r="AA206" i="25"/>
  <c r="U135" i="67"/>
  <c r="U128" i="67"/>
  <c r="U97" i="67"/>
  <c r="U91" i="67"/>
  <c r="U75" i="67"/>
  <c r="U69" i="67"/>
  <c r="U60" i="67"/>
  <c r="U53" i="67"/>
  <c r="S217" i="59"/>
  <c r="S216" i="59"/>
  <c r="S215" i="59"/>
  <c r="S202" i="59"/>
  <c r="S201" i="59"/>
  <c r="S200" i="59"/>
  <c r="S173" i="59"/>
  <c r="S172" i="59"/>
  <c r="S171" i="59"/>
  <c r="S172" i="67"/>
  <c r="R172" i="67"/>
  <c r="D172" i="67"/>
  <c r="S171" i="67"/>
  <c r="R171" i="67"/>
  <c r="D171" i="67"/>
  <c r="S170" i="67"/>
  <c r="R170" i="67"/>
  <c r="D170" i="67"/>
  <c r="S157" i="59"/>
  <c r="S156" i="59"/>
  <c r="S155" i="59"/>
  <c r="S154" i="59"/>
  <c r="AI244" i="6" l="1"/>
  <c r="AI243" i="6"/>
  <c r="AI242" i="6"/>
  <c r="AI241" i="6"/>
  <c r="AI240" i="6"/>
  <c r="AI239" i="6"/>
  <c r="AI238" i="6"/>
  <c r="AI237" i="6"/>
  <c r="AI236" i="6"/>
  <c r="AI235" i="6"/>
  <c r="AI234" i="6"/>
  <c r="AI232" i="6"/>
  <c r="AI231" i="6"/>
  <c r="AI230" i="6"/>
  <c r="AI229" i="6"/>
  <c r="AI228" i="6"/>
  <c r="AI227" i="6"/>
  <c r="AI226" i="6"/>
  <c r="AI225" i="6"/>
  <c r="AI224" i="6"/>
  <c r="AI223" i="6"/>
  <c r="AI222" i="6"/>
  <c r="AI221" i="6"/>
  <c r="AI220" i="6"/>
  <c r="AI219" i="6"/>
  <c r="AI218" i="6"/>
  <c r="AI217" i="6"/>
  <c r="AI216" i="6"/>
  <c r="AI215" i="6"/>
  <c r="AI214" i="6"/>
  <c r="AI213" i="6"/>
  <c r="AI212" i="6"/>
  <c r="AI211" i="6"/>
  <c r="AI210" i="6"/>
  <c r="AI209" i="6"/>
  <c r="AI208" i="6"/>
  <c r="AI207" i="6"/>
  <c r="AI206" i="6"/>
  <c r="AI205" i="6"/>
  <c r="AI204" i="6"/>
  <c r="AI203" i="6"/>
  <c r="AI202" i="6"/>
  <c r="AI201" i="6"/>
  <c r="AI200" i="6"/>
  <c r="AI199" i="6"/>
  <c r="AI198" i="6"/>
  <c r="AI197" i="6"/>
  <c r="AI196" i="6"/>
  <c r="AI195" i="6"/>
  <c r="AI194" i="6"/>
  <c r="AI193" i="6"/>
  <c r="AI192" i="6"/>
  <c r="AI191" i="6"/>
  <c r="AI190" i="6"/>
  <c r="AI189" i="6"/>
  <c r="AI188" i="6"/>
  <c r="AI187" i="6"/>
  <c r="AI186" i="6"/>
  <c r="AI185" i="6"/>
  <c r="AI184" i="6"/>
  <c r="AI183" i="6"/>
  <c r="AI182" i="6"/>
  <c r="AI181" i="6"/>
  <c r="AI180" i="6"/>
  <c r="AI179" i="6"/>
  <c r="AI178" i="6"/>
  <c r="AI177" i="6"/>
  <c r="AI176" i="6"/>
  <c r="AI175" i="6"/>
  <c r="AI174" i="6"/>
  <c r="AI173" i="6"/>
  <c r="AI172" i="6"/>
  <c r="AI171" i="6"/>
  <c r="AI170" i="6"/>
  <c r="AI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56" i="6"/>
  <c r="AI155" i="6"/>
  <c r="AI154" i="6"/>
  <c r="AI153" i="6"/>
  <c r="AI152" i="6"/>
  <c r="AI151" i="6"/>
  <c r="AI150" i="6"/>
  <c r="AI149" i="6"/>
  <c r="AI147" i="6"/>
  <c r="AI146" i="6"/>
  <c r="AI145" i="6"/>
  <c r="AI144" i="6"/>
  <c r="AI143" i="6"/>
  <c r="AI142" i="6"/>
  <c r="AI141" i="6"/>
  <c r="AI140" i="6"/>
  <c r="AI139" i="6"/>
  <c r="AI138" i="6"/>
  <c r="AI137" i="6"/>
  <c r="AI136" i="6"/>
  <c r="AI135" i="6"/>
  <c r="AI134" i="6"/>
  <c r="AI133" i="6"/>
  <c r="AI132" i="6"/>
  <c r="AI131" i="6"/>
  <c r="AI130" i="6"/>
  <c r="AI129" i="6"/>
  <c r="AI128" i="6"/>
  <c r="AI127" i="6"/>
  <c r="AI126" i="6"/>
  <c r="AI125" i="6"/>
  <c r="AI124" i="6"/>
  <c r="AI123" i="6"/>
  <c r="AI122" i="6"/>
  <c r="AI121" i="6"/>
  <c r="AI120" i="6"/>
  <c r="AI119" i="6"/>
  <c r="AI118" i="6"/>
  <c r="AI117" i="6"/>
  <c r="AI116" i="6"/>
  <c r="AI115" i="6"/>
  <c r="AI114" i="6"/>
  <c r="AI113" i="6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E244" i="6"/>
  <c r="AE243" i="6"/>
  <c r="AE242" i="6"/>
  <c r="AE241" i="6"/>
  <c r="AE240" i="6"/>
  <c r="AE239" i="6"/>
  <c r="AE238" i="6"/>
  <c r="AE237" i="6"/>
  <c r="AE236" i="6"/>
  <c r="AE235" i="6"/>
  <c r="AE234" i="6"/>
  <c r="AE232" i="6"/>
  <c r="AE231" i="6"/>
  <c r="AE230" i="6"/>
  <c r="AE229" i="6"/>
  <c r="AE228" i="6"/>
  <c r="AE227" i="6"/>
  <c r="AE226" i="6"/>
  <c r="AE225" i="6"/>
  <c r="AE224" i="6"/>
  <c r="AE223" i="6"/>
  <c r="AE222" i="6"/>
  <c r="AE221" i="6"/>
  <c r="AE220" i="6"/>
  <c r="AE219" i="6"/>
  <c r="AE218" i="6"/>
  <c r="AE217" i="6"/>
  <c r="AE216" i="6"/>
  <c r="AE215" i="6"/>
  <c r="AE214" i="6"/>
  <c r="AE213" i="6"/>
  <c r="AE212" i="6"/>
  <c r="AE211" i="6"/>
  <c r="AE210" i="6"/>
  <c r="AE209" i="6"/>
  <c r="AE208" i="6"/>
  <c r="AE207" i="6"/>
  <c r="AE206" i="6"/>
  <c r="AE205" i="6"/>
  <c r="AE204" i="6"/>
  <c r="AE203" i="6"/>
  <c r="AE202" i="6"/>
  <c r="AE201" i="6"/>
  <c r="AE200" i="6"/>
  <c r="AE199" i="6"/>
  <c r="AE198" i="6"/>
  <c r="AE197" i="6"/>
  <c r="AE196" i="6"/>
  <c r="AE195" i="6"/>
  <c r="AE194" i="6"/>
  <c r="AE193" i="6"/>
  <c r="AE192" i="6"/>
  <c r="AE191" i="6"/>
  <c r="AE190" i="6"/>
  <c r="AE189" i="6"/>
  <c r="AE188" i="6"/>
  <c r="AE187" i="6"/>
  <c r="AE186" i="6"/>
  <c r="AE185" i="6"/>
  <c r="AE184" i="6"/>
  <c r="AE183" i="6"/>
  <c r="AE182" i="6"/>
  <c r="AE181" i="6"/>
  <c r="AE180" i="6"/>
  <c r="AE179" i="6"/>
  <c r="AE178" i="6"/>
  <c r="AE177" i="6"/>
  <c r="AE176" i="6"/>
  <c r="AE175" i="6"/>
  <c r="AE174" i="6"/>
  <c r="AE173" i="6"/>
  <c r="AE172" i="6"/>
  <c r="AE171" i="6"/>
  <c r="AE170" i="6"/>
  <c r="AE169" i="6"/>
  <c r="AE168" i="6"/>
  <c r="AE167" i="6"/>
  <c r="AE166" i="6"/>
  <c r="AE165" i="6"/>
  <c r="AE164" i="6"/>
  <c r="AE163" i="6"/>
  <c r="AE162" i="6"/>
  <c r="AE161" i="6"/>
  <c r="AE160" i="6"/>
  <c r="AE159" i="6"/>
  <c r="AE158" i="6"/>
  <c r="AE157" i="6"/>
  <c r="AE156" i="6"/>
  <c r="AE155" i="6"/>
  <c r="AE154" i="6"/>
  <c r="AE153" i="6"/>
  <c r="AE152" i="6"/>
  <c r="AE151" i="6"/>
  <c r="AE150" i="6"/>
  <c r="AE149" i="6"/>
  <c r="AE147" i="6"/>
  <c r="AE146" i="6"/>
  <c r="AE145" i="6"/>
  <c r="AE144" i="6"/>
  <c r="AE143" i="6"/>
  <c r="AE142" i="6"/>
  <c r="AE141" i="6"/>
  <c r="AE140" i="6"/>
  <c r="AE139" i="6"/>
  <c r="AE138" i="6"/>
  <c r="AE137" i="6"/>
  <c r="AE136" i="6"/>
  <c r="AE135" i="6"/>
  <c r="AE134" i="6"/>
  <c r="AE133" i="6"/>
  <c r="AE132" i="6"/>
  <c r="AE131" i="6"/>
  <c r="AE130" i="6"/>
  <c r="AE129" i="6"/>
  <c r="AE128" i="6"/>
  <c r="AE127" i="6"/>
  <c r="AE126" i="6"/>
  <c r="AE125" i="6"/>
  <c r="AE124" i="6"/>
  <c r="AE123" i="6"/>
  <c r="AE122" i="6"/>
  <c r="AE121" i="6"/>
  <c r="AE120" i="6"/>
  <c r="AE119" i="6"/>
  <c r="AE118" i="6"/>
  <c r="AE117" i="6"/>
  <c r="AE116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E22" i="6"/>
  <c r="AE21" i="6"/>
  <c r="AE20" i="6"/>
  <c r="AE19" i="6"/>
  <c r="AE18" i="6"/>
  <c r="AE17" i="6"/>
  <c r="AE16" i="6"/>
  <c r="AE15" i="6"/>
  <c r="AE14" i="6"/>
  <c r="AE13" i="6"/>
  <c r="W244" i="6"/>
  <c r="W243" i="6"/>
  <c r="W242" i="6"/>
  <c r="W241" i="6"/>
  <c r="W240" i="6"/>
  <c r="W239" i="6"/>
  <c r="W238" i="6"/>
  <c r="W237" i="6"/>
  <c r="W236" i="6"/>
  <c r="W235" i="6"/>
  <c r="W234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56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1" i="6"/>
  <c r="AA72" i="6"/>
  <c r="AA73" i="6"/>
  <c r="AA74" i="6"/>
  <c r="AA75" i="6"/>
  <c r="AA76" i="6"/>
  <c r="AA77" i="6"/>
  <c r="AA78" i="6"/>
  <c r="AA79" i="6"/>
  <c r="AA80" i="6"/>
  <c r="AA81" i="6"/>
  <c r="AA82" i="6"/>
  <c r="AA83" i="6"/>
  <c r="AA84" i="6"/>
  <c r="AA85" i="6"/>
  <c r="AA86" i="6"/>
  <c r="AA87" i="6"/>
  <c r="AA88" i="6"/>
  <c r="AA89" i="6"/>
  <c r="AA90" i="6"/>
  <c r="AA91" i="6"/>
  <c r="AA92" i="6"/>
  <c r="AA93" i="6"/>
  <c r="AA94" i="6"/>
  <c r="AA95" i="6"/>
  <c r="AA96" i="6"/>
  <c r="AA97" i="6"/>
  <c r="AA98" i="6"/>
  <c r="AA99" i="6"/>
  <c r="AA100" i="6"/>
  <c r="AA101" i="6"/>
  <c r="AA102" i="6"/>
  <c r="AA103" i="6"/>
  <c r="AA104" i="6"/>
  <c r="AA105" i="6"/>
  <c r="AA106" i="6"/>
  <c r="AA107" i="6"/>
  <c r="AA108" i="6"/>
  <c r="AA109" i="6"/>
  <c r="AA110" i="6"/>
  <c r="AA111" i="6"/>
  <c r="AA112" i="6"/>
  <c r="AA113" i="6"/>
  <c r="AA114" i="6"/>
  <c r="AA115" i="6"/>
  <c r="AA116" i="6"/>
  <c r="AA117" i="6"/>
  <c r="AA118" i="6"/>
  <c r="AA119" i="6"/>
  <c r="AA120" i="6"/>
  <c r="AA121" i="6"/>
  <c r="AA122" i="6"/>
  <c r="AA123" i="6"/>
  <c r="AA124" i="6"/>
  <c r="AA125" i="6"/>
  <c r="AA126" i="6"/>
  <c r="AA127" i="6"/>
  <c r="AA128" i="6"/>
  <c r="AA129" i="6"/>
  <c r="AA130" i="6"/>
  <c r="AA131" i="6"/>
  <c r="AA132" i="6"/>
  <c r="AA133" i="6"/>
  <c r="AA134" i="6"/>
  <c r="AA135" i="6"/>
  <c r="AA136" i="6"/>
  <c r="AA137" i="6"/>
  <c r="AA138" i="6"/>
  <c r="AA139" i="6"/>
  <c r="AA140" i="6"/>
  <c r="AA141" i="6"/>
  <c r="AA142" i="6"/>
  <c r="AA143" i="6"/>
  <c r="AA144" i="6"/>
  <c r="AA145" i="6"/>
  <c r="AA146" i="6"/>
  <c r="AA147" i="6"/>
  <c r="AA149" i="6"/>
  <c r="AA150" i="6"/>
  <c r="AA151" i="6"/>
  <c r="AA152" i="6"/>
  <c r="AA153" i="6"/>
  <c r="AA15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72" i="6"/>
  <c r="AA173" i="6"/>
  <c r="AA174" i="6"/>
  <c r="AA175" i="6"/>
  <c r="AA176" i="6"/>
  <c r="AA177" i="6"/>
  <c r="AA178" i="6"/>
  <c r="AA179" i="6"/>
  <c r="AA180" i="6"/>
  <c r="AA181" i="6"/>
  <c r="AA182" i="6"/>
  <c r="AA183" i="6"/>
  <c r="AA184" i="6"/>
  <c r="AA185" i="6"/>
  <c r="AA186" i="6"/>
  <c r="AA187" i="6"/>
  <c r="AA188" i="6"/>
  <c r="AA189" i="6"/>
  <c r="AA190" i="6"/>
  <c r="AA191" i="6"/>
  <c r="AA192" i="6"/>
  <c r="AA193" i="6"/>
  <c r="AA194" i="6"/>
  <c r="AA195" i="6"/>
  <c r="AA196" i="6"/>
  <c r="AA197" i="6"/>
  <c r="AA198" i="6"/>
  <c r="AA199" i="6"/>
  <c r="AA200" i="6"/>
  <c r="AA201" i="6"/>
  <c r="AA202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216" i="6"/>
  <c r="AA217" i="6"/>
  <c r="AA218" i="6"/>
  <c r="AA219" i="6"/>
  <c r="AA220" i="6"/>
  <c r="AA221" i="6"/>
  <c r="AA222" i="6"/>
  <c r="AA223" i="6"/>
  <c r="AA224" i="6"/>
  <c r="AA225" i="6"/>
  <c r="AA226" i="6"/>
  <c r="AA227" i="6"/>
  <c r="AA228" i="6"/>
  <c r="AA229" i="6"/>
  <c r="AA230" i="6"/>
  <c r="AA231" i="6"/>
  <c r="AA232" i="6"/>
  <c r="AA234" i="6"/>
  <c r="AA235" i="6"/>
  <c r="AA236" i="6"/>
  <c r="AA237" i="6"/>
  <c r="AA238" i="6"/>
  <c r="AA239" i="6"/>
  <c r="AA240" i="6"/>
  <c r="AA241" i="6"/>
  <c r="AA242" i="6"/>
  <c r="AA243" i="6"/>
  <c r="AA244" i="6"/>
  <c r="AA13" i="6"/>
  <c r="D15" i="25"/>
  <c r="E15" i="25"/>
  <c r="M15" i="25"/>
  <c r="O15" i="25"/>
  <c r="R15" i="25"/>
  <c r="S15" i="25"/>
  <c r="T15" i="25"/>
  <c r="V15" i="25"/>
  <c r="W15" i="25"/>
  <c r="X15" i="25"/>
  <c r="AA15" i="25"/>
  <c r="AB15" i="25"/>
  <c r="AE15" i="25"/>
  <c r="AF15" i="25"/>
  <c r="AI15" i="25"/>
  <c r="AJ15" i="25"/>
  <c r="AM15" i="25"/>
  <c r="AN15" i="25"/>
  <c r="AQ15" i="25"/>
  <c r="AR15" i="25"/>
  <c r="D16" i="25"/>
  <c r="E16" i="25"/>
  <c r="M16" i="25"/>
  <c r="O16" i="25"/>
  <c r="R16" i="25"/>
  <c r="S16" i="25"/>
  <c r="T16" i="25"/>
  <c r="V16" i="25"/>
  <c r="W16" i="25"/>
  <c r="X16" i="25"/>
  <c r="AA16" i="25"/>
  <c r="AB16" i="25"/>
  <c r="AE16" i="25"/>
  <c r="AF16" i="25"/>
  <c r="AI16" i="25"/>
  <c r="AJ16" i="25"/>
  <c r="AM16" i="25"/>
  <c r="AN16" i="25"/>
  <c r="AQ16" i="25"/>
  <c r="AR16" i="25"/>
  <c r="D17" i="25"/>
  <c r="E17" i="25"/>
  <c r="M17" i="25"/>
  <c r="O17" i="25"/>
  <c r="R17" i="25"/>
  <c r="S17" i="25"/>
  <c r="T17" i="25"/>
  <c r="V17" i="25"/>
  <c r="W17" i="25"/>
  <c r="X17" i="25"/>
  <c r="AA17" i="25"/>
  <c r="AB17" i="25"/>
  <c r="AE17" i="25"/>
  <c r="AF17" i="25"/>
  <c r="AI17" i="25"/>
  <c r="AJ17" i="25"/>
  <c r="AM17" i="25"/>
  <c r="AN17" i="25"/>
  <c r="AQ17" i="25"/>
  <c r="AR17" i="25"/>
  <c r="D18" i="25"/>
  <c r="E18" i="25"/>
  <c r="M18" i="25"/>
  <c r="O18" i="25"/>
  <c r="R18" i="25"/>
  <c r="S18" i="25"/>
  <c r="T18" i="25"/>
  <c r="V18" i="25"/>
  <c r="W18" i="25"/>
  <c r="X18" i="25"/>
  <c r="AA18" i="25"/>
  <c r="AB18" i="25"/>
  <c r="AE18" i="25"/>
  <c r="AF18" i="25"/>
  <c r="AI18" i="25"/>
  <c r="AJ18" i="25"/>
  <c r="AM18" i="25"/>
  <c r="AN18" i="25"/>
  <c r="AQ18" i="25"/>
  <c r="AR18" i="25"/>
  <c r="D19" i="25"/>
  <c r="E19" i="25"/>
  <c r="M19" i="25"/>
  <c r="O19" i="25"/>
  <c r="R19" i="25"/>
  <c r="S19" i="25"/>
  <c r="T19" i="25"/>
  <c r="V19" i="25"/>
  <c r="W19" i="25"/>
  <c r="X19" i="25"/>
  <c r="AA19" i="25"/>
  <c r="AB19" i="25"/>
  <c r="AE19" i="25"/>
  <c r="AF19" i="25"/>
  <c r="AI19" i="25"/>
  <c r="AJ19" i="25"/>
  <c r="AM19" i="25"/>
  <c r="AN19" i="25"/>
  <c r="AQ19" i="25"/>
  <c r="AR19" i="25"/>
  <c r="D20" i="25"/>
  <c r="E20" i="25"/>
  <c r="M20" i="25"/>
  <c r="O20" i="25"/>
  <c r="R20" i="25"/>
  <c r="S20" i="25"/>
  <c r="T20" i="25"/>
  <c r="V20" i="25"/>
  <c r="W20" i="25"/>
  <c r="X20" i="25"/>
  <c r="AA20" i="25"/>
  <c r="AB20" i="25"/>
  <c r="AE20" i="25"/>
  <c r="AF20" i="25"/>
  <c r="AI20" i="25"/>
  <c r="AJ20" i="25"/>
  <c r="AM20" i="25"/>
  <c r="AN20" i="25"/>
  <c r="AQ20" i="25"/>
  <c r="AR20" i="25"/>
  <c r="D21" i="25"/>
  <c r="E21" i="25"/>
  <c r="M21" i="25"/>
  <c r="O21" i="25"/>
  <c r="R21" i="25"/>
  <c r="S21" i="25"/>
  <c r="T21" i="25"/>
  <c r="V21" i="25"/>
  <c r="W21" i="25"/>
  <c r="X21" i="25"/>
  <c r="AA21" i="25"/>
  <c r="AB21" i="25"/>
  <c r="AE21" i="25"/>
  <c r="AF21" i="25"/>
  <c r="AI21" i="25"/>
  <c r="AJ21" i="25"/>
  <c r="AM21" i="25"/>
  <c r="AN21" i="25"/>
  <c r="AQ21" i="25"/>
  <c r="AR21" i="25"/>
  <c r="D22" i="25"/>
  <c r="E22" i="25"/>
  <c r="M22" i="25"/>
  <c r="O22" i="25"/>
  <c r="R22" i="25"/>
  <c r="S22" i="25"/>
  <c r="T22" i="25"/>
  <c r="V22" i="25"/>
  <c r="W22" i="25"/>
  <c r="X22" i="25"/>
  <c r="AA22" i="25"/>
  <c r="AB22" i="25"/>
  <c r="AE22" i="25"/>
  <c r="AF22" i="25"/>
  <c r="AI22" i="25"/>
  <c r="AJ22" i="25"/>
  <c r="AM22" i="25"/>
  <c r="AN22" i="25"/>
  <c r="AQ22" i="25"/>
  <c r="AR22" i="25"/>
  <c r="D23" i="25"/>
  <c r="E23" i="25"/>
  <c r="M23" i="25"/>
  <c r="O23" i="25"/>
  <c r="R23" i="25"/>
  <c r="S23" i="25"/>
  <c r="T23" i="25"/>
  <c r="V23" i="25"/>
  <c r="W23" i="25"/>
  <c r="X23" i="25"/>
  <c r="AA23" i="25"/>
  <c r="AB23" i="25"/>
  <c r="AE23" i="25"/>
  <c r="AF23" i="25"/>
  <c r="AI23" i="25"/>
  <c r="AJ23" i="25"/>
  <c r="AM23" i="25"/>
  <c r="AN23" i="25"/>
  <c r="AQ23" i="25"/>
  <c r="AR23" i="25"/>
  <c r="D24" i="25"/>
  <c r="E24" i="25"/>
  <c r="M24" i="25"/>
  <c r="O24" i="25"/>
  <c r="R24" i="25"/>
  <c r="S24" i="25"/>
  <c r="T24" i="25"/>
  <c r="V24" i="25"/>
  <c r="W24" i="25"/>
  <c r="X24" i="25"/>
  <c r="AA24" i="25"/>
  <c r="AB24" i="25"/>
  <c r="AE24" i="25"/>
  <c r="AF24" i="25"/>
  <c r="AI24" i="25"/>
  <c r="AJ24" i="25"/>
  <c r="AM24" i="25"/>
  <c r="AN24" i="25"/>
  <c r="AQ24" i="25"/>
  <c r="AR24" i="25"/>
  <c r="D25" i="25"/>
  <c r="E25" i="25"/>
  <c r="M25" i="25"/>
  <c r="O25" i="25"/>
  <c r="R25" i="25"/>
  <c r="S25" i="25"/>
  <c r="T25" i="25"/>
  <c r="V25" i="25"/>
  <c r="W25" i="25"/>
  <c r="X25" i="25"/>
  <c r="AA25" i="25"/>
  <c r="AB25" i="25"/>
  <c r="AE25" i="25"/>
  <c r="AF25" i="25"/>
  <c r="AI25" i="25"/>
  <c r="AJ25" i="25"/>
  <c r="AM25" i="25"/>
  <c r="AN25" i="25"/>
  <c r="AQ25" i="25"/>
  <c r="AR25" i="25"/>
  <c r="D26" i="25"/>
  <c r="E26" i="25"/>
  <c r="M26" i="25"/>
  <c r="O26" i="25"/>
  <c r="R26" i="25"/>
  <c r="S26" i="25"/>
  <c r="T26" i="25"/>
  <c r="V26" i="25"/>
  <c r="W26" i="25"/>
  <c r="X26" i="25"/>
  <c r="AA26" i="25"/>
  <c r="AB26" i="25"/>
  <c r="AE26" i="25"/>
  <c r="AF26" i="25"/>
  <c r="AI26" i="25"/>
  <c r="AJ26" i="25"/>
  <c r="AM26" i="25"/>
  <c r="AN26" i="25"/>
  <c r="AQ26" i="25"/>
  <c r="AR26" i="25"/>
  <c r="D27" i="25"/>
  <c r="E27" i="25"/>
  <c r="M27" i="25"/>
  <c r="O27" i="25"/>
  <c r="R27" i="25"/>
  <c r="S27" i="25"/>
  <c r="T27" i="25"/>
  <c r="V27" i="25"/>
  <c r="W27" i="25"/>
  <c r="X27" i="25"/>
  <c r="AA27" i="25"/>
  <c r="AB27" i="25"/>
  <c r="AE27" i="25"/>
  <c r="AF27" i="25"/>
  <c r="AI27" i="25"/>
  <c r="AJ27" i="25"/>
  <c r="AM27" i="25"/>
  <c r="AN27" i="25"/>
  <c r="AQ27" i="25"/>
  <c r="AR27" i="25"/>
  <c r="D28" i="25"/>
  <c r="E28" i="25"/>
  <c r="M28" i="25"/>
  <c r="O28" i="25"/>
  <c r="R28" i="25"/>
  <c r="S28" i="25"/>
  <c r="T28" i="25"/>
  <c r="V28" i="25"/>
  <c r="W28" i="25"/>
  <c r="X28" i="25"/>
  <c r="AA28" i="25"/>
  <c r="AB28" i="25"/>
  <c r="AE28" i="25"/>
  <c r="AF28" i="25"/>
  <c r="AI28" i="25"/>
  <c r="AJ28" i="25"/>
  <c r="AM28" i="25"/>
  <c r="AN28" i="25"/>
  <c r="AQ28" i="25"/>
  <c r="AR28" i="25"/>
  <c r="D29" i="25"/>
  <c r="E29" i="25"/>
  <c r="M29" i="25"/>
  <c r="O29" i="25"/>
  <c r="R29" i="25"/>
  <c r="S29" i="25"/>
  <c r="T29" i="25"/>
  <c r="V29" i="25"/>
  <c r="W29" i="25"/>
  <c r="X29" i="25"/>
  <c r="AA29" i="25"/>
  <c r="AB29" i="25"/>
  <c r="AE29" i="25"/>
  <c r="AF29" i="25"/>
  <c r="AI29" i="25"/>
  <c r="AJ29" i="25"/>
  <c r="AM29" i="25"/>
  <c r="AN29" i="25"/>
  <c r="AQ29" i="25"/>
  <c r="AR29" i="25"/>
  <c r="D30" i="25"/>
  <c r="E30" i="25"/>
  <c r="M30" i="25"/>
  <c r="O30" i="25"/>
  <c r="R30" i="25"/>
  <c r="S30" i="25"/>
  <c r="T30" i="25"/>
  <c r="V30" i="25"/>
  <c r="W30" i="25"/>
  <c r="X30" i="25"/>
  <c r="AA30" i="25"/>
  <c r="AB30" i="25"/>
  <c r="AE30" i="25"/>
  <c r="AF30" i="25"/>
  <c r="AI30" i="25"/>
  <c r="AJ30" i="25"/>
  <c r="AM30" i="25"/>
  <c r="AN30" i="25"/>
  <c r="AQ30" i="25"/>
  <c r="AR30" i="25"/>
  <c r="D31" i="25"/>
  <c r="E31" i="25"/>
  <c r="M31" i="25"/>
  <c r="O31" i="25"/>
  <c r="R31" i="25"/>
  <c r="S31" i="25"/>
  <c r="T31" i="25"/>
  <c r="V31" i="25"/>
  <c r="W31" i="25"/>
  <c r="X31" i="25"/>
  <c r="AA31" i="25"/>
  <c r="AB31" i="25"/>
  <c r="AE31" i="25"/>
  <c r="AF31" i="25"/>
  <c r="AI31" i="25"/>
  <c r="AJ31" i="25"/>
  <c r="AM31" i="25"/>
  <c r="AN31" i="25"/>
  <c r="AQ31" i="25"/>
  <c r="AR31" i="25"/>
  <c r="D32" i="25"/>
  <c r="E32" i="25"/>
  <c r="M32" i="25"/>
  <c r="O32" i="25"/>
  <c r="R32" i="25"/>
  <c r="S32" i="25"/>
  <c r="T32" i="25"/>
  <c r="V32" i="25"/>
  <c r="W32" i="25"/>
  <c r="X32" i="25"/>
  <c r="AA32" i="25"/>
  <c r="AB32" i="25"/>
  <c r="AE32" i="25"/>
  <c r="AF32" i="25"/>
  <c r="AI32" i="25"/>
  <c r="AJ32" i="25"/>
  <c r="AM32" i="25"/>
  <c r="AN32" i="25"/>
  <c r="AQ32" i="25"/>
  <c r="AR32" i="25"/>
  <c r="D33" i="25"/>
  <c r="E33" i="25"/>
  <c r="M33" i="25"/>
  <c r="O33" i="25"/>
  <c r="R33" i="25"/>
  <c r="S33" i="25"/>
  <c r="T33" i="25"/>
  <c r="V33" i="25"/>
  <c r="W33" i="25"/>
  <c r="X33" i="25"/>
  <c r="AA33" i="25"/>
  <c r="AB33" i="25"/>
  <c r="AE33" i="25"/>
  <c r="AF33" i="25"/>
  <c r="AI33" i="25"/>
  <c r="AJ33" i="25"/>
  <c r="AM33" i="25"/>
  <c r="AN33" i="25"/>
  <c r="AQ33" i="25"/>
  <c r="AR33" i="25"/>
  <c r="D34" i="25"/>
  <c r="E34" i="25"/>
  <c r="M34" i="25"/>
  <c r="O34" i="25"/>
  <c r="R34" i="25"/>
  <c r="S34" i="25"/>
  <c r="T34" i="25"/>
  <c r="V34" i="25"/>
  <c r="W34" i="25"/>
  <c r="X34" i="25"/>
  <c r="AA34" i="25"/>
  <c r="AB34" i="25"/>
  <c r="AE34" i="25"/>
  <c r="AF34" i="25"/>
  <c r="AI34" i="25"/>
  <c r="AJ34" i="25"/>
  <c r="AM34" i="25"/>
  <c r="AN34" i="25"/>
  <c r="AQ34" i="25"/>
  <c r="AR34" i="25"/>
  <c r="D35" i="25"/>
  <c r="E35" i="25"/>
  <c r="M35" i="25"/>
  <c r="O35" i="25"/>
  <c r="R35" i="25"/>
  <c r="S35" i="25"/>
  <c r="T35" i="25"/>
  <c r="V35" i="25"/>
  <c r="W35" i="25"/>
  <c r="X35" i="25"/>
  <c r="AA35" i="25"/>
  <c r="AB35" i="25"/>
  <c r="AE35" i="25"/>
  <c r="AF35" i="25"/>
  <c r="AI35" i="25"/>
  <c r="AJ35" i="25"/>
  <c r="AM35" i="25"/>
  <c r="AN35" i="25"/>
  <c r="AQ35" i="25"/>
  <c r="AR35" i="25"/>
  <c r="D36" i="25"/>
  <c r="E36" i="25"/>
  <c r="M36" i="25"/>
  <c r="O36" i="25"/>
  <c r="R36" i="25"/>
  <c r="S36" i="25"/>
  <c r="T36" i="25"/>
  <c r="V36" i="25"/>
  <c r="W36" i="25"/>
  <c r="X36" i="25"/>
  <c r="AA36" i="25"/>
  <c r="AB36" i="25"/>
  <c r="AE36" i="25"/>
  <c r="AF36" i="25"/>
  <c r="AI36" i="25"/>
  <c r="AJ36" i="25"/>
  <c r="AM36" i="25"/>
  <c r="AN36" i="25"/>
  <c r="AQ36" i="25"/>
  <c r="AR36" i="25"/>
  <c r="D37" i="25"/>
  <c r="E37" i="25"/>
  <c r="M37" i="25"/>
  <c r="O37" i="25"/>
  <c r="R37" i="25"/>
  <c r="S37" i="25"/>
  <c r="T37" i="25"/>
  <c r="V37" i="25"/>
  <c r="W37" i="25"/>
  <c r="X37" i="25"/>
  <c r="AA37" i="25"/>
  <c r="AB37" i="25"/>
  <c r="AE37" i="25"/>
  <c r="AF37" i="25"/>
  <c r="AI37" i="25"/>
  <c r="AJ37" i="25"/>
  <c r="AM37" i="25"/>
  <c r="AN37" i="25"/>
  <c r="AQ37" i="25"/>
  <c r="AR37" i="25"/>
  <c r="D38" i="25"/>
  <c r="E38" i="25"/>
  <c r="M38" i="25"/>
  <c r="O38" i="25"/>
  <c r="R38" i="25"/>
  <c r="S38" i="25"/>
  <c r="T38" i="25"/>
  <c r="V38" i="25"/>
  <c r="W38" i="25"/>
  <c r="X38" i="25"/>
  <c r="AA38" i="25"/>
  <c r="AB38" i="25"/>
  <c r="AE38" i="25"/>
  <c r="AF38" i="25"/>
  <c r="AI38" i="25"/>
  <c r="AJ38" i="25"/>
  <c r="AM38" i="25"/>
  <c r="AN38" i="25"/>
  <c r="AQ38" i="25"/>
  <c r="AR38" i="25"/>
  <c r="D39" i="25"/>
  <c r="E39" i="25"/>
  <c r="M39" i="25"/>
  <c r="O39" i="25"/>
  <c r="R39" i="25"/>
  <c r="S39" i="25"/>
  <c r="T39" i="25"/>
  <c r="V39" i="25"/>
  <c r="W39" i="25"/>
  <c r="X39" i="25"/>
  <c r="AA39" i="25"/>
  <c r="AB39" i="25"/>
  <c r="AE39" i="25"/>
  <c r="AF39" i="25"/>
  <c r="AI39" i="25"/>
  <c r="AJ39" i="25"/>
  <c r="AM39" i="25"/>
  <c r="AN39" i="25"/>
  <c r="AQ39" i="25"/>
  <c r="AR39" i="25"/>
  <c r="D40" i="25"/>
  <c r="E40" i="25"/>
  <c r="M40" i="25"/>
  <c r="O40" i="25"/>
  <c r="R40" i="25"/>
  <c r="S40" i="25"/>
  <c r="T40" i="25"/>
  <c r="V40" i="25"/>
  <c r="W40" i="25"/>
  <c r="X40" i="25"/>
  <c r="AA40" i="25"/>
  <c r="AB40" i="25"/>
  <c r="AE40" i="25"/>
  <c r="AF40" i="25"/>
  <c r="AI40" i="25"/>
  <c r="AJ40" i="25"/>
  <c r="AM40" i="25"/>
  <c r="AN40" i="25"/>
  <c r="AQ40" i="25"/>
  <c r="AR40" i="25"/>
  <c r="D41" i="25"/>
  <c r="E41" i="25"/>
  <c r="M41" i="25"/>
  <c r="O41" i="25"/>
  <c r="R41" i="25"/>
  <c r="S41" i="25"/>
  <c r="T41" i="25"/>
  <c r="V41" i="25"/>
  <c r="W41" i="25"/>
  <c r="X41" i="25"/>
  <c r="AA41" i="25"/>
  <c r="AB41" i="25"/>
  <c r="AE41" i="25"/>
  <c r="AF41" i="25"/>
  <c r="AI41" i="25"/>
  <c r="AJ41" i="25"/>
  <c r="AM41" i="25"/>
  <c r="AN41" i="25"/>
  <c r="AQ41" i="25"/>
  <c r="AR41" i="25"/>
  <c r="D42" i="25"/>
  <c r="E42" i="25"/>
  <c r="M42" i="25"/>
  <c r="O42" i="25"/>
  <c r="R42" i="25"/>
  <c r="S42" i="25"/>
  <c r="T42" i="25"/>
  <c r="V42" i="25"/>
  <c r="W42" i="25"/>
  <c r="X42" i="25"/>
  <c r="AA42" i="25"/>
  <c r="AB42" i="25"/>
  <c r="AE42" i="25"/>
  <c r="AF42" i="25"/>
  <c r="AI42" i="25"/>
  <c r="AJ42" i="25"/>
  <c r="AM42" i="25"/>
  <c r="AN42" i="25"/>
  <c r="AQ42" i="25"/>
  <c r="AR42" i="25"/>
  <c r="D43" i="25"/>
  <c r="E43" i="25"/>
  <c r="M43" i="25"/>
  <c r="O43" i="25"/>
  <c r="R43" i="25"/>
  <c r="S43" i="25"/>
  <c r="T43" i="25"/>
  <c r="V43" i="25"/>
  <c r="W43" i="25"/>
  <c r="X43" i="25"/>
  <c r="AA43" i="25"/>
  <c r="AB43" i="25"/>
  <c r="AE43" i="25"/>
  <c r="AF43" i="25"/>
  <c r="AI43" i="25"/>
  <c r="AJ43" i="25"/>
  <c r="AM43" i="25"/>
  <c r="AN43" i="25"/>
  <c r="AQ43" i="25"/>
  <c r="AR43" i="25"/>
  <c r="D44" i="25"/>
  <c r="E44" i="25"/>
  <c r="M44" i="25"/>
  <c r="O44" i="25"/>
  <c r="R44" i="25"/>
  <c r="S44" i="25"/>
  <c r="T44" i="25"/>
  <c r="V44" i="25"/>
  <c r="W44" i="25"/>
  <c r="X44" i="25"/>
  <c r="AA44" i="25"/>
  <c r="AB44" i="25"/>
  <c r="AE44" i="25"/>
  <c r="AF44" i="25"/>
  <c r="AI44" i="25"/>
  <c r="AJ44" i="25"/>
  <c r="AM44" i="25"/>
  <c r="AN44" i="25"/>
  <c r="AQ44" i="25"/>
  <c r="AR44" i="25"/>
  <c r="D45" i="25"/>
  <c r="E45" i="25"/>
  <c r="M45" i="25"/>
  <c r="O45" i="25"/>
  <c r="R45" i="25"/>
  <c r="S45" i="25"/>
  <c r="T45" i="25"/>
  <c r="V45" i="25"/>
  <c r="W45" i="25"/>
  <c r="X45" i="25"/>
  <c r="AA45" i="25"/>
  <c r="AB45" i="25"/>
  <c r="AE45" i="25"/>
  <c r="AF45" i="25"/>
  <c r="AI45" i="25"/>
  <c r="AJ45" i="25"/>
  <c r="AM45" i="25"/>
  <c r="AN45" i="25"/>
  <c r="AQ45" i="25"/>
  <c r="AR45" i="25"/>
  <c r="D46" i="25"/>
  <c r="E46" i="25"/>
  <c r="M46" i="25"/>
  <c r="O46" i="25"/>
  <c r="R46" i="25"/>
  <c r="S46" i="25"/>
  <c r="T46" i="25"/>
  <c r="V46" i="25"/>
  <c r="W46" i="25"/>
  <c r="X46" i="25"/>
  <c r="AA46" i="25"/>
  <c r="AB46" i="25"/>
  <c r="AE46" i="25"/>
  <c r="AF46" i="25"/>
  <c r="AI46" i="25"/>
  <c r="AJ46" i="25"/>
  <c r="AM46" i="25"/>
  <c r="AN46" i="25"/>
  <c r="AQ46" i="25"/>
  <c r="AR46" i="25"/>
  <c r="D47" i="25"/>
  <c r="E47" i="25"/>
  <c r="M47" i="25"/>
  <c r="O47" i="25"/>
  <c r="R47" i="25"/>
  <c r="S47" i="25"/>
  <c r="T47" i="25"/>
  <c r="V47" i="25"/>
  <c r="W47" i="25"/>
  <c r="X47" i="25"/>
  <c r="AA47" i="25"/>
  <c r="AB47" i="25"/>
  <c r="AE47" i="25"/>
  <c r="AF47" i="25"/>
  <c r="AI47" i="25"/>
  <c r="AJ47" i="25"/>
  <c r="AM47" i="25"/>
  <c r="AN47" i="25"/>
  <c r="AQ47" i="25"/>
  <c r="AR47" i="25"/>
  <c r="D48" i="25"/>
  <c r="E48" i="25"/>
  <c r="M48" i="25"/>
  <c r="O48" i="25"/>
  <c r="R48" i="25"/>
  <c r="S48" i="25"/>
  <c r="T48" i="25"/>
  <c r="V48" i="25"/>
  <c r="W48" i="25"/>
  <c r="X48" i="25"/>
  <c r="AA48" i="25"/>
  <c r="AB48" i="25"/>
  <c r="AE48" i="25"/>
  <c r="AF48" i="25"/>
  <c r="AI48" i="25"/>
  <c r="AJ48" i="25"/>
  <c r="AM48" i="25"/>
  <c r="AN48" i="25"/>
  <c r="AQ48" i="25"/>
  <c r="AR48" i="25"/>
  <c r="D49" i="25"/>
  <c r="E49" i="25"/>
  <c r="M49" i="25"/>
  <c r="O49" i="25"/>
  <c r="R49" i="25"/>
  <c r="S49" i="25"/>
  <c r="T49" i="25"/>
  <c r="V49" i="25"/>
  <c r="W49" i="25"/>
  <c r="X49" i="25"/>
  <c r="AA49" i="25"/>
  <c r="AB49" i="25"/>
  <c r="AE49" i="25"/>
  <c r="AF49" i="25"/>
  <c r="AI49" i="25"/>
  <c r="AJ49" i="25"/>
  <c r="AM49" i="25"/>
  <c r="AN49" i="25"/>
  <c r="AQ49" i="25"/>
  <c r="AR49" i="25"/>
  <c r="D50" i="25"/>
  <c r="E50" i="25"/>
  <c r="M50" i="25"/>
  <c r="O50" i="25"/>
  <c r="R50" i="25"/>
  <c r="S50" i="25"/>
  <c r="T50" i="25"/>
  <c r="V50" i="25"/>
  <c r="W50" i="25"/>
  <c r="X50" i="25"/>
  <c r="AA50" i="25"/>
  <c r="AB50" i="25"/>
  <c r="AE50" i="25"/>
  <c r="AF50" i="25"/>
  <c r="AI50" i="25"/>
  <c r="AJ50" i="25"/>
  <c r="AM50" i="25"/>
  <c r="AN50" i="25"/>
  <c r="AQ50" i="25"/>
  <c r="AR50" i="25"/>
  <c r="D51" i="25"/>
  <c r="E51" i="25"/>
  <c r="M51" i="25"/>
  <c r="O51" i="25"/>
  <c r="R51" i="25"/>
  <c r="S51" i="25"/>
  <c r="T51" i="25"/>
  <c r="V51" i="25"/>
  <c r="W51" i="25"/>
  <c r="X51" i="25"/>
  <c r="AA51" i="25"/>
  <c r="AB51" i="25"/>
  <c r="AE51" i="25"/>
  <c r="AF51" i="25"/>
  <c r="AI51" i="25"/>
  <c r="AJ51" i="25"/>
  <c r="AM51" i="25"/>
  <c r="AN51" i="25"/>
  <c r="AQ51" i="25"/>
  <c r="AR51" i="25"/>
  <c r="D52" i="25"/>
  <c r="E52" i="25"/>
  <c r="M52" i="25"/>
  <c r="O52" i="25"/>
  <c r="R52" i="25"/>
  <c r="S52" i="25"/>
  <c r="T52" i="25"/>
  <c r="V52" i="25"/>
  <c r="W52" i="25"/>
  <c r="X52" i="25"/>
  <c r="AA52" i="25"/>
  <c r="AB52" i="25"/>
  <c r="AE52" i="25"/>
  <c r="AF52" i="25"/>
  <c r="AI52" i="25"/>
  <c r="AJ52" i="25"/>
  <c r="AM52" i="25"/>
  <c r="AN52" i="25"/>
  <c r="AQ52" i="25"/>
  <c r="AR52" i="25"/>
  <c r="D53" i="25"/>
  <c r="E53" i="25"/>
  <c r="M53" i="25"/>
  <c r="O53" i="25"/>
  <c r="R53" i="25"/>
  <c r="S53" i="25"/>
  <c r="T53" i="25"/>
  <c r="V53" i="25"/>
  <c r="W53" i="25"/>
  <c r="X53" i="25"/>
  <c r="AA53" i="25"/>
  <c r="AB53" i="25"/>
  <c r="AE53" i="25"/>
  <c r="AF53" i="25"/>
  <c r="AI53" i="25"/>
  <c r="AJ53" i="25"/>
  <c r="AM53" i="25"/>
  <c r="AN53" i="25"/>
  <c r="AQ53" i="25"/>
  <c r="AR53" i="25"/>
  <c r="D54" i="25"/>
  <c r="E54" i="25"/>
  <c r="M54" i="25"/>
  <c r="O54" i="25"/>
  <c r="R54" i="25"/>
  <c r="S54" i="25"/>
  <c r="T54" i="25"/>
  <c r="V54" i="25"/>
  <c r="W54" i="25"/>
  <c r="X54" i="25"/>
  <c r="AA54" i="25"/>
  <c r="AB54" i="25"/>
  <c r="AE54" i="25"/>
  <c r="AF54" i="25"/>
  <c r="AI54" i="25"/>
  <c r="AJ54" i="25"/>
  <c r="AM54" i="25"/>
  <c r="AN54" i="25"/>
  <c r="AQ54" i="25"/>
  <c r="AR54" i="25"/>
  <c r="D55" i="25"/>
  <c r="E55" i="25"/>
  <c r="M55" i="25"/>
  <c r="O55" i="25"/>
  <c r="R55" i="25"/>
  <c r="S55" i="25"/>
  <c r="T55" i="25"/>
  <c r="V55" i="25"/>
  <c r="W55" i="25"/>
  <c r="X55" i="25"/>
  <c r="AA55" i="25"/>
  <c r="AB55" i="25"/>
  <c r="AE55" i="25"/>
  <c r="AF55" i="25"/>
  <c r="AI55" i="25"/>
  <c r="AJ55" i="25"/>
  <c r="AM55" i="25"/>
  <c r="AN55" i="25"/>
  <c r="AQ55" i="25"/>
  <c r="AR55" i="25"/>
  <c r="D56" i="25"/>
  <c r="E56" i="25"/>
  <c r="M56" i="25"/>
  <c r="O56" i="25"/>
  <c r="R56" i="25"/>
  <c r="S56" i="25"/>
  <c r="T56" i="25"/>
  <c r="V56" i="25"/>
  <c r="W56" i="25"/>
  <c r="X56" i="25"/>
  <c r="AA56" i="25"/>
  <c r="AB56" i="25"/>
  <c r="AE56" i="25"/>
  <c r="AF56" i="25"/>
  <c r="AI56" i="25"/>
  <c r="AJ56" i="25"/>
  <c r="AM56" i="25"/>
  <c r="AN56" i="25"/>
  <c r="AQ56" i="25"/>
  <c r="AR56" i="25"/>
  <c r="D57" i="25"/>
  <c r="E57" i="25"/>
  <c r="M57" i="25"/>
  <c r="O57" i="25"/>
  <c r="R57" i="25"/>
  <c r="S57" i="25"/>
  <c r="T57" i="25"/>
  <c r="V57" i="25"/>
  <c r="W57" i="25"/>
  <c r="X57" i="25"/>
  <c r="AA57" i="25"/>
  <c r="AB57" i="25"/>
  <c r="AE57" i="25"/>
  <c r="AF57" i="25"/>
  <c r="AI57" i="25"/>
  <c r="AJ57" i="25"/>
  <c r="AM57" i="25"/>
  <c r="AN57" i="25"/>
  <c r="AQ57" i="25"/>
  <c r="AR57" i="25"/>
  <c r="D58" i="25"/>
  <c r="E58" i="25"/>
  <c r="M58" i="25"/>
  <c r="O58" i="25"/>
  <c r="R58" i="25"/>
  <c r="S58" i="25"/>
  <c r="T58" i="25"/>
  <c r="V58" i="25"/>
  <c r="W58" i="25"/>
  <c r="X58" i="25"/>
  <c r="AA58" i="25"/>
  <c r="AB58" i="25"/>
  <c r="AE58" i="25"/>
  <c r="AF58" i="25"/>
  <c r="AI58" i="25"/>
  <c r="AJ58" i="25"/>
  <c r="AM58" i="25"/>
  <c r="AN58" i="25"/>
  <c r="AQ58" i="25"/>
  <c r="AR58" i="25"/>
  <c r="D59" i="25"/>
  <c r="E59" i="25"/>
  <c r="M59" i="25"/>
  <c r="O59" i="25"/>
  <c r="R59" i="25"/>
  <c r="S59" i="25"/>
  <c r="T59" i="25"/>
  <c r="V59" i="25"/>
  <c r="W59" i="25"/>
  <c r="X59" i="25"/>
  <c r="AA59" i="25"/>
  <c r="AB59" i="25"/>
  <c r="AE59" i="25"/>
  <c r="AF59" i="25"/>
  <c r="AI59" i="25"/>
  <c r="AJ59" i="25"/>
  <c r="AM59" i="25"/>
  <c r="AN59" i="25"/>
  <c r="AQ59" i="25"/>
  <c r="AR59" i="25"/>
  <c r="D60" i="25"/>
  <c r="E60" i="25"/>
  <c r="M60" i="25"/>
  <c r="O60" i="25"/>
  <c r="R60" i="25"/>
  <c r="S60" i="25"/>
  <c r="T60" i="25"/>
  <c r="V60" i="25"/>
  <c r="W60" i="25"/>
  <c r="X60" i="25"/>
  <c r="AA60" i="25"/>
  <c r="AB60" i="25"/>
  <c r="AE60" i="25"/>
  <c r="AF60" i="25"/>
  <c r="AI60" i="25"/>
  <c r="AJ60" i="25"/>
  <c r="AM60" i="25"/>
  <c r="AN60" i="25"/>
  <c r="AQ60" i="25"/>
  <c r="AR60" i="25"/>
  <c r="D61" i="25"/>
  <c r="E61" i="25"/>
  <c r="M61" i="25"/>
  <c r="O61" i="25"/>
  <c r="R61" i="25"/>
  <c r="S61" i="25"/>
  <c r="T61" i="25"/>
  <c r="V61" i="25"/>
  <c r="W61" i="25"/>
  <c r="X61" i="25"/>
  <c r="AA61" i="25"/>
  <c r="AB61" i="25"/>
  <c r="AE61" i="25"/>
  <c r="AF61" i="25"/>
  <c r="AI61" i="25"/>
  <c r="AJ61" i="25"/>
  <c r="AM61" i="25"/>
  <c r="AN61" i="25"/>
  <c r="AQ61" i="25"/>
  <c r="AR61" i="25"/>
  <c r="D62" i="25"/>
  <c r="E62" i="25"/>
  <c r="M62" i="25"/>
  <c r="O62" i="25"/>
  <c r="R62" i="25"/>
  <c r="S62" i="25"/>
  <c r="T62" i="25"/>
  <c r="V62" i="25"/>
  <c r="W62" i="25"/>
  <c r="X62" i="25"/>
  <c r="AA62" i="25"/>
  <c r="AB62" i="25"/>
  <c r="AE62" i="25"/>
  <c r="AF62" i="25"/>
  <c r="AI62" i="25"/>
  <c r="AJ62" i="25"/>
  <c r="AM62" i="25"/>
  <c r="AN62" i="25"/>
  <c r="AQ62" i="25"/>
  <c r="AR62" i="25"/>
  <c r="D63" i="25"/>
  <c r="E63" i="25"/>
  <c r="M63" i="25"/>
  <c r="O63" i="25"/>
  <c r="R63" i="25"/>
  <c r="S63" i="25"/>
  <c r="T63" i="25"/>
  <c r="V63" i="25"/>
  <c r="W63" i="25"/>
  <c r="X63" i="25"/>
  <c r="AA63" i="25"/>
  <c r="AB63" i="25"/>
  <c r="AE63" i="25"/>
  <c r="AF63" i="25"/>
  <c r="AI63" i="25"/>
  <c r="AJ63" i="25"/>
  <c r="AM63" i="25"/>
  <c r="AN63" i="25"/>
  <c r="AQ63" i="25"/>
  <c r="AR63" i="25"/>
  <c r="D64" i="25"/>
  <c r="E64" i="25"/>
  <c r="M64" i="25"/>
  <c r="O64" i="25"/>
  <c r="R64" i="25"/>
  <c r="S64" i="25"/>
  <c r="T64" i="25"/>
  <c r="V64" i="25"/>
  <c r="W64" i="25"/>
  <c r="X64" i="25"/>
  <c r="AA64" i="25"/>
  <c r="AB64" i="25"/>
  <c r="AE64" i="25"/>
  <c r="AF64" i="25"/>
  <c r="AI64" i="25"/>
  <c r="AJ64" i="25"/>
  <c r="AM64" i="25"/>
  <c r="AN64" i="25"/>
  <c r="AQ64" i="25"/>
  <c r="AR64" i="25"/>
  <c r="D65" i="25"/>
  <c r="E65" i="25"/>
  <c r="M65" i="25"/>
  <c r="O65" i="25"/>
  <c r="R65" i="25"/>
  <c r="S65" i="25"/>
  <c r="T65" i="25"/>
  <c r="V65" i="25"/>
  <c r="W65" i="25"/>
  <c r="X65" i="25"/>
  <c r="AA65" i="25"/>
  <c r="AB65" i="25"/>
  <c r="AE65" i="25"/>
  <c r="AF65" i="25"/>
  <c r="AI65" i="25"/>
  <c r="AJ65" i="25"/>
  <c r="AM65" i="25"/>
  <c r="AN65" i="25"/>
  <c r="AQ65" i="25"/>
  <c r="AR65" i="25"/>
  <c r="D66" i="25"/>
  <c r="E66" i="25"/>
  <c r="M66" i="25"/>
  <c r="O66" i="25"/>
  <c r="R66" i="25"/>
  <c r="S66" i="25"/>
  <c r="T66" i="25"/>
  <c r="V66" i="25"/>
  <c r="W66" i="25"/>
  <c r="X66" i="25"/>
  <c r="AA66" i="25"/>
  <c r="AB66" i="25"/>
  <c r="AE66" i="25"/>
  <c r="AF66" i="25"/>
  <c r="AI66" i="25"/>
  <c r="AJ66" i="25"/>
  <c r="AM66" i="25"/>
  <c r="AN66" i="25"/>
  <c r="AQ66" i="25"/>
  <c r="AR66" i="25"/>
  <c r="D67" i="25"/>
  <c r="E67" i="25"/>
  <c r="M67" i="25"/>
  <c r="O67" i="25"/>
  <c r="R67" i="25"/>
  <c r="S67" i="25"/>
  <c r="T67" i="25"/>
  <c r="V67" i="25"/>
  <c r="W67" i="25"/>
  <c r="X67" i="25"/>
  <c r="AA67" i="25"/>
  <c r="AB67" i="25"/>
  <c r="AE67" i="25"/>
  <c r="AF67" i="25"/>
  <c r="AI67" i="25"/>
  <c r="AJ67" i="25"/>
  <c r="AM67" i="25"/>
  <c r="AN67" i="25"/>
  <c r="AQ67" i="25"/>
  <c r="AR67" i="25"/>
  <c r="D68" i="25"/>
  <c r="E68" i="25"/>
  <c r="M68" i="25"/>
  <c r="O68" i="25"/>
  <c r="R68" i="25"/>
  <c r="S68" i="25"/>
  <c r="T68" i="25"/>
  <c r="V68" i="25"/>
  <c r="W68" i="25"/>
  <c r="X68" i="25"/>
  <c r="AA68" i="25"/>
  <c r="AB68" i="25"/>
  <c r="AE68" i="25"/>
  <c r="AF68" i="25"/>
  <c r="AI68" i="25"/>
  <c r="AJ68" i="25"/>
  <c r="AM68" i="25"/>
  <c r="AN68" i="25"/>
  <c r="AQ68" i="25"/>
  <c r="AR68" i="25"/>
  <c r="D69" i="25"/>
  <c r="E69" i="25"/>
  <c r="M69" i="25"/>
  <c r="O69" i="25"/>
  <c r="R69" i="25"/>
  <c r="S69" i="25"/>
  <c r="T69" i="25"/>
  <c r="V69" i="25"/>
  <c r="W69" i="25"/>
  <c r="X69" i="25"/>
  <c r="AA69" i="25"/>
  <c r="AB69" i="25"/>
  <c r="AE69" i="25"/>
  <c r="AF69" i="25"/>
  <c r="AI69" i="25"/>
  <c r="AJ69" i="25"/>
  <c r="AM69" i="25"/>
  <c r="AN69" i="25"/>
  <c r="AQ69" i="25"/>
  <c r="AR69" i="25"/>
  <c r="D70" i="25"/>
  <c r="E70" i="25"/>
  <c r="M70" i="25"/>
  <c r="O70" i="25"/>
  <c r="R70" i="25"/>
  <c r="S70" i="25"/>
  <c r="T70" i="25"/>
  <c r="V70" i="25"/>
  <c r="W70" i="25"/>
  <c r="X70" i="25"/>
  <c r="AA70" i="25"/>
  <c r="AB70" i="25"/>
  <c r="AE70" i="25"/>
  <c r="AF70" i="25"/>
  <c r="AI70" i="25"/>
  <c r="AJ70" i="25"/>
  <c r="AM70" i="25"/>
  <c r="AN70" i="25"/>
  <c r="AQ70" i="25"/>
  <c r="AR70" i="25"/>
  <c r="D71" i="25"/>
  <c r="E71" i="25"/>
  <c r="M71" i="25"/>
  <c r="O71" i="25"/>
  <c r="R71" i="25"/>
  <c r="S71" i="25"/>
  <c r="T71" i="25"/>
  <c r="V71" i="25"/>
  <c r="W71" i="25"/>
  <c r="X71" i="25"/>
  <c r="AA71" i="25"/>
  <c r="AB71" i="25"/>
  <c r="AE71" i="25"/>
  <c r="AF71" i="25"/>
  <c r="AI71" i="25"/>
  <c r="AJ71" i="25"/>
  <c r="AM71" i="25"/>
  <c r="AN71" i="25"/>
  <c r="AQ71" i="25"/>
  <c r="AR71" i="25"/>
  <c r="D72" i="25"/>
  <c r="E72" i="25"/>
  <c r="M72" i="25"/>
  <c r="O72" i="25"/>
  <c r="R72" i="25"/>
  <c r="S72" i="25"/>
  <c r="T72" i="25"/>
  <c r="V72" i="25"/>
  <c r="W72" i="25"/>
  <c r="X72" i="25"/>
  <c r="AA72" i="25"/>
  <c r="AB72" i="25"/>
  <c r="AE72" i="25"/>
  <c r="AF72" i="25"/>
  <c r="AI72" i="25"/>
  <c r="AJ72" i="25"/>
  <c r="AM72" i="25"/>
  <c r="AN72" i="25"/>
  <c r="AQ72" i="25"/>
  <c r="AR72" i="25"/>
  <c r="D73" i="25"/>
  <c r="E73" i="25"/>
  <c r="M73" i="25"/>
  <c r="O73" i="25"/>
  <c r="R73" i="25"/>
  <c r="S73" i="25"/>
  <c r="T73" i="25"/>
  <c r="V73" i="25"/>
  <c r="W73" i="25"/>
  <c r="X73" i="25"/>
  <c r="AA73" i="25"/>
  <c r="AB73" i="25"/>
  <c r="AE73" i="25"/>
  <c r="AF73" i="25"/>
  <c r="AI73" i="25"/>
  <c r="AJ73" i="25"/>
  <c r="AM73" i="25"/>
  <c r="AN73" i="25"/>
  <c r="AQ73" i="25"/>
  <c r="AR73" i="25"/>
  <c r="D74" i="25"/>
  <c r="E74" i="25"/>
  <c r="M74" i="25"/>
  <c r="O74" i="25"/>
  <c r="R74" i="25"/>
  <c r="S74" i="25"/>
  <c r="T74" i="25"/>
  <c r="V74" i="25"/>
  <c r="W74" i="25"/>
  <c r="X74" i="25"/>
  <c r="AA74" i="25"/>
  <c r="AB74" i="25"/>
  <c r="AE74" i="25"/>
  <c r="AF74" i="25"/>
  <c r="AI74" i="25"/>
  <c r="AJ74" i="25"/>
  <c r="AM74" i="25"/>
  <c r="AN74" i="25"/>
  <c r="AQ74" i="25"/>
  <c r="AR74" i="25"/>
  <c r="D75" i="25"/>
  <c r="E75" i="25"/>
  <c r="M75" i="25"/>
  <c r="O75" i="25"/>
  <c r="R75" i="25"/>
  <c r="S75" i="25"/>
  <c r="T75" i="25"/>
  <c r="V75" i="25"/>
  <c r="W75" i="25"/>
  <c r="X75" i="25"/>
  <c r="AA75" i="25"/>
  <c r="AB75" i="25"/>
  <c r="AE75" i="25"/>
  <c r="AF75" i="25"/>
  <c r="AI75" i="25"/>
  <c r="AJ75" i="25"/>
  <c r="AM75" i="25"/>
  <c r="AN75" i="25"/>
  <c r="AQ75" i="25"/>
  <c r="AR75" i="25"/>
  <c r="D76" i="25"/>
  <c r="E76" i="25"/>
  <c r="M76" i="25"/>
  <c r="O76" i="25"/>
  <c r="R76" i="25"/>
  <c r="S76" i="25"/>
  <c r="T76" i="25"/>
  <c r="V76" i="25"/>
  <c r="W76" i="25"/>
  <c r="X76" i="25"/>
  <c r="AA76" i="25"/>
  <c r="AB76" i="25"/>
  <c r="AE76" i="25"/>
  <c r="AF76" i="25"/>
  <c r="AI76" i="25"/>
  <c r="AJ76" i="25"/>
  <c r="AM76" i="25"/>
  <c r="AN76" i="25"/>
  <c r="AQ76" i="25"/>
  <c r="AR76" i="25"/>
  <c r="D77" i="25"/>
  <c r="E77" i="25"/>
  <c r="M77" i="25"/>
  <c r="O77" i="25"/>
  <c r="R77" i="25"/>
  <c r="S77" i="25"/>
  <c r="T77" i="25"/>
  <c r="V77" i="25"/>
  <c r="W77" i="25"/>
  <c r="X77" i="25"/>
  <c r="AA77" i="25"/>
  <c r="AB77" i="25"/>
  <c r="AE77" i="25"/>
  <c r="AF77" i="25"/>
  <c r="AI77" i="25"/>
  <c r="AJ77" i="25"/>
  <c r="AM77" i="25"/>
  <c r="AN77" i="25"/>
  <c r="AQ77" i="25"/>
  <c r="AR77" i="25"/>
  <c r="D78" i="25"/>
  <c r="E78" i="25"/>
  <c r="M78" i="25"/>
  <c r="O78" i="25"/>
  <c r="R78" i="25"/>
  <c r="S78" i="25"/>
  <c r="T78" i="25"/>
  <c r="V78" i="25"/>
  <c r="W78" i="25"/>
  <c r="X78" i="25"/>
  <c r="AA78" i="25"/>
  <c r="AB78" i="25"/>
  <c r="AE78" i="25"/>
  <c r="AF78" i="25"/>
  <c r="AI78" i="25"/>
  <c r="AJ78" i="25"/>
  <c r="AM78" i="25"/>
  <c r="AN78" i="25"/>
  <c r="AQ78" i="25"/>
  <c r="AR78" i="25"/>
  <c r="D79" i="25"/>
  <c r="E79" i="25"/>
  <c r="M79" i="25"/>
  <c r="O79" i="25"/>
  <c r="R79" i="25"/>
  <c r="S79" i="25"/>
  <c r="T79" i="25"/>
  <c r="V79" i="25"/>
  <c r="W79" i="25"/>
  <c r="X79" i="25"/>
  <c r="AA79" i="25"/>
  <c r="AB79" i="25"/>
  <c r="AE79" i="25"/>
  <c r="AF79" i="25"/>
  <c r="AI79" i="25"/>
  <c r="AJ79" i="25"/>
  <c r="AM79" i="25"/>
  <c r="AN79" i="25"/>
  <c r="AQ79" i="25"/>
  <c r="AR79" i="25"/>
  <c r="D80" i="25"/>
  <c r="E80" i="25"/>
  <c r="M80" i="25"/>
  <c r="O80" i="25"/>
  <c r="R80" i="25"/>
  <c r="S80" i="25"/>
  <c r="T80" i="25"/>
  <c r="V80" i="25"/>
  <c r="W80" i="25"/>
  <c r="X80" i="25"/>
  <c r="AA80" i="25"/>
  <c r="AB80" i="25"/>
  <c r="AE80" i="25"/>
  <c r="AF80" i="25"/>
  <c r="AI80" i="25"/>
  <c r="AJ80" i="25"/>
  <c r="AM80" i="25"/>
  <c r="AN80" i="25"/>
  <c r="AQ80" i="25"/>
  <c r="AR80" i="25"/>
  <c r="D81" i="25"/>
  <c r="E81" i="25"/>
  <c r="M81" i="25"/>
  <c r="O81" i="25"/>
  <c r="R81" i="25"/>
  <c r="S81" i="25"/>
  <c r="T81" i="25"/>
  <c r="V81" i="25"/>
  <c r="W81" i="25"/>
  <c r="X81" i="25"/>
  <c r="AA81" i="25"/>
  <c r="AB81" i="25"/>
  <c r="AE81" i="25"/>
  <c r="AF81" i="25"/>
  <c r="AI81" i="25"/>
  <c r="AJ81" i="25"/>
  <c r="AM81" i="25"/>
  <c r="AN81" i="25"/>
  <c r="AQ81" i="25"/>
  <c r="AR81" i="25"/>
  <c r="D82" i="25"/>
  <c r="E82" i="25"/>
  <c r="M82" i="25"/>
  <c r="O82" i="25"/>
  <c r="R82" i="25"/>
  <c r="S82" i="25"/>
  <c r="T82" i="25"/>
  <c r="V82" i="25"/>
  <c r="W82" i="25"/>
  <c r="X82" i="25"/>
  <c r="AA82" i="25"/>
  <c r="AB82" i="25"/>
  <c r="AE82" i="25"/>
  <c r="AF82" i="25"/>
  <c r="AI82" i="25"/>
  <c r="AJ82" i="25"/>
  <c r="AM82" i="25"/>
  <c r="AN82" i="25"/>
  <c r="AQ82" i="25"/>
  <c r="AR82" i="25"/>
  <c r="D83" i="25"/>
  <c r="E83" i="25"/>
  <c r="M83" i="25"/>
  <c r="O83" i="25"/>
  <c r="R83" i="25"/>
  <c r="S83" i="25"/>
  <c r="T83" i="25"/>
  <c r="V83" i="25"/>
  <c r="W83" i="25"/>
  <c r="X83" i="25"/>
  <c r="AA83" i="25"/>
  <c r="AB83" i="25"/>
  <c r="AE83" i="25"/>
  <c r="AF83" i="25"/>
  <c r="AI83" i="25"/>
  <c r="AJ83" i="25"/>
  <c r="AM83" i="25"/>
  <c r="AN83" i="25"/>
  <c r="AQ83" i="25"/>
  <c r="AR83" i="25"/>
  <c r="D84" i="25"/>
  <c r="E84" i="25"/>
  <c r="M84" i="25"/>
  <c r="O84" i="25"/>
  <c r="R84" i="25"/>
  <c r="S84" i="25"/>
  <c r="T84" i="25"/>
  <c r="V84" i="25"/>
  <c r="W84" i="25"/>
  <c r="X84" i="25"/>
  <c r="AA84" i="25"/>
  <c r="AB84" i="25"/>
  <c r="AE84" i="25"/>
  <c r="AF84" i="25"/>
  <c r="AI84" i="25"/>
  <c r="AJ84" i="25"/>
  <c r="AM84" i="25"/>
  <c r="AN84" i="25"/>
  <c r="AQ84" i="25"/>
  <c r="AR84" i="25"/>
  <c r="D85" i="25"/>
  <c r="E85" i="25"/>
  <c r="M85" i="25"/>
  <c r="O85" i="25"/>
  <c r="R85" i="25"/>
  <c r="S85" i="25"/>
  <c r="T85" i="25"/>
  <c r="V85" i="25"/>
  <c r="W85" i="25"/>
  <c r="X85" i="25"/>
  <c r="AA85" i="25"/>
  <c r="AB85" i="25"/>
  <c r="AE85" i="25"/>
  <c r="AF85" i="25"/>
  <c r="AI85" i="25"/>
  <c r="AJ85" i="25"/>
  <c r="AM85" i="25"/>
  <c r="AN85" i="25"/>
  <c r="AQ85" i="25"/>
  <c r="AR85" i="25"/>
  <c r="D86" i="25"/>
  <c r="E86" i="25"/>
  <c r="M86" i="25"/>
  <c r="O86" i="25"/>
  <c r="R86" i="25"/>
  <c r="S86" i="25"/>
  <c r="T86" i="25"/>
  <c r="V86" i="25"/>
  <c r="W86" i="25"/>
  <c r="X86" i="25"/>
  <c r="AA86" i="25"/>
  <c r="AB86" i="25"/>
  <c r="AE86" i="25"/>
  <c r="AF86" i="25"/>
  <c r="AI86" i="25"/>
  <c r="AJ86" i="25"/>
  <c r="AM86" i="25"/>
  <c r="AN86" i="25"/>
  <c r="AQ86" i="25"/>
  <c r="AR86" i="25"/>
  <c r="D87" i="25"/>
  <c r="E87" i="25"/>
  <c r="M87" i="25"/>
  <c r="O87" i="25"/>
  <c r="R87" i="25"/>
  <c r="S87" i="25"/>
  <c r="T87" i="25"/>
  <c r="V87" i="25"/>
  <c r="W87" i="25"/>
  <c r="X87" i="25"/>
  <c r="AA87" i="25"/>
  <c r="AB87" i="25"/>
  <c r="AE87" i="25"/>
  <c r="AF87" i="25"/>
  <c r="AI87" i="25"/>
  <c r="AJ87" i="25"/>
  <c r="AM87" i="25"/>
  <c r="AN87" i="25"/>
  <c r="AQ87" i="25"/>
  <c r="AR87" i="25"/>
  <c r="D88" i="25"/>
  <c r="E88" i="25"/>
  <c r="M88" i="25"/>
  <c r="O88" i="25"/>
  <c r="R88" i="25"/>
  <c r="S88" i="25"/>
  <c r="T88" i="25"/>
  <c r="V88" i="25"/>
  <c r="W88" i="25"/>
  <c r="X88" i="25"/>
  <c r="AA88" i="25"/>
  <c r="AB88" i="25"/>
  <c r="AE88" i="25"/>
  <c r="AF88" i="25"/>
  <c r="AI88" i="25"/>
  <c r="AJ88" i="25"/>
  <c r="AM88" i="25"/>
  <c r="AN88" i="25"/>
  <c r="AQ88" i="25"/>
  <c r="AR88" i="25"/>
  <c r="D89" i="25"/>
  <c r="E89" i="25"/>
  <c r="M89" i="25"/>
  <c r="O89" i="25"/>
  <c r="R89" i="25"/>
  <c r="S89" i="25"/>
  <c r="T89" i="25"/>
  <c r="V89" i="25"/>
  <c r="W89" i="25"/>
  <c r="X89" i="25"/>
  <c r="AA89" i="25"/>
  <c r="AB89" i="25"/>
  <c r="AE89" i="25"/>
  <c r="AF89" i="25"/>
  <c r="AI89" i="25"/>
  <c r="AJ89" i="25"/>
  <c r="AM89" i="25"/>
  <c r="AN89" i="25"/>
  <c r="AQ89" i="25"/>
  <c r="AR89" i="25"/>
  <c r="D90" i="25"/>
  <c r="E90" i="25"/>
  <c r="M90" i="25"/>
  <c r="O90" i="25"/>
  <c r="R90" i="25"/>
  <c r="S90" i="25"/>
  <c r="T90" i="25"/>
  <c r="V90" i="25"/>
  <c r="W90" i="25"/>
  <c r="X90" i="25"/>
  <c r="AA90" i="25"/>
  <c r="AB90" i="25"/>
  <c r="AE90" i="25"/>
  <c r="AF90" i="25"/>
  <c r="AI90" i="25"/>
  <c r="AJ90" i="25"/>
  <c r="AM90" i="25"/>
  <c r="AN90" i="25"/>
  <c r="AQ90" i="25"/>
  <c r="AR90" i="25"/>
  <c r="D91" i="25"/>
  <c r="E91" i="25"/>
  <c r="M91" i="25"/>
  <c r="O91" i="25"/>
  <c r="R91" i="25"/>
  <c r="S91" i="25"/>
  <c r="T91" i="25"/>
  <c r="V91" i="25"/>
  <c r="W91" i="25"/>
  <c r="X91" i="25"/>
  <c r="AA91" i="25"/>
  <c r="AB91" i="25"/>
  <c r="AE91" i="25"/>
  <c r="AF91" i="25"/>
  <c r="AI91" i="25"/>
  <c r="AJ91" i="25"/>
  <c r="AM91" i="25"/>
  <c r="AN91" i="25"/>
  <c r="AQ91" i="25"/>
  <c r="AR91" i="25"/>
  <c r="D92" i="25"/>
  <c r="E92" i="25"/>
  <c r="M92" i="25"/>
  <c r="O92" i="25"/>
  <c r="R92" i="25"/>
  <c r="S92" i="25"/>
  <c r="T92" i="25"/>
  <c r="V92" i="25"/>
  <c r="W92" i="25"/>
  <c r="X92" i="25"/>
  <c r="AA92" i="25"/>
  <c r="AB92" i="25"/>
  <c r="AE92" i="25"/>
  <c r="AF92" i="25"/>
  <c r="AI92" i="25"/>
  <c r="AJ92" i="25"/>
  <c r="AM92" i="25"/>
  <c r="AN92" i="25"/>
  <c r="AQ92" i="25"/>
  <c r="AR92" i="25"/>
  <c r="D93" i="25"/>
  <c r="E93" i="25"/>
  <c r="M93" i="25"/>
  <c r="O93" i="25"/>
  <c r="R93" i="25"/>
  <c r="S93" i="25"/>
  <c r="T93" i="25"/>
  <c r="V93" i="25"/>
  <c r="W93" i="25"/>
  <c r="X93" i="25"/>
  <c r="AA93" i="25"/>
  <c r="AB93" i="25"/>
  <c r="AE93" i="25"/>
  <c r="AF93" i="25"/>
  <c r="AI93" i="25"/>
  <c r="AJ93" i="25"/>
  <c r="AM93" i="25"/>
  <c r="AN93" i="25"/>
  <c r="AQ93" i="25"/>
  <c r="AR93" i="25"/>
  <c r="D94" i="25"/>
  <c r="E94" i="25"/>
  <c r="M94" i="25"/>
  <c r="O94" i="25"/>
  <c r="R94" i="25"/>
  <c r="S94" i="25"/>
  <c r="T94" i="25"/>
  <c r="V94" i="25"/>
  <c r="W94" i="25"/>
  <c r="X94" i="25"/>
  <c r="AA94" i="25"/>
  <c r="AB94" i="25"/>
  <c r="AE94" i="25"/>
  <c r="AF94" i="25"/>
  <c r="AI94" i="25"/>
  <c r="AJ94" i="25"/>
  <c r="AM94" i="25"/>
  <c r="AN94" i="25"/>
  <c r="AQ94" i="25"/>
  <c r="AR94" i="25"/>
  <c r="D95" i="25"/>
  <c r="E95" i="25"/>
  <c r="M95" i="25"/>
  <c r="O95" i="25"/>
  <c r="R95" i="25"/>
  <c r="S95" i="25"/>
  <c r="T95" i="25"/>
  <c r="V95" i="25"/>
  <c r="W95" i="25"/>
  <c r="X95" i="25"/>
  <c r="AA95" i="25"/>
  <c r="AB95" i="25"/>
  <c r="AE95" i="25"/>
  <c r="AF95" i="25"/>
  <c r="AI95" i="25"/>
  <c r="AJ95" i="25"/>
  <c r="AM95" i="25"/>
  <c r="AN95" i="25"/>
  <c r="AQ95" i="25"/>
  <c r="AR95" i="25"/>
  <c r="D96" i="25"/>
  <c r="E96" i="25"/>
  <c r="M96" i="25"/>
  <c r="O96" i="25"/>
  <c r="R96" i="25"/>
  <c r="S96" i="25"/>
  <c r="T96" i="25"/>
  <c r="V96" i="25"/>
  <c r="W96" i="25"/>
  <c r="X96" i="25"/>
  <c r="AA96" i="25"/>
  <c r="AB96" i="25"/>
  <c r="AE96" i="25"/>
  <c r="AF96" i="25"/>
  <c r="AI96" i="25"/>
  <c r="AJ96" i="25"/>
  <c r="AM96" i="25"/>
  <c r="AN96" i="25"/>
  <c r="AQ96" i="25"/>
  <c r="AR96" i="25"/>
  <c r="D97" i="25"/>
  <c r="E97" i="25"/>
  <c r="M97" i="25"/>
  <c r="O97" i="25"/>
  <c r="R97" i="25"/>
  <c r="S97" i="25"/>
  <c r="T97" i="25"/>
  <c r="V97" i="25"/>
  <c r="W97" i="25"/>
  <c r="X97" i="25"/>
  <c r="AA97" i="25"/>
  <c r="AB97" i="25"/>
  <c r="AE97" i="25"/>
  <c r="AF97" i="25"/>
  <c r="AI97" i="25"/>
  <c r="AJ97" i="25"/>
  <c r="AM97" i="25"/>
  <c r="AN97" i="25"/>
  <c r="AQ97" i="25"/>
  <c r="AR97" i="25"/>
  <c r="D98" i="25"/>
  <c r="E98" i="25"/>
  <c r="M98" i="25"/>
  <c r="O98" i="25"/>
  <c r="R98" i="25"/>
  <c r="S98" i="25"/>
  <c r="T98" i="25"/>
  <c r="V98" i="25"/>
  <c r="W98" i="25"/>
  <c r="X98" i="25"/>
  <c r="AA98" i="25"/>
  <c r="AB98" i="25"/>
  <c r="AE98" i="25"/>
  <c r="AF98" i="25"/>
  <c r="AI98" i="25"/>
  <c r="AJ98" i="25"/>
  <c r="AM98" i="25"/>
  <c r="AN98" i="25"/>
  <c r="AQ98" i="25"/>
  <c r="AR98" i="25"/>
  <c r="D99" i="25"/>
  <c r="E99" i="25"/>
  <c r="M99" i="25"/>
  <c r="O99" i="25"/>
  <c r="R99" i="25"/>
  <c r="S99" i="25"/>
  <c r="T99" i="25"/>
  <c r="V99" i="25"/>
  <c r="W99" i="25"/>
  <c r="X99" i="25"/>
  <c r="AA99" i="25"/>
  <c r="AB99" i="25"/>
  <c r="AE99" i="25"/>
  <c r="AF99" i="25"/>
  <c r="AI99" i="25"/>
  <c r="AJ99" i="25"/>
  <c r="AM99" i="25"/>
  <c r="AN99" i="25"/>
  <c r="AQ99" i="25"/>
  <c r="AR99" i="25"/>
  <c r="D100" i="25"/>
  <c r="E100" i="25"/>
  <c r="M100" i="25"/>
  <c r="O100" i="25"/>
  <c r="R100" i="25"/>
  <c r="S100" i="25"/>
  <c r="T100" i="25"/>
  <c r="V100" i="25"/>
  <c r="W100" i="25"/>
  <c r="X100" i="25"/>
  <c r="AA100" i="25"/>
  <c r="AB100" i="25"/>
  <c r="AE100" i="25"/>
  <c r="AF100" i="25"/>
  <c r="AI100" i="25"/>
  <c r="AJ100" i="25"/>
  <c r="AM100" i="25"/>
  <c r="AN100" i="25"/>
  <c r="AQ100" i="25"/>
  <c r="AR100" i="25"/>
  <c r="D101" i="25"/>
  <c r="E101" i="25"/>
  <c r="M101" i="25"/>
  <c r="O101" i="25"/>
  <c r="R101" i="25"/>
  <c r="S101" i="25"/>
  <c r="T101" i="25"/>
  <c r="V101" i="25"/>
  <c r="W101" i="25"/>
  <c r="X101" i="25"/>
  <c r="AA101" i="25"/>
  <c r="AB101" i="25"/>
  <c r="AE101" i="25"/>
  <c r="AF101" i="25"/>
  <c r="AI101" i="25"/>
  <c r="AJ101" i="25"/>
  <c r="AM101" i="25"/>
  <c r="AN101" i="25"/>
  <c r="AQ101" i="25"/>
  <c r="AR101" i="25"/>
  <c r="D102" i="25"/>
  <c r="E102" i="25"/>
  <c r="M102" i="25"/>
  <c r="O102" i="25"/>
  <c r="R102" i="25"/>
  <c r="S102" i="25"/>
  <c r="T102" i="25"/>
  <c r="V102" i="25"/>
  <c r="W102" i="25"/>
  <c r="X102" i="25"/>
  <c r="AA102" i="25"/>
  <c r="AB102" i="25"/>
  <c r="AE102" i="25"/>
  <c r="AF102" i="25"/>
  <c r="AI102" i="25"/>
  <c r="AJ102" i="25"/>
  <c r="AM102" i="25"/>
  <c r="AN102" i="25"/>
  <c r="AQ102" i="25"/>
  <c r="AR102" i="25"/>
  <c r="D103" i="25"/>
  <c r="E103" i="25"/>
  <c r="M103" i="25"/>
  <c r="O103" i="25"/>
  <c r="R103" i="25"/>
  <c r="S103" i="25"/>
  <c r="T103" i="25"/>
  <c r="V103" i="25"/>
  <c r="W103" i="25"/>
  <c r="X103" i="25"/>
  <c r="AA103" i="25"/>
  <c r="AB103" i="25"/>
  <c r="AE103" i="25"/>
  <c r="AF103" i="25"/>
  <c r="AI103" i="25"/>
  <c r="AJ103" i="25"/>
  <c r="AM103" i="25"/>
  <c r="AN103" i="25"/>
  <c r="AQ103" i="25"/>
  <c r="AR103" i="25"/>
  <c r="D104" i="25"/>
  <c r="E104" i="25"/>
  <c r="M104" i="25"/>
  <c r="O104" i="25"/>
  <c r="R104" i="25"/>
  <c r="S104" i="25"/>
  <c r="T104" i="25"/>
  <c r="V104" i="25"/>
  <c r="W104" i="25"/>
  <c r="X104" i="25"/>
  <c r="AA104" i="25"/>
  <c r="AB104" i="25"/>
  <c r="AE104" i="25"/>
  <c r="AF104" i="25"/>
  <c r="AI104" i="25"/>
  <c r="AJ104" i="25"/>
  <c r="AM104" i="25"/>
  <c r="AN104" i="25"/>
  <c r="AQ104" i="25"/>
  <c r="AR104" i="25"/>
  <c r="D105" i="25"/>
  <c r="E105" i="25"/>
  <c r="M105" i="25"/>
  <c r="O105" i="25"/>
  <c r="R105" i="25"/>
  <c r="S105" i="25"/>
  <c r="T105" i="25"/>
  <c r="V105" i="25"/>
  <c r="W105" i="25"/>
  <c r="X105" i="25"/>
  <c r="AA105" i="25"/>
  <c r="AB105" i="25"/>
  <c r="AE105" i="25"/>
  <c r="AF105" i="25"/>
  <c r="AI105" i="25"/>
  <c r="AJ105" i="25"/>
  <c r="AM105" i="25"/>
  <c r="AN105" i="25"/>
  <c r="AQ105" i="25"/>
  <c r="AR105" i="25"/>
  <c r="D106" i="25"/>
  <c r="E106" i="25"/>
  <c r="M106" i="25"/>
  <c r="O106" i="25"/>
  <c r="R106" i="25"/>
  <c r="S106" i="25"/>
  <c r="T106" i="25"/>
  <c r="V106" i="25"/>
  <c r="W106" i="25"/>
  <c r="X106" i="25"/>
  <c r="AA106" i="25"/>
  <c r="AB106" i="25"/>
  <c r="AE106" i="25"/>
  <c r="AF106" i="25"/>
  <c r="AI106" i="25"/>
  <c r="AJ106" i="25"/>
  <c r="AM106" i="25"/>
  <c r="AN106" i="25"/>
  <c r="AQ106" i="25"/>
  <c r="AR106" i="25"/>
  <c r="D107" i="25"/>
  <c r="E107" i="25"/>
  <c r="M107" i="25"/>
  <c r="O107" i="25"/>
  <c r="R107" i="25"/>
  <c r="S107" i="25"/>
  <c r="T107" i="25"/>
  <c r="V107" i="25"/>
  <c r="W107" i="25"/>
  <c r="X107" i="25"/>
  <c r="AA107" i="25"/>
  <c r="AB107" i="25"/>
  <c r="AE107" i="25"/>
  <c r="AF107" i="25"/>
  <c r="AI107" i="25"/>
  <c r="AJ107" i="25"/>
  <c r="AM107" i="25"/>
  <c r="AN107" i="25"/>
  <c r="AQ107" i="25"/>
  <c r="AR107" i="25"/>
  <c r="D108" i="25"/>
  <c r="E108" i="25"/>
  <c r="M108" i="25"/>
  <c r="O108" i="25"/>
  <c r="R108" i="25"/>
  <c r="S108" i="25"/>
  <c r="T108" i="25"/>
  <c r="V108" i="25"/>
  <c r="W108" i="25"/>
  <c r="X108" i="25"/>
  <c r="AA108" i="25"/>
  <c r="AB108" i="25"/>
  <c r="AE108" i="25"/>
  <c r="AF108" i="25"/>
  <c r="AI108" i="25"/>
  <c r="AJ108" i="25"/>
  <c r="AM108" i="25"/>
  <c r="AN108" i="25"/>
  <c r="AQ108" i="25"/>
  <c r="AR108" i="25"/>
  <c r="D109" i="25"/>
  <c r="E109" i="25"/>
  <c r="M109" i="25"/>
  <c r="O109" i="25"/>
  <c r="R109" i="25"/>
  <c r="S109" i="25"/>
  <c r="T109" i="25"/>
  <c r="V109" i="25"/>
  <c r="W109" i="25"/>
  <c r="X109" i="25"/>
  <c r="AA109" i="25"/>
  <c r="AB109" i="25"/>
  <c r="AE109" i="25"/>
  <c r="AF109" i="25"/>
  <c r="AI109" i="25"/>
  <c r="AJ109" i="25"/>
  <c r="AM109" i="25"/>
  <c r="AN109" i="25"/>
  <c r="AQ109" i="25"/>
  <c r="AR109" i="25"/>
  <c r="D110" i="25"/>
  <c r="E110" i="25"/>
  <c r="M110" i="25"/>
  <c r="O110" i="25"/>
  <c r="R110" i="25"/>
  <c r="S110" i="25"/>
  <c r="T110" i="25"/>
  <c r="V110" i="25"/>
  <c r="W110" i="25"/>
  <c r="X110" i="25"/>
  <c r="AA110" i="25"/>
  <c r="AB110" i="25"/>
  <c r="AE110" i="25"/>
  <c r="AF110" i="25"/>
  <c r="AI110" i="25"/>
  <c r="AJ110" i="25"/>
  <c r="AM110" i="25"/>
  <c r="AN110" i="25"/>
  <c r="AQ110" i="25"/>
  <c r="AR110" i="25"/>
  <c r="D111" i="25"/>
  <c r="E111" i="25"/>
  <c r="M111" i="25"/>
  <c r="O111" i="25"/>
  <c r="R111" i="25"/>
  <c r="S111" i="25"/>
  <c r="T111" i="25"/>
  <c r="V111" i="25"/>
  <c r="W111" i="25"/>
  <c r="X111" i="25"/>
  <c r="AA111" i="25"/>
  <c r="AB111" i="25"/>
  <c r="AE111" i="25"/>
  <c r="AF111" i="25"/>
  <c r="AI111" i="25"/>
  <c r="AJ111" i="25"/>
  <c r="AM111" i="25"/>
  <c r="AN111" i="25"/>
  <c r="AQ111" i="25"/>
  <c r="AR111" i="25"/>
  <c r="D112" i="25"/>
  <c r="E112" i="25"/>
  <c r="M112" i="25"/>
  <c r="O112" i="25"/>
  <c r="R112" i="25"/>
  <c r="S112" i="25"/>
  <c r="T112" i="25"/>
  <c r="V112" i="25"/>
  <c r="W112" i="25"/>
  <c r="X112" i="25"/>
  <c r="AA112" i="25"/>
  <c r="AB112" i="25"/>
  <c r="AE112" i="25"/>
  <c r="AF112" i="25"/>
  <c r="AI112" i="25"/>
  <c r="AJ112" i="25"/>
  <c r="AM112" i="25"/>
  <c r="AN112" i="25"/>
  <c r="AQ112" i="25"/>
  <c r="AR112" i="25"/>
  <c r="D113" i="25"/>
  <c r="E113" i="25"/>
  <c r="M113" i="25"/>
  <c r="O113" i="25"/>
  <c r="R113" i="25"/>
  <c r="S113" i="25"/>
  <c r="T113" i="25"/>
  <c r="V113" i="25"/>
  <c r="W113" i="25"/>
  <c r="X113" i="25"/>
  <c r="AA113" i="25"/>
  <c r="AB113" i="25"/>
  <c r="AE113" i="25"/>
  <c r="AF113" i="25"/>
  <c r="AI113" i="25"/>
  <c r="AJ113" i="25"/>
  <c r="AM113" i="25"/>
  <c r="AN113" i="25"/>
  <c r="AQ113" i="25"/>
  <c r="AR113" i="25"/>
  <c r="D114" i="25"/>
  <c r="E114" i="25"/>
  <c r="M114" i="25"/>
  <c r="O114" i="25"/>
  <c r="R114" i="25"/>
  <c r="S114" i="25"/>
  <c r="T114" i="25"/>
  <c r="V114" i="25"/>
  <c r="W114" i="25"/>
  <c r="X114" i="25"/>
  <c r="AA114" i="25"/>
  <c r="AB114" i="25"/>
  <c r="AE114" i="25"/>
  <c r="AF114" i="25"/>
  <c r="AI114" i="25"/>
  <c r="AJ114" i="25"/>
  <c r="AM114" i="25"/>
  <c r="AN114" i="25"/>
  <c r="AQ114" i="25"/>
  <c r="AR114" i="25"/>
  <c r="D115" i="25"/>
  <c r="E115" i="25"/>
  <c r="M115" i="25"/>
  <c r="O115" i="25"/>
  <c r="R115" i="25"/>
  <c r="S115" i="25"/>
  <c r="T115" i="25"/>
  <c r="V115" i="25"/>
  <c r="W115" i="25"/>
  <c r="X115" i="25"/>
  <c r="AA115" i="25"/>
  <c r="AB115" i="25"/>
  <c r="AE115" i="25"/>
  <c r="AF115" i="25"/>
  <c r="AI115" i="25"/>
  <c r="AJ115" i="25"/>
  <c r="AM115" i="25"/>
  <c r="AN115" i="25"/>
  <c r="AQ115" i="25"/>
  <c r="AR115" i="25"/>
  <c r="D116" i="25"/>
  <c r="E116" i="25"/>
  <c r="M116" i="25"/>
  <c r="O116" i="25"/>
  <c r="R116" i="25"/>
  <c r="S116" i="25"/>
  <c r="T116" i="25"/>
  <c r="V116" i="25"/>
  <c r="W116" i="25"/>
  <c r="X116" i="25"/>
  <c r="AA116" i="25"/>
  <c r="AB116" i="25"/>
  <c r="AE116" i="25"/>
  <c r="AF116" i="25"/>
  <c r="AI116" i="25"/>
  <c r="AJ116" i="25"/>
  <c r="AM116" i="25"/>
  <c r="AN116" i="25"/>
  <c r="AQ116" i="25"/>
  <c r="AR116" i="25"/>
  <c r="D117" i="25"/>
  <c r="E117" i="25"/>
  <c r="M117" i="25"/>
  <c r="O117" i="25"/>
  <c r="R117" i="25"/>
  <c r="S117" i="25"/>
  <c r="T117" i="25"/>
  <c r="V117" i="25"/>
  <c r="W117" i="25"/>
  <c r="X117" i="25"/>
  <c r="AA117" i="25"/>
  <c r="AB117" i="25"/>
  <c r="AE117" i="25"/>
  <c r="AF117" i="25"/>
  <c r="AI117" i="25"/>
  <c r="AJ117" i="25"/>
  <c r="AM117" i="25"/>
  <c r="AN117" i="25"/>
  <c r="AQ117" i="25"/>
  <c r="AR117" i="25"/>
  <c r="D118" i="25"/>
  <c r="E118" i="25"/>
  <c r="M118" i="25"/>
  <c r="O118" i="25"/>
  <c r="R118" i="25"/>
  <c r="S118" i="25"/>
  <c r="T118" i="25"/>
  <c r="V118" i="25"/>
  <c r="W118" i="25"/>
  <c r="X118" i="25"/>
  <c r="AA118" i="25"/>
  <c r="AB118" i="25"/>
  <c r="AE118" i="25"/>
  <c r="AF118" i="25"/>
  <c r="AI118" i="25"/>
  <c r="AJ118" i="25"/>
  <c r="AM118" i="25"/>
  <c r="AN118" i="25"/>
  <c r="AQ118" i="25"/>
  <c r="AR118" i="25"/>
  <c r="D119" i="25"/>
  <c r="E119" i="25"/>
  <c r="M119" i="25"/>
  <c r="O119" i="25"/>
  <c r="R119" i="25"/>
  <c r="S119" i="25"/>
  <c r="T119" i="25"/>
  <c r="V119" i="25"/>
  <c r="W119" i="25"/>
  <c r="X119" i="25"/>
  <c r="AA119" i="25"/>
  <c r="AB119" i="25"/>
  <c r="AE119" i="25"/>
  <c r="AF119" i="25"/>
  <c r="AI119" i="25"/>
  <c r="AJ119" i="25"/>
  <c r="AM119" i="25"/>
  <c r="AN119" i="25"/>
  <c r="AQ119" i="25"/>
  <c r="AR119" i="25"/>
  <c r="D120" i="25"/>
  <c r="E120" i="25"/>
  <c r="M120" i="25"/>
  <c r="O120" i="25"/>
  <c r="R120" i="25"/>
  <c r="S120" i="25"/>
  <c r="T120" i="25"/>
  <c r="V120" i="25"/>
  <c r="W120" i="25"/>
  <c r="X120" i="25"/>
  <c r="AA120" i="25"/>
  <c r="AB120" i="25"/>
  <c r="AE120" i="25"/>
  <c r="AF120" i="25"/>
  <c r="AI120" i="25"/>
  <c r="AJ120" i="25"/>
  <c r="AM120" i="25"/>
  <c r="AN120" i="25"/>
  <c r="AQ120" i="25"/>
  <c r="AR120" i="25"/>
  <c r="D121" i="25"/>
  <c r="E121" i="25"/>
  <c r="M121" i="25"/>
  <c r="O121" i="25"/>
  <c r="R121" i="25"/>
  <c r="S121" i="25"/>
  <c r="T121" i="25"/>
  <c r="V121" i="25"/>
  <c r="W121" i="25"/>
  <c r="X121" i="25"/>
  <c r="AA121" i="25"/>
  <c r="AB121" i="25"/>
  <c r="AE121" i="25"/>
  <c r="AF121" i="25"/>
  <c r="AI121" i="25"/>
  <c r="AJ121" i="25"/>
  <c r="AM121" i="25"/>
  <c r="AN121" i="25"/>
  <c r="AQ121" i="25"/>
  <c r="AR121" i="25"/>
  <c r="D122" i="25"/>
  <c r="E122" i="25"/>
  <c r="M122" i="25"/>
  <c r="O122" i="25"/>
  <c r="R122" i="25"/>
  <c r="S122" i="25"/>
  <c r="T122" i="25"/>
  <c r="V122" i="25"/>
  <c r="W122" i="25"/>
  <c r="X122" i="25"/>
  <c r="AA122" i="25"/>
  <c r="AB122" i="25"/>
  <c r="AE122" i="25"/>
  <c r="AF122" i="25"/>
  <c r="AI122" i="25"/>
  <c r="AJ122" i="25"/>
  <c r="AM122" i="25"/>
  <c r="AN122" i="25"/>
  <c r="AQ122" i="25"/>
  <c r="AR122" i="25"/>
  <c r="D123" i="25"/>
  <c r="E123" i="25"/>
  <c r="M123" i="25"/>
  <c r="O123" i="25"/>
  <c r="R123" i="25"/>
  <c r="S123" i="25"/>
  <c r="T123" i="25"/>
  <c r="V123" i="25"/>
  <c r="W123" i="25"/>
  <c r="X123" i="25"/>
  <c r="AA123" i="25"/>
  <c r="AB123" i="25"/>
  <c r="AE123" i="25"/>
  <c r="AF123" i="25"/>
  <c r="AI123" i="25"/>
  <c r="AJ123" i="25"/>
  <c r="AM123" i="25"/>
  <c r="AN123" i="25"/>
  <c r="AQ123" i="25"/>
  <c r="AR123" i="25"/>
  <c r="D124" i="25"/>
  <c r="E124" i="25"/>
  <c r="M124" i="25"/>
  <c r="O124" i="25"/>
  <c r="R124" i="25"/>
  <c r="S124" i="25"/>
  <c r="T124" i="25"/>
  <c r="V124" i="25"/>
  <c r="W124" i="25"/>
  <c r="X124" i="25"/>
  <c r="AA124" i="25"/>
  <c r="AB124" i="25"/>
  <c r="AE124" i="25"/>
  <c r="AF124" i="25"/>
  <c r="AI124" i="25"/>
  <c r="AJ124" i="25"/>
  <c r="AM124" i="25"/>
  <c r="AN124" i="25"/>
  <c r="AQ124" i="25"/>
  <c r="AR124" i="25"/>
  <c r="D125" i="25"/>
  <c r="E125" i="25"/>
  <c r="M125" i="25"/>
  <c r="O125" i="25"/>
  <c r="R125" i="25"/>
  <c r="S125" i="25"/>
  <c r="T125" i="25"/>
  <c r="V125" i="25"/>
  <c r="W125" i="25"/>
  <c r="X125" i="25"/>
  <c r="AA125" i="25"/>
  <c r="AB125" i="25"/>
  <c r="AE125" i="25"/>
  <c r="AF125" i="25"/>
  <c r="AI125" i="25"/>
  <c r="AJ125" i="25"/>
  <c r="AM125" i="25"/>
  <c r="AN125" i="25"/>
  <c r="AQ125" i="25"/>
  <c r="AR125" i="25"/>
  <c r="D126" i="25"/>
  <c r="E126" i="25"/>
  <c r="M126" i="25"/>
  <c r="O126" i="25"/>
  <c r="R126" i="25"/>
  <c r="S126" i="25"/>
  <c r="T126" i="25"/>
  <c r="V126" i="25"/>
  <c r="W126" i="25"/>
  <c r="X126" i="25"/>
  <c r="AA126" i="25"/>
  <c r="AB126" i="25"/>
  <c r="AE126" i="25"/>
  <c r="AF126" i="25"/>
  <c r="AI126" i="25"/>
  <c r="AJ126" i="25"/>
  <c r="AM126" i="25"/>
  <c r="AN126" i="25"/>
  <c r="AQ126" i="25"/>
  <c r="AR126" i="25"/>
  <c r="D127" i="25"/>
  <c r="E127" i="25"/>
  <c r="M127" i="25"/>
  <c r="O127" i="25"/>
  <c r="R127" i="25"/>
  <c r="S127" i="25"/>
  <c r="T127" i="25"/>
  <c r="V127" i="25"/>
  <c r="W127" i="25"/>
  <c r="X127" i="25"/>
  <c r="AA127" i="25"/>
  <c r="AB127" i="25"/>
  <c r="AE127" i="25"/>
  <c r="AF127" i="25"/>
  <c r="AI127" i="25"/>
  <c r="AJ127" i="25"/>
  <c r="AM127" i="25"/>
  <c r="AN127" i="25"/>
  <c r="AQ127" i="25"/>
  <c r="AR127" i="25"/>
  <c r="D128" i="25"/>
  <c r="E128" i="25"/>
  <c r="M128" i="25"/>
  <c r="O128" i="25"/>
  <c r="R128" i="25"/>
  <c r="S128" i="25"/>
  <c r="T128" i="25"/>
  <c r="V128" i="25"/>
  <c r="W128" i="25"/>
  <c r="X128" i="25"/>
  <c r="AA128" i="25"/>
  <c r="AB128" i="25"/>
  <c r="AE128" i="25"/>
  <c r="AF128" i="25"/>
  <c r="AI128" i="25"/>
  <c r="AJ128" i="25"/>
  <c r="AM128" i="25"/>
  <c r="AN128" i="25"/>
  <c r="AQ128" i="25"/>
  <c r="AR128" i="25"/>
  <c r="D129" i="25"/>
  <c r="E129" i="25"/>
  <c r="M129" i="25"/>
  <c r="O129" i="25"/>
  <c r="R129" i="25"/>
  <c r="S129" i="25"/>
  <c r="T129" i="25"/>
  <c r="V129" i="25"/>
  <c r="W129" i="25"/>
  <c r="X129" i="25"/>
  <c r="AA129" i="25"/>
  <c r="AB129" i="25"/>
  <c r="AE129" i="25"/>
  <c r="AF129" i="25"/>
  <c r="AI129" i="25"/>
  <c r="AJ129" i="25"/>
  <c r="AM129" i="25"/>
  <c r="AN129" i="25"/>
  <c r="AQ129" i="25"/>
  <c r="AR129" i="25"/>
  <c r="D130" i="25"/>
  <c r="E130" i="25"/>
  <c r="M130" i="25"/>
  <c r="O130" i="25"/>
  <c r="R130" i="25"/>
  <c r="S130" i="25"/>
  <c r="T130" i="25"/>
  <c r="V130" i="25"/>
  <c r="W130" i="25"/>
  <c r="X130" i="25"/>
  <c r="AA130" i="25"/>
  <c r="AB130" i="25"/>
  <c r="AE130" i="25"/>
  <c r="AF130" i="25"/>
  <c r="AI130" i="25"/>
  <c r="AJ130" i="25"/>
  <c r="AM130" i="25"/>
  <c r="AN130" i="25"/>
  <c r="AQ130" i="25"/>
  <c r="AR130" i="25"/>
  <c r="D131" i="25"/>
  <c r="E131" i="25"/>
  <c r="M131" i="25"/>
  <c r="O131" i="25"/>
  <c r="R131" i="25"/>
  <c r="S131" i="25"/>
  <c r="T131" i="25"/>
  <c r="V131" i="25"/>
  <c r="W131" i="25"/>
  <c r="X131" i="25"/>
  <c r="AA131" i="25"/>
  <c r="AB131" i="25"/>
  <c r="AE131" i="25"/>
  <c r="AF131" i="25"/>
  <c r="AI131" i="25"/>
  <c r="AJ131" i="25"/>
  <c r="AM131" i="25"/>
  <c r="AN131" i="25"/>
  <c r="AQ131" i="25"/>
  <c r="AR131" i="25"/>
  <c r="D132" i="25"/>
  <c r="E132" i="25"/>
  <c r="M132" i="25"/>
  <c r="O132" i="25"/>
  <c r="R132" i="25"/>
  <c r="S132" i="25"/>
  <c r="T132" i="25"/>
  <c r="V132" i="25"/>
  <c r="W132" i="25"/>
  <c r="X132" i="25"/>
  <c r="AA132" i="25"/>
  <c r="AB132" i="25"/>
  <c r="AE132" i="25"/>
  <c r="AF132" i="25"/>
  <c r="AI132" i="25"/>
  <c r="AJ132" i="25"/>
  <c r="AM132" i="25"/>
  <c r="AN132" i="25"/>
  <c r="AQ132" i="25"/>
  <c r="AR132" i="25"/>
  <c r="D133" i="25"/>
  <c r="E133" i="25"/>
  <c r="M133" i="25"/>
  <c r="O133" i="25"/>
  <c r="R133" i="25"/>
  <c r="S133" i="25"/>
  <c r="T133" i="25"/>
  <c r="V133" i="25"/>
  <c r="W133" i="25"/>
  <c r="X133" i="25"/>
  <c r="AA133" i="25"/>
  <c r="AB133" i="25"/>
  <c r="AE133" i="25"/>
  <c r="AF133" i="25"/>
  <c r="AI133" i="25"/>
  <c r="AJ133" i="25"/>
  <c r="AM133" i="25"/>
  <c r="AN133" i="25"/>
  <c r="AQ133" i="25"/>
  <c r="AR133" i="25"/>
  <c r="D134" i="25"/>
  <c r="E134" i="25"/>
  <c r="M134" i="25"/>
  <c r="O134" i="25"/>
  <c r="R134" i="25"/>
  <c r="S134" i="25"/>
  <c r="T134" i="25"/>
  <c r="V134" i="25"/>
  <c r="W134" i="25"/>
  <c r="X134" i="25"/>
  <c r="AA134" i="25"/>
  <c r="AB134" i="25"/>
  <c r="AE134" i="25"/>
  <c r="AF134" i="25"/>
  <c r="AI134" i="25"/>
  <c r="AJ134" i="25"/>
  <c r="AM134" i="25"/>
  <c r="AN134" i="25"/>
  <c r="AQ134" i="25"/>
  <c r="AR134" i="25"/>
  <c r="D135" i="25"/>
  <c r="E135" i="25"/>
  <c r="M135" i="25"/>
  <c r="O135" i="25"/>
  <c r="R135" i="25"/>
  <c r="S135" i="25"/>
  <c r="T135" i="25"/>
  <c r="V135" i="25"/>
  <c r="W135" i="25"/>
  <c r="X135" i="25"/>
  <c r="AA135" i="25"/>
  <c r="AB135" i="25"/>
  <c r="AE135" i="25"/>
  <c r="AF135" i="25"/>
  <c r="AI135" i="25"/>
  <c r="AJ135" i="25"/>
  <c r="AM135" i="25"/>
  <c r="AN135" i="25"/>
  <c r="AQ135" i="25"/>
  <c r="AR135" i="25"/>
  <c r="D136" i="25"/>
  <c r="E136" i="25"/>
  <c r="M136" i="25"/>
  <c r="O136" i="25"/>
  <c r="R136" i="25"/>
  <c r="S136" i="25"/>
  <c r="T136" i="25"/>
  <c r="V136" i="25"/>
  <c r="W136" i="25"/>
  <c r="X136" i="25"/>
  <c r="AA136" i="25"/>
  <c r="AB136" i="25"/>
  <c r="AE136" i="25"/>
  <c r="AF136" i="25"/>
  <c r="AI136" i="25"/>
  <c r="AJ136" i="25"/>
  <c r="AM136" i="25"/>
  <c r="AN136" i="25"/>
  <c r="AQ136" i="25"/>
  <c r="AR136" i="25"/>
  <c r="D137" i="25"/>
  <c r="E137" i="25"/>
  <c r="M137" i="25"/>
  <c r="O137" i="25"/>
  <c r="R137" i="25"/>
  <c r="S137" i="25"/>
  <c r="T137" i="25"/>
  <c r="V137" i="25"/>
  <c r="W137" i="25"/>
  <c r="X137" i="25"/>
  <c r="AA137" i="25"/>
  <c r="AB137" i="25"/>
  <c r="AE137" i="25"/>
  <c r="AF137" i="25"/>
  <c r="AI137" i="25"/>
  <c r="AJ137" i="25"/>
  <c r="AM137" i="25"/>
  <c r="AN137" i="25"/>
  <c r="AQ137" i="25"/>
  <c r="AR137" i="25"/>
  <c r="D138" i="25"/>
  <c r="E138" i="25"/>
  <c r="M138" i="25"/>
  <c r="O138" i="25"/>
  <c r="R138" i="25"/>
  <c r="S138" i="25"/>
  <c r="T138" i="25"/>
  <c r="V138" i="25"/>
  <c r="W138" i="25"/>
  <c r="X138" i="25"/>
  <c r="AA138" i="25"/>
  <c r="AB138" i="25"/>
  <c r="AE138" i="25"/>
  <c r="AF138" i="25"/>
  <c r="AI138" i="25"/>
  <c r="AJ138" i="25"/>
  <c r="AM138" i="25"/>
  <c r="AN138" i="25"/>
  <c r="AQ138" i="25"/>
  <c r="AR138" i="25"/>
  <c r="D139" i="25"/>
  <c r="E139" i="25"/>
  <c r="M139" i="25"/>
  <c r="O139" i="25"/>
  <c r="R139" i="25"/>
  <c r="S139" i="25"/>
  <c r="T139" i="25"/>
  <c r="V139" i="25"/>
  <c r="W139" i="25"/>
  <c r="X139" i="25"/>
  <c r="AA139" i="25"/>
  <c r="AB139" i="25"/>
  <c r="AE139" i="25"/>
  <c r="AF139" i="25"/>
  <c r="AI139" i="25"/>
  <c r="AJ139" i="25"/>
  <c r="AM139" i="25"/>
  <c r="AN139" i="25"/>
  <c r="AQ139" i="25"/>
  <c r="AR139" i="25"/>
  <c r="D140" i="25"/>
  <c r="E140" i="25"/>
  <c r="M140" i="25"/>
  <c r="O140" i="25"/>
  <c r="R140" i="25"/>
  <c r="S140" i="25"/>
  <c r="T140" i="25"/>
  <c r="V140" i="25"/>
  <c r="W140" i="25"/>
  <c r="X140" i="25"/>
  <c r="AA140" i="25"/>
  <c r="AB140" i="25"/>
  <c r="AE140" i="25"/>
  <c r="AF140" i="25"/>
  <c r="AI140" i="25"/>
  <c r="AJ140" i="25"/>
  <c r="AM140" i="25"/>
  <c r="AN140" i="25"/>
  <c r="AQ140" i="25"/>
  <c r="AR140" i="25"/>
  <c r="D141" i="25"/>
  <c r="E141" i="25"/>
  <c r="M141" i="25"/>
  <c r="O141" i="25"/>
  <c r="R141" i="25"/>
  <c r="S141" i="25"/>
  <c r="T141" i="25"/>
  <c r="V141" i="25"/>
  <c r="W141" i="25"/>
  <c r="X141" i="25"/>
  <c r="AA141" i="25"/>
  <c r="AB141" i="25"/>
  <c r="AE141" i="25"/>
  <c r="AF141" i="25"/>
  <c r="AI141" i="25"/>
  <c r="AJ141" i="25"/>
  <c r="AM141" i="25"/>
  <c r="AN141" i="25"/>
  <c r="AQ141" i="25"/>
  <c r="AR141" i="25"/>
  <c r="D142" i="25"/>
  <c r="E142" i="25"/>
  <c r="M142" i="25"/>
  <c r="O142" i="25"/>
  <c r="R142" i="25"/>
  <c r="S142" i="25"/>
  <c r="T142" i="25"/>
  <c r="V142" i="25"/>
  <c r="W142" i="25"/>
  <c r="X142" i="25"/>
  <c r="AA142" i="25"/>
  <c r="AB142" i="25"/>
  <c r="AE142" i="25"/>
  <c r="AF142" i="25"/>
  <c r="AI142" i="25"/>
  <c r="AJ142" i="25"/>
  <c r="AM142" i="25"/>
  <c r="AN142" i="25"/>
  <c r="AQ142" i="25"/>
  <c r="AR142" i="25"/>
  <c r="D143" i="25"/>
  <c r="E143" i="25"/>
  <c r="M143" i="25"/>
  <c r="O143" i="25"/>
  <c r="R143" i="25"/>
  <c r="S143" i="25"/>
  <c r="T143" i="25"/>
  <c r="V143" i="25"/>
  <c r="W143" i="25"/>
  <c r="X143" i="25"/>
  <c r="AA143" i="25"/>
  <c r="AB143" i="25"/>
  <c r="AE143" i="25"/>
  <c r="AF143" i="25"/>
  <c r="AI143" i="25"/>
  <c r="AJ143" i="25"/>
  <c r="AM143" i="25"/>
  <c r="AN143" i="25"/>
  <c r="AQ143" i="25"/>
  <c r="AR143" i="25"/>
  <c r="D144" i="25"/>
  <c r="E144" i="25"/>
  <c r="M144" i="25"/>
  <c r="O144" i="25"/>
  <c r="R144" i="25"/>
  <c r="S144" i="25"/>
  <c r="T144" i="25"/>
  <c r="V144" i="25"/>
  <c r="W144" i="25"/>
  <c r="X144" i="25"/>
  <c r="AA144" i="25"/>
  <c r="AB144" i="25"/>
  <c r="AE144" i="25"/>
  <c r="AF144" i="25"/>
  <c r="AI144" i="25"/>
  <c r="AJ144" i="25"/>
  <c r="AM144" i="25"/>
  <c r="AN144" i="25"/>
  <c r="AQ144" i="25"/>
  <c r="AR144" i="25"/>
  <c r="D145" i="25"/>
  <c r="E145" i="25"/>
  <c r="M145" i="25"/>
  <c r="O145" i="25"/>
  <c r="R145" i="25"/>
  <c r="S145" i="25"/>
  <c r="T145" i="25"/>
  <c r="V145" i="25"/>
  <c r="W145" i="25"/>
  <c r="X145" i="25"/>
  <c r="AA145" i="25"/>
  <c r="AB145" i="25"/>
  <c r="AE145" i="25"/>
  <c r="AF145" i="25"/>
  <c r="AI145" i="25"/>
  <c r="AJ145" i="25"/>
  <c r="AM145" i="25"/>
  <c r="AN145" i="25"/>
  <c r="AQ145" i="25"/>
  <c r="AR145" i="25"/>
  <c r="D146" i="25"/>
  <c r="E146" i="25"/>
  <c r="M146" i="25"/>
  <c r="O146" i="25"/>
  <c r="R146" i="25"/>
  <c r="S146" i="25"/>
  <c r="T146" i="25"/>
  <c r="V146" i="25"/>
  <c r="W146" i="25"/>
  <c r="X146" i="25"/>
  <c r="AA146" i="25"/>
  <c r="AB146" i="25"/>
  <c r="AE146" i="25"/>
  <c r="AF146" i="25"/>
  <c r="AI146" i="25"/>
  <c r="AJ146" i="25"/>
  <c r="AM146" i="25"/>
  <c r="AN146" i="25"/>
  <c r="AQ146" i="25"/>
  <c r="AR146" i="25"/>
  <c r="D147" i="25"/>
  <c r="E147" i="25"/>
  <c r="M147" i="25"/>
  <c r="O147" i="25"/>
  <c r="R147" i="25"/>
  <c r="S147" i="25"/>
  <c r="T147" i="25"/>
  <c r="V147" i="25"/>
  <c r="W147" i="25"/>
  <c r="X147" i="25"/>
  <c r="AA147" i="25"/>
  <c r="AB147" i="25"/>
  <c r="AE147" i="25"/>
  <c r="AF147" i="25"/>
  <c r="AI147" i="25"/>
  <c r="AJ147" i="25"/>
  <c r="AM147" i="25"/>
  <c r="AN147" i="25"/>
  <c r="AQ147" i="25"/>
  <c r="AR147" i="25"/>
  <c r="D148" i="25"/>
  <c r="E148" i="25"/>
  <c r="M148" i="25"/>
  <c r="O148" i="25"/>
  <c r="R148" i="25"/>
  <c r="S148" i="25"/>
  <c r="T148" i="25"/>
  <c r="V148" i="25"/>
  <c r="W148" i="25"/>
  <c r="X148" i="25"/>
  <c r="AA148" i="25"/>
  <c r="AB148" i="25"/>
  <c r="AE148" i="25"/>
  <c r="AF148" i="25"/>
  <c r="AI148" i="25"/>
  <c r="AJ148" i="25"/>
  <c r="AM148" i="25"/>
  <c r="AN148" i="25"/>
  <c r="AQ148" i="25"/>
  <c r="AR148" i="25"/>
  <c r="D150" i="25"/>
  <c r="E150" i="25"/>
  <c r="M150" i="25"/>
  <c r="O150" i="25"/>
  <c r="R150" i="25"/>
  <c r="S150" i="25"/>
  <c r="T150" i="25"/>
  <c r="V150" i="25"/>
  <c r="W150" i="25"/>
  <c r="X150" i="25"/>
  <c r="AA150" i="25"/>
  <c r="AB150" i="25"/>
  <c r="AE150" i="25"/>
  <c r="AF150" i="25"/>
  <c r="AI150" i="25"/>
  <c r="AJ150" i="25"/>
  <c r="AM150" i="25"/>
  <c r="AN150" i="25"/>
  <c r="AQ150" i="25"/>
  <c r="AR150" i="25"/>
  <c r="D151" i="25"/>
  <c r="E151" i="25"/>
  <c r="M151" i="25"/>
  <c r="O151" i="25"/>
  <c r="R151" i="25"/>
  <c r="S151" i="25"/>
  <c r="T151" i="25"/>
  <c r="V151" i="25"/>
  <c r="W151" i="25"/>
  <c r="X151" i="25"/>
  <c r="AA151" i="25"/>
  <c r="AB151" i="25"/>
  <c r="AE151" i="25"/>
  <c r="AF151" i="25"/>
  <c r="AI151" i="25"/>
  <c r="AJ151" i="25"/>
  <c r="AM151" i="25"/>
  <c r="AN151" i="25"/>
  <c r="AQ151" i="25"/>
  <c r="AR151" i="25"/>
  <c r="D152" i="25"/>
  <c r="E152" i="25"/>
  <c r="M152" i="25"/>
  <c r="O152" i="25"/>
  <c r="R152" i="25"/>
  <c r="S152" i="25"/>
  <c r="T152" i="25"/>
  <c r="V152" i="25"/>
  <c r="W152" i="25"/>
  <c r="X152" i="25"/>
  <c r="AA152" i="25"/>
  <c r="AB152" i="25"/>
  <c r="AE152" i="25"/>
  <c r="AF152" i="25"/>
  <c r="AI152" i="25"/>
  <c r="AJ152" i="25"/>
  <c r="AM152" i="25"/>
  <c r="AN152" i="25"/>
  <c r="AQ152" i="25"/>
  <c r="AR152" i="25"/>
  <c r="D153" i="25"/>
  <c r="E153" i="25"/>
  <c r="M153" i="25"/>
  <c r="O153" i="25"/>
  <c r="R153" i="25"/>
  <c r="S153" i="25"/>
  <c r="T153" i="25"/>
  <c r="V153" i="25"/>
  <c r="W153" i="25"/>
  <c r="X153" i="25"/>
  <c r="AA153" i="25"/>
  <c r="AB153" i="25"/>
  <c r="AE153" i="25"/>
  <c r="AF153" i="25"/>
  <c r="AI153" i="25"/>
  <c r="AJ153" i="25"/>
  <c r="AM153" i="25"/>
  <c r="AN153" i="25"/>
  <c r="AQ153" i="25"/>
  <c r="AR153" i="25"/>
  <c r="D154" i="25"/>
  <c r="E154" i="25"/>
  <c r="M154" i="25"/>
  <c r="O154" i="25"/>
  <c r="R154" i="25"/>
  <c r="S154" i="25"/>
  <c r="T154" i="25"/>
  <c r="V154" i="25"/>
  <c r="W154" i="25"/>
  <c r="X154" i="25"/>
  <c r="AA154" i="25"/>
  <c r="AB154" i="25"/>
  <c r="AE154" i="25"/>
  <c r="AF154" i="25"/>
  <c r="AI154" i="25"/>
  <c r="AJ154" i="25"/>
  <c r="AM154" i="25"/>
  <c r="AN154" i="25"/>
  <c r="AQ154" i="25"/>
  <c r="AR154" i="25"/>
  <c r="D155" i="25"/>
  <c r="E155" i="25"/>
  <c r="M155" i="25"/>
  <c r="O155" i="25"/>
  <c r="R155" i="25"/>
  <c r="S155" i="25"/>
  <c r="T155" i="25"/>
  <c r="V155" i="25"/>
  <c r="W155" i="25"/>
  <c r="X155" i="25"/>
  <c r="AA155" i="25"/>
  <c r="AB155" i="25"/>
  <c r="AE155" i="25"/>
  <c r="AF155" i="25"/>
  <c r="AI155" i="25"/>
  <c r="AJ155" i="25"/>
  <c r="AM155" i="25"/>
  <c r="AN155" i="25"/>
  <c r="AQ155" i="25"/>
  <c r="AR155" i="25"/>
  <c r="D156" i="25"/>
  <c r="E156" i="25"/>
  <c r="M156" i="25"/>
  <c r="O156" i="25"/>
  <c r="R156" i="25"/>
  <c r="S156" i="25"/>
  <c r="T156" i="25"/>
  <c r="V156" i="25"/>
  <c r="W156" i="25"/>
  <c r="X156" i="25"/>
  <c r="AA156" i="25"/>
  <c r="AB156" i="25"/>
  <c r="AE156" i="25"/>
  <c r="AF156" i="25"/>
  <c r="AI156" i="25"/>
  <c r="AJ156" i="25"/>
  <c r="AM156" i="25"/>
  <c r="AN156" i="25"/>
  <c r="AQ156" i="25"/>
  <c r="AR156" i="25"/>
  <c r="D157" i="25"/>
  <c r="E157" i="25"/>
  <c r="M157" i="25"/>
  <c r="O157" i="25"/>
  <c r="R157" i="25"/>
  <c r="S157" i="25"/>
  <c r="T157" i="25"/>
  <c r="V157" i="25"/>
  <c r="W157" i="25"/>
  <c r="X157" i="25"/>
  <c r="AA157" i="25"/>
  <c r="AB157" i="25"/>
  <c r="AE157" i="25"/>
  <c r="AF157" i="25"/>
  <c r="AI157" i="25"/>
  <c r="AJ157" i="25"/>
  <c r="AM157" i="25"/>
  <c r="AN157" i="25"/>
  <c r="AQ157" i="25"/>
  <c r="AR157" i="25"/>
  <c r="D158" i="25"/>
  <c r="E158" i="25"/>
  <c r="M158" i="25"/>
  <c r="O158" i="25"/>
  <c r="R158" i="25"/>
  <c r="S158" i="25"/>
  <c r="T158" i="25"/>
  <c r="V158" i="25"/>
  <c r="W158" i="25"/>
  <c r="X158" i="25"/>
  <c r="AA158" i="25"/>
  <c r="AB158" i="25"/>
  <c r="AE158" i="25"/>
  <c r="AF158" i="25"/>
  <c r="AI158" i="25"/>
  <c r="AJ158" i="25"/>
  <c r="AM158" i="25"/>
  <c r="AN158" i="25"/>
  <c r="AQ158" i="25"/>
  <c r="AR158" i="25"/>
  <c r="D159" i="25"/>
  <c r="E159" i="25"/>
  <c r="M159" i="25"/>
  <c r="O159" i="25"/>
  <c r="R159" i="25"/>
  <c r="S159" i="25"/>
  <c r="T159" i="25"/>
  <c r="V159" i="25"/>
  <c r="W159" i="25"/>
  <c r="X159" i="25"/>
  <c r="AA159" i="25"/>
  <c r="AB159" i="25"/>
  <c r="AE159" i="25"/>
  <c r="AF159" i="25"/>
  <c r="AI159" i="25"/>
  <c r="AJ159" i="25"/>
  <c r="AM159" i="25"/>
  <c r="AN159" i="25"/>
  <c r="AQ159" i="25"/>
  <c r="AR159" i="25"/>
  <c r="D160" i="25"/>
  <c r="E160" i="25"/>
  <c r="M160" i="25"/>
  <c r="O160" i="25"/>
  <c r="R160" i="25"/>
  <c r="S160" i="25"/>
  <c r="T160" i="25"/>
  <c r="V160" i="25"/>
  <c r="W160" i="25"/>
  <c r="X160" i="25"/>
  <c r="AA160" i="25"/>
  <c r="AB160" i="25"/>
  <c r="AE160" i="25"/>
  <c r="AF160" i="25"/>
  <c r="AI160" i="25"/>
  <c r="AJ160" i="25"/>
  <c r="AM160" i="25"/>
  <c r="AN160" i="25"/>
  <c r="AQ160" i="25"/>
  <c r="AR160" i="25"/>
  <c r="D161" i="25"/>
  <c r="E161" i="25"/>
  <c r="M161" i="25"/>
  <c r="O161" i="25"/>
  <c r="R161" i="25"/>
  <c r="S161" i="25"/>
  <c r="T161" i="25"/>
  <c r="V161" i="25"/>
  <c r="W161" i="25"/>
  <c r="X161" i="25"/>
  <c r="AA161" i="25"/>
  <c r="AB161" i="25"/>
  <c r="AE161" i="25"/>
  <c r="AF161" i="25"/>
  <c r="AI161" i="25"/>
  <c r="AJ161" i="25"/>
  <c r="AM161" i="25"/>
  <c r="AN161" i="25"/>
  <c r="AQ161" i="25"/>
  <c r="AR161" i="25"/>
  <c r="D162" i="25"/>
  <c r="E162" i="25"/>
  <c r="M162" i="25"/>
  <c r="O162" i="25"/>
  <c r="R162" i="25"/>
  <c r="S162" i="25"/>
  <c r="T162" i="25"/>
  <c r="V162" i="25"/>
  <c r="W162" i="25"/>
  <c r="X162" i="25"/>
  <c r="AA162" i="25"/>
  <c r="AB162" i="25"/>
  <c r="AE162" i="25"/>
  <c r="AF162" i="25"/>
  <c r="AI162" i="25"/>
  <c r="AJ162" i="25"/>
  <c r="AM162" i="25"/>
  <c r="AN162" i="25"/>
  <c r="AQ162" i="25"/>
  <c r="AR162" i="25"/>
  <c r="D163" i="25"/>
  <c r="E163" i="25"/>
  <c r="M163" i="25"/>
  <c r="O163" i="25"/>
  <c r="R163" i="25"/>
  <c r="S163" i="25"/>
  <c r="T163" i="25"/>
  <c r="V163" i="25"/>
  <c r="W163" i="25"/>
  <c r="X163" i="25"/>
  <c r="AA163" i="25"/>
  <c r="AB163" i="25"/>
  <c r="AE163" i="25"/>
  <c r="AF163" i="25"/>
  <c r="AI163" i="25"/>
  <c r="AJ163" i="25"/>
  <c r="AM163" i="25"/>
  <c r="AN163" i="25"/>
  <c r="AQ163" i="25"/>
  <c r="AR163" i="25"/>
  <c r="D164" i="25"/>
  <c r="E164" i="25"/>
  <c r="M164" i="25"/>
  <c r="O164" i="25"/>
  <c r="R164" i="25"/>
  <c r="S164" i="25"/>
  <c r="T164" i="25"/>
  <c r="V164" i="25"/>
  <c r="W164" i="25"/>
  <c r="X164" i="25"/>
  <c r="AA164" i="25"/>
  <c r="AB164" i="25"/>
  <c r="AE164" i="25"/>
  <c r="AF164" i="25"/>
  <c r="AI164" i="25"/>
  <c r="AJ164" i="25"/>
  <c r="AM164" i="25"/>
  <c r="AN164" i="25"/>
  <c r="AQ164" i="25"/>
  <c r="AR164" i="25"/>
  <c r="D165" i="25"/>
  <c r="E165" i="25"/>
  <c r="M165" i="25"/>
  <c r="O165" i="25"/>
  <c r="R165" i="25"/>
  <c r="S165" i="25"/>
  <c r="T165" i="25"/>
  <c r="V165" i="25"/>
  <c r="W165" i="25"/>
  <c r="X165" i="25"/>
  <c r="AA165" i="25"/>
  <c r="AB165" i="25"/>
  <c r="AE165" i="25"/>
  <c r="AF165" i="25"/>
  <c r="AI165" i="25"/>
  <c r="AJ165" i="25"/>
  <c r="AM165" i="25"/>
  <c r="AN165" i="25"/>
  <c r="AQ165" i="25"/>
  <c r="AR165" i="25"/>
  <c r="D166" i="25"/>
  <c r="E166" i="25"/>
  <c r="M166" i="25"/>
  <c r="O166" i="25"/>
  <c r="R166" i="25"/>
  <c r="S166" i="25"/>
  <c r="T166" i="25"/>
  <c r="V166" i="25"/>
  <c r="W166" i="25"/>
  <c r="X166" i="25"/>
  <c r="AA166" i="25"/>
  <c r="AB166" i="25"/>
  <c r="AE166" i="25"/>
  <c r="AF166" i="25"/>
  <c r="AI166" i="25"/>
  <c r="AJ166" i="25"/>
  <c r="AM166" i="25"/>
  <c r="AN166" i="25"/>
  <c r="AQ166" i="25"/>
  <c r="AR166" i="25"/>
  <c r="D167" i="25"/>
  <c r="E167" i="25"/>
  <c r="M167" i="25"/>
  <c r="O167" i="25"/>
  <c r="R167" i="25"/>
  <c r="S167" i="25"/>
  <c r="T167" i="25"/>
  <c r="V167" i="25"/>
  <c r="W167" i="25"/>
  <c r="X167" i="25"/>
  <c r="AA167" i="25"/>
  <c r="AB167" i="25"/>
  <c r="AE167" i="25"/>
  <c r="AF167" i="25"/>
  <c r="AI167" i="25"/>
  <c r="AJ167" i="25"/>
  <c r="AM167" i="25"/>
  <c r="AN167" i="25"/>
  <c r="AQ167" i="25"/>
  <c r="AR167" i="25"/>
  <c r="D168" i="25"/>
  <c r="E168" i="25"/>
  <c r="M168" i="25"/>
  <c r="O168" i="25"/>
  <c r="R168" i="25"/>
  <c r="S168" i="25"/>
  <c r="T168" i="25"/>
  <c r="V168" i="25"/>
  <c r="W168" i="25"/>
  <c r="X168" i="25"/>
  <c r="AA168" i="25"/>
  <c r="AB168" i="25"/>
  <c r="AE168" i="25"/>
  <c r="AF168" i="25"/>
  <c r="AI168" i="25"/>
  <c r="AJ168" i="25"/>
  <c r="AM168" i="25"/>
  <c r="AN168" i="25"/>
  <c r="AQ168" i="25"/>
  <c r="AR168" i="25"/>
  <c r="D169" i="25"/>
  <c r="E169" i="25"/>
  <c r="M169" i="25"/>
  <c r="O169" i="25"/>
  <c r="R169" i="25"/>
  <c r="S169" i="25"/>
  <c r="T169" i="25"/>
  <c r="V169" i="25"/>
  <c r="W169" i="25"/>
  <c r="X169" i="25"/>
  <c r="AA169" i="25"/>
  <c r="AB169" i="25"/>
  <c r="AE169" i="25"/>
  <c r="AF169" i="25"/>
  <c r="AI169" i="25"/>
  <c r="AJ169" i="25"/>
  <c r="AM169" i="25"/>
  <c r="AN169" i="25"/>
  <c r="AQ169" i="25"/>
  <c r="AR169" i="25"/>
  <c r="D170" i="25"/>
  <c r="E170" i="25"/>
  <c r="M170" i="25"/>
  <c r="O170" i="25"/>
  <c r="R170" i="25"/>
  <c r="S170" i="25"/>
  <c r="T170" i="25"/>
  <c r="V170" i="25"/>
  <c r="W170" i="25"/>
  <c r="X170" i="25"/>
  <c r="AA170" i="25"/>
  <c r="AB170" i="25"/>
  <c r="AE170" i="25"/>
  <c r="AF170" i="25"/>
  <c r="AI170" i="25"/>
  <c r="AJ170" i="25"/>
  <c r="AM170" i="25"/>
  <c r="AN170" i="25"/>
  <c r="AQ170" i="25"/>
  <c r="AR170" i="25"/>
  <c r="D171" i="25"/>
  <c r="E171" i="25"/>
  <c r="M171" i="25"/>
  <c r="O171" i="25"/>
  <c r="R171" i="25"/>
  <c r="S171" i="25"/>
  <c r="T171" i="25"/>
  <c r="V171" i="25"/>
  <c r="W171" i="25"/>
  <c r="X171" i="25"/>
  <c r="AA171" i="25"/>
  <c r="AB171" i="25"/>
  <c r="AE171" i="25"/>
  <c r="AF171" i="25"/>
  <c r="AI171" i="25"/>
  <c r="AJ171" i="25"/>
  <c r="AM171" i="25"/>
  <c r="AN171" i="25"/>
  <c r="AQ171" i="25"/>
  <c r="AR171" i="25"/>
  <c r="D172" i="25"/>
  <c r="E172" i="25"/>
  <c r="M172" i="25"/>
  <c r="O172" i="25"/>
  <c r="R172" i="25"/>
  <c r="S172" i="25"/>
  <c r="T172" i="25"/>
  <c r="V172" i="25"/>
  <c r="W172" i="25"/>
  <c r="X172" i="25"/>
  <c r="AA172" i="25"/>
  <c r="AB172" i="25"/>
  <c r="AE172" i="25"/>
  <c r="AF172" i="25"/>
  <c r="AI172" i="25"/>
  <c r="AJ172" i="25"/>
  <c r="AM172" i="25"/>
  <c r="AN172" i="25"/>
  <c r="AQ172" i="25"/>
  <c r="AR172" i="25"/>
  <c r="D173" i="25"/>
  <c r="E173" i="25"/>
  <c r="M173" i="25"/>
  <c r="O173" i="25"/>
  <c r="R173" i="25"/>
  <c r="S173" i="25"/>
  <c r="T173" i="25"/>
  <c r="V173" i="25"/>
  <c r="W173" i="25"/>
  <c r="X173" i="25"/>
  <c r="AA173" i="25"/>
  <c r="AB173" i="25"/>
  <c r="AE173" i="25"/>
  <c r="AF173" i="25"/>
  <c r="AI173" i="25"/>
  <c r="AJ173" i="25"/>
  <c r="AM173" i="25"/>
  <c r="AN173" i="25"/>
  <c r="AQ173" i="25"/>
  <c r="AR173" i="25"/>
  <c r="D174" i="25"/>
  <c r="E174" i="25"/>
  <c r="M174" i="25"/>
  <c r="O174" i="25"/>
  <c r="R174" i="25"/>
  <c r="S174" i="25"/>
  <c r="T174" i="25"/>
  <c r="V174" i="25"/>
  <c r="W174" i="25"/>
  <c r="X174" i="25"/>
  <c r="AA174" i="25"/>
  <c r="AB174" i="25"/>
  <c r="AE174" i="25"/>
  <c r="AF174" i="25"/>
  <c r="AI174" i="25"/>
  <c r="AJ174" i="25"/>
  <c r="AM174" i="25"/>
  <c r="AN174" i="25"/>
  <c r="AQ174" i="25"/>
  <c r="AR174" i="25"/>
  <c r="D175" i="25"/>
  <c r="E175" i="25"/>
  <c r="M175" i="25"/>
  <c r="O175" i="25"/>
  <c r="R175" i="25"/>
  <c r="S175" i="25"/>
  <c r="T175" i="25"/>
  <c r="V175" i="25"/>
  <c r="W175" i="25"/>
  <c r="X175" i="25"/>
  <c r="AA175" i="25"/>
  <c r="AB175" i="25"/>
  <c r="AE175" i="25"/>
  <c r="AF175" i="25"/>
  <c r="AI175" i="25"/>
  <c r="AJ175" i="25"/>
  <c r="AM175" i="25"/>
  <c r="AN175" i="25"/>
  <c r="AQ175" i="25"/>
  <c r="AR175" i="25"/>
  <c r="D176" i="25"/>
  <c r="E176" i="25"/>
  <c r="M176" i="25"/>
  <c r="O176" i="25"/>
  <c r="R176" i="25"/>
  <c r="S176" i="25"/>
  <c r="T176" i="25"/>
  <c r="V176" i="25"/>
  <c r="W176" i="25"/>
  <c r="X176" i="25"/>
  <c r="AA176" i="25"/>
  <c r="AB176" i="25"/>
  <c r="AE176" i="25"/>
  <c r="AF176" i="25"/>
  <c r="AI176" i="25"/>
  <c r="AJ176" i="25"/>
  <c r="AM176" i="25"/>
  <c r="AN176" i="25"/>
  <c r="AQ176" i="25"/>
  <c r="AR176" i="25"/>
  <c r="D177" i="25"/>
  <c r="E177" i="25"/>
  <c r="M177" i="25"/>
  <c r="O177" i="25"/>
  <c r="R177" i="25"/>
  <c r="S177" i="25"/>
  <c r="T177" i="25"/>
  <c r="V177" i="25"/>
  <c r="W177" i="25"/>
  <c r="X177" i="25"/>
  <c r="AA177" i="25"/>
  <c r="AB177" i="25"/>
  <c r="AE177" i="25"/>
  <c r="AF177" i="25"/>
  <c r="AI177" i="25"/>
  <c r="AJ177" i="25"/>
  <c r="AM177" i="25"/>
  <c r="AN177" i="25"/>
  <c r="AQ177" i="25"/>
  <c r="AR177" i="25"/>
  <c r="D178" i="25"/>
  <c r="E178" i="25"/>
  <c r="M178" i="25"/>
  <c r="O178" i="25"/>
  <c r="R178" i="25"/>
  <c r="S178" i="25"/>
  <c r="T178" i="25"/>
  <c r="V178" i="25"/>
  <c r="W178" i="25"/>
  <c r="X178" i="25"/>
  <c r="AA178" i="25"/>
  <c r="AB178" i="25"/>
  <c r="AE178" i="25"/>
  <c r="AF178" i="25"/>
  <c r="AI178" i="25"/>
  <c r="AJ178" i="25"/>
  <c r="AM178" i="25"/>
  <c r="AN178" i="25"/>
  <c r="AQ178" i="25"/>
  <c r="AR178" i="25"/>
  <c r="D179" i="25"/>
  <c r="E179" i="25"/>
  <c r="M179" i="25"/>
  <c r="O179" i="25"/>
  <c r="R179" i="25"/>
  <c r="S179" i="25"/>
  <c r="T179" i="25"/>
  <c r="V179" i="25"/>
  <c r="W179" i="25"/>
  <c r="X179" i="25"/>
  <c r="AA179" i="25"/>
  <c r="AB179" i="25"/>
  <c r="AE179" i="25"/>
  <c r="AF179" i="25"/>
  <c r="AI179" i="25"/>
  <c r="AJ179" i="25"/>
  <c r="AM179" i="25"/>
  <c r="AN179" i="25"/>
  <c r="AQ179" i="25"/>
  <c r="AR179" i="25"/>
  <c r="D180" i="25"/>
  <c r="E180" i="25"/>
  <c r="M180" i="25"/>
  <c r="O180" i="25"/>
  <c r="R180" i="25"/>
  <c r="S180" i="25"/>
  <c r="T180" i="25"/>
  <c r="V180" i="25"/>
  <c r="W180" i="25"/>
  <c r="X180" i="25"/>
  <c r="AA180" i="25"/>
  <c r="AB180" i="25"/>
  <c r="AE180" i="25"/>
  <c r="AF180" i="25"/>
  <c r="AI180" i="25"/>
  <c r="AJ180" i="25"/>
  <c r="AM180" i="25"/>
  <c r="AN180" i="25"/>
  <c r="AQ180" i="25"/>
  <c r="AR180" i="25"/>
  <c r="D181" i="25"/>
  <c r="E181" i="25"/>
  <c r="M181" i="25"/>
  <c r="O181" i="25"/>
  <c r="R181" i="25"/>
  <c r="S181" i="25"/>
  <c r="T181" i="25"/>
  <c r="V181" i="25"/>
  <c r="W181" i="25"/>
  <c r="X181" i="25"/>
  <c r="AA181" i="25"/>
  <c r="AB181" i="25"/>
  <c r="AE181" i="25"/>
  <c r="AF181" i="25"/>
  <c r="AI181" i="25"/>
  <c r="AJ181" i="25"/>
  <c r="AM181" i="25"/>
  <c r="AN181" i="25"/>
  <c r="AQ181" i="25"/>
  <c r="AR181" i="25"/>
  <c r="D182" i="25"/>
  <c r="E182" i="25"/>
  <c r="M182" i="25"/>
  <c r="O182" i="25"/>
  <c r="R182" i="25"/>
  <c r="S182" i="25"/>
  <c r="T182" i="25"/>
  <c r="V182" i="25"/>
  <c r="W182" i="25"/>
  <c r="X182" i="25"/>
  <c r="AA182" i="25"/>
  <c r="AB182" i="25"/>
  <c r="AE182" i="25"/>
  <c r="AF182" i="25"/>
  <c r="AI182" i="25"/>
  <c r="AJ182" i="25"/>
  <c r="AM182" i="25"/>
  <c r="AN182" i="25"/>
  <c r="AQ182" i="25"/>
  <c r="AR182" i="25"/>
  <c r="D183" i="25"/>
  <c r="E183" i="25"/>
  <c r="M183" i="25"/>
  <c r="O183" i="25"/>
  <c r="R183" i="25"/>
  <c r="S183" i="25"/>
  <c r="T183" i="25"/>
  <c r="V183" i="25"/>
  <c r="W183" i="25"/>
  <c r="X183" i="25"/>
  <c r="AA183" i="25"/>
  <c r="AB183" i="25"/>
  <c r="AE183" i="25"/>
  <c r="AF183" i="25"/>
  <c r="AI183" i="25"/>
  <c r="AJ183" i="25"/>
  <c r="AM183" i="25"/>
  <c r="AN183" i="25"/>
  <c r="AQ183" i="25"/>
  <c r="AR183" i="25"/>
  <c r="D184" i="25"/>
  <c r="E184" i="25"/>
  <c r="M184" i="25"/>
  <c r="O184" i="25"/>
  <c r="R184" i="25"/>
  <c r="S184" i="25"/>
  <c r="T184" i="25"/>
  <c r="V184" i="25"/>
  <c r="W184" i="25"/>
  <c r="X184" i="25"/>
  <c r="AA184" i="25"/>
  <c r="AB184" i="25"/>
  <c r="AE184" i="25"/>
  <c r="AF184" i="25"/>
  <c r="AI184" i="25"/>
  <c r="AJ184" i="25"/>
  <c r="AM184" i="25"/>
  <c r="AN184" i="25"/>
  <c r="AQ184" i="25"/>
  <c r="AR184" i="25"/>
  <c r="D185" i="25"/>
  <c r="E185" i="25"/>
  <c r="M185" i="25"/>
  <c r="O185" i="25"/>
  <c r="R185" i="25"/>
  <c r="S185" i="25"/>
  <c r="T185" i="25"/>
  <c r="V185" i="25"/>
  <c r="W185" i="25"/>
  <c r="X185" i="25"/>
  <c r="AA185" i="25"/>
  <c r="AB185" i="25"/>
  <c r="AE185" i="25"/>
  <c r="AF185" i="25"/>
  <c r="AI185" i="25"/>
  <c r="AJ185" i="25"/>
  <c r="AM185" i="25"/>
  <c r="AN185" i="25"/>
  <c r="AQ185" i="25"/>
  <c r="AR185" i="25"/>
  <c r="D186" i="25"/>
  <c r="E186" i="25"/>
  <c r="M186" i="25"/>
  <c r="O186" i="25"/>
  <c r="R186" i="25"/>
  <c r="S186" i="25"/>
  <c r="T186" i="25"/>
  <c r="V186" i="25"/>
  <c r="W186" i="25"/>
  <c r="X186" i="25"/>
  <c r="AA186" i="25"/>
  <c r="AB186" i="25"/>
  <c r="AE186" i="25"/>
  <c r="AF186" i="25"/>
  <c r="AI186" i="25"/>
  <c r="AJ186" i="25"/>
  <c r="AM186" i="25"/>
  <c r="AN186" i="25"/>
  <c r="AQ186" i="25"/>
  <c r="AR186" i="25"/>
  <c r="D187" i="25"/>
  <c r="E187" i="25"/>
  <c r="M187" i="25"/>
  <c r="O187" i="25"/>
  <c r="R187" i="25"/>
  <c r="S187" i="25"/>
  <c r="T187" i="25"/>
  <c r="V187" i="25"/>
  <c r="W187" i="25"/>
  <c r="X187" i="25"/>
  <c r="AA187" i="25"/>
  <c r="AB187" i="25"/>
  <c r="AE187" i="25"/>
  <c r="AF187" i="25"/>
  <c r="AI187" i="25"/>
  <c r="AJ187" i="25"/>
  <c r="AM187" i="25"/>
  <c r="AN187" i="25"/>
  <c r="AQ187" i="25"/>
  <c r="AR187" i="25"/>
  <c r="D188" i="25"/>
  <c r="E188" i="25"/>
  <c r="M188" i="25"/>
  <c r="O188" i="25"/>
  <c r="R188" i="25"/>
  <c r="S188" i="25"/>
  <c r="T188" i="25"/>
  <c r="V188" i="25"/>
  <c r="W188" i="25"/>
  <c r="X188" i="25"/>
  <c r="AA188" i="25"/>
  <c r="AB188" i="25"/>
  <c r="AE188" i="25"/>
  <c r="AF188" i="25"/>
  <c r="AI188" i="25"/>
  <c r="AJ188" i="25"/>
  <c r="AM188" i="25"/>
  <c r="AN188" i="25"/>
  <c r="AQ188" i="25"/>
  <c r="AR188" i="25"/>
  <c r="D189" i="25"/>
  <c r="E189" i="25"/>
  <c r="M189" i="25"/>
  <c r="O189" i="25"/>
  <c r="R189" i="25"/>
  <c r="S189" i="25"/>
  <c r="T189" i="25"/>
  <c r="V189" i="25"/>
  <c r="W189" i="25"/>
  <c r="X189" i="25"/>
  <c r="AA189" i="25"/>
  <c r="AB189" i="25"/>
  <c r="AE189" i="25"/>
  <c r="AF189" i="25"/>
  <c r="AI189" i="25"/>
  <c r="AJ189" i="25"/>
  <c r="AM189" i="25"/>
  <c r="AN189" i="25"/>
  <c r="AQ189" i="25"/>
  <c r="AR189" i="25"/>
  <c r="D190" i="25"/>
  <c r="E190" i="25"/>
  <c r="M190" i="25"/>
  <c r="O190" i="25"/>
  <c r="R190" i="25"/>
  <c r="S190" i="25"/>
  <c r="T190" i="25"/>
  <c r="V190" i="25"/>
  <c r="W190" i="25"/>
  <c r="X190" i="25"/>
  <c r="AA190" i="25"/>
  <c r="AB190" i="25"/>
  <c r="AE190" i="25"/>
  <c r="AF190" i="25"/>
  <c r="AI190" i="25"/>
  <c r="AJ190" i="25"/>
  <c r="AM190" i="25"/>
  <c r="AN190" i="25"/>
  <c r="AQ190" i="25"/>
  <c r="AR190" i="25"/>
  <c r="D191" i="25"/>
  <c r="E191" i="25"/>
  <c r="M191" i="25"/>
  <c r="O191" i="25"/>
  <c r="R191" i="25"/>
  <c r="S191" i="25"/>
  <c r="T191" i="25"/>
  <c r="V191" i="25"/>
  <c r="W191" i="25"/>
  <c r="X191" i="25"/>
  <c r="AA191" i="25"/>
  <c r="AB191" i="25"/>
  <c r="AE191" i="25"/>
  <c r="AF191" i="25"/>
  <c r="AI191" i="25"/>
  <c r="AJ191" i="25"/>
  <c r="AM191" i="25"/>
  <c r="AN191" i="25"/>
  <c r="AQ191" i="25"/>
  <c r="AR191" i="25"/>
  <c r="D192" i="25"/>
  <c r="E192" i="25"/>
  <c r="M192" i="25"/>
  <c r="O192" i="25"/>
  <c r="R192" i="25"/>
  <c r="S192" i="25"/>
  <c r="T192" i="25"/>
  <c r="V192" i="25"/>
  <c r="W192" i="25"/>
  <c r="X192" i="25"/>
  <c r="AA192" i="25"/>
  <c r="AB192" i="25"/>
  <c r="AE192" i="25"/>
  <c r="AF192" i="25"/>
  <c r="AI192" i="25"/>
  <c r="AJ192" i="25"/>
  <c r="AM192" i="25"/>
  <c r="AN192" i="25"/>
  <c r="AQ192" i="25"/>
  <c r="AR192" i="25"/>
  <c r="D193" i="25"/>
  <c r="E193" i="25"/>
  <c r="M193" i="25"/>
  <c r="O193" i="25"/>
  <c r="R193" i="25"/>
  <c r="S193" i="25"/>
  <c r="T193" i="25"/>
  <c r="V193" i="25"/>
  <c r="W193" i="25"/>
  <c r="X193" i="25"/>
  <c r="AA193" i="25"/>
  <c r="AB193" i="25"/>
  <c r="AE193" i="25"/>
  <c r="AF193" i="25"/>
  <c r="AI193" i="25"/>
  <c r="AJ193" i="25"/>
  <c r="AM193" i="25"/>
  <c r="AN193" i="25"/>
  <c r="AQ193" i="25"/>
  <c r="AR193" i="25"/>
  <c r="D194" i="25"/>
  <c r="E194" i="25"/>
  <c r="M194" i="25"/>
  <c r="O194" i="25"/>
  <c r="R194" i="25"/>
  <c r="S194" i="25"/>
  <c r="T194" i="25"/>
  <c r="V194" i="25"/>
  <c r="W194" i="25"/>
  <c r="X194" i="25"/>
  <c r="AA194" i="25"/>
  <c r="AB194" i="25"/>
  <c r="AE194" i="25"/>
  <c r="AF194" i="25"/>
  <c r="AI194" i="25"/>
  <c r="AJ194" i="25"/>
  <c r="AM194" i="25"/>
  <c r="AN194" i="25"/>
  <c r="AQ194" i="25"/>
  <c r="AR194" i="25"/>
  <c r="D195" i="25"/>
  <c r="E195" i="25"/>
  <c r="M195" i="25"/>
  <c r="O195" i="25"/>
  <c r="R195" i="25"/>
  <c r="S195" i="25"/>
  <c r="T195" i="25"/>
  <c r="V195" i="25"/>
  <c r="W195" i="25"/>
  <c r="X195" i="25"/>
  <c r="AA195" i="25"/>
  <c r="AB195" i="25"/>
  <c r="AE195" i="25"/>
  <c r="AF195" i="25"/>
  <c r="AI195" i="25"/>
  <c r="AJ195" i="25"/>
  <c r="AM195" i="25"/>
  <c r="AN195" i="25"/>
  <c r="AQ195" i="25"/>
  <c r="AR195" i="25"/>
  <c r="D196" i="25"/>
  <c r="E196" i="25"/>
  <c r="M196" i="25"/>
  <c r="O196" i="25"/>
  <c r="R196" i="25"/>
  <c r="S196" i="25"/>
  <c r="T196" i="25"/>
  <c r="V196" i="25"/>
  <c r="W196" i="25"/>
  <c r="X196" i="25"/>
  <c r="AA196" i="25"/>
  <c r="AB196" i="25"/>
  <c r="AE196" i="25"/>
  <c r="AF196" i="25"/>
  <c r="AI196" i="25"/>
  <c r="AJ196" i="25"/>
  <c r="AM196" i="25"/>
  <c r="AN196" i="25"/>
  <c r="AQ196" i="25"/>
  <c r="AR196" i="25"/>
  <c r="D197" i="25"/>
  <c r="E197" i="25"/>
  <c r="M197" i="25"/>
  <c r="O197" i="25"/>
  <c r="R197" i="25"/>
  <c r="S197" i="25"/>
  <c r="T197" i="25"/>
  <c r="V197" i="25"/>
  <c r="W197" i="25"/>
  <c r="X197" i="25"/>
  <c r="AA197" i="25"/>
  <c r="AB197" i="25"/>
  <c r="AE197" i="25"/>
  <c r="AF197" i="25"/>
  <c r="AI197" i="25"/>
  <c r="AJ197" i="25"/>
  <c r="AM197" i="25"/>
  <c r="AN197" i="25"/>
  <c r="AQ197" i="25"/>
  <c r="AR197" i="25"/>
  <c r="D198" i="25"/>
  <c r="E198" i="25"/>
  <c r="M198" i="25"/>
  <c r="O198" i="25"/>
  <c r="R198" i="25"/>
  <c r="S198" i="25"/>
  <c r="T198" i="25"/>
  <c r="V198" i="25"/>
  <c r="W198" i="25"/>
  <c r="X198" i="25"/>
  <c r="AA198" i="25"/>
  <c r="AB198" i="25"/>
  <c r="AE198" i="25"/>
  <c r="AF198" i="25"/>
  <c r="AI198" i="25"/>
  <c r="AJ198" i="25"/>
  <c r="AM198" i="25"/>
  <c r="AN198" i="25"/>
  <c r="AQ198" i="25"/>
  <c r="AR198" i="25"/>
  <c r="D199" i="25"/>
  <c r="E199" i="25"/>
  <c r="M199" i="25"/>
  <c r="O199" i="25"/>
  <c r="R199" i="25"/>
  <c r="S199" i="25"/>
  <c r="T199" i="25"/>
  <c r="V199" i="25"/>
  <c r="W199" i="25"/>
  <c r="X199" i="25"/>
  <c r="AA199" i="25"/>
  <c r="AB199" i="25"/>
  <c r="AE199" i="25"/>
  <c r="AF199" i="25"/>
  <c r="AI199" i="25"/>
  <c r="AJ199" i="25"/>
  <c r="AM199" i="25"/>
  <c r="AN199" i="25"/>
  <c r="AQ199" i="25"/>
  <c r="AR199" i="25"/>
  <c r="D200" i="25"/>
  <c r="E200" i="25"/>
  <c r="M200" i="25"/>
  <c r="O200" i="25"/>
  <c r="R200" i="25"/>
  <c r="S200" i="25"/>
  <c r="T200" i="25"/>
  <c r="V200" i="25"/>
  <c r="W200" i="25"/>
  <c r="X200" i="25"/>
  <c r="AA200" i="25"/>
  <c r="AB200" i="25"/>
  <c r="AE200" i="25"/>
  <c r="AF200" i="25"/>
  <c r="AI200" i="25"/>
  <c r="AJ200" i="25"/>
  <c r="AM200" i="25"/>
  <c r="AN200" i="25"/>
  <c r="AQ200" i="25"/>
  <c r="AR200" i="25"/>
  <c r="D201" i="25"/>
  <c r="E201" i="25"/>
  <c r="M201" i="25"/>
  <c r="O201" i="25"/>
  <c r="R201" i="25"/>
  <c r="S201" i="25"/>
  <c r="T201" i="25"/>
  <c r="V201" i="25"/>
  <c r="W201" i="25"/>
  <c r="X201" i="25"/>
  <c r="AA201" i="25"/>
  <c r="AB201" i="25"/>
  <c r="AE201" i="25"/>
  <c r="AF201" i="25"/>
  <c r="AI201" i="25"/>
  <c r="AJ201" i="25"/>
  <c r="AM201" i="25"/>
  <c r="AN201" i="25"/>
  <c r="AQ201" i="25"/>
  <c r="AR201" i="25"/>
  <c r="D202" i="25"/>
  <c r="E202" i="25"/>
  <c r="M202" i="25"/>
  <c r="O202" i="25"/>
  <c r="R202" i="25"/>
  <c r="S202" i="25"/>
  <c r="T202" i="25"/>
  <c r="V202" i="25"/>
  <c r="W202" i="25"/>
  <c r="X202" i="25"/>
  <c r="AA202" i="25"/>
  <c r="AB202" i="25"/>
  <c r="AE202" i="25"/>
  <c r="AF202" i="25"/>
  <c r="AI202" i="25"/>
  <c r="AJ202" i="25"/>
  <c r="AM202" i="25"/>
  <c r="AN202" i="25"/>
  <c r="AQ202" i="25"/>
  <c r="AR202" i="25"/>
  <c r="D203" i="25"/>
  <c r="E203" i="25"/>
  <c r="M203" i="25"/>
  <c r="O203" i="25"/>
  <c r="R203" i="25"/>
  <c r="S203" i="25"/>
  <c r="T203" i="25"/>
  <c r="V203" i="25"/>
  <c r="W203" i="25"/>
  <c r="X203" i="25"/>
  <c r="AA203" i="25"/>
  <c r="AB203" i="25"/>
  <c r="AE203" i="25"/>
  <c r="AF203" i="25"/>
  <c r="AI203" i="25"/>
  <c r="AJ203" i="25"/>
  <c r="AM203" i="25"/>
  <c r="AN203" i="25"/>
  <c r="AQ203" i="25"/>
  <c r="AR203" i="25"/>
  <c r="D204" i="25"/>
  <c r="E204" i="25"/>
  <c r="M204" i="25"/>
  <c r="O204" i="25"/>
  <c r="R204" i="25"/>
  <c r="S204" i="25"/>
  <c r="T204" i="25"/>
  <c r="V204" i="25"/>
  <c r="W204" i="25"/>
  <c r="X204" i="25"/>
  <c r="AA204" i="25"/>
  <c r="AB204" i="25"/>
  <c r="AE204" i="25"/>
  <c r="AF204" i="25"/>
  <c r="AI204" i="25"/>
  <c r="AJ204" i="25"/>
  <c r="AM204" i="25"/>
  <c r="AN204" i="25"/>
  <c r="AQ204" i="25"/>
  <c r="AR204" i="25"/>
  <c r="D205" i="25"/>
  <c r="E205" i="25"/>
  <c r="M205" i="25"/>
  <c r="O205" i="25"/>
  <c r="R205" i="25"/>
  <c r="S205" i="25"/>
  <c r="T205" i="25"/>
  <c r="V205" i="25"/>
  <c r="W205" i="25"/>
  <c r="X205" i="25"/>
  <c r="AA205" i="25"/>
  <c r="AB205" i="25"/>
  <c r="AE205" i="25"/>
  <c r="AF205" i="25"/>
  <c r="AI205" i="25"/>
  <c r="AJ205" i="25"/>
  <c r="AM205" i="25"/>
  <c r="AN205" i="25"/>
  <c r="AQ205" i="25"/>
  <c r="AR205" i="25"/>
  <c r="D206" i="25"/>
  <c r="E206" i="25"/>
  <c r="M206" i="25"/>
  <c r="O206" i="25"/>
  <c r="R206" i="25"/>
  <c r="S206" i="25"/>
  <c r="T206" i="25"/>
  <c r="V206" i="25"/>
  <c r="W206" i="25"/>
  <c r="X206" i="25"/>
  <c r="AB206" i="25"/>
  <c r="AE206" i="25"/>
  <c r="AF206" i="25"/>
  <c r="AI206" i="25"/>
  <c r="AJ206" i="25"/>
  <c r="AM206" i="25"/>
  <c r="AN206" i="25"/>
  <c r="AQ206" i="25"/>
  <c r="AR206" i="25"/>
  <c r="D207" i="25"/>
  <c r="E207" i="25"/>
  <c r="M207" i="25"/>
  <c r="O207" i="25"/>
  <c r="R207" i="25"/>
  <c r="S207" i="25"/>
  <c r="T207" i="25"/>
  <c r="V207" i="25"/>
  <c r="W207" i="25"/>
  <c r="X207" i="25"/>
  <c r="AA207" i="25"/>
  <c r="AB207" i="25"/>
  <c r="AE207" i="25"/>
  <c r="AF207" i="25"/>
  <c r="AI207" i="25"/>
  <c r="AJ207" i="25"/>
  <c r="AM207" i="25"/>
  <c r="AN207" i="25"/>
  <c r="AQ207" i="25"/>
  <c r="AR207" i="25"/>
  <c r="D208" i="25"/>
  <c r="E208" i="25"/>
  <c r="M208" i="25"/>
  <c r="O208" i="25"/>
  <c r="R208" i="25"/>
  <c r="S208" i="25"/>
  <c r="T208" i="25"/>
  <c r="V208" i="25"/>
  <c r="W208" i="25"/>
  <c r="X208" i="25"/>
  <c r="AA208" i="25"/>
  <c r="AB208" i="25"/>
  <c r="AE208" i="25"/>
  <c r="AF208" i="25"/>
  <c r="AI208" i="25"/>
  <c r="AJ208" i="25"/>
  <c r="AM208" i="25"/>
  <c r="AN208" i="25"/>
  <c r="AQ208" i="25"/>
  <c r="AR208" i="25"/>
  <c r="D209" i="25"/>
  <c r="E209" i="25"/>
  <c r="M209" i="25"/>
  <c r="O209" i="25"/>
  <c r="R209" i="25"/>
  <c r="S209" i="25"/>
  <c r="T209" i="25"/>
  <c r="V209" i="25"/>
  <c r="W209" i="25"/>
  <c r="X209" i="25"/>
  <c r="AA209" i="25"/>
  <c r="AB209" i="25"/>
  <c r="AE209" i="25"/>
  <c r="AF209" i="25"/>
  <c r="AI209" i="25"/>
  <c r="AJ209" i="25"/>
  <c r="AM209" i="25"/>
  <c r="AN209" i="25"/>
  <c r="AQ209" i="25"/>
  <c r="AR209" i="25"/>
  <c r="D210" i="25"/>
  <c r="E210" i="25"/>
  <c r="M210" i="25"/>
  <c r="O210" i="25"/>
  <c r="R210" i="25"/>
  <c r="S210" i="25"/>
  <c r="T210" i="25"/>
  <c r="V210" i="25"/>
  <c r="W210" i="25"/>
  <c r="X210" i="25"/>
  <c r="AA210" i="25"/>
  <c r="AB210" i="25"/>
  <c r="AE210" i="25"/>
  <c r="AF210" i="25"/>
  <c r="AI210" i="25"/>
  <c r="AJ210" i="25"/>
  <c r="AM210" i="25"/>
  <c r="AN210" i="25"/>
  <c r="AQ210" i="25"/>
  <c r="AR210" i="25"/>
  <c r="D211" i="25"/>
  <c r="E211" i="25"/>
  <c r="M211" i="25"/>
  <c r="O211" i="25"/>
  <c r="R211" i="25"/>
  <c r="S211" i="25"/>
  <c r="T211" i="25"/>
  <c r="V211" i="25"/>
  <c r="W211" i="25"/>
  <c r="X211" i="25"/>
  <c r="AA211" i="25"/>
  <c r="AB211" i="25"/>
  <c r="AE211" i="25"/>
  <c r="AF211" i="25"/>
  <c r="AI211" i="25"/>
  <c r="AJ211" i="25"/>
  <c r="AM211" i="25"/>
  <c r="AN211" i="25"/>
  <c r="AQ211" i="25"/>
  <c r="AR211" i="25"/>
  <c r="D212" i="25"/>
  <c r="E212" i="25"/>
  <c r="M212" i="25"/>
  <c r="O212" i="25"/>
  <c r="R212" i="25"/>
  <c r="S212" i="25"/>
  <c r="T212" i="25"/>
  <c r="V212" i="25"/>
  <c r="W212" i="25"/>
  <c r="X212" i="25"/>
  <c r="AA212" i="25"/>
  <c r="AB212" i="25"/>
  <c r="AE212" i="25"/>
  <c r="AF212" i="25"/>
  <c r="AI212" i="25"/>
  <c r="AJ212" i="25"/>
  <c r="AM212" i="25"/>
  <c r="AN212" i="25"/>
  <c r="AQ212" i="25"/>
  <c r="AR212" i="25"/>
  <c r="D213" i="25"/>
  <c r="E213" i="25"/>
  <c r="M213" i="25"/>
  <c r="O213" i="25"/>
  <c r="R213" i="25"/>
  <c r="S213" i="25"/>
  <c r="T213" i="25"/>
  <c r="V213" i="25"/>
  <c r="W213" i="25"/>
  <c r="X213" i="25"/>
  <c r="AA213" i="25"/>
  <c r="AB213" i="25"/>
  <c r="AE213" i="25"/>
  <c r="AF213" i="25"/>
  <c r="AI213" i="25"/>
  <c r="AJ213" i="25"/>
  <c r="AM213" i="25"/>
  <c r="AN213" i="25"/>
  <c r="AQ213" i="25"/>
  <c r="AR213" i="25"/>
  <c r="D214" i="25"/>
  <c r="E214" i="25"/>
  <c r="M214" i="25"/>
  <c r="O214" i="25"/>
  <c r="R214" i="25"/>
  <c r="S214" i="25"/>
  <c r="T214" i="25"/>
  <c r="V214" i="25"/>
  <c r="W214" i="25"/>
  <c r="X214" i="25"/>
  <c r="AA214" i="25"/>
  <c r="AB214" i="25"/>
  <c r="AE214" i="25"/>
  <c r="AF214" i="25"/>
  <c r="AI214" i="25"/>
  <c r="AJ214" i="25"/>
  <c r="AM214" i="25"/>
  <c r="AN214" i="25"/>
  <c r="AQ214" i="25"/>
  <c r="AR214" i="25"/>
  <c r="D215" i="25"/>
  <c r="E215" i="25"/>
  <c r="M215" i="25"/>
  <c r="O215" i="25"/>
  <c r="R215" i="25"/>
  <c r="S215" i="25"/>
  <c r="T215" i="25"/>
  <c r="V215" i="25"/>
  <c r="W215" i="25"/>
  <c r="X215" i="25"/>
  <c r="AA215" i="25"/>
  <c r="AB215" i="25"/>
  <c r="AE215" i="25"/>
  <c r="AF215" i="25"/>
  <c r="AI215" i="25"/>
  <c r="AJ215" i="25"/>
  <c r="AM215" i="25"/>
  <c r="AN215" i="25"/>
  <c r="AQ215" i="25"/>
  <c r="AR215" i="25"/>
  <c r="D216" i="25"/>
  <c r="E216" i="25"/>
  <c r="M216" i="25"/>
  <c r="O216" i="25"/>
  <c r="R216" i="25"/>
  <c r="S216" i="25"/>
  <c r="T216" i="25"/>
  <c r="V216" i="25"/>
  <c r="W216" i="25"/>
  <c r="X216" i="25"/>
  <c r="AA216" i="25"/>
  <c r="AB216" i="25"/>
  <c r="AE216" i="25"/>
  <c r="AF216" i="25"/>
  <c r="AI216" i="25"/>
  <c r="AJ216" i="25"/>
  <c r="AM216" i="25"/>
  <c r="AN216" i="25"/>
  <c r="AQ216" i="25"/>
  <c r="AR216" i="25"/>
  <c r="D217" i="25"/>
  <c r="E217" i="25"/>
  <c r="M217" i="25"/>
  <c r="O217" i="25"/>
  <c r="R217" i="25"/>
  <c r="S217" i="25"/>
  <c r="T217" i="25"/>
  <c r="V217" i="25"/>
  <c r="W217" i="25"/>
  <c r="X217" i="25"/>
  <c r="AA217" i="25"/>
  <c r="AB217" i="25"/>
  <c r="AE217" i="25"/>
  <c r="AF217" i="25"/>
  <c r="AI217" i="25"/>
  <c r="AJ217" i="25"/>
  <c r="AM217" i="25"/>
  <c r="AN217" i="25"/>
  <c r="AQ217" i="25"/>
  <c r="AR217" i="25"/>
  <c r="D218" i="25"/>
  <c r="E218" i="25"/>
  <c r="M218" i="25"/>
  <c r="O218" i="25"/>
  <c r="R218" i="25"/>
  <c r="S218" i="25"/>
  <c r="T218" i="25"/>
  <c r="V218" i="25"/>
  <c r="W218" i="25"/>
  <c r="X218" i="25"/>
  <c r="AA218" i="25"/>
  <c r="AB218" i="25"/>
  <c r="AE218" i="25"/>
  <c r="AF218" i="25"/>
  <c r="AI218" i="25"/>
  <c r="AJ218" i="25"/>
  <c r="AM218" i="25"/>
  <c r="AN218" i="25"/>
  <c r="AQ218" i="25"/>
  <c r="AR218" i="25"/>
  <c r="D219" i="25"/>
  <c r="E219" i="25"/>
  <c r="M219" i="25"/>
  <c r="O219" i="25"/>
  <c r="R219" i="25"/>
  <c r="S219" i="25"/>
  <c r="T219" i="25"/>
  <c r="V219" i="25"/>
  <c r="W219" i="25"/>
  <c r="X219" i="25"/>
  <c r="AA219" i="25"/>
  <c r="AB219" i="25"/>
  <c r="AE219" i="25"/>
  <c r="AF219" i="25"/>
  <c r="AI219" i="25"/>
  <c r="AJ219" i="25"/>
  <c r="AM219" i="25"/>
  <c r="AN219" i="25"/>
  <c r="AQ219" i="25"/>
  <c r="AR219" i="25"/>
  <c r="D220" i="25"/>
  <c r="E220" i="25"/>
  <c r="M220" i="25"/>
  <c r="O220" i="25"/>
  <c r="R220" i="25"/>
  <c r="S220" i="25"/>
  <c r="T220" i="25"/>
  <c r="V220" i="25"/>
  <c r="W220" i="25"/>
  <c r="X220" i="25"/>
  <c r="AA220" i="25"/>
  <c r="AB220" i="25"/>
  <c r="AE220" i="25"/>
  <c r="AF220" i="25"/>
  <c r="AI220" i="25"/>
  <c r="AJ220" i="25"/>
  <c r="AM220" i="25"/>
  <c r="AN220" i="25"/>
  <c r="AQ220" i="25"/>
  <c r="AR220" i="25"/>
  <c r="D221" i="25"/>
  <c r="E221" i="25"/>
  <c r="M221" i="25"/>
  <c r="O221" i="25"/>
  <c r="R221" i="25"/>
  <c r="S221" i="25"/>
  <c r="T221" i="25"/>
  <c r="V221" i="25"/>
  <c r="W221" i="25"/>
  <c r="X221" i="25"/>
  <c r="AA221" i="25"/>
  <c r="AB221" i="25"/>
  <c r="AE221" i="25"/>
  <c r="AF221" i="25"/>
  <c r="AI221" i="25"/>
  <c r="AJ221" i="25"/>
  <c r="AM221" i="25"/>
  <c r="AN221" i="25"/>
  <c r="AQ221" i="25"/>
  <c r="AR221" i="25"/>
  <c r="D222" i="25"/>
  <c r="E222" i="25"/>
  <c r="M222" i="25"/>
  <c r="O222" i="25"/>
  <c r="R222" i="25"/>
  <c r="S222" i="25"/>
  <c r="T222" i="25"/>
  <c r="V222" i="25"/>
  <c r="W222" i="25"/>
  <c r="X222" i="25"/>
  <c r="AA222" i="25"/>
  <c r="AB222" i="25"/>
  <c r="AE222" i="25"/>
  <c r="AF222" i="25"/>
  <c r="AI222" i="25"/>
  <c r="AJ222" i="25"/>
  <c r="AM222" i="25"/>
  <c r="AN222" i="25"/>
  <c r="AQ222" i="25"/>
  <c r="AR222" i="25"/>
  <c r="D223" i="25"/>
  <c r="E223" i="25"/>
  <c r="M223" i="25"/>
  <c r="O223" i="25"/>
  <c r="R223" i="25"/>
  <c r="S223" i="25"/>
  <c r="T223" i="25"/>
  <c r="V223" i="25"/>
  <c r="W223" i="25"/>
  <c r="X223" i="25"/>
  <c r="AA223" i="25"/>
  <c r="AB223" i="25"/>
  <c r="AE223" i="25"/>
  <c r="AF223" i="25"/>
  <c r="AI223" i="25"/>
  <c r="AJ223" i="25"/>
  <c r="AM223" i="25"/>
  <c r="AN223" i="25"/>
  <c r="AQ223" i="25"/>
  <c r="AR223" i="25"/>
  <c r="D224" i="25"/>
  <c r="E224" i="25"/>
  <c r="M224" i="25"/>
  <c r="O224" i="25"/>
  <c r="R224" i="25"/>
  <c r="S224" i="25"/>
  <c r="T224" i="25"/>
  <c r="V224" i="25"/>
  <c r="W224" i="25"/>
  <c r="X224" i="25"/>
  <c r="AA224" i="25"/>
  <c r="AB224" i="25"/>
  <c r="AE224" i="25"/>
  <c r="AF224" i="25"/>
  <c r="AI224" i="25"/>
  <c r="AJ224" i="25"/>
  <c r="AM224" i="25"/>
  <c r="AN224" i="25"/>
  <c r="AQ224" i="25"/>
  <c r="AR224" i="25"/>
  <c r="D225" i="25"/>
  <c r="E225" i="25"/>
  <c r="M225" i="25"/>
  <c r="O225" i="25"/>
  <c r="R225" i="25"/>
  <c r="S225" i="25"/>
  <c r="T225" i="25"/>
  <c r="V225" i="25"/>
  <c r="W225" i="25"/>
  <c r="X225" i="25"/>
  <c r="AA225" i="25"/>
  <c r="AB225" i="25"/>
  <c r="AE225" i="25"/>
  <c r="AF225" i="25"/>
  <c r="AI225" i="25"/>
  <c r="AJ225" i="25"/>
  <c r="AM225" i="25"/>
  <c r="AN225" i="25"/>
  <c r="AQ225" i="25"/>
  <c r="AR225" i="25"/>
  <c r="D226" i="25"/>
  <c r="E226" i="25"/>
  <c r="M226" i="25"/>
  <c r="O226" i="25"/>
  <c r="R226" i="25"/>
  <c r="S226" i="25"/>
  <c r="T226" i="25"/>
  <c r="V226" i="25"/>
  <c r="W226" i="25"/>
  <c r="X226" i="25"/>
  <c r="AA226" i="25"/>
  <c r="AB226" i="25"/>
  <c r="AE226" i="25"/>
  <c r="AF226" i="25"/>
  <c r="AI226" i="25"/>
  <c r="AJ226" i="25"/>
  <c r="AM226" i="25"/>
  <c r="AN226" i="25"/>
  <c r="AQ226" i="25"/>
  <c r="AR226" i="25"/>
  <c r="D227" i="25"/>
  <c r="E227" i="25"/>
  <c r="M227" i="25"/>
  <c r="O227" i="25"/>
  <c r="R227" i="25"/>
  <c r="S227" i="25"/>
  <c r="T227" i="25"/>
  <c r="V227" i="25"/>
  <c r="W227" i="25"/>
  <c r="X227" i="25"/>
  <c r="AA227" i="25"/>
  <c r="AB227" i="25"/>
  <c r="AE227" i="25"/>
  <c r="AF227" i="25"/>
  <c r="AI227" i="25"/>
  <c r="AJ227" i="25"/>
  <c r="AM227" i="25"/>
  <c r="AN227" i="25"/>
  <c r="AQ227" i="25"/>
  <c r="AR227" i="25"/>
  <c r="D228" i="25"/>
  <c r="E228" i="25"/>
  <c r="M228" i="25"/>
  <c r="O228" i="25"/>
  <c r="R228" i="25"/>
  <c r="S228" i="25"/>
  <c r="T228" i="25"/>
  <c r="V228" i="25"/>
  <c r="W228" i="25"/>
  <c r="X228" i="25"/>
  <c r="AA228" i="25"/>
  <c r="AB228" i="25"/>
  <c r="AE228" i="25"/>
  <c r="AF228" i="25"/>
  <c r="AI228" i="25"/>
  <c r="AJ228" i="25"/>
  <c r="AM228" i="25"/>
  <c r="AN228" i="25"/>
  <c r="AQ228" i="25"/>
  <c r="AR228" i="25"/>
  <c r="D229" i="25"/>
  <c r="E229" i="25"/>
  <c r="M229" i="25"/>
  <c r="O229" i="25"/>
  <c r="R229" i="25"/>
  <c r="S229" i="25"/>
  <c r="T229" i="25"/>
  <c r="V229" i="25"/>
  <c r="W229" i="25"/>
  <c r="X229" i="25"/>
  <c r="AA229" i="25"/>
  <c r="AB229" i="25"/>
  <c r="AE229" i="25"/>
  <c r="AF229" i="25"/>
  <c r="AI229" i="25"/>
  <c r="AJ229" i="25"/>
  <c r="AM229" i="25"/>
  <c r="AN229" i="25"/>
  <c r="AQ229" i="25"/>
  <c r="AR229" i="25"/>
  <c r="D230" i="25"/>
  <c r="E230" i="25"/>
  <c r="M230" i="25"/>
  <c r="O230" i="25"/>
  <c r="R230" i="25"/>
  <c r="S230" i="25"/>
  <c r="T230" i="25"/>
  <c r="V230" i="25"/>
  <c r="W230" i="25"/>
  <c r="X230" i="25"/>
  <c r="AA230" i="25"/>
  <c r="AB230" i="25"/>
  <c r="AE230" i="25"/>
  <c r="AF230" i="25"/>
  <c r="AI230" i="25"/>
  <c r="AJ230" i="25"/>
  <c r="AM230" i="25"/>
  <c r="AN230" i="25"/>
  <c r="AQ230" i="25"/>
  <c r="AR230" i="25"/>
  <c r="D231" i="25"/>
  <c r="E231" i="25"/>
  <c r="M231" i="25"/>
  <c r="O231" i="25"/>
  <c r="R231" i="25"/>
  <c r="S231" i="25"/>
  <c r="T231" i="25"/>
  <c r="V231" i="25"/>
  <c r="W231" i="25"/>
  <c r="X231" i="25"/>
  <c r="AA231" i="25"/>
  <c r="AB231" i="25"/>
  <c r="AE231" i="25"/>
  <c r="AF231" i="25"/>
  <c r="AI231" i="25"/>
  <c r="AJ231" i="25"/>
  <c r="AM231" i="25"/>
  <c r="AN231" i="25"/>
  <c r="AQ231" i="25"/>
  <c r="AR231" i="25"/>
  <c r="D232" i="25"/>
  <c r="E232" i="25"/>
  <c r="M232" i="25"/>
  <c r="O232" i="25"/>
  <c r="R232" i="25"/>
  <c r="S232" i="25"/>
  <c r="T232" i="25"/>
  <c r="V232" i="25"/>
  <c r="W232" i="25"/>
  <c r="X232" i="25"/>
  <c r="AA232" i="25"/>
  <c r="AB232" i="25"/>
  <c r="AE232" i="25"/>
  <c r="AF232" i="25"/>
  <c r="AI232" i="25"/>
  <c r="AJ232" i="25"/>
  <c r="AM232" i="25"/>
  <c r="AN232" i="25"/>
  <c r="AQ232" i="25"/>
  <c r="AR232" i="25"/>
  <c r="D233" i="25"/>
  <c r="E233" i="25"/>
  <c r="M233" i="25"/>
  <c r="O233" i="25"/>
  <c r="R233" i="25"/>
  <c r="S233" i="25"/>
  <c r="T233" i="25"/>
  <c r="V233" i="25"/>
  <c r="W233" i="25"/>
  <c r="X233" i="25"/>
  <c r="AA233" i="25"/>
  <c r="AB233" i="25"/>
  <c r="AE233" i="25"/>
  <c r="AF233" i="25"/>
  <c r="AI233" i="25"/>
  <c r="AJ233" i="25"/>
  <c r="AM233" i="25"/>
  <c r="AN233" i="25"/>
  <c r="AQ233" i="25"/>
  <c r="AR233" i="25"/>
  <c r="D234" i="25"/>
  <c r="E234" i="25"/>
  <c r="M234" i="25"/>
  <c r="O234" i="25"/>
  <c r="R234" i="25"/>
  <c r="S234" i="25"/>
  <c r="T234" i="25"/>
  <c r="V234" i="25"/>
  <c r="W234" i="25"/>
  <c r="X234" i="25"/>
  <c r="AA234" i="25"/>
  <c r="AB234" i="25"/>
  <c r="AE234" i="25"/>
  <c r="AF234" i="25"/>
  <c r="AI234" i="25"/>
  <c r="AJ234" i="25"/>
  <c r="AM234" i="25"/>
  <c r="AN234" i="25"/>
  <c r="AQ234" i="25"/>
  <c r="AR234" i="25"/>
  <c r="D235" i="25"/>
  <c r="E235" i="25"/>
  <c r="M235" i="25"/>
  <c r="O235" i="25"/>
  <c r="R235" i="25"/>
  <c r="S235" i="25"/>
  <c r="T235" i="25"/>
  <c r="V235" i="25"/>
  <c r="W235" i="25"/>
  <c r="X235" i="25"/>
  <c r="AA235" i="25"/>
  <c r="AB235" i="25"/>
  <c r="AE235" i="25"/>
  <c r="AF235" i="25"/>
  <c r="AI235" i="25"/>
  <c r="AJ235" i="25"/>
  <c r="AM235" i="25"/>
  <c r="AN235" i="25"/>
  <c r="AQ235" i="25"/>
  <c r="AR235" i="25"/>
  <c r="D236" i="25"/>
  <c r="E236" i="25"/>
  <c r="M236" i="25"/>
  <c r="O236" i="25"/>
  <c r="R236" i="25"/>
  <c r="S236" i="25"/>
  <c r="T236" i="25"/>
  <c r="V236" i="25"/>
  <c r="W236" i="25"/>
  <c r="X236" i="25"/>
  <c r="AA236" i="25"/>
  <c r="AB236" i="25"/>
  <c r="AE236" i="25"/>
  <c r="AF236" i="25"/>
  <c r="AI236" i="25"/>
  <c r="AJ236" i="25"/>
  <c r="AM236" i="25"/>
  <c r="AN236" i="25"/>
  <c r="AQ236" i="25"/>
  <c r="AR236" i="25"/>
  <c r="D237" i="25"/>
  <c r="E237" i="25"/>
  <c r="M237" i="25"/>
  <c r="O237" i="25"/>
  <c r="R237" i="25"/>
  <c r="S237" i="25"/>
  <c r="T237" i="25"/>
  <c r="V237" i="25"/>
  <c r="W237" i="25"/>
  <c r="X237" i="25"/>
  <c r="AA237" i="25"/>
  <c r="AB237" i="25"/>
  <c r="AE237" i="25"/>
  <c r="AF237" i="25"/>
  <c r="AI237" i="25"/>
  <c r="AJ237" i="25"/>
  <c r="AM237" i="25"/>
  <c r="AN237" i="25"/>
  <c r="AQ237" i="25"/>
  <c r="AR237" i="25"/>
  <c r="D238" i="25"/>
  <c r="E238" i="25"/>
  <c r="M238" i="25"/>
  <c r="O238" i="25"/>
  <c r="R238" i="25"/>
  <c r="S238" i="25"/>
  <c r="T238" i="25"/>
  <c r="V238" i="25"/>
  <c r="W238" i="25"/>
  <c r="X238" i="25"/>
  <c r="AA238" i="25"/>
  <c r="AB238" i="25"/>
  <c r="AE238" i="25"/>
  <c r="AF238" i="25"/>
  <c r="AI238" i="25"/>
  <c r="AJ238" i="25"/>
  <c r="AM238" i="25"/>
  <c r="AN238" i="25"/>
  <c r="AQ238" i="25"/>
  <c r="AR238" i="25"/>
  <c r="D239" i="25"/>
  <c r="E239" i="25"/>
  <c r="M239" i="25"/>
  <c r="O239" i="25"/>
  <c r="R239" i="25"/>
  <c r="S239" i="25"/>
  <c r="T239" i="25"/>
  <c r="V239" i="25"/>
  <c r="W239" i="25"/>
  <c r="X239" i="25"/>
  <c r="AA239" i="25"/>
  <c r="AB239" i="25"/>
  <c r="AE239" i="25"/>
  <c r="AF239" i="25"/>
  <c r="AI239" i="25"/>
  <c r="AJ239" i="25"/>
  <c r="AM239" i="25"/>
  <c r="AN239" i="25"/>
  <c r="AQ239" i="25"/>
  <c r="AR239" i="25"/>
  <c r="D240" i="25"/>
  <c r="E240" i="25"/>
  <c r="M240" i="25"/>
  <c r="O240" i="25"/>
  <c r="R240" i="25"/>
  <c r="S240" i="25"/>
  <c r="T240" i="25"/>
  <c r="V240" i="25"/>
  <c r="W240" i="25"/>
  <c r="X240" i="25"/>
  <c r="AA240" i="25"/>
  <c r="AB240" i="25"/>
  <c r="AE240" i="25"/>
  <c r="AF240" i="25"/>
  <c r="AI240" i="25"/>
  <c r="AJ240" i="25"/>
  <c r="AM240" i="25"/>
  <c r="AN240" i="25"/>
  <c r="AQ240" i="25"/>
  <c r="AR240" i="25"/>
  <c r="D241" i="25"/>
  <c r="E241" i="25"/>
  <c r="M241" i="25"/>
  <c r="O241" i="25"/>
  <c r="R241" i="25"/>
  <c r="S241" i="25"/>
  <c r="T241" i="25"/>
  <c r="V241" i="25"/>
  <c r="W241" i="25"/>
  <c r="X241" i="25"/>
  <c r="AA241" i="25"/>
  <c r="AB241" i="25"/>
  <c r="AE241" i="25"/>
  <c r="AF241" i="25"/>
  <c r="AI241" i="25"/>
  <c r="AJ241" i="25"/>
  <c r="AM241" i="25"/>
  <c r="AN241" i="25"/>
  <c r="AQ241" i="25"/>
  <c r="AR241" i="25"/>
  <c r="D242" i="25"/>
  <c r="E242" i="25"/>
  <c r="M242" i="25"/>
  <c r="O242" i="25"/>
  <c r="R242" i="25"/>
  <c r="S242" i="25"/>
  <c r="T242" i="25"/>
  <c r="V242" i="25"/>
  <c r="W242" i="25"/>
  <c r="X242" i="25"/>
  <c r="AA242" i="25"/>
  <c r="AB242" i="25"/>
  <c r="AE242" i="25"/>
  <c r="AF242" i="25"/>
  <c r="AI242" i="25"/>
  <c r="AJ242" i="25"/>
  <c r="AM242" i="25"/>
  <c r="AN242" i="25"/>
  <c r="AQ242" i="25"/>
  <c r="AR242" i="25"/>
  <c r="D243" i="25"/>
  <c r="E243" i="25"/>
  <c r="M243" i="25"/>
  <c r="O243" i="25"/>
  <c r="R243" i="25"/>
  <c r="S243" i="25"/>
  <c r="T243" i="25"/>
  <c r="V243" i="25"/>
  <c r="W243" i="25"/>
  <c r="X243" i="25"/>
  <c r="AA243" i="25"/>
  <c r="AB243" i="25"/>
  <c r="AE243" i="25"/>
  <c r="AF243" i="25"/>
  <c r="AI243" i="25"/>
  <c r="AJ243" i="25"/>
  <c r="AM243" i="25"/>
  <c r="AN243" i="25"/>
  <c r="AQ243" i="25"/>
  <c r="AR243" i="25"/>
  <c r="D244" i="25"/>
  <c r="E244" i="25"/>
  <c r="M244" i="25"/>
  <c r="O244" i="25"/>
  <c r="R244" i="25"/>
  <c r="S244" i="25"/>
  <c r="T244" i="25"/>
  <c r="V244" i="25"/>
  <c r="W244" i="25"/>
  <c r="X244" i="25"/>
  <c r="AA244" i="25"/>
  <c r="AB244" i="25"/>
  <c r="AE244" i="25"/>
  <c r="AF244" i="25"/>
  <c r="AI244" i="25"/>
  <c r="AJ244" i="25"/>
  <c r="AM244" i="25"/>
  <c r="AN244" i="25"/>
  <c r="AQ244" i="25"/>
  <c r="AR244" i="25"/>
  <c r="D245" i="25"/>
  <c r="E245" i="25"/>
  <c r="M245" i="25"/>
  <c r="O245" i="25"/>
  <c r="R245" i="25"/>
  <c r="S245" i="25"/>
  <c r="T245" i="25"/>
  <c r="V245" i="25"/>
  <c r="W245" i="25"/>
  <c r="X245" i="25"/>
  <c r="AA245" i="25"/>
  <c r="AB245" i="25"/>
  <c r="AE245" i="25"/>
  <c r="AF245" i="25"/>
  <c r="AI245" i="25"/>
  <c r="AJ245" i="25"/>
  <c r="AM245" i="25"/>
  <c r="AN245" i="25"/>
  <c r="AQ245" i="25"/>
  <c r="AR245" i="25"/>
  <c r="R14" i="25"/>
  <c r="S14" i="25"/>
  <c r="T14" i="25"/>
  <c r="V14" i="25"/>
  <c r="W14" i="25"/>
  <c r="X14" i="25"/>
  <c r="AA14" i="25"/>
  <c r="AB14" i="25"/>
  <c r="AE14" i="25"/>
  <c r="AF14" i="25"/>
  <c r="AI14" i="25"/>
  <c r="AJ14" i="25"/>
  <c r="AM14" i="25"/>
  <c r="AN14" i="25"/>
  <c r="AQ14" i="25"/>
  <c r="AR14" i="25"/>
  <c r="O14" i="25"/>
  <c r="M14" i="25"/>
  <c r="D14" i="25"/>
  <c r="E14" i="25"/>
  <c r="B293" i="67"/>
  <c r="B285" i="67"/>
  <c r="V283" i="67"/>
  <c r="B217" i="67"/>
  <c r="V215" i="67"/>
  <c r="B184" i="67"/>
  <c r="B181" i="67"/>
  <c r="B178" i="67"/>
  <c r="B143" i="67"/>
  <c r="B135" i="67"/>
  <c r="B128" i="67"/>
  <c r="B97" i="67"/>
  <c r="B91" i="67"/>
  <c r="B75" i="67"/>
  <c r="B69" i="67"/>
  <c r="B60" i="67"/>
  <c r="B53" i="67"/>
  <c r="B45" i="67"/>
  <c r="B39" i="67"/>
  <c r="B31" i="67"/>
  <c r="B25" i="67"/>
  <c r="B19" i="67"/>
  <c r="B6" i="67"/>
  <c r="B445" i="64"/>
  <c r="C28" i="18" l="1"/>
  <c r="C232" i="62" s="1"/>
  <c r="E341" i="67"/>
  <c r="L341" i="67" s="1"/>
  <c r="E338" i="67"/>
  <c r="L338" i="67" s="1"/>
  <c r="E340" i="67"/>
  <c r="L340" i="67" s="1"/>
  <c r="D339" i="67"/>
  <c r="K339" i="67" s="1"/>
  <c r="C341" i="67"/>
  <c r="J341" i="67" s="1"/>
  <c r="C338" i="67"/>
  <c r="J338" i="67" s="1"/>
  <c r="C340" i="67"/>
  <c r="J340" i="67" s="1"/>
  <c r="E339" i="67"/>
  <c r="L339" i="67" s="1"/>
  <c r="D341" i="67"/>
  <c r="K341" i="67" s="1"/>
  <c r="D338" i="67"/>
  <c r="K338" i="67" s="1"/>
  <c r="D340" i="67"/>
  <c r="K340" i="67" s="1"/>
  <c r="C339" i="67"/>
  <c r="J339" i="67" s="1"/>
  <c r="E29" i="18"/>
  <c r="E239" i="62" s="1"/>
  <c r="E28" i="18"/>
  <c r="E232" i="62" s="1"/>
  <c r="C29" i="18"/>
  <c r="C239" i="62" s="1"/>
  <c r="D29" i="18"/>
  <c r="D239" i="62" s="1"/>
  <c r="D28" i="18"/>
  <c r="D232" i="59" s="1"/>
  <c r="E239" i="54" l="1"/>
  <c r="E239" i="43"/>
  <c r="E239" i="48"/>
  <c r="F239" i="48" s="1"/>
  <c r="E232" i="38"/>
  <c r="C239" i="50"/>
  <c r="C239" i="53"/>
  <c r="C239" i="44"/>
  <c r="C239" i="47"/>
  <c r="C239" i="55"/>
  <c r="C239" i="42"/>
  <c r="E232" i="35"/>
  <c r="C232" i="61"/>
  <c r="E239" i="56"/>
  <c r="E239" i="52"/>
  <c r="E239" i="46"/>
  <c r="E239" i="41"/>
  <c r="C232" i="58"/>
  <c r="E239" i="33"/>
  <c r="C232" i="60"/>
  <c r="C232" i="57"/>
  <c r="E232" i="60"/>
  <c r="E232" i="55"/>
  <c r="E232" i="53"/>
  <c r="E232" i="50"/>
  <c r="E232" i="47"/>
  <c r="E232" i="44"/>
  <c r="E232" i="42"/>
  <c r="E239" i="38"/>
  <c r="E232" i="36"/>
  <c r="E232" i="51"/>
  <c r="E232" i="57"/>
  <c r="E232" i="39"/>
  <c r="E239" i="36"/>
  <c r="E232" i="34"/>
  <c r="E232" i="32"/>
  <c r="E232" i="56"/>
  <c r="E232" i="54"/>
  <c r="E232" i="52"/>
  <c r="E232" i="48"/>
  <c r="F232" i="48" s="1"/>
  <c r="E232" i="46"/>
  <c r="E232" i="43"/>
  <c r="E232" i="41"/>
  <c r="E232" i="37"/>
  <c r="E239" i="34"/>
  <c r="E232" i="33"/>
  <c r="C239" i="39"/>
  <c r="C239" i="37"/>
  <c r="C239" i="35"/>
  <c r="C239" i="51"/>
  <c r="C239" i="32"/>
  <c r="E232" i="61"/>
  <c r="E232" i="58"/>
  <c r="E232" i="59"/>
  <c r="C239" i="61"/>
  <c r="E239" i="58"/>
  <c r="C239" i="60"/>
  <c r="E239" i="57"/>
  <c r="E239" i="61"/>
  <c r="E239" i="60"/>
  <c r="E239" i="59"/>
  <c r="C239" i="58"/>
  <c r="C239" i="57"/>
  <c r="C239" i="56"/>
  <c r="E239" i="55"/>
  <c r="C239" i="54"/>
  <c r="E239" i="53"/>
  <c r="C239" i="52"/>
  <c r="E239" i="50"/>
  <c r="C239" i="48"/>
  <c r="E239" i="47"/>
  <c r="C239" i="46"/>
  <c r="E239" i="44"/>
  <c r="C239" i="43"/>
  <c r="E239" i="42"/>
  <c r="C239" i="41"/>
  <c r="E239" i="39"/>
  <c r="C239" i="38"/>
  <c r="E239" i="37"/>
  <c r="C239" i="36"/>
  <c r="E239" i="35"/>
  <c r="C239" i="34"/>
  <c r="E239" i="51"/>
  <c r="C239" i="33"/>
  <c r="E239" i="32"/>
  <c r="D232" i="62"/>
  <c r="D232" i="60"/>
  <c r="D232" i="58"/>
  <c r="D232" i="56"/>
  <c r="D232" i="54"/>
  <c r="D232" i="52"/>
  <c r="D232" i="48"/>
  <c r="D232" i="46"/>
  <c r="D232" i="43"/>
  <c r="D232" i="41"/>
  <c r="C232" i="56"/>
  <c r="C232" i="55"/>
  <c r="C232" i="54"/>
  <c r="C232" i="53"/>
  <c r="C232" i="52"/>
  <c r="C232" i="50"/>
  <c r="C232" i="48"/>
  <c r="C232" i="47"/>
  <c r="C232" i="46"/>
  <c r="C232" i="44"/>
  <c r="C232" i="43"/>
  <c r="C232" i="42"/>
  <c r="C232" i="41"/>
  <c r="C232" i="39"/>
  <c r="C232" i="38"/>
  <c r="C232" i="37"/>
  <c r="C232" i="36"/>
  <c r="C232" i="35"/>
  <c r="C232" i="34"/>
  <c r="C232" i="51"/>
  <c r="C232" i="33"/>
  <c r="C232" i="32"/>
  <c r="D232" i="61"/>
  <c r="D232" i="57"/>
  <c r="D232" i="55"/>
  <c r="D232" i="53"/>
  <c r="D232" i="50"/>
  <c r="D232" i="47"/>
  <c r="D232" i="44"/>
  <c r="D232" i="42"/>
  <c r="D232" i="39"/>
  <c r="D232" i="38"/>
  <c r="D239" i="61"/>
  <c r="D239" i="60"/>
  <c r="D239" i="59"/>
  <c r="D239" i="58"/>
  <c r="D239" i="57"/>
  <c r="D239" i="56"/>
  <c r="D239" i="55"/>
  <c r="D239" i="54"/>
  <c r="D239" i="53"/>
  <c r="D239" i="52"/>
  <c r="D239" i="50"/>
  <c r="D239" i="48"/>
  <c r="D239" i="47"/>
  <c r="D239" i="46"/>
  <c r="D239" i="44"/>
  <c r="D239" i="43"/>
  <c r="D239" i="42"/>
  <c r="D239" i="41"/>
  <c r="D239" i="39"/>
  <c r="D239" i="38"/>
  <c r="D239" i="37"/>
  <c r="D239" i="35"/>
  <c r="D239" i="51"/>
  <c r="D239" i="32"/>
  <c r="D239" i="36"/>
  <c r="D239" i="34"/>
  <c r="D239" i="33"/>
  <c r="D232" i="37"/>
  <c r="D232" i="36"/>
  <c r="D232" i="35"/>
  <c r="D232" i="34"/>
  <c r="D232" i="51"/>
  <c r="D232" i="33"/>
  <c r="D232" i="32"/>
  <c r="B214" i="3" l="1"/>
  <c r="F129" i="3"/>
  <c r="E129" i="3"/>
  <c r="B246" i="1"/>
  <c r="C246" i="1" s="1"/>
  <c r="F149" i="1"/>
  <c r="E149" i="1"/>
  <c r="D149" i="1"/>
  <c r="A14" i="1"/>
  <c r="B245" i="6"/>
  <c r="AL148" i="6"/>
  <c r="AR149" i="25" s="1"/>
  <c r="AK148" i="6"/>
  <c r="AJ148" i="6"/>
  <c r="AH148" i="6"/>
  <c r="AN149" i="25" s="1"/>
  <c r="AG148" i="6"/>
  <c r="AF148" i="6"/>
  <c r="AD148" i="6"/>
  <c r="AJ149" i="25" s="1"/>
  <c r="AC148" i="6"/>
  <c r="AB148" i="6"/>
  <c r="Z148" i="6"/>
  <c r="AF149" i="25" s="1"/>
  <c r="Y148" i="6"/>
  <c r="X148" i="6"/>
  <c r="V148" i="6"/>
  <c r="AB149" i="25" s="1"/>
  <c r="U148" i="6"/>
  <c r="T148" i="6"/>
  <c r="S148" i="6"/>
  <c r="X149" i="25" s="1"/>
  <c r="R148" i="6"/>
  <c r="W149" i="25" s="1"/>
  <c r="Q148" i="6"/>
  <c r="V149" i="25" s="1"/>
  <c r="P148" i="6"/>
  <c r="T149" i="25" s="1"/>
  <c r="O148" i="6"/>
  <c r="S149" i="25" s="1"/>
  <c r="N148" i="6"/>
  <c r="R149" i="25" s="1"/>
  <c r="O149" i="25"/>
  <c r="M149" i="25"/>
  <c r="F338" i="67" s="1"/>
  <c r="M338" i="67" s="1"/>
  <c r="G338" i="67" s="1"/>
  <c r="K148" i="6"/>
  <c r="J148" i="6"/>
  <c r="J149" i="25" s="1"/>
  <c r="I148" i="6"/>
  <c r="I149" i="25" s="1"/>
  <c r="H148" i="6"/>
  <c r="F148" i="6"/>
  <c r="F149" i="25" s="1"/>
  <c r="E148" i="6"/>
  <c r="E149" i="25" s="1"/>
  <c r="D148" i="6"/>
  <c r="D149" i="25" s="1"/>
  <c r="F341" i="67" l="1"/>
  <c r="M341" i="67" s="1"/>
  <c r="G341" i="67" s="1"/>
  <c r="D11" i="18"/>
  <c r="F340" i="67"/>
  <c r="M340" i="67" s="1"/>
  <c r="G340" i="67" s="1"/>
  <c r="H149" i="25"/>
  <c r="L149" i="25"/>
  <c r="F339" i="67" s="1"/>
  <c r="M339" i="67" s="1"/>
  <c r="G339" i="67" s="1"/>
  <c r="AE149" i="25"/>
  <c r="AA148" i="6"/>
  <c r="AM149" i="25"/>
  <c r="AI148" i="6"/>
  <c r="AA149" i="25"/>
  <c r="W148" i="6"/>
  <c r="AI149" i="25"/>
  <c r="AE148" i="6"/>
  <c r="AQ149" i="25"/>
  <c r="AM148" i="6"/>
  <c r="F29" i="18"/>
  <c r="F239" i="59" s="1"/>
  <c r="F28" i="18"/>
  <c r="A13" i="6"/>
  <c r="D258" i="62"/>
  <c r="F239" i="58" l="1"/>
  <c r="F239" i="54"/>
  <c r="F239" i="43"/>
  <c r="F239" i="38"/>
  <c r="F239" i="34"/>
  <c r="F239" i="62"/>
  <c r="F239" i="56"/>
  <c r="F239" i="52"/>
  <c r="F239" i="46"/>
  <c r="F239" i="41"/>
  <c r="F239" i="36"/>
  <c r="F239" i="33"/>
  <c r="F239" i="61"/>
  <c r="F239" i="57"/>
  <c r="F239" i="55"/>
  <c r="F239" i="53"/>
  <c r="F239" i="50"/>
  <c r="F239" i="47"/>
  <c r="F239" i="44"/>
  <c r="F239" i="42"/>
  <c r="F239" i="39"/>
  <c r="F239" i="37"/>
  <c r="F239" i="35"/>
  <c r="F239" i="51"/>
  <c r="F239" i="32"/>
  <c r="F239" i="60"/>
  <c r="F232" i="59"/>
  <c r="F232" i="60"/>
  <c r="F232" i="61"/>
  <c r="F232" i="62"/>
  <c r="F232" i="32"/>
  <c r="F232" i="33"/>
  <c r="F232" i="51"/>
  <c r="F232" i="34"/>
  <c r="F232" i="35"/>
  <c r="F232" i="36"/>
  <c r="F232" i="37"/>
  <c r="F232" i="38"/>
  <c r="F232" i="39"/>
  <c r="F232" i="41"/>
  <c r="F232" i="42"/>
  <c r="F232" i="43"/>
  <c r="F232" i="44"/>
  <c r="F232" i="46"/>
  <c r="F232" i="47"/>
  <c r="F232" i="50"/>
  <c r="F232" i="52"/>
  <c r="F232" i="53"/>
  <c r="F232" i="54"/>
  <c r="F232" i="55"/>
  <c r="F232" i="56"/>
  <c r="F232" i="57"/>
  <c r="F232" i="58"/>
  <c r="B229" i="62"/>
  <c r="B221" i="62"/>
  <c r="V219" i="62"/>
  <c r="B212" i="62"/>
  <c r="B209" i="62"/>
  <c r="B206" i="62"/>
  <c r="B177" i="62"/>
  <c r="V175" i="62"/>
  <c r="B168" i="62"/>
  <c r="B165" i="62"/>
  <c r="B162" i="62"/>
  <c r="B127" i="62"/>
  <c r="B119" i="62"/>
  <c r="B112" i="62"/>
  <c r="B89" i="62"/>
  <c r="B83" i="62"/>
  <c r="B75" i="62"/>
  <c r="B69" i="62"/>
  <c r="B60" i="62"/>
  <c r="B53" i="62"/>
  <c r="B45" i="62"/>
  <c r="B39" i="62"/>
  <c r="B31" i="62"/>
  <c r="B25" i="62"/>
  <c r="B19" i="62"/>
  <c r="B6" i="62"/>
  <c r="D258" i="61"/>
  <c r="B229" i="61"/>
  <c r="B221" i="61"/>
  <c r="V219" i="61"/>
  <c r="B212" i="61"/>
  <c r="B209" i="61"/>
  <c r="B206" i="61"/>
  <c r="B177" i="61"/>
  <c r="V175" i="61"/>
  <c r="B168" i="61"/>
  <c r="B165" i="61"/>
  <c r="B162" i="61"/>
  <c r="B127" i="61"/>
  <c r="B119" i="61"/>
  <c r="B112" i="61"/>
  <c r="B89" i="61"/>
  <c r="B83" i="61"/>
  <c r="B75" i="61"/>
  <c r="B69" i="61"/>
  <c r="B60" i="61"/>
  <c r="B53" i="61"/>
  <c r="B45" i="61"/>
  <c r="B39" i="61"/>
  <c r="B31" i="61"/>
  <c r="B25" i="61"/>
  <c r="B19" i="61"/>
  <c r="B6" i="61"/>
  <c r="D258" i="60" l="1"/>
  <c r="B229" i="60" l="1"/>
  <c r="B221" i="60"/>
  <c r="V219" i="60"/>
  <c r="B212" i="60"/>
  <c r="B209" i="60"/>
  <c r="B206" i="60"/>
  <c r="B177" i="60"/>
  <c r="V175" i="60"/>
  <c r="B168" i="60"/>
  <c r="B165" i="60"/>
  <c r="B162" i="60"/>
  <c r="B127" i="60"/>
  <c r="B119" i="60"/>
  <c r="B112" i="60"/>
  <c r="B89" i="60"/>
  <c r="B83" i="60"/>
  <c r="B75" i="60"/>
  <c r="B69" i="60"/>
  <c r="B60" i="60"/>
  <c r="B53" i="60"/>
  <c r="B45" i="60"/>
  <c r="B39" i="60"/>
  <c r="B31" i="60"/>
  <c r="B25" i="60"/>
  <c r="B19" i="60"/>
  <c r="B6" i="60"/>
  <c r="D258" i="59"/>
  <c r="B229" i="59"/>
  <c r="B221" i="59"/>
  <c r="V219" i="59"/>
  <c r="B212" i="59"/>
  <c r="B209" i="59"/>
  <c r="B206" i="59"/>
  <c r="B177" i="59" l="1"/>
  <c r="V175" i="59"/>
  <c r="B168" i="59"/>
  <c r="B165" i="59"/>
  <c r="B162" i="59"/>
  <c r="B127" i="59"/>
  <c r="B119" i="59"/>
  <c r="B112" i="59"/>
  <c r="B89" i="59"/>
  <c r="B83" i="59"/>
  <c r="B75" i="59"/>
  <c r="B69" i="59"/>
  <c r="B60" i="59"/>
  <c r="B53" i="59"/>
  <c r="C49" i="59"/>
  <c r="C48" i="59"/>
  <c r="C47" i="59"/>
  <c r="B45" i="59"/>
  <c r="B39" i="59"/>
  <c r="B31" i="59"/>
  <c r="B25" i="59"/>
  <c r="B19" i="59"/>
  <c r="B6" i="59"/>
  <c r="D258" i="58"/>
  <c r="B229" i="58"/>
  <c r="B221" i="58"/>
  <c r="V219" i="58"/>
  <c r="B212" i="58"/>
  <c r="B209" i="58"/>
  <c r="B206" i="58"/>
  <c r="B177" i="58"/>
  <c r="V175" i="58"/>
  <c r="B168" i="58"/>
  <c r="B165" i="58"/>
  <c r="B162" i="58"/>
  <c r="B127" i="58"/>
  <c r="B119" i="58"/>
  <c r="B112" i="58"/>
  <c r="B89" i="58"/>
  <c r="B83" i="58"/>
  <c r="B75" i="58"/>
  <c r="B69" i="58"/>
  <c r="B60" i="58"/>
  <c r="B53" i="58"/>
  <c r="B45" i="58"/>
  <c r="B39" i="58"/>
  <c r="B31" i="58"/>
  <c r="B25" i="58"/>
  <c r="B19" i="58"/>
  <c r="B6" i="58"/>
  <c r="D258" i="57"/>
  <c r="B229" i="57"/>
  <c r="B221" i="57"/>
  <c r="V219" i="57"/>
  <c r="B212" i="57"/>
  <c r="B209" i="57"/>
  <c r="B206" i="57"/>
  <c r="B177" i="57"/>
  <c r="V175" i="57"/>
  <c r="B168" i="57"/>
  <c r="B165" i="57"/>
  <c r="B162" i="57"/>
  <c r="B127" i="57"/>
  <c r="B119" i="57"/>
  <c r="B112" i="57"/>
  <c r="B89" i="57"/>
  <c r="B83" i="57"/>
  <c r="B75" i="57"/>
  <c r="B69" i="57"/>
  <c r="B60" i="57"/>
  <c r="B53" i="57"/>
  <c r="B45" i="57"/>
  <c r="B39" i="57"/>
  <c r="B31" i="57"/>
  <c r="B25" i="57"/>
  <c r="B19" i="57"/>
  <c r="B6" i="57"/>
  <c r="D258" i="56"/>
  <c r="B229" i="56"/>
  <c r="B221" i="56"/>
  <c r="V219" i="56"/>
  <c r="B212" i="56"/>
  <c r="B209" i="56"/>
  <c r="B206" i="56"/>
  <c r="B177" i="56"/>
  <c r="V175" i="56"/>
  <c r="B168" i="56"/>
  <c r="B165" i="56"/>
  <c r="B162" i="56"/>
  <c r="B127" i="56"/>
  <c r="B119" i="56"/>
  <c r="B112" i="56"/>
  <c r="B89" i="56"/>
  <c r="B83" i="56"/>
  <c r="B75" i="56"/>
  <c r="B69" i="56"/>
  <c r="B60" i="56"/>
  <c r="B53" i="56"/>
  <c r="B45" i="56"/>
  <c r="B39" i="56"/>
  <c r="B31" i="56"/>
  <c r="B25" i="56"/>
  <c r="B19" i="56"/>
  <c r="B6" i="56"/>
  <c r="D258" i="55"/>
  <c r="B229" i="55"/>
  <c r="B221" i="55"/>
  <c r="V219" i="55"/>
  <c r="B212" i="55"/>
  <c r="B209" i="55"/>
  <c r="B206" i="55"/>
  <c r="B177" i="55"/>
  <c r="V175" i="55"/>
  <c r="B168" i="55"/>
  <c r="B165" i="55"/>
  <c r="B162" i="55"/>
  <c r="B127" i="55"/>
  <c r="B119" i="55"/>
  <c r="B112" i="55"/>
  <c r="B89" i="55"/>
  <c r="B83" i="55"/>
  <c r="B75" i="55"/>
  <c r="B69" i="55"/>
  <c r="B60" i="55"/>
  <c r="B53" i="55"/>
  <c r="B45" i="55"/>
  <c r="B39" i="55"/>
  <c r="B31" i="55"/>
  <c r="B25" i="55"/>
  <c r="B19" i="55"/>
  <c r="B6" i="55"/>
  <c r="D258" i="54"/>
  <c r="B229" i="54"/>
  <c r="B221" i="54"/>
  <c r="V219" i="54"/>
  <c r="B212" i="54"/>
  <c r="B209" i="54"/>
  <c r="B206" i="54"/>
  <c r="B177" i="54"/>
  <c r="V175" i="54"/>
  <c r="B168" i="54"/>
  <c r="B165" i="54"/>
  <c r="B162" i="54"/>
  <c r="B127" i="54"/>
  <c r="B119" i="54"/>
  <c r="B112" i="54"/>
  <c r="B89" i="54"/>
  <c r="B83" i="54"/>
  <c r="B75" i="54"/>
  <c r="B69" i="54"/>
  <c r="B60" i="54"/>
  <c r="B53" i="54"/>
  <c r="B45" i="54"/>
  <c r="B39" i="54"/>
  <c r="B31" i="54"/>
  <c r="B25" i="54"/>
  <c r="B19" i="54"/>
  <c r="B6" i="54"/>
  <c r="D258" i="53"/>
  <c r="B229" i="53"/>
  <c r="B221" i="53"/>
  <c r="V219" i="53"/>
  <c r="B212" i="53" l="1"/>
  <c r="B209" i="53"/>
  <c r="B206" i="53"/>
  <c r="B177" i="53"/>
  <c r="V175" i="53"/>
  <c r="B168" i="53"/>
  <c r="B165" i="53"/>
  <c r="B162" i="53"/>
  <c r="B127" i="53"/>
  <c r="B119" i="53"/>
  <c r="B112" i="53"/>
  <c r="B89" i="53"/>
  <c r="B83" i="53"/>
  <c r="B75" i="53"/>
  <c r="B69" i="53"/>
  <c r="B60" i="53"/>
  <c r="B53" i="53"/>
  <c r="B45" i="53"/>
  <c r="B39" i="53"/>
  <c r="B31" i="53"/>
  <c r="B25" i="53"/>
  <c r="B19" i="53"/>
  <c r="B6" i="53"/>
  <c r="D258" i="52"/>
  <c r="B229" i="52"/>
  <c r="B221" i="52"/>
  <c r="V219" i="52"/>
  <c r="B212" i="52"/>
  <c r="B209" i="52"/>
  <c r="B206" i="52"/>
  <c r="B177" i="52"/>
  <c r="V175" i="52"/>
  <c r="B168" i="52"/>
  <c r="B165" i="52"/>
  <c r="B162" i="52"/>
  <c r="B127" i="52"/>
  <c r="B119" i="52"/>
  <c r="B112" i="52"/>
  <c r="B89" i="52"/>
  <c r="B83" i="52"/>
  <c r="B75" i="52"/>
  <c r="B69" i="52"/>
  <c r="B60" i="52"/>
  <c r="B53" i="52"/>
  <c r="B45" i="52"/>
  <c r="B39" i="52"/>
  <c r="B31" i="52"/>
  <c r="B25" i="52"/>
  <c r="B19" i="52"/>
  <c r="B6" i="52"/>
  <c r="D258" i="50"/>
  <c r="B229" i="50"/>
  <c r="B221" i="50"/>
  <c r="V219" i="50"/>
  <c r="B212" i="50"/>
  <c r="B209" i="50"/>
  <c r="B206" i="50"/>
  <c r="B177" i="50"/>
  <c r="V175" i="50"/>
  <c r="B168" i="50"/>
  <c r="B165" i="50"/>
  <c r="B162" i="50"/>
  <c r="B127" i="50"/>
  <c r="B119" i="50"/>
  <c r="B112" i="50"/>
  <c r="B89" i="50"/>
  <c r="B83" i="50"/>
  <c r="B75" i="50"/>
  <c r="B69" i="50"/>
  <c r="B60" i="50"/>
  <c r="B53" i="50"/>
  <c r="B45" i="50"/>
  <c r="B39" i="50"/>
  <c r="B31" i="50"/>
  <c r="B25" i="50"/>
  <c r="B19" i="50"/>
  <c r="B6" i="50"/>
  <c r="D258" i="48"/>
  <c r="B229" i="48"/>
  <c r="B221" i="48"/>
  <c r="V219" i="48"/>
  <c r="B212" i="48"/>
  <c r="B209" i="48"/>
  <c r="B206" i="48"/>
  <c r="B177" i="48"/>
  <c r="V175" i="48"/>
  <c r="B168" i="48"/>
  <c r="B165" i="48"/>
  <c r="B162" i="48"/>
  <c r="B127" i="48"/>
  <c r="B119" i="48"/>
  <c r="B112" i="48"/>
  <c r="B89" i="48"/>
  <c r="B83" i="48"/>
  <c r="B75" i="48"/>
  <c r="B69" i="48"/>
  <c r="B60" i="48"/>
  <c r="B53" i="48"/>
  <c r="B45" i="48"/>
  <c r="B39" i="48"/>
  <c r="B31" i="48"/>
  <c r="B25" i="48"/>
  <c r="B19" i="48"/>
  <c r="B6" i="48"/>
  <c r="D258" i="47"/>
  <c r="B229" i="47"/>
  <c r="B221" i="47"/>
  <c r="V219" i="47"/>
  <c r="B212" i="47"/>
  <c r="B209" i="47"/>
  <c r="B206" i="47"/>
  <c r="B177" i="47"/>
  <c r="V175" i="47"/>
  <c r="B168" i="47"/>
  <c r="B165" i="47"/>
  <c r="B162" i="47"/>
  <c r="B127" i="47"/>
  <c r="B119" i="47"/>
  <c r="B112" i="47"/>
  <c r="B89" i="47"/>
  <c r="B83" i="47"/>
  <c r="B75" i="47"/>
  <c r="B69" i="47"/>
  <c r="B60" i="47"/>
  <c r="B53" i="47"/>
  <c r="B45" i="47"/>
  <c r="B39" i="47"/>
  <c r="B31" i="47"/>
  <c r="B25" i="47"/>
  <c r="B19" i="47"/>
  <c r="B6" i="47"/>
  <c r="D258" i="46"/>
  <c r="B229" i="46"/>
  <c r="B221" i="46"/>
  <c r="V219" i="46"/>
  <c r="B212" i="46"/>
  <c r="B209" i="46"/>
  <c r="B206" i="46"/>
  <c r="B177" i="46"/>
  <c r="V175" i="46"/>
  <c r="B168" i="46"/>
  <c r="B165" i="46"/>
  <c r="B162" i="46"/>
  <c r="B127" i="46"/>
  <c r="B119" i="46"/>
  <c r="B112" i="46"/>
  <c r="B89" i="46"/>
  <c r="B83" i="46"/>
  <c r="B75" i="46"/>
  <c r="B69" i="46"/>
  <c r="B60" i="46"/>
  <c r="B53" i="46"/>
  <c r="B45" i="46"/>
  <c r="B39" i="46"/>
  <c r="B31" i="46"/>
  <c r="B25" i="46"/>
  <c r="B19" i="46"/>
  <c r="B6" i="46"/>
  <c r="D258" i="44"/>
  <c r="B229" i="44"/>
  <c r="B221" i="44"/>
  <c r="V219" i="44"/>
  <c r="B212" i="44"/>
  <c r="B209" i="44"/>
  <c r="B206" i="44"/>
  <c r="B177" i="44"/>
  <c r="V175" i="44"/>
  <c r="B168" i="44"/>
  <c r="B165" i="44"/>
  <c r="B162" i="44"/>
  <c r="B127" i="44"/>
  <c r="B119" i="44"/>
  <c r="B112" i="44"/>
  <c r="B89" i="44"/>
  <c r="B83" i="44"/>
  <c r="B75" i="44"/>
  <c r="B69" i="44"/>
  <c r="B60" i="44"/>
  <c r="B53" i="44"/>
  <c r="B45" i="44"/>
  <c r="B39" i="44"/>
  <c r="B31" i="44"/>
  <c r="B25" i="44"/>
  <c r="B19" i="44"/>
  <c r="B6" i="44"/>
  <c r="D258" i="43"/>
  <c r="B229" i="43"/>
  <c r="B221" i="43"/>
  <c r="V219" i="43"/>
  <c r="B212" i="43"/>
  <c r="B209" i="43"/>
  <c r="B206" i="43"/>
  <c r="B177" i="43"/>
  <c r="V175" i="43"/>
  <c r="B168" i="43"/>
  <c r="B165" i="43"/>
  <c r="B162" i="43"/>
  <c r="B127" i="43"/>
  <c r="B119" i="43"/>
  <c r="B112" i="43"/>
  <c r="B89" i="43"/>
  <c r="B83" i="43"/>
  <c r="B75" i="43"/>
  <c r="B69" i="43"/>
  <c r="B60" i="43"/>
  <c r="B53" i="43"/>
  <c r="B45" i="43"/>
  <c r="B39" i="43"/>
  <c r="B31" i="43"/>
  <c r="B25" i="43"/>
  <c r="B19" i="43"/>
  <c r="B6" i="43"/>
  <c r="D258" i="42"/>
  <c r="B229" i="42"/>
  <c r="B221" i="42"/>
  <c r="V219" i="42"/>
  <c r="B212" i="42"/>
  <c r="B209" i="42"/>
  <c r="B206" i="42"/>
  <c r="B177" i="42"/>
  <c r="V175" i="42"/>
  <c r="B168" i="42"/>
  <c r="B165" i="42"/>
  <c r="B162" i="42"/>
  <c r="B127" i="42"/>
  <c r="B119" i="42"/>
  <c r="B112" i="42"/>
  <c r="B89" i="42"/>
  <c r="B83" i="42"/>
  <c r="B75" i="42"/>
  <c r="B69" i="42"/>
  <c r="B60" i="42"/>
  <c r="B53" i="42"/>
  <c r="B45" i="42"/>
  <c r="B39" i="42"/>
  <c r="B31" i="42"/>
  <c r="B25" i="42"/>
  <c r="B19" i="42"/>
  <c r="B6" i="42"/>
  <c r="D258" i="41"/>
  <c r="B229" i="41"/>
  <c r="B221" i="41"/>
  <c r="V219" i="41"/>
  <c r="B212" i="41"/>
  <c r="B209" i="41"/>
  <c r="B206" i="41"/>
  <c r="B177" i="41"/>
  <c r="V175" i="41"/>
  <c r="B168" i="41"/>
  <c r="B165" i="41"/>
  <c r="B162" i="41"/>
  <c r="B127" i="41"/>
  <c r="B119" i="41"/>
  <c r="B112" i="41"/>
  <c r="B89" i="41"/>
  <c r="B83" i="41"/>
  <c r="B75" i="41"/>
  <c r="B69" i="41"/>
  <c r="B60" i="41"/>
  <c r="B53" i="41"/>
  <c r="B45" i="41"/>
  <c r="B39" i="41"/>
  <c r="B31" i="41"/>
  <c r="B25" i="41"/>
  <c r="B19" i="41"/>
  <c r="B6" i="41" l="1"/>
  <c r="D258" i="39"/>
  <c r="B229" i="39"/>
  <c r="B221" i="39"/>
  <c r="V219" i="39"/>
  <c r="B212" i="39"/>
  <c r="B209" i="39"/>
  <c r="B206" i="39"/>
  <c r="B177" i="39"/>
  <c r="V175" i="39"/>
  <c r="B168" i="39"/>
  <c r="B165" i="39"/>
  <c r="B162" i="39"/>
  <c r="B127" i="39"/>
  <c r="B119" i="39"/>
  <c r="B112" i="39"/>
  <c r="B89" i="39"/>
  <c r="B83" i="39"/>
  <c r="B75" i="39"/>
  <c r="B69" i="39"/>
  <c r="B60" i="39"/>
  <c r="B53" i="39"/>
  <c r="B45" i="39"/>
  <c r="B39" i="39"/>
  <c r="B31" i="39"/>
  <c r="B25" i="39"/>
  <c r="B19" i="39"/>
  <c r="B6" i="39"/>
  <c r="D258" i="38"/>
  <c r="B229" i="38"/>
  <c r="B221" i="38"/>
  <c r="V219" i="38"/>
  <c r="B212" i="38"/>
  <c r="B209" i="38"/>
  <c r="B206" i="38"/>
  <c r="B177" i="38"/>
  <c r="V175" i="38"/>
  <c r="B168" i="38"/>
  <c r="B165" i="38"/>
  <c r="B162" i="38"/>
  <c r="B127" i="38"/>
  <c r="B119" i="38"/>
  <c r="B112" i="38"/>
  <c r="B89" i="38"/>
  <c r="B83" i="38"/>
  <c r="B75" i="38"/>
  <c r="B69" i="38"/>
  <c r="B60" i="38"/>
  <c r="B53" i="38"/>
  <c r="B45" i="38"/>
  <c r="B39" i="38"/>
  <c r="B31" i="38"/>
  <c r="B25" i="38"/>
  <c r="B19" i="38"/>
  <c r="B6" i="38"/>
  <c r="D258" i="37"/>
  <c r="B229" i="37"/>
  <c r="B221" i="37"/>
  <c r="V219" i="37"/>
  <c r="B212" i="37"/>
  <c r="B209" i="37"/>
  <c r="B206" i="37"/>
  <c r="B177" i="37"/>
  <c r="V175" i="37"/>
  <c r="B168" i="37"/>
  <c r="B165" i="37"/>
  <c r="B162" i="37"/>
  <c r="B127" i="37"/>
  <c r="B119" i="37"/>
  <c r="B112" i="37"/>
  <c r="B89" i="37"/>
  <c r="B83" i="37"/>
  <c r="B75" i="37"/>
  <c r="B69" i="37"/>
  <c r="B60" i="37"/>
  <c r="B53" i="37"/>
  <c r="B45" i="37"/>
  <c r="B39" i="37"/>
  <c r="B31" i="37"/>
  <c r="B25" i="37"/>
  <c r="B19" i="37"/>
  <c r="B6" i="37"/>
  <c r="D258" i="36"/>
  <c r="B229" i="36"/>
  <c r="B221" i="36"/>
  <c r="V219" i="36"/>
  <c r="B177" i="36"/>
  <c r="V175" i="36"/>
  <c r="B168" i="36"/>
  <c r="B165" i="36"/>
  <c r="B162" i="36"/>
  <c r="B127" i="36" l="1"/>
  <c r="B119" i="36"/>
  <c r="B112" i="36"/>
  <c r="B89" i="36"/>
  <c r="B83" i="36"/>
  <c r="B75" i="36"/>
  <c r="B69" i="36"/>
  <c r="B60" i="36"/>
  <c r="B53" i="36"/>
  <c r="B45" i="36"/>
  <c r="B39" i="36"/>
  <c r="B31" i="36"/>
  <c r="B25" i="36"/>
  <c r="B19" i="36"/>
  <c r="B6" i="36"/>
  <c r="D258" i="35"/>
  <c r="B229" i="35"/>
  <c r="B221" i="35"/>
  <c r="V219" i="35"/>
  <c r="B177" i="35"/>
  <c r="V175" i="35"/>
  <c r="B168" i="35"/>
  <c r="B165" i="35"/>
  <c r="B162" i="35"/>
  <c r="B127" i="35"/>
  <c r="B119" i="35" l="1"/>
  <c r="B112" i="35"/>
  <c r="B89" i="35"/>
  <c r="B83" i="35"/>
  <c r="B75" i="35"/>
  <c r="B69" i="35"/>
  <c r="B60" i="35"/>
  <c r="B53" i="35"/>
  <c r="B45" i="35"/>
  <c r="B39" i="35"/>
  <c r="B31" i="35"/>
  <c r="B25" i="35"/>
  <c r="B19" i="35"/>
  <c r="B6" i="35"/>
  <c r="D258" i="34"/>
  <c r="B229" i="34"/>
  <c r="B221" i="34"/>
  <c r="V219" i="34"/>
  <c r="B177" i="34"/>
  <c r="V175" i="34"/>
  <c r="B168" i="34"/>
  <c r="B165" i="34"/>
  <c r="B162" i="34"/>
  <c r="B127" i="34"/>
  <c r="B119" i="34"/>
  <c r="B112" i="34"/>
  <c r="B89" i="34"/>
  <c r="B83" i="34"/>
  <c r="B75" i="34"/>
  <c r="B69" i="34"/>
  <c r="B60" i="34"/>
  <c r="B53" i="34"/>
  <c r="B45" i="34"/>
  <c r="B39" i="34"/>
  <c r="B31" i="34"/>
  <c r="B25" i="34"/>
  <c r="B19" i="34"/>
  <c r="B6" i="34"/>
  <c r="D258" i="51"/>
  <c r="B229" i="51"/>
  <c r="B221" i="51"/>
  <c r="V219" i="51"/>
  <c r="B212" i="51" l="1"/>
  <c r="B209" i="51"/>
  <c r="B206" i="51"/>
  <c r="B177" i="51" l="1"/>
  <c r="V175" i="51"/>
  <c r="B168" i="51"/>
  <c r="B165" i="51"/>
  <c r="B162" i="51"/>
  <c r="B127" i="51"/>
  <c r="B119" i="51"/>
  <c r="B112" i="51" l="1"/>
  <c r="B89" i="51" l="1"/>
  <c r="B83" i="51"/>
  <c r="B75" i="51"/>
  <c r="B69" i="51" l="1"/>
  <c r="B60" i="51"/>
  <c r="B53" i="51" l="1"/>
  <c r="B45" i="51"/>
  <c r="B39" i="51"/>
  <c r="B31" i="51"/>
  <c r="B25" i="51"/>
  <c r="B19" i="51" l="1"/>
  <c r="B6" i="51"/>
  <c r="D258" i="33"/>
  <c r="B229" i="33"/>
  <c r="B221" i="33"/>
  <c r="V219" i="33"/>
  <c r="B177" i="33"/>
  <c r="V175" i="33"/>
  <c r="B168" i="33"/>
  <c r="B165" i="33"/>
  <c r="B162" i="33"/>
  <c r="B127" i="33"/>
  <c r="B119" i="33"/>
  <c r="B112" i="33"/>
  <c r="B89" i="33"/>
  <c r="B83" i="33"/>
  <c r="B75" i="33"/>
  <c r="B69" i="33"/>
  <c r="B60" i="33"/>
  <c r="B53" i="33"/>
  <c r="B45" i="33"/>
  <c r="B39" i="33"/>
  <c r="B31" i="33"/>
  <c r="B25" i="33"/>
  <c r="B19" i="33"/>
  <c r="B6" i="33"/>
  <c r="D258" i="32"/>
  <c r="B229" i="32"/>
  <c r="B221" i="32"/>
  <c r="V219" i="32"/>
  <c r="B177" i="32" l="1"/>
  <c r="V175" i="32"/>
  <c r="B168" i="32"/>
  <c r="B165" i="32"/>
  <c r="B162" i="32"/>
  <c r="B127" i="32" l="1"/>
  <c r="B119" i="32"/>
  <c r="B112" i="32"/>
  <c r="B89" i="32" l="1"/>
  <c r="B83" i="32"/>
  <c r="B75" i="32"/>
  <c r="B69" i="32"/>
  <c r="B60" i="32"/>
  <c r="B53" i="32"/>
  <c r="B45" i="32" l="1"/>
  <c r="B39" i="32"/>
  <c r="B31" i="32"/>
  <c r="B25" i="32"/>
  <c r="B19" i="32"/>
  <c r="B6" i="32"/>
  <c r="D258" i="31"/>
  <c r="B229" i="31"/>
  <c r="B221" i="31" l="1"/>
  <c r="V219" i="31"/>
  <c r="B177" i="31" l="1"/>
  <c r="V175" i="31"/>
  <c r="B168" i="31"/>
  <c r="B165" i="31"/>
  <c r="B162" i="31"/>
  <c r="B127" i="31"/>
  <c r="B119" i="31"/>
  <c r="B112" i="31"/>
  <c r="B89" i="31"/>
  <c r="B83" i="31"/>
  <c r="B75" i="31"/>
  <c r="B69" i="31"/>
  <c r="B60" i="31"/>
  <c r="B53" i="31"/>
  <c r="B45" i="31"/>
  <c r="B39" i="31"/>
  <c r="B31" i="31" l="1"/>
  <c r="B25" i="31"/>
  <c r="B19" i="31"/>
  <c r="B6" i="31"/>
  <c r="H62" i="12"/>
  <c r="F62" i="12"/>
  <c r="H61" i="12"/>
  <c r="H60" i="12"/>
  <c r="H59" i="12"/>
  <c r="H58" i="12"/>
  <c r="F58" i="12"/>
  <c r="G58" i="12" s="1"/>
  <c r="H57" i="12"/>
  <c r="H56" i="12"/>
  <c r="H55" i="12"/>
  <c r="H54" i="12"/>
  <c r="F54" i="12"/>
  <c r="G54" i="12" s="1"/>
  <c r="H53" i="12"/>
  <c r="H52" i="12"/>
  <c r="H51" i="12"/>
  <c r="H50" i="12"/>
  <c r="F50" i="12"/>
  <c r="H49" i="12"/>
  <c r="H48" i="12"/>
  <c r="H47" i="12"/>
  <c r="H46" i="12"/>
  <c r="F46" i="12"/>
  <c r="G46" i="12" s="1"/>
  <c r="H45" i="12"/>
  <c r="H44" i="12"/>
  <c r="H43" i="12"/>
  <c r="H42" i="12"/>
  <c r="F42" i="12"/>
  <c r="G42" i="12" s="1"/>
  <c r="H41" i="12"/>
  <c r="H40" i="12"/>
  <c r="H39" i="12"/>
  <c r="H38" i="12"/>
  <c r="F38" i="12"/>
  <c r="G38" i="12" s="1"/>
  <c r="H37" i="12"/>
  <c r="H36" i="12"/>
  <c r="H35" i="12"/>
  <c r="I38" i="12" s="1"/>
  <c r="H34" i="12"/>
  <c r="F34" i="12"/>
  <c r="G34" i="12" s="1"/>
  <c r="H33" i="12"/>
  <c r="H32" i="12"/>
  <c r="H31" i="12"/>
  <c r="I34" i="12" s="1"/>
  <c r="H30" i="12"/>
  <c r="F30" i="12"/>
  <c r="G30" i="12" s="1"/>
  <c r="H29" i="12"/>
  <c r="H28" i="12"/>
  <c r="H27" i="12"/>
  <c r="H26" i="12"/>
  <c r="F26" i="12"/>
  <c r="I26" i="12" s="1"/>
  <c r="H25" i="12"/>
  <c r="H24" i="12"/>
  <c r="H23" i="12"/>
  <c r="H22" i="12"/>
  <c r="F22" i="12"/>
  <c r="G22" i="12" s="1"/>
  <c r="H21" i="12"/>
  <c r="H20" i="12"/>
  <c r="H19" i="12"/>
  <c r="H18" i="12"/>
  <c r="F18" i="12"/>
  <c r="I18" i="12" s="1"/>
  <c r="H17" i="12"/>
  <c r="H16" i="12"/>
  <c r="H15" i="12"/>
  <c r="H14" i="12"/>
  <c r="F14" i="12"/>
  <c r="I14" i="12" s="1"/>
  <c r="H13" i="12"/>
  <c r="H12" i="12"/>
  <c r="H11" i="12"/>
  <c r="H10" i="12"/>
  <c r="E193" i="68" l="1"/>
  <c r="F186" i="68"/>
  <c r="F207" i="68"/>
  <c r="D193" i="68"/>
  <c r="E186" i="68"/>
  <c r="E207" i="68"/>
  <c r="D207" i="68"/>
  <c r="F193" i="68"/>
  <c r="D179" i="68"/>
  <c r="E172" i="68"/>
  <c r="F165" i="68"/>
  <c r="D151" i="68"/>
  <c r="E144" i="68"/>
  <c r="F137" i="68"/>
  <c r="E123" i="68"/>
  <c r="F116" i="68"/>
  <c r="D102" i="68"/>
  <c r="E179" i="68"/>
  <c r="D172" i="68"/>
  <c r="D165" i="68"/>
  <c r="D158" i="68"/>
  <c r="D123" i="68"/>
  <c r="D116" i="68"/>
  <c r="D109" i="68"/>
  <c r="E95" i="68"/>
  <c r="F88" i="68"/>
  <c r="D74" i="68"/>
  <c r="E67" i="68"/>
  <c r="F60" i="68"/>
  <c r="D186" i="68"/>
  <c r="F130" i="68"/>
  <c r="D95" i="68"/>
  <c r="E88" i="68"/>
  <c r="F81" i="68"/>
  <c r="D67" i="68"/>
  <c r="E60" i="68"/>
  <c r="F158" i="68"/>
  <c r="F151" i="68"/>
  <c r="F144" i="68"/>
  <c r="E137" i="68"/>
  <c r="E130" i="68"/>
  <c r="F109" i="68"/>
  <c r="F102" i="68"/>
  <c r="D88" i="68"/>
  <c r="E81" i="68"/>
  <c r="F74" i="68"/>
  <c r="D60" i="68"/>
  <c r="E53" i="68"/>
  <c r="F179" i="68"/>
  <c r="F172" i="68"/>
  <c r="E165" i="68"/>
  <c r="E158" i="68"/>
  <c r="E151" i="68"/>
  <c r="D144" i="68"/>
  <c r="D137" i="68"/>
  <c r="D130" i="68"/>
  <c r="F123" i="68"/>
  <c r="E116" i="68"/>
  <c r="E109" i="68"/>
  <c r="E102" i="68"/>
  <c r="F95" i="68"/>
  <c r="D81" i="68"/>
  <c r="E74" i="68"/>
  <c r="F67" i="68"/>
  <c r="D53" i="68"/>
  <c r="E46" i="68"/>
  <c r="F39" i="68"/>
  <c r="D25" i="68"/>
  <c r="E18" i="68"/>
  <c r="F11" i="68"/>
  <c r="F32" i="68"/>
  <c r="F25" i="68"/>
  <c r="F18" i="68"/>
  <c r="E11" i="68"/>
  <c r="F46" i="68"/>
  <c r="E39" i="68"/>
  <c r="E32" i="68"/>
  <c r="E25" i="68"/>
  <c r="D18" i="68"/>
  <c r="D11" i="68"/>
  <c r="F53" i="68"/>
  <c r="D46" i="68"/>
  <c r="D39" i="68"/>
  <c r="D32" i="68"/>
  <c r="D208" i="68"/>
  <c r="F194" i="68"/>
  <c r="E194" i="68"/>
  <c r="F187" i="68"/>
  <c r="F208" i="68"/>
  <c r="D194" i="68"/>
  <c r="E208" i="68"/>
  <c r="D187" i="68"/>
  <c r="E180" i="68"/>
  <c r="F173" i="68"/>
  <c r="D159" i="68"/>
  <c r="E152" i="68"/>
  <c r="F145" i="68"/>
  <c r="D131" i="68"/>
  <c r="F124" i="68"/>
  <c r="D110" i="68"/>
  <c r="E103" i="68"/>
  <c r="E187" i="68"/>
  <c r="F166" i="68"/>
  <c r="F159" i="68"/>
  <c r="F152" i="68"/>
  <c r="E145" i="68"/>
  <c r="E138" i="68"/>
  <c r="E131" i="68"/>
  <c r="F117" i="68"/>
  <c r="F110" i="68"/>
  <c r="F103" i="68"/>
  <c r="F96" i="68"/>
  <c r="D82" i="68"/>
  <c r="E75" i="68"/>
  <c r="F68" i="68"/>
  <c r="D54" i="68"/>
  <c r="F180" i="68"/>
  <c r="E173" i="68"/>
  <c r="E166" i="68"/>
  <c r="E159" i="68"/>
  <c r="D152" i="68"/>
  <c r="D145" i="68"/>
  <c r="D138" i="68"/>
  <c r="E124" i="68"/>
  <c r="E117" i="68"/>
  <c r="E110" i="68"/>
  <c r="D103" i="68"/>
  <c r="E96" i="68"/>
  <c r="F89" i="68"/>
  <c r="D75" i="68"/>
  <c r="E68" i="68"/>
  <c r="F61" i="68"/>
  <c r="D180" i="68"/>
  <c r="D173" i="68"/>
  <c r="D166" i="68"/>
  <c r="D124" i="68"/>
  <c r="D117" i="68"/>
  <c r="D96" i="68"/>
  <c r="E89" i="68"/>
  <c r="F82" i="68"/>
  <c r="D68" i="68"/>
  <c r="E61" i="68"/>
  <c r="F54" i="68"/>
  <c r="F138" i="68"/>
  <c r="F131" i="68"/>
  <c r="D89" i="68"/>
  <c r="E82" i="68"/>
  <c r="F75" i="68"/>
  <c r="D61" i="68"/>
  <c r="E54" i="68"/>
  <c r="F47" i="68"/>
  <c r="D33" i="68"/>
  <c r="E26" i="68"/>
  <c r="F19" i="68"/>
  <c r="D47" i="68"/>
  <c r="D40" i="68"/>
  <c r="F12" i="68"/>
  <c r="F40" i="68"/>
  <c r="F33" i="68"/>
  <c r="F26" i="68"/>
  <c r="E19" i="68"/>
  <c r="E12" i="68"/>
  <c r="E47" i="68"/>
  <c r="E40" i="68"/>
  <c r="E33" i="68"/>
  <c r="D26" i="68"/>
  <c r="D19" i="68"/>
  <c r="D12" i="68"/>
  <c r="I46" i="12"/>
  <c r="G50" i="12"/>
  <c r="I42" i="12"/>
  <c r="AP242" i="25"/>
  <c r="AP226" i="25"/>
  <c r="AP218" i="25"/>
  <c r="AP210" i="25"/>
  <c r="AP202" i="25"/>
  <c r="AP194" i="25"/>
  <c r="AP186" i="25"/>
  <c r="AP178" i="25"/>
  <c r="AP170" i="25"/>
  <c r="AP162" i="25"/>
  <c r="AP154" i="25"/>
  <c r="AP146" i="25"/>
  <c r="AP138" i="25"/>
  <c r="AP130" i="25"/>
  <c r="AP122" i="25"/>
  <c r="AP114" i="25"/>
  <c r="AP106" i="25"/>
  <c r="AP98" i="25"/>
  <c r="AP90" i="25"/>
  <c r="AP82" i="25"/>
  <c r="AP74" i="25"/>
  <c r="AP66" i="25"/>
  <c r="AP58" i="25"/>
  <c r="AP50" i="25"/>
  <c r="AP42" i="25"/>
  <c r="AP34" i="25"/>
  <c r="AP26" i="25"/>
  <c r="AP18" i="25"/>
  <c r="AL242" i="25"/>
  <c r="AL226" i="25"/>
  <c r="AL218" i="25"/>
  <c r="AL210" i="25"/>
  <c r="AL202" i="25"/>
  <c r="AL194" i="25"/>
  <c r="AL186" i="25"/>
  <c r="AL178" i="25"/>
  <c r="AL170" i="25"/>
  <c r="AL162" i="25"/>
  <c r="AL154" i="25"/>
  <c r="AL146" i="25"/>
  <c r="AL138" i="25"/>
  <c r="AL130" i="25"/>
  <c r="AL122" i="25"/>
  <c r="AL114" i="25"/>
  <c r="AL106" i="25"/>
  <c r="AL98" i="25"/>
  <c r="AL90" i="25"/>
  <c r="AL82" i="25"/>
  <c r="AL74" i="25"/>
  <c r="AL66" i="25"/>
  <c r="AL58" i="25"/>
  <c r="AL50" i="25"/>
  <c r="AL42" i="25"/>
  <c r="AL34" i="25"/>
  <c r="AL26" i="25"/>
  <c r="AL18" i="25"/>
  <c r="AH242" i="25"/>
  <c r="AH226" i="25"/>
  <c r="AH218" i="25"/>
  <c r="AH210" i="25"/>
  <c r="AH202" i="25"/>
  <c r="AH194" i="25"/>
  <c r="AH186" i="25"/>
  <c r="AH178" i="25"/>
  <c r="AH170" i="25"/>
  <c r="AH162" i="25"/>
  <c r="AH154" i="25"/>
  <c r="AH146" i="25"/>
  <c r="AH138" i="25"/>
  <c r="AH130" i="25"/>
  <c r="AH122" i="25"/>
  <c r="AH114" i="25"/>
  <c r="AH106" i="25"/>
  <c r="AH98" i="25"/>
  <c r="AH90" i="25"/>
  <c r="AH82" i="25"/>
  <c r="AH74" i="25"/>
  <c r="AH66" i="25"/>
  <c r="AH58" i="25"/>
  <c r="AH50" i="25"/>
  <c r="AH42" i="25"/>
  <c r="AH34" i="25"/>
  <c r="AH26" i="25"/>
  <c r="AH18" i="25"/>
  <c r="AD242" i="25"/>
  <c r="AD226" i="25"/>
  <c r="AD218" i="25"/>
  <c r="AD210" i="25"/>
  <c r="AD202" i="25"/>
  <c r="AD194" i="25"/>
  <c r="AD186" i="25"/>
  <c r="AD178" i="25"/>
  <c r="AD170" i="25"/>
  <c r="AD162" i="25"/>
  <c r="AD154" i="25"/>
  <c r="AD146" i="25"/>
  <c r="AD138" i="25"/>
  <c r="AD130" i="25"/>
  <c r="AD122" i="25"/>
  <c r="AD114" i="25"/>
  <c r="AD106" i="25"/>
  <c r="AD98" i="25"/>
  <c r="AD90" i="25"/>
  <c r="AD82" i="25"/>
  <c r="AD74" i="25"/>
  <c r="AD66" i="25"/>
  <c r="AD58" i="25"/>
  <c r="AD50" i="25"/>
  <c r="AD42" i="25"/>
  <c r="Z202" i="25"/>
  <c r="Z194" i="25"/>
  <c r="Z186" i="25"/>
  <c r="Z178" i="25"/>
  <c r="Z170" i="25"/>
  <c r="Z162" i="25"/>
  <c r="Z154" i="25"/>
  <c r="Z146" i="25"/>
  <c r="Z138" i="25"/>
  <c r="Z130" i="25"/>
  <c r="Z122" i="25"/>
  <c r="Z114" i="25"/>
  <c r="Z106" i="25"/>
  <c r="Z98" i="25"/>
  <c r="Z90" i="25"/>
  <c r="Z82" i="25"/>
  <c r="Z74" i="25"/>
  <c r="Z66" i="25"/>
  <c r="Z58" i="25"/>
  <c r="Z50" i="25"/>
  <c r="Z42" i="25"/>
  <c r="Z34" i="25"/>
  <c r="Z26" i="25"/>
  <c r="Z18" i="25"/>
  <c r="AD34" i="25"/>
  <c r="AD26" i="25"/>
  <c r="AD18" i="25"/>
  <c r="Z242" i="25"/>
  <c r="Z226" i="25"/>
  <c r="Z218" i="25"/>
  <c r="Z210" i="25"/>
  <c r="G14" i="12"/>
  <c r="I22" i="12"/>
  <c r="I54" i="12"/>
  <c r="I30" i="12"/>
  <c r="I50" i="12"/>
  <c r="G26" i="12"/>
  <c r="I58" i="12"/>
  <c r="I62" i="12"/>
  <c r="G18" i="12"/>
  <c r="G62" i="12"/>
  <c r="D111" i="26" l="1"/>
  <c r="D23" i="33" s="1"/>
  <c r="D115" i="26"/>
  <c r="D23" i="36" s="1"/>
  <c r="D118" i="26"/>
  <c r="D23" i="39" s="1"/>
  <c r="D122" i="26"/>
  <c r="D23" i="44" s="1"/>
  <c r="D126" i="26"/>
  <c r="D23" i="50" s="1"/>
  <c r="D130" i="26"/>
  <c r="D23" i="62" s="1"/>
  <c r="D134" i="26"/>
  <c r="D23" i="57" s="1"/>
  <c r="D109" i="26"/>
  <c r="D81" i="26"/>
  <c r="D22" i="51" s="1"/>
  <c r="D85" i="26"/>
  <c r="D22" i="37" s="1"/>
  <c r="D89" i="26"/>
  <c r="D22" i="42" s="1"/>
  <c r="D93" i="26"/>
  <c r="D22" i="47" s="1"/>
  <c r="D97" i="26"/>
  <c r="D22" i="61" s="1"/>
  <c r="D101" i="26"/>
  <c r="D22" i="55" s="1"/>
  <c r="D105" i="26"/>
  <c r="D22" i="59" s="1"/>
  <c r="D110" i="26"/>
  <c r="D23" i="32" s="1"/>
  <c r="D114" i="26"/>
  <c r="D23" i="35" s="1"/>
  <c r="D117" i="26"/>
  <c r="D23" i="38" s="1"/>
  <c r="D121" i="26"/>
  <c r="D23" i="43" s="1"/>
  <c r="D125" i="26"/>
  <c r="D23" i="48" s="1"/>
  <c r="D129" i="26"/>
  <c r="D23" i="53" s="1"/>
  <c r="D133" i="26"/>
  <c r="D23" i="56" s="1"/>
  <c r="D137" i="26"/>
  <c r="D23" i="60" s="1"/>
  <c r="D80" i="26"/>
  <c r="D22" i="33" s="1"/>
  <c r="D84" i="26"/>
  <c r="D22" i="36" s="1"/>
  <c r="D88" i="26"/>
  <c r="D22" i="41" s="1"/>
  <c r="D92" i="26"/>
  <c r="D22" i="46" s="1"/>
  <c r="D96" i="26"/>
  <c r="D22" i="52" s="1"/>
  <c r="D100" i="26"/>
  <c r="D22" i="54" s="1"/>
  <c r="D104" i="26"/>
  <c r="D22" i="58" s="1"/>
  <c r="D51" i="26"/>
  <c r="D21" i="34" s="1"/>
  <c r="D55" i="26"/>
  <c r="D21" i="38" s="1"/>
  <c r="D59" i="26"/>
  <c r="D21" i="43" s="1"/>
  <c r="D63" i="26"/>
  <c r="D21" i="48" s="1"/>
  <c r="D67" i="26"/>
  <c r="D21" i="53" s="1"/>
  <c r="D71" i="26"/>
  <c r="D21" i="56" s="1"/>
  <c r="D75" i="26"/>
  <c r="D21" i="60" s="1"/>
  <c r="D17" i="26"/>
  <c r="D20" i="32" s="1"/>
  <c r="D21" i="26"/>
  <c r="D20" i="35" s="1"/>
  <c r="D25" i="26"/>
  <c r="D20" i="39" s="1"/>
  <c r="D29" i="26"/>
  <c r="D20" i="44" s="1"/>
  <c r="D33" i="26"/>
  <c r="D20" i="50" s="1"/>
  <c r="D37" i="26"/>
  <c r="D20" i="62" s="1"/>
  <c r="D41" i="26"/>
  <c r="D20" i="57" s="1"/>
  <c r="D120" i="26"/>
  <c r="D23" i="42" s="1"/>
  <c r="D128" i="26"/>
  <c r="D23" i="61" s="1"/>
  <c r="D136" i="26"/>
  <c r="D23" i="59" s="1"/>
  <c r="D79" i="26"/>
  <c r="D22" i="32" s="1"/>
  <c r="D87" i="26"/>
  <c r="D22" i="39" s="1"/>
  <c r="D95" i="26"/>
  <c r="D22" i="50" s="1"/>
  <c r="D103" i="26"/>
  <c r="D22" i="57" s="1"/>
  <c r="D53" i="26"/>
  <c r="D21" i="36" s="1"/>
  <c r="D60" i="26"/>
  <c r="D21" i="44" s="1"/>
  <c r="D62" i="26"/>
  <c r="D21" i="47" s="1"/>
  <c r="D69" i="26"/>
  <c r="D21" i="54" s="1"/>
  <c r="D47" i="26"/>
  <c r="D22" i="26"/>
  <c r="D20" i="36" s="1"/>
  <c r="D24" i="26"/>
  <c r="D20" i="38" s="1"/>
  <c r="D31" i="26"/>
  <c r="D20" i="47" s="1"/>
  <c r="D38" i="26"/>
  <c r="D20" i="54" s="1"/>
  <c r="D40" i="26"/>
  <c r="D20" i="56" s="1"/>
  <c r="D43" i="26"/>
  <c r="D20" i="59" s="1"/>
  <c r="D112" i="26"/>
  <c r="D23" i="51" s="1"/>
  <c r="D123" i="26"/>
  <c r="D23" i="46" s="1"/>
  <c r="D131" i="26"/>
  <c r="D23" i="54" s="1"/>
  <c r="D82" i="26"/>
  <c r="D22" i="34" s="1"/>
  <c r="D90" i="26"/>
  <c r="D22" i="43" s="1"/>
  <c r="D98" i="26"/>
  <c r="D22" i="53" s="1"/>
  <c r="D106" i="26"/>
  <c r="D22" i="60" s="1"/>
  <c r="D48" i="26"/>
  <c r="D21" i="32" s="1"/>
  <c r="D50" i="26"/>
  <c r="D21" i="51" s="1"/>
  <c r="D57" i="26"/>
  <c r="D21" i="41" s="1"/>
  <c r="D64" i="26"/>
  <c r="D21" i="50" s="1"/>
  <c r="D66" i="26"/>
  <c r="D21" i="61" s="1"/>
  <c r="D73" i="26"/>
  <c r="D21" i="58" s="1"/>
  <c r="D19" i="26"/>
  <c r="D20" i="51" s="1"/>
  <c r="D26" i="26"/>
  <c r="D20" i="41" s="1"/>
  <c r="D28" i="26"/>
  <c r="D20" i="43" s="1"/>
  <c r="D35" i="26"/>
  <c r="D20" i="61" s="1"/>
  <c r="D42" i="26"/>
  <c r="D20" i="58" s="1"/>
  <c r="D16" i="26"/>
  <c r="D113" i="26"/>
  <c r="D23" i="34" s="1"/>
  <c r="D116" i="26"/>
  <c r="D23" i="37" s="1"/>
  <c r="D124" i="26"/>
  <c r="D23" i="47" s="1"/>
  <c r="D132" i="26"/>
  <c r="D23" i="55" s="1"/>
  <c r="D83" i="26"/>
  <c r="D22" i="35" s="1"/>
  <c r="D91" i="26"/>
  <c r="D22" i="44" s="1"/>
  <c r="D99" i="26"/>
  <c r="D22" i="62" s="1"/>
  <c r="D52" i="26"/>
  <c r="D21" i="35" s="1"/>
  <c r="D54" i="26"/>
  <c r="D21" i="37" s="1"/>
  <c r="D61" i="26"/>
  <c r="D21" i="46" s="1"/>
  <c r="D68" i="26"/>
  <c r="D21" i="62" s="1"/>
  <c r="D70" i="26"/>
  <c r="D21" i="55" s="1"/>
  <c r="D23" i="26"/>
  <c r="D20" i="37" s="1"/>
  <c r="D30" i="26"/>
  <c r="D20" i="46" s="1"/>
  <c r="D32" i="26"/>
  <c r="D20" i="48" s="1"/>
  <c r="D39" i="26"/>
  <c r="D20" i="55" s="1"/>
  <c r="D119" i="26"/>
  <c r="D23" i="41" s="1"/>
  <c r="D127" i="26"/>
  <c r="D23" i="52" s="1"/>
  <c r="D135" i="26"/>
  <c r="D23" i="58" s="1"/>
  <c r="D86" i="26"/>
  <c r="D22" i="38" s="1"/>
  <c r="D94" i="26"/>
  <c r="D22" i="48" s="1"/>
  <c r="D102" i="26"/>
  <c r="D22" i="56" s="1"/>
  <c r="D78" i="26"/>
  <c r="D49" i="26"/>
  <c r="D21" i="33" s="1"/>
  <c r="D56" i="26"/>
  <c r="D21" i="39" s="1"/>
  <c r="D58" i="26"/>
  <c r="D21" i="42" s="1"/>
  <c r="D65" i="26"/>
  <c r="D21" i="52" s="1"/>
  <c r="D72" i="26"/>
  <c r="D21" i="57" s="1"/>
  <c r="D74" i="26"/>
  <c r="D21" i="59" s="1"/>
  <c r="D18" i="26"/>
  <c r="D20" i="33" s="1"/>
  <c r="D20" i="26"/>
  <c r="D20" i="34" s="1"/>
  <c r="D27" i="26"/>
  <c r="D20" i="42" s="1"/>
  <c r="D34" i="26"/>
  <c r="D20" i="52" s="1"/>
  <c r="D36" i="26"/>
  <c r="D20" i="53" s="1"/>
  <c r="D44" i="26"/>
  <c r="D20" i="60" s="1"/>
  <c r="F136" i="26"/>
  <c r="F23" i="59" s="1"/>
  <c r="F29" i="59" s="1"/>
  <c r="F132" i="26"/>
  <c r="F23" i="55" s="1"/>
  <c r="F29" i="55" s="1"/>
  <c r="F128" i="26"/>
  <c r="F23" i="61" s="1"/>
  <c r="F29" i="61" s="1"/>
  <c r="F124" i="26"/>
  <c r="F23" i="47" s="1"/>
  <c r="F29" i="47" s="1"/>
  <c r="F120" i="26"/>
  <c r="F23" i="42" s="1"/>
  <c r="F29" i="42" s="1"/>
  <c r="F116" i="26"/>
  <c r="F23" i="37" s="1"/>
  <c r="F29" i="37" s="1"/>
  <c r="F112" i="26"/>
  <c r="F23" i="51" s="1"/>
  <c r="F29" i="51" s="1"/>
  <c r="F106" i="26"/>
  <c r="F22" i="60" s="1"/>
  <c r="F27" i="60" s="1"/>
  <c r="F102" i="26"/>
  <c r="F22" i="56" s="1"/>
  <c r="F27" i="56" s="1"/>
  <c r="F98" i="26"/>
  <c r="F22" i="53" s="1"/>
  <c r="F27" i="53" s="1"/>
  <c r="F94" i="26"/>
  <c r="F22" i="48" s="1"/>
  <c r="F27" i="48" s="1"/>
  <c r="F90" i="26"/>
  <c r="F22" i="43" s="1"/>
  <c r="F27" i="43" s="1"/>
  <c r="F86" i="26"/>
  <c r="F22" i="38" s="1"/>
  <c r="F27" i="38" s="1"/>
  <c r="F82" i="26"/>
  <c r="F22" i="34" s="1"/>
  <c r="F27" i="34" s="1"/>
  <c r="F78" i="26"/>
  <c r="F72" i="26"/>
  <c r="F21" i="57" s="1"/>
  <c r="F28" i="57" s="1"/>
  <c r="F68" i="26"/>
  <c r="F21" i="62" s="1"/>
  <c r="F28" i="62" s="1"/>
  <c r="F64" i="26"/>
  <c r="F21" i="50" s="1"/>
  <c r="F28" i="50" s="1"/>
  <c r="F60" i="26"/>
  <c r="F21" i="44" s="1"/>
  <c r="F28" i="44" s="1"/>
  <c r="F56" i="26"/>
  <c r="F21" i="39" s="1"/>
  <c r="F28" i="39" s="1"/>
  <c r="F52" i="26"/>
  <c r="F21" i="35" s="1"/>
  <c r="F28" i="35" s="1"/>
  <c r="F48" i="26"/>
  <c r="F21" i="32" s="1"/>
  <c r="F28" i="32" s="1"/>
  <c r="F42" i="26"/>
  <c r="F20" i="58" s="1"/>
  <c r="F26" i="58" s="1"/>
  <c r="F38" i="26"/>
  <c r="F20" i="54" s="1"/>
  <c r="F26" i="54" s="1"/>
  <c r="F34" i="26"/>
  <c r="F20" i="52" s="1"/>
  <c r="F26" i="52" s="1"/>
  <c r="F30" i="26"/>
  <c r="F20" i="46" s="1"/>
  <c r="F26" i="46" s="1"/>
  <c r="F26" i="26"/>
  <c r="F20" i="41" s="1"/>
  <c r="F26" i="41" s="1"/>
  <c r="F22" i="26"/>
  <c r="F20" i="36" s="1"/>
  <c r="F26" i="36" s="1"/>
  <c r="F18" i="26"/>
  <c r="F20" i="33" s="1"/>
  <c r="F26" i="33" s="1"/>
  <c r="F135" i="26"/>
  <c r="F23" i="58" s="1"/>
  <c r="F29" i="58" s="1"/>
  <c r="F131" i="26"/>
  <c r="F23" i="54" s="1"/>
  <c r="F29" i="54" s="1"/>
  <c r="F127" i="26"/>
  <c r="F23" i="52" s="1"/>
  <c r="F29" i="52" s="1"/>
  <c r="F123" i="26"/>
  <c r="F23" i="46" s="1"/>
  <c r="F29" i="46" s="1"/>
  <c r="F119" i="26"/>
  <c r="F23" i="41" s="1"/>
  <c r="F29" i="41" s="1"/>
  <c r="F115" i="26"/>
  <c r="F23" i="36" s="1"/>
  <c r="F29" i="36" s="1"/>
  <c r="F111" i="26"/>
  <c r="F23" i="33" s="1"/>
  <c r="F29" i="33" s="1"/>
  <c r="F105" i="26"/>
  <c r="F22" i="59" s="1"/>
  <c r="F27" i="59" s="1"/>
  <c r="F101" i="26"/>
  <c r="F22" i="55" s="1"/>
  <c r="F27" i="55" s="1"/>
  <c r="F97" i="26"/>
  <c r="F22" i="61" s="1"/>
  <c r="F27" i="61" s="1"/>
  <c r="F93" i="26"/>
  <c r="F22" i="47" s="1"/>
  <c r="F27" i="47" s="1"/>
  <c r="F89" i="26"/>
  <c r="F22" i="42" s="1"/>
  <c r="F27" i="42" s="1"/>
  <c r="F85" i="26"/>
  <c r="F22" i="37" s="1"/>
  <c r="F27" i="37" s="1"/>
  <c r="F81" i="26"/>
  <c r="F22" i="51" s="1"/>
  <c r="F27" i="51" s="1"/>
  <c r="F75" i="26"/>
  <c r="F21" i="60" s="1"/>
  <c r="F28" i="60" s="1"/>
  <c r="F71" i="26"/>
  <c r="F21" i="56" s="1"/>
  <c r="F28" i="56" s="1"/>
  <c r="F67" i="26"/>
  <c r="F21" i="53" s="1"/>
  <c r="F28" i="53" s="1"/>
  <c r="F63" i="26"/>
  <c r="F21" i="48" s="1"/>
  <c r="F28" i="48" s="1"/>
  <c r="F59" i="26"/>
  <c r="F21" i="43" s="1"/>
  <c r="F28" i="43" s="1"/>
  <c r="F55" i="26"/>
  <c r="F21" i="38" s="1"/>
  <c r="F28" i="38" s="1"/>
  <c r="F51" i="26"/>
  <c r="F21" i="34" s="1"/>
  <c r="F28" i="34" s="1"/>
  <c r="F47" i="26"/>
  <c r="F41" i="26"/>
  <c r="F20" i="57" s="1"/>
  <c r="F26" i="57" s="1"/>
  <c r="F37" i="26"/>
  <c r="F20" i="62" s="1"/>
  <c r="F26" i="62" s="1"/>
  <c r="F33" i="26"/>
  <c r="F20" i="50" s="1"/>
  <c r="F26" i="50" s="1"/>
  <c r="F29" i="26"/>
  <c r="F20" i="44" s="1"/>
  <c r="F26" i="44" s="1"/>
  <c r="F25" i="26"/>
  <c r="F20" i="39" s="1"/>
  <c r="F26" i="39" s="1"/>
  <c r="F21" i="26"/>
  <c r="F20" i="35" s="1"/>
  <c r="F26" i="35" s="1"/>
  <c r="F17" i="26"/>
  <c r="F20" i="32" s="1"/>
  <c r="F26" i="32" s="1"/>
  <c r="F134" i="26"/>
  <c r="F23" i="57" s="1"/>
  <c r="F29" i="57" s="1"/>
  <c r="F130" i="26"/>
  <c r="F23" i="62" s="1"/>
  <c r="F29" i="62" s="1"/>
  <c r="F126" i="26"/>
  <c r="F23" i="50" s="1"/>
  <c r="F29" i="50" s="1"/>
  <c r="F122" i="26"/>
  <c r="F23" i="44" s="1"/>
  <c r="F29" i="44" s="1"/>
  <c r="F118" i="26"/>
  <c r="F23" i="39" s="1"/>
  <c r="F29" i="39" s="1"/>
  <c r="F114" i="26"/>
  <c r="F23" i="35" s="1"/>
  <c r="F29" i="35" s="1"/>
  <c r="F110" i="26"/>
  <c r="F23" i="32" s="1"/>
  <c r="F29" i="32" s="1"/>
  <c r="F104" i="26"/>
  <c r="F22" i="58" s="1"/>
  <c r="F27" i="58" s="1"/>
  <c r="F100" i="26"/>
  <c r="F22" i="54" s="1"/>
  <c r="F27" i="54" s="1"/>
  <c r="F96" i="26"/>
  <c r="F22" i="52" s="1"/>
  <c r="F27" i="52" s="1"/>
  <c r="F92" i="26"/>
  <c r="F22" i="46" s="1"/>
  <c r="F27" i="46" s="1"/>
  <c r="F88" i="26"/>
  <c r="F22" i="41" s="1"/>
  <c r="F27" i="41" s="1"/>
  <c r="F84" i="26"/>
  <c r="F22" i="36" s="1"/>
  <c r="F27" i="36" s="1"/>
  <c r="F80" i="26"/>
  <c r="F22" i="33" s="1"/>
  <c r="F27" i="33" s="1"/>
  <c r="F74" i="26"/>
  <c r="F21" i="59" s="1"/>
  <c r="F28" i="59" s="1"/>
  <c r="F70" i="26"/>
  <c r="F21" i="55" s="1"/>
  <c r="F28" i="55" s="1"/>
  <c r="F66" i="26"/>
  <c r="F21" i="61" s="1"/>
  <c r="F28" i="61" s="1"/>
  <c r="F62" i="26"/>
  <c r="F21" i="47" s="1"/>
  <c r="F28" i="47" s="1"/>
  <c r="F58" i="26"/>
  <c r="F21" i="42" s="1"/>
  <c r="F28" i="42" s="1"/>
  <c r="F54" i="26"/>
  <c r="F21" i="37" s="1"/>
  <c r="F28" i="37" s="1"/>
  <c r="F50" i="26"/>
  <c r="F21" i="51" s="1"/>
  <c r="F28" i="51" s="1"/>
  <c r="F44" i="26"/>
  <c r="F20" i="60" s="1"/>
  <c r="F26" i="60" s="1"/>
  <c r="F40" i="26"/>
  <c r="F20" i="56" s="1"/>
  <c r="F26" i="56" s="1"/>
  <c r="F36" i="26"/>
  <c r="F20" i="53" s="1"/>
  <c r="F26" i="53" s="1"/>
  <c r="F32" i="26"/>
  <c r="F20" i="48" s="1"/>
  <c r="F26" i="48" s="1"/>
  <c r="F28" i="26"/>
  <c r="F20" i="43" s="1"/>
  <c r="F26" i="43" s="1"/>
  <c r="F24" i="26"/>
  <c r="F20" i="38" s="1"/>
  <c r="F26" i="38" s="1"/>
  <c r="F20" i="26"/>
  <c r="F20" i="34" s="1"/>
  <c r="F26" i="34" s="1"/>
  <c r="F16" i="26"/>
  <c r="F137" i="26"/>
  <c r="F23" i="60" s="1"/>
  <c r="F29" i="60" s="1"/>
  <c r="F133" i="26"/>
  <c r="F23" i="56" s="1"/>
  <c r="F29" i="56" s="1"/>
  <c r="F129" i="26"/>
  <c r="F23" i="53" s="1"/>
  <c r="F29" i="53" s="1"/>
  <c r="F125" i="26"/>
  <c r="F23" i="48" s="1"/>
  <c r="F29" i="48" s="1"/>
  <c r="F121" i="26"/>
  <c r="F23" i="43" s="1"/>
  <c r="F29" i="43" s="1"/>
  <c r="F117" i="26"/>
  <c r="F23" i="38" s="1"/>
  <c r="F29" i="38" s="1"/>
  <c r="F113" i="26"/>
  <c r="F23" i="34" s="1"/>
  <c r="F29" i="34" s="1"/>
  <c r="F109" i="26"/>
  <c r="F103" i="26"/>
  <c r="F22" i="57" s="1"/>
  <c r="F27" i="57" s="1"/>
  <c r="F99" i="26"/>
  <c r="F22" i="62" s="1"/>
  <c r="F27" i="62" s="1"/>
  <c r="F95" i="26"/>
  <c r="F22" i="50" s="1"/>
  <c r="F27" i="50" s="1"/>
  <c r="F91" i="26"/>
  <c r="F22" i="44" s="1"/>
  <c r="F27" i="44" s="1"/>
  <c r="F87" i="26"/>
  <c r="F22" i="39" s="1"/>
  <c r="F27" i="39" s="1"/>
  <c r="F83" i="26"/>
  <c r="F22" i="35" s="1"/>
  <c r="F27" i="35" s="1"/>
  <c r="F79" i="26"/>
  <c r="F22" i="32" s="1"/>
  <c r="F27" i="32" s="1"/>
  <c r="F73" i="26"/>
  <c r="F21" i="58" s="1"/>
  <c r="F28" i="58" s="1"/>
  <c r="F69" i="26"/>
  <c r="F21" i="54" s="1"/>
  <c r="F28" i="54" s="1"/>
  <c r="F65" i="26"/>
  <c r="F21" i="52" s="1"/>
  <c r="F28" i="52" s="1"/>
  <c r="F61" i="26"/>
  <c r="F21" i="46" s="1"/>
  <c r="F28" i="46" s="1"/>
  <c r="F57" i="26"/>
  <c r="F21" i="41" s="1"/>
  <c r="F28" i="41" s="1"/>
  <c r="F53" i="26"/>
  <c r="F21" i="36" s="1"/>
  <c r="F28" i="36" s="1"/>
  <c r="F49" i="26"/>
  <c r="F21" i="33" s="1"/>
  <c r="F28" i="33" s="1"/>
  <c r="F43" i="26"/>
  <c r="F20" i="59" s="1"/>
  <c r="F26" i="59" s="1"/>
  <c r="F39" i="26"/>
  <c r="F20" i="55" s="1"/>
  <c r="F26" i="55" s="1"/>
  <c r="F35" i="26"/>
  <c r="F20" i="61" s="1"/>
  <c r="F26" i="61" s="1"/>
  <c r="F31" i="26"/>
  <c r="F20" i="47" s="1"/>
  <c r="F26" i="47" s="1"/>
  <c r="F27" i="26"/>
  <c r="F20" i="42" s="1"/>
  <c r="F26" i="42" s="1"/>
  <c r="F23" i="26"/>
  <c r="F20" i="37" s="1"/>
  <c r="F26" i="37" s="1"/>
  <c r="F19" i="26"/>
  <c r="F20" i="51" s="1"/>
  <c r="F26" i="51" s="1"/>
  <c r="E112" i="26"/>
  <c r="E23" i="51" s="1"/>
  <c r="E119" i="26"/>
  <c r="E23" i="41" s="1"/>
  <c r="E123" i="26"/>
  <c r="E23" i="46" s="1"/>
  <c r="E127" i="26"/>
  <c r="E23" i="52" s="1"/>
  <c r="E131" i="26"/>
  <c r="E23" i="54" s="1"/>
  <c r="E135" i="26"/>
  <c r="E23" i="58" s="1"/>
  <c r="E82" i="26"/>
  <c r="E22" i="34" s="1"/>
  <c r="E86" i="26"/>
  <c r="E22" i="38" s="1"/>
  <c r="E90" i="26"/>
  <c r="E22" i="43" s="1"/>
  <c r="E94" i="26"/>
  <c r="E22" i="48" s="1"/>
  <c r="E98" i="26"/>
  <c r="E22" i="53" s="1"/>
  <c r="E102" i="26"/>
  <c r="E22" i="56" s="1"/>
  <c r="E111" i="26"/>
  <c r="E23" i="33" s="1"/>
  <c r="E115" i="26"/>
  <c r="E23" i="36" s="1"/>
  <c r="E118" i="26"/>
  <c r="E23" i="39" s="1"/>
  <c r="E122" i="26"/>
  <c r="E23" i="44" s="1"/>
  <c r="E126" i="26"/>
  <c r="E23" i="50" s="1"/>
  <c r="E130" i="26"/>
  <c r="E23" i="62" s="1"/>
  <c r="E134" i="26"/>
  <c r="E23" i="57" s="1"/>
  <c r="E81" i="26"/>
  <c r="E22" i="51" s="1"/>
  <c r="E85" i="26"/>
  <c r="E22" i="37" s="1"/>
  <c r="E89" i="26"/>
  <c r="E22" i="42" s="1"/>
  <c r="E93" i="26"/>
  <c r="E22" i="47" s="1"/>
  <c r="E97" i="26"/>
  <c r="E22" i="61" s="1"/>
  <c r="E101" i="26"/>
  <c r="E22" i="55" s="1"/>
  <c r="E105" i="26"/>
  <c r="E22" i="59" s="1"/>
  <c r="E78" i="26"/>
  <c r="E48" i="26"/>
  <c r="E21" i="32" s="1"/>
  <c r="E52" i="26"/>
  <c r="E21" i="35" s="1"/>
  <c r="E56" i="26"/>
  <c r="E21" i="39" s="1"/>
  <c r="E60" i="26"/>
  <c r="E21" i="44" s="1"/>
  <c r="E64" i="26"/>
  <c r="E21" i="50" s="1"/>
  <c r="E68" i="26"/>
  <c r="E21" i="62" s="1"/>
  <c r="E72" i="26"/>
  <c r="E21" i="57" s="1"/>
  <c r="E18" i="26"/>
  <c r="E20" i="33" s="1"/>
  <c r="E22" i="26"/>
  <c r="E20" i="36" s="1"/>
  <c r="E26" i="26"/>
  <c r="E20" i="41" s="1"/>
  <c r="E30" i="26"/>
  <c r="E20" i="46" s="1"/>
  <c r="E34" i="26"/>
  <c r="E20" i="52" s="1"/>
  <c r="E38" i="26"/>
  <c r="E20" i="54" s="1"/>
  <c r="E114" i="26"/>
  <c r="E23" i="35" s="1"/>
  <c r="E117" i="26"/>
  <c r="E23" i="38" s="1"/>
  <c r="E125" i="26"/>
  <c r="E23" i="48" s="1"/>
  <c r="E133" i="26"/>
  <c r="E23" i="56" s="1"/>
  <c r="E84" i="26"/>
  <c r="E22" i="36" s="1"/>
  <c r="E92" i="26"/>
  <c r="E22" i="46" s="1"/>
  <c r="E100" i="26"/>
  <c r="E22" i="54" s="1"/>
  <c r="E49" i="26"/>
  <c r="E21" i="33" s="1"/>
  <c r="E51" i="26"/>
  <c r="E21" i="34" s="1"/>
  <c r="E58" i="26"/>
  <c r="E21" i="42" s="1"/>
  <c r="E65" i="26"/>
  <c r="E21" i="52" s="1"/>
  <c r="E67" i="26"/>
  <c r="E21" i="53" s="1"/>
  <c r="E74" i="26"/>
  <c r="E21" i="59" s="1"/>
  <c r="E28" i="59" s="1"/>
  <c r="D28" i="59" s="1"/>
  <c r="E20" i="26"/>
  <c r="E20" i="34" s="1"/>
  <c r="E27" i="26"/>
  <c r="E20" i="42" s="1"/>
  <c r="E29" i="26"/>
  <c r="E20" i="44" s="1"/>
  <c r="E36" i="26"/>
  <c r="E20" i="53" s="1"/>
  <c r="E44" i="26"/>
  <c r="E20" i="60" s="1"/>
  <c r="E120" i="26"/>
  <c r="E23" i="42" s="1"/>
  <c r="E128" i="26"/>
  <c r="E23" i="61" s="1"/>
  <c r="E136" i="26"/>
  <c r="E23" i="59" s="1"/>
  <c r="E29" i="59" s="1"/>
  <c r="D29" i="59" s="1"/>
  <c r="E79" i="26"/>
  <c r="E22" i="32" s="1"/>
  <c r="E87" i="26"/>
  <c r="E22" i="39" s="1"/>
  <c r="E95" i="26"/>
  <c r="E22" i="50" s="1"/>
  <c r="E103" i="26"/>
  <c r="E22" i="57" s="1"/>
  <c r="E53" i="26"/>
  <c r="E21" i="36" s="1"/>
  <c r="E55" i="26"/>
  <c r="E21" i="38" s="1"/>
  <c r="E62" i="26"/>
  <c r="E21" i="47" s="1"/>
  <c r="E69" i="26"/>
  <c r="E21" i="54" s="1"/>
  <c r="E71" i="26"/>
  <c r="E21" i="56" s="1"/>
  <c r="E17" i="26"/>
  <c r="E20" i="32" s="1"/>
  <c r="E24" i="26"/>
  <c r="E20" i="38" s="1"/>
  <c r="E31" i="26"/>
  <c r="E20" i="47" s="1"/>
  <c r="E33" i="26"/>
  <c r="E20" i="50" s="1"/>
  <c r="E40" i="26"/>
  <c r="E20" i="56" s="1"/>
  <c r="E43" i="26"/>
  <c r="E20" i="59" s="1"/>
  <c r="E110" i="26"/>
  <c r="E23" i="32" s="1"/>
  <c r="E121" i="26"/>
  <c r="E23" i="43" s="1"/>
  <c r="E129" i="26"/>
  <c r="E23" i="53" s="1"/>
  <c r="E137" i="26"/>
  <c r="E23" i="60" s="1"/>
  <c r="E80" i="26"/>
  <c r="E22" i="33" s="1"/>
  <c r="E88" i="26"/>
  <c r="E22" i="41" s="1"/>
  <c r="E96" i="26"/>
  <c r="E22" i="52" s="1"/>
  <c r="E104" i="26"/>
  <c r="E22" i="58" s="1"/>
  <c r="E106" i="26"/>
  <c r="E22" i="60" s="1"/>
  <c r="E50" i="26"/>
  <c r="E21" i="51" s="1"/>
  <c r="E57" i="26"/>
  <c r="E21" i="41" s="1"/>
  <c r="E59" i="26"/>
  <c r="E21" i="43" s="1"/>
  <c r="E66" i="26"/>
  <c r="E21" i="61" s="1"/>
  <c r="E73" i="26"/>
  <c r="E21" i="58" s="1"/>
  <c r="E75" i="26"/>
  <c r="E21" i="60" s="1"/>
  <c r="E19" i="26"/>
  <c r="E20" i="51" s="1"/>
  <c r="E21" i="26"/>
  <c r="E20" i="35" s="1"/>
  <c r="E28" i="26"/>
  <c r="E20" i="43" s="1"/>
  <c r="E35" i="26"/>
  <c r="E20" i="61" s="1"/>
  <c r="E37" i="26"/>
  <c r="E20" i="62" s="1"/>
  <c r="E42" i="26"/>
  <c r="E20" i="58" s="1"/>
  <c r="E16" i="26"/>
  <c r="E113" i="26"/>
  <c r="E23" i="34" s="1"/>
  <c r="E116" i="26"/>
  <c r="E23" i="37" s="1"/>
  <c r="E124" i="26"/>
  <c r="E23" i="47" s="1"/>
  <c r="E132" i="26"/>
  <c r="E23" i="55" s="1"/>
  <c r="E109" i="26"/>
  <c r="E83" i="26"/>
  <c r="E22" i="35" s="1"/>
  <c r="E91" i="26"/>
  <c r="E22" i="44" s="1"/>
  <c r="E99" i="26"/>
  <c r="E22" i="62" s="1"/>
  <c r="E54" i="26"/>
  <c r="E21" i="37" s="1"/>
  <c r="E61" i="26"/>
  <c r="E21" i="46" s="1"/>
  <c r="E63" i="26"/>
  <c r="E21" i="48" s="1"/>
  <c r="E70" i="26"/>
  <c r="E21" i="55" s="1"/>
  <c r="E47" i="26"/>
  <c r="E23" i="26"/>
  <c r="E20" i="37" s="1"/>
  <c r="E25" i="26"/>
  <c r="E20" i="39" s="1"/>
  <c r="E32" i="26"/>
  <c r="E20" i="48" s="1"/>
  <c r="E39" i="26"/>
  <c r="E20" i="55" s="1"/>
  <c r="E41" i="26"/>
  <c r="E20" i="57" s="1"/>
  <c r="C109" i="26"/>
  <c r="C116" i="26"/>
  <c r="C23" i="37" s="1"/>
  <c r="C78" i="26"/>
  <c r="C47" i="26"/>
  <c r="C110" i="26"/>
  <c r="C23" i="32" s="1"/>
  <c r="C114" i="26"/>
  <c r="C23" i="35" s="1"/>
  <c r="C117" i="26"/>
  <c r="C23" i="38" s="1"/>
  <c r="C121" i="26"/>
  <c r="C23" i="43" s="1"/>
  <c r="C125" i="26"/>
  <c r="C23" i="48" s="1"/>
  <c r="C129" i="26"/>
  <c r="C23" i="53" s="1"/>
  <c r="C133" i="26"/>
  <c r="C23" i="56" s="1"/>
  <c r="C137" i="26"/>
  <c r="C23" i="60" s="1"/>
  <c r="C80" i="26"/>
  <c r="C22" i="33" s="1"/>
  <c r="C84" i="26"/>
  <c r="C22" i="36" s="1"/>
  <c r="C88" i="26"/>
  <c r="C22" i="41" s="1"/>
  <c r="C92" i="26"/>
  <c r="C22" i="46" s="1"/>
  <c r="C96" i="26"/>
  <c r="C22" i="52" s="1"/>
  <c r="C100" i="26"/>
  <c r="C22" i="54" s="1"/>
  <c r="C104" i="26"/>
  <c r="C22" i="58" s="1"/>
  <c r="C16" i="26"/>
  <c r="C17" i="26"/>
  <c r="C20" i="32" s="1"/>
  <c r="C113" i="26"/>
  <c r="C23" i="34" s="1"/>
  <c r="C120" i="26"/>
  <c r="C23" i="42" s="1"/>
  <c r="C124" i="26"/>
  <c r="C23" i="47" s="1"/>
  <c r="C128" i="26"/>
  <c r="C23" i="61" s="1"/>
  <c r="C132" i="26"/>
  <c r="C23" i="55" s="1"/>
  <c r="C136" i="26"/>
  <c r="C23" i="59" s="1"/>
  <c r="C79" i="26"/>
  <c r="C22" i="32" s="1"/>
  <c r="C83" i="26"/>
  <c r="C22" i="35" s="1"/>
  <c r="C87" i="26"/>
  <c r="C22" i="39" s="1"/>
  <c r="C91" i="26"/>
  <c r="C22" i="44" s="1"/>
  <c r="C95" i="26"/>
  <c r="C22" i="50" s="1"/>
  <c r="C99" i="26"/>
  <c r="C22" i="62" s="1"/>
  <c r="C103" i="26"/>
  <c r="C22" i="57" s="1"/>
  <c r="C50" i="26"/>
  <c r="C21" i="51" s="1"/>
  <c r="C54" i="26"/>
  <c r="C21" i="37" s="1"/>
  <c r="C58" i="26"/>
  <c r="C21" i="42" s="1"/>
  <c r="C62" i="26"/>
  <c r="C21" i="47" s="1"/>
  <c r="C66" i="26"/>
  <c r="C21" i="61" s="1"/>
  <c r="C70" i="26"/>
  <c r="C21" i="55" s="1"/>
  <c r="C74" i="26"/>
  <c r="C21" i="59" s="1"/>
  <c r="C20" i="26"/>
  <c r="C20" i="34" s="1"/>
  <c r="C24" i="26"/>
  <c r="C20" i="38" s="1"/>
  <c r="C28" i="26"/>
  <c r="C20" i="43" s="1"/>
  <c r="C32" i="26"/>
  <c r="C20" i="48" s="1"/>
  <c r="C36" i="26"/>
  <c r="C20" i="53" s="1"/>
  <c r="C40" i="26"/>
  <c r="C20" i="56" s="1"/>
  <c r="C112" i="26"/>
  <c r="C23" i="51" s="1"/>
  <c r="C123" i="26"/>
  <c r="C23" i="46" s="1"/>
  <c r="C131" i="26"/>
  <c r="C23" i="54" s="1"/>
  <c r="C82" i="26"/>
  <c r="C22" i="34" s="1"/>
  <c r="C90" i="26"/>
  <c r="C22" i="43" s="1"/>
  <c r="C98" i="26"/>
  <c r="C22" i="53" s="1"/>
  <c r="C106" i="26"/>
  <c r="C22" i="60" s="1"/>
  <c r="C48" i="26"/>
  <c r="C21" i="32" s="1"/>
  <c r="C55" i="26"/>
  <c r="C21" i="38" s="1"/>
  <c r="C57" i="26"/>
  <c r="C21" i="41" s="1"/>
  <c r="C64" i="26"/>
  <c r="C21" i="50" s="1"/>
  <c r="C71" i="26"/>
  <c r="C21" i="56" s="1"/>
  <c r="C73" i="26"/>
  <c r="C21" i="58" s="1"/>
  <c r="C19" i="26"/>
  <c r="C20" i="51" s="1"/>
  <c r="C26" i="26"/>
  <c r="C20" i="41" s="1"/>
  <c r="C33" i="26"/>
  <c r="C20" i="50" s="1"/>
  <c r="C35" i="26"/>
  <c r="C20" i="61" s="1"/>
  <c r="C42" i="26"/>
  <c r="C20" i="58" s="1"/>
  <c r="C115" i="26"/>
  <c r="C23" i="36" s="1"/>
  <c r="C118" i="26"/>
  <c r="C23" i="39" s="1"/>
  <c r="C126" i="26"/>
  <c r="C23" i="50" s="1"/>
  <c r="C134" i="26"/>
  <c r="C23" i="57" s="1"/>
  <c r="C85" i="26"/>
  <c r="C22" i="37" s="1"/>
  <c r="C93" i="26"/>
  <c r="C22" i="47" s="1"/>
  <c r="C101" i="26"/>
  <c r="C22" i="55" s="1"/>
  <c r="C52" i="26"/>
  <c r="C21" i="35" s="1"/>
  <c r="C59" i="26"/>
  <c r="C21" i="43" s="1"/>
  <c r="C61" i="26"/>
  <c r="C21" i="46" s="1"/>
  <c r="C68" i="26"/>
  <c r="C21" i="62" s="1"/>
  <c r="C75" i="26"/>
  <c r="C21" i="60" s="1"/>
  <c r="C21" i="26"/>
  <c r="C20" i="35" s="1"/>
  <c r="C23" i="26"/>
  <c r="C20" i="37" s="1"/>
  <c r="C30" i="26"/>
  <c r="C20" i="46" s="1"/>
  <c r="C37" i="26"/>
  <c r="C20" i="62" s="1"/>
  <c r="C26" i="62" s="1"/>
  <c r="C39" i="26"/>
  <c r="C20" i="55" s="1"/>
  <c r="C119" i="26"/>
  <c r="C23" i="41" s="1"/>
  <c r="C127" i="26"/>
  <c r="C23" i="52" s="1"/>
  <c r="C135" i="26"/>
  <c r="C23" i="58" s="1"/>
  <c r="C86" i="26"/>
  <c r="C22" i="38" s="1"/>
  <c r="C94" i="26"/>
  <c r="C22" i="48" s="1"/>
  <c r="C102" i="26"/>
  <c r="C22" i="56" s="1"/>
  <c r="C49" i="26"/>
  <c r="C21" i="33" s="1"/>
  <c r="C56" i="26"/>
  <c r="C21" i="39" s="1"/>
  <c r="C63" i="26"/>
  <c r="C21" i="48" s="1"/>
  <c r="C65" i="26"/>
  <c r="C21" i="52" s="1"/>
  <c r="C72" i="26"/>
  <c r="C21" i="57" s="1"/>
  <c r="C18" i="26"/>
  <c r="C20" i="33" s="1"/>
  <c r="C25" i="26"/>
  <c r="C20" i="39" s="1"/>
  <c r="C27" i="26"/>
  <c r="C20" i="42" s="1"/>
  <c r="C34" i="26"/>
  <c r="C20" i="52" s="1"/>
  <c r="C41" i="26"/>
  <c r="C20" i="57" s="1"/>
  <c r="C44" i="26"/>
  <c r="C20" i="60" s="1"/>
  <c r="C111" i="26"/>
  <c r="C23" i="33" s="1"/>
  <c r="C122" i="26"/>
  <c r="C23" i="44" s="1"/>
  <c r="C130" i="26"/>
  <c r="C23" i="62" s="1"/>
  <c r="C81" i="26"/>
  <c r="C22" i="51" s="1"/>
  <c r="C89" i="26"/>
  <c r="C22" i="42" s="1"/>
  <c r="C97" i="26"/>
  <c r="C22" i="61" s="1"/>
  <c r="C105" i="26"/>
  <c r="C22" i="59" s="1"/>
  <c r="C51" i="26"/>
  <c r="C21" i="34" s="1"/>
  <c r="C53" i="26"/>
  <c r="C21" i="36" s="1"/>
  <c r="C60" i="26"/>
  <c r="C21" i="44" s="1"/>
  <c r="C67" i="26"/>
  <c r="C21" i="53" s="1"/>
  <c r="C69" i="26"/>
  <c r="C21" i="54" s="1"/>
  <c r="C22" i="26"/>
  <c r="C20" i="36" s="1"/>
  <c r="C29" i="26"/>
  <c r="C20" i="44" s="1"/>
  <c r="C31" i="26"/>
  <c r="C20" i="47" s="1"/>
  <c r="C38" i="26"/>
  <c r="C20" i="54" s="1"/>
  <c r="C43" i="26"/>
  <c r="C20" i="59" s="1"/>
  <c r="D204" i="68"/>
  <c r="E197" i="68"/>
  <c r="F190" i="68"/>
  <c r="F211" i="68"/>
  <c r="D197" i="68"/>
  <c r="E190" i="68"/>
  <c r="F183" i="68"/>
  <c r="E211" i="68"/>
  <c r="F204" i="68"/>
  <c r="D211" i="68"/>
  <c r="E204" i="68"/>
  <c r="F197" i="68"/>
  <c r="D183" i="68"/>
  <c r="E176" i="68"/>
  <c r="F169" i="68"/>
  <c r="D155" i="68"/>
  <c r="E148" i="68"/>
  <c r="F141" i="68"/>
  <c r="E127" i="68"/>
  <c r="F120" i="68"/>
  <c r="D106" i="68"/>
  <c r="E99" i="68"/>
  <c r="E183" i="68"/>
  <c r="F134" i="68"/>
  <c r="F92" i="68"/>
  <c r="D78" i="68"/>
  <c r="E71" i="68"/>
  <c r="F64" i="68"/>
  <c r="F162" i="68"/>
  <c r="F155" i="68"/>
  <c r="F148" i="68"/>
  <c r="E141" i="68"/>
  <c r="E134" i="68"/>
  <c r="F113" i="68"/>
  <c r="F106" i="68"/>
  <c r="F99" i="68"/>
  <c r="E92" i="68"/>
  <c r="F85" i="68"/>
  <c r="D71" i="68"/>
  <c r="E64" i="68"/>
  <c r="D190" i="68"/>
  <c r="F176" i="68"/>
  <c r="E169" i="68"/>
  <c r="E162" i="68"/>
  <c r="E155" i="68"/>
  <c r="D148" i="68"/>
  <c r="D141" i="68"/>
  <c r="D134" i="68"/>
  <c r="F127" i="68"/>
  <c r="E120" i="68"/>
  <c r="E113" i="68"/>
  <c r="E106" i="68"/>
  <c r="D99" i="68"/>
  <c r="D92" i="68"/>
  <c r="E85" i="68"/>
  <c r="F78" i="68"/>
  <c r="D64" i="68"/>
  <c r="E57" i="68"/>
  <c r="F50" i="68"/>
  <c r="D176" i="68"/>
  <c r="D169" i="68"/>
  <c r="D162" i="68"/>
  <c r="D127" i="68"/>
  <c r="D120" i="68"/>
  <c r="D113" i="68"/>
  <c r="D85" i="68"/>
  <c r="E78" i="68"/>
  <c r="F71" i="68"/>
  <c r="D57" i="68"/>
  <c r="E50" i="68"/>
  <c r="F43" i="68"/>
  <c r="D29" i="68"/>
  <c r="E22" i="68"/>
  <c r="F15" i="68"/>
  <c r="E43" i="68"/>
  <c r="E36" i="68"/>
  <c r="E29" i="68"/>
  <c r="D22" i="68"/>
  <c r="D15" i="68"/>
  <c r="D50" i="68"/>
  <c r="D43" i="68"/>
  <c r="D36" i="68"/>
  <c r="F57" i="68"/>
  <c r="F36" i="68"/>
  <c r="F29" i="68"/>
  <c r="F22" i="68"/>
  <c r="E15" i="68"/>
  <c r="E209" i="68"/>
  <c r="D188" i="68"/>
  <c r="D209" i="68"/>
  <c r="F195" i="68"/>
  <c r="E195" i="68"/>
  <c r="F209" i="68"/>
  <c r="D195" i="68"/>
  <c r="E188" i="68"/>
  <c r="F181" i="68"/>
  <c r="D167" i="68"/>
  <c r="E160" i="68"/>
  <c r="F153" i="68"/>
  <c r="D139" i="68"/>
  <c r="E132" i="68"/>
  <c r="D118" i="68"/>
  <c r="E111" i="68"/>
  <c r="F104" i="68"/>
  <c r="D181" i="68"/>
  <c r="D174" i="68"/>
  <c r="D125" i="68"/>
  <c r="D90" i="68"/>
  <c r="E83" i="68"/>
  <c r="F76" i="68"/>
  <c r="D62" i="68"/>
  <c r="E55" i="68"/>
  <c r="F146" i="68"/>
  <c r="F139" i="68"/>
  <c r="F132" i="68"/>
  <c r="F97" i="68"/>
  <c r="D83" i="68"/>
  <c r="E76" i="68"/>
  <c r="F69" i="68"/>
  <c r="F174" i="68"/>
  <c r="F167" i="68"/>
  <c r="F160" i="68"/>
  <c r="E153" i="68"/>
  <c r="E146" i="68"/>
  <c r="E139" i="68"/>
  <c r="D132" i="68"/>
  <c r="F125" i="68"/>
  <c r="F118" i="68"/>
  <c r="F111" i="68"/>
  <c r="E104" i="68"/>
  <c r="E97" i="68"/>
  <c r="F90" i="68"/>
  <c r="D76" i="68"/>
  <c r="E69" i="68"/>
  <c r="F62" i="68"/>
  <c r="F188" i="68"/>
  <c r="E181" i="68"/>
  <c r="E174" i="68"/>
  <c r="E167" i="68"/>
  <c r="D160" i="68"/>
  <c r="D153" i="68"/>
  <c r="D146" i="68"/>
  <c r="E125" i="68"/>
  <c r="E118" i="68"/>
  <c r="D111" i="68"/>
  <c r="D104" i="68"/>
  <c r="D97" i="68"/>
  <c r="E90" i="68"/>
  <c r="F83" i="68"/>
  <c r="D69" i="68"/>
  <c r="E62" i="68"/>
  <c r="F55" i="68"/>
  <c r="D41" i="68"/>
  <c r="E34" i="68"/>
  <c r="F27" i="68"/>
  <c r="D13" i="68"/>
  <c r="F48" i="68"/>
  <c r="F41" i="68"/>
  <c r="F34" i="68"/>
  <c r="E27" i="68"/>
  <c r="E20" i="68"/>
  <c r="E13" i="68"/>
  <c r="D55" i="68"/>
  <c r="E48" i="68"/>
  <c r="E41" i="68"/>
  <c r="D34" i="68"/>
  <c r="D27" i="68"/>
  <c r="D20" i="68"/>
  <c r="D48" i="68"/>
  <c r="F20" i="68"/>
  <c r="F13" i="68"/>
  <c r="O231" i="64"/>
  <c r="D212" i="68"/>
  <c r="E205" i="68"/>
  <c r="F198" i="68"/>
  <c r="D205" i="68"/>
  <c r="E198" i="68"/>
  <c r="F191" i="68"/>
  <c r="F212" i="68"/>
  <c r="D198" i="68"/>
  <c r="E191" i="68"/>
  <c r="E212" i="68"/>
  <c r="F205" i="68"/>
  <c r="D191" i="68"/>
  <c r="E184" i="68"/>
  <c r="F177" i="68"/>
  <c r="D163" i="68"/>
  <c r="E156" i="68"/>
  <c r="F149" i="68"/>
  <c r="D135" i="68"/>
  <c r="F128" i="68"/>
  <c r="D114" i="68"/>
  <c r="E107" i="68"/>
  <c r="F100" i="68"/>
  <c r="E177" i="68"/>
  <c r="E170" i="68"/>
  <c r="E163" i="68"/>
  <c r="D156" i="68"/>
  <c r="D149" i="68"/>
  <c r="D142" i="68"/>
  <c r="E128" i="68"/>
  <c r="E121" i="68"/>
  <c r="E114" i="68"/>
  <c r="D107" i="68"/>
  <c r="D100" i="68"/>
  <c r="D86" i="68"/>
  <c r="E79" i="68"/>
  <c r="F72" i="68"/>
  <c r="D58" i="68"/>
  <c r="E51" i="68"/>
  <c r="D177" i="68"/>
  <c r="D170" i="68"/>
  <c r="D128" i="68"/>
  <c r="D121" i="68"/>
  <c r="F93" i="68"/>
  <c r="D79" i="68"/>
  <c r="E72" i="68"/>
  <c r="F65" i="68"/>
  <c r="F184" i="68"/>
  <c r="F142" i="68"/>
  <c r="F135" i="68"/>
  <c r="E93" i="68"/>
  <c r="F86" i="68"/>
  <c r="D72" i="68"/>
  <c r="E65" i="68"/>
  <c r="F58" i="68"/>
  <c r="D184" i="68"/>
  <c r="F170" i="68"/>
  <c r="F163" i="68"/>
  <c r="F156" i="68"/>
  <c r="E149" i="68"/>
  <c r="E142" i="68"/>
  <c r="E135" i="68"/>
  <c r="F121" i="68"/>
  <c r="F114" i="68"/>
  <c r="F107" i="68"/>
  <c r="E100" i="68"/>
  <c r="D93" i="68"/>
  <c r="E86" i="68"/>
  <c r="F79" i="68"/>
  <c r="D65" i="68"/>
  <c r="E58" i="68"/>
  <c r="F51" i="68"/>
  <c r="D37" i="68"/>
  <c r="E30" i="68"/>
  <c r="F23" i="68"/>
  <c r="D51" i="68"/>
  <c r="F16" i="68"/>
  <c r="F44" i="68"/>
  <c r="F37" i="68"/>
  <c r="F30" i="68"/>
  <c r="E23" i="68"/>
  <c r="E16" i="68"/>
  <c r="E44" i="68"/>
  <c r="E37" i="68"/>
  <c r="D30" i="68"/>
  <c r="D23" i="68"/>
  <c r="D16" i="68"/>
  <c r="D44" i="68"/>
  <c r="D148" i="11"/>
  <c r="E213" i="68"/>
  <c r="F206" i="68"/>
  <c r="D192" i="68"/>
  <c r="E185" i="68"/>
  <c r="D213" i="68"/>
  <c r="E206" i="68"/>
  <c r="F199" i="68"/>
  <c r="D185" i="68"/>
  <c r="D206" i="68"/>
  <c r="E199" i="68"/>
  <c r="F192" i="68"/>
  <c r="F213" i="68"/>
  <c r="D199" i="68"/>
  <c r="E192" i="68"/>
  <c r="F185" i="68"/>
  <c r="D171" i="68"/>
  <c r="E164" i="68"/>
  <c r="F157" i="68"/>
  <c r="D143" i="68"/>
  <c r="E136" i="68"/>
  <c r="D122" i="68"/>
  <c r="E115" i="68"/>
  <c r="F108" i="68"/>
  <c r="F150" i="68"/>
  <c r="F143" i="68"/>
  <c r="F136" i="68"/>
  <c r="F101" i="68"/>
  <c r="D94" i="68"/>
  <c r="E87" i="68"/>
  <c r="F80" i="68"/>
  <c r="D66" i="68"/>
  <c r="E59" i="68"/>
  <c r="F52" i="68"/>
  <c r="F178" i="68"/>
  <c r="F171" i="68"/>
  <c r="F164" i="68"/>
  <c r="E157" i="68"/>
  <c r="E150" i="68"/>
  <c r="E143" i="68"/>
  <c r="D136" i="68"/>
  <c r="F122" i="68"/>
  <c r="F115" i="68"/>
  <c r="E108" i="68"/>
  <c r="E101" i="68"/>
  <c r="D87" i="68"/>
  <c r="E80" i="68"/>
  <c r="F73" i="68"/>
  <c r="E178" i="68"/>
  <c r="E171" i="68"/>
  <c r="D164" i="68"/>
  <c r="D157" i="68"/>
  <c r="D150" i="68"/>
  <c r="E122" i="68"/>
  <c r="D115" i="68"/>
  <c r="D108" i="68"/>
  <c r="D101" i="68"/>
  <c r="F94" i="68"/>
  <c r="D80" i="68"/>
  <c r="E73" i="68"/>
  <c r="F66" i="68"/>
  <c r="D52" i="68"/>
  <c r="D178" i="68"/>
  <c r="E94" i="68"/>
  <c r="F87" i="68"/>
  <c r="D73" i="68"/>
  <c r="E66" i="68"/>
  <c r="F59" i="68"/>
  <c r="D45" i="68"/>
  <c r="E38" i="68"/>
  <c r="F31" i="68"/>
  <c r="D17" i="68"/>
  <c r="E45" i="68"/>
  <c r="D38" i="68"/>
  <c r="D31" i="68"/>
  <c r="D24" i="68"/>
  <c r="D59" i="68"/>
  <c r="F24" i="68"/>
  <c r="F17" i="68"/>
  <c r="E52" i="68"/>
  <c r="F45" i="68"/>
  <c r="F38" i="68"/>
  <c r="E31" i="68"/>
  <c r="E24" i="68"/>
  <c r="E17" i="68"/>
  <c r="D129" i="68"/>
  <c r="E129" i="68"/>
  <c r="O230" i="64"/>
  <c r="F210" i="68"/>
  <c r="D196" i="68"/>
  <c r="E189" i="68"/>
  <c r="E210" i="68"/>
  <c r="D189" i="68"/>
  <c r="E182" i="68"/>
  <c r="D210" i="68"/>
  <c r="F196" i="68"/>
  <c r="E196" i="68"/>
  <c r="F189" i="68"/>
  <c r="D175" i="68"/>
  <c r="E168" i="68"/>
  <c r="F161" i="68"/>
  <c r="D147" i="68"/>
  <c r="E140" i="68"/>
  <c r="F133" i="68"/>
  <c r="D126" i="68"/>
  <c r="E119" i="68"/>
  <c r="F112" i="68"/>
  <c r="D98" i="68"/>
  <c r="F175" i="68"/>
  <c r="F168" i="68"/>
  <c r="E161" i="68"/>
  <c r="E154" i="68"/>
  <c r="E147" i="68"/>
  <c r="D140" i="68"/>
  <c r="D133" i="68"/>
  <c r="F126" i="68"/>
  <c r="F119" i="68"/>
  <c r="E112" i="68"/>
  <c r="E105" i="68"/>
  <c r="E98" i="68"/>
  <c r="E91" i="68"/>
  <c r="F84" i="68"/>
  <c r="D70" i="68"/>
  <c r="E63" i="68"/>
  <c r="F56" i="68"/>
  <c r="F182" i="68"/>
  <c r="E175" i="68"/>
  <c r="D168" i="68"/>
  <c r="D161" i="68"/>
  <c r="D154" i="68"/>
  <c r="E126" i="68"/>
  <c r="D119" i="68"/>
  <c r="D112" i="68"/>
  <c r="D105" i="68"/>
  <c r="D91" i="68"/>
  <c r="E84" i="68"/>
  <c r="F77" i="68"/>
  <c r="D63" i="68"/>
  <c r="D182" i="68"/>
  <c r="D84" i="68"/>
  <c r="E77" i="68"/>
  <c r="F70" i="68"/>
  <c r="D56" i="68"/>
  <c r="F154" i="68"/>
  <c r="F147" i="68"/>
  <c r="F140" i="68"/>
  <c r="E133" i="68"/>
  <c r="F105" i="68"/>
  <c r="F98" i="68"/>
  <c r="F91" i="68"/>
  <c r="D77" i="68"/>
  <c r="E70" i="68"/>
  <c r="F63" i="68"/>
  <c r="D49" i="68"/>
  <c r="E42" i="68"/>
  <c r="F35" i="68"/>
  <c r="D21" i="68"/>
  <c r="E14" i="68"/>
  <c r="E56" i="68"/>
  <c r="F28" i="68"/>
  <c r="F21" i="68"/>
  <c r="F14" i="68"/>
  <c r="F49" i="68"/>
  <c r="F42" i="68"/>
  <c r="E35" i="68"/>
  <c r="E28" i="68"/>
  <c r="E21" i="68"/>
  <c r="D14" i="68"/>
  <c r="E49" i="68"/>
  <c r="D42" i="68"/>
  <c r="D35" i="68"/>
  <c r="D28" i="68"/>
  <c r="G129" i="3"/>
  <c r="F129" i="68" s="1"/>
  <c r="F334" i="67" s="1"/>
  <c r="H346" i="5"/>
  <c r="H348" i="5"/>
  <c r="AP245" i="25"/>
  <c r="AP237" i="25"/>
  <c r="AP229" i="25"/>
  <c r="AP221" i="25"/>
  <c r="AP213" i="25"/>
  <c r="AP205" i="25"/>
  <c r="AP197" i="25"/>
  <c r="AP189" i="25"/>
  <c r="AP181" i="25"/>
  <c r="AP173" i="25"/>
  <c r="AP165" i="25"/>
  <c r="AP157" i="25"/>
  <c r="AP149" i="25"/>
  <c r="AP141" i="25"/>
  <c r="AP133" i="25"/>
  <c r="AP125" i="25"/>
  <c r="AP117" i="25"/>
  <c r="AP109" i="25"/>
  <c r="AP101" i="25"/>
  <c r="AP93" i="25"/>
  <c r="AP85" i="25"/>
  <c r="AP77" i="25"/>
  <c r="AP69" i="25"/>
  <c r="AP61" i="25"/>
  <c r="AP53" i="25"/>
  <c r="AP45" i="25"/>
  <c r="AP37" i="25"/>
  <c r="AP29" i="25"/>
  <c r="AP21" i="25"/>
  <c r="AL245" i="25"/>
  <c r="AL237" i="25"/>
  <c r="AL229" i="25"/>
  <c r="AL221" i="25"/>
  <c r="AL213" i="25"/>
  <c r="AL205" i="25"/>
  <c r="AL197" i="25"/>
  <c r="AL189" i="25"/>
  <c r="AL181" i="25"/>
  <c r="AL173" i="25"/>
  <c r="AL165" i="25"/>
  <c r="AL157" i="25"/>
  <c r="AL149" i="25"/>
  <c r="AL141" i="25"/>
  <c r="AL133" i="25"/>
  <c r="AL125" i="25"/>
  <c r="AL117" i="25"/>
  <c r="AL109" i="25"/>
  <c r="AL101" i="25"/>
  <c r="AL93" i="25"/>
  <c r="AL85" i="25"/>
  <c r="AL77" i="25"/>
  <c r="AL69" i="25"/>
  <c r="AL61" i="25"/>
  <c r="AL53" i="25"/>
  <c r="AL45" i="25"/>
  <c r="AL37" i="25"/>
  <c r="AL29" i="25"/>
  <c r="AL21" i="25"/>
  <c r="AH245" i="25"/>
  <c r="AH237" i="25"/>
  <c r="AH229" i="25"/>
  <c r="AH221" i="25"/>
  <c r="AH213" i="25"/>
  <c r="AH205" i="25"/>
  <c r="AH197" i="25"/>
  <c r="AH189" i="25"/>
  <c r="AH181" i="25"/>
  <c r="AH173" i="25"/>
  <c r="AH165" i="25"/>
  <c r="AH157" i="25"/>
  <c r="AH149" i="25"/>
  <c r="AH141" i="25"/>
  <c r="AH133" i="25"/>
  <c r="AH125" i="25"/>
  <c r="AH117" i="25"/>
  <c r="AH109" i="25"/>
  <c r="AH101" i="25"/>
  <c r="AH93" i="25"/>
  <c r="AH85" i="25"/>
  <c r="AH77" i="25"/>
  <c r="AH69" i="25"/>
  <c r="AH61" i="25"/>
  <c r="AH53" i="25"/>
  <c r="AH45" i="25"/>
  <c r="AH37" i="25"/>
  <c r="AH29" i="25"/>
  <c r="AH21" i="25"/>
  <c r="AD245" i="25"/>
  <c r="AD237" i="25"/>
  <c r="AD229" i="25"/>
  <c r="AD221" i="25"/>
  <c r="AD213" i="25"/>
  <c r="AD205" i="25"/>
  <c r="AD197" i="25"/>
  <c r="AD189" i="25"/>
  <c r="AD181" i="25"/>
  <c r="AD173" i="25"/>
  <c r="AD165" i="25"/>
  <c r="AD157" i="25"/>
  <c r="AD149" i="25"/>
  <c r="AD141" i="25"/>
  <c r="AD133" i="25"/>
  <c r="AD125" i="25"/>
  <c r="AD117" i="25"/>
  <c r="AD109" i="25"/>
  <c r="AD101" i="25"/>
  <c r="AD93" i="25"/>
  <c r="AD85" i="25"/>
  <c r="AD77" i="25"/>
  <c r="AD69" i="25"/>
  <c r="AD61" i="25"/>
  <c r="AD53" i="25"/>
  <c r="AD45" i="25"/>
  <c r="H345" i="5"/>
  <c r="H347" i="5"/>
  <c r="H349" i="5"/>
  <c r="AD37" i="25"/>
  <c r="AD29" i="25"/>
  <c r="AD21" i="25"/>
  <c r="Z245" i="25"/>
  <c r="Z237" i="25"/>
  <c r="Z229" i="25"/>
  <c r="Z221" i="25"/>
  <c r="Z213" i="25"/>
  <c r="Z197" i="25"/>
  <c r="Z189" i="25"/>
  <c r="Z181" i="25"/>
  <c r="Z173" i="25"/>
  <c r="Z165" i="25"/>
  <c r="Z157" i="25"/>
  <c r="Z149" i="25"/>
  <c r="Z141" i="25"/>
  <c r="Z133" i="25"/>
  <c r="Z125" i="25"/>
  <c r="Z117" i="25"/>
  <c r="Z109" i="25"/>
  <c r="Z101" i="25"/>
  <c r="Z93" i="25"/>
  <c r="Z85" i="25"/>
  <c r="Z77" i="25"/>
  <c r="Z69" i="25"/>
  <c r="Z61" i="25"/>
  <c r="Z53" i="25"/>
  <c r="Z45" i="25"/>
  <c r="Z37" i="25"/>
  <c r="Z29" i="25"/>
  <c r="Z21" i="25"/>
  <c r="Z205" i="25"/>
  <c r="F260" i="5"/>
  <c r="H260" i="5"/>
  <c r="J260" i="5"/>
  <c r="L260" i="5"/>
  <c r="N260" i="5"/>
  <c r="F261" i="5"/>
  <c r="H261" i="5"/>
  <c r="J261" i="5"/>
  <c r="L261" i="5"/>
  <c r="N261" i="5"/>
  <c r="F262" i="5"/>
  <c r="H262" i="5"/>
  <c r="J262" i="5"/>
  <c r="L262" i="5"/>
  <c r="N262" i="5"/>
  <c r="F263" i="5"/>
  <c r="H263" i="5"/>
  <c r="J263" i="5"/>
  <c r="L263" i="5"/>
  <c r="N263" i="5"/>
  <c r="F264" i="5"/>
  <c r="H264" i="5"/>
  <c r="J264" i="5"/>
  <c r="L264" i="5"/>
  <c r="N264" i="5"/>
  <c r="E261" i="5"/>
  <c r="E263" i="5"/>
  <c r="E260" i="5"/>
  <c r="G260" i="5"/>
  <c r="I260" i="5"/>
  <c r="K260" i="5"/>
  <c r="M260" i="5"/>
  <c r="G261" i="5"/>
  <c r="I261" i="5"/>
  <c r="K261" i="5"/>
  <c r="M261" i="5"/>
  <c r="G262" i="5"/>
  <c r="I262" i="5"/>
  <c r="K262" i="5"/>
  <c r="M262" i="5"/>
  <c r="G263" i="5"/>
  <c r="I263" i="5"/>
  <c r="K263" i="5"/>
  <c r="M263" i="5"/>
  <c r="G264" i="5"/>
  <c r="I264" i="5"/>
  <c r="K264" i="5"/>
  <c r="M264" i="5"/>
  <c r="E262" i="5"/>
  <c r="E264" i="5"/>
  <c r="H338" i="5"/>
  <c r="H350" i="5"/>
  <c r="H352" i="5"/>
  <c r="H337" i="5"/>
  <c r="H339" i="5"/>
  <c r="H351" i="5"/>
  <c r="AP243" i="25"/>
  <c r="AP235" i="25"/>
  <c r="AP227" i="25"/>
  <c r="AP219" i="25"/>
  <c r="AP211" i="25"/>
  <c r="AP203" i="25"/>
  <c r="AP195" i="25"/>
  <c r="AP187" i="25"/>
  <c r="AP179" i="25"/>
  <c r="AP171" i="25"/>
  <c r="AP163" i="25"/>
  <c r="AP155" i="25"/>
  <c r="AP147" i="25"/>
  <c r="AP139" i="25"/>
  <c r="AP131" i="25"/>
  <c r="AP123" i="25"/>
  <c r="AP115" i="25"/>
  <c r="AP107" i="25"/>
  <c r="AP99" i="25"/>
  <c r="AP91" i="25"/>
  <c r="AP83" i="25"/>
  <c r="AP75" i="25"/>
  <c r="AP67" i="25"/>
  <c r="AP59" i="25"/>
  <c r="AP51" i="25"/>
  <c r="AP43" i="25"/>
  <c r="AP35" i="25"/>
  <c r="AP27" i="25"/>
  <c r="AP19" i="25"/>
  <c r="AL243" i="25"/>
  <c r="AL235" i="25"/>
  <c r="AL227" i="25"/>
  <c r="AL219" i="25"/>
  <c r="AL211" i="25"/>
  <c r="AL203" i="25"/>
  <c r="AL195" i="25"/>
  <c r="AL187" i="25"/>
  <c r="AL179" i="25"/>
  <c r="AL171" i="25"/>
  <c r="AL163" i="25"/>
  <c r="AL155" i="25"/>
  <c r="AL147" i="25"/>
  <c r="AL139" i="25"/>
  <c r="AL131" i="25"/>
  <c r="AL123" i="25"/>
  <c r="AL115" i="25"/>
  <c r="AL107" i="25"/>
  <c r="AL99" i="25"/>
  <c r="AL91" i="25"/>
  <c r="AL83" i="25"/>
  <c r="AL75" i="25"/>
  <c r="AL67" i="25"/>
  <c r="AL59" i="25"/>
  <c r="AL51" i="25"/>
  <c r="AL43" i="25"/>
  <c r="AL35" i="25"/>
  <c r="AL27" i="25"/>
  <c r="AL19" i="25"/>
  <c r="AH243" i="25"/>
  <c r="AH235" i="25"/>
  <c r="AH227" i="25"/>
  <c r="AH219" i="25"/>
  <c r="AH211" i="25"/>
  <c r="AH203" i="25"/>
  <c r="AH195" i="25"/>
  <c r="AH187" i="25"/>
  <c r="AH179" i="25"/>
  <c r="AH171" i="25"/>
  <c r="AH163" i="25"/>
  <c r="AH155" i="25"/>
  <c r="AH147" i="25"/>
  <c r="AH139" i="25"/>
  <c r="AH131" i="25"/>
  <c r="AH123" i="25"/>
  <c r="AH115" i="25"/>
  <c r="AH107" i="25"/>
  <c r="AH99" i="25"/>
  <c r="AH91" i="25"/>
  <c r="AH83" i="25"/>
  <c r="AH75" i="25"/>
  <c r="AH67" i="25"/>
  <c r="AH59" i="25"/>
  <c r="AH51" i="25"/>
  <c r="AH43" i="25"/>
  <c r="AH35" i="25"/>
  <c r="AH27" i="25"/>
  <c r="AH19" i="25"/>
  <c r="AD243" i="25"/>
  <c r="AD235" i="25"/>
  <c r="AD227" i="25"/>
  <c r="AD219" i="25"/>
  <c r="AD211" i="25"/>
  <c r="AD203" i="25"/>
  <c r="AD195" i="25"/>
  <c r="AD187" i="25"/>
  <c r="AD179" i="25"/>
  <c r="AD171" i="25"/>
  <c r="AD163" i="25"/>
  <c r="AD155" i="25"/>
  <c r="AD147" i="25"/>
  <c r="AD139" i="25"/>
  <c r="AD131" i="25"/>
  <c r="AD123" i="25"/>
  <c r="AD115" i="25"/>
  <c r="AD107" i="25"/>
  <c r="AD99" i="25"/>
  <c r="AD91" i="25"/>
  <c r="AD83" i="25"/>
  <c r="AD75" i="25"/>
  <c r="AD67" i="25"/>
  <c r="AD59" i="25"/>
  <c r="AD51" i="25"/>
  <c r="AD35" i="25"/>
  <c r="AD27" i="25"/>
  <c r="AD19" i="25"/>
  <c r="Z243" i="25"/>
  <c r="Z235" i="25"/>
  <c r="Z227" i="25"/>
  <c r="Z219" i="25"/>
  <c r="Z211" i="25"/>
  <c r="AD43" i="25"/>
  <c r="Z203" i="25"/>
  <c r="Z195" i="25"/>
  <c r="Z187" i="25"/>
  <c r="Z179" i="25"/>
  <c r="Z171" i="25"/>
  <c r="Z163" i="25"/>
  <c r="Z155" i="25"/>
  <c r="Z147" i="25"/>
  <c r="Z139" i="25"/>
  <c r="Z131" i="25"/>
  <c r="Z123" i="25"/>
  <c r="Z115" i="25"/>
  <c r="Z107" i="25"/>
  <c r="Z99" i="25"/>
  <c r="Z91" i="25"/>
  <c r="Z83" i="25"/>
  <c r="Z75" i="25"/>
  <c r="Z67" i="25"/>
  <c r="Z59" i="25"/>
  <c r="Z51" i="25"/>
  <c r="Z43" i="25"/>
  <c r="Z35" i="25"/>
  <c r="Z27" i="25"/>
  <c r="Z19" i="25"/>
  <c r="F250" i="5"/>
  <c r="H250" i="5"/>
  <c r="J250" i="5"/>
  <c r="L250" i="5"/>
  <c r="N250" i="5"/>
  <c r="F251" i="5"/>
  <c r="H251" i="5"/>
  <c r="J251" i="5"/>
  <c r="L251" i="5"/>
  <c r="N251" i="5"/>
  <c r="F252" i="5"/>
  <c r="H252" i="5"/>
  <c r="J252" i="5"/>
  <c r="L252" i="5"/>
  <c r="N252" i="5"/>
  <c r="F253" i="5"/>
  <c r="H253" i="5"/>
  <c r="J253" i="5"/>
  <c r="L253" i="5"/>
  <c r="N253" i="5"/>
  <c r="F254" i="5"/>
  <c r="H254" i="5"/>
  <c r="J254" i="5"/>
  <c r="L254" i="5"/>
  <c r="N254" i="5"/>
  <c r="E250" i="5"/>
  <c r="E252" i="5"/>
  <c r="E254" i="5"/>
  <c r="E401" i="5"/>
  <c r="G401" i="5"/>
  <c r="I401" i="5"/>
  <c r="K401" i="5"/>
  <c r="M401" i="5"/>
  <c r="F402" i="5"/>
  <c r="H402" i="5"/>
  <c r="J402" i="5"/>
  <c r="L402" i="5"/>
  <c r="N402" i="5"/>
  <c r="E403" i="5"/>
  <c r="G403" i="5"/>
  <c r="I403" i="5"/>
  <c r="K403" i="5"/>
  <c r="M403" i="5"/>
  <c r="F404" i="5"/>
  <c r="H404" i="5"/>
  <c r="J404" i="5"/>
  <c r="L404" i="5"/>
  <c r="N404" i="5"/>
  <c r="F400" i="5"/>
  <c r="H400" i="5"/>
  <c r="J400" i="5"/>
  <c r="L400" i="5"/>
  <c r="N400" i="5"/>
  <c r="E400" i="5"/>
  <c r="G250" i="5"/>
  <c r="I250" i="5"/>
  <c r="K250" i="5"/>
  <c r="M250" i="5"/>
  <c r="G251" i="5"/>
  <c r="I251" i="5"/>
  <c r="K251" i="5"/>
  <c r="M251" i="5"/>
  <c r="G252" i="5"/>
  <c r="I252" i="5"/>
  <c r="K252" i="5"/>
  <c r="M252" i="5"/>
  <c r="G253" i="5"/>
  <c r="I253" i="5"/>
  <c r="K253" i="5"/>
  <c r="M253" i="5"/>
  <c r="G254" i="5"/>
  <c r="I254" i="5"/>
  <c r="K254" i="5"/>
  <c r="M254" i="5"/>
  <c r="E251" i="5"/>
  <c r="E253" i="5"/>
  <c r="F401" i="5"/>
  <c r="H401" i="5"/>
  <c r="J401" i="5"/>
  <c r="L401" i="5"/>
  <c r="N401" i="5"/>
  <c r="E402" i="5"/>
  <c r="G402" i="5"/>
  <c r="I402" i="5"/>
  <c r="K402" i="5"/>
  <c r="M402" i="5"/>
  <c r="F403" i="5"/>
  <c r="H403" i="5"/>
  <c r="J403" i="5"/>
  <c r="L403" i="5"/>
  <c r="N403" i="5"/>
  <c r="E404" i="5"/>
  <c r="G404" i="5"/>
  <c r="I404" i="5"/>
  <c r="K404" i="5"/>
  <c r="M404" i="5"/>
  <c r="G400" i="5"/>
  <c r="I400" i="5"/>
  <c r="K400" i="5"/>
  <c r="M400" i="5"/>
  <c r="O233" i="64"/>
  <c r="H340" i="5"/>
  <c r="H342" i="5"/>
  <c r="H344" i="5"/>
  <c r="I344" i="5"/>
  <c r="G343" i="5"/>
  <c r="G341" i="5"/>
  <c r="I343" i="5"/>
  <c r="I341" i="5"/>
  <c r="H341" i="5"/>
  <c r="H343" i="5"/>
  <c r="G344" i="5"/>
  <c r="G342" i="5"/>
  <c r="G340" i="5"/>
  <c r="I342" i="5"/>
  <c r="I340" i="5"/>
  <c r="AP244" i="25"/>
  <c r="AP236" i="25"/>
  <c r="AP228" i="25"/>
  <c r="AP220" i="25"/>
  <c r="AP212" i="25"/>
  <c r="AP204" i="25"/>
  <c r="AP196" i="25"/>
  <c r="AP188" i="25"/>
  <c r="AP180" i="25"/>
  <c r="AP172" i="25"/>
  <c r="AP164" i="25"/>
  <c r="AP156" i="25"/>
  <c r="AP148" i="25"/>
  <c r="AP140" i="25"/>
  <c r="AP132" i="25"/>
  <c r="AP124" i="25"/>
  <c r="AP116" i="25"/>
  <c r="AP108" i="25"/>
  <c r="AP100" i="25"/>
  <c r="AP92" i="25"/>
  <c r="AP84" i="25"/>
  <c r="AP76" i="25"/>
  <c r="AP68" i="25"/>
  <c r="AP60" i="25"/>
  <c r="AP52" i="25"/>
  <c r="AP44" i="25"/>
  <c r="AP36" i="25"/>
  <c r="AP28" i="25"/>
  <c r="AP20" i="25"/>
  <c r="AL244" i="25"/>
  <c r="AL236" i="25"/>
  <c r="AL228" i="25"/>
  <c r="AL220" i="25"/>
  <c r="AL212" i="25"/>
  <c r="AL204" i="25"/>
  <c r="AL196" i="25"/>
  <c r="AL188" i="25"/>
  <c r="AL180" i="25"/>
  <c r="AL172" i="25"/>
  <c r="AL164" i="25"/>
  <c r="AL156" i="25"/>
  <c r="AL148" i="25"/>
  <c r="AL140" i="25"/>
  <c r="AL132" i="25"/>
  <c r="AL124" i="25"/>
  <c r="AL116" i="25"/>
  <c r="AL108" i="25"/>
  <c r="AL100" i="25"/>
  <c r="AL92" i="25"/>
  <c r="AL84" i="25"/>
  <c r="AL76" i="25"/>
  <c r="AL68" i="25"/>
  <c r="AL60" i="25"/>
  <c r="AL52" i="25"/>
  <c r="AL44" i="25"/>
  <c r="AL36" i="25"/>
  <c r="AL28" i="25"/>
  <c r="AL20" i="25"/>
  <c r="AH244" i="25"/>
  <c r="AH236" i="25"/>
  <c r="AH228" i="25"/>
  <c r="AH220" i="25"/>
  <c r="AH212" i="25"/>
  <c r="AH204" i="25"/>
  <c r="AH196" i="25"/>
  <c r="AH188" i="25"/>
  <c r="AH180" i="25"/>
  <c r="AH172" i="25"/>
  <c r="AH164" i="25"/>
  <c r="AH156" i="25"/>
  <c r="AH148" i="25"/>
  <c r="AH140" i="25"/>
  <c r="AH132" i="25"/>
  <c r="AH124" i="25"/>
  <c r="AH116" i="25"/>
  <c r="AH108" i="25"/>
  <c r="AH100" i="25"/>
  <c r="AH92" i="25"/>
  <c r="AH84" i="25"/>
  <c r="AH76" i="25"/>
  <c r="AH68" i="25"/>
  <c r="AH60" i="25"/>
  <c r="AH52" i="25"/>
  <c r="AH44" i="25"/>
  <c r="AH36" i="25"/>
  <c r="AH28" i="25"/>
  <c r="AH20" i="25"/>
  <c r="AD244" i="25"/>
  <c r="AD236" i="25"/>
  <c r="AD228" i="25"/>
  <c r="AD220" i="25"/>
  <c r="AD212" i="25"/>
  <c r="AD204" i="25"/>
  <c r="AD196" i="25"/>
  <c r="AD188" i="25"/>
  <c r="AD180" i="25"/>
  <c r="AD172" i="25"/>
  <c r="AD164" i="25"/>
  <c r="AD156" i="25"/>
  <c r="AD148" i="25"/>
  <c r="AD140" i="25"/>
  <c r="AD132" i="25"/>
  <c r="AD124" i="25"/>
  <c r="AD116" i="25"/>
  <c r="AD108" i="25"/>
  <c r="AD100" i="25"/>
  <c r="AD92" i="25"/>
  <c r="AD84" i="25"/>
  <c r="AD76" i="25"/>
  <c r="AD68" i="25"/>
  <c r="AD60" i="25"/>
  <c r="AD52" i="25"/>
  <c r="AD44" i="25"/>
  <c r="Z204" i="25"/>
  <c r="Z196" i="25"/>
  <c r="Z188" i="25"/>
  <c r="Z180" i="25"/>
  <c r="Z172" i="25"/>
  <c r="Z164" i="25"/>
  <c r="Z156" i="25"/>
  <c r="Z148" i="25"/>
  <c r="Z140" i="25"/>
  <c r="Z132" i="25"/>
  <c r="Z124" i="25"/>
  <c r="Z116" i="25"/>
  <c r="Z108" i="25"/>
  <c r="Z100" i="25"/>
  <c r="Z92" i="25"/>
  <c r="Z84" i="25"/>
  <c r="Z76" i="25"/>
  <c r="Z68" i="25"/>
  <c r="Z60" i="25"/>
  <c r="Z52" i="25"/>
  <c r="Z44" i="25"/>
  <c r="Z36" i="25"/>
  <c r="Z28" i="25"/>
  <c r="Z20" i="25"/>
  <c r="AD36" i="25"/>
  <c r="AD28" i="25"/>
  <c r="AD20" i="25"/>
  <c r="Z244" i="25"/>
  <c r="Z236" i="25"/>
  <c r="Z228" i="25"/>
  <c r="Z220" i="25"/>
  <c r="Z212" i="25"/>
  <c r="F255" i="5"/>
  <c r="H255" i="5"/>
  <c r="J255" i="5"/>
  <c r="L255" i="5"/>
  <c r="N255" i="5"/>
  <c r="F256" i="5"/>
  <c r="H256" i="5"/>
  <c r="J256" i="5"/>
  <c r="L256" i="5"/>
  <c r="N256" i="5"/>
  <c r="F257" i="5"/>
  <c r="H257" i="5"/>
  <c r="J257" i="5"/>
  <c r="L257" i="5"/>
  <c r="N257" i="5"/>
  <c r="F258" i="5"/>
  <c r="H258" i="5"/>
  <c r="J258" i="5"/>
  <c r="L258" i="5"/>
  <c r="N258" i="5"/>
  <c r="F259" i="5"/>
  <c r="H259" i="5"/>
  <c r="J259" i="5"/>
  <c r="L259" i="5"/>
  <c r="N259" i="5"/>
  <c r="E256" i="5"/>
  <c r="E258" i="5"/>
  <c r="F406" i="5"/>
  <c r="H406" i="5"/>
  <c r="J406" i="5"/>
  <c r="L406" i="5"/>
  <c r="N406" i="5"/>
  <c r="E407" i="5"/>
  <c r="G407" i="5"/>
  <c r="I407" i="5"/>
  <c r="K407" i="5"/>
  <c r="M407" i="5"/>
  <c r="F408" i="5"/>
  <c r="H408" i="5"/>
  <c r="J408" i="5"/>
  <c r="L408" i="5"/>
  <c r="N408" i="5"/>
  <c r="E409" i="5"/>
  <c r="G409" i="5"/>
  <c r="I409" i="5"/>
  <c r="K409" i="5"/>
  <c r="M409" i="5"/>
  <c r="G405" i="5"/>
  <c r="I405" i="5"/>
  <c r="K405" i="5"/>
  <c r="M405" i="5"/>
  <c r="G255" i="5"/>
  <c r="I255" i="5"/>
  <c r="K255" i="5"/>
  <c r="M255" i="5"/>
  <c r="G256" i="5"/>
  <c r="I256" i="5"/>
  <c r="K256" i="5"/>
  <c r="M256" i="5"/>
  <c r="G257" i="5"/>
  <c r="I257" i="5"/>
  <c r="K257" i="5"/>
  <c r="M257" i="5"/>
  <c r="G258" i="5"/>
  <c r="I258" i="5"/>
  <c r="K258" i="5"/>
  <c r="M258" i="5"/>
  <c r="G259" i="5"/>
  <c r="I259" i="5"/>
  <c r="K259" i="5"/>
  <c r="M259" i="5"/>
  <c r="E255" i="5"/>
  <c r="E257" i="5"/>
  <c r="E259" i="5"/>
  <c r="E406" i="5"/>
  <c r="G406" i="5"/>
  <c r="I406" i="5"/>
  <c r="K406" i="5"/>
  <c r="M406" i="5"/>
  <c r="F407" i="5"/>
  <c r="H407" i="5"/>
  <c r="J407" i="5"/>
  <c r="L407" i="5"/>
  <c r="N407" i="5"/>
  <c r="E408" i="5"/>
  <c r="G408" i="5"/>
  <c r="I408" i="5"/>
  <c r="K408" i="5"/>
  <c r="M408" i="5"/>
  <c r="F409" i="5"/>
  <c r="H409" i="5"/>
  <c r="J409" i="5"/>
  <c r="L409" i="5"/>
  <c r="N409" i="5"/>
  <c r="F405" i="5"/>
  <c r="H405" i="5"/>
  <c r="J405" i="5"/>
  <c r="L405" i="5"/>
  <c r="N405" i="5"/>
  <c r="E405" i="5"/>
  <c r="O234" i="64"/>
  <c r="O232" i="64"/>
  <c r="C20" i="31" l="1"/>
  <c r="C9" i="26"/>
  <c r="C20" i="67" s="1"/>
  <c r="C26" i="67" s="1"/>
  <c r="C10" i="26"/>
  <c r="C21" i="67" s="1"/>
  <c r="C28" i="67" s="1"/>
  <c r="C21" i="31"/>
  <c r="E26" i="51"/>
  <c r="D26" i="51" s="1"/>
  <c r="C26" i="51" s="1"/>
  <c r="C32" i="51" s="1"/>
  <c r="E26" i="61"/>
  <c r="D26" i="61" s="1"/>
  <c r="C26" i="61" s="1"/>
  <c r="C32" i="61" s="1"/>
  <c r="E28" i="36"/>
  <c r="D28" i="36" s="1"/>
  <c r="C28" i="36" s="1"/>
  <c r="C34" i="36" s="1"/>
  <c r="E28" i="54"/>
  <c r="D28" i="54" s="1"/>
  <c r="C28" i="54" s="1"/>
  <c r="C34" i="54" s="1"/>
  <c r="E27" i="39"/>
  <c r="D27" i="39" s="1"/>
  <c r="C27" i="39" s="1"/>
  <c r="C33" i="39" s="1"/>
  <c r="E27" i="57"/>
  <c r="D27" i="57" s="1"/>
  <c r="C27" i="57" s="1"/>
  <c r="C33" i="57" s="1"/>
  <c r="E29" i="43"/>
  <c r="D29" i="43" s="1"/>
  <c r="C29" i="43" s="1"/>
  <c r="C35" i="43" s="1"/>
  <c r="E29" i="60"/>
  <c r="D29" i="60" s="1"/>
  <c r="C29" i="60" s="1"/>
  <c r="C35" i="60" s="1"/>
  <c r="E26" i="43"/>
  <c r="D26" i="43" s="1"/>
  <c r="C26" i="43" s="1"/>
  <c r="C32" i="43" s="1"/>
  <c r="E26" i="60"/>
  <c r="D26" i="60" s="1"/>
  <c r="C26" i="60" s="1"/>
  <c r="C32" i="60" s="1"/>
  <c r="E28" i="47"/>
  <c r="D28" i="47" s="1"/>
  <c r="C28" i="47" s="1"/>
  <c r="C34" i="47" s="1"/>
  <c r="E27" i="33"/>
  <c r="D27" i="33" s="1"/>
  <c r="C27" i="33" s="1"/>
  <c r="C33" i="33" s="1"/>
  <c r="E27" i="52"/>
  <c r="D27" i="52" s="1"/>
  <c r="C27" i="52" s="1"/>
  <c r="C33" i="52" s="1"/>
  <c r="E29" i="35"/>
  <c r="D29" i="35" s="1"/>
  <c r="C29" i="35" s="1"/>
  <c r="C35" i="35" s="1"/>
  <c r="E29" i="62"/>
  <c r="D29" i="62" s="1"/>
  <c r="C29" i="62" s="1"/>
  <c r="C35" i="62" s="1"/>
  <c r="E26" i="39"/>
  <c r="D26" i="39" s="1"/>
  <c r="C26" i="39" s="1"/>
  <c r="C32" i="39" s="1"/>
  <c r="E26" i="57"/>
  <c r="D26" i="57" s="1"/>
  <c r="C26" i="57" s="1"/>
  <c r="C32" i="57" s="1"/>
  <c r="E28" i="43"/>
  <c r="D28" i="43" s="1"/>
  <c r="C28" i="43" s="1"/>
  <c r="C34" i="43" s="1"/>
  <c r="E28" i="60"/>
  <c r="D28" i="60" s="1"/>
  <c r="C28" i="60" s="1"/>
  <c r="C34" i="60" s="1"/>
  <c r="E27" i="47"/>
  <c r="D27" i="47" s="1"/>
  <c r="C27" i="47" s="1"/>
  <c r="C33" i="47" s="1"/>
  <c r="E29" i="33"/>
  <c r="D29" i="33" s="1"/>
  <c r="C29" i="33" s="1"/>
  <c r="C35" i="33" s="1"/>
  <c r="E29" i="52"/>
  <c r="D29" i="52" s="1"/>
  <c r="C29" i="52" s="1"/>
  <c r="C35" i="52" s="1"/>
  <c r="E26" i="36"/>
  <c r="D26" i="36" s="1"/>
  <c r="C26" i="36" s="1"/>
  <c r="C32" i="36" s="1"/>
  <c r="E26" i="54"/>
  <c r="D26" i="54" s="1"/>
  <c r="C26" i="54" s="1"/>
  <c r="C32" i="54" s="1"/>
  <c r="E28" i="39"/>
  <c r="D28" i="39" s="1"/>
  <c r="C28" i="39" s="1"/>
  <c r="C34" i="39" s="1"/>
  <c r="E28" i="57"/>
  <c r="D28" i="57" s="1"/>
  <c r="C28" i="57" s="1"/>
  <c r="C34" i="57" s="1"/>
  <c r="E27" i="43"/>
  <c r="D27" i="43" s="1"/>
  <c r="C27" i="43" s="1"/>
  <c r="C33" i="43" s="1"/>
  <c r="E27" i="60"/>
  <c r="D27" i="60" s="1"/>
  <c r="C27" i="60" s="1"/>
  <c r="C33" i="60" s="1"/>
  <c r="E29" i="47"/>
  <c r="D29" i="47" s="1"/>
  <c r="C29" i="47" s="1"/>
  <c r="C35" i="47" s="1"/>
  <c r="D11" i="26"/>
  <c r="D22" i="67" s="1"/>
  <c r="D27" i="67" s="1"/>
  <c r="D22" i="31"/>
  <c r="D10" i="26"/>
  <c r="D21" i="67" s="1"/>
  <c r="D28" i="67" s="1"/>
  <c r="D21" i="31"/>
  <c r="D23" i="31"/>
  <c r="D12" i="26"/>
  <c r="D23" i="67" s="1"/>
  <c r="D29" i="67" s="1"/>
  <c r="C11" i="26"/>
  <c r="C22" i="67" s="1"/>
  <c r="C27" i="67" s="1"/>
  <c r="C22" i="31"/>
  <c r="E21" i="31"/>
  <c r="E10" i="26"/>
  <c r="E21" i="67" s="1"/>
  <c r="E28" i="67" s="1"/>
  <c r="E12" i="26"/>
  <c r="E23" i="67" s="1"/>
  <c r="E29" i="67" s="1"/>
  <c r="E23" i="31"/>
  <c r="E11" i="26"/>
  <c r="E22" i="67" s="1"/>
  <c r="E27" i="67" s="1"/>
  <c r="E22" i="31"/>
  <c r="E26" i="37"/>
  <c r="D26" i="37" s="1"/>
  <c r="C26" i="37" s="1"/>
  <c r="C32" i="37" s="1"/>
  <c r="E26" i="55"/>
  <c r="D26" i="55" s="1"/>
  <c r="C26" i="55" s="1"/>
  <c r="C32" i="55" s="1"/>
  <c r="E28" i="41"/>
  <c r="D28" i="41" s="1"/>
  <c r="C28" i="41" s="1"/>
  <c r="C34" i="41" s="1"/>
  <c r="E28" i="58"/>
  <c r="D28" i="58" s="1"/>
  <c r="C28" i="58" s="1"/>
  <c r="C34" i="58" s="1"/>
  <c r="E27" i="44"/>
  <c r="D27" i="44" s="1"/>
  <c r="C27" i="44" s="1"/>
  <c r="C33" i="44" s="1"/>
  <c r="F23" i="31"/>
  <c r="F29" i="31" s="1"/>
  <c r="E29" i="31" s="1"/>
  <c r="F12" i="26"/>
  <c r="F23" i="67" s="1"/>
  <c r="F29" i="67" s="1"/>
  <c r="E29" i="48"/>
  <c r="D29" i="48" s="1"/>
  <c r="C29" i="48" s="1"/>
  <c r="C35" i="48" s="1"/>
  <c r="F20" i="31"/>
  <c r="F9" i="26"/>
  <c r="F20" i="67" s="1"/>
  <c r="F26" i="67" s="1"/>
  <c r="E26" i="48"/>
  <c r="D26" i="48" s="1"/>
  <c r="C26" i="48" s="1"/>
  <c r="C32" i="48" s="1"/>
  <c r="E28" i="51"/>
  <c r="D28" i="51" s="1"/>
  <c r="C28" i="51" s="1"/>
  <c r="C34" i="51" s="1"/>
  <c r="D34" i="51" s="1"/>
  <c r="E28" i="61"/>
  <c r="D28" i="61" s="1"/>
  <c r="C28" i="61" s="1"/>
  <c r="C34" i="61" s="1"/>
  <c r="D34" i="61" s="1"/>
  <c r="E27" i="36"/>
  <c r="D27" i="36" s="1"/>
  <c r="C27" i="36" s="1"/>
  <c r="C33" i="36" s="1"/>
  <c r="E27" i="54"/>
  <c r="D27" i="54" s="1"/>
  <c r="C27" i="54" s="1"/>
  <c r="C33" i="54" s="1"/>
  <c r="D33" i="54" s="1"/>
  <c r="E29" i="39"/>
  <c r="D29" i="39" s="1"/>
  <c r="C29" i="39" s="1"/>
  <c r="C35" i="39" s="1"/>
  <c r="D35" i="39" s="1"/>
  <c r="E29" i="57"/>
  <c r="D29" i="57" s="1"/>
  <c r="C29" i="57" s="1"/>
  <c r="C35" i="57" s="1"/>
  <c r="E26" i="44"/>
  <c r="D26" i="44" s="1"/>
  <c r="C26" i="44" s="1"/>
  <c r="C32" i="44" s="1"/>
  <c r="F21" i="31"/>
  <c r="F28" i="31" s="1"/>
  <c r="E28" i="31" s="1"/>
  <c r="D28" i="31" s="1"/>
  <c r="C28" i="31" s="1"/>
  <c r="F10" i="26"/>
  <c r="F21" i="67" s="1"/>
  <c r="F28" i="67" s="1"/>
  <c r="E28" i="48"/>
  <c r="D28" i="48" s="1"/>
  <c r="C28" i="48" s="1"/>
  <c r="C34" i="48" s="1"/>
  <c r="E27" i="51"/>
  <c r="D27" i="51" s="1"/>
  <c r="C27" i="51" s="1"/>
  <c r="C33" i="51" s="1"/>
  <c r="D33" i="51" s="1"/>
  <c r="E27" i="61"/>
  <c r="D27" i="61" s="1"/>
  <c r="C27" i="61" s="1"/>
  <c r="C33" i="61" s="1"/>
  <c r="D33" i="61" s="1"/>
  <c r="E29" i="36"/>
  <c r="D29" i="36" s="1"/>
  <c r="C29" i="36" s="1"/>
  <c r="C35" i="36" s="1"/>
  <c r="D35" i="36" s="1"/>
  <c r="E29" i="54"/>
  <c r="D29" i="54" s="1"/>
  <c r="C29" i="54" s="1"/>
  <c r="C35" i="54" s="1"/>
  <c r="E26" i="41"/>
  <c r="D26" i="41" s="1"/>
  <c r="C26" i="41" s="1"/>
  <c r="C32" i="41" s="1"/>
  <c r="E26" i="58"/>
  <c r="D26" i="58" s="1"/>
  <c r="C26" i="58" s="1"/>
  <c r="C32" i="58" s="1"/>
  <c r="E28" i="44"/>
  <c r="D28" i="44" s="1"/>
  <c r="C28" i="44" s="1"/>
  <c r="C34" i="44" s="1"/>
  <c r="D34" i="44" s="1"/>
  <c r="F22" i="31"/>
  <c r="F11" i="26"/>
  <c r="F22" i="67" s="1"/>
  <c r="F27" i="67" s="1"/>
  <c r="E27" i="48"/>
  <c r="D27" i="48" s="1"/>
  <c r="C27" i="48" s="1"/>
  <c r="C33" i="48" s="1"/>
  <c r="E29" i="51"/>
  <c r="D29" i="51" s="1"/>
  <c r="C29" i="51" s="1"/>
  <c r="C35" i="51" s="1"/>
  <c r="D35" i="51" s="1"/>
  <c r="E29" i="61"/>
  <c r="D29" i="61" s="1"/>
  <c r="C29" i="61" s="1"/>
  <c r="C35" i="61" s="1"/>
  <c r="D35" i="61" s="1"/>
  <c r="E9" i="26"/>
  <c r="E20" i="67" s="1"/>
  <c r="E26" i="67" s="1"/>
  <c r="E20" i="31"/>
  <c r="E26" i="42"/>
  <c r="D26" i="42" s="1"/>
  <c r="C26" i="42" s="1"/>
  <c r="C32" i="42" s="1"/>
  <c r="E26" i="59"/>
  <c r="D26" i="59" s="1"/>
  <c r="C26" i="59" s="1"/>
  <c r="C32" i="59" s="1"/>
  <c r="E28" i="46"/>
  <c r="D28" i="46" s="1"/>
  <c r="C28" i="46" s="1"/>
  <c r="C34" i="46" s="1"/>
  <c r="E27" i="32"/>
  <c r="D27" i="32" s="1"/>
  <c r="C27" i="32" s="1"/>
  <c r="C33" i="32" s="1"/>
  <c r="E27" i="50"/>
  <c r="D27" i="50" s="1"/>
  <c r="C27" i="50" s="1"/>
  <c r="C33" i="50" s="1"/>
  <c r="E29" i="34"/>
  <c r="D29" i="34" s="1"/>
  <c r="C29" i="34" s="1"/>
  <c r="C35" i="34" s="1"/>
  <c r="E29" i="53"/>
  <c r="D29" i="53" s="1"/>
  <c r="C29" i="53" s="1"/>
  <c r="C35" i="53" s="1"/>
  <c r="E26" i="34"/>
  <c r="D26" i="34" s="1"/>
  <c r="C26" i="34" s="1"/>
  <c r="C32" i="34" s="1"/>
  <c r="E26" i="53"/>
  <c r="D26" i="53" s="1"/>
  <c r="C26" i="53" s="1"/>
  <c r="C32" i="53" s="1"/>
  <c r="E28" i="37"/>
  <c r="D28" i="37" s="1"/>
  <c r="C28" i="37" s="1"/>
  <c r="C34" i="37" s="1"/>
  <c r="D34" i="37" s="1"/>
  <c r="E28" i="55"/>
  <c r="D28" i="55" s="1"/>
  <c r="C28" i="55" s="1"/>
  <c r="C34" i="55" s="1"/>
  <c r="D34" i="55" s="1"/>
  <c r="E27" i="41"/>
  <c r="D27" i="41" s="1"/>
  <c r="C27" i="41" s="1"/>
  <c r="C33" i="41" s="1"/>
  <c r="D33" i="41" s="1"/>
  <c r="E27" i="58"/>
  <c r="D27" i="58" s="1"/>
  <c r="C27" i="58" s="1"/>
  <c r="C33" i="58" s="1"/>
  <c r="E29" i="44"/>
  <c r="D29" i="44" s="1"/>
  <c r="C29" i="44" s="1"/>
  <c r="C35" i="44" s="1"/>
  <c r="E26" i="32"/>
  <c r="D26" i="32" s="1"/>
  <c r="C26" i="32" s="1"/>
  <c r="C32" i="32" s="1"/>
  <c r="E26" i="50"/>
  <c r="D26" i="50" s="1"/>
  <c r="C26" i="50" s="1"/>
  <c r="C32" i="50" s="1"/>
  <c r="E28" i="34"/>
  <c r="D28" i="34" s="1"/>
  <c r="C28" i="34" s="1"/>
  <c r="C34" i="34" s="1"/>
  <c r="E28" i="53"/>
  <c r="D28" i="53" s="1"/>
  <c r="C28" i="53" s="1"/>
  <c r="C34" i="53" s="1"/>
  <c r="E27" i="37"/>
  <c r="D27" i="37" s="1"/>
  <c r="C27" i="37" s="1"/>
  <c r="C33" i="37" s="1"/>
  <c r="E27" i="55"/>
  <c r="D27" i="55" s="1"/>
  <c r="C27" i="55" s="1"/>
  <c r="C33" i="55" s="1"/>
  <c r="D33" i="55" s="1"/>
  <c r="E29" i="41"/>
  <c r="D29" i="41" s="1"/>
  <c r="C29" i="41" s="1"/>
  <c r="C35" i="41" s="1"/>
  <c r="D35" i="41" s="1"/>
  <c r="E29" i="58"/>
  <c r="D29" i="58" s="1"/>
  <c r="C29" i="58" s="1"/>
  <c r="C35" i="58" s="1"/>
  <c r="E26" i="46"/>
  <c r="D26" i="46" s="1"/>
  <c r="C26" i="46" s="1"/>
  <c r="C32" i="46" s="1"/>
  <c r="E28" i="32"/>
  <c r="D28" i="32" s="1"/>
  <c r="C28" i="32" s="1"/>
  <c r="C34" i="32" s="1"/>
  <c r="E28" i="50"/>
  <c r="D28" i="50" s="1"/>
  <c r="C28" i="50" s="1"/>
  <c r="C34" i="50" s="1"/>
  <c r="E27" i="34"/>
  <c r="D27" i="34" s="1"/>
  <c r="C27" i="34" s="1"/>
  <c r="C33" i="34" s="1"/>
  <c r="E27" i="53"/>
  <c r="D27" i="53" s="1"/>
  <c r="C27" i="53" s="1"/>
  <c r="C33" i="53" s="1"/>
  <c r="E29" i="37"/>
  <c r="D29" i="37" s="1"/>
  <c r="C29" i="37" s="1"/>
  <c r="C35" i="37" s="1"/>
  <c r="D35" i="37" s="1"/>
  <c r="E29" i="55"/>
  <c r="D29" i="55" s="1"/>
  <c r="C29" i="55" s="1"/>
  <c r="C35" i="55" s="1"/>
  <c r="C23" i="31"/>
  <c r="C12" i="26"/>
  <c r="C23" i="67" s="1"/>
  <c r="C29" i="67" s="1"/>
  <c r="C29" i="59"/>
  <c r="C35" i="59" s="1"/>
  <c r="D35" i="59" s="1"/>
  <c r="C28" i="59"/>
  <c r="C34" i="59" s="1"/>
  <c r="E26" i="47"/>
  <c r="D26" i="47" s="1"/>
  <c r="C26" i="47" s="1"/>
  <c r="C32" i="47" s="1"/>
  <c r="D35" i="47" s="1"/>
  <c r="E28" i="33"/>
  <c r="D28" i="33" s="1"/>
  <c r="C28" i="33" s="1"/>
  <c r="C34" i="33" s="1"/>
  <c r="E28" i="52"/>
  <c r="D28" i="52" s="1"/>
  <c r="C28" i="52" s="1"/>
  <c r="C34" i="52" s="1"/>
  <c r="E27" i="35"/>
  <c r="D27" i="35" s="1"/>
  <c r="C27" i="35" s="1"/>
  <c r="C33" i="35" s="1"/>
  <c r="E27" i="62"/>
  <c r="D27" i="62" s="1"/>
  <c r="C27" i="62" s="1"/>
  <c r="C33" i="62" s="1"/>
  <c r="E29" i="38"/>
  <c r="D29" i="38" s="1"/>
  <c r="C29" i="38" s="1"/>
  <c r="C35" i="38" s="1"/>
  <c r="E29" i="56"/>
  <c r="D29" i="56" s="1"/>
  <c r="C29" i="56" s="1"/>
  <c r="C35" i="56" s="1"/>
  <c r="E26" i="38"/>
  <c r="D26" i="38" s="1"/>
  <c r="C26" i="38" s="1"/>
  <c r="C32" i="38" s="1"/>
  <c r="E26" i="56"/>
  <c r="D26" i="56" s="1"/>
  <c r="C26" i="56" s="1"/>
  <c r="C32" i="56" s="1"/>
  <c r="E28" i="42"/>
  <c r="D28" i="42" s="1"/>
  <c r="C28" i="42" s="1"/>
  <c r="C34" i="42" s="1"/>
  <c r="E27" i="46"/>
  <c r="D27" i="46" s="1"/>
  <c r="C27" i="46" s="1"/>
  <c r="C33" i="46" s="1"/>
  <c r="E29" i="32"/>
  <c r="D29" i="32" s="1"/>
  <c r="C29" i="32" s="1"/>
  <c r="C35" i="32" s="1"/>
  <c r="D35" i="32" s="1"/>
  <c r="E29" i="50"/>
  <c r="D29" i="50" s="1"/>
  <c r="C29" i="50" s="1"/>
  <c r="C35" i="50" s="1"/>
  <c r="E26" i="35"/>
  <c r="D26" i="35" s="1"/>
  <c r="C26" i="35" s="1"/>
  <c r="C32" i="35" s="1"/>
  <c r="E26" i="62"/>
  <c r="D26" i="62" s="1"/>
  <c r="C32" i="62" s="1"/>
  <c r="E28" i="38"/>
  <c r="D28" i="38" s="1"/>
  <c r="C28" i="38" s="1"/>
  <c r="C34" i="38" s="1"/>
  <c r="D34" i="38" s="1"/>
  <c r="E28" i="56"/>
  <c r="D28" i="56" s="1"/>
  <c r="C28" i="56" s="1"/>
  <c r="C34" i="56" s="1"/>
  <c r="D34" i="56" s="1"/>
  <c r="E27" i="42"/>
  <c r="D27" i="42" s="1"/>
  <c r="C27" i="42" s="1"/>
  <c r="C33" i="42" s="1"/>
  <c r="E27" i="59"/>
  <c r="D27" i="59" s="1"/>
  <c r="C27" i="59" s="1"/>
  <c r="C33" i="59" s="1"/>
  <c r="D33" i="59" s="1"/>
  <c r="E29" i="46"/>
  <c r="D29" i="46" s="1"/>
  <c r="C29" i="46" s="1"/>
  <c r="C35" i="46" s="1"/>
  <c r="E26" i="33"/>
  <c r="D26" i="33" s="1"/>
  <c r="C26" i="33" s="1"/>
  <c r="C32" i="33" s="1"/>
  <c r="E26" i="52"/>
  <c r="D26" i="52" s="1"/>
  <c r="C26" i="52" s="1"/>
  <c r="C32" i="52" s="1"/>
  <c r="E28" i="35"/>
  <c r="D28" i="35" s="1"/>
  <c r="C28" i="35" s="1"/>
  <c r="C34" i="35" s="1"/>
  <c r="E28" i="62"/>
  <c r="D28" i="62" s="1"/>
  <c r="C28" i="62" s="1"/>
  <c r="C34" i="62" s="1"/>
  <c r="E27" i="38"/>
  <c r="D27" i="38" s="1"/>
  <c r="C27" i="38" s="1"/>
  <c r="C33" i="38" s="1"/>
  <c r="E27" i="56"/>
  <c r="D27" i="56" s="1"/>
  <c r="C27" i="56" s="1"/>
  <c r="C33" i="56" s="1"/>
  <c r="D33" i="56" s="1"/>
  <c r="E29" i="42"/>
  <c r="D29" i="42" s="1"/>
  <c r="C29" i="42" s="1"/>
  <c r="C35" i="42" s="1"/>
  <c r="D9" i="26"/>
  <c r="D20" i="67" s="1"/>
  <c r="D26" i="67" s="1"/>
  <c r="D20" i="31"/>
  <c r="D5" i="18"/>
  <c r="E334" i="67"/>
  <c r="D334" i="67"/>
  <c r="C334" i="67"/>
  <c r="F27" i="31"/>
  <c r="C34" i="31"/>
  <c r="D33" i="62" l="1"/>
  <c r="E27" i="31"/>
  <c r="D27" i="31" s="1"/>
  <c r="C27" i="31" s="1"/>
  <c r="C33" i="31" s="1"/>
  <c r="D34" i="60"/>
  <c r="D33" i="44"/>
  <c r="D33" i="39"/>
  <c r="D35" i="53"/>
  <c r="D34" i="35"/>
  <c r="D34" i="32"/>
  <c r="D34" i="57"/>
  <c r="D33" i="57"/>
  <c r="D35" i="42"/>
  <c r="C35" i="67"/>
  <c r="D33" i="38"/>
  <c r="D35" i="50"/>
  <c r="D33" i="34"/>
  <c r="D33" i="32"/>
  <c r="D35" i="56"/>
  <c r="D34" i="53"/>
  <c r="D35" i="34"/>
  <c r="D34" i="59"/>
  <c r="D33" i="37"/>
  <c r="C33" i="67"/>
  <c r="D33" i="60"/>
  <c r="D35" i="54"/>
  <c r="D33" i="47"/>
  <c r="D33" i="33"/>
  <c r="D35" i="60"/>
  <c r="D34" i="54"/>
  <c r="D34" i="62"/>
  <c r="D34" i="50"/>
  <c r="D34" i="34"/>
  <c r="D33" i="50"/>
  <c r="D33" i="42"/>
  <c r="D35" i="62"/>
  <c r="D34" i="47"/>
  <c r="D34" i="36"/>
  <c r="C34" i="67"/>
  <c r="D35" i="35"/>
  <c r="C32" i="67"/>
  <c r="D33" i="35"/>
  <c r="D34" i="42"/>
  <c r="D35" i="38"/>
  <c r="D34" i="33"/>
  <c r="D33" i="53"/>
  <c r="D34" i="41"/>
  <c r="D35" i="44"/>
  <c r="D33" i="36"/>
  <c r="D29" i="31"/>
  <c r="C29" i="31" s="1"/>
  <c r="C35" i="31" s="1"/>
  <c r="D35" i="55"/>
  <c r="D34" i="39"/>
  <c r="D35" i="57"/>
  <c r="F26" i="31"/>
  <c r="E26" i="31" s="1"/>
  <c r="D26" i="31" s="1"/>
  <c r="C26" i="31" s="1"/>
  <c r="C32" i="31" s="1"/>
  <c r="D35" i="67" l="1"/>
  <c r="D33" i="67"/>
  <c r="D34" i="67"/>
  <c r="B445" i="5"/>
  <c r="N444" i="5"/>
  <c r="M444" i="5"/>
  <c r="L444" i="5"/>
  <c r="K444" i="5"/>
  <c r="J444" i="5"/>
  <c r="I444" i="5"/>
  <c r="H444" i="5"/>
  <c r="G444" i="5"/>
  <c r="F444" i="5"/>
  <c r="E444" i="5"/>
  <c r="N443" i="5" l="1"/>
  <c r="M443" i="5"/>
  <c r="L443" i="5"/>
  <c r="K443" i="5"/>
  <c r="J443" i="5"/>
  <c r="I443" i="5"/>
  <c r="H443" i="5"/>
  <c r="G443" i="5"/>
  <c r="F443" i="5"/>
  <c r="E443" i="5"/>
  <c r="N442" i="5"/>
  <c r="M442" i="5"/>
  <c r="L442" i="5"/>
  <c r="K442" i="5"/>
  <c r="J442" i="5"/>
  <c r="I442" i="5"/>
  <c r="H442" i="5"/>
  <c r="G442" i="5"/>
  <c r="F442" i="5"/>
  <c r="E442" i="5"/>
  <c r="N441" i="5"/>
  <c r="M441" i="5"/>
  <c r="L441" i="5"/>
  <c r="K441" i="5"/>
  <c r="J441" i="5"/>
  <c r="I441" i="5"/>
  <c r="H441" i="5"/>
  <c r="G441" i="5"/>
  <c r="F441" i="5"/>
  <c r="E441" i="5"/>
  <c r="N440" i="5"/>
  <c r="M440" i="5"/>
  <c r="L440" i="5"/>
  <c r="K440" i="5"/>
  <c r="J440" i="5"/>
  <c r="I440" i="5"/>
  <c r="H440" i="5"/>
  <c r="G440" i="5"/>
  <c r="F440" i="5"/>
  <c r="E440" i="5"/>
  <c r="N439" i="5"/>
  <c r="M439" i="5"/>
  <c r="L439" i="5"/>
  <c r="K439" i="5"/>
  <c r="J439" i="5"/>
  <c r="I439" i="5"/>
  <c r="H439" i="5"/>
  <c r="G439" i="5"/>
  <c r="F439" i="5"/>
  <c r="E439" i="5"/>
  <c r="N438" i="5"/>
  <c r="M438" i="5"/>
  <c r="L438" i="5"/>
  <c r="K438" i="5"/>
  <c r="J438" i="5"/>
  <c r="I438" i="5"/>
  <c r="H438" i="5"/>
  <c r="G438" i="5"/>
  <c r="F438" i="5"/>
  <c r="E438" i="5"/>
  <c r="N437" i="5"/>
  <c r="M437" i="5"/>
  <c r="L437" i="5"/>
  <c r="K437" i="5"/>
  <c r="J437" i="5"/>
  <c r="I437" i="5"/>
  <c r="H437" i="5"/>
  <c r="G437" i="5"/>
  <c r="F437" i="5"/>
  <c r="E437" i="5"/>
  <c r="N436" i="5"/>
  <c r="M436" i="5"/>
  <c r="L436" i="5"/>
  <c r="K436" i="5"/>
  <c r="J436" i="5"/>
  <c r="I436" i="5"/>
  <c r="H436" i="5"/>
  <c r="G436" i="5"/>
  <c r="F436" i="5"/>
  <c r="E436" i="5"/>
  <c r="N435" i="5"/>
  <c r="M435" i="5"/>
  <c r="L435" i="5"/>
  <c r="K435" i="5"/>
  <c r="J435" i="5"/>
  <c r="I435" i="5"/>
  <c r="H435" i="5"/>
  <c r="G435" i="5"/>
  <c r="F435" i="5"/>
  <c r="E435" i="5"/>
  <c r="N434" i="5"/>
  <c r="M434" i="5"/>
  <c r="L434" i="5"/>
  <c r="K434" i="5"/>
  <c r="J434" i="5"/>
  <c r="I434" i="5"/>
  <c r="H434" i="5"/>
  <c r="G434" i="5"/>
  <c r="F434" i="5"/>
  <c r="E434" i="5"/>
  <c r="N433" i="5"/>
  <c r="M433" i="5"/>
  <c r="L433" i="5"/>
  <c r="K433" i="5"/>
  <c r="J433" i="5"/>
  <c r="I433" i="5"/>
  <c r="H433" i="5"/>
  <c r="G433" i="5"/>
  <c r="F433" i="5"/>
  <c r="E433" i="5"/>
  <c r="N432" i="5"/>
  <c r="M432" i="5"/>
  <c r="L432" i="5"/>
  <c r="K432" i="5"/>
  <c r="J432" i="5"/>
  <c r="I432" i="5"/>
  <c r="H432" i="5"/>
  <c r="G432" i="5"/>
  <c r="F432" i="5"/>
  <c r="E432" i="5"/>
  <c r="N431" i="5"/>
  <c r="M431" i="5"/>
  <c r="L431" i="5"/>
  <c r="K431" i="5"/>
  <c r="J431" i="5"/>
  <c r="I431" i="5"/>
  <c r="H431" i="5"/>
  <c r="G431" i="5"/>
  <c r="F431" i="5"/>
  <c r="E431" i="5"/>
  <c r="N430" i="5"/>
  <c r="M430" i="5"/>
  <c r="L430" i="5"/>
  <c r="K430" i="5"/>
  <c r="J430" i="5"/>
  <c r="I430" i="5"/>
  <c r="H430" i="5"/>
  <c r="G430" i="5"/>
  <c r="F430" i="5"/>
  <c r="E430" i="5"/>
  <c r="N429" i="5"/>
  <c r="M429" i="5"/>
  <c r="L429" i="5"/>
  <c r="K429" i="5"/>
  <c r="J429" i="5"/>
  <c r="I429" i="5"/>
  <c r="H429" i="5"/>
  <c r="G429" i="5"/>
  <c r="F429" i="5"/>
  <c r="E429" i="5"/>
  <c r="N428" i="5"/>
  <c r="M428" i="5"/>
  <c r="L428" i="5"/>
  <c r="K428" i="5"/>
  <c r="J428" i="5"/>
  <c r="I428" i="5"/>
  <c r="H428" i="5"/>
  <c r="G428" i="5"/>
  <c r="F428" i="5"/>
  <c r="E428" i="5"/>
  <c r="N427" i="5"/>
  <c r="M427" i="5"/>
  <c r="L427" i="5"/>
  <c r="K427" i="5"/>
  <c r="J427" i="5"/>
  <c r="I427" i="5"/>
  <c r="H427" i="5"/>
  <c r="G427" i="5"/>
  <c r="F427" i="5"/>
  <c r="E427" i="5"/>
  <c r="N426" i="5"/>
  <c r="M426" i="5"/>
  <c r="L426" i="5"/>
  <c r="K426" i="5"/>
  <c r="J426" i="5"/>
  <c r="I426" i="5"/>
  <c r="H426" i="5"/>
  <c r="G426" i="5"/>
  <c r="F426" i="5"/>
  <c r="E426" i="5"/>
  <c r="N425" i="5"/>
  <c r="M425" i="5"/>
  <c r="L425" i="5"/>
  <c r="K425" i="5"/>
  <c r="J425" i="5"/>
  <c r="I425" i="5"/>
  <c r="H425" i="5"/>
  <c r="G425" i="5"/>
  <c r="F425" i="5"/>
  <c r="E425" i="5"/>
  <c r="N424" i="5"/>
  <c r="M424" i="5"/>
  <c r="L424" i="5"/>
  <c r="K424" i="5"/>
  <c r="J424" i="5"/>
  <c r="I424" i="5"/>
  <c r="H424" i="5"/>
  <c r="G424" i="5"/>
  <c r="F424" i="5"/>
  <c r="E424" i="5"/>
  <c r="N423" i="5"/>
  <c r="M423" i="5"/>
  <c r="L423" i="5"/>
  <c r="K423" i="5"/>
  <c r="J423" i="5"/>
  <c r="I423" i="5"/>
  <c r="H423" i="5"/>
  <c r="G423" i="5"/>
  <c r="F423" i="5"/>
  <c r="E423" i="5"/>
  <c r="N422" i="5"/>
  <c r="M422" i="5"/>
  <c r="L422" i="5"/>
  <c r="K422" i="5"/>
  <c r="J422" i="5"/>
  <c r="I422" i="5"/>
  <c r="H422" i="5"/>
  <c r="G422" i="5"/>
  <c r="F422" i="5"/>
  <c r="E422" i="5"/>
  <c r="N421" i="5"/>
  <c r="M421" i="5"/>
  <c r="L421" i="5"/>
  <c r="K421" i="5"/>
  <c r="J421" i="5"/>
  <c r="I421" i="5"/>
  <c r="H421" i="5"/>
  <c r="G421" i="5"/>
  <c r="F421" i="5"/>
  <c r="E421" i="5"/>
  <c r="N420" i="5"/>
  <c r="M420" i="5"/>
  <c r="L420" i="5"/>
  <c r="K420" i="5"/>
  <c r="J420" i="5"/>
  <c r="I420" i="5"/>
  <c r="H420" i="5"/>
  <c r="G420" i="5"/>
  <c r="F420" i="5"/>
  <c r="E420" i="5"/>
  <c r="N419" i="5"/>
  <c r="M419" i="5"/>
  <c r="L419" i="5"/>
  <c r="K419" i="5"/>
  <c r="J419" i="5"/>
  <c r="I419" i="5"/>
  <c r="H419" i="5"/>
  <c r="G419" i="5"/>
  <c r="F419" i="5"/>
  <c r="E419" i="5"/>
  <c r="N418" i="5"/>
  <c r="M418" i="5"/>
  <c r="L418" i="5"/>
  <c r="K418" i="5"/>
  <c r="J418" i="5"/>
  <c r="I418" i="5"/>
  <c r="H418" i="5"/>
  <c r="G418" i="5"/>
  <c r="F418" i="5"/>
  <c r="E418" i="5"/>
  <c r="N417" i="5"/>
  <c r="M417" i="5"/>
  <c r="L417" i="5"/>
  <c r="K417" i="5"/>
  <c r="J417" i="5"/>
  <c r="I417" i="5"/>
  <c r="H417" i="5"/>
  <c r="G417" i="5"/>
  <c r="F417" i="5"/>
  <c r="E417" i="5"/>
  <c r="N416" i="5"/>
  <c r="M416" i="5"/>
  <c r="L416" i="5"/>
  <c r="K416" i="5"/>
  <c r="J416" i="5"/>
  <c r="I416" i="5"/>
  <c r="H416" i="5"/>
  <c r="G416" i="5"/>
  <c r="F416" i="5"/>
  <c r="E416" i="5"/>
  <c r="N415" i="5"/>
  <c r="M415" i="5"/>
  <c r="L415" i="5"/>
  <c r="K415" i="5"/>
  <c r="J415" i="5"/>
  <c r="I415" i="5"/>
  <c r="H415" i="5"/>
  <c r="G415" i="5"/>
  <c r="F415" i="5"/>
  <c r="E415" i="5"/>
  <c r="N414" i="5"/>
  <c r="M414" i="5"/>
  <c r="L414" i="5"/>
  <c r="K414" i="5"/>
  <c r="J414" i="5"/>
  <c r="I414" i="5"/>
  <c r="H414" i="5"/>
  <c r="G414" i="5"/>
  <c r="F414" i="5"/>
  <c r="E414" i="5"/>
  <c r="N413" i="5"/>
  <c r="M413" i="5"/>
  <c r="L413" i="5"/>
  <c r="K413" i="5"/>
  <c r="J413" i="5"/>
  <c r="I413" i="5"/>
  <c r="H413" i="5"/>
  <c r="G413" i="5"/>
  <c r="F413" i="5"/>
  <c r="E413" i="5"/>
  <c r="N412" i="5"/>
  <c r="M412" i="5"/>
  <c r="L412" i="5"/>
  <c r="K412" i="5"/>
  <c r="J412" i="5"/>
  <c r="I412" i="5"/>
  <c r="H412" i="5"/>
  <c r="G412" i="5"/>
  <c r="F412" i="5"/>
  <c r="E412" i="5"/>
  <c r="N411" i="5"/>
  <c r="M411" i="5"/>
  <c r="L411" i="5"/>
  <c r="K411" i="5"/>
  <c r="J411" i="5"/>
  <c r="I411" i="5"/>
  <c r="H411" i="5"/>
  <c r="G411" i="5"/>
  <c r="F411" i="5"/>
  <c r="E411" i="5"/>
  <c r="N410" i="5"/>
  <c r="M410" i="5"/>
  <c r="L410" i="5"/>
  <c r="K410" i="5"/>
  <c r="J410" i="5"/>
  <c r="I410" i="5"/>
  <c r="H410" i="5"/>
  <c r="G410" i="5"/>
  <c r="F410" i="5"/>
  <c r="E410" i="5"/>
  <c r="N399" i="5"/>
  <c r="M399" i="5"/>
  <c r="L399" i="5"/>
  <c r="K399" i="5"/>
  <c r="J399" i="5"/>
  <c r="I399" i="5"/>
  <c r="H399" i="5"/>
  <c r="G399" i="5"/>
  <c r="F399" i="5"/>
  <c r="E399" i="5"/>
  <c r="N398" i="5"/>
  <c r="M398" i="5"/>
  <c r="L398" i="5"/>
  <c r="K398" i="5"/>
  <c r="J398" i="5"/>
  <c r="I398" i="5"/>
  <c r="H398" i="5"/>
  <c r="G398" i="5"/>
  <c r="F398" i="5"/>
  <c r="E398" i="5"/>
  <c r="N397" i="5"/>
  <c r="M397" i="5"/>
  <c r="L397" i="5"/>
  <c r="K397" i="5"/>
  <c r="J397" i="5"/>
  <c r="I397" i="5"/>
  <c r="H397" i="5"/>
  <c r="G397" i="5"/>
  <c r="F397" i="5"/>
  <c r="E397" i="5"/>
  <c r="N396" i="5"/>
  <c r="M396" i="5"/>
  <c r="L396" i="5"/>
  <c r="K396" i="5"/>
  <c r="J396" i="5"/>
  <c r="I396" i="5"/>
  <c r="H396" i="5"/>
  <c r="G396" i="5"/>
  <c r="F396" i="5"/>
  <c r="E396" i="5"/>
  <c r="N395" i="5"/>
  <c r="M395" i="5"/>
  <c r="L395" i="5"/>
  <c r="K395" i="5"/>
  <c r="J395" i="5"/>
  <c r="I395" i="5"/>
  <c r="H395" i="5"/>
  <c r="G395" i="5"/>
  <c r="F395" i="5"/>
  <c r="E395" i="5"/>
  <c r="N394" i="5"/>
  <c r="M394" i="5"/>
  <c r="L394" i="5"/>
  <c r="K394" i="5"/>
  <c r="J394" i="5"/>
  <c r="I394" i="5"/>
  <c r="H394" i="5"/>
  <c r="G394" i="5"/>
  <c r="F394" i="5"/>
  <c r="E394" i="5"/>
  <c r="N393" i="5"/>
  <c r="M393" i="5"/>
  <c r="L393" i="5"/>
  <c r="K393" i="5"/>
  <c r="J393" i="5"/>
  <c r="I393" i="5"/>
  <c r="H393" i="5"/>
  <c r="G393" i="5"/>
  <c r="F393" i="5"/>
  <c r="E393" i="5"/>
  <c r="N392" i="5"/>
  <c r="M392" i="5"/>
  <c r="L392" i="5"/>
  <c r="K392" i="5"/>
  <c r="J392" i="5"/>
  <c r="I392" i="5"/>
  <c r="H392" i="5"/>
  <c r="G392" i="5"/>
  <c r="F392" i="5"/>
  <c r="E392" i="5"/>
  <c r="N391" i="5"/>
  <c r="M391" i="5"/>
  <c r="L391" i="5"/>
  <c r="K391" i="5"/>
  <c r="J391" i="5"/>
  <c r="I391" i="5"/>
  <c r="H391" i="5"/>
  <c r="G391" i="5"/>
  <c r="F391" i="5"/>
  <c r="E391" i="5"/>
  <c r="N390" i="5"/>
  <c r="M390" i="5"/>
  <c r="L390" i="5"/>
  <c r="K390" i="5"/>
  <c r="J390" i="5"/>
  <c r="I390" i="5"/>
  <c r="H390" i="5"/>
  <c r="G390" i="5"/>
  <c r="F390" i="5"/>
  <c r="E390" i="5"/>
  <c r="N389" i="5"/>
  <c r="M389" i="5"/>
  <c r="L389" i="5"/>
  <c r="K389" i="5"/>
  <c r="J389" i="5"/>
  <c r="I389" i="5"/>
  <c r="H389" i="5"/>
  <c r="G389" i="5"/>
  <c r="F389" i="5"/>
  <c r="E389" i="5"/>
  <c r="N388" i="5"/>
  <c r="M388" i="5"/>
  <c r="L388" i="5"/>
  <c r="K388" i="5"/>
  <c r="J388" i="5"/>
  <c r="I388" i="5"/>
  <c r="H388" i="5"/>
  <c r="G388" i="5"/>
  <c r="F388" i="5"/>
  <c r="E388" i="5"/>
  <c r="N387" i="5"/>
  <c r="M387" i="5"/>
  <c r="L387" i="5"/>
  <c r="K387" i="5"/>
  <c r="J387" i="5"/>
  <c r="I387" i="5"/>
  <c r="H387" i="5"/>
  <c r="G387" i="5"/>
  <c r="F387" i="5"/>
  <c r="E387" i="5"/>
  <c r="N386" i="5"/>
  <c r="M386" i="5"/>
  <c r="L386" i="5"/>
  <c r="K386" i="5"/>
  <c r="J386" i="5"/>
  <c r="I386" i="5"/>
  <c r="H386" i="5"/>
  <c r="G386" i="5"/>
  <c r="F386" i="5"/>
  <c r="E386" i="5"/>
  <c r="N385" i="5"/>
  <c r="M385" i="5"/>
  <c r="L385" i="5"/>
  <c r="K385" i="5"/>
  <c r="J385" i="5"/>
  <c r="I385" i="5"/>
  <c r="H385" i="5"/>
  <c r="G385" i="5"/>
  <c r="F385" i="5"/>
  <c r="E385" i="5"/>
  <c r="N384" i="5"/>
  <c r="M384" i="5"/>
  <c r="L384" i="5"/>
  <c r="K384" i="5"/>
  <c r="J384" i="5"/>
  <c r="I384" i="5"/>
  <c r="H384" i="5"/>
  <c r="G384" i="5"/>
  <c r="F384" i="5"/>
  <c r="E384" i="5"/>
  <c r="N383" i="5"/>
  <c r="M383" i="5"/>
  <c r="L383" i="5"/>
  <c r="K383" i="5"/>
  <c r="J383" i="5"/>
  <c r="I383" i="5"/>
  <c r="H383" i="5"/>
  <c r="G383" i="5"/>
  <c r="F383" i="5"/>
  <c r="E383" i="5"/>
  <c r="N382" i="5"/>
  <c r="M382" i="5"/>
  <c r="L382" i="5"/>
  <c r="K382" i="5"/>
  <c r="J382" i="5"/>
  <c r="I382" i="5"/>
  <c r="H382" i="5"/>
  <c r="G382" i="5"/>
  <c r="F382" i="5"/>
  <c r="E382" i="5"/>
  <c r="N381" i="5"/>
  <c r="M381" i="5"/>
  <c r="L381" i="5"/>
  <c r="K381" i="5"/>
  <c r="J381" i="5"/>
  <c r="I381" i="5"/>
  <c r="H381" i="5"/>
  <c r="G381" i="5"/>
  <c r="F381" i="5"/>
  <c r="E381" i="5"/>
  <c r="N380" i="5"/>
  <c r="M380" i="5"/>
  <c r="L380" i="5"/>
  <c r="K380" i="5"/>
  <c r="J380" i="5"/>
  <c r="I380" i="5"/>
  <c r="H380" i="5"/>
  <c r="G380" i="5"/>
  <c r="F380" i="5"/>
  <c r="E380" i="5"/>
  <c r="N379" i="5"/>
  <c r="M379" i="5"/>
  <c r="L379" i="5"/>
  <c r="K379" i="5"/>
  <c r="J379" i="5"/>
  <c r="I379" i="5"/>
  <c r="H379" i="5"/>
  <c r="G379" i="5"/>
  <c r="F379" i="5"/>
  <c r="E379" i="5"/>
  <c r="N378" i="5"/>
  <c r="M378" i="5"/>
  <c r="L378" i="5"/>
  <c r="K378" i="5"/>
  <c r="J378" i="5"/>
  <c r="I378" i="5"/>
  <c r="H378" i="5"/>
  <c r="G378" i="5"/>
  <c r="F378" i="5"/>
  <c r="E378" i="5"/>
  <c r="N377" i="5"/>
  <c r="M377" i="5"/>
  <c r="L377" i="5"/>
  <c r="K377" i="5"/>
  <c r="J377" i="5"/>
  <c r="I377" i="5"/>
  <c r="H377" i="5"/>
  <c r="G377" i="5"/>
  <c r="F377" i="5"/>
  <c r="E377" i="5"/>
  <c r="N376" i="5"/>
  <c r="M376" i="5"/>
  <c r="L376" i="5"/>
  <c r="K376" i="5"/>
  <c r="J376" i="5"/>
  <c r="I376" i="5"/>
  <c r="H376" i="5"/>
  <c r="G376" i="5"/>
  <c r="F376" i="5"/>
  <c r="E376" i="5"/>
  <c r="N375" i="5"/>
  <c r="M375" i="5"/>
  <c r="L375" i="5"/>
  <c r="K375" i="5"/>
  <c r="J375" i="5"/>
  <c r="I375" i="5"/>
  <c r="H375" i="5"/>
  <c r="G375" i="5"/>
  <c r="F375" i="5"/>
  <c r="E375" i="5"/>
  <c r="N374" i="5"/>
  <c r="M374" i="5"/>
  <c r="L374" i="5"/>
  <c r="K374" i="5"/>
  <c r="J374" i="5"/>
  <c r="I374" i="5"/>
  <c r="H374" i="5"/>
  <c r="G374" i="5"/>
  <c r="F374" i="5"/>
  <c r="E374" i="5"/>
  <c r="N373" i="5"/>
  <c r="M373" i="5"/>
  <c r="L373" i="5"/>
  <c r="K373" i="5"/>
  <c r="J373" i="5"/>
  <c r="I373" i="5"/>
  <c r="H373" i="5"/>
  <c r="G373" i="5"/>
  <c r="F373" i="5"/>
  <c r="E373" i="5"/>
  <c r="N372" i="5"/>
  <c r="M372" i="5"/>
  <c r="L372" i="5"/>
  <c r="K372" i="5"/>
  <c r="J372" i="5"/>
  <c r="I372" i="5"/>
  <c r="H372" i="5"/>
  <c r="G372" i="5"/>
  <c r="F372" i="5"/>
  <c r="E372" i="5"/>
  <c r="N371" i="5"/>
  <c r="M371" i="5"/>
  <c r="L371" i="5"/>
  <c r="K371" i="5"/>
  <c r="J371" i="5"/>
  <c r="I371" i="5"/>
  <c r="H371" i="5"/>
  <c r="G371" i="5"/>
  <c r="F371" i="5"/>
  <c r="E371" i="5"/>
  <c r="N370" i="5"/>
  <c r="M370" i="5"/>
  <c r="L370" i="5"/>
  <c r="K370" i="5"/>
  <c r="J370" i="5"/>
  <c r="I370" i="5"/>
  <c r="H370" i="5"/>
  <c r="G370" i="5"/>
  <c r="F370" i="5"/>
  <c r="E370" i="5"/>
  <c r="N369" i="5"/>
  <c r="M369" i="5"/>
  <c r="L369" i="5"/>
  <c r="K369" i="5"/>
  <c r="J369" i="5"/>
  <c r="I369" i="5"/>
  <c r="H369" i="5"/>
  <c r="G369" i="5"/>
  <c r="F369" i="5"/>
  <c r="E369" i="5"/>
  <c r="N368" i="5"/>
  <c r="M368" i="5"/>
  <c r="L368" i="5"/>
  <c r="K368" i="5"/>
  <c r="J368" i="5"/>
  <c r="I368" i="5"/>
  <c r="H368" i="5"/>
  <c r="G368" i="5"/>
  <c r="F368" i="5"/>
  <c r="E368" i="5"/>
  <c r="N367" i="5"/>
  <c r="M367" i="5"/>
  <c r="L367" i="5"/>
  <c r="K367" i="5"/>
  <c r="J367" i="5"/>
  <c r="I367" i="5"/>
  <c r="H367" i="5"/>
  <c r="G367" i="5"/>
  <c r="F367" i="5"/>
  <c r="E367" i="5"/>
  <c r="N366" i="5"/>
  <c r="M366" i="5"/>
  <c r="L366" i="5"/>
  <c r="K366" i="5"/>
  <c r="J366" i="5"/>
  <c r="I366" i="5"/>
  <c r="H366" i="5"/>
  <c r="G366" i="5"/>
  <c r="F366" i="5"/>
  <c r="E366" i="5"/>
  <c r="N365" i="5"/>
  <c r="M365" i="5"/>
  <c r="L365" i="5"/>
  <c r="K365" i="5"/>
  <c r="J365" i="5"/>
  <c r="I365" i="5"/>
  <c r="H365" i="5"/>
  <c r="G365" i="5"/>
  <c r="F365" i="5"/>
  <c r="E365" i="5"/>
  <c r="N364" i="5"/>
  <c r="M364" i="5"/>
  <c r="L364" i="5"/>
  <c r="K364" i="5"/>
  <c r="J364" i="5"/>
  <c r="I364" i="5"/>
  <c r="H364" i="5"/>
  <c r="G364" i="5"/>
  <c r="F364" i="5"/>
  <c r="E364" i="5"/>
  <c r="N363" i="5"/>
  <c r="M363" i="5"/>
  <c r="L363" i="5"/>
  <c r="K363" i="5"/>
  <c r="J363" i="5"/>
  <c r="I363" i="5"/>
  <c r="H363" i="5"/>
  <c r="G363" i="5"/>
  <c r="F363" i="5"/>
  <c r="E363" i="5"/>
  <c r="N362" i="5"/>
  <c r="M362" i="5"/>
  <c r="L362" i="5"/>
  <c r="K362" i="5"/>
  <c r="J362" i="5"/>
  <c r="I362" i="5"/>
  <c r="H362" i="5"/>
  <c r="G362" i="5"/>
  <c r="F362" i="5"/>
  <c r="E362" i="5"/>
  <c r="N361" i="5"/>
  <c r="M361" i="5"/>
  <c r="L361" i="5"/>
  <c r="K361" i="5"/>
  <c r="J361" i="5"/>
  <c r="I361" i="5"/>
  <c r="H361" i="5"/>
  <c r="G361" i="5"/>
  <c r="F361" i="5"/>
  <c r="E361" i="5"/>
  <c r="N360" i="5"/>
  <c r="M360" i="5"/>
  <c r="L360" i="5"/>
  <c r="K360" i="5"/>
  <c r="J360" i="5"/>
  <c r="I360" i="5"/>
  <c r="H360" i="5"/>
  <c r="G360" i="5"/>
  <c r="F360" i="5"/>
  <c r="E360" i="5"/>
  <c r="N359" i="5"/>
  <c r="M359" i="5"/>
  <c r="L359" i="5"/>
  <c r="K359" i="5"/>
  <c r="J359" i="5"/>
  <c r="I359" i="5"/>
  <c r="H359" i="5"/>
  <c r="G359" i="5"/>
  <c r="F359" i="5"/>
  <c r="E359" i="5"/>
  <c r="N358" i="5"/>
  <c r="M358" i="5"/>
  <c r="L358" i="5"/>
  <c r="K358" i="5"/>
  <c r="J358" i="5"/>
  <c r="I358" i="5"/>
  <c r="H358" i="5"/>
  <c r="G358" i="5"/>
  <c r="F358" i="5"/>
  <c r="E358" i="5"/>
  <c r="N357" i="5"/>
  <c r="M357" i="5"/>
  <c r="L357" i="5"/>
  <c r="K357" i="5"/>
  <c r="J357" i="5"/>
  <c r="I357" i="5"/>
  <c r="H357" i="5"/>
  <c r="G357" i="5"/>
  <c r="F357" i="5"/>
  <c r="E357" i="5"/>
  <c r="N356" i="5"/>
  <c r="M356" i="5"/>
  <c r="L356" i="5"/>
  <c r="K356" i="5"/>
  <c r="J356" i="5"/>
  <c r="I356" i="5"/>
  <c r="H356" i="5"/>
  <c r="G356" i="5"/>
  <c r="F356" i="5"/>
  <c r="E356" i="5"/>
  <c r="N355" i="5"/>
  <c r="M355" i="5"/>
  <c r="L355" i="5"/>
  <c r="K355" i="5"/>
  <c r="J355" i="5"/>
  <c r="I355" i="5"/>
  <c r="H355" i="5"/>
  <c r="G355" i="5"/>
  <c r="F355" i="5"/>
  <c r="E355" i="5"/>
  <c r="N354" i="5"/>
  <c r="M354" i="5"/>
  <c r="L354" i="5"/>
  <c r="K354" i="5"/>
  <c r="J354" i="5"/>
  <c r="I354" i="5"/>
  <c r="H354" i="5"/>
  <c r="G354" i="5"/>
  <c r="F354" i="5"/>
  <c r="E354" i="5"/>
  <c r="N353" i="5"/>
  <c r="M353" i="5"/>
  <c r="L353" i="5"/>
  <c r="K353" i="5"/>
  <c r="J353" i="5"/>
  <c r="I353" i="5"/>
  <c r="H353" i="5"/>
  <c r="G353" i="5"/>
  <c r="F353" i="5"/>
  <c r="E353" i="5"/>
  <c r="N352" i="5"/>
  <c r="M352" i="5"/>
  <c r="L352" i="5"/>
  <c r="K352" i="5"/>
  <c r="J352" i="5"/>
  <c r="I352" i="5"/>
  <c r="G352" i="5"/>
  <c r="F352" i="5"/>
  <c r="E352" i="5"/>
  <c r="N351" i="5"/>
  <c r="M351" i="5"/>
  <c r="L351" i="5"/>
  <c r="K351" i="5"/>
  <c r="J351" i="5"/>
  <c r="I351" i="5"/>
  <c r="G351" i="5"/>
  <c r="F351" i="5"/>
  <c r="E351" i="5"/>
  <c r="N350" i="5"/>
  <c r="M350" i="5"/>
  <c r="L350" i="5"/>
  <c r="K350" i="5"/>
  <c r="J350" i="5"/>
  <c r="I350" i="5"/>
  <c r="G350" i="5"/>
  <c r="F350" i="5"/>
  <c r="E350" i="5"/>
  <c r="N349" i="5"/>
  <c r="M349" i="5"/>
  <c r="L349" i="5"/>
  <c r="K349" i="5"/>
  <c r="J349" i="5"/>
  <c r="I349" i="5"/>
  <c r="G349" i="5"/>
  <c r="F349" i="5"/>
  <c r="E349" i="5"/>
  <c r="N348" i="5"/>
  <c r="M348" i="5"/>
  <c r="L348" i="5"/>
  <c r="K348" i="5"/>
  <c r="J348" i="5"/>
  <c r="I348" i="5"/>
  <c r="G348" i="5"/>
  <c r="F348" i="5"/>
  <c r="E348" i="5"/>
  <c r="N347" i="5"/>
  <c r="M347" i="5"/>
  <c r="L347" i="5"/>
  <c r="K347" i="5"/>
  <c r="J347" i="5"/>
  <c r="I347" i="5"/>
  <c r="G347" i="5"/>
  <c r="F347" i="5"/>
  <c r="E347" i="5"/>
  <c r="N346" i="5"/>
  <c r="M346" i="5"/>
  <c r="L346" i="5"/>
  <c r="K346" i="5"/>
  <c r="J346" i="5"/>
  <c r="I346" i="5"/>
  <c r="G346" i="5"/>
  <c r="F346" i="5"/>
  <c r="E346" i="5"/>
  <c r="N345" i="5"/>
  <c r="M345" i="5"/>
  <c r="L345" i="5"/>
  <c r="K345" i="5"/>
  <c r="J345" i="5"/>
  <c r="I345" i="5"/>
  <c r="G345" i="5"/>
  <c r="F345" i="5"/>
  <c r="E345" i="5"/>
  <c r="N344" i="5"/>
  <c r="M344" i="5"/>
  <c r="L344" i="5"/>
  <c r="K344" i="5"/>
  <c r="J344" i="5"/>
  <c r="F344" i="5"/>
  <c r="E344" i="5"/>
  <c r="N343" i="5"/>
  <c r="M343" i="5"/>
  <c r="L343" i="5"/>
  <c r="K343" i="5"/>
  <c r="J343" i="5"/>
  <c r="F343" i="5"/>
  <c r="E343" i="5"/>
  <c r="N342" i="5"/>
  <c r="M342" i="5"/>
  <c r="L342" i="5"/>
  <c r="K342" i="5"/>
  <c r="J342" i="5"/>
  <c r="F342" i="5"/>
  <c r="E342" i="5"/>
  <c r="N341" i="5"/>
  <c r="M341" i="5"/>
  <c r="L341" i="5"/>
  <c r="K341" i="5"/>
  <c r="J341" i="5"/>
  <c r="F341" i="5"/>
  <c r="E341" i="5"/>
  <c r="N340" i="5"/>
  <c r="M340" i="5"/>
  <c r="L340" i="5"/>
  <c r="K340" i="5"/>
  <c r="J340" i="5"/>
  <c r="F340" i="5"/>
  <c r="E340" i="5"/>
  <c r="N339" i="5"/>
  <c r="M339" i="5"/>
  <c r="L339" i="5"/>
  <c r="K339" i="5"/>
  <c r="J339" i="5"/>
  <c r="I339" i="5"/>
  <c r="G339" i="5"/>
  <c r="F339" i="5"/>
  <c r="E339" i="5"/>
  <c r="N338" i="5"/>
  <c r="M338" i="5"/>
  <c r="L338" i="5"/>
  <c r="K338" i="5"/>
  <c r="J338" i="5"/>
  <c r="I338" i="5"/>
  <c r="G338" i="5"/>
  <c r="F338" i="5"/>
  <c r="E338" i="5"/>
  <c r="N337" i="5"/>
  <c r="M337" i="5"/>
  <c r="L337" i="5"/>
  <c r="K337" i="5"/>
  <c r="J337" i="5"/>
  <c r="I337" i="5"/>
  <c r="G337" i="5"/>
  <c r="F337" i="5"/>
  <c r="E337" i="5"/>
  <c r="N336" i="5"/>
  <c r="M336" i="5"/>
  <c r="L336" i="5"/>
  <c r="K336" i="5"/>
  <c r="J336" i="5"/>
  <c r="I336" i="5"/>
  <c r="H336" i="5"/>
  <c r="G336" i="5"/>
  <c r="F336" i="5"/>
  <c r="E336" i="5"/>
  <c r="N335" i="5"/>
  <c r="M335" i="5"/>
  <c r="L335" i="5"/>
  <c r="K335" i="5"/>
  <c r="J335" i="5"/>
  <c r="I335" i="5"/>
  <c r="H335" i="5"/>
  <c r="G335" i="5"/>
  <c r="F335" i="5"/>
  <c r="E335" i="5"/>
  <c r="N334" i="5"/>
  <c r="M334" i="5"/>
  <c r="L334" i="5"/>
  <c r="K334" i="5"/>
  <c r="J334" i="5"/>
  <c r="I334" i="5"/>
  <c r="H334" i="5"/>
  <c r="G334" i="5"/>
  <c r="F334" i="5"/>
  <c r="E334" i="5"/>
  <c r="N333" i="5"/>
  <c r="M333" i="5"/>
  <c r="L333" i="5"/>
  <c r="K333" i="5"/>
  <c r="J333" i="5"/>
  <c r="I333" i="5"/>
  <c r="H333" i="5"/>
  <c r="G333" i="5"/>
  <c r="F333" i="5"/>
  <c r="E333" i="5"/>
  <c r="N332" i="5"/>
  <c r="M332" i="5"/>
  <c r="L332" i="5"/>
  <c r="K332" i="5"/>
  <c r="J332" i="5"/>
  <c r="I332" i="5"/>
  <c r="H332" i="5"/>
  <c r="G332" i="5"/>
  <c r="F332" i="5"/>
  <c r="E332" i="5"/>
  <c r="N331" i="5"/>
  <c r="M331" i="5"/>
  <c r="L331" i="5"/>
  <c r="K331" i="5"/>
  <c r="J331" i="5"/>
  <c r="I331" i="5"/>
  <c r="H331" i="5"/>
  <c r="G331" i="5"/>
  <c r="F331" i="5"/>
  <c r="E331" i="5"/>
  <c r="N330" i="5"/>
  <c r="M330" i="5"/>
  <c r="L330" i="5"/>
  <c r="K330" i="5"/>
  <c r="J330" i="5"/>
  <c r="I330" i="5"/>
  <c r="H330" i="5"/>
  <c r="G330" i="5"/>
  <c r="F330" i="5"/>
  <c r="E330" i="5"/>
  <c r="N329" i="5"/>
  <c r="M329" i="5"/>
  <c r="L329" i="5"/>
  <c r="K329" i="5"/>
  <c r="J329" i="5"/>
  <c r="I329" i="5"/>
  <c r="H329" i="5"/>
  <c r="G329" i="5"/>
  <c r="F329" i="5"/>
  <c r="E329" i="5"/>
  <c r="N328" i="5"/>
  <c r="M328" i="5"/>
  <c r="L328" i="5"/>
  <c r="K328" i="5"/>
  <c r="J328" i="5"/>
  <c r="I328" i="5"/>
  <c r="H328" i="5"/>
  <c r="G328" i="5"/>
  <c r="F328" i="5"/>
  <c r="E328" i="5"/>
  <c r="N327" i="5"/>
  <c r="M327" i="5"/>
  <c r="L327" i="5"/>
  <c r="K327" i="5"/>
  <c r="J327" i="5"/>
  <c r="I327" i="5"/>
  <c r="H327" i="5"/>
  <c r="G327" i="5"/>
  <c r="F327" i="5"/>
  <c r="E327" i="5"/>
  <c r="N326" i="5"/>
  <c r="M326" i="5"/>
  <c r="L326" i="5"/>
  <c r="K326" i="5"/>
  <c r="J326" i="5"/>
  <c r="I326" i="5"/>
  <c r="H326" i="5"/>
  <c r="G326" i="5"/>
  <c r="F326" i="5"/>
  <c r="E326" i="5"/>
  <c r="N325" i="5"/>
  <c r="M325" i="5"/>
  <c r="L325" i="5"/>
  <c r="K325" i="5"/>
  <c r="J325" i="5"/>
  <c r="I325" i="5"/>
  <c r="H325" i="5"/>
  <c r="G325" i="5"/>
  <c r="F325" i="5"/>
  <c r="E325" i="5"/>
  <c r="N324" i="5"/>
  <c r="M324" i="5"/>
  <c r="L324" i="5"/>
  <c r="K324" i="5"/>
  <c r="J324" i="5"/>
  <c r="I324" i="5"/>
  <c r="H324" i="5"/>
  <c r="G324" i="5"/>
  <c r="F324" i="5"/>
  <c r="E324" i="5"/>
  <c r="N323" i="5"/>
  <c r="M323" i="5"/>
  <c r="L323" i="5"/>
  <c r="K323" i="5"/>
  <c r="J323" i="5"/>
  <c r="I323" i="5"/>
  <c r="H323" i="5"/>
  <c r="G323" i="5"/>
  <c r="F323" i="5"/>
  <c r="E323" i="5"/>
  <c r="N322" i="5"/>
  <c r="M322" i="5"/>
  <c r="L322" i="5"/>
  <c r="K322" i="5"/>
  <c r="J322" i="5"/>
  <c r="I322" i="5"/>
  <c r="H322" i="5"/>
  <c r="G322" i="5"/>
  <c r="F322" i="5"/>
  <c r="E322" i="5"/>
  <c r="N321" i="5"/>
  <c r="M321" i="5"/>
  <c r="L321" i="5"/>
  <c r="K321" i="5"/>
  <c r="J321" i="5"/>
  <c r="I321" i="5"/>
  <c r="H321" i="5"/>
  <c r="G321" i="5"/>
  <c r="F321" i="5"/>
  <c r="E321" i="5"/>
  <c r="N320" i="5"/>
  <c r="M320" i="5"/>
  <c r="L320" i="5"/>
  <c r="K320" i="5"/>
  <c r="J320" i="5"/>
  <c r="I320" i="5"/>
  <c r="H320" i="5"/>
  <c r="G320" i="5"/>
  <c r="F320" i="5"/>
  <c r="E320" i="5"/>
  <c r="N319" i="5"/>
  <c r="M319" i="5"/>
  <c r="L319" i="5"/>
  <c r="K319" i="5"/>
  <c r="J319" i="5"/>
  <c r="I319" i="5"/>
  <c r="H319" i="5"/>
  <c r="G319" i="5"/>
  <c r="F319" i="5"/>
  <c r="E319" i="5"/>
  <c r="N318" i="5"/>
  <c r="M318" i="5"/>
  <c r="L318" i="5"/>
  <c r="K318" i="5"/>
  <c r="J318" i="5"/>
  <c r="I318" i="5"/>
  <c r="H318" i="5"/>
  <c r="G318" i="5"/>
  <c r="F318" i="5"/>
  <c r="E318" i="5"/>
  <c r="N317" i="5"/>
  <c r="M317" i="5"/>
  <c r="L317" i="5"/>
  <c r="K317" i="5"/>
  <c r="J317" i="5"/>
  <c r="I317" i="5"/>
  <c r="H317" i="5"/>
  <c r="G317" i="5"/>
  <c r="F317" i="5"/>
  <c r="E317" i="5"/>
  <c r="N316" i="5"/>
  <c r="M316" i="5"/>
  <c r="L316" i="5"/>
  <c r="K316" i="5"/>
  <c r="J316" i="5"/>
  <c r="I316" i="5"/>
  <c r="H316" i="5"/>
  <c r="G316" i="5"/>
  <c r="F316" i="5"/>
  <c r="E316" i="5"/>
  <c r="N315" i="5"/>
  <c r="M315" i="5"/>
  <c r="L315" i="5"/>
  <c r="K315" i="5"/>
  <c r="J315" i="5"/>
  <c r="I315" i="5"/>
  <c r="H315" i="5"/>
  <c r="G315" i="5"/>
  <c r="F315" i="5"/>
  <c r="E315" i="5"/>
  <c r="N314" i="5"/>
  <c r="M314" i="5"/>
  <c r="L314" i="5"/>
  <c r="K314" i="5"/>
  <c r="J314" i="5"/>
  <c r="I314" i="5"/>
  <c r="H314" i="5"/>
  <c r="G314" i="5"/>
  <c r="F314" i="5"/>
  <c r="E314" i="5"/>
  <c r="N313" i="5"/>
  <c r="M313" i="5"/>
  <c r="L313" i="5"/>
  <c r="K313" i="5"/>
  <c r="J313" i="5"/>
  <c r="I313" i="5"/>
  <c r="H313" i="5"/>
  <c r="G313" i="5"/>
  <c r="F313" i="5"/>
  <c r="E313" i="5"/>
  <c r="N312" i="5"/>
  <c r="M312" i="5"/>
  <c r="L312" i="5"/>
  <c r="K312" i="5"/>
  <c r="J312" i="5"/>
  <c r="I312" i="5"/>
  <c r="H312" i="5"/>
  <c r="G312" i="5"/>
  <c r="F312" i="5"/>
  <c r="E312" i="5"/>
  <c r="N311" i="5"/>
  <c r="M311" i="5"/>
  <c r="L311" i="5"/>
  <c r="K311" i="5"/>
  <c r="J311" i="5"/>
  <c r="I311" i="5"/>
  <c r="H311" i="5"/>
  <c r="G311" i="5"/>
  <c r="F311" i="5"/>
  <c r="E311" i="5"/>
  <c r="N310" i="5"/>
  <c r="M310" i="5"/>
  <c r="L310" i="5"/>
  <c r="K310" i="5"/>
  <c r="J310" i="5"/>
  <c r="I310" i="5"/>
  <c r="H310" i="5"/>
  <c r="G310" i="5"/>
  <c r="F310" i="5"/>
  <c r="E310" i="5"/>
  <c r="N309" i="5"/>
  <c r="M309" i="5"/>
  <c r="L309" i="5"/>
  <c r="K309" i="5"/>
  <c r="J309" i="5"/>
  <c r="I309" i="5"/>
  <c r="H309" i="5"/>
  <c r="G309" i="5"/>
  <c r="F309" i="5"/>
  <c r="E309" i="5"/>
  <c r="N308" i="5"/>
  <c r="M308" i="5"/>
  <c r="L308" i="5"/>
  <c r="K308" i="5"/>
  <c r="J308" i="5"/>
  <c r="I308" i="5"/>
  <c r="H308" i="5"/>
  <c r="G308" i="5"/>
  <c r="F308" i="5"/>
  <c r="E308" i="5"/>
  <c r="N307" i="5"/>
  <c r="M307" i="5"/>
  <c r="L307" i="5"/>
  <c r="K307" i="5"/>
  <c r="J307" i="5"/>
  <c r="I307" i="5"/>
  <c r="H307" i="5"/>
  <c r="G307" i="5"/>
  <c r="F307" i="5"/>
  <c r="E307" i="5"/>
  <c r="N306" i="5"/>
  <c r="M306" i="5"/>
  <c r="L306" i="5"/>
  <c r="K306" i="5"/>
  <c r="J306" i="5"/>
  <c r="I306" i="5"/>
  <c r="H306" i="5"/>
  <c r="G306" i="5"/>
  <c r="F306" i="5"/>
  <c r="E306" i="5"/>
  <c r="N305" i="5"/>
  <c r="M305" i="5"/>
  <c r="L305" i="5"/>
  <c r="K305" i="5"/>
  <c r="J305" i="5"/>
  <c r="I305" i="5"/>
  <c r="H305" i="5"/>
  <c r="G305" i="5"/>
  <c r="F305" i="5"/>
  <c r="E305" i="5"/>
  <c r="N304" i="5"/>
  <c r="M304" i="5"/>
  <c r="L304" i="5"/>
  <c r="K304" i="5"/>
  <c r="J304" i="5"/>
  <c r="I304" i="5"/>
  <c r="H304" i="5"/>
  <c r="G304" i="5"/>
  <c r="F304" i="5"/>
  <c r="E304" i="5"/>
  <c r="N303" i="5"/>
  <c r="M303" i="5"/>
  <c r="L303" i="5"/>
  <c r="K303" i="5"/>
  <c r="J303" i="5"/>
  <c r="I303" i="5"/>
  <c r="H303" i="5"/>
  <c r="G303" i="5"/>
  <c r="F303" i="5"/>
  <c r="E303" i="5"/>
  <c r="N302" i="5"/>
  <c r="M302" i="5"/>
  <c r="L302" i="5"/>
  <c r="K302" i="5"/>
  <c r="J302" i="5"/>
  <c r="I302" i="5"/>
  <c r="H302" i="5"/>
  <c r="G302" i="5"/>
  <c r="F302" i="5"/>
  <c r="E302" i="5"/>
  <c r="N301" i="5"/>
  <c r="M301" i="5"/>
  <c r="L301" i="5"/>
  <c r="K301" i="5"/>
  <c r="J301" i="5"/>
  <c r="I301" i="5"/>
  <c r="H301" i="5"/>
  <c r="G301" i="5"/>
  <c r="F301" i="5"/>
  <c r="E301" i="5"/>
  <c r="N300" i="5"/>
  <c r="M300" i="5"/>
  <c r="L300" i="5"/>
  <c r="K300" i="5"/>
  <c r="J300" i="5"/>
  <c r="I300" i="5"/>
  <c r="H300" i="5"/>
  <c r="G300" i="5"/>
  <c r="F300" i="5"/>
  <c r="E300" i="5"/>
  <c r="N299" i="5"/>
  <c r="M299" i="5"/>
  <c r="L299" i="5"/>
  <c r="K299" i="5"/>
  <c r="J299" i="5"/>
  <c r="I299" i="5"/>
  <c r="H299" i="5"/>
  <c r="G299" i="5"/>
  <c r="F299" i="5"/>
  <c r="E299" i="5"/>
  <c r="N298" i="5"/>
  <c r="M298" i="5"/>
  <c r="L298" i="5"/>
  <c r="K298" i="5"/>
  <c r="J298" i="5"/>
  <c r="I298" i="5"/>
  <c r="H298" i="5"/>
  <c r="G298" i="5"/>
  <c r="F298" i="5"/>
  <c r="E298" i="5"/>
  <c r="N297" i="5"/>
  <c r="M297" i="5"/>
  <c r="L297" i="5"/>
  <c r="K297" i="5"/>
  <c r="J297" i="5"/>
  <c r="I297" i="5"/>
  <c r="H297" i="5"/>
  <c r="G297" i="5"/>
  <c r="F297" i="5"/>
  <c r="E297" i="5"/>
  <c r="N296" i="5"/>
  <c r="M296" i="5"/>
  <c r="L296" i="5"/>
  <c r="K296" i="5"/>
  <c r="J296" i="5"/>
  <c r="I296" i="5"/>
  <c r="H296" i="5"/>
  <c r="G296" i="5"/>
  <c r="F296" i="5"/>
  <c r="E296" i="5"/>
  <c r="N295" i="5"/>
  <c r="M295" i="5"/>
  <c r="L295" i="5"/>
  <c r="K295" i="5"/>
  <c r="J295" i="5"/>
  <c r="I295" i="5"/>
  <c r="H295" i="5"/>
  <c r="G295" i="5"/>
  <c r="F295" i="5"/>
  <c r="E295" i="5"/>
  <c r="N294" i="5"/>
  <c r="M294" i="5"/>
  <c r="L294" i="5"/>
  <c r="K294" i="5"/>
  <c r="J294" i="5"/>
  <c r="I294" i="5"/>
  <c r="H294" i="5"/>
  <c r="G294" i="5"/>
  <c r="F294" i="5"/>
  <c r="E294" i="5"/>
  <c r="N293" i="5"/>
  <c r="M293" i="5"/>
  <c r="L293" i="5"/>
  <c r="K293" i="5"/>
  <c r="J293" i="5"/>
  <c r="I293" i="5"/>
  <c r="H293" i="5"/>
  <c r="G293" i="5"/>
  <c r="F293" i="5"/>
  <c r="E293" i="5"/>
  <c r="N292" i="5"/>
  <c r="M292" i="5"/>
  <c r="L292" i="5"/>
  <c r="K292" i="5"/>
  <c r="J292" i="5"/>
  <c r="I292" i="5"/>
  <c r="H292" i="5"/>
  <c r="G292" i="5"/>
  <c r="F292" i="5"/>
  <c r="E292" i="5"/>
  <c r="N291" i="5"/>
  <c r="M291" i="5"/>
  <c r="L291" i="5"/>
  <c r="K291" i="5"/>
  <c r="J291" i="5"/>
  <c r="I291" i="5"/>
  <c r="H291" i="5"/>
  <c r="G291" i="5"/>
  <c r="F291" i="5"/>
  <c r="E291" i="5"/>
  <c r="N290" i="5"/>
  <c r="M290" i="5"/>
  <c r="L290" i="5"/>
  <c r="K290" i="5"/>
  <c r="J290" i="5"/>
  <c r="I290" i="5"/>
  <c r="H290" i="5"/>
  <c r="G290" i="5"/>
  <c r="F290" i="5"/>
  <c r="E290" i="5"/>
  <c r="N289" i="5"/>
  <c r="M289" i="5"/>
  <c r="L289" i="5"/>
  <c r="K289" i="5"/>
  <c r="J289" i="5"/>
  <c r="I289" i="5"/>
  <c r="H289" i="5"/>
  <c r="G289" i="5"/>
  <c r="F289" i="5"/>
  <c r="E289" i="5"/>
  <c r="N288" i="5"/>
  <c r="M288" i="5"/>
  <c r="L288" i="5"/>
  <c r="K288" i="5"/>
  <c r="J288" i="5"/>
  <c r="I288" i="5"/>
  <c r="H288" i="5"/>
  <c r="G288" i="5"/>
  <c r="F288" i="5"/>
  <c r="E288" i="5"/>
  <c r="N287" i="5"/>
  <c r="M287" i="5"/>
  <c r="L287" i="5"/>
  <c r="K287" i="5"/>
  <c r="J287" i="5"/>
  <c r="I287" i="5"/>
  <c r="H287" i="5"/>
  <c r="G287" i="5"/>
  <c r="F287" i="5"/>
  <c r="E287" i="5"/>
  <c r="N286" i="5"/>
  <c r="M286" i="5"/>
  <c r="L286" i="5"/>
  <c r="K286" i="5"/>
  <c r="J286" i="5"/>
  <c r="I286" i="5"/>
  <c r="H286" i="5"/>
  <c r="G286" i="5"/>
  <c r="F286" i="5"/>
  <c r="E286" i="5"/>
  <c r="N285" i="5"/>
  <c r="M285" i="5"/>
  <c r="L285" i="5"/>
  <c r="K285" i="5"/>
  <c r="J285" i="5"/>
  <c r="I285" i="5"/>
  <c r="H285" i="5"/>
  <c r="G285" i="5"/>
  <c r="F285" i="5"/>
  <c r="E285" i="5"/>
  <c r="N284" i="5"/>
  <c r="M284" i="5"/>
  <c r="L284" i="5"/>
  <c r="K284" i="5"/>
  <c r="J284" i="5"/>
  <c r="I284" i="5"/>
  <c r="H284" i="5"/>
  <c r="G284" i="5"/>
  <c r="F284" i="5"/>
  <c r="E284" i="5"/>
  <c r="N283" i="5"/>
  <c r="M283" i="5"/>
  <c r="L283" i="5"/>
  <c r="K283" i="5"/>
  <c r="J283" i="5"/>
  <c r="I283" i="5"/>
  <c r="H283" i="5"/>
  <c r="G283" i="5"/>
  <c r="F283" i="5"/>
  <c r="E283" i="5"/>
  <c r="N282" i="5"/>
  <c r="M282" i="5"/>
  <c r="L282" i="5"/>
  <c r="K282" i="5"/>
  <c r="J282" i="5"/>
  <c r="I282" i="5"/>
  <c r="H282" i="5"/>
  <c r="G282" i="5"/>
  <c r="F282" i="5"/>
  <c r="E282" i="5"/>
  <c r="N281" i="5"/>
  <c r="M281" i="5"/>
  <c r="L281" i="5"/>
  <c r="K281" i="5"/>
  <c r="J281" i="5"/>
  <c r="I281" i="5"/>
  <c r="H281" i="5"/>
  <c r="G281" i="5"/>
  <c r="F281" i="5"/>
  <c r="E281" i="5"/>
  <c r="N280" i="5"/>
  <c r="M280" i="5"/>
  <c r="L280" i="5"/>
  <c r="K280" i="5"/>
  <c r="J280" i="5"/>
  <c r="I280" i="5"/>
  <c r="H280" i="5"/>
  <c r="G280" i="5"/>
  <c r="F280" i="5"/>
  <c r="E280" i="5"/>
  <c r="N279" i="5"/>
  <c r="M279" i="5"/>
  <c r="L279" i="5"/>
  <c r="K279" i="5"/>
  <c r="J279" i="5"/>
  <c r="I279" i="5"/>
  <c r="H279" i="5"/>
  <c r="G279" i="5"/>
  <c r="F279" i="5"/>
  <c r="E279" i="5"/>
  <c r="N278" i="5"/>
  <c r="M278" i="5"/>
  <c r="L278" i="5"/>
  <c r="K278" i="5"/>
  <c r="J278" i="5"/>
  <c r="I278" i="5"/>
  <c r="H278" i="5"/>
  <c r="G278" i="5"/>
  <c r="F278" i="5"/>
  <c r="E278" i="5"/>
  <c r="N277" i="5"/>
  <c r="M277" i="5"/>
  <c r="L277" i="5"/>
  <c r="K277" i="5"/>
  <c r="J277" i="5"/>
  <c r="I277" i="5"/>
  <c r="H277" i="5"/>
  <c r="G277" i="5"/>
  <c r="F277" i="5"/>
  <c r="E277" i="5"/>
  <c r="N276" i="5"/>
  <c r="M276" i="5"/>
  <c r="L276" i="5"/>
  <c r="K276" i="5"/>
  <c r="J276" i="5"/>
  <c r="I276" i="5"/>
  <c r="H276" i="5"/>
  <c r="G276" i="5"/>
  <c r="F276" i="5"/>
  <c r="E276" i="5"/>
  <c r="N275" i="5"/>
  <c r="M275" i="5"/>
  <c r="L275" i="5"/>
  <c r="K275" i="5"/>
  <c r="J275" i="5"/>
  <c r="I275" i="5"/>
  <c r="H275" i="5"/>
  <c r="G275" i="5"/>
  <c r="F275" i="5"/>
  <c r="E275" i="5"/>
  <c r="N274" i="5"/>
  <c r="M274" i="5"/>
  <c r="L274" i="5"/>
  <c r="K274" i="5"/>
  <c r="J274" i="5"/>
  <c r="I274" i="5"/>
  <c r="H274" i="5"/>
  <c r="G274" i="5"/>
  <c r="F274" i="5"/>
  <c r="E274" i="5"/>
  <c r="N273" i="5"/>
  <c r="M273" i="5"/>
  <c r="L273" i="5"/>
  <c r="K273" i="5"/>
  <c r="J273" i="5"/>
  <c r="I273" i="5"/>
  <c r="H273" i="5"/>
  <c r="G273" i="5"/>
  <c r="F273" i="5"/>
  <c r="E273" i="5"/>
  <c r="N272" i="5"/>
  <c r="M272" i="5"/>
  <c r="L272" i="5"/>
  <c r="K272" i="5"/>
  <c r="J272" i="5"/>
  <c r="I272" i="5"/>
  <c r="H272" i="5"/>
  <c r="G272" i="5"/>
  <c r="F272" i="5"/>
  <c r="E272" i="5"/>
  <c r="N271" i="5"/>
  <c r="M271" i="5"/>
  <c r="L271" i="5"/>
  <c r="K271" i="5"/>
  <c r="J271" i="5"/>
  <c r="I271" i="5"/>
  <c r="H271" i="5"/>
  <c r="G271" i="5"/>
  <c r="F271" i="5"/>
  <c r="E271" i="5"/>
  <c r="N270" i="5"/>
  <c r="M270" i="5"/>
  <c r="L270" i="5"/>
  <c r="K270" i="5"/>
  <c r="J270" i="5"/>
  <c r="I270" i="5"/>
  <c r="H270" i="5"/>
  <c r="G270" i="5"/>
  <c r="F270" i="5"/>
  <c r="E270" i="5"/>
  <c r="N269" i="5"/>
  <c r="M269" i="5"/>
  <c r="L269" i="5"/>
  <c r="K269" i="5"/>
  <c r="J269" i="5"/>
  <c r="I269" i="5"/>
  <c r="H269" i="5"/>
  <c r="G269" i="5"/>
  <c r="F269" i="5"/>
  <c r="E269" i="5"/>
  <c r="N268" i="5"/>
  <c r="M268" i="5"/>
  <c r="L268" i="5"/>
  <c r="K268" i="5"/>
  <c r="J268" i="5"/>
  <c r="I268" i="5"/>
  <c r="H268" i="5"/>
  <c r="G268" i="5"/>
  <c r="F268" i="5"/>
  <c r="E268" i="5"/>
  <c r="N267" i="5"/>
  <c r="M267" i="5"/>
  <c r="L267" i="5"/>
  <c r="K267" i="5"/>
  <c r="J267" i="5"/>
  <c r="I267" i="5"/>
  <c r="H267" i="5"/>
  <c r="G267" i="5"/>
  <c r="F267" i="5"/>
  <c r="E267" i="5"/>
  <c r="N266" i="5"/>
  <c r="M266" i="5"/>
  <c r="L266" i="5"/>
  <c r="K266" i="5"/>
  <c r="J266" i="5"/>
  <c r="I266" i="5"/>
  <c r="H266" i="5"/>
  <c r="G266" i="5"/>
  <c r="F266" i="5"/>
  <c r="E266" i="5"/>
  <c r="N265" i="5"/>
  <c r="M265" i="5"/>
  <c r="L265" i="5"/>
  <c r="K265" i="5"/>
  <c r="J265" i="5"/>
  <c r="I265" i="5"/>
  <c r="H265" i="5"/>
  <c r="G265" i="5"/>
  <c r="F265" i="5"/>
  <c r="E265" i="5"/>
  <c r="N249" i="5"/>
  <c r="M249" i="5"/>
  <c r="L249" i="5"/>
  <c r="K249" i="5"/>
  <c r="J249" i="5"/>
  <c r="I249" i="5"/>
  <c r="H249" i="5"/>
  <c r="G249" i="5"/>
  <c r="F249" i="5"/>
  <c r="E249" i="5"/>
  <c r="N248" i="5"/>
  <c r="M248" i="5"/>
  <c r="L248" i="5"/>
  <c r="K248" i="5"/>
  <c r="J248" i="5"/>
  <c r="I248" i="5"/>
  <c r="H248" i="5"/>
  <c r="G248" i="5"/>
  <c r="F248" i="5"/>
  <c r="E248" i="5"/>
  <c r="N247" i="5"/>
  <c r="M247" i="5"/>
  <c r="L247" i="5"/>
  <c r="K247" i="5"/>
  <c r="J247" i="5"/>
  <c r="I247" i="5"/>
  <c r="H247" i="5"/>
  <c r="G247" i="5"/>
  <c r="F247" i="5"/>
  <c r="E247" i="5"/>
  <c r="N246" i="5"/>
  <c r="M246" i="5"/>
  <c r="L246" i="5"/>
  <c r="K246" i="5"/>
  <c r="J246" i="5"/>
  <c r="I246" i="5"/>
  <c r="H246" i="5"/>
  <c r="G246" i="5"/>
  <c r="F246" i="5"/>
  <c r="E246" i="5"/>
  <c r="N245" i="5"/>
  <c r="M245" i="5"/>
  <c r="L245" i="5"/>
  <c r="K245" i="5"/>
  <c r="J245" i="5"/>
  <c r="I245" i="5"/>
  <c r="H245" i="5"/>
  <c r="G245" i="5"/>
  <c r="F245" i="5"/>
  <c r="E245" i="5"/>
  <c r="N244" i="5"/>
  <c r="M244" i="5"/>
  <c r="L244" i="5"/>
  <c r="K244" i="5"/>
  <c r="J244" i="5"/>
  <c r="I244" i="5"/>
  <c r="H244" i="5"/>
  <c r="G244" i="5"/>
  <c r="F244" i="5"/>
  <c r="E244" i="5"/>
  <c r="N243" i="5"/>
  <c r="M243" i="5"/>
  <c r="L243" i="5"/>
  <c r="K243" i="5"/>
  <c r="J243" i="5"/>
  <c r="I243" i="5"/>
  <c r="H243" i="5"/>
  <c r="G243" i="5"/>
  <c r="F243" i="5"/>
  <c r="E243" i="5"/>
  <c r="N242" i="5"/>
  <c r="M242" i="5"/>
  <c r="L242" i="5"/>
  <c r="K242" i="5"/>
  <c r="J242" i="5"/>
  <c r="I242" i="5"/>
  <c r="H242" i="5"/>
  <c r="G242" i="5"/>
  <c r="F242" i="5"/>
  <c r="E242" i="5"/>
  <c r="N241" i="5"/>
  <c r="M241" i="5"/>
  <c r="L241" i="5"/>
  <c r="K241" i="5"/>
  <c r="J241" i="5"/>
  <c r="I241" i="5"/>
  <c r="H241" i="5"/>
  <c r="G241" i="5"/>
  <c r="F241" i="5"/>
  <c r="E241" i="5"/>
  <c r="N240" i="5"/>
  <c r="M240" i="5"/>
  <c r="L240" i="5"/>
  <c r="K240" i="5"/>
  <c r="J240" i="5"/>
  <c r="I240" i="5"/>
  <c r="H240" i="5"/>
  <c r="G240" i="5"/>
  <c r="F240" i="5"/>
  <c r="E240" i="5"/>
  <c r="N239" i="5"/>
  <c r="M239" i="5"/>
  <c r="L239" i="5"/>
  <c r="K239" i="5"/>
  <c r="J239" i="5"/>
  <c r="I239" i="5"/>
  <c r="H239" i="5"/>
  <c r="G239" i="5"/>
  <c r="F239" i="5"/>
  <c r="E239" i="5"/>
  <c r="N238" i="5"/>
  <c r="M238" i="5"/>
  <c r="L238" i="5"/>
  <c r="K238" i="5"/>
  <c r="J238" i="5"/>
  <c r="I238" i="5"/>
  <c r="H238" i="5"/>
  <c r="G238" i="5"/>
  <c r="F238" i="5"/>
  <c r="E238" i="5"/>
  <c r="N237" i="5"/>
  <c r="M237" i="5"/>
  <c r="L237" i="5"/>
  <c r="K237" i="5"/>
  <c r="J237" i="5"/>
  <c r="I237" i="5"/>
  <c r="H237" i="5"/>
  <c r="G237" i="5"/>
  <c r="F237" i="5"/>
  <c r="E237" i="5"/>
  <c r="N236" i="5"/>
  <c r="M236" i="5"/>
  <c r="L236" i="5"/>
  <c r="K236" i="5"/>
  <c r="J236" i="5"/>
  <c r="I236" i="5"/>
  <c r="H236" i="5"/>
  <c r="G236" i="5"/>
  <c r="F236" i="5"/>
  <c r="E236" i="5"/>
  <c r="N235" i="5"/>
  <c r="M235" i="5"/>
  <c r="L235" i="5"/>
  <c r="K235" i="5"/>
  <c r="J235" i="5"/>
  <c r="I235" i="5"/>
  <c r="H235" i="5"/>
  <c r="G235" i="5"/>
  <c r="F235" i="5"/>
  <c r="E235" i="5"/>
  <c r="N234" i="5"/>
  <c r="M234" i="5"/>
  <c r="L234" i="5"/>
  <c r="K234" i="5"/>
  <c r="J234" i="5"/>
  <c r="I234" i="5"/>
  <c r="H234" i="5"/>
  <c r="G234" i="5"/>
  <c r="F234" i="5"/>
  <c r="E234" i="5"/>
  <c r="N233" i="5"/>
  <c r="M233" i="5"/>
  <c r="L233" i="5"/>
  <c r="K233" i="5"/>
  <c r="J233" i="5"/>
  <c r="I233" i="5"/>
  <c r="H233" i="5"/>
  <c r="G233" i="5"/>
  <c r="F233" i="5"/>
  <c r="E233" i="5"/>
  <c r="N232" i="5"/>
  <c r="M232" i="5"/>
  <c r="L232" i="5"/>
  <c r="K232" i="5"/>
  <c r="J232" i="5"/>
  <c r="I232" i="5"/>
  <c r="H232" i="5"/>
  <c r="G232" i="5"/>
  <c r="F232" i="5"/>
  <c r="E232" i="5"/>
  <c r="N231" i="5"/>
  <c r="M231" i="5"/>
  <c r="L231" i="5"/>
  <c r="K231" i="5"/>
  <c r="J231" i="5"/>
  <c r="I231" i="5"/>
  <c r="H231" i="5"/>
  <c r="G231" i="5"/>
  <c r="F231" i="5"/>
  <c r="E231" i="5"/>
  <c r="N230" i="5"/>
  <c r="M230" i="5"/>
  <c r="L230" i="5"/>
  <c r="K230" i="5"/>
  <c r="J230" i="5"/>
  <c r="I230" i="5"/>
  <c r="H230" i="5"/>
  <c r="G230" i="5"/>
  <c r="F230" i="5"/>
  <c r="E230" i="5"/>
  <c r="N229" i="5"/>
  <c r="M229" i="5"/>
  <c r="L229" i="5"/>
  <c r="K229" i="5"/>
  <c r="J229" i="5"/>
  <c r="I229" i="5"/>
  <c r="H229" i="5"/>
  <c r="G229" i="5"/>
  <c r="F229" i="5"/>
  <c r="E229" i="5"/>
  <c r="N228" i="5"/>
  <c r="M228" i="5"/>
  <c r="L228" i="5"/>
  <c r="K228" i="5"/>
  <c r="J228" i="5"/>
  <c r="I228" i="5"/>
  <c r="H228" i="5"/>
  <c r="G228" i="5"/>
  <c r="F228" i="5"/>
  <c r="E228" i="5"/>
  <c r="N227" i="5"/>
  <c r="M227" i="5"/>
  <c r="L227" i="5"/>
  <c r="K227" i="5"/>
  <c r="J227" i="5"/>
  <c r="I227" i="5"/>
  <c r="H227" i="5"/>
  <c r="G227" i="5"/>
  <c r="F227" i="5"/>
  <c r="E227" i="5"/>
  <c r="N226" i="5"/>
  <c r="M226" i="5"/>
  <c r="L226" i="5"/>
  <c r="K226" i="5"/>
  <c r="J226" i="5"/>
  <c r="I226" i="5"/>
  <c r="H226" i="5"/>
  <c r="G226" i="5"/>
  <c r="F226" i="5"/>
  <c r="E226" i="5"/>
  <c r="N225" i="5"/>
  <c r="M225" i="5"/>
  <c r="L225" i="5"/>
  <c r="K225" i="5"/>
  <c r="J225" i="5"/>
  <c r="I225" i="5"/>
  <c r="H225" i="5"/>
  <c r="G225" i="5"/>
  <c r="F225" i="5"/>
  <c r="E225" i="5"/>
  <c r="N224" i="5"/>
  <c r="M224" i="5"/>
  <c r="L224" i="5"/>
  <c r="K224" i="5"/>
  <c r="J224" i="5"/>
  <c r="I224" i="5"/>
  <c r="H224" i="5"/>
  <c r="G224" i="5"/>
  <c r="F224" i="5"/>
  <c r="E224" i="5"/>
  <c r="N223" i="5"/>
  <c r="M223" i="5"/>
  <c r="L223" i="5"/>
  <c r="K223" i="5"/>
  <c r="J223" i="5"/>
  <c r="I223" i="5"/>
  <c r="H223" i="5"/>
  <c r="G223" i="5"/>
  <c r="F223" i="5"/>
  <c r="E223" i="5"/>
  <c r="N222" i="5"/>
  <c r="M222" i="5"/>
  <c r="L222" i="5"/>
  <c r="K222" i="5"/>
  <c r="J222" i="5"/>
  <c r="I222" i="5"/>
  <c r="H222" i="5"/>
  <c r="G222" i="5"/>
  <c r="F222" i="5"/>
  <c r="E222" i="5"/>
  <c r="N221" i="5"/>
  <c r="M221" i="5"/>
  <c r="L221" i="5"/>
  <c r="K221" i="5"/>
  <c r="J221" i="5"/>
  <c r="I221" i="5"/>
  <c r="H221" i="5"/>
  <c r="G221" i="5"/>
  <c r="F221" i="5"/>
  <c r="E221" i="5"/>
  <c r="N220" i="5"/>
  <c r="M220" i="5"/>
  <c r="L220" i="5"/>
  <c r="K220" i="5"/>
  <c r="J220" i="5"/>
  <c r="I220" i="5"/>
  <c r="H220" i="5"/>
  <c r="G220" i="5"/>
  <c r="F220" i="5"/>
  <c r="E220" i="5"/>
  <c r="N219" i="5"/>
  <c r="M219" i="5"/>
  <c r="L219" i="5"/>
  <c r="K219" i="5"/>
  <c r="J219" i="5"/>
  <c r="I219" i="5"/>
  <c r="H219" i="5"/>
  <c r="G219" i="5"/>
  <c r="F219" i="5"/>
  <c r="E219" i="5"/>
  <c r="N218" i="5"/>
  <c r="M218" i="5"/>
  <c r="L218" i="5"/>
  <c r="K218" i="5"/>
  <c r="J218" i="5"/>
  <c r="I218" i="5"/>
  <c r="H218" i="5"/>
  <c r="G218" i="5"/>
  <c r="F218" i="5"/>
  <c r="E218" i="5"/>
  <c r="N217" i="5"/>
  <c r="M217" i="5"/>
  <c r="L217" i="5"/>
  <c r="K217" i="5"/>
  <c r="J217" i="5"/>
  <c r="I217" i="5"/>
  <c r="H217" i="5"/>
  <c r="G217" i="5"/>
  <c r="F217" i="5"/>
  <c r="E217" i="5"/>
  <c r="N216" i="5"/>
  <c r="M216" i="5"/>
  <c r="L216" i="5"/>
  <c r="K216" i="5"/>
  <c r="J216" i="5"/>
  <c r="I216" i="5"/>
  <c r="H216" i="5"/>
  <c r="G216" i="5"/>
  <c r="F216" i="5"/>
  <c r="E216" i="5"/>
  <c r="N215" i="5"/>
  <c r="M215" i="5"/>
  <c r="L215" i="5"/>
  <c r="K215" i="5"/>
  <c r="J215" i="5"/>
  <c r="I215" i="5"/>
  <c r="H215" i="5"/>
  <c r="G215" i="5"/>
  <c r="F215" i="5"/>
  <c r="E215" i="5"/>
  <c r="N214" i="5"/>
  <c r="M214" i="5"/>
  <c r="L214" i="5"/>
  <c r="K214" i="5"/>
  <c r="J214" i="5"/>
  <c r="I214" i="5"/>
  <c r="H214" i="5"/>
  <c r="G214" i="5"/>
  <c r="F214" i="5"/>
  <c r="E214" i="5"/>
  <c r="N213" i="5"/>
  <c r="M213" i="5"/>
  <c r="L213" i="5"/>
  <c r="K213" i="5"/>
  <c r="J213" i="5"/>
  <c r="I213" i="5"/>
  <c r="H213" i="5"/>
  <c r="G213" i="5"/>
  <c r="F213" i="5"/>
  <c r="E213" i="5"/>
  <c r="N212" i="5"/>
  <c r="M212" i="5"/>
  <c r="L212" i="5"/>
  <c r="K212" i="5"/>
  <c r="J212" i="5"/>
  <c r="I212" i="5"/>
  <c r="H212" i="5"/>
  <c r="G212" i="5"/>
  <c r="F212" i="5"/>
  <c r="E212" i="5"/>
  <c r="N211" i="5"/>
  <c r="M211" i="5"/>
  <c r="L211" i="5"/>
  <c r="K211" i="5"/>
  <c r="J211" i="5"/>
  <c r="I211" i="5"/>
  <c r="H211" i="5"/>
  <c r="G211" i="5"/>
  <c r="F211" i="5"/>
  <c r="E211" i="5"/>
  <c r="N210" i="5"/>
  <c r="M210" i="5"/>
  <c r="L210" i="5"/>
  <c r="K210" i="5"/>
  <c r="J210" i="5"/>
  <c r="I210" i="5"/>
  <c r="H210" i="5"/>
  <c r="G210" i="5"/>
  <c r="F210" i="5"/>
  <c r="E210" i="5"/>
  <c r="N209" i="5"/>
  <c r="M209" i="5"/>
  <c r="L209" i="5"/>
  <c r="K209" i="5"/>
  <c r="J209" i="5"/>
  <c r="I209" i="5"/>
  <c r="H209" i="5"/>
  <c r="G209" i="5"/>
  <c r="F209" i="5"/>
  <c r="E209" i="5"/>
  <c r="N208" i="5"/>
  <c r="M208" i="5"/>
  <c r="L208" i="5"/>
  <c r="K208" i="5"/>
  <c r="J208" i="5"/>
  <c r="I208" i="5"/>
  <c r="H208" i="5"/>
  <c r="G208" i="5"/>
  <c r="F208" i="5"/>
  <c r="E208" i="5"/>
  <c r="N207" i="5"/>
  <c r="M207" i="5"/>
  <c r="L207" i="5"/>
  <c r="K207" i="5"/>
  <c r="J207" i="5"/>
  <c r="I207" i="5"/>
  <c r="H207" i="5"/>
  <c r="G207" i="5"/>
  <c r="F207" i="5"/>
  <c r="E207" i="5"/>
  <c r="N206" i="5"/>
  <c r="M206" i="5"/>
  <c r="L206" i="5"/>
  <c r="K206" i="5"/>
  <c r="J206" i="5"/>
  <c r="I206" i="5"/>
  <c r="H206" i="5"/>
  <c r="G206" i="5"/>
  <c r="F206" i="5"/>
  <c r="E206" i="5"/>
  <c r="N205" i="5"/>
  <c r="M205" i="5"/>
  <c r="L205" i="5"/>
  <c r="K205" i="5"/>
  <c r="J205" i="5"/>
  <c r="I205" i="5"/>
  <c r="H205" i="5"/>
  <c r="G205" i="5"/>
  <c r="F205" i="5"/>
  <c r="E205" i="5"/>
  <c r="N204" i="5"/>
  <c r="M204" i="5"/>
  <c r="L204" i="5"/>
  <c r="K204" i="5"/>
  <c r="J204" i="5"/>
  <c r="I204" i="5"/>
  <c r="H204" i="5"/>
  <c r="G204" i="5"/>
  <c r="F204" i="5"/>
  <c r="E204" i="5"/>
  <c r="N203" i="5"/>
  <c r="M203" i="5"/>
  <c r="L203" i="5"/>
  <c r="K203" i="5"/>
  <c r="J203" i="5"/>
  <c r="I203" i="5"/>
  <c r="H203" i="5"/>
  <c r="G203" i="5"/>
  <c r="F203" i="5"/>
  <c r="E203" i="5"/>
  <c r="N202" i="5"/>
  <c r="M202" i="5"/>
  <c r="L202" i="5"/>
  <c r="K202" i="5"/>
  <c r="J202" i="5"/>
  <c r="I202" i="5"/>
  <c r="H202" i="5"/>
  <c r="G202" i="5"/>
  <c r="F202" i="5"/>
  <c r="E202" i="5"/>
  <c r="N201" i="5"/>
  <c r="M201" i="5"/>
  <c r="L201" i="5"/>
  <c r="K201" i="5"/>
  <c r="J201" i="5"/>
  <c r="I201" i="5"/>
  <c r="H201" i="5"/>
  <c r="G201" i="5"/>
  <c r="F201" i="5"/>
  <c r="E201" i="5"/>
  <c r="N200" i="5"/>
  <c r="M200" i="5"/>
  <c r="L200" i="5"/>
  <c r="K200" i="5"/>
  <c r="J200" i="5"/>
  <c r="I200" i="5"/>
  <c r="H200" i="5"/>
  <c r="G200" i="5"/>
  <c r="F200" i="5"/>
  <c r="E200" i="5"/>
  <c r="N199" i="5"/>
  <c r="M199" i="5"/>
  <c r="L199" i="5"/>
  <c r="K199" i="5"/>
  <c r="J199" i="5"/>
  <c r="I199" i="5"/>
  <c r="H199" i="5"/>
  <c r="G199" i="5"/>
  <c r="F199" i="5"/>
  <c r="E199" i="5"/>
  <c r="N198" i="5"/>
  <c r="M198" i="5"/>
  <c r="L198" i="5"/>
  <c r="K198" i="5"/>
  <c r="J198" i="5"/>
  <c r="I198" i="5"/>
  <c r="H198" i="5"/>
  <c r="G198" i="5"/>
  <c r="F198" i="5"/>
  <c r="E198" i="5"/>
  <c r="N197" i="5"/>
  <c r="M197" i="5"/>
  <c r="L197" i="5"/>
  <c r="K197" i="5"/>
  <c r="J197" i="5"/>
  <c r="I197" i="5"/>
  <c r="H197" i="5"/>
  <c r="G197" i="5"/>
  <c r="F197" i="5"/>
  <c r="E197" i="5"/>
  <c r="N196" i="5"/>
  <c r="M196" i="5"/>
  <c r="L196" i="5"/>
  <c r="K196" i="5"/>
  <c r="J196" i="5"/>
  <c r="I196" i="5"/>
  <c r="H196" i="5"/>
  <c r="G196" i="5"/>
  <c r="F196" i="5"/>
  <c r="E196" i="5"/>
  <c r="N195" i="5"/>
  <c r="M195" i="5"/>
  <c r="L195" i="5"/>
  <c r="K195" i="5"/>
  <c r="J195" i="5"/>
  <c r="I195" i="5"/>
  <c r="H195" i="5"/>
  <c r="G195" i="5"/>
  <c r="F195" i="5"/>
  <c r="E195" i="5"/>
  <c r="N194" i="5"/>
  <c r="M194" i="5"/>
  <c r="L194" i="5"/>
  <c r="K194" i="5"/>
  <c r="J194" i="5"/>
  <c r="I194" i="5"/>
  <c r="H194" i="5"/>
  <c r="G194" i="5"/>
  <c r="F194" i="5"/>
  <c r="E194" i="5"/>
  <c r="N193" i="5"/>
  <c r="M193" i="5"/>
  <c r="L193" i="5"/>
  <c r="K193" i="5"/>
  <c r="J193" i="5"/>
  <c r="I193" i="5"/>
  <c r="H193" i="5"/>
  <c r="G193" i="5"/>
  <c r="F193" i="5"/>
  <c r="E193" i="5"/>
  <c r="N192" i="5"/>
  <c r="M192" i="5"/>
  <c r="L192" i="5"/>
  <c r="K192" i="5"/>
  <c r="J192" i="5"/>
  <c r="I192" i="5"/>
  <c r="H192" i="5"/>
  <c r="G192" i="5"/>
  <c r="F192" i="5"/>
  <c r="E192" i="5"/>
  <c r="N191" i="5"/>
  <c r="M191" i="5"/>
  <c r="L191" i="5"/>
  <c r="K191" i="5"/>
  <c r="J191" i="5"/>
  <c r="I191" i="5"/>
  <c r="H191" i="5"/>
  <c r="G191" i="5"/>
  <c r="F191" i="5"/>
  <c r="E191" i="5"/>
  <c r="N190" i="5"/>
  <c r="M190" i="5"/>
  <c r="L190" i="5"/>
  <c r="K190" i="5"/>
  <c r="J190" i="5"/>
  <c r="I190" i="5"/>
  <c r="H190" i="5"/>
  <c r="G190" i="5"/>
  <c r="F190" i="5"/>
  <c r="E190" i="5"/>
  <c r="N189" i="5"/>
  <c r="M189" i="5"/>
  <c r="L189" i="5"/>
  <c r="K189" i="5"/>
  <c r="J189" i="5"/>
  <c r="I189" i="5"/>
  <c r="H189" i="5"/>
  <c r="G189" i="5"/>
  <c r="F189" i="5"/>
  <c r="E189" i="5"/>
  <c r="N188" i="5"/>
  <c r="M188" i="5"/>
  <c r="L188" i="5"/>
  <c r="K188" i="5"/>
  <c r="J188" i="5"/>
  <c r="I188" i="5"/>
  <c r="H188" i="5"/>
  <c r="G188" i="5"/>
  <c r="F188" i="5"/>
  <c r="E188" i="5"/>
  <c r="N187" i="5"/>
  <c r="M187" i="5"/>
  <c r="L187" i="5"/>
  <c r="K187" i="5"/>
  <c r="J187" i="5"/>
  <c r="I187" i="5"/>
  <c r="H187" i="5"/>
  <c r="G187" i="5"/>
  <c r="F187" i="5"/>
  <c r="E187" i="5"/>
  <c r="N186" i="5"/>
  <c r="M186" i="5"/>
  <c r="L186" i="5"/>
  <c r="K186" i="5"/>
  <c r="J186" i="5"/>
  <c r="I186" i="5"/>
  <c r="H186" i="5"/>
  <c r="G186" i="5"/>
  <c r="F186" i="5"/>
  <c r="E186" i="5"/>
  <c r="N185" i="5"/>
  <c r="M185" i="5"/>
  <c r="L185" i="5"/>
  <c r="K185" i="5"/>
  <c r="J185" i="5"/>
  <c r="I185" i="5"/>
  <c r="H185" i="5"/>
  <c r="G185" i="5"/>
  <c r="F185" i="5"/>
  <c r="E185" i="5"/>
  <c r="N184" i="5"/>
  <c r="M184" i="5"/>
  <c r="L184" i="5"/>
  <c r="K184" i="5"/>
  <c r="J184" i="5"/>
  <c r="I184" i="5"/>
  <c r="H184" i="5"/>
  <c r="G184" i="5"/>
  <c r="F184" i="5"/>
  <c r="E184" i="5"/>
  <c r="N183" i="5"/>
  <c r="M183" i="5"/>
  <c r="L183" i="5"/>
  <c r="K183" i="5"/>
  <c r="J183" i="5"/>
  <c r="I183" i="5"/>
  <c r="H183" i="5"/>
  <c r="G183" i="5"/>
  <c r="F183" i="5"/>
  <c r="E183" i="5"/>
  <c r="N182" i="5"/>
  <c r="M182" i="5"/>
  <c r="L182" i="5"/>
  <c r="K182" i="5"/>
  <c r="J182" i="5"/>
  <c r="I182" i="5"/>
  <c r="H182" i="5"/>
  <c r="G182" i="5"/>
  <c r="F182" i="5"/>
  <c r="E182" i="5"/>
  <c r="N181" i="5"/>
  <c r="M181" i="5"/>
  <c r="L181" i="5"/>
  <c r="K181" i="5"/>
  <c r="J181" i="5"/>
  <c r="I181" i="5"/>
  <c r="H181" i="5"/>
  <c r="G181" i="5"/>
  <c r="F181" i="5"/>
  <c r="E181" i="5"/>
  <c r="N180" i="5"/>
  <c r="M180" i="5"/>
  <c r="L180" i="5"/>
  <c r="K180" i="5"/>
  <c r="J180" i="5"/>
  <c r="I180" i="5"/>
  <c r="H180" i="5"/>
  <c r="G180" i="5"/>
  <c r="F180" i="5"/>
  <c r="E180" i="5"/>
  <c r="N179" i="5"/>
  <c r="M179" i="5"/>
  <c r="L179" i="5"/>
  <c r="K179" i="5"/>
  <c r="J179" i="5"/>
  <c r="I179" i="5"/>
  <c r="H179" i="5"/>
  <c r="G179" i="5"/>
  <c r="F179" i="5"/>
  <c r="E179" i="5"/>
  <c r="N178" i="5"/>
  <c r="M178" i="5"/>
  <c r="L178" i="5"/>
  <c r="K178" i="5"/>
  <c r="J178" i="5"/>
  <c r="I178" i="5"/>
  <c r="H178" i="5"/>
  <c r="G178" i="5"/>
  <c r="F178" i="5"/>
  <c r="E178" i="5"/>
  <c r="N177" i="5"/>
  <c r="M177" i="5"/>
  <c r="L177" i="5"/>
  <c r="K177" i="5"/>
  <c r="J177" i="5"/>
  <c r="I177" i="5"/>
  <c r="H177" i="5"/>
  <c r="G177" i="5"/>
  <c r="F177" i="5"/>
  <c r="E177" i="5"/>
  <c r="N176" i="5"/>
  <c r="M176" i="5"/>
  <c r="L176" i="5"/>
  <c r="K176" i="5"/>
  <c r="J176" i="5"/>
  <c r="I176" i="5"/>
  <c r="H176" i="5"/>
  <c r="G176" i="5"/>
  <c r="F176" i="5"/>
  <c r="E176" i="5"/>
  <c r="N175" i="5"/>
  <c r="M175" i="5"/>
  <c r="L175" i="5"/>
  <c r="K175" i="5"/>
  <c r="J175" i="5"/>
  <c r="I175" i="5"/>
  <c r="H175" i="5"/>
  <c r="G175" i="5"/>
  <c r="F175" i="5"/>
  <c r="E175" i="5"/>
  <c r="N174" i="5"/>
  <c r="M174" i="5"/>
  <c r="L174" i="5"/>
  <c r="K174" i="5"/>
  <c r="J174" i="5"/>
  <c r="I174" i="5"/>
  <c r="H174" i="5"/>
  <c r="G174" i="5"/>
  <c r="F174" i="5"/>
  <c r="E174" i="5"/>
  <c r="N173" i="5"/>
  <c r="M173" i="5"/>
  <c r="L173" i="5"/>
  <c r="K173" i="5"/>
  <c r="J173" i="5"/>
  <c r="I173" i="5"/>
  <c r="H173" i="5"/>
  <c r="G173" i="5"/>
  <c r="F173" i="5"/>
  <c r="E173" i="5"/>
  <c r="N172" i="5"/>
  <c r="M172" i="5"/>
  <c r="L172" i="5"/>
  <c r="K172" i="5"/>
  <c r="J172" i="5"/>
  <c r="I172" i="5"/>
  <c r="H172" i="5"/>
  <c r="G172" i="5"/>
  <c r="F172" i="5"/>
  <c r="E172" i="5"/>
  <c r="N171" i="5"/>
  <c r="M171" i="5"/>
  <c r="L171" i="5"/>
  <c r="K171" i="5"/>
  <c r="J171" i="5"/>
  <c r="I171" i="5"/>
  <c r="H171" i="5"/>
  <c r="G171" i="5"/>
  <c r="F171" i="5"/>
  <c r="E171" i="5"/>
  <c r="N170" i="5"/>
  <c r="M170" i="5"/>
  <c r="L170" i="5"/>
  <c r="K170" i="5"/>
  <c r="J170" i="5"/>
  <c r="I170" i="5"/>
  <c r="H170" i="5"/>
  <c r="G170" i="5"/>
  <c r="F170" i="5"/>
  <c r="E170" i="5"/>
  <c r="N169" i="5"/>
  <c r="M169" i="5"/>
  <c r="L169" i="5"/>
  <c r="K169" i="5"/>
  <c r="J169" i="5"/>
  <c r="I169" i="5"/>
  <c r="H169" i="5"/>
  <c r="G169" i="5"/>
  <c r="F169" i="5"/>
  <c r="E169" i="5"/>
  <c r="N168" i="5"/>
  <c r="M168" i="5"/>
  <c r="L168" i="5"/>
  <c r="K168" i="5"/>
  <c r="J168" i="5"/>
  <c r="I168" i="5"/>
  <c r="H168" i="5"/>
  <c r="G168" i="5"/>
  <c r="F168" i="5"/>
  <c r="E168" i="5"/>
  <c r="N167" i="5"/>
  <c r="M167" i="5"/>
  <c r="L167" i="5"/>
  <c r="K167" i="5"/>
  <c r="J167" i="5"/>
  <c r="I167" i="5"/>
  <c r="H167" i="5"/>
  <c r="G167" i="5"/>
  <c r="F167" i="5"/>
  <c r="E167" i="5"/>
  <c r="N166" i="5"/>
  <c r="M166" i="5"/>
  <c r="L166" i="5"/>
  <c r="K166" i="5"/>
  <c r="J166" i="5"/>
  <c r="I166" i="5"/>
  <c r="H166" i="5"/>
  <c r="G166" i="5"/>
  <c r="F166" i="5"/>
  <c r="E166" i="5"/>
  <c r="N165" i="5"/>
  <c r="M165" i="5"/>
  <c r="L165" i="5"/>
  <c r="K165" i="5"/>
  <c r="J165" i="5"/>
  <c r="I165" i="5"/>
  <c r="H165" i="5"/>
  <c r="G165" i="5"/>
  <c r="F165" i="5"/>
  <c r="E165" i="5"/>
  <c r="N164" i="5"/>
  <c r="M164" i="5"/>
  <c r="L164" i="5"/>
  <c r="K164" i="5"/>
  <c r="J164" i="5"/>
  <c r="I164" i="5"/>
  <c r="H164" i="5"/>
  <c r="G164" i="5"/>
  <c r="F164" i="5"/>
  <c r="E164" i="5"/>
  <c r="N163" i="5"/>
  <c r="M163" i="5"/>
  <c r="L163" i="5"/>
  <c r="K163" i="5"/>
  <c r="J163" i="5"/>
  <c r="I163" i="5"/>
  <c r="H163" i="5"/>
  <c r="G163" i="5"/>
  <c r="F163" i="5"/>
  <c r="E163" i="5"/>
  <c r="N162" i="5"/>
  <c r="M162" i="5"/>
  <c r="L162" i="5"/>
  <c r="K162" i="5"/>
  <c r="J162" i="5"/>
  <c r="I162" i="5"/>
  <c r="H162" i="5"/>
  <c r="G162" i="5"/>
  <c r="F162" i="5"/>
  <c r="E162" i="5"/>
  <c r="N161" i="5"/>
  <c r="M161" i="5"/>
  <c r="L161" i="5"/>
  <c r="K161" i="5"/>
  <c r="J161" i="5"/>
  <c r="I161" i="5"/>
  <c r="H161" i="5"/>
  <c r="G161" i="5"/>
  <c r="F161" i="5"/>
  <c r="E161" i="5"/>
  <c r="N160" i="5"/>
  <c r="M160" i="5"/>
  <c r="L160" i="5"/>
  <c r="K160" i="5"/>
  <c r="J160" i="5"/>
  <c r="I160" i="5"/>
  <c r="H160" i="5"/>
  <c r="G160" i="5"/>
  <c r="F160" i="5"/>
  <c r="E160" i="5"/>
  <c r="N159" i="5"/>
  <c r="M159" i="5"/>
  <c r="L159" i="5"/>
  <c r="K159" i="5"/>
  <c r="J159" i="5"/>
  <c r="I159" i="5"/>
  <c r="H159" i="5"/>
  <c r="G159" i="5"/>
  <c r="F159" i="5"/>
  <c r="E159" i="5"/>
  <c r="N158" i="5"/>
  <c r="M158" i="5"/>
  <c r="L158" i="5"/>
  <c r="K158" i="5"/>
  <c r="J158" i="5"/>
  <c r="I158" i="5"/>
  <c r="H158" i="5"/>
  <c r="G158" i="5"/>
  <c r="F158" i="5"/>
  <c r="E158" i="5"/>
  <c r="N157" i="5"/>
  <c r="M157" i="5"/>
  <c r="L157" i="5"/>
  <c r="K157" i="5"/>
  <c r="J157" i="5"/>
  <c r="I157" i="5"/>
  <c r="H157" i="5"/>
  <c r="G157" i="5"/>
  <c r="F157" i="5"/>
  <c r="E157" i="5"/>
  <c r="N156" i="5"/>
  <c r="M156" i="5"/>
  <c r="L156" i="5"/>
  <c r="K156" i="5"/>
  <c r="J156" i="5"/>
  <c r="I156" i="5"/>
  <c r="H156" i="5"/>
  <c r="G156" i="5"/>
  <c r="F156" i="5"/>
  <c r="E156" i="5"/>
  <c r="N155" i="5"/>
  <c r="M155" i="5"/>
  <c r="L155" i="5"/>
  <c r="K155" i="5"/>
  <c r="J155" i="5"/>
  <c r="I155" i="5"/>
  <c r="H155" i="5"/>
  <c r="G155" i="5"/>
  <c r="F155" i="5"/>
  <c r="E155" i="5"/>
  <c r="N154" i="5"/>
  <c r="M154" i="5"/>
  <c r="L154" i="5"/>
  <c r="K154" i="5"/>
  <c r="J154" i="5"/>
  <c r="I154" i="5"/>
  <c r="H154" i="5"/>
  <c r="G154" i="5"/>
  <c r="F154" i="5"/>
  <c r="E154" i="5"/>
  <c r="N153" i="5"/>
  <c r="M153" i="5"/>
  <c r="L153" i="5"/>
  <c r="K153" i="5"/>
  <c r="J153" i="5"/>
  <c r="I153" i="5"/>
  <c r="H153" i="5"/>
  <c r="G153" i="5"/>
  <c r="F153" i="5"/>
  <c r="E153" i="5"/>
  <c r="N152" i="5"/>
  <c r="M152" i="5"/>
  <c r="L152" i="5"/>
  <c r="K152" i="5"/>
  <c r="J152" i="5"/>
  <c r="I152" i="5"/>
  <c r="H152" i="5"/>
  <c r="G152" i="5"/>
  <c r="F152" i="5"/>
  <c r="E152" i="5"/>
  <c r="N151" i="5"/>
  <c r="M151" i="5"/>
  <c r="L151" i="5"/>
  <c r="K151" i="5"/>
  <c r="J151" i="5"/>
  <c r="I151" i="5"/>
  <c r="H151" i="5"/>
  <c r="G151" i="5"/>
  <c r="F151" i="5"/>
  <c r="E151" i="5"/>
  <c r="N150" i="5"/>
  <c r="M150" i="5"/>
  <c r="L150" i="5"/>
  <c r="K150" i="5"/>
  <c r="J150" i="5"/>
  <c r="I150" i="5"/>
  <c r="H150" i="5"/>
  <c r="G150" i="5"/>
  <c r="F150" i="5"/>
  <c r="E150" i="5"/>
  <c r="N149" i="5"/>
  <c r="M149" i="5"/>
  <c r="L149" i="5"/>
  <c r="K149" i="5"/>
  <c r="J149" i="5"/>
  <c r="I149" i="5"/>
  <c r="H149" i="5"/>
  <c r="G149" i="5"/>
  <c r="F149" i="5"/>
  <c r="E149" i="5"/>
  <c r="N148" i="5"/>
  <c r="M148" i="5"/>
  <c r="L148" i="5"/>
  <c r="K148" i="5"/>
  <c r="J148" i="5"/>
  <c r="I148" i="5"/>
  <c r="H148" i="5"/>
  <c r="G148" i="5"/>
  <c r="F148" i="5"/>
  <c r="E148" i="5"/>
  <c r="N147" i="5"/>
  <c r="M147" i="5"/>
  <c r="L147" i="5"/>
  <c r="K147" i="5"/>
  <c r="J147" i="5"/>
  <c r="I147" i="5"/>
  <c r="H147" i="5"/>
  <c r="G147" i="5"/>
  <c r="F147" i="5"/>
  <c r="E147" i="5"/>
  <c r="N146" i="5"/>
  <c r="M146" i="5"/>
  <c r="L146" i="5"/>
  <c r="K146" i="5"/>
  <c r="J146" i="5"/>
  <c r="I146" i="5"/>
  <c r="H146" i="5"/>
  <c r="G146" i="5"/>
  <c r="F146" i="5"/>
  <c r="E146" i="5"/>
  <c r="N145" i="5"/>
  <c r="M145" i="5"/>
  <c r="L145" i="5"/>
  <c r="K145" i="5"/>
  <c r="J145" i="5"/>
  <c r="I145" i="5"/>
  <c r="H145" i="5"/>
  <c r="G145" i="5"/>
  <c r="F145" i="5"/>
  <c r="E145" i="5"/>
  <c r="N144" i="5"/>
  <c r="M144" i="5"/>
  <c r="L144" i="5"/>
  <c r="K144" i="5"/>
  <c r="J144" i="5"/>
  <c r="I144" i="5"/>
  <c r="H144" i="5"/>
  <c r="G144" i="5"/>
  <c r="F144" i="5"/>
  <c r="E144" i="5"/>
  <c r="N143" i="5"/>
  <c r="M143" i="5"/>
  <c r="L143" i="5"/>
  <c r="K143" i="5"/>
  <c r="J143" i="5"/>
  <c r="I143" i="5"/>
  <c r="H143" i="5"/>
  <c r="G143" i="5"/>
  <c r="F143" i="5"/>
  <c r="E143" i="5"/>
  <c r="N142" i="5"/>
  <c r="M142" i="5"/>
  <c r="L142" i="5"/>
  <c r="K142" i="5"/>
  <c r="J142" i="5"/>
  <c r="I142" i="5"/>
  <c r="H142" i="5"/>
  <c r="G142" i="5"/>
  <c r="F142" i="5"/>
  <c r="E142" i="5"/>
  <c r="N141" i="5"/>
  <c r="M141" i="5"/>
  <c r="L141" i="5"/>
  <c r="K141" i="5"/>
  <c r="J141" i="5"/>
  <c r="I141" i="5"/>
  <c r="H141" i="5"/>
  <c r="G141" i="5"/>
  <c r="F141" i="5"/>
  <c r="E141" i="5"/>
  <c r="N140" i="5"/>
  <c r="M140" i="5"/>
  <c r="L140" i="5"/>
  <c r="K140" i="5"/>
  <c r="J140" i="5"/>
  <c r="I140" i="5"/>
  <c r="H140" i="5"/>
  <c r="G140" i="5"/>
  <c r="F140" i="5"/>
  <c r="E140" i="5"/>
  <c r="N139" i="5"/>
  <c r="M139" i="5"/>
  <c r="L139" i="5"/>
  <c r="K139" i="5"/>
  <c r="J139" i="5"/>
  <c r="I139" i="5"/>
  <c r="H139" i="5"/>
  <c r="G139" i="5"/>
  <c r="F139" i="5"/>
  <c r="E139" i="5"/>
  <c r="N138" i="5"/>
  <c r="M138" i="5"/>
  <c r="L138" i="5"/>
  <c r="K138" i="5"/>
  <c r="J138" i="5"/>
  <c r="I138" i="5"/>
  <c r="H138" i="5"/>
  <c r="G138" i="5"/>
  <c r="F138" i="5"/>
  <c r="E138" i="5"/>
  <c r="N137" i="5"/>
  <c r="M137" i="5"/>
  <c r="L137" i="5"/>
  <c r="K137" i="5"/>
  <c r="J137" i="5"/>
  <c r="I137" i="5"/>
  <c r="H137" i="5"/>
  <c r="G137" i="5"/>
  <c r="F137" i="5"/>
  <c r="E137" i="5"/>
  <c r="N136" i="5"/>
  <c r="M136" i="5"/>
  <c r="L136" i="5"/>
  <c r="K136" i="5"/>
  <c r="J136" i="5"/>
  <c r="I136" i="5"/>
  <c r="H136" i="5"/>
  <c r="G136" i="5"/>
  <c r="F136" i="5"/>
  <c r="E136" i="5"/>
  <c r="N135" i="5"/>
  <c r="M135" i="5"/>
  <c r="L135" i="5"/>
  <c r="K135" i="5"/>
  <c r="J135" i="5"/>
  <c r="I135" i="5"/>
  <c r="H135" i="5"/>
  <c r="G135" i="5"/>
  <c r="F135" i="5"/>
  <c r="E135" i="5"/>
  <c r="N134" i="5"/>
  <c r="M134" i="5"/>
  <c r="L134" i="5"/>
  <c r="K134" i="5"/>
  <c r="J134" i="5"/>
  <c r="I134" i="5"/>
  <c r="H134" i="5"/>
  <c r="G134" i="5"/>
  <c r="F134" i="5"/>
  <c r="E134" i="5"/>
  <c r="N133" i="5"/>
  <c r="M133" i="5"/>
  <c r="L133" i="5"/>
  <c r="K133" i="5"/>
  <c r="J133" i="5"/>
  <c r="I133" i="5"/>
  <c r="H133" i="5"/>
  <c r="G133" i="5"/>
  <c r="F133" i="5"/>
  <c r="E133" i="5"/>
  <c r="N132" i="5"/>
  <c r="M132" i="5"/>
  <c r="L132" i="5"/>
  <c r="K132" i="5"/>
  <c r="J132" i="5"/>
  <c r="I132" i="5"/>
  <c r="H132" i="5"/>
  <c r="G132" i="5"/>
  <c r="F132" i="5"/>
  <c r="E132" i="5"/>
  <c r="N131" i="5"/>
  <c r="M131" i="5"/>
  <c r="L131" i="5"/>
  <c r="K131" i="5"/>
  <c r="J131" i="5"/>
  <c r="I131" i="5"/>
  <c r="H131" i="5"/>
  <c r="G131" i="5"/>
  <c r="F131" i="5"/>
  <c r="E131" i="5"/>
  <c r="N130" i="5"/>
  <c r="M130" i="5"/>
  <c r="L130" i="5"/>
  <c r="K130" i="5"/>
  <c r="J130" i="5"/>
  <c r="I130" i="5"/>
  <c r="H130" i="5"/>
  <c r="G130" i="5"/>
  <c r="F130" i="5"/>
  <c r="E130" i="5"/>
  <c r="N129" i="5"/>
  <c r="M129" i="5"/>
  <c r="L129" i="5"/>
  <c r="K129" i="5"/>
  <c r="J129" i="5"/>
  <c r="I129" i="5"/>
  <c r="H129" i="5"/>
  <c r="G129" i="5"/>
  <c r="F129" i="5"/>
  <c r="E129" i="5"/>
  <c r="N128" i="5"/>
  <c r="M128" i="5"/>
  <c r="L128" i="5"/>
  <c r="K128" i="5"/>
  <c r="J128" i="5"/>
  <c r="I128" i="5"/>
  <c r="H128" i="5"/>
  <c r="G128" i="5"/>
  <c r="F128" i="5"/>
  <c r="E128" i="5"/>
  <c r="N127" i="5"/>
  <c r="M127" i="5"/>
  <c r="L127" i="5"/>
  <c r="K127" i="5"/>
  <c r="J127" i="5"/>
  <c r="I127" i="5"/>
  <c r="H127" i="5"/>
  <c r="G127" i="5"/>
  <c r="F127" i="5"/>
  <c r="E127" i="5"/>
  <c r="N126" i="5"/>
  <c r="M126" i="5"/>
  <c r="L126" i="5"/>
  <c r="K126" i="5"/>
  <c r="J126" i="5"/>
  <c r="I126" i="5"/>
  <c r="H126" i="5"/>
  <c r="G126" i="5"/>
  <c r="F126" i="5"/>
  <c r="E126" i="5"/>
  <c r="N125" i="5"/>
  <c r="M125" i="5"/>
  <c r="L125" i="5"/>
  <c r="K125" i="5"/>
  <c r="J125" i="5"/>
  <c r="I125" i="5"/>
  <c r="H125" i="5"/>
  <c r="G125" i="5"/>
  <c r="F125" i="5"/>
  <c r="E125" i="5"/>
  <c r="N124" i="5"/>
  <c r="M124" i="5"/>
  <c r="L124" i="5"/>
  <c r="K124" i="5"/>
  <c r="J124" i="5"/>
  <c r="I124" i="5"/>
  <c r="H124" i="5"/>
  <c r="G124" i="5"/>
  <c r="F124" i="5"/>
  <c r="E124" i="5"/>
  <c r="N123" i="5"/>
  <c r="M123" i="5"/>
  <c r="L123" i="5"/>
  <c r="K123" i="5"/>
  <c r="J123" i="5"/>
  <c r="I123" i="5"/>
  <c r="H123" i="5"/>
  <c r="G123" i="5"/>
  <c r="F123" i="5"/>
  <c r="E123" i="5"/>
  <c r="N122" i="5"/>
  <c r="M122" i="5"/>
  <c r="L122" i="5"/>
  <c r="K122" i="5"/>
  <c r="J122" i="5"/>
  <c r="I122" i="5"/>
  <c r="H122" i="5"/>
  <c r="G122" i="5"/>
  <c r="F122" i="5"/>
  <c r="E122" i="5"/>
  <c r="N121" i="5"/>
  <c r="M121" i="5"/>
  <c r="L121" i="5"/>
  <c r="K121" i="5"/>
  <c r="J121" i="5"/>
  <c r="I121" i="5"/>
  <c r="H121" i="5"/>
  <c r="G121" i="5"/>
  <c r="F121" i="5"/>
  <c r="E121" i="5"/>
  <c r="N120" i="5"/>
  <c r="M120" i="5"/>
  <c r="L120" i="5"/>
  <c r="K120" i="5"/>
  <c r="J120" i="5"/>
  <c r="I120" i="5"/>
  <c r="H120" i="5"/>
  <c r="G120" i="5"/>
  <c r="F120" i="5"/>
  <c r="E120" i="5"/>
  <c r="N119" i="5"/>
  <c r="M119" i="5"/>
  <c r="L119" i="5"/>
  <c r="K119" i="5"/>
  <c r="J119" i="5"/>
  <c r="I119" i="5"/>
  <c r="H119" i="5"/>
  <c r="G119" i="5"/>
  <c r="F119" i="5"/>
  <c r="E119" i="5"/>
  <c r="N118" i="5"/>
  <c r="M118" i="5"/>
  <c r="L118" i="5"/>
  <c r="K118" i="5"/>
  <c r="J118" i="5"/>
  <c r="I118" i="5"/>
  <c r="H118" i="5"/>
  <c r="G118" i="5"/>
  <c r="F118" i="5"/>
  <c r="E118" i="5"/>
  <c r="N117" i="5"/>
  <c r="M117" i="5"/>
  <c r="L117" i="5"/>
  <c r="K117" i="5"/>
  <c r="J117" i="5"/>
  <c r="I117" i="5"/>
  <c r="H117" i="5"/>
  <c r="G117" i="5"/>
  <c r="F117" i="5"/>
  <c r="E117" i="5"/>
  <c r="N116" i="5"/>
  <c r="M116" i="5"/>
  <c r="L116" i="5"/>
  <c r="K116" i="5"/>
  <c r="J116" i="5"/>
  <c r="I116" i="5"/>
  <c r="H116" i="5"/>
  <c r="G116" i="5"/>
  <c r="F116" i="5"/>
  <c r="E116" i="5"/>
  <c r="N115" i="5"/>
  <c r="M115" i="5"/>
  <c r="L115" i="5"/>
  <c r="K115" i="5"/>
  <c r="J115" i="5"/>
  <c r="I115" i="5"/>
  <c r="H115" i="5"/>
  <c r="G115" i="5"/>
  <c r="F115" i="5"/>
  <c r="E115" i="5"/>
  <c r="N114" i="5"/>
  <c r="M114" i="5"/>
  <c r="L114" i="5"/>
  <c r="K114" i="5"/>
  <c r="J114" i="5"/>
  <c r="I114" i="5"/>
  <c r="H114" i="5"/>
  <c r="G114" i="5"/>
  <c r="F114" i="5"/>
  <c r="E114" i="5"/>
  <c r="N113" i="5"/>
  <c r="M113" i="5"/>
  <c r="L113" i="5"/>
  <c r="K113" i="5"/>
  <c r="J113" i="5"/>
  <c r="I113" i="5"/>
  <c r="H113" i="5"/>
  <c r="G113" i="5"/>
  <c r="F113" i="5"/>
  <c r="E113" i="5"/>
  <c r="N112" i="5"/>
  <c r="M112" i="5"/>
  <c r="L112" i="5"/>
  <c r="K112" i="5"/>
  <c r="J112" i="5"/>
  <c r="I112" i="5"/>
  <c r="H112" i="5"/>
  <c r="G112" i="5"/>
  <c r="F112" i="5"/>
  <c r="E112" i="5"/>
  <c r="N111" i="5"/>
  <c r="M111" i="5"/>
  <c r="L111" i="5"/>
  <c r="K111" i="5"/>
  <c r="J111" i="5"/>
  <c r="I111" i="5"/>
  <c r="H111" i="5"/>
  <c r="G111" i="5"/>
  <c r="F111" i="5"/>
  <c r="E111" i="5"/>
  <c r="N110" i="5"/>
  <c r="M110" i="5"/>
  <c r="L110" i="5"/>
  <c r="K110" i="5"/>
  <c r="J110" i="5"/>
  <c r="I110" i="5"/>
  <c r="H110" i="5"/>
  <c r="G110" i="5"/>
  <c r="F110" i="5"/>
  <c r="E110" i="5"/>
  <c r="N109" i="5"/>
  <c r="M109" i="5"/>
  <c r="L109" i="5"/>
  <c r="K109" i="5"/>
  <c r="J109" i="5"/>
  <c r="I109" i="5"/>
  <c r="H109" i="5"/>
  <c r="G109" i="5"/>
  <c r="F109" i="5"/>
  <c r="E109" i="5"/>
  <c r="N108" i="5"/>
  <c r="M108" i="5"/>
  <c r="L108" i="5"/>
  <c r="K108" i="5"/>
  <c r="J108" i="5"/>
  <c r="I108" i="5"/>
  <c r="H108" i="5"/>
  <c r="G108" i="5"/>
  <c r="F108" i="5"/>
  <c r="E108" i="5"/>
  <c r="N107" i="5"/>
  <c r="M107" i="5"/>
  <c r="L107" i="5"/>
  <c r="K107" i="5"/>
  <c r="J107" i="5"/>
  <c r="I107" i="5"/>
  <c r="H107" i="5"/>
  <c r="G107" i="5"/>
  <c r="F107" i="5"/>
  <c r="E107" i="5"/>
  <c r="N106" i="5"/>
  <c r="M106" i="5"/>
  <c r="L106" i="5"/>
  <c r="K106" i="5"/>
  <c r="J106" i="5"/>
  <c r="I106" i="5"/>
  <c r="H106" i="5"/>
  <c r="G106" i="5"/>
  <c r="F106" i="5"/>
  <c r="E106" i="5"/>
  <c r="N105" i="5"/>
  <c r="M105" i="5"/>
  <c r="L105" i="5"/>
  <c r="K105" i="5"/>
  <c r="J105" i="5"/>
  <c r="I105" i="5"/>
  <c r="H105" i="5"/>
  <c r="G105" i="5"/>
  <c r="F105" i="5"/>
  <c r="E105" i="5"/>
  <c r="N104" i="5"/>
  <c r="M104" i="5"/>
  <c r="L104" i="5"/>
  <c r="K104" i="5"/>
  <c r="J104" i="5"/>
  <c r="I104" i="5"/>
  <c r="H104" i="5"/>
  <c r="G104" i="5"/>
  <c r="F104" i="5"/>
  <c r="E104" i="5"/>
  <c r="N103" i="5"/>
  <c r="M103" i="5"/>
  <c r="L103" i="5"/>
  <c r="K103" i="5"/>
  <c r="J103" i="5"/>
  <c r="I103" i="5"/>
  <c r="H103" i="5"/>
  <c r="G103" i="5"/>
  <c r="F103" i="5"/>
  <c r="E103" i="5"/>
  <c r="N102" i="5"/>
  <c r="M102" i="5"/>
  <c r="L102" i="5"/>
  <c r="K102" i="5"/>
  <c r="J102" i="5"/>
  <c r="I102" i="5"/>
  <c r="H102" i="5"/>
  <c r="G102" i="5"/>
  <c r="F102" i="5"/>
  <c r="E102" i="5"/>
  <c r="N101" i="5"/>
  <c r="M101" i="5"/>
  <c r="L101" i="5"/>
  <c r="K101" i="5"/>
  <c r="J101" i="5"/>
  <c r="I101" i="5"/>
  <c r="H101" i="5"/>
  <c r="G101" i="5"/>
  <c r="F101" i="5"/>
  <c r="E101" i="5"/>
  <c r="N100" i="5"/>
  <c r="M100" i="5"/>
  <c r="L100" i="5"/>
  <c r="K100" i="5"/>
  <c r="J100" i="5"/>
  <c r="I100" i="5"/>
  <c r="H100" i="5"/>
  <c r="G100" i="5"/>
  <c r="F100" i="5"/>
  <c r="E100" i="5"/>
  <c r="N99" i="5"/>
  <c r="M99" i="5"/>
  <c r="L99" i="5"/>
  <c r="K99" i="5"/>
  <c r="J99" i="5"/>
  <c r="I99" i="5"/>
  <c r="H99" i="5"/>
  <c r="G99" i="5"/>
  <c r="F99" i="5"/>
  <c r="E99" i="5"/>
  <c r="N98" i="5"/>
  <c r="M98" i="5"/>
  <c r="L98" i="5"/>
  <c r="K98" i="5"/>
  <c r="J98" i="5"/>
  <c r="I98" i="5"/>
  <c r="H98" i="5"/>
  <c r="G98" i="5"/>
  <c r="F98" i="5"/>
  <c r="E98" i="5"/>
  <c r="N97" i="5"/>
  <c r="M97" i="5"/>
  <c r="L97" i="5"/>
  <c r="K97" i="5"/>
  <c r="J97" i="5"/>
  <c r="I97" i="5"/>
  <c r="H97" i="5"/>
  <c r="G97" i="5"/>
  <c r="F97" i="5"/>
  <c r="E97" i="5"/>
  <c r="N96" i="5"/>
  <c r="M96" i="5"/>
  <c r="L96" i="5"/>
  <c r="K96" i="5"/>
  <c r="J96" i="5"/>
  <c r="I96" i="5"/>
  <c r="H96" i="5"/>
  <c r="G96" i="5"/>
  <c r="F96" i="5"/>
  <c r="E96" i="5"/>
  <c r="N95" i="5"/>
  <c r="M95" i="5"/>
  <c r="L95" i="5"/>
  <c r="K95" i="5"/>
  <c r="J95" i="5"/>
  <c r="I95" i="5"/>
  <c r="H95" i="5"/>
  <c r="G95" i="5"/>
  <c r="F95" i="5"/>
  <c r="E95" i="5"/>
  <c r="N94" i="5"/>
  <c r="M94" i="5"/>
  <c r="L94" i="5"/>
  <c r="K94" i="5"/>
  <c r="J94" i="5"/>
  <c r="I94" i="5"/>
  <c r="H94" i="5"/>
  <c r="G94" i="5"/>
  <c r="F94" i="5"/>
  <c r="E94" i="5"/>
  <c r="N93" i="5"/>
  <c r="M93" i="5"/>
  <c r="L93" i="5"/>
  <c r="K93" i="5"/>
  <c r="J93" i="5"/>
  <c r="I93" i="5"/>
  <c r="H93" i="5"/>
  <c r="G93" i="5"/>
  <c r="F93" i="5"/>
  <c r="E93" i="5"/>
  <c r="N92" i="5"/>
  <c r="M92" i="5"/>
  <c r="L92" i="5"/>
  <c r="K92" i="5"/>
  <c r="J92" i="5"/>
  <c r="I92" i="5"/>
  <c r="H92" i="5"/>
  <c r="G92" i="5"/>
  <c r="F92" i="5"/>
  <c r="E92" i="5"/>
  <c r="N91" i="5"/>
  <c r="M91" i="5"/>
  <c r="L91" i="5"/>
  <c r="K91" i="5"/>
  <c r="J91" i="5"/>
  <c r="I91" i="5"/>
  <c r="H91" i="5"/>
  <c r="G91" i="5"/>
  <c r="F91" i="5"/>
  <c r="E91" i="5"/>
  <c r="N90" i="5"/>
  <c r="M90" i="5"/>
  <c r="L90" i="5"/>
  <c r="K90" i="5"/>
  <c r="J90" i="5"/>
  <c r="I90" i="5"/>
  <c r="H90" i="5"/>
  <c r="G90" i="5"/>
  <c r="F90" i="5"/>
  <c r="E90" i="5"/>
  <c r="N89" i="5"/>
  <c r="M89" i="5"/>
  <c r="L89" i="5"/>
  <c r="K89" i="5"/>
  <c r="J89" i="5"/>
  <c r="I89" i="5"/>
  <c r="H89" i="5"/>
  <c r="G89" i="5"/>
  <c r="F89" i="5"/>
  <c r="E89" i="5"/>
  <c r="N88" i="5"/>
  <c r="M88" i="5"/>
  <c r="L88" i="5"/>
  <c r="K88" i="5"/>
  <c r="J88" i="5"/>
  <c r="I88" i="5"/>
  <c r="H88" i="5"/>
  <c r="G88" i="5"/>
  <c r="F88" i="5"/>
  <c r="E88" i="5"/>
  <c r="N87" i="5"/>
  <c r="M87" i="5"/>
  <c r="L87" i="5"/>
  <c r="K87" i="5"/>
  <c r="J87" i="5"/>
  <c r="I87" i="5"/>
  <c r="H87" i="5"/>
  <c r="G87" i="5"/>
  <c r="F87" i="5"/>
  <c r="E87" i="5"/>
  <c r="N86" i="5"/>
  <c r="M86" i="5"/>
  <c r="L86" i="5"/>
  <c r="K86" i="5"/>
  <c r="J86" i="5"/>
  <c r="I86" i="5"/>
  <c r="H86" i="5"/>
  <c r="G86" i="5"/>
  <c r="F86" i="5"/>
  <c r="E86" i="5"/>
  <c r="N85" i="5"/>
  <c r="M85" i="5"/>
  <c r="L85" i="5"/>
  <c r="K85" i="5"/>
  <c r="J85" i="5"/>
  <c r="I85" i="5"/>
  <c r="H85" i="5"/>
  <c r="G85" i="5"/>
  <c r="F85" i="5"/>
  <c r="E85" i="5"/>
  <c r="N84" i="5"/>
  <c r="M84" i="5"/>
  <c r="L84" i="5"/>
  <c r="K84" i="5"/>
  <c r="J84" i="5"/>
  <c r="I84" i="5"/>
  <c r="H84" i="5"/>
  <c r="G84" i="5"/>
  <c r="F84" i="5"/>
  <c r="E84" i="5"/>
  <c r="N83" i="5"/>
  <c r="M83" i="5"/>
  <c r="L83" i="5"/>
  <c r="K83" i="5"/>
  <c r="J83" i="5"/>
  <c r="I83" i="5"/>
  <c r="H83" i="5"/>
  <c r="G83" i="5"/>
  <c r="F83" i="5"/>
  <c r="E83" i="5"/>
  <c r="N82" i="5"/>
  <c r="M82" i="5"/>
  <c r="L82" i="5"/>
  <c r="K82" i="5"/>
  <c r="J82" i="5"/>
  <c r="I82" i="5"/>
  <c r="H82" i="5"/>
  <c r="G82" i="5"/>
  <c r="F82" i="5"/>
  <c r="E82" i="5"/>
  <c r="N81" i="5"/>
  <c r="M81" i="5"/>
  <c r="L81" i="5"/>
  <c r="K81" i="5"/>
  <c r="J81" i="5"/>
  <c r="I81" i="5"/>
  <c r="H81" i="5"/>
  <c r="G81" i="5"/>
  <c r="F81" i="5"/>
  <c r="E81" i="5"/>
  <c r="N80" i="5"/>
  <c r="M80" i="5"/>
  <c r="L80" i="5"/>
  <c r="K80" i="5"/>
  <c r="J80" i="5"/>
  <c r="I80" i="5"/>
  <c r="H80" i="5"/>
  <c r="G80" i="5"/>
  <c r="F80" i="5"/>
  <c r="E80" i="5"/>
  <c r="N79" i="5"/>
  <c r="M79" i="5"/>
  <c r="L79" i="5"/>
  <c r="K79" i="5"/>
  <c r="J79" i="5"/>
  <c r="I79" i="5"/>
  <c r="H79" i="5"/>
  <c r="G79" i="5"/>
  <c r="F79" i="5"/>
  <c r="E79" i="5"/>
  <c r="N78" i="5"/>
  <c r="M78" i="5"/>
  <c r="L78" i="5"/>
  <c r="K78" i="5"/>
  <c r="J78" i="5"/>
  <c r="I78" i="5"/>
  <c r="H78" i="5"/>
  <c r="G78" i="5"/>
  <c r="F78" i="5"/>
  <c r="E78" i="5"/>
  <c r="N77" i="5"/>
  <c r="M77" i="5"/>
  <c r="L77" i="5"/>
  <c r="K77" i="5"/>
  <c r="J77" i="5"/>
  <c r="I77" i="5"/>
  <c r="H77" i="5"/>
  <c r="G77" i="5"/>
  <c r="F77" i="5"/>
  <c r="E77" i="5"/>
  <c r="N76" i="5"/>
  <c r="M76" i="5"/>
  <c r="L76" i="5"/>
  <c r="K76" i="5"/>
  <c r="J76" i="5"/>
  <c r="I76" i="5"/>
  <c r="H76" i="5"/>
  <c r="G76" i="5"/>
  <c r="F76" i="5"/>
  <c r="E76" i="5"/>
  <c r="N75" i="5"/>
  <c r="M75" i="5"/>
  <c r="L75" i="5"/>
  <c r="K75" i="5"/>
  <c r="J75" i="5"/>
  <c r="I75" i="5"/>
  <c r="H75" i="5"/>
  <c r="G75" i="5"/>
  <c r="F75" i="5"/>
  <c r="E75" i="5"/>
  <c r="N74" i="5"/>
  <c r="M74" i="5"/>
  <c r="L74" i="5"/>
  <c r="K74" i="5"/>
  <c r="J74" i="5"/>
  <c r="I74" i="5"/>
  <c r="H74" i="5"/>
  <c r="G74" i="5"/>
  <c r="F74" i="5"/>
  <c r="E74" i="5"/>
  <c r="N73" i="5"/>
  <c r="M73" i="5"/>
  <c r="L73" i="5"/>
  <c r="K73" i="5"/>
  <c r="J73" i="5"/>
  <c r="I73" i="5"/>
  <c r="H73" i="5"/>
  <c r="G73" i="5"/>
  <c r="F73" i="5"/>
  <c r="E73" i="5"/>
  <c r="N72" i="5"/>
  <c r="M72" i="5"/>
  <c r="L72" i="5"/>
  <c r="K72" i="5"/>
  <c r="J72" i="5"/>
  <c r="I72" i="5"/>
  <c r="H72" i="5"/>
  <c r="G72" i="5"/>
  <c r="F72" i="5"/>
  <c r="E72" i="5"/>
  <c r="N71" i="5"/>
  <c r="M71" i="5"/>
  <c r="L71" i="5"/>
  <c r="K71" i="5"/>
  <c r="J71" i="5"/>
  <c r="I71" i="5"/>
  <c r="H71" i="5"/>
  <c r="G71" i="5"/>
  <c r="F71" i="5"/>
  <c r="E71" i="5"/>
  <c r="N70" i="5"/>
  <c r="M70" i="5"/>
  <c r="L70" i="5"/>
  <c r="K70" i="5"/>
  <c r="J70" i="5"/>
  <c r="I70" i="5"/>
  <c r="H70" i="5"/>
  <c r="G70" i="5"/>
  <c r="F70" i="5"/>
  <c r="E70" i="5"/>
  <c r="N69" i="5"/>
  <c r="M69" i="5"/>
  <c r="L69" i="5"/>
  <c r="K69" i="5"/>
  <c r="J69" i="5"/>
  <c r="I69" i="5"/>
  <c r="H69" i="5"/>
  <c r="G69" i="5"/>
  <c r="F69" i="5"/>
  <c r="E69" i="5"/>
  <c r="N68" i="5"/>
  <c r="M68" i="5"/>
  <c r="L68" i="5"/>
  <c r="K68" i="5"/>
  <c r="J68" i="5"/>
  <c r="I68" i="5"/>
  <c r="H68" i="5"/>
  <c r="G68" i="5"/>
  <c r="F68" i="5"/>
  <c r="E68" i="5"/>
  <c r="N67" i="5"/>
  <c r="M67" i="5"/>
  <c r="L67" i="5"/>
  <c r="K67" i="5"/>
  <c r="J67" i="5"/>
  <c r="I67" i="5"/>
  <c r="H67" i="5"/>
  <c r="G67" i="5"/>
  <c r="F67" i="5"/>
  <c r="E67" i="5"/>
  <c r="N66" i="5"/>
  <c r="M66" i="5"/>
  <c r="L66" i="5"/>
  <c r="K66" i="5"/>
  <c r="J66" i="5"/>
  <c r="I66" i="5"/>
  <c r="H66" i="5"/>
  <c r="G66" i="5"/>
  <c r="F66" i="5"/>
  <c r="E66" i="5"/>
  <c r="N65" i="5"/>
  <c r="M65" i="5"/>
  <c r="L65" i="5"/>
  <c r="K65" i="5"/>
  <c r="J65" i="5"/>
  <c r="I65" i="5"/>
  <c r="H65" i="5"/>
  <c r="G65" i="5"/>
  <c r="F65" i="5"/>
  <c r="E65" i="5"/>
  <c r="N64" i="5"/>
  <c r="M64" i="5"/>
  <c r="L64" i="5"/>
  <c r="K64" i="5"/>
  <c r="J64" i="5"/>
  <c r="I64" i="5"/>
  <c r="H64" i="5"/>
  <c r="G64" i="5"/>
  <c r="F64" i="5"/>
  <c r="E64" i="5"/>
  <c r="N63" i="5"/>
  <c r="M63" i="5"/>
  <c r="L63" i="5"/>
  <c r="K63" i="5"/>
  <c r="J63" i="5"/>
  <c r="I63" i="5"/>
  <c r="H63" i="5"/>
  <c r="G63" i="5"/>
  <c r="F63" i="5"/>
  <c r="E63" i="5"/>
  <c r="N62" i="5"/>
  <c r="M62" i="5"/>
  <c r="L62" i="5"/>
  <c r="K62" i="5"/>
  <c r="J62" i="5"/>
  <c r="I62" i="5"/>
  <c r="H62" i="5"/>
  <c r="G62" i="5"/>
  <c r="F62" i="5"/>
  <c r="E62" i="5"/>
  <c r="N61" i="5"/>
  <c r="M61" i="5"/>
  <c r="L61" i="5"/>
  <c r="K61" i="5"/>
  <c r="J61" i="5"/>
  <c r="I61" i="5"/>
  <c r="H61" i="5"/>
  <c r="G61" i="5"/>
  <c r="F61" i="5"/>
  <c r="E61" i="5"/>
  <c r="N60" i="5"/>
  <c r="M60" i="5"/>
  <c r="L60" i="5"/>
  <c r="K60" i="5"/>
  <c r="J60" i="5"/>
  <c r="I60" i="5"/>
  <c r="H60" i="5"/>
  <c r="G60" i="5"/>
  <c r="F60" i="5"/>
  <c r="E60" i="5"/>
  <c r="N59" i="5"/>
  <c r="M59" i="5"/>
  <c r="L59" i="5"/>
  <c r="K59" i="5"/>
  <c r="J59" i="5"/>
  <c r="I59" i="5"/>
  <c r="H59" i="5"/>
  <c r="G59" i="5"/>
  <c r="F59" i="5"/>
  <c r="E59" i="5"/>
  <c r="N58" i="5"/>
  <c r="M58" i="5"/>
  <c r="L58" i="5"/>
  <c r="K58" i="5"/>
  <c r="J58" i="5"/>
  <c r="I58" i="5"/>
  <c r="H58" i="5"/>
  <c r="G58" i="5"/>
  <c r="F58" i="5"/>
  <c r="E58" i="5"/>
  <c r="N57" i="5"/>
  <c r="M57" i="5"/>
  <c r="L57" i="5"/>
  <c r="K57" i="5"/>
  <c r="J57" i="5"/>
  <c r="I57" i="5"/>
  <c r="H57" i="5"/>
  <c r="G57" i="5"/>
  <c r="F57" i="5"/>
  <c r="E57" i="5"/>
  <c r="N56" i="5"/>
  <c r="M56" i="5"/>
  <c r="L56" i="5"/>
  <c r="K56" i="5"/>
  <c r="J56" i="5"/>
  <c r="I56" i="5"/>
  <c r="H56" i="5"/>
  <c r="G56" i="5"/>
  <c r="F56" i="5"/>
  <c r="E56" i="5"/>
  <c r="N55" i="5"/>
  <c r="M55" i="5"/>
  <c r="L55" i="5"/>
  <c r="K55" i="5"/>
  <c r="J55" i="5"/>
  <c r="I55" i="5"/>
  <c r="H55" i="5"/>
  <c r="G55" i="5"/>
  <c r="F55" i="5"/>
  <c r="E55" i="5"/>
  <c r="N54" i="5"/>
  <c r="M54" i="5"/>
  <c r="L54" i="5"/>
  <c r="K54" i="5"/>
  <c r="J54" i="5"/>
  <c r="I54" i="5"/>
  <c r="H54" i="5"/>
  <c r="G54" i="5"/>
  <c r="F54" i="5"/>
  <c r="E54" i="5"/>
  <c r="N53" i="5"/>
  <c r="M53" i="5"/>
  <c r="L53" i="5"/>
  <c r="K53" i="5"/>
  <c r="J53" i="5"/>
  <c r="I53" i="5"/>
  <c r="H53" i="5"/>
  <c r="G53" i="5"/>
  <c r="F53" i="5"/>
  <c r="E53" i="5"/>
  <c r="N52" i="5"/>
  <c r="M52" i="5"/>
  <c r="L52" i="5"/>
  <c r="K52" i="5"/>
  <c r="J52" i="5"/>
  <c r="I52" i="5"/>
  <c r="H52" i="5"/>
  <c r="G52" i="5"/>
  <c r="F52" i="5"/>
  <c r="E52" i="5"/>
  <c r="N51" i="5"/>
  <c r="M51" i="5"/>
  <c r="L51" i="5"/>
  <c r="K51" i="5"/>
  <c r="J51" i="5"/>
  <c r="I51" i="5"/>
  <c r="H51" i="5"/>
  <c r="G51" i="5"/>
  <c r="F51" i="5"/>
  <c r="E51" i="5"/>
  <c r="N50" i="5"/>
  <c r="M50" i="5"/>
  <c r="L50" i="5"/>
  <c r="K50" i="5"/>
  <c r="J50" i="5"/>
  <c r="I50" i="5"/>
  <c r="H50" i="5"/>
  <c r="G50" i="5"/>
  <c r="F50" i="5"/>
  <c r="E50" i="5"/>
  <c r="N49" i="5"/>
  <c r="M49" i="5"/>
  <c r="L49" i="5"/>
  <c r="K49" i="5"/>
  <c r="J49" i="5"/>
  <c r="I49" i="5"/>
  <c r="H49" i="5"/>
  <c r="G49" i="5"/>
  <c r="F49" i="5"/>
  <c r="E49" i="5"/>
  <c r="N48" i="5"/>
  <c r="M48" i="5"/>
  <c r="L48" i="5"/>
  <c r="K48" i="5"/>
  <c r="J48" i="5"/>
  <c r="I48" i="5"/>
  <c r="H48" i="5"/>
  <c r="G48" i="5"/>
  <c r="F48" i="5"/>
  <c r="E48" i="5"/>
  <c r="N47" i="5"/>
  <c r="M47" i="5"/>
  <c r="L47" i="5"/>
  <c r="K47" i="5"/>
  <c r="J47" i="5"/>
  <c r="I47" i="5"/>
  <c r="H47" i="5"/>
  <c r="G47" i="5"/>
  <c r="F47" i="5"/>
  <c r="E47" i="5"/>
  <c r="N46" i="5"/>
  <c r="M46" i="5"/>
  <c r="L46" i="5"/>
  <c r="K46" i="5"/>
  <c r="J46" i="5"/>
  <c r="I46" i="5"/>
  <c r="H46" i="5"/>
  <c r="G46" i="5"/>
  <c r="F46" i="5"/>
  <c r="E46" i="5"/>
  <c r="N45" i="5"/>
  <c r="M45" i="5"/>
  <c r="L45" i="5"/>
  <c r="K45" i="5"/>
  <c r="J45" i="5"/>
  <c r="I45" i="5"/>
  <c r="H45" i="5"/>
  <c r="G45" i="5"/>
  <c r="F45" i="5"/>
  <c r="E45" i="5"/>
  <c r="N44" i="5"/>
  <c r="M44" i="5"/>
  <c r="L44" i="5"/>
  <c r="K44" i="5"/>
  <c r="J44" i="5"/>
  <c r="I44" i="5"/>
  <c r="H44" i="5"/>
  <c r="G44" i="5"/>
  <c r="F44" i="5"/>
  <c r="E44" i="5"/>
  <c r="N43" i="5"/>
  <c r="M43" i="5"/>
  <c r="L43" i="5"/>
  <c r="K43" i="5"/>
  <c r="J43" i="5"/>
  <c r="I43" i="5"/>
  <c r="H43" i="5"/>
  <c r="G43" i="5"/>
  <c r="F43" i="5"/>
  <c r="E43" i="5"/>
  <c r="N42" i="5"/>
  <c r="M42" i="5"/>
  <c r="L42" i="5"/>
  <c r="K42" i="5"/>
  <c r="J42" i="5"/>
  <c r="I42" i="5"/>
  <c r="H42" i="5"/>
  <c r="G42" i="5"/>
  <c r="F42" i="5"/>
  <c r="E42" i="5"/>
  <c r="N41" i="5"/>
  <c r="M41" i="5"/>
  <c r="L41" i="5"/>
  <c r="K41" i="5"/>
  <c r="J41" i="5"/>
  <c r="I41" i="5"/>
  <c r="H41" i="5"/>
  <c r="G41" i="5"/>
  <c r="F41" i="5"/>
  <c r="E41" i="5"/>
  <c r="N40" i="5"/>
  <c r="M40" i="5"/>
  <c r="L40" i="5"/>
  <c r="K40" i="5"/>
  <c r="J40" i="5"/>
  <c r="I40" i="5"/>
  <c r="H40" i="5"/>
  <c r="G40" i="5"/>
  <c r="F40" i="5"/>
  <c r="E40" i="5"/>
  <c r="N39" i="5"/>
  <c r="M39" i="5"/>
  <c r="L39" i="5"/>
  <c r="K39" i="5"/>
  <c r="J39" i="5"/>
  <c r="I39" i="5"/>
  <c r="H39" i="5"/>
  <c r="G39" i="5"/>
  <c r="F39" i="5"/>
  <c r="E39" i="5"/>
  <c r="N38" i="5"/>
  <c r="M38" i="5"/>
  <c r="L38" i="5"/>
  <c r="K38" i="5"/>
  <c r="J38" i="5"/>
  <c r="I38" i="5"/>
  <c r="H38" i="5"/>
  <c r="G38" i="5"/>
  <c r="F38" i="5"/>
  <c r="E38" i="5"/>
  <c r="N37" i="5"/>
  <c r="M37" i="5"/>
  <c r="L37" i="5"/>
  <c r="K37" i="5"/>
  <c r="J37" i="5"/>
  <c r="I37" i="5"/>
  <c r="H37" i="5"/>
  <c r="G37" i="5"/>
  <c r="F37" i="5"/>
  <c r="E37" i="5"/>
  <c r="N36" i="5"/>
  <c r="M36" i="5"/>
  <c r="L36" i="5"/>
  <c r="K36" i="5"/>
  <c r="J36" i="5"/>
  <c r="I36" i="5"/>
  <c r="H36" i="5"/>
  <c r="G36" i="5"/>
  <c r="F36" i="5"/>
  <c r="E36" i="5"/>
  <c r="N35" i="5"/>
  <c r="M35" i="5"/>
  <c r="L35" i="5"/>
  <c r="K35" i="5"/>
  <c r="J35" i="5"/>
  <c r="I35" i="5"/>
  <c r="H35" i="5"/>
  <c r="G35" i="5"/>
  <c r="F35" i="5"/>
  <c r="E35" i="5"/>
  <c r="N34" i="5"/>
  <c r="M34" i="5"/>
  <c r="L34" i="5"/>
  <c r="K34" i="5"/>
  <c r="J34" i="5"/>
  <c r="I34" i="5"/>
  <c r="H34" i="5"/>
  <c r="G34" i="5"/>
  <c r="F34" i="5"/>
  <c r="E34" i="5"/>
  <c r="N33" i="5"/>
  <c r="M33" i="5"/>
  <c r="L33" i="5"/>
  <c r="K33" i="5"/>
  <c r="J33" i="5"/>
  <c r="I33" i="5"/>
  <c r="H33" i="5"/>
  <c r="G33" i="5"/>
  <c r="F33" i="5"/>
  <c r="E33" i="5"/>
  <c r="N32" i="5"/>
  <c r="M32" i="5"/>
  <c r="L32" i="5"/>
  <c r="K32" i="5"/>
  <c r="J32" i="5"/>
  <c r="I32" i="5"/>
  <c r="H32" i="5"/>
  <c r="G32" i="5"/>
  <c r="F32" i="5"/>
  <c r="E32" i="5"/>
  <c r="N31" i="5"/>
  <c r="M31" i="5"/>
  <c r="L31" i="5"/>
  <c r="K31" i="5"/>
  <c r="J31" i="5"/>
  <c r="I31" i="5"/>
  <c r="H31" i="5"/>
  <c r="G31" i="5"/>
  <c r="F31" i="5"/>
  <c r="E31" i="5"/>
  <c r="N30" i="5"/>
  <c r="M30" i="5"/>
  <c r="L30" i="5"/>
  <c r="K30" i="5"/>
  <c r="J30" i="5"/>
  <c r="I30" i="5"/>
  <c r="H30" i="5"/>
  <c r="G30" i="5"/>
  <c r="F30" i="5"/>
  <c r="E30" i="5"/>
  <c r="N29" i="5"/>
  <c r="M29" i="5"/>
  <c r="L29" i="5"/>
  <c r="K29" i="5"/>
  <c r="J29" i="5"/>
  <c r="I29" i="5"/>
  <c r="H29" i="5"/>
  <c r="G29" i="5"/>
  <c r="F29" i="5"/>
  <c r="E29" i="5"/>
  <c r="N28" i="5"/>
  <c r="M28" i="5"/>
  <c r="L28" i="5"/>
  <c r="K28" i="5"/>
  <c r="J28" i="5"/>
  <c r="I28" i="5"/>
  <c r="H28" i="5"/>
  <c r="G28" i="5"/>
  <c r="F28" i="5"/>
  <c r="E28" i="5"/>
  <c r="N27" i="5"/>
  <c r="M27" i="5"/>
  <c r="L27" i="5"/>
  <c r="K27" i="5"/>
  <c r="J27" i="5"/>
  <c r="I27" i="5"/>
  <c r="H27" i="5"/>
  <c r="G27" i="5"/>
  <c r="F27" i="5"/>
  <c r="E27" i="5"/>
  <c r="N26" i="5"/>
  <c r="M26" i="5"/>
  <c r="L26" i="5"/>
  <c r="K26" i="5"/>
  <c r="J26" i="5"/>
  <c r="I26" i="5"/>
  <c r="H26" i="5"/>
  <c r="G26" i="5"/>
  <c r="F26" i="5"/>
  <c r="E26" i="5"/>
  <c r="N25" i="5"/>
  <c r="M25" i="5"/>
  <c r="L25" i="5"/>
  <c r="K25" i="5"/>
  <c r="J25" i="5"/>
  <c r="I25" i="5"/>
  <c r="H25" i="5"/>
  <c r="G25" i="5"/>
  <c r="F25" i="5"/>
  <c r="E25" i="5"/>
  <c r="N24" i="5"/>
  <c r="M24" i="5"/>
  <c r="L24" i="5"/>
  <c r="K24" i="5"/>
  <c r="J24" i="5"/>
  <c r="I24" i="5"/>
  <c r="H24" i="5"/>
  <c r="G24" i="5"/>
  <c r="F24" i="5"/>
  <c r="E24" i="5"/>
  <c r="N23" i="5"/>
  <c r="M23" i="5"/>
  <c r="L23" i="5"/>
  <c r="K23" i="5"/>
  <c r="J23" i="5"/>
  <c r="I23" i="5"/>
  <c r="H23" i="5"/>
  <c r="G23" i="5"/>
  <c r="F23" i="5"/>
  <c r="E23" i="5"/>
  <c r="N22" i="5"/>
  <c r="M22" i="5"/>
  <c r="L22" i="5"/>
  <c r="K22" i="5"/>
  <c r="J22" i="5"/>
  <c r="I22" i="5"/>
  <c r="H22" i="5"/>
  <c r="G22" i="5"/>
  <c r="F22" i="5"/>
  <c r="E22" i="5"/>
  <c r="N21" i="5"/>
  <c r="M21" i="5"/>
  <c r="L21" i="5"/>
  <c r="K21" i="5"/>
  <c r="J21" i="5"/>
  <c r="I21" i="5"/>
  <c r="H21" i="5"/>
  <c r="G21" i="5"/>
  <c r="F21" i="5"/>
  <c r="E21" i="5"/>
  <c r="N20" i="5"/>
  <c r="M20" i="5"/>
  <c r="L20" i="5"/>
  <c r="K20" i="5"/>
  <c r="J20" i="5"/>
  <c r="I20" i="5"/>
  <c r="H20" i="5"/>
  <c r="G20" i="5"/>
  <c r="F20" i="5"/>
  <c r="E20" i="5"/>
  <c r="N19" i="5"/>
  <c r="M19" i="5"/>
  <c r="L19" i="5"/>
  <c r="K19" i="5"/>
  <c r="J19" i="5"/>
  <c r="I19" i="5"/>
  <c r="H19" i="5"/>
  <c r="G19" i="5"/>
  <c r="F19" i="5"/>
  <c r="E19" i="5"/>
  <c r="N18" i="5"/>
  <c r="M18" i="5"/>
  <c r="L18" i="5"/>
  <c r="K18" i="5"/>
  <c r="J18" i="5"/>
  <c r="I18" i="5"/>
  <c r="H18" i="5"/>
  <c r="G18" i="5"/>
  <c r="F18" i="5"/>
  <c r="E18" i="5"/>
  <c r="N17" i="5"/>
  <c r="M17" i="5"/>
  <c r="L17" i="5"/>
  <c r="K17" i="5"/>
  <c r="J17" i="5"/>
  <c r="I17" i="5"/>
  <c r="H17" i="5"/>
  <c r="G17" i="5"/>
  <c r="F17" i="5"/>
  <c r="E17" i="5"/>
  <c r="N16" i="5"/>
  <c r="M16" i="5"/>
  <c r="L16" i="5"/>
  <c r="K16" i="5"/>
  <c r="J16" i="5"/>
  <c r="I16" i="5"/>
  <c r="H16" i="5"/>
  <c r="G16" i="5"/>
  <c r="F16" i="5"/>
  <c r="E16" i="5"/>
  <c r="N15" i="5"/>
  <c r="M15" i="5"/>
  <c r="L15" i="5"/>
  <c r="K15" i="5"/>
  <c r="J15" i="5"/>
  <c r="I15" i="5"/>
  <c r="H15" i="5"/>
  <c r="G15" i="5"/>
  <c r="F15" i="5"/>
  <c r="E15" i="5"/>
  <c r="N14" i="5"/>
  <c r="M14" i="5"/>
  <c r="L14" i="5"/>
  <c r="K14" i="5"/>
  <c r="J14" i="5"/>
  <c r="I14" i="5"/>
  <c r="H14" i="5"/>
  <c r="G14" i="5"/>
  <c r="F14" i="5"/>
  <c r="E14" i="5"/>
  <c r="N13" i="5"/>
  <c r="M13" i="5"/>
  <c r="L13" i="5"/>
  <c r="K13" i="5"/>
  <c r="J13" i="5"/>
  <c r="I13" i="5"/>
  <c r="H13" i="5"/>
  <c r="G13" i="5"/>
  <c r="F13" i="5"/>
  <c r="E13" i="5"/>
  <c r="N12" i="5"/>
  <c r="M12" i="5"/>
  <c r="L12" i="5"/>
  <c r="K12" i="5"/>
  <c r="J12" i="5"/>
  <c r="I12" i="5"/>
  <c r="H12" i="5"/>
  <c r="G12" i="5"/>
  <c r="F12" i="5"/>
  <c r="E12" i="5"/>
  <c r="N11" i="5"/>
  <c r="M11" i="5"/>
  <c r="L11" i="5"/>
  <c r="K11" i="5"/>
  <c r="J11" i="5"/>
  <c r="I11" i="5"/>
  <c r="H11" i="5"/>
  <c r="G11" i="5"/>
  <c r="F11" i="5"/>
  <c r="E11" i="5"/>
  <c r="N10" i="5"/>
  <c r="M10" i="5"/>
  <c r="L10" i="5"/>
  <c r="K10" i="5"/>
  <c r="J10" i="5"/>
  <c r="I10" i="5"/>
  <c r="H10" i="5"/>
  <c r="G10" i="5"/>
  <c r="F10" i="5"/>
  <c r="E10" i="5"/>
  <c r="A14" i="25" l="1"/>
  <c r="M334" i="67" l="1"/>
  <c r="L334" i="67"/>
  <c r="K334" i="67"/>
  <c r="J334" i="67"/>
  <c r="B245" i="11"/>
  <c r="AH244" i="11"/>
  <c r="AG244" i="11"/>
  <c r="AF244" i="11"/>
  <c r="AE244" i="11"/>
  <c r="AD244" i="11"/>
  <c r="AC244" i="11"/>
  <c r="AB244" i="11"/>
  <c r="AA244" i="11"/>
  <c r="AF257" i="18" s="1"/>
  <c r="Z244" i="11"/>
  <c r="Y244" i="11"/>
  <c r="X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D244" i="11"/>
  <c r="AH243" i="11"/>
  <c r="AG243" i="11"/>
  <c r="AF243" i="11"/>
  <c r="AE243" i="11"/>
  <c r="AD243" i="11"/>
  <c r="AC243" i="11"/>
  <c r="AB243" i="11"/>
  <c r="AA243" i="11"/>
  <c r="Z243" i="11"/>
  <c r="Y243" i="11"/>
  <c r="X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D243" i="11"/>
  <c r="G334" i="67" l="1"/>
  <c r="AH242" i="11"/>
  <c r="AG242" i="11"/>
  <c r="AF242" i="11"/>
  <c r="AE242" i="11"/>
  <c r="AD242" i="11"/>
  <c r="AC242" i="11"/>
  <c r="AB242" i="11"/>
  <c r="AA242" i="11"/>
  <c r="Z242" i="11"/>
  <c r="Y242" i="11"/>
  <c r="X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D242" i="11"/>
  <c r="AH241" i="11" l="1"/>
  <c r="AG241" i="11"/>
  <c r="AF241" i="11"/>
  <c r="AE241" i="11"/>
  <c r="AD241" i="11"/>
  <c r="AC241" i="11"/>
  <c r="AB241" i="11"/>
  <c r="AA241" i="11"/>
  <c r="Z241" i="11"/>
  <c r="Y241" i="11"/>
  <c r="X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D241" i="11"/>
  <c r="AH240" i="11"/>
  <c r="AG240" i="11"/>
  <c r="AF240" i="11"/>
  <c r="AE240" i="11"/>
  <c r="AD240" i="11"/>
  <c r="AC240" i="11"/>
  <c r="AB240" i="11"/>
  <c r="AA240" i="11"/>
  <c r="Z240" i="11"/>
  <c r="Y240" i="11"/>
  <c r="X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D240" i="11"/>
  <c r="AH239" i="11" l="1"/>
  <c r="AG239" i="11"/>
  <c r="AF239" i="11"/>
  <c r="AE239" i="11"/>
  <c r="AD239" i="11"/>
  <c r="AC239" i="11"/>
  <c r="AB239" i="11"/>
  <c r="AA239" i="11"/>
  <c r="Z239" i="11"/>
  <c r="Y239" i="11"/>
  <c r="X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D239" i="11"/>
  <c r="AH238" i="11" l="1"/>
  <c r="AG238" i="11"/>
  <c r="AF238" i="11"/>
  <c r="AE238" i="11"/>
  <c r="AD238" i="11"/>
  <c r="AC238" i="11"/>
  <c r="AB238" i="11"/>
  <c r="AA238" i="11"/>
  <c r="Z238" i="11"/>
  <c r="Y238" i="11"/>
  <c r="X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D238" i="11"/>
  <c r="AH237" i="11"/>
  <c r="AG237" i="11"/>
  <c r="AF237" i="11"/>
  <c r="AE237" i="11"/>
  <c r="AD237" i="11"/>
  <c r="AC237" i="11"/>
  <c r="AB237" i="11"/>
  <c r="AA237" i="11"/>
  <c r="Z237" i="11"/>
  <c r="Y237" i="11"/>
  <c r="X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D237" i="11"/>
  <c r="AH236" i="11"/>
  <c r="AG236" i="11"/>
  <c r="AF236" i="11"/>
  <c r="AE236" i="11"/>
  <c r="AD236" i="11"/>
  <c r="AC236" i="11"/>
  <c r="AB236" i="11"/>
  <c r="AA236" i="11"/>
  <c r="AE257" i="18" s="1"/>
  <c r="Z236" i="11"/>
  <c r="Y236" i="11"/>
  <c r="X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D236" i="11"/>
  <c r="AH235" i="11"/>
  <c r="AG235" i="11"/>
  <c r="AF235" i="11"/>
  <c r="AE235" i="11"/>
  <c r="AD235" i="11"/>
  <c r="AC235" i="11"/>
  <c r="AB235" i="11"/>
  <c r="AA235" i="11"/>
  <c r="Z235" i="11"/>
  <c r="Y235" i="11"/>
  <c r="X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D235" i="11"/>
  <c r="AH234" i="11"/>
  <c r="AG234" i="11"/>
  <c r="AF234" i="11"/>
  <c r="AE234" i="11"/>
  <c r="AD234" i="11"/>
  <c r="AC234" i="11"/>
  <c r="AB234" i="11"/>
  <c r="AA234" i="11"/>
  <c r="Z234" i="11"/>
  <c r="Y234" i="11"/>
  <c r="X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D234" i="11"/>
  <c r="AH228" i="11" l="1"/>
  <c r="AG228" i="11"/>
  <c r="AF228" i="11"/>
  <c r="AE228" i="11"/>
  <c r="AD228" i="11"/>
  <c r="AC228" i="11"/>
  <c r="AB228" i="11"/>
  <c r="AA228" i="11"/>
  <c r="AD257" i="18" s="1"/>
  <c r="Z228" i="11"/>
  <c r="Y228" i="11"/>
  <c r="X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D228" i="11"/>
  <c r="AH227" i="11" l="1"/>
  <c r="AG227" i="11"/>
  <c r="AF227" i="11"/>
  <c r="AE227" i="11"/>
  <c r="AD227" i="11"/>
  <c r="AC227" i="11"/>
  <c r="AB227" i="11"/>
  <c r="AA227" i="11"/>
  <c r="Z227" i="11"/>
  <c r="Y227" i="11"/>
  <c r="X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D227" i="11"/>
  <c r="AH226" i="11" l="1"/>
  <c r="AG226" i="11"/>
  <c r="AF226" i="11"/>
  <c r="AE226" i="11"/>
  <c r="AD226" i="11"/>
  <c r="AC226" i="11"/>
  <c r="AB226" i="11"/>
  <c r="AA226" i="11"/>
  <c r="Z226" i="11"/>
  <c r="Y226" i="11"/>
  <c r="X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D226" i="11"/>
  <c r="AH225" i="11" l="1"/>
  <c r="AG225" i="11"/>
  <c r="AF225" i="11"/>
  <c r="AE225" i="11"/>
  <c r="AD225" i="11"/>
  <c r="AC225" i="11"/>
  <c r="AB225" i="11"/>
  <c r="AA225" i="11"/>
  <c r="Z225" i="11"/>
  <c r="Y225" i="11"/>
  <c r="X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D225" i="11"/>
  <c r="AH224" i="11" l="1"/>
  <c r="AG224" i="11"/>
  <c r="AF224" i="11"/>
  <c r="AE224" i="11"/>
  <c r="AD224" i="11"/>
  <c r="AC224" i="11"/>
  <c r="AB224" i="11"/>
  <c r="AA224" i="11"/>
  <c r="Z224" i="11"/>
  <c r="Y224" i="11"/>
  <c r="X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D224" i="11"/>
  <c r="AH223" i="11" l="1"/>
  <c r="AG223" i="11"/>
  <c r="AF223" i="11"/>
  <c r="AE223" i="11"/>
  <c r="AD223" i="11"/>
  <c r="AC223" i="11"/>
  <c r="AB223" i="11"/>
  <c r="AA223" i="11"/>
  <c r="Z223" i="11"/>
  <c r="Y223" i="11"/>
  <c r="X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D223" i="11"/>
  <c r="AH222" i="11" l="1"/>
  <c r="AG222" i="11"/>
  <c r="AF222" i="11"/>
  <c r="AE222" i="11"/>
  <c r="AD222" i="11"/>
  <c r="AC222" i="11"/>
  <c r="AB222" i="11"/>
  <c r="AA222" i="11"/>
  <c r="Z222" i="11"/>
  <c r="Y222" i="11"/>
  <c r="X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D222" i="11"/>
  <c r="AH221" i="11" l="1"/>
  <c r="AG221" i="11"/>
  <c r="AF221" i="11"/>
  <c r="AE221" i="11"/>
  <c r="AD221" i="11"/>
  <c r="AC221" i="11"/>
  <c r="AB221" i="11"/>
  <c r="AA221" i="11"/>
  <c r="Z221" i="11"/>
  <c r="Y221" i="11"/>
  <c r="X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D221" i="11"/>
  <c r="AH220" i="11" l="1"/>
  <c r="AG220" i="11"/>
  <c r="AF220" i="11"/>
  <c r="AE220" i="11"/>
  <c r="AD220" i="11"/>
  <c r="AC220" i="11"/>
  <c r="AB220" i="11"/>
  <c r="AA220" i="11"/>
  <c r="AC257" i="18" s="1"/>
  <c r="Z220" i="11"/>
  <c r="Y220" i="11"/>
  <c r="X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D220" i="11"/>
  <c r="AH219" i="11" l="1"/>
  <c r="AG219" i="11"/>
  <c r="AF219" i="11"/>
  <c r="AE219" i="11"/>
  <c r="AD219" i="11"/>
  <c r="AC219" i="11"/>
  <c r="AB219" i="11"/>
  <c r="AA219" i="11"/>
  <c r="Z219" i="11"/>
  <c r="Y219" i="11"/>
  <c r="X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D219" i="11"/>
  <c r="AH218" i="11" l="1"/>
  <c r="AG218" i="11"/>
  <c r="AF218" i="11"/>
  <c r="AE218" i="11"/>
  <c r="AD218" i="11"/>
  <c r="AC218" i="11"/>
  <c r="AB218" i="11"/>
  <c r="AA218" i="11"/>
  <c r="Z218" i="11"/>
  <c r="Y218" i="11"/>
  <c r="X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D218" i="11"/>
  <c r="AH217" i="11" l="1"/>
  <c r="AG217" i="11"/>
  <c r="AF217" i="11"/>
  <c r="AE217" i="11"/>
  <c r="AD217" i="11"/>
  <c r="AC217" i="11"/>
  <c r="AB217" i="11"/>
  <c r="AA217" i="11"/>
  <c r="Z217" i="11"/>
  <c r="Y217" i="11"/>
  <c r="X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D217" i="11"/>
  <c r="AH216" i="11"/>
  <c r="AG216" i="11"/>
  <c r="AF216" i="11"/>
  <c r="AE216" i="11"/>
  <c r="AD216" i="11"/>
  <c r="AC216" i="11"/>
  <c r="AB216" i="11"/>
  <c r="AA216" i="11"/>
  <c r="Z216" i="11"/>
  <c r="Y216" i="11"/>
  <c r="X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D216" i="11"/>
  <c r="AH215" i="11"/>
  <c r="AG215" i="11"/>
  <c r="AF215" i="11"/>
  <c r="AE215" i="11"/>
  <c r="AD215" i="11"/>
  <c r="AC215" i="11"/>
  <c r="AB215" i="11"/>
  <c r="AA215" i="11"/>
  <c r="Z215" i="11"/>
  <c r="Y215" i="11"/>
  <c r="X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D215" i="11"/>
  <c r="AH214" i="11"/>
  <c r="AG214" i="11"/>
  <c r="AF214" i="11"/>
  <c r="AE214" i="11"/>
  <c r="AD214" i="11"/>
  <c r="AC214" i="11"/>
  <c r="AB214" i="11"/>
  <c r="AA214" i="11"/>
  <c r="Z214" i="11"/>
  <c r="Y214" i="11"/>
  <c r="X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D214" i="11"/>
  <c r="AH213" i="11"/>
  <c r="AG213" i="11"/>
  <c r="AF213" i="11"/>
  <c r="AE213" i="11"/>
  <c r="AD213" i="11"/>
  <c r="AC213" i="11"/>
  <c r="AB213" i="11"/>
  <c r="AA213" i="11"/>
  <c r="Z213" i="11"/>
  <c r="Y213" i="11"/>
  <c r="X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D213" i="11"/>
  <c r="AH212" i="11"/>
  <c r="AG212" i="11"/>
  <c r="AF212" i="11"/>
  <c r="AE212" i="11"/>
  <c r="AD212" i="11"/>
  <c r="AC212" i="11"/>
  <c r="AB212" i="11"/>
  <c r="AA212" i="11"/>
  <c r="AB257" i="18" s="1"/>
  <c r="Z212" i="11"/>
  <c r="Y212" i="11"/>
  <c r="X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D212" i="11"/>
  <c r="AH211" i="11"/>
  <c r="AG211" i="11"/>
  <c r="AF211" i="11"/>
  <c r="AE211" i="11"/>
  <c r="AD211" i="11"/>
  <c r="AC211" i="11"/>
  <c r="AB211" i="11"/>
  <c r="AA211" i="11"/>
  <c r="Z211" i="11"/>
  <c r="Y211" i="11"/>
  <c r="X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D211" i="11"/>
  <c r="AH210" i="11"/>
  <c r="AG210" i="11"/>
  <c r="AF210" i="11"/>
  <c r="AE210" i="11"/>
  <c r="AD210" i="11"/>
  <c r="AC210" i="11"/>
  <c r="AB210" i="11"/>
  <c r="AA210" i="11"/>
  <c r="Z210" i="11"/>
  <c r="Y210" i="11"/>
  <c r="X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D210" i="11"/>
  <c r="AH209" i="11"/>
  <c r="AG209" i="11"/>
  <c r="AF209" i="11"/>
  <c r="AE209" i="11"/>
  <c r="AD209" i="11"/>
  <c r="AC209" i="11"/>
  <c r="AB209" i="11"/>
  <c r="AA209" i="11"/>
  <c r="Z209" i="11"/>
  <c r="Y209" i="11"/>
  <c r="X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D209" i="11"/>
  <c r="AH208" i="11"/>
  <c r="AG208" i="11"/>
  <c r="AF208" i="11"/>
  <c r="AE208" i="11"/>
  <c r="AD208" i="11"/>
  <c r="AC208" i="11"/>
  <c r="AB208" i="11"/>
  <c r="AA208" i="11"/>
  <c r="Z208" i="11"/>
  <c r="Y208" i="11"/>
  <c r="X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D208" i="11"/>
  <c r="AH207" i="11"/>
  <c r="AG207" i="11"/>
  <c r="AF207" i="11"/>
  <c r="AE207" i="11"/>
  <c r="AD207" i="11"/>
  <c r="AC207" i="11"/>
  <c r="AB207" i="11"/>
  <c r="AA207" i="11"/>
  <c r="Z207" i="11"/>
  <c r="Y207" i="11"/>
  <c r="X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D207" i="11"/>
  <c r="AH206" i="11"/>
  <c r="AG206" i="11"/>
  <c r="AF206" i="11"/>
  <c r="AE206" i="11"/>
  <c r="AD206" i="11"/>
  <c r="AC206" i="11"/>
  <c r="AB206" i="11"/>
  <c r="AA206" i="11"/>
  <c r="Z206" i="11"/>
  <c r="Y206" i="11"/>
  <c r="X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D206" i="11"/>
  <c r="AH205" i="11"/>
  <c r="AG205" i="11"/>
  <c r="AF205" i="11"/>
  <c r="AE205" i="11"/>
  <c r="AD205" i="11"/>
  <c r="AC205" i="11"/>
  <c r="AB205" i="11"/>
  <c r="AA205" i="11"/>
  <c r="Z205" i="11"/>
  <c r="Y205" i="11"/>
  <c r="X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D205" i="11"/>
  <c r="AH204" i="11"/>
  <c r="AG204" i="11"/>
  <c r="AF204" i="11"/>
  <c r="AE204" i="11"/>
  <c r="AD204" i="11"/>
  <c r="AC204" i="11"/>
  <c r="AB204" i="11"/>
  <c r="AA204" i="11"/>
  <c r="AA257" i="18" s="1"/>
  <c r="Z204" i="11"/>
  <c r="Y204" i="11"/>
  <c r="X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D204" i="11"/>
  <c r="AH203" i="11"/>
  <c r="AG203" i="11"/>
  <c r="AF203" i="11"/>
  <c r="AE203" i="11"/>
  <c r="AD203" i="11"/>
  <c r="AC203" i="11"/>
  <c r="AB203" i="11"/>
  <c r="AA203" i="11"/>
  <c r="Z203" i="11"/>
  <c r="Y203" i="11"/>
  <c r="X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D203" i="11"/>
  <c r="AH202" i="11"/>
  <c r="AG202" i="11"/>
  <c r="AF202" i="11"/>
  <c r="AE202" i="11"/>
  <c r="AD202" i="11"/>
  <c r="AC202" i="11"/>
  <c r="AB202" i="11"/>
  <c r="AA202" i="11"/>
  <c r="Z202" i="11"/>
  <c r="Y202" i="11"/>
  <c r="X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D202" i="11"/>
  <c r="AH201" i="11"/>
  <c r="AG201" i="11"/>
  <c r="AF201" i="11"/>
  <c r="AE201" i="11"/>
  <c r="AD201" i="11"/>
  <c r="AC201" i="11"/>
  <c r="AB201" i="11"/>
  <c r="AA201" i="11"/>
  <c r="Z201" i="11"/>
  <c r="Y201" i="11"/>
  <c r="X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D201" i="11"/>
  <c r="AH200" i="11"/>
  <c r="AG200" i="11"/>
  <c r="AF200" i="11"/>
  <c r="AE200" i="11"/>
  <c r="AD200" i="11"/>
  <c r="AC200" i="11"/>
  <c r="AB200" i="11"/>
  <c r="AA200" i="11"/>
  <c r="Z200" i="11"/>
  <c r="Y200" i="11"/>
  <c r="X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D200" i="11"/>
  <c r="AH199" i="11"/>
  <c r="AG199" i="11"/>
  <c r="AF199" i="11"/>
  <c r="AE199" i="11"/>
  <c r="AD199" i="11"/>
  <c r="AC199" i="11"/>
  <c r="AB199" i="11"/>
  <c r="AA199" i="11"/>
  <c r="Z199" i="11"/>
  <c r="Y199" i="11"/>
  <c r="X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D199" i="11"/>
  <c r="AH198" i="11"/>
  <c r="AG198" i="11"/>
  <c r="AF198" i="11"/>
  <c r="AE198" i="11"/>
  <c r="AD198" i="11"/>
  <c r="AC198" i="11"/>
  <c r="AB198" i="11"/>
  <c r="AA198" i="11"/>
  <c r="Z198" i="11"/>
  <c r="Y198" i="11"/>
  <c r="X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D198" i="11"/>
  <c r="AH197" i="11"/>
  <c r="AG197" i="11"/>
  <c r="AF197" i="11"/>
  <c r="AE197" i="11"/>
  <c r="AD197" i="11"/>
  <c r="AC197" i="11"/>
  <c r="AB197" i="11"/>
  <c r="AA197" i="11"/>
  <c r="Z197" i="11"/>
  <c r="Y197" i="11"/>
  <c r="X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D197" i="11"/>
  <c r="AH196" i="11"/>
  <c r="AG196" i="11"/>
  <c r="AF196" i="11"/>
  <c r="AE196" i="11"/>
  <c r="AD196" i="11"/>
  <c r="AC196" i="11"/>
  <c r="AB196" i="11"/>
  <c r="AA196" i="11"/>
  <c r="Z257" i="18" s="1"/>
  <c r="Z196" i="11"/>
  <c r="Y196" i="11"/>
  <c r="X196" i="11"/>
  <c r="V196" i="11"/>
  <c r="U196" i="11"/>
  <c r="T196" i="11"/>
  <c r="S196" i="11"/>
  <c r="R196" i="11"/>
  <c r="Q196" i="11"/>
  <c r="P196" i="11"/>
  <c r="O196" i="11"/>
  <c r="N196" i="11"/>
  <c r="M196" i="11"/>
  <c r="L196" i="11"/>
  <c r="K196" i="11"/>
  <c r="J196" i="11"/>
  <c r="I196" i="11"/>
  <c r="H196" i="11"/>
  <c r="G196" i="11"/>
  <c r="F196" i="11"/>
  <c r="E196" i="11"/>
  <c r="D196" i="11"/>
  <c r="AH195" i="11"/>
  <c r="AG195" i="11"/>
  <c r="AF195" i="11"/>
  <c r="AE195" i="11"/>
  <c r="AD195" i="11"/>
  <c r="AC195" i="11"/>
  <c r="AB195" i="11"/>
  <c r="AA195" i="11"/>
  <c r="Z195" i="11"/>
  <c r="Y195" i="11"/>
  <c r="X195" i="11"/>
  <c r="V195" i="11"/>
  <c r="U195" i="11"/>
  <c r="T195" i="11"/>
  <c r="S195" i="11"/>
  <c r="R195" i="11"/>
  <c r="Q195" i="11"/>
  <c r="P195" i="11"/>
  <c r="O195" i="11"/>
  <c r="N195" i="11"/>
  <c r="M195" i="11"/>
  <c r="L195" i="11"/>
  <c r="K195" i="11"/>
  <c r="J195" i="11"/>
  <c r="I195" i="11"/>
  <c r="H195" i="11"/>
  <c r="G195" i="11"/>
  <c r="F195" i="11"/>
  <c r="E195" i="11"/>
  <c r="D195" i="11"/>
  <c r="AH194" i="11"/>
  <c r="AG194" i="11"/>
  <c r="AF194" i="11"/>
  <c r="AE194" i="11"/>
  <c r="AD194" i="11"/>
  <c r="AC194" i="11"/>
  <c r="AB194" i="11"/>
  <c r="AA194" i="11"/>
  <c r="Z194" i="11"/>
  <c r="Y194" i="11"/>
  <c r="X194" i="11"/>
  <c r="V194" i="11"/>
  <c r="U194" i="11"/>
  <c r="T194" i="11"/>
  <c r="S194" i="11"/>
  <c r="R194" i="11"/>
  <c r="Q194" i="11"/>
  <c r="P194" i="11"/>
  <c r="O194" i="11"/>
  <c r="N194" i="11"/>
  <c r="M194" i="11"/>
  <c r="L194" i="11"/>
  <c r="K194" i="11"/>
  <c r="J194" i="11"/>
  <c r="I194" i="11"/>
  <c r="H194" i="11"/>
  <c r="G194" i="11"/>
  <c r="F194" i="11"/>
  <c r="E194" i="11"/>
  <c r="D194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D193" i="11"/>
  <c r="AH192" i="11"/>
  <c r="AG192" i="11"/>
  <c r="AF192" i="11"/>
  <c r="AE192" i="11"/>
  <c r="AD192" i="11"/>
  <c r="AC192" i="11"/>
  <c r="AB192" i="11"/>
  <c r="AA192" i="11"/>
  <c r="Z192" i="11"/>
  <c r="Y192" i="11"/>
  <c r="X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D192" i="11"/>
  <c r="AH191" i="11"/>
  <c r="AG191" i="11"/>
  <c r="AF191" i="11"/>
  <c r="AE191" i="11"/>
  <c r="AD191" i="11"/>
  <c r="AC191" i="11"/>
  <c r="AB191" i="11"/>
  <c r="AA191" i="11"/>
  <c r="Z191" i="11"/>
  <c r="Y191" i="11"/>
  <c r="X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D191" i="11"/>
  <c r="AH190" i="11"/>
  <c r="AG190" i="11"/>
  <c r="AF190" i="11"/>
  <c r="AE190" i="11"/>
  <c r="AD190" i="11"/>
  <c r="AC190" i="11"/>
  <c r="AB190" i="11"/>
  <c r="AA190" i="11"/>
  <c r="Z190" i="11"/>
  <c r="Y190" i="11"/>
  <c r="X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D190" i="11"/>
  <c r="AH189" i="11"/>
  <c r="AG189" i="11"/>
  <c r="AF189" i="11"/>
  <c r="AE189" i="11"/>
  <c r="AD189" i="11"/>
  <c r="AC189" i="11"/>
  <c r="AB189" i="11"/>
  <c r="AA189" i="11"/>
  <c r="Z189" i="11"/>
  <c r="Y189" i="11"/>
  <c r="X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D189" i="11"/>
  <c r="AH188" i="11"/>
  <c r="AG188" i="11"/>
  <c r="AF188" i="11"/>
  <c r="AE188" i="11"/>
  <c r="AD188" i="11"/>
  <c r="AC188" i="11"/>
  <c r="AB188" i="11"/>
  <c r="AA188" i="11"/>
  <c r="Y257" i="18" s="1"/>
  <c r="Z188" i="11"/>
  <c r="Y188" i="11"/>
  <c r="X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D188" i="11"/>
  <c r="AH187" i="11"/>
  <c r="AG187" i="11"/>
  <c r="AF187" i="11"/>
  <c r="AE187" i="11"/>
  <c r="AD187" i="11"/>
  <c r="AC187" i="11"/>
  <c r="AB187" i="11"/>
  <c r="AA187" i="11"/>
  <c r="Z187" i="11"/>
  <c r="Y187" i="11"/>
  <c r="X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D187" i="11"/>
  <c r="AH186" i="11"/>
  <c r="AG186" i="11"/>
  <c r="AF186" i="11"/>
  <c r="AE186" i="11"/>
  <c r="AD186" i="11"/>
  <c r="AC186" i="11"/>
  <c r="AB186" i="11"/>
  <c r="AA186" i="11"/>
  <c r="Z186" i="11"/>
  <c r="Y186" i="11"/>
  <c r="X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D186" i="11"/>
  <c r="AH185" i="11"/>
  <c r="AG185" i="11"/>
  <c r="AF185" i="11"/>
  <c r="AE185" i="11"/>
  <c r="AD185" i="11"/>
  <c r="AC185" i="11"/>
  <c r="AB185" i="11"/>
  <c r="AA185" i="11"/>
  <c r="Z185" i="11"/>
  <c r="Y185" i="11"/>
  <c r="X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D185" i="11"/>
  <c r="AH184" i="11"/>
  <c r="AG184" i="11"/>
  <c r="AF184" i="11"/>
  <c r="AE184" i="11"/>
  <c r="AD184" i="11"/>
  <c r="AC184" i="11"/>
  <c r="AB184" i="11"/>
  <c r="AA184" i="11"/>
  <c r="Z184" i="11"/>
  <c r="Y184" i="11"/>
  <c r="X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D184" i="11"/>
  <c r="AH183" i="11"/>
  <c r="AG183" i="11"/>
  <c r="AF183" i="11"/>
  <c r="AE183" i="11"/>
  <c r="AD183" i="11"/>
  <c r="AC183" i="11"/>
  <c r="AB183" i="11"/>
  <c r="AA183" i="11"/>
  <c r="Z183" i="11"/>
  <c r="Y183" i="11"/>
  <c r="X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D183" i="11"/>
  <c r="AH182" i="11"/>
  <c r="AG182" i="11"/>
  <c r="AF182" i="11"/>
  <c r="AE182" i="11"/>
  <c r="AD182" i="11"/>
  <c r="AC182" i="11"/>
  <c r="AB182" i="11"/>
  <c r="AA182" i="11"/>
  <c r="Z182" i="11"/>
  <c r="Y182" i="11"/>
  <c r="X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D182" i="11"/>
  <c r="AH181" i="11"/>
  <c r="AG181" i="11"/>
  <c r="AF181" i="11"/>
  <c r="AE181" i="11"/>
  <c r="AD181" i="11"/>
  <c r="AC181" i="11"/>
  <c r="AB181" i="11"/>
  <c r="AA181" i="11"/>
  <c r="Z181" i="11"/>
  <c r="Y181" i="11"/>
  <c r="X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D181" i="11"/>
  <c r="AH180" i="11"/>
  <c r="AG180" i="11"/>
  <c r="AF180" i="11"/>
  <c r="AE180" i="11"/>
  <c r="AD180" i="11"/>
  <c r="AC180" i="11"/>
  <c r="AB180" i="11"/>
  <c r="AA180" i="11"/>
  <c r="X257" i="18" s="1"/>
  <c r="Z180" i="11"/>
  <c r="Y180" i="11"/>
  <c r="X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D180" i="11"/>
  <c r="AH179" i="11"/>
  <c r="AG179" i="11"/>
  <c r="AF179" i="11"/>
  <c r="AE179" i="11"/>
  <c r="AD179" i="11"/>
  <c r="AC179" i="11"/>
  <c r="AB179" i="11"/>
  <c r="AA179" i="11"/>
  <c r="Z179" i="11"/>
  <c r="Y179" i="11"/>
  <c r="X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D179" i="11"/>
  <c r="AH178" i="11"/>
  <c r="AG178" i="11"/>
  <c r="AF178" i="11"/>
  <c r="AE178" i="11"/>
  <c r="AD178" i="11"/>
  <c r="AC178" i="11"/>
  <c r="AB178" i="11"/>
  <c r="AA178" i="11"/>
  <c r="Z178" i="11"/>
  <c r="Y178" i="11"/>
  <c r="X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D178" i="11"/>
  <c r="AH177" i="11"/>
  <c r="AG177" i="11"/>
  <c r="AF177" i="11"/>
  <c r="AE177" i="11"/>
  <c r="AD177" i="11"/>
  <c r="AC177" i="11"/>
  <c r="AB177" i="11"/>
  <c r="AA177" i="11"/>
  <c r="Z177" i="11"/>
  <c r="Y177" i="11"/>
  <c r="X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D177" i="11"/>
  <c r="AH176" i="11"/>
  <c r="AG176" i="11"/>
  <c r="AF176" i="11"/>
  <c r="AE176" i="11"/>
  <c r="AD176" i="11"/>
  <c r="AC176" i="11"/>
  <c r="AB176" i="11"/>
  <c r="AA176" i="11"/>
  <c r="Z176" i="11"/>
  <c r="Y176" i="11"/>
  <c r="X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D176" i="11"/>
  <c r="AH175" i="11"/>
  <c r="AG175" i="11"/>
  <c r="AF175" i="11"/>
  <c r="AE175" i="11"/>
  <c r="AD175" i="11"/>
  <c r="AC175" i="11"/>
  <c r="AB175" i="11"/>
  <c r="AA175" i="11"/>
  <c r="Z175" i="11"/>
  <c r="Y175" i="11"/>
  <c r="X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D175" i="11"/>
  <c r="AH174" i="11"/>
  <c r="AG174" i="11"/>
  <c r="AF174" i="11"/>
  <c r="AE174" i="11"/>
  <c r="AD174" i="11"/>
  <c r="AC174" i="11"/>
  <c r="AB174" i="11"/>
  <c r="AA174" i="11"/>
  <c r="Z174" i="11"/>
  <c r="Y174" i="11"/>
  <c r="X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D174" i="11"/>
  <c r="AH173" i="11"/>
  <c r="AG173" i="11"/>
  <c r="AF173" i="11"/>
  <c r="AE173" i="11"/>
  <c r="AD173" i="11"/>
  <c r="AC173" i="11"/>
  <c r="AB173" i="11"/>
  <c r="AA173" i="11"/>
  <c r="Z173" i="11"/>
  <c r="Y173" i="11"/>
  <c r="X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D173" i="11"/>
  <c r="AH172" i="11"/>
  <c r="AG172" i="11"/>
  <c r="AF172" i="11"/>
  <c r="AE172" i="11"/>
  <c r="AD172" i="11"/>
  <c r="AC172" i="11"/>
  <c r="AB172" i="11"/>
  <c r="AA172" i="11"/>
  <c r="W257" i="18" s="1"/>
  <c r="Z172" i="11"/>
  <c r="Y172" i="11"/>
  <c r="X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D172" i="11"/>
  <c r="AH171" i="11"/>
  <c r="AG171" i="11"/>
  <c r="AF171" i="11"/>
  <c r="AE171" i="11"/>
  <c r="AD171" i="11"/>
  <c r="AC171" i="11"/>
  <c r="AB171" i="11"/>
  <c r="AA171" i="11"/>
  <c r="Z171" i="11"/>
  <c r="Y171" i="11"/>
  <c r="X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D171" i="11"/>
  <c r="AH170" i="11"/>
  <c r="AG170" i="11"/>
  <c r="AF170" i="11"/>
  <c r="AE170" i="11"/>
  <c r="AD170" i="11"/>
  <c r="AC170" i="11"/>
  <c r="AB170" i="11"/>
  <c r="AA170" i="11"/>
  <c r="Z170" i="11"/>
  <c r="Y170" i="11"/>
  <c r="X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D170" i="11"/>
  <c r="AH169" i="11"/>
  <c r="AG169" i="11"/>
  <c r="AF169" i="11"/>
  <c r="AE169" i="11"/>
  <c r="AD169" i="11"/>
  <c r="AC169" i="11"/>
  <c r="AB169" i="11"/>
  <c r="AA169" i="11"/>
  <c r="Z169" i="11"/>
  <c r="Y169" i="11"/>
  <c r="X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D169" i="11"/>
  <c r="AH168" i="11"/>
  <c r="AG168" i="11"/>
  <c r="AF168" i="11"/>
  <c r="AE168" i="11"/>
  <c r="AD168" i="11"/>
  <c r="AC168" i="11"/>
  <c r="AB168" i="11"/>
  <c r="AA168" i="11"/>
  <c r="Z168" i="11"/>
  <c r="Y168" i="11"/>
  <c r="X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D168" i="11"/>
  <c r="AH167" i="11"/>
  <c r="AG167" i="11"/>
  <c r="AF167" i="11"/>
  <c r="AE167" i="11"/>
  <c r="AD167" i="11"/>
  <c r="AC167" i="11"/>
  <c r="AB167" i="11"/>
  <c r="AA167" i="11"/>
  <c r="Z167" i="11"/>
  <c r="Y167" i="11"/>
  <c r="X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D167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D166" i="11"/>
  <c r="AH165" i="11"/>
  <c r="AG165" i="11"/>
  <c r="AF165" i="11"/>
  <c r="AE165" i="11"/>
  <c r="AD165" i="11"/>
  <c r="AC165" i="11"/>
  <c r="AB165" i="11"/>
  <c r="AA165" i="11"/>
  <c r="Z165" i="11"/>
  <c r="Y165" i="11"/>
  <c r="X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D165" i="11"/>
  <c r="AH164" i="11"/>
  <c r="AG164" i="11"/>
  <c r="AF164" i="11"/>
  <c r="AE164" i="11"/>
  <c r="AD164" i="11"/>
  <c r="AC164" i="11"/>
  <c r="AB164" i="11"/>
  <c r="AA164" i="11"/>
  <c r="V257" i="18" s="1"/>
  <c r="Z164" i="11"/>
  <c r="Y164" i="11"/>
  <c r="X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D164" i="11"/>
  <c r="AH163" i="11"/>
  <c r="AG163" i="11"/>
  <c r="AF163" i="11"/>
  <c r="AE163" i="11"/>
  <c r="AD163" i="11"/>
  <c r="AC163" i="11"/>
  <c r="AB163" i="11"/>
  <c r="AA163" i="11"/>
  <c r="Z163" i="11"/>
  <c r="Y163" i="11"/>
  <c r="X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D163" i="11"/>
  <c r="AH162" i="11"/>
  <c r="AG162" i="11"/>
  <c r="AF162" i="11"/>
  <c r="AE162" i="11"/>
  <c r="AD162" i="11"/>
  <c r="AC162" i="11"/>
  <c r="AB162" i="11"/>
  <c r="AA162" i="11"/>
  <c r="Z162" i="11"/>
  <c r="Y162" i="11"/>
  <c r="X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D162" i="11"/>
  <c r="AH161" i="11"/>
  <c r="AG161" i="11"/>
  <c r="AF161" i="11"/>
  <c r="AE161" i="11"/>
  <c r="AD161" i="11"/>
  <c r="AC161" i="11"/>
  <c r="AB161" i="11"/>
  <c r="AA161" i="11"/>
  <c r="Z161" i="11"/>
  <c r="Y161" i="11"/>
  <c r="X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D161" i="11"/>
  <c r="AH160" i="11"/>
  <c r="AG160" i="11"/>
  <c r="AF160" i="11"/>
  <c r="AE160" i="11"/>
  <c r="AD160" i="11"/>
  <c r="AC160" i="11"/>
  <c r="AB160" i="11"/>
  <c r="AA160" i="11"/>
  <c r="Z160" i="11"/>
  <c r="Y160" i="11"/>
  <c r="X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AH159" i="11"/>
  <c r="AG159" i="11"/>
  <c r="AF159" i="11"/>
  <c r="AE159" i="11"/>
  <c r="AD159" i="11"/>
  <c r="AC159" i="11"/>
  <c r="AB159" i="11"/>
  <c r="AA159" i="11"/>
  <c r="Z159" i="11"/>
  <c r="Y159" i="11"/>
  <c r="X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D159" i="11"/>
  <c r="AH158" i="11"/>
  <c r="AG158" i="11"/>
  <c r="AF158" i="11"/>
  <c r="AE158" i="11"/>
  <c r="AD158" i="11"/>
  <c r="AC158" i="11"/>
  <c r="AB158" i="11"/>
  <c r="AA158" i="11"/>
  <c r="Z158" i="11"/>
  <c r="Y158" i="11"/>
  <c r="X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D158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D157" i="11"/>
  <c r="AH156" i="11"/>
  <c r="AG156" i="11"/>
  <c r="AF156" i="11"/>
  <c r="AE156" i="11"/>
  <c r="AD156" i="11"/>
  <c r="AC156" i="11"/>
  <c r="AB156" i="11"/>
  <c r="AA156" i="11"/>
  <c r="U257" i="18" s="1"/>
  <c r="Z156" i="11"/>
  <c r="Y156" i="11"/>
  <c r="X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D156" i="11"/>
  <c r="AH155" i="11"/>
  <c r="AG155" i="11"/>
  <c r="AF155" i="11"/>
  <c r="AE155" i="11"/>
  <c r="AD155" i="11"/>
  <c r="AC155" i="11"/>
  <c r="AB155" i="11"/>
  <c r="AA155" i="11"/>
  <c r="Z155" i="11"/>
  <c r="Y155" i="11"/>
  <c r="X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AH154" i="11"/>
  <c r="AG154" i="11"/>
  <c r="AF154" i="11"/>
  <c r="AE154" i="11"/>
  <c r="AD154" i="11"/>
  <c r="AC154" i="11"/>
  <c r="AB154" i="11"/>
  <c r="AA154" i="11"/>
  <c r="Z154" i="11"/>
  <c r="Y154" i="11"/>
  <c r="X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D154" i="11"/>
  <c r="AH153" i="11"/>
  <c r="AG153" i="11"/>
  <c r="AF153" i="11"/>
  <c r="AE153" i="11"/>
  <c r="AD153" i="11"/>
  <c r="AC153" i="11"/>
  <c r="AB153" i="11"/>
  <c r="AA153" i="11"/>
  <c r="Z153" i="11"/>
  <c r="Y153" i="11"/>
  <c r="X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D153" i="11"/>
  <c r="AH152" i="11"/>
  <c r="AG152" i="11"/>
  <c r="AF152" i="11"/>
  <c r="AE152" i="11"/>
  <c r="AD152" i="11"/>
  <c r="AC152" i="11"/>
  <c r="AB152" i="11"/>
  <c r="AA152" i="11"/>
  <c r="Z152" i="11"/>
  <c r="Y152" i="11"/>
  <c r="X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D152" i="11"/>
  <c r="AH151" i="11"/>
  <c r="AG151" i="11"/>
  <c r="AF151" i="11"/>
  <c r="AE151" i="11"/>
  <c r="AD151" i="11"/>
  <c r="AC151" i="11"/>
  <c r="AB151" i="11"/>
  <c r="AA151" i="11"/>
  <c r="Z151" i="11"/>
  <c r="Y151" i="11"/>
  <c r="X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D151" i="11"/>
  <c r="AH150" i="11"/>
  <c r="AG150" i="11"/>
  <c r="AF150" i="11"/>
  <c r="AE150" i="11"/>
  <c r="AD150" i="11"/>
  <c r="AC150" i="11"/>
  <c r="AB150" i="11"/>
  <c r="AA150" i="11"/>
  <c r="Z150" i="11"/>
  <c r="Y150" i="11"/>
  <c r="X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D150" i="11"/>
  <c r="AH149" i="11"/>
  <c r="AG149" i="11"/>
  <c r="AF149" i="11"/>
  <c r="AE149" i="11"/>
  <c r="AD149" i="11"/>
  <c r="AC149" i="11"/>
  <c r="AB149" i="11"/>
  <c r="AA149" i="11"/>
  <c r="Z149" i="11"/>
  <c r="Y149" i="11"/>
  <c r="X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D149" i="11"/>
  <c r="AH147" i="11"/>
  <c r="AG147" i="11"/>
  <c r="AF147" i="11"/>
  <c r="AE147" i="11"/>
  <c r="AD147" i="11"/>
  <c r="AC147" i="11"/>
  <c r="AB147" i="11"/>
  <c r="AA147" i="11"/>
  <c r="Z147" i="11"/>
  <c r="Y147" i="11"/>
  <c r="X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D147" i="11"/>
  <c r="AH146" i="11"/>
  <c r="AG146" i="11"/>
  <c r="AF146" i="11"/>
  <c r="AE146" i="11"/>
  <c r="AD146" i="11"/>
  <c r="AC146" i="11"/>
  <c r="AB146" i="11"/>
  <c r="AA146" i="11"/>
  <c r="Z146" i="11"/>
  <c r="Y146" i="11"/>
  <c r="X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D146" i="11"/>
  <c r="AH145" i="11"/>
  <c r="AG145" i="11"/>
  <c r="AF145" i="11"/>
  <c r="AE145" i="11"/>
  <c r="AD145" i="11"/>
  <c r="AC145" i="11"/>
  <c r="AB145" i="11"/>
  <c r="AA145" i="11"/>
  <c r="Z145" i="11"/>
  <c r="Y145" i="11"/>
  <c r="X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D145" i="11"/>
  <c r="AH144" i="11"/>
  <c r="AG144" i="11"/>
  <c r="AF144" i="11"/>
  <c r="AE144" i="11"/>
  <c r="AD144" i="11"/>
  <c r="AC144" i="11"/>
  <c r="AB144" i="11"/>
  <c r="AA144" i="11"/>
  <c r="Z144" i="11"/>
  <c r="Y144" i="11"/>
  <c r="X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D144" i="11"/>
  <c r="AH143" i="11"/>
  <c r="AG143" i="11"/>
  <c r="AF143" i="11"/>
  <c r="AE143" i="11"/>
  <c r="AD143" i="11"/>
  <c r="AC143" i="11"/>
  <c r="AB143" i="11"/>
  <c r="AA143" i="11"/>
  <c r="Z143" i="11"/>
  <c r="Y143" i="11"/>
  <c r="X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D143" i="11"/>
  <c r="AH142" i="11"/>
  <c r="AG142" i="11"/>
  <c r="AF142" i="11"/>
  <c r="AE142" i="11"/>
  <c r="AD142" i="11"/>
  <c r="AC142" i="11"/>
  <c r="AB142" i="11"/>
  <c r="AA142" i="11"/>
  <c r="Z142" i="11"/>
  <c r="Y142" i="11"/>
  <c r="X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D142" i="11"/>
  <c r="AH141" i="11"/>
  <c r="AG141" i="11"/>
  <c r="AF141" i="11"/>
  <c r="AE141" i="11"/>
  <c r="AD141" i="11"/>
  <c r="AC141" i="11"/>
  <c r="AB141" i="11"/>
  <c r="AA141" i="11"/>
  <c r="Z141" i="11"/>
  <c r="Y141" i="11"/>
  <c r="X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D141" i="11"/>
  <c r="AH140" i="11"/>
  <c r="AG140" i="11"/>
  <c r="AF140" i="11"/>
  <c r="AE140" i="11"/>
  <c r="AD140" i="11"/>
  <c r="AC140" i="11"/>
  <c r="AB140" i="11"/>
  <c r="AA140" i="11"/>
  <c r="S257" i="18" s="1"/>
  <c r="Z140" i="11"/>
  <c r="Y140" i="11"/>
  <c r="X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D140" i="11"/>
  <c r="AH139" i="11"/>
  <c r="AG139" i="11"/>
  <c r="AF139" i="11"/>
  <c r="AE139" i="11"/>
  <c r="AD139" i="11"/>
  <c r="AC139" i="11"/>
  <c r="AB139" i="11"/>
  <c r="AA139" i="11"/>
  <c r="Z139" i="11"/>
  <c r="Y139" i="11"/>
  <c r="X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AH138" i="11"/>
  <c r="AG138" i="11"/>
  <c r="AF138" i="11"/>
  <c r="AE138" i="11"/>
  <c r="AD138" i="11"/>
  <c r="AC138" i="11"/>
  <c r="AB138" i="11"/>
  <c r="AA138" i="11"/>
  <c r="Z138" i="11"/>
  <c r="Y138" i="11"/>
  <c r="X138" i="11"/>
  <c r="V138" i="11"/>
  <c r="U138" i="11"/>
  <c r="T138" i="11"/>
  <c r="S138" i="11"/>
  <c r="R138" i="11"/>
  <c r="Q138" i="11"/>
  <c r="P138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AH137" i="11"/>
  <c r="AG137" i="11"/>
  <c r="AF137" i="11"/>
  <c r="AE137" i="11"/>
  <c r="AD137" i="11"/>
  <c r="AC137" i="11"/>
  <c r="AB137" i="11"/>
  <c r="AA137" i="11"/>
  <c r="Z137" i="11"/>
  <c r="Y137" i="11"/>
  <c r="X137" i="11"/>
  <c r="V137" i="11"/>
  <c r="U137" i="11"/>
  <c r="T137" i="11"/>
  <c r="S137" i="11"/>
  <c r="R137" i="11"/>
  <c r="Q137" i="11"/>
  <c r="P137" i="11"/>
  <c r="O137" i="11"/>
  <c r="N137" i="11"/>
  <c r="M137" i="11"/>
  <c r="L137" i="11"/>
  <c r="K137" i="11"/>
  <c r="J137" i="11"/>
  <c r="I137" i="11"/>
  <c r="H137" i="11"/>
  <c r="G137" i="11"/>
  <c r="F137" i="11"/>
  <c r="E137" i="11"/>
  <c r="D137" i="11"/>
  <c r="AH136" i="11"/>
  <c r="AG136" i="11"/>
  <c r="AF136" i="11"/>
  <c r="AE136" i="11"/>
  <c r="AD136" i="11"/>
  <c r="AC136" i="11"/>
  <c r="AB136" i="11"/>
  <c r="AA136" i="11"/>
  <c r="Z136" i="11"/>
  <c r="Y136" i="11"/>
  <c r="X136" i="11"/>
  <c r="V136" i="11"/>
  <c r="U136" i="11"/>
  <c r="T136" i="11"/>
  <c r="S136" i="11"/>
  <c r="R136" i="11"/>
  <c r="Q136" i="11"/>
  <c r="P136" i="11"/>
  <c r="O136" i="11"/>
  <c r="N136" i="11"/>
  <c r="M136" i="11"/>
  <c r="L136" i="11"/>
  <c r="K136" i="11"/>
  <c r="J136" i="11"/>
  <c r="I136" i="11"/>
  <c r="H136" i="11"/>
  <c r="G136" i="11"/>
  <c r="F136" i="11"/>
  <c r="E136" i="11"/>
  <c r="D136" i="11"/>
  <c r="AH135" i="11"/>
  <c r="AG135" i="11"/>
  <c r="AF135" i="11"/>
  <c r="AE135" i="11"/>
  <c r="AD135" i="11"/>
  <c r="AC135" i="11"/>
  <c r="AB135" i="11"/>
  <c r="AA135" i="11"/>
  <c r="Z135" i="11"/>
  <c r="Y135" i="11"/>
  <c r="X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D135" i="11"/>
  <c r="AH134" i="11"/>
  <c r="AG134" i="11"/>
  <c r="AF134" i="11"/>
  <c r="AE134" i="11"/>
  <c r="AD134" i="11"/>
  <c r="AC134" i="11"/>
  <c r="AB134" i="11"/>
  <c r="AA134" i="11"/>
  <c r="Z134" i="11"/>
  <c r="Y134" i="11"/>
  <c r="X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AH133" i="11"/>
  <c r="AG133" i="11"/>
  <c r="AF133" i="11"/>
  <c r="AE133" i="11"/>
  <c r="AD133" i="11"/>
  <c r="AC133" i="11"/>
  <c r="AB133" i="11"/>
  <c r="AA133" i="11"/>
  <c r="Z133" i="11"/>
  <c r="Y133" i="11"/>
  <c r="X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D133" i="11"/>
  <c r="AH132" i="11"/>
  <c r="AG132" i="11"/>
  <c r="AF132" i="11"/>
  <c r="AE132" i="11"/>
  <c r="AD132" i="11"/>
  <c r="AC132" i="11"/>
  <c r="AB132" i="11"/>
  <c r="AA132" i="11"/>
  <c r="R257" i="18" s="1"/>
  <c r="Z132" i="11"/>
  <c r="Y132" i="11"/>
  <c r="X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AH131" i="11"/>
  <c r="AG131" i="11"/>
  <c r="AF131" i="11"/>
  <c r="AE131" i="11"/>
  <c r="AD131" i="11"/>
  <c r="AC131" i="11"/>
  <c r="AB131" i="11"/>
  <c r="AA131" i="11"/>
  <c r="Z131" i="11"/>
  <c r="Y131" i="11"/>
  <c r="X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D131" i="11"/>
  <c r="AH130" i="11"/>
  <c r="AG130" i="11"/>
  <c r="AF130" i="11"/>
  <c r="AE130" i="11"/>
  <c r="AD130" i="11"/>
  <c r="AC130" i="11"/>
  <c r="AB130" i="11"/>
  <c r="AA130" i="11"/>
  <c r="Z130" i="11"/>
  <c r="Y130" i="11"/>
  <c r="X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D130" i="11"/>
  <c r="AH129" i="11"/>
  <c r="AG129" i="11"/>
  <c r="AF129" i="11"/>
  <c r="AE129" i="11"/>
  <c r="AD129" i="11"/>
  <c r="AC129" i="11"/>
  <c r="AB129" i="11"/>
  <c r="AA129" i="11"/>
  <c r="Z129" i="11"/>
  <c r="Y129" i="11"/>
  <c r="X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D129" i="11"/>
  <c r="AH128" i="11"/>
  <c r="AG128" i="11"/>
  <c r="AF128" i="11"/>
  <c r="AE128" i="11"/>
  <c r="AD128" i="11"/>
  <c r="AC128" i="11"/>
  <c r="AB128" i="11"/>
  <c r="AA128" i="11"/>
  <c r="Z128" i="11"/>
  <c r="Y128" i="11"/>
  <c r="X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AH127" i="11"/>
  <c r="AG127" i="11"/>
  <c r="AF127" i="11"/>
  <c r="AE127" i="11"/>
  <c r="AD127" i="11"/>
  <c r="AC127" i="11"/>
  <c r="AB127" i="11"/>
  <c r="AA127" i="11"/>
  <c r="Z127" i="11"/>
  <c r="Y127" i="11"/>
  <c r="X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AH126" i="11"/>
  <c r="AG126" i="11"/>
  <c r="AF126" i="11"/>
  <c r="AE126" i="11"/>
  <c r="AD126" i="11"/>
  <c r="AC126" i="11"/>
  <c r="AB126" i="11"/>
  <c r="AA126" i="11"/>
  <c r="Z126" i="11"/>
  <c r="Y126" i="11"/>
  <c r="X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AH124" i="11"/>
  <c r="AG124" i="11"/>
  <c r="AF124" i="11"/>
  <c r="AE124" i="11"/>
  <c r="AD124" i="11"/>
  <c r="AC124" i="11"/>
  <c r="AB124" i="11"/>
  <c r="AA124" i="11"/>
  <c r="Q257" i="18" s="1"/>
  <c r="Z124" i="11"/>
  <c r="Y124" i="11"/>
  <c r="X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AH123" i="11"/>
  <c r="AG123" i="11"/>
  <c r="AF123" i="11"/>
  <c r="AE123" i="11"/>
  <c r="AD123" i="11"/>
  <c r="AC123" i="11"/>
  <c r="AB123" i="11"/>
  <c r="AA123" i="11"/>
  <c r="Z123" i="11"/>
  <c r="Y123" i="11"/>
  <c r="X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AH122" i="11"/>
  <c r="AG122" i="11"/>
  <c r="AF122" i="11"/>
  <c r="AE122" i="11"/>
  <c r="AD122" i="11"/>
  <c r="AC122" i="11"/>
  <c r="AB122" i="11"/>
  <c r="AA122" i="11"/>
  <c r="Z122" i="11"/>
  <c r="Y122" i="11"/>
  <c r="X122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AH121" i="11"/>
  <c r="AG121" i="11"/>
  <c r="AF121" i="11"/>
  <c r="AE121" i="11"/>
  <c r="AD121" i="11"/>
  <c r="AC121" i="11"/>
  <c r="AB121" i="11"/>
  <c r="AA121" i="11"/>
  <c r="Z121" i="11"/>
  <c r="Y121" i="11"/>
  <c r="X121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H118" i="11"/>
  <c r="AG118" i="11"/>
  <c r="AF118" i="11"/>
  <c r="AE118" i="11"/>
  <c r="AD118" i="11"/>
  <c r="AC118" i="11"/>
  <c r="AB118" i="11"/>
  <c r="AA118" i="11"/>
  <c r="Z118" i="11"/>
  <c r="Y118" i="11"/>
  <c r="X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H117" i="11"/>
  <c r="AG117" i="11"/>
  <c r="AF117" i="11"/>
  <c r="AE117" i="11"/>
  <c r="AD117" i="11"/>
  <c r="AC117" i="11"/>
  <c r="AB117" i="11"/>
  <c r="AA117" i="11"/>
  <c r="Z117" i="11"/>
  <c r="Y117" i="11"/>
  <c r="X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H116" i="11"/>
  <c r="AG116" i="11"/>
  <c r="AF116" i="11"/>
  <c r="AE116" i="11"/>
  <c r="AD116" i="11"/>
  <c r="AC116" i="11"/>
  <c r="AB116" i="11"/>
  <c r="AA116" i="11"/>
  <c r="P257" i="18" s="1"/>
  <c r="Z116" i="11"/>
  <c r="Y116" i="11"/>
  <c r="X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H115" i="11"/>
  <c r="AG115" i="11"/>
  <c r="AF115" i="11"/>
  <c r="AE115" i="11"/>
  <c r="AD115" i="11"/>
  <c r="AC115" i="11"/>
  <c r="AB115" i="11"/>
  <c r="AA115" i="11"/>
  <c r="Z115" i="11"/>
  <c r="Y115" i="11"/>
  <c r="X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AH114" i="11"/>
  <c r="AG114" i="11"/>
  <c r="AF114" i="11"/>
  <c r="AE114" i="11"/>
  <c r="AD114" i="11"/>
  <c r="AC114" i="11"/>
  <c r="AB114" i="11"/>
  <c r="AA114" i="11"/>
  <c r="Z114" i="11"/>
  <c r="Y114" i="11"/>
  <c r="X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AH112" i="11"/>
  <c r="AG112" i="11"/>
  <c r="AF112" i="11"/>
  <c r="AE112" i="11"/>
  <c r="AD112" i="11"/>
  <c r="AC112" i="11"/>
  <c r="AB112" i="11"/>
  <c r="AA112" i="11"/>
  <c r="Z112" i="11"/>
  <c r="Y112" i="11"/>
  <c r="X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D112" i="11"/>
  <c r="AH111" i="11"/>
  <c r="AG111" i="11"/>
  <c r="AF111" i="11"/>
  <c r="AE111" i="11"/>
  <c r="AD111" i="11"/>
  <c r="AC111" i="11"/>
  <c r="AB111" i="11"/>
  <c r="AA111" i="11"/>
  <c r="Z111" i="11"/>
  <c r="Y111" i="11"/>
  <c r="X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D111" i="11"/>
  <c r="AH110" i="11"/>
  <c r="AG110" i="11"/>
  <c r="AF110" i="11"/>
  <c r="AE110" i="11"/>
  <c r="AD110" i="11"/>
  <c r="AC110" i="11"/>
  <c r="AB110" i="11"/>
  <c r="AA110" i="11"/>
  <c r="Z110" i="11"/>
  <c r="Y110" i="11"/>
  <c r="X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D110" i="11"/>
  <c r="AH109" i="11"/>
  <c r="AG109" i="11"/>
  <c r="AF109" i="11"/>
  <c r="AE109" i="11"/>
  <c r="AD109" i="11"/>
  <c r="AC109" i="11"/>
  <c r="AB109" i="11"/>
  <c r="AA109" i="11"/>
  <c r="Z109" i="11"/>
  <c r="Y109" i="11"/>
  <c r="X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AH108" i="11"/>
  <c r="AG108" i="11"/>
  <c r="AF108" i="11"/>
  <c r="AE108" i="11"/>
  <c r="AD108" i="11"/>
  <c r="AC108" i="11"/>
  <c r="AB108" i="11"/>
  <c r="AA108" i="11"/>
  <c r="O257" i="18" s="1"/>
  <c r="Z108" i="11"/>
  <c r="Y108" i="11"/>
  <c r="X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D108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AH106" i="11"/>
  <c r="AG106" i="11"/>
  <c r="AF106" i="11"/>
  <c r="AE106" i="11"/>
  <c r="AD106" i="11"/>
  <c r="AC106" i="11"/>
  <c r="AB106" i="11"/>
  <c r="AA106" i="11"/>
  <c r="Z106" i="11"/>
  <c r="Y106" i="11"/>
  <c r="X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AH105" i="11"/>
  <c r="AG105" i="11"/>
  <c r="AF105" i="11"/>
  <c r="AE105" i="11"/>
  <c r="AD105" i="11"/>
  <c r="AC105" i="11"/>
  <c r="AB105" i="11"/>
  <c r="AA105" i="11"/>
  <c r="Z105" i="11"/>
  <c r="Y105" i="11"/>
  <c r="X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D105" i="11"/>
  <c r="AH104" i="11"/>
  <c r="AG104" i="11"/>
  <c r="AF104" i="11"/>
  <c r="AE104" i="11"/>
  <c r="AD104" i="11"/>
  <c r="AC104" i="11"/>
  <c r="AB104" i="11"/>
  <c r="AA104" i="11"/>
  <c r="Z104" i="11"/>
  <c r="Y104" i="11"/>
  <c r="X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AH103" i="11"/>
  <c r="AG103" i="11"/>
  <c r="AF103" i="11"/>
  <c r="AE103" i="11"/>
  <c r="AD103" i="11"/>
  <c r="AC103" i="11"/>
  <c r="AB103" i="11"/>
  <c r="AA103" i="11"/>
  <c r="Z103" i="11"/>
  <c r="Y103" i="11"/>
  <c r="X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AH102" i="11"/>
  <c r="AG102" i="11"/>
  <c r="AF102" i="11"/>
  <c r="AE102" i="11"/>
  <c r="AD102" i="11"/>
  <c r="AC102" i="11"/>
  <c r="AB102" i="11"/>
  <c r="AA102" i="11"/>
  <c r="Z102" i="11"/>
  <c r="Y102" i="11"/>
  <c r="X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D101" i="11"/>
  <c r="AH100" i="11"/>
  <c r="AG100" i="11"/>
  <c r="AF100" i="11"/>
  <c r="AE100" i="11"/>
  <c r="AD100" i="11"/>
  <c r="AC100" i="11"/>
  <c r="AB100" i="11"/>
  <c r="AA100" i="11"/>
  <c r="N257" i="18" s="1"/>
  <c r="Z100" i="11"/>
  <c r="Y100" i="11"/>
  <c r="X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D100" i="11"/>
  <c r="AH99" i="11"/>
  <c r="AG99" i="11"/>
  <c r="AF99" i="11"/>
  <c r="AE99" i="11"/>
  <c r="AD99" i="11"/>
  <c r="AC99" i="11"/>
  <c r="AB99" i="11"/>
  <c r="AA99" i="11"/>
  <c r="Z99" i="11"/>
  <c r="Y99" i="11"/>
  <c r="X99" i="11"/>
  <c r="V99" i="11"/>
  <c r="U99" i="11"/>
  <c r="T99" i="11"/>
  <c r="S99" i="11"/>
  <c r="R99" i="11"/>
  <c r="Q99" i="11"/>
  <c r="P99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AH98" i="11"/>
  <c r="AG98" i="11"/>
  <c r="AF98" i="11"/>
  <c r="AE98" i="11"/>
  <c r="AD98" i="11"/>
  <c r="AC98" i="11"/>
  <c r="AB98" i="11"/>
  <c r="AA98" i="11"/>
  <c r="Z98" i="11"/>
  <c r="Y98" i="11"/>
  <c r="X98" i="11"/>
  <c r="V98" i="11"/>
  <c r="U98" i="11"/>
  <c r="T98" i="11"/>
  <c r="S98" i="11"/>
  <c r="R98" i="11"/>
  <c r="Q98" i="11"/>
  <c r="P98" i="11"/>
  <c r="O98" i="11"/>
  <c r="N98" i="11"/>
  <c r="M98" i="11"/>
  <c r="L98" i="11"/>
  <c r="K98" i="11"/>
  <c r="J98" i="11"/>
  <c r="I98" i="11"/>
  <c r="H98" i="11"/>
  <c r="G98" i="11"/>
  <c r="F98" i="11"/>
  <c r="E98" i="11"/>
  <c r="D98" i="11"/>
  <c r="AH97" i="11"/>
  <c r="AG97" i="11"/>
  <c r="AF97" i="11"/>
  <c r="AE97" i="11"/>
  <c r="AD97" i="11"/>
  <c r="AC97" i="11"/>
  <c r="AB97" i="11"/>
  <c r="AA97" i="11"/>
  <c r="Z97" i="11"/>
  <c r="Y97" i="11"/>
  <c r="X97" i="11"/>
  <c r="V97" i="11"/>
  <c r="U97" i="11"/>
  <c r="T97" i="11"/>
  <c r="S97" i="11"/>
  <c r="R97" i="11"/>
  <c r="Q97" i="11"/>
  <c r="P97" i="11"/>
  <c r="O97" i="11"/>
  <c r="N97" i="11"/>
  <c r="M97" i="11"/>
  <c r="L97" i="11"/>
  <c r="K97" i="11"/>
  <c r="J97" i="11"/>
  <c r="I97" i="11"/>
  <c r="H97" i="11"/>
  <c r="G97" i="11"/>
  <c r="F97" i="11"/>
  <c r="E97" i="11"/>
  <c r="D97" i="11"/>
  <c r="AH96" i="11"/>
  <c r="AG96" i="11"/>
  <c r="AF96" i="11"/>
  <c r="AE96" i="11"/>
  <c r="AD96" i="11"/>
  <c r="AC96" i="11"/>
  <c r="AB96" i="11"/>
  <c r="AA96" i="11"/>
  <c r="Z96" i="11"/>
  <c r="Y96" i="11"/>
  <c r="X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D96" i="11"/>
  <c r="AH95" i="11"/>
  <c r="AG95" i="11"/>
  <c r="AF95" i="11"/>
  <c r="AE95" i="11"/>
  <c r="AD95" i="11"/>
  <c r="AC95" i="11"/>
  <c r="AB95" i="11"/>
  <c r="AA95" i="11"/>
  <c r="Z95" i="11"/>
  <c r="Y95" i="11"/>
  <c r="X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D95" i="11"/>
  <c r="AH94" i="11"/>
  <c r="AG94" i="11"/>
  <c r="AF94" i="11"/>
  <c r="AE94" i="11"/>
  <c r="AD94" i="11"/>
  <c r="AC94" i="11"/>
  <c r="AB94" i="11"/>
  <c r="AA94" i="11"/>
  <c r="Z94" i="11"/>
  <c r="Y94" i="11"/>
  <c r="X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D94" i="11"/>
  <c r="AH93" i="11"/>
  <c r="AG93" i="11"/>
  <c r="AF93" i="11"/>
  <c r="AE93" i="11"/>
  <c r="AD93" i="11"/>
  <c r="AC93" i="11"/>
  <c r="AB93" i="11"/>
  <c r="AA93" i="11"/>
  <c r="Z93" i="11"/>
  <c r="Y93" i="11"/>
  <c r="X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D93" i="11"/>
  <c r="AH92" i="11"/>
  <c r="AG92" i="11"/>
  <c r="AF92" i="11"/>
  <c r="AE92" i="11"/>
  <c r="AD92" i="11"/>
  <c r="AC92" i="11"/>
  <c r="AB92" i="11"/>
  <c r="AA92" i="11"/>
  <c r="M257" i="18" s="1"/>
  <c r="Z92" i="11"/>
  <c r="Y92" i="11"/>
  <c r="X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AH91" i="11"/>
  <c r="AG91" i="11"/>
  <c r="AF91" i="11"/>
  <c r="AE91" i="11"/>
  <c r="AD91" i="11"/>
  <c r="AC91" i="11"/>
  <c r="AB91" i="11"/>
  <c r="AA91" i="11"/>
  <c r="Z91" i="11"/>
  <c r="Y91" i="11"/>
  <c r="X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D91" i="11"/>
  <c r="AH90" i="11"/>
  <c r="AG90" i="11"/>
  <c r="AF90" i="11"/>
  <c r="AE90" i="11"/>
  <c r="AD90" i="11"/>
  <c r="AC90" i="11"/>
  <c r="AB90" i="11"/>
  <c r="AA90" i="11"/>
  <c r="Z90" i="11"/>
  <c r="Y90" i="11"/>
  <c r="X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D90" i="11"/>
  <c r="AH89" i="11"/>
  <c r="AG89" i="11"/>
  <c r="AF89" i="11"/>
  <c r="AE89" i="11"/>
  <c r="AD89" i="11"/>
  <c r="AC89" i="11"/>
  <c r="AB89" i="11"/>
  <c r="AA89" i="11"/>
  <c r="Z89" i="11"/>
  <c r="Y89" i="11"/>
  <c r="X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D89" i="11"/>
  <c r="AH88" i="11"/>
  <c r="AG88" i="11"/>
  <c r="AF88" i="11"/>
  <c r="AE88" i="11"/>
  <c r="AD88" i="11"/>
  <c r="AC88" i="11"/>
  <c r="AB88" i="11"/>
  <c r="AA88" i="11"/>
  <c r="Z88" i="11"/>
  <c r="Y88" i="11"/>
  <c r="X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D88" i="11"/>
  <c r="AH87" i="11"/>
  <c r="AG87" i="11"/>
  <c r="AF87" i="11"/>
  <c r="AE87" i="11"/>
  <c r="AD87" i="11"/>
  <c r="AC87" i="11"/>
  <c r="AB87" i="11"/>
  <c r="AA87" i="11"/>
  <c r="Z87" i="11"/>
  <c r="Y87" i="11"/>
  <c r="X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D87" i="11"/>
  <c r="AH86" i="11"/>
  <c r="AG86" i="11"/>
  <c r="AF86" i="11"/>
  <c r="AE86" i="11"/>
  <c r="AD86" i="11"/>
  <c r="AC86" i="11"/>
  <c r="AB86" i="11"/>
  <c r="AA86" i="11"/>
  <c r="Z86" i="11"/>
  <c r="Y86" i="11"/>
  <c r="X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D86" i="11"/>
  <c r="AH85" i="11"/>
  <c r="AG85" i="11"/>
  <c r="AF85" i="11"/>
  <c r="AE85" i="11"/>
  <c r="AD85" i="11"/>
  <c r="AC85" i="11"/>
  <c r="AB85" i="11"/>
  <c r="AA85" i="11"/>
  <c r="Z85" i="11"/>
  <c r="Y85" i="11"/>
  <c r="X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AH84" i="11"/>
  <c r="AG84" i="11"/>
  <c r="AF84" i="11"/>
  <c r="AE84" i="11"/>
  <c r="AD84" i="11"/>
  <c r="AC84" i="11"/>
  <c r="AB84" i="11"/>
  <c r="AA84" i="11"/>
  <c r="L257" i="18" s="1"/>
  <c r="Z84" i="11"/>
  <c r="Y84" i="11"/>
  <c r="X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AH83" i="11"/>
  <c r="AG83" i="11"/>
  <c r="AF83" i="11"/>
  <c r="AE83" i="11"/>
  <c r="AD83" i="11"/>
  <c r="AC83" i="11"/>
  <c r="AB83" i="11"/>
  <c r="AA83" i="11"/>
  <c r="Z83" i="11"/>
  <c r="Y83" i="11"/>
  <c r="X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AH82" i="11"/>
  <c r="AG82" i="11"/>
  <c r="AF82" i="11"/>
  <c r="AE82" i="11"/>
  <c r="AD82" i="11"/>
  <c r="AC82" i="11"/>
  <c r="AB82" i="11"/>
  <c r="AA82" i="11"/>
  <c r="Z82" i="11"/>
  <c r="Y82" i="11"/>
  <c r="X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D82" i="11"/>
  <c r="AH81" i="11"/>
  <c r="AG81" i="11"/>
  <c r="AF81" i="11"/>
  <c r="AE81" i="11"/>
  <c r="AD81" i="11"/>
  <c r="AC81" i="11"/>
  <c r="AB81" i="11"/>
  <c r="AA81" i="11"/>
  <c r="Z81" i="11"/>
  <c r="Y81" i="11"/>
  <c r="X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D81" i="11"/>
  <c r="AH80" i="11"/>
  <c r="AG80" i="11"/>
  <c r="AF80" i="11"/>
  <c r="AE80" i="11"/>
  <c r="AD80" i="11"/>
  <c r="AC80" i="11"/>
  <c r="AB80" i="11"/>
  <c r="AA80" i="11"/>
  <c r="Z80" i="11"/>
  <c r="Y80" i="11"/>
  <c r="X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D80" i="11"/>
  <c r="AH79" i="11"/>
  <c r="AG79" i="11"/>
  <c r="AF79" i="11"/>
  <c r="AE79" i="11"/>
  <c r="AD79" i="11"/>
  <c r="AC79" i="11"/>
  <c r="AB79" i="11"/>
  <c r="AA79" i="11"/>
  <c r="Z79" i="11"/>
  <c r="Y79" i="11"/>
  <c r="X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AH78" i="11"/>
  <c r="AG78" i="11"/>
  <c r="AF78" i="11"/>
  <c r="AE78" i="11"/>
  <c r="AD78" i="11"/>
  <c r="AC78" i="11"/>
  <c r="AB78" i="11"/>
  <c r="AA78" i="11"/>
  <c r="Z78" i="11"/>
  <c r="Y78" i="11"/>
  <c r="X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D78" i="11"/>
  <c r="AH77" i="11"/>
  <c r="AG77" i="11"/>
  <c r="AF77" i="11"/>
  <c r="AE77" i="11"/>
  <c r="AD77" i="11"/>
  <c r="AC77" i="11"/>
  <c r="AB77" i="11"/>
  <c r="AA77" i="11"/>
  <c r="Z77" i="11"/>
  <c r="Y77" i="11"/>
  <c r="X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AH76" i="11"/>
  <c r="AG76" i="11"/>
  <c r="AF76" i="11"/>
  <c r="AE76" i="11"/>
  <c r="AD76" i="11"/>
  <c r="AC76" i="11"/>
  <c r="AB76" i="11"/>
  <c r="AA76" i="11"/>
  <c r="K257" i="18" s="1"/>
  <c r="Z76" i="11"/>
  <c r="Y76" i="11"/>
  <c r="X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AH75" i="11"/>
  <c r="AG75" i="11"/>
  <c r="AF75" i="11"/>
  <c r="AE75" i="11"/>
  <c r="AD75" i="11"/>
  <c r="AC75" i="11"/>
  <c r="AB75" i="11"/>
  <c r="AA75" i="11"/>
  <c r="Z75" i="11"/>
  <c r="Y75" i="11"/>
  <c r="X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AH74" i="11"/>
  <c r="AG74" i="11"/>
  <c r="AF74" i="11"/>
  <c r="AE74" i="11"/>
  <c r="AD74" i="11"/>
  <c r="AC74" i="11"/>
  <c r="AB74" i="11"/>
  <c r="AA74" i="11"/>
  <c r="Z74" i="11"/>
  <c r="Y74" i="11"/>
  <c r="X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AH73" i="11"/>
  <c r="AG73" i="11"/>
  <c r="AF73" i="11"/>
  <c r="AE73" i="11"/>
  <c r="AD73" i="11"/>
  <c r="AC73" i="11"/>
  <c r="AB73" i="11"/>
  <c r="AA73" i="11"/>
  <c r="Z73" i="11"/>
  <c r="Y73" i="11"/>
  <c r="X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AH72" i="11"/>
  <c r="AG72" i="11"/>
  <c r="AF72" i="11"/>
  <c r="AE72" i="11"/>
  <c r="AD72" i="11"/>
  <c r="AC72" i="11"/>
  <c r="AB72" i="11"/>
  <c r="AA72" i="11"/>
  <c r="Z72" i="11"/>
  <c r="Y72" i="11"/>
  <c r="X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AH71" i="11"/>
  <c r="AG71" i="11"/>
  <c r="AF71" i="11"/>
  <c r="AE71" i="11"/>
  <c r="AD71" i="11"/>
  <c r="AC71" i="11"/>
  <c r="AB71" i="11"/>
  <c r="AA71" i="11"/>
  <c r="Z71" i="11"/>
  <c r="Y71" i="11"/>
  <c r="X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AH70" i="11"/>
  <c r="AG70" i="11"/>
  <c r="AF70" i="11"/>
  <c r="AE70" i="11"/>
  <c r="AD70" i="11"/>
  <c r="AC70" i="11"/>
  <c r="AB70" i="11"/>
  <c r="AA70" i="11"/>
  <c r="Z70" i="11"/>
  <c r="Y70" i="11"/>
  <c r="X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AH69" i="11"/>
  <c r="AG69" i="11"/>
  <c r="AF69" i="11"/>
  <c r="AE69" i="11"/>
  <c r="AD69" i="11"/>
  <c r="AC69" i="11"/>
  <c r="AB69" i="11"/>
  <c r="AA69" i="11"/>
  <c r="Z69" i="11"/>
  <c r="Y69" i="11"/>
  <c r="X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AH68" i="11"/>
  <c r="AG68" i="11"/>
  <c r="AF68" i="11"/>
  <c r="AE68" i="11"/>
  <c r="AD68" i="11"/>
  <c r="AC68" i="11"/>
  <c r="AB68" i="11"/>
  <c r="AA68" i="11"/>
  <c r="J257" i="18" s="1"/>
  <c r="Z68" i="11"/>
  <c r="Y68" i="11"/>
  <c r="X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AH67" i="11"/>
  <c r="AG67" i="11"/>
  <c r="AF67" i="11"/>
  <c r="AE67" i="11"/>
  <c r="AD67" i="11"/>
  <c r="AC67" i="11"/>
  <c r="AB67" i="11"/>
  <c r="AA67" i="11"/>
  <c r="Z67" i="11"/>
  <c r="Y67" i="11"/>
  <c r="X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AH66" i="11"/>
  <c r="AG66" i="11"/>
  <c r="AF66" i="11"/>
  <c r="AE66" i="11"/>
  <c r="AD66" i="11"/>
  <c r="AC66" i="11"/>
  <c r="AB66" i="11"/>
  <c r="AA66" i="11"/>
  <c r="Z66" i="11"/>
  <c r="Y66" i="11"/>
  <c r="X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AH65" i="11"/>
  <c r="AG65" i="11"/>
  <c r="AF65" i="11"/>
  <c r="AE65" i="11"/>
  <c r="AD65" i="11"/>
  <c r="AC65" i="11"/>
  <c r="AB65" i="11"/>
  <c r="AA65" i="11"/>
  <c r="Z65" i="11"/>
  <c r="Y65" i="11"/>
  <c r="X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AH64" i="11"/>
  <c r="AG64" i="11"/>
  <c r="AF64" i="11"/>
  <c r="AE64" i="11"/>
  <c r="AD64" i="11"/>
  <c r="AC64" i="11"/>
  <c r="AB64" i="11"/>
  <c r="AA64" i="11"/>
  <c r="Z64" i="11"/>
  <c r="Y64" i="11"/>
  <c r="X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AH63" i="11"/>
  <c r="AG63" i="11"/>
  <c r="AF63" i="11"/>
  <c r="AE63" i="11"/>
  <c r="AD63" i="11"/>
  <c r="AC63" i="11"/>
  <c r="AB63" i="11"/>
  <c r="AA63" i="11"/>
  <c r="Z63" i="11"/>
  <c r="Y63" i="11"/>
  <c r="X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D63" i="11"/>
  <c r="AH62" i="11"/>
  <c r="AG62" i="11"/>
  <c r="AF62" i="11"/>
  <c r="AE62" i="11"/>
  <c r="AD62" i="11"/>
  <c r="AC62" i="11"/>
  <c r="AB62" i="11"/>
  <c r="AA62" i="11"/>
  <c r="Z62" i="11"/>
  <c r="Y62" i="11"/>
  <c r="X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D62" i="11"/>
  <c r="AH61" i="11"/>
  <c r="AG61" i="11"/>
  <c r="AF61" i="11"/>
  <c r="AE61" i="11"/>
  <c r="AD61" i="11"/>
  <c r="AC61" i="11"/>
  <c r="AB61" i="11"/>
  <c r="AA61" i="11"/>
  <c r="Z61" i="11"/>
  <c r="Y61" i="11"/>
  <c r="X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D61" i="11"/>
  <c r="AH60" i="11"/>
  <c r="AG60" i="11"/>
  <c r="AF60" i="11"/>
  <c r="AE60" i="11"/>
  <c r="AD60" i="11"/>
  <c r="AC60" i="11"/>
  <c r="AB60" i="11"/>
  <c r="AA60" i="11"/>
  <c r="I257" i="18" s="1"/>
  <c r="Z60" i="11"/>
  <c r="Y60" i="11"/>
  <c r="X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D60" i="11"/>
  <c r="AH59" i="11"/>
  <c r="AG59" i="11"/>
  <c r="AF59" i="11"/>
  <c r="AE59" i="11"/>
  <c r="AD59" i="11"/>
  <c r="AC59" i="11"/>
  <c r="AB59" i="11"/>
  <c r="AA59" i="11"/>
  <c r="Z59" i="11"/>
  <c r="Y59" i="11"/>
  <c r="X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AH58" i="11"/>
  <c r="AG58" i="11"/>
  <c r="AF58" i="11"/>
  <c r="AE58" i="11"/>
  <c r="AD58" i="11"/>
  <c r="AC58" i="11"/>
  <c r="AB58" i="11"/>
  <c r="AA58" i="11"/>
  <c r="Z58" i="11"/>
  <c r="Y58" i="11"/>
  <c r="X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AH57" i="11"/>
  <c r="AG57" i="11"/>
  <c r="AF57" i="11"/>
  <c r="AE57" i="11"/>
  <c r="AD57" i="11"/>
  <c r="AC57" i="11"/>
  <c r="AB57" i="11"/>
  <c r="AA57" i="11"/>
  <c r="Z57" i="11"/>
  <c r="Y57" i="11"/>
  <c r="X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AH56" i="11"/>
  <c r="AG56" i="11"/>
  <c r="AF56" i="11"/>
  <c r="AE56" i="11"/>
  <c r="AD56" i="11"/>
  <c r="AC56" i="11"/>
  <c r="AB56" i="11"/>
  <c r="AA56" i="11"/>
  <c r="Z56" i="11"/>
  <c r="Y56" i="11"/>
  <c r="X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AH55" i="11"/>
  <c r="AG55" i="11"/>
  <c r="AF55" i="11"/>
  <c r="AE55" i="11"/>
  <c r="AD55" i="11"/>
  <c r="AC55" i="11"/>
  <c r="AB55" i="11"/>
  <c r="AA55" i="11"/>
  <c r="Z55" i="11"/>
  <c r="Y55" i="11"/>
  <c r="X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AH54" i="11"/>
  <c r="AG54" i="11"/>
  <c r="AF54" i="11"/>
  <c r="AE54" i="11"/>
  <c r="AD54" i="11"/>
  <c r="AC54" i="11"/>
  <c r="AB54" i="11"/>
  <c r="AA54" i="11"/>
  <c r="Z54" i="11"/>
  <c r="Y54" i="11"/>
  <c r="X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AH53" i="11"/>
  <c r="AG53" i="11"/>
  <c r="AF53" i="11"/>
  <c r="AE53" i="11"/>
  <c r="AD53" i="11"/>
  <c r="AC53" i="11"/>
  <c r="AB53" i="11"/>
  <c r="AA53" i="11"/>
  <c r="Z53" i="11"/>
  <c r="Y53" i="11"/>
  <c r="X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AH52" i="11"/>
  <c r="AG52" i="11"/>
  <c r="AF52" i="11"/>
  <c r="AE52" i="11"/>
  <c r="AD52" i="11"/>
  <c r="AC52" i="11"/>
  <c r="AB52" i="11"/>
  <c r="AA52" i="11"/>
  <c r="H257" i="18" s="1"/>
  <c r="Z52" i="11"/>
  <c r="Y52" i="11"/>
  <c r="X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AH51" i="11"/>
  <c r="AG51" i="11"/>
  <c r="AF51" i="11"/>
  <c r="AE51" i="11"/>
  <c r="AD51" i="11"/>
  <c r="AC51" i="11"/>
  <c r="AB51" i="11"/>
  <c r="AA51" i="11"/>
  <c r="Z51" i="11"/>
  <c r="Y51" i="11"/>
  <c r="X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AH50" i="11"/>
  <c r="AG50" i="11"/>
  <c r="AF50" i="11"/>
  <c r="AE50" i="11"/>
  <c r="AD50" i="11"/>
  <c r="AC50" i="11"/>
  <c r="AB50" i="11"/>
  <c r="AA50" i="11"/>
  <c r="Z50" i="11"/>
  <c r="Y50" i="11"/>
  <c r="X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AH49" i="11"/>
  <c r="AG49" i="11"/>
  <c r="AF49" i="11"/>
  <c r="AE49" i="11"/>
  <c r="AD49" i="11"/>
  <c r="AC49" i="11"/>
  <c r="AB49" i="11"/>
  <c r="AA49" i="11"/>
  <c r="Z49" i="11"/>
  <c r="Y49" i="11"/>
  <c r="X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AH48" i="11"/>
  <c r="AG48" i="11"/>
  <c r="AF48" i="11"/>
  <c r="AE48" i="11"/>
  <c r="AD48" i="11"/>
  <c r="AC48" i="11"/>
  <c r="AB48" i="11"/>
  <c r="AA48" i="11"/>
  <c r="Z48" i="11"/>
  <c r="Y48" i="11"/>
  <c r="X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AH47" i="11"/>
  <c r="AG47" i="11"/>
  <c r="AF47" i="11"/>
  <c r="AE47" i="11"/>
  <c r="AD47" i="11"/>
  <c r="AC47" i="11"/>
  <c r="AB47" i="11"/>
  <c r="AA47" i="11"/>
  <c r="Z47" i="11"/>
  <c r="Y47" i="11"/>
  <c r="X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AH46" i="11"/>
  <c r="AG46" i="11"/>
  <c r="AF46" i="11"/>
  <c r="AE46" i="11"/>
  <c r="AD46" i="11"/>
  <c r="AC46" i="11"/>
  <c r="AB46" i="11"/>
  <c r="AA46" i="11"/>
  <c r="Z46" i="11"/>
  <c r="Y46" i="11"/>
  <c r="X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AH45" i="11"/>
  <c r="AG45" i="11"/>
  <c r="AF45" i="11"/>
  <c r="AE45" i="11"/>
  <c r="AD45" i="11"/>
  <c r="AC45" i="11"/>
  <c r="AB45" i="11"/>
  <c r="AA45" i="11"/>
  <c r="Z45" i="11"/>
  <c r="Y45" i="11"/>
  <c r="X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AH44" i="11"/>
  <c r="AG44" i="11"/>
  <c r="AF44" i="11"/>
  <c r="AE44" i="11"/>
  <c r="AD44" i="11"/>
  <c r="AC44" i="11"/>
  <c r="AB44" i="11"/>
  <c r="AA44" i="11"/>
  <c r="G257" i="18" s="1"/>
  <c r="Z44" i="11"/>
  <c r="Y44" i="11"/>
  <c r="X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AH43" i="11"/>
  <c r="AG43" i="11"/>
  <c r="AF43" i="11"/>
  <c r="AE43" i="11"/>
  <c r="AD43" i="11"/>
  <c r="AC43" i="11"/>
  <c r="AB43" i="11"/>
  <c r="AA43" i="11"/>
  <c r="Z43" i="11"/>
  <c r="Y43" i="11"/>
  <c r="X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AH42" i="11"/>
  <c r="AG42" i="11"/>
  <c r="AF42" i="11"/>
  <c r="AE42" i="11"/>
  <c r="AD42" i="11"/>
  <c r="AC42" i="11"/>
  <c r="AB42" i="11"/>
  <c r="AA42" i="11"/>
  <c r="Z42" i="11"/>
  <c r="Y42" i="11"/>
  <c r="X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AH41" i="11"/>
  <c r="AG41" i="11"/>
  <c r="AF41" i="11"/>
  <c r="AE41" i="11"/>
  <c r="AD41" i="11"/>
  <c r="AC41" i="11"/>
  <c r="AB41" i="11"/>
  <c r="AA41" i="11"/>
  <c r="Z41" i="11"/>
  <c r="Y41" i="11"/>
  <c r="X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AH40" i="11"/>
  <c r="AG40" i="11"/>
  <c r="AF40" i="11"/>
  <c r="AE40" i="11"/>
  <c r="AD40" i="11"/>
  <c r="AC40" i="11"/>
  <c r="AB40" i="11"/>
  <c r="AA40" i="11"/>
  <c r="Z40" i="11"/>
  <c r="Y40" i="11"/>
  <c r="X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AH39" i="11"/>
  <c r="AG39" i="11"/>
  <c r="AF39" i="11"/>
  <c r="AE39" i="11"/>
  <c r="AD39" i="11"/>
  <c r="AC39" i="11"/>
  <c r="AB39" i="11"/>
  <c r="AA39" i="11"/>
  <c r="Z39" i="11"/>
  <c r="Y39" i="11"/>
  <c r="X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AH38" i="11"/>
  <c r="AG38" i="11"/>
  <c r="AF38" i="11"/>
  <c r="AE38" i="11"/>
  <c r="AD38" i="11"/>
  <c r="AC38" i="11"/>
  <c r="AB38" i="11"/>
  <c r="AA38" i="11"/>
  <c r="Z38" i="11"/>
  <c r="Y38" i="11"/>
  <c r="X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AH37" i="11"/>
  <c r="AG37" i="11"/>
  <c r="AF37" i="11"/>
  <c r="AE37" i="11"/>
  <c r="AD37" i="11"/>
  <c r="AC37" i="11"/>
  <c r="AB37" i="11"/>
  <c r="AA37" i="11"/>
  <c r="Z37" i="11"/>
  <c r="Y37" i="11"/>
  <c r="X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AH36" i="11"/>
  <c r="AG36" i="11"/>
  <c r="AF36" i="11"/>
  <c r="AE36" i="11"/>
  <c r="AD36" i="11"/>
  <c r="AC36" i="11"/>
  <c r="AB36" i="11"/>
  <c r="AA36" i="11"/>
  <c r="F257" i="18" s="1"/>
  <c r="AI257" i="18" s="1"/>
  <c r="Z36" i="11"/>
  <c r="Y36" i="11"/>
  <c r="X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AH35" i="11"/>
  <c r="AG35" i="11"/>
  <c r="AF35" i="11"/>
  <c r="AE35" i="11"/>
  <c r="AD35" i="11"/>
  <c r="AC35" i="11"/>
  <c r="AB35" i="11"/>
  <c r="AA35" i="11"/>
  <c r="Z35" i="11"/>
  <c r="Y35" i="11"/>
  <c r="X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AH34" i="11"/>
  <c r="AG34" i="11"/>
  <c r="AF34" i="11"/>
  <c r="AE34" i="11"/>
  <c r="AD34" i="11"/>
  <c r="AC34" i="11"/>
  <c r="AB34" i="11"/>
  <c r="AA34" i="11"/>
  <c r="Z34" i="11"/>
  <c r="Y34" i="11"/>
  <c r="X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AH33" i="11"/>
  <c r="AG33" i="11"/>
  <c r="AF33" i="11"/>
  <c r="AE33" i="11"/>
  <c r="AD33" i="11"/>
  <c r="AC33" i="11"/>
  <c r="AB33" i="11"/>
  <c r="AA33" i="11"/>
  <c r="Z33" i="11"/>
  <c r="Y33" i="11"/>
  <c r="X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AH32" i="11"/>
  <c r="AG32" i="11"/>
  <c r="AF32" i="11"/>
  <c r="AE32" i="11"/>
  <c r="AD32" i="11"/>
  <c r="AC32" i="11"/>
  <c r="AB32" i="11"/>
  <c r="AA32" i="11"/>
  <c r="Z32" i="11"/>
  <c r="Y32" i="11"/>
  <c r="X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AH31" i="11"/>
  <c r="AG31" i="11"/>
  <c r="AF31" i="11"/>
  <c r="AE31" i="11"/>
  <c r="AD31" i="11"/>
  <c r="AC31" i="11"/>
  <c r="AB31" i="11"/>
  <c r="AA31" i="11"/>
  <c r="Z31" i="11"/>
  <c r="Y31" i="11"/>
  <c r="X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AH30" i="11"/>
  <c r="AG30" i="11"/>
  <c r="AF30" i="11"/>
  <c r="AE30" i="11"/>
  <c r="AD30" i="11"/>
  <c r="AC30" i="11"/>
  <c r="AB30" i="11"/>
  <c r="AA30" i="11"/>
  <c r="Z30" i="11"/>
  <c r="Y30" i="11"/>
  <c r="X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AH29" i="11"/>
  <c r="AG29" i="11"/>
  <c r="AF29" i="11"/>
  <c r="AE29" i="11"/>
  <c r="AD29" i="11"/>
  <c r="AC29" i="11"/>
  <c r="AB29" i="11"/>
  <c r="AA29" i="11"/>
  <c r="Z29" i="11"/>
  <c r="Y29" i="11"/>
  <c r="X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AH28" i="11"/>
  <c r="AG28" i="11"/>
  <c r="AF28" i="11"/>
  <c r="AE28" i="11"/>
  <c r="AD28" i="11"/>
  <c r="AC28" i="11"/>
  <c r="AB28" i="11"/>
  <c r="AA28" i="11"/>
  <c r="E257" i="18" s="1"/>
  <c r="Z28" i="11"/>
  <c r="Y28" i="11"/>
  <c r="X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AH27" i="11"/>
  <c r="AG27" i="11"/>
  <c r="AF27" i="11"/>
  <c r="AE27" i="11"/>
  <c r="AD27" i="11"/>
  <c r="AC27" i="11"/>
  <c r="AB27" i="11"/>
  <c r="AA27" i="11"/>
  <c r="Z27" i="11"/>
  <c r="Y27" i="11"/>
  <c r="X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AH26" i="11"/>
  <c r="AG26" i="11"/>
  <c r="AF26" i="11"/>
  <c r="AE26" i="11"/>
  <c r="AD26" i="11"/>
  <c r="AC26" i="11"/>
  <c r="AB26" i="11"/>
  <c r="AA26" i="11"/>
  <c r="Z26" i="11"/>
  <c r="Y26" i="11"/>
  <c r="X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AH25" i="11"/>
  <c r="AG25" i="11"/>
  <c r="AF25" i="11"/>
  <c r="AE25" i="11"/>
  <c r="AD25" i="11"/>
  <c r="AC25" i="11"/>
  <c r="AB25" i="11"/>
  <c r="AA25" i="11"/>
  <c r="Z25" i="11"/>
  <c r="Y25" i="11"/>
  <c r="X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AH24" i="11"/>
  <c r="AG24" i="11"/>
  <c r="AF24" i="11"/>
  <c r="AE24" i="11"/>
  <c r="AD24" i="11"/>
  <c r="AC24" i="11"/>
  <c r="AB24" i="11"/>
  <c r="AA24" i="11"/>
  <c r="Z24" i="11"/>
  <c r="Y24" i="11"/>
  <c r="X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AH23" i="11"/>
  <c r="AG23" i="11"/>
  <c r="AF23" i="11"/>
  <c r="AE23" i="11"/>
  <c r="AD23" i="11"/>
  <c r="AC23" i="11"/>
  <c r="AB23" i="11"/>
  <c r="AA23" i="11"/>
  <c r="Z23" i="11"/>
  <c r="Y23" i="11"/>
  <c r="X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H22" i="11"/>
  <c r="AG22" i="11"/>
  <c r="AF22" i="11"/>
  <c r="AE22" i="11"/>
  <c r="AD22" i="11"/>
  <c r="AC22" i="11"/>
  <c r="AB22" i="11"/>
  <c r="AA22" i="11"/>
  <c r="Z22" i="11"/>
  <c r="Y22" i="11"/>
  <c r="X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AH21" i="11"/>
  <c r="AG21" i="11"/>
  <c r="AF21" i="11"/>
  <c r="AE21" i="11"/>
  <c r="AD21" i="11"/>
  <c r="AC21" i="11"/>
  <c r="AB21" i="11"/>
  <c r="AA21" i="11"/>
  <c r="Z21" i="11"/>
  <c r="Y21" i="11"/>
  <c r="X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AH20" i="11"/>
  <c r="AG20" i="11"/>
  <c r="AF20" i="11"/>
  <c r="AE20" i="11"/>
  <c r="AD20" i="11"/>
  <c r="AC20" i="11"/>
  <c r="AB20" i="11"/>
  <c r="AA20" i="11"/>
  <c r="D257" i="18" s="1"/>
  <c r="Z20" i="11"/>
  <c r="Y20" i="11"/>
  <c r="X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AH19" i="11"/>
  <c r="AG19" i="11"/>
  <c r="AF19" i="11"/>
  <c r="AE19" i="11"/>
  <c r="AD19" i="11"/>
  <c r="AC19" i="11"/>
  <c r="AB19" i="11"/>
  <c r="AA19" i="11"/>
  <c r="Z19" i="11"/>
  <c r="Y19" i="11"/>
  <c r="X19" i="11"/>
  <c r="V19" i="11"/>
  <c r="U19" i="11"/>
  <c r="T19" i="11"/>
  <c r="S19" i="11"/>
  <c r="E335" i="67" s="1"/>
  <c r="L335" i="67" s="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AH18" i="11"/>
  <c r="AG18" i="11"/>
  <c r="AF18" i="11"/>
  <c r="AE18" i="11"/>
  <c r="AD18" i="11"/>
  <c r="AC18" i="11"/>
  <c r="AB18" i="11"/>
  <c r="AA18" i="11"/>
  <c r="Z18" i="11"/>
  <c r="Y18" i="11"/>
  <c r="X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AH17" i="11"/>
  <c r="AG17" i="11"/>
  <c r="C252" i="67" s="1"/>
  <c r="AF17" i="11"/>
  <c r="AE17" i="11"/>
  <c r="AD17" i="11"/>
  <c r="AC17" i="11"/>
  <c r="AB17" i="11"/>
  <c r="AA17" i="11"/>
  <c r="Z17" i="11"/>
  <c r="Y17" i="11"/>
  <c r="X17" i="11"/>
  <c r="V17" i="11"/>
  <c r="U17" i="11"/>
  <c r="T17" i="11"/>
  <c r="S17" i="11"/>
  <c r="C181" i="67" s="1"/>
  <c r="R17" i="11"/>
  <c r="Q17" i="11"/>
  <c r="P17" i="11"/>
  <c r="O17" i="11"/>
  <c r="N17" i="11"/>
  <c r="M17" i="11"/>
  <c r="L17" i="11"/>
  <c r="K17" i="11"/>
  <c r="J17" i="11"/>
  <c r="I17" i="11"/>
  <c r="C333" i="67" s="1"/>
  <c r="H17" i="11"/>
  <c r="G17" i="11"/>
  <c r="F17" i="11"/>
  <c r="E17" i="11"/>
  <c r="D17" i="11"/>
  <c r="AH16" i="11"/>
  <c r="AG16" i="11"/>
  <c r="AF16" i="11"/>
  <c r="AE16" i="11"/>
  <c r="AD16" i="11"/>
  <c r="AC16" i="11"/>
  <c r="AB16" i="11"/>
  <c r="AA16" i="11"/>
  <c r="Z16" i="11"/>
  <c r="Y16" i="11"/>
  <c r="X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AH15" i="11"/>
  <c r="AG15" i="11"/>
  <c r="AF15" i="11"/>
  <c r="AE15" i="11"/>
  <c r="AD15" i="11"/>
  <c r="AC15" i="11"/>
  <c r="AB15" i="11"/>
  <c r="AA15" i="11"/>
  <c r="Z15" i="11"/>
  <c r="Y15" i="11"/>
  <c r="X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AH14" i="11"/>
  <c r="AG14" i="11"/>
  <c r="AF14" i="11"/>
  <c r="AE14" i="11"/>
  <c r="AD14" i="11"/>
  <c r="AC14" i="11"/>
  <c r="AB14" i="11"/>
  <c r="AA14" i="11"/>
  <c r="Z14" i="11"/>
  <c r="Y14" i="11"/>
  <c r="X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AH13" i="11"/>
  <c r="AG13" i="11"/>
  <c r="AF13" i="11"/>
  <c r="AE13" i="11"/>
  <c r="AD13" i="11"/>
  <c r="AC13" i="11"/>
  <c r="AB13" i="11"/>
  <c r="AA13" i="11"/>
  <c r="Z13" i="11"/>
  <c r="Y13" i="11"/>
  <c r="X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A13" i="11"/>
  <c r="F307" i="67"/>
  <c r="E307" i="67"/>
  <c r="D307" i="67"/>
  <c r="C307" i="67"/>
  <c r="F298" i="67"/>
  <c r="E298" i="67"/>
  <c r="D298" i="67"/>
  <c r="C298" i="67"/>
  <c r="D10" i="18"/>
  <c r="D9" i="18"/>
  <c r="D8" i="18"/>
  <c r="D4" i="18" l="1"/>
  <c r="AG257" i="18"/>
  <c r="AH257" i="18"/>
  <c r="F24" i="18"/>
  <c r="F213" i="60" s="1"/>
  <c r="F252" i="67"/>
  <c r="D24" i="18"/>
  <c r="D252" i="67"/>
  <c r="E24" i="18"/>
  <c r="E213" i="61" s="1"/>
  <c r="E252" i="67"/>
  <c r="C24" i="18"/>
  <c r="F17" i="18"/>
  <c r="F182" i="67" s="1"/>
  <c r="C335" i="67"/>
  <c r="J335" i="67" s="1"/>
  <c r="F337" i="67"/>
  <c r="M337" i="67" s="1"/>
  <c r="F18" i="18"/>
  <c r="F185" i="67" s="1"/>
  <c r="F22" i="18"/>
  <c r="F247" i="67" s="1"/>
  <c r="F16" i="18"/>
  <c r="F179" i="67" s="1"/>
  <c r="D7" i="18"/>
  <c r="D336" i="67"/>
  <c r="K336" i="67" s="1"/>
  <c r="F336" i="67"/>
  <c r="M336" i="67" s="1"/>
  <c r="D333" i="67"/>
  <c r="K333" i="67" s="1"/>
  <c r="D181" i="67"/>
  <c r="T212" i="67" s="1"/>
  <c r="D335" i="67"/>
  <c r="K335" i="67" s="1"/>
  <c r="D337" i="67"/>
  <c r="K337" i="67" s="1"/>
  <c r="F333" i="67"/>
  <c r="M333" i="67" s="1"/>
  <c r="F181" i="67"/>
  <c r="V212" i="67" s="1"/>
  <c r="F335" i="67"/>
  <c r="M335" i="67" s="1"/>
  <c r="J333" i="67"/>
  <c r="AA249" i="11"/>
  <c r="C337" i="67"/>
  <c r="J337" i="67" s="1"/>
  <c r="E333" i="67"/>
  <c r="L333" i="67" s="1"/>
  <c r="E337" i="67"/>
  <c r="L337" i="67" s="1"/>
  <c r="C336" i="67"/>
  <c r="J336" i="67" s="1"/>
  <c r="E336" i="67"/>
  <c r="L336" i="67" s="1"/>
  <c r="C18" i="18"/>
  <c r="C185" i="67" s="1"/>
  <c r="S212" i="67"/>
  <c r="E18" i="18"/>
  <c r="E185" i="67" s="1"/>
  <c r="E181" i="67"/>
  <c r="F23" i="18"/>
  <c r="F250" i="67" s="1"/>
  <c r="C213" i="61"/>
  <c r="D18" i="18"/>
  <c r="D185" i="67" s="1"/>
  <c r="D6" i="18"/>
  <c r="D16" i="18"/>
  <c r="D179" i="67" s="1"/>
  <c r="D17" i="18"/>
  <c r="D182" i="67" s="1"/>
  <c r="D22" i="18"/>
  <c r="D247" i="67" s="1"/>
  <c r="D23" i="18"/>
  <c r="D250" i="67" s="1"/>
  <c r="C16" i="18"/>
  <c r="C179" i="67" s="1"/>
  <c r="E16" i="18"/>
  <c r="E179" i="67" s="1"/>
  <c r="C17" i="18"/>
  <c r="C182" i="67" s="1"/>
  <c r="E17" i="18"/>
  <c r="E182" i="67" s="1"/>
  <c r="C22" i="18"/>
  <c r="C247" i="67" s="1"/>
  <c r="E22" i="18"/>
  <c r="E247" i="67" s="1"/>
  <c r="C23" i="18"/>
  <c r="C210" i="58" s="1"/>
  <c r="E23" i="18"/>
  <c r="E250" i="67" s="1"/>
  <c r="F163" i="62"/>
  <c r="F163" i="60"/>
  <c r="F163" i="59"/>
  <c r="F163" i="58"/>
  <c r="F163" i="56"/>
  <c r="F163" i="55"/>
  <c r="F163" i="54"/>
  <c r="F163" i="47"/>
  <c r="F163" i="53"/>
  <c r="F163" i="50"/>
  <c r="F163" i="46"/>
  <c r="F163" i="44"/>
  <c r="F163" i="43"/>
  <c r="F163" i="42"/>
  <c r="F163" i="39"/>
  <c r="F163" i="38"/>
  <c r="F163" i="36"/>
  <c r="F163" i="35"/>
  <c r="F163" i="34"/>
  <c r="F163" i="33"/>
  <c r="F163" i="32"/>
  <c r="F163" i="31"/>
  <c r="F166" i="42"/>
  <c r="D169" i="31"/>
  <c r="F169" i="62"/>
  <c r="F169" i="60"/>
  <c r="F169" i="59"/>
  <c r="F169" i="58"/>
  <c r="F169" i="56"/>
  <c r="F169" i="55"/>
  <c r="F169" i="54"/>
  <c r="F169" i="48"/>
  <c r="F169" i="47"/>
  <c r="F169" i="53"/>
  <c r="F169" i="43"/>
  <c r="F169" i="46"/>
  <c r="F169" i="44"/>
  <c r="F169" i="41"/>
  <c r="F169" i="39"/>
  <c r="F169" i="38"/>
  <c r="F169" i="36"/>
  <c r="F169" i="35"/>
  <c r="F169" i="34"/>
  <c r="F169" i="33"/>
  <c r="F169" i="32"/>
  <c r="F169" i="31"/>
  <c r="F207" i="52"/>
  <c r="F207" i="51"/>
  <c r="F213" i="50"/>
  <c r="F213" i="43"/>
  <c r="F213" i="33"/>
  <c r="D232" i="31"/>
  <c r="F232" i="31"/>
  <c r="D239" i="31"/>
  <c r="C169" i="60"/>
  <c r="C169" i="38"/>
  <c r="E169" i="62"/>
  <c r="E169" i="58"/>
  <c r="E169" i="55"/>
  <c r="E169" i="48"/>
  <c r="E169" i="42"/>
  <c r="E169" i="37"/>
  <c r="E169" i="34"/>
  <c r="E169" i="31"/>
  <c r="C232" i="31"/>
  <c r="E232" i="31"/>
  <c r="C239" i="31"/>
  <c r="E239" i="31"/>
  <c r="F239" i="31"/>
  <c r="F207" i="36" l="1"/>
  <c r="F207" i="57"/>
  <c r="F166" i="41"/>
  <c r="F166" i="60"/>
  <c r="D163" i="62"/>
  <c r="F213" i="39"/>
  <c r="F213" i="59"/>
  <c r="F207" i="47"/>
  <c r="F166" i="39"/>
  <c r="F166" i="56"/>
  <c r="F213" i="35"/>
  <c r="F213" i="55"/>
  <c r="F207" i="42"/>
  <c r="F207" i="61"/>
  <c r="F166" i="33"/>
  <c r="F166" i="50"/>
  <c r="F253" i="67"/>
  <c r="F210" i="58"/>
  <c r="F213" i="31"/>
  <c r="F213" i="34"/>
  <c r="F213" i="37"/>
  <c r="F213" i="46"/>
  <c r="F213" i="48"/>
  <c r="F213" i="54"/>
  <c r="F213" i="58"/>
  <c r="F213" i="62"/>
  <c r="F207" i="32"/>
  <c r="F207" i="38"/>
  <c r="F207" i="41"/>
  <c r="F207" i="43"/>
  <c r="F207" i="48"/>
  <c r="F207" i="56"/>
  <c r="F207" i="60"/>
  <c r="F166" i="32"/>
  <c r="F166" i="35"/>
  <c r="F166" i="38"/>
  <c r="F166" i="46"/>
  <c r="F166" i="48"/>
  <c r="F166" i="55"/>
  <c r="F166" i="59"/>
  <c r="F213" i="51"/>
  <c r="F213" i="36"/>
  <c r="F213" i="42"/>
  <c r="F213" i="47"/>
  <c r="F213" i="52"/>
  <c r="F213" i="57"/>
  <c r="F213" i="61"/>
  <c r="F207" i="33"/>
  <c r="F207" i="35"/>
  <c r="F207" i="39"/>
  <c r="F207" i="46"/>
  <c r="F207" i="53"/>
  <c r="F207" i="55"/>
  <c r="F207" i="59"/>
  <c r="F166" i="31"/>
  <c r="F166" i="34"/>
  <c r="F166" i="37"/>
  <c r="F166" i="44"/>
  <c r="F166" i="52"/>
  <c r="F166" i="54"/>
  <c r="F166" i="58"/>
  <c r="F166" i="62"/>
  <c r="F213" i="32"/>
  <c r="F213" i="38"/>
  <c r="F213" i="41"/>
  <c r="F213" i="44"/>
  <c r="F213" i="53"/>
  <c r="F213" i="56"/>
  <c r="F207" i="31"/>
  <c r="F207" i="34"/>
  <c r="F207" i="37"/>
  <c r="F207" i="44"/>
  <c r="F207" i="50"/>
  <c r="F207" i="54"/>
  <c r="F207" i="58"/>
  <c r="F207" i="62"/>
  <c r="D169" i="53"/>
  <c r="F166" i="51"/>
  <c r="F166" i="36"/>
  <c r="F166" i="43"/>
  <c r="F166" i="47"/>
  <c r="F166" i="53"/>
  <c r="F166" i="57"/>
  <c r="F166" i="61"/>
  <c r="C213" i="36"/>
  <c r="C213" i="57"/>
  <c r="C213" i="33"/>
  <c r="C213" i="50"/>
  <c r="E213" i="56"/>
  <c r="C213" i="46"/>
  <c r="E213" i="37"/>
  <c r="C213" i="43"/>
  <c r="C213" i="62"/>
  <c r="E213" i="51"/>
  <c r="E213" i="53"/>
  <c r="C213" i="32"/>
  <c r="C213" i="35"/>
  <c r="C213" i="38"/>
  <c r="C213" i="42"/>
  <c r="C213" i="48"/>
  <c r="C213" i="54"/>
  <c r="C213" i="60"/>
  <c r="E213" i="52"/>
  <c r="C213" i="31"/>
  <c r="C213" i="34"/>
  <c r="C213" i="39"/>
  <c r="C213" i="41"/>
  <c r="C213" i="47"/>
  <c r="C213" i="55"/>
  <c r="C213" i="58"/>
  <c r="E213" i="44"/>
  <c r="E213" i="62"/>
  <c r="C213" i="51"/>
  <c r="C213" i="37"/>
  <c r="C213" i="44"/>
  <c r="C213" i="52"/>
  <c r="C213" i="53"/>
  <c r="C213" i="56"/>
  <c r="C169" i="35"/>
  <c r="C169" i="54"/>
  <c r="F210" i="42"/>
  <c r="F163" i="51"/>
  <c r="F163" i="37"/>
  <c r="F163" i="41"/>
  <c r="F163" i="48"/>
  <c r="F163" i="52"/>
  <c r="F163" i="57"/>
  <c r="F163" i="61"/>
  <c r="C169" i="32"/>
  <c r="C169" i="52"/>
  <c r="F210" i="36"/>
  <c r="C169" i="44"/>
  <c r="F210" i="31"/>
  <c r="F210" i="61"/>
  <c r="F210" i="52"/>
  <c r="F210" i="34"/>
  <c r="F210" i="55"/>
  <c r="E169" i="36"/>
  <c r="E169" i="41"/>
  <c r="E169" i="53"/>
  <c r="E169" i="57"/>
  <c r="E169" i="33"/>
  <c r="E169" i="39"/>
  <c r="E169" i="43"/>
  <c r="E169" i="46"/>
  <c r="E169" i="50"/>
  <c r="E169" i="56"/>
  <c r="E169" i="60"/>
  <c r="D210" i="36"/>
  <c r="E169" i="32"/>
  <c r="E169" i="35"/>
  <c r="E169" i="38"/>
  <c r="E169" i="44"/>
  <c r="E169" i="52"/>
  <c r="E169" i="54"/>
  <c r="E169" i="59"/>
  <c r="D210" i="34"/>
  <c r="F169" i="51"/>
  <c r="F169" i="37"/>
  <c r="F169" i="42"/>
  <c r="F169" i="50"/>
  <c r="F169" i="52"/>
  <c r="F169" i="57"/>
  <c r="F169" i="61"/>
  <c r="D210" i="31"/>
  <c r="D210" i="58"/>
  <c r="E169" i="51"/>
  <c r="E169" i="47"/>
  <c r="E169" i="61"/>
  <c r="D210" i="55"/>
  <c r="D166" i="44"/>
  <c r="D163" i="43"/>
  <c r="C169" i="33"/>
  <c r="C169" i="39"/>
  <c r="C169" i="43"/>
  <c r="C169" i="46"/>
  <c r="C169" i="50"/>
  <c r="C169" i="56"/>
  <c r="C169" i="61"/>
  <c r="F210" i="33"/>
  <c r="F210" i="35"/>
  <c r="F210" i="38"/>
  <c r="F210" i="44"/>
  <c r="F210" i="47"/>
  <c r="F210" i="54"/>
  <c r="F210" i="59"/>
  <c r="D166" i="52"/>
  <c r="E163" i="44"/>
  <c r="C169" i="31"/>
  <c r="C169" i="34"/>
  <c r="C169" i="37"/>
  <c r="C169" i="42"/>
  <c r="C169" i="48"/>
  <c r="C169" i="55"/>
  <c r="C169" i="58"/>
  <c r="F210" i="51"/>
  <c r="F210" i="39"/>
  <c r="F210" i="41"/>
  <c r="F210" i="48"/>
  <c r="F210" i="53"/>
  <c r="F210" i="56"/>
  <c r="F210" i="62"/>
  <c r="D166" i="34"/>
  <c r="C169" i="51"/>
  <c r="C169" i="36"/>
  <c r="C169" i="41"/>
  <c r="C169" i="47"/>
  <c r="C169" i="53"/>
  <c r="C169" i="57"/>
  <c r="C169" i="62"/>
  <c r="F210" i="32"/>
  <c r="F210" i="37"/>
  <c r="F210" i="43"/>
  <c r="F210" i="46"/>
  <c r="F210" i="50"/>
  <c r="F210" i="57"/>
  <c r="F210" i="60"/>
  <c r="D166" i="62"/>
  <c r="D207" i="62"/>
  <c r="D207" i="44"/>
  <c r="D210" i="52"/>
  <c r="G335" i="67"/>
  <c r="D210" i="42"/>
  <c r="D210" i="61"/>
  <c r="D166" i="31"/>
  <c r="D166" i="54"/>
  <c r="E163" i="34"/>
  <c r="E163" i="62"/>
  <c r="E163" i="54"/>
  <c r="D166" i="37"/>
  <c r="D166" i="58"/>
  <c r="E163" i="31"/>
  <c r="E163" i="37"/>
  <c r="E163" i="52"/>
  <c r="E163" i="58"/>
  <c r="D210" i="32"/>
  <c r="D210" i="37"/>
  <c r="D210" i="43"/>
  <c r="D210" i="46"/>
  <c r="D210" i="50"/>
  <c r="D210" i="57"/>
  <c r="D210" i="60"/>
  <c r="D166" i="33"/>
  <c r="D166" i="39"/>
  <c r="D166" i="41"/>
  <c r="D166" i="42"/>
  <c r="D166" i="50"/>
  <c r="D166" i="56"/>
  <c r="D166" i="60"/>
  <c r="E207" i="62"/>
  <c r="E213" i="32"/>
  <c r="E213" i="35"/>
  <c r="E213" i="38"/>
  <c r="E213" i="42"/>
  <c r="E213" i="48"/>
  <c r="E213" i="54"/>
  <c r="E213" i="59"/>
  <c r="E163" i="33"/>
  <c r="E163" i="39"/>
  <c r="E163" i="41"/>
  <c r="E163" i="42"/>
  <c r="E163" i="50"/>
  <c r="E163" i="56"/>
  <c r="E163" i="60"/>
  <c r="G336" i="67"/>
  <c r="G337" i="67"/>
  <c r="G333" i="67"/>
  <c r="E163" i="32"/>
  <c r="E163" i="51"/>
  <c r="E163" i="35"/>
  <c r="E163" i="36"/>
  <c r="E163" i="38"/>
  <c r="E163" i="43"/>
  <c r="E163" i="46"/>
  <c r="E163" i="47"/>
  <c r="E163" i="48"/>
  <c r="E163" i="53"/>
  <c r="E163" i="55"/>
  <c r="E163" i="57"/>
  <c r="E163" i="59"/>
  <c r="E163" i="61"/>
  <c r="D210" i="33"/>
  <c r="D210" i="51"/>
  <c r="D210" i="35"/>
  <c r="D210" i="39"/>
  <c r="D210" i="38"/>
  <c r="D210" i="41"/>
  <c r="D210" i="44"/>
  <c r="D210" i="48"/>
  <c r="D210" i="47"/>
  <c r="D210" i="53"/>
  <c r="D210" i="54"/>
  <c r="D210" i="56"/>
  <c r="D210" i="59"/>
  <c r="D210" i="62"/>
  <c r="D166" i="32"/>
  <c r="D166" i="51"/>
  <c r="D166" i="35"/>
  <c r="D166" i="36"/>
  <c r="D166" i="38"/>
  <c r="D166" i="43"/>
  <c r="D166" i="46"/>
  <c r="D166" i="47"/>
  <c r="D166" i="48"/>
  <c r="D166" i="53"/>
  <c r="D166" i="55"/>
  <c r="D166" i="57"/>
  <c r="D166" i="59"/>
  <c r="D166" i="61"/>
  <c r="E213" i="31"/>
  <c r="E213" i="33"/>
  <c r="E213" i="34"/>
  <c r="E213" i="36"/>
  <c r="E213" i="39"/>
  <c r="E213" i="43"/>
  <c r="E213" i="41"/>
  <c r="E213" i="46"/>
  <c r="E213" i="47"/>
  <c r="E213" i="50"/>
  <c r="E213" i="55"/>
  <c r="E213" i="57"/>
  <c r="E213" i="58"/>
  <c r="E213" i="60"/>
  <c r="E207" i="37"/>
  <c r="E207" i="48"/>
  <c r="E207" i="51"/>
  <c r="E207" i="41"/>
  <c r="E207" i="53"/>
  <c r="E207" i="32"/>
  <c r="E207" i="35"/>
  <c r="E207" i="38"/>
  <c r="E207" i="44"/>
  <c r="E207" i="47"/>
  <c r="E207" i="54"/>
  <c r="E207" i="31"/>
  <c r="E207" i="33"/>
  <c r="E207" i="34"/>
  <c r="E207" i="36"/>
  <c r="E207" i="39"/>
  <c r="E207" i="43"/>
  <c r="E207" i="42"/>
  <c r="E207" i="46"/>
  <c r="E207" i="52"/>
  <c r="E207" i="50"/>
  <c r="E207" i="55"/>
  <c r="E207" i="56"/>
  <c r="E207" i="57"/>
  <c r="E207" i="59"/>
  <c r="U212" i="67"/>
  <c r="C212" i="67" s="1"/>
  <c r="E212" i="67"/>
  <c r="T281" i="67"/>
  <c r="V281" i="67"/>
  <c r="D212" i="67"/>
  <c r="F212" i="67"/>
  <c r="E253" i="67"/>
  <c r="C253" i="67"/>
  <c r="S281" i="67"/>
  <c r="C166" i="46"/>
  <c r="C163" i="47"/>
  <c r="D207" i="34"/>
  <c r="D207" i="54"/>
  <c r="D169" i="38"/>
  <c r="D169" i="58"/>
  <c r="D163" i="34"/>
  <c r="D163" i="54"/>
  <c r="C166" i="36"/>
  <c r="C166" i="56"/>
  <c r="C163" i="36"/>
  <c r="C163" i="62"/>
  <c r="D207" i="31"/>
  <c r="D207" i="37"/>
  <c r="D207" i="50"/>
  <c r="D207" i="58"/>
  <c r="D169" i="34"/>
  <c r="D169" i="44"/>
  <c r="D169" i="54"/>
  <c r="D169" i="62"/>
  <c r="D163" i="31"/>
  <c r="D163" i="38"/>
  <c r="D163" i="50"/>
  <c r="D163" i="58"/>
  <c r="C166" i="33"/>
  <c r="C166" i="42"/>
  <c r="C166" i="47"/>
  <c r="C166" i="61"/>
  <c r="C163" i="51"/>
  <c r="C163" i="43"/>
  <c r="C163" i="53"/>
  <c r="D207" i="32"/>
  <c r="D207" i="38"/>
  <c r="D207" i="41"/>
  <c r="D207" i="43"/>
  <c r="D207" i="48"/>
  <c r="D207" i="56"/>
  <c r="D207" i="60"/>
  <c r="D169" i="33"/>
  <c r="D169" i="36"/>
  <c r="D169" i="41"/>
  <c r="D169" i="43"/>
  <c r="D169" i="48"/>
  <c r="D169" i="56"/>
  <c r="D169" i="60"/>
  <c r="D163" i="33"/>
  <c r="D163" i="36"/>
  <c r="D163" i="41"/>
  <c r="D163" i="46"/>
  <c r="D163" i="47"/>
  <c r="D163" i="56"/>
  <c r="D163" i="60"/>
  <c r="C166" i="31"/>
  <c r="C166" i="34"/>
  <c r="C166" i="38"/>
  <c r="C166" i="43"/>
  <c r="C166" i="50"/>
  <c r="C166" i="54"/>
  <c r="C166" i="58"/>
  <c r="C163" i="57"/>
  <c r="C166" i="32"/>
  <c r="C166" i="51"/>
  <c r="C166" i="35"/>
  <c r="C166" i="37"/>
  <c r="C166" i="39"/>
  <c r="C166" i="41"/>
  <c r="C166" i="44"/>
  <c r="C166" i="48"/>
  <c r="C166" i="53"/>
  <c r="C166" i="52"/>
  <c r="C166" i="55"/>
  <c r="C166" i="57"/>
  <c r="C166" i="60"/>
  <c r="C166" i="62"/>
  <c r="C163" i="32"/>
  <c r="C163" i="35"/>
  <c r="C163" i="38"/>
  <c r="C163" i="46"/>
  <c r="C163" i="48"/>
  <c r="C163" i="55"/>
  <c r="C163" i="60"/>
  <c r="D207" i="33"/>
  <c r="D207" i="51"/>
  <c r="D207" i="35"/>
  <c r="D207" i="36"/>
  <c r="D207" i="39"/>
  <c r="D207" i="42"/>
  <c r="D207" i="46"/>
  <c r="D207" i="47"/>
  <c r="D207" i="53"/>
  <c r="D207" i="52"/>
  <c r="D207" i="55"/>
  <c r="D207" i="57"/>
  <c r="D207" i="59"/>
  <c r="D207" i="61"/>
  <c r="D169" i="32"/>
  <c r="D169" i="51"/>
  <c r="D169" i="35"/>
  <c r="D169" i="37"/>
  <c r="D169" i="39"/>
  <c r="D169" i="42"/>
  <c r="D169" i="46"/>
  <c r="D169" i="50"/>
  <c r="D169" i="47"/>
  <c r="D169" i="52"/>
  <c r="D169" i="55"/>
  <c r="D169" i="57"/>
  <c r="D169" i="59"/>
  <c r="D169" i="61"/>
  <c r="D163" i="32"/>
  <c r="D163" i="51"/>
  <c r="D163" i="35"/>
  <c r="D163" i="37"/>
  <c r="D163" i="39"/>
  <c r="D163" i="42"/>
  <c r="D163" i="44"/>
  <c r="D163" i="48"/>
  <c r="D163" i="53"/>
  <c r="D163" i="52"/>
  <c r="D163" i="55"/>
  <c r="D163" i="57"/>
  <c r="D163" i="59"/>
  <c r="D163" i="61"/>
  <c r="E210" i="59"/>
  <c r="E207" i="58"/>
  <c r="E207" i="60"/>
  <c r="E207" i="61"/>
  <c r="E210" i="39"/>
  <c r="E210" i="32"/>
  <c r="E210" i="53"/>
  <c r="E210" i="35"/>
  <c r="E210" i="46"/>
  <c r="E210" i="55"/>
  <c r="C210" i="61"/>
  <c r="C210" i="41"/>
  <c r="C207" i="31"/>
  <c r="C207" i="33"/>
  <c r="C207" i="34"/>
  <c r="C207" i="36"/>
  <c r="C207" i="39"/>
  <c r="C207" i="43"/>
  <c r="C207" i="42"/>
  <c r="C207" i="46"/>
  <c r="C207" i="52"/>
  <c r="C207" i="50"/>
  <c r="C207" i="55"/>
  <c r="C207" i="57"/>
  <c r="C207" i="58"/>
  <c r="C207" i="62"/>
  <c r="C163" i="31"/>
  <c r="C163" i="33"/>
  <c r="C163" i="34"/>
  <c r="C163" i="39"/>
  <c r="C163" i="37"/>
  <c r="C163" i="41"/>
  <c r="C163" i="44"/>
  <c r="C163" i="42"/>
  <c r="C163" i="52"/>
  <c r="C163" i="50"/>
  <c r="C163" i="54"/>
  <c r="C163" i="56"/>
  <c r="C163" i="58"/>
  <c r="C163" i="61"/>
  <c r="C207" i="32"/>
  <c r="C207" i="51"/>
  <c r="C207" i="35"/>
  <c r="C207" i="37"/>
  <c r="C207" i="38"/>
  <c r="C207" i="41"/>
  <c r="C207" i="44"/>
  <c r="C207" i="48"/>
  <c r="C207" i="47"/>
  <c r="C207" i="53"/>
  <c r="C207" i="54"/>
  <c r="C207" i="56"/>
  <c r="C207" i="60"/>
  <c r="C207" i="61"/>
  <c r="E166" i="33"/>
  <c r="E166" i="36"/>
  <c r="E166" i="42"/>
  <c r="E166" i="46"/>
  <c r="E166" i="47"/>
  <c r="E166" i="31"/>
  <c r="E166" i="34"/>
  <c r="E166" i="38"/>
  <c r="E166" i="43"/>
  <c r="E166" i="50"/>
  <c r="E166" i="54"/>
  <c r="E166" i="56"/>
  <c r="E166" i="58"/>
  <c r="E166" i="60"/>
  <c r="E166" i="62"/>
  <c r="E166" i="32"/>
  <c r="E166" i="51"/>
  <c r="E166" i="35"/>
  <c r="E166" i="37"/>
  <c r="E166" i="39"/>
  <c r="E166" i="41"/>
  <c r="E166" i="44"/>
  <c r="E166" i="48"/>
  <c r="E166" i="53"/>
  <c r="E166" i="52"/>
  <c r="E166" i="55"/>
  <c r="E166" i="57"/>
  <c r="E166" i="59"/>
  <c r="E166" i="61"/>
  <c r="C210" i="33"/>
  <c r="C210" i="48"/>
  <c r="E210" i="51"/>
  <c r="E210" i="38"/>
  <c r="E210" i="42"/>
  <c r="E210" i="47"/>
  <c r="E210" i="52"/>
  <c r="E210" i="57"/>
  <c r="E210" i="61"/>
  <c r="C210" i="36"/>
  <c r="C210" i="43"/>
  <c r="C210" i="56"/>
  <c r="C210" i="31"/>
  <c r="C210" i="34"/>
  <c r="C210" i="37"/>
  <c r="C210" i="44"/>
  <c r="C210" i="50"/>
  <c r="C210" i="54"/>
  <c r="D213" i="62"/>
  <c r="D253" i="67"/>
  <c r="C210" i="62"/>
  <c r="C250" i="67"/>
  <c r="E210" i="31"/>
  <c r="E210" i="33"/>
  <c r="E210" i="34"/>
  <c r="E210" i="36"/>
  <c r="E210" i="37"/>
  <c r="E210" i="41"/>
  <c r="E210" i="44"/>
  <c r="E210" i="43"/>
  <c r="E210" i="50"/>
  <c r="E210" i="48"/>
  <c r="E210" i="54"/>
  <c r="E210" i="56"/>
  <c r="E210" i="58"/>
  <c r="E210" i="60"/>
  <c r="E210" i="62"/>
  <c r="D213" i="33"/>
  <c r="D213" i="51"/>
  <c r="D213" i="35"/>
  <c r="D213" i="36"/>
  <c r="D213" i="39"/>
  <c r="D213" i="42"/>
  <c r="D213" i="43"/>
  <c r="D213" i="47"/>
  <c r="D213" i="50"/>
  <c r="D213" i="52"/>
  <c r="D213" i="55"/>
  <c r="D213" i="57"/>
  <c r="D213" i="59"/>
  <c r="D213" i="61"/>
  <c r="D213" i="31"/>
  <c r="D213" i="32"/>
  <c r="D213" i="34"/>
  <c r="D213" i="38"/>
  <c r="D213" i="37"/>
  <c r="D213" i="41"/>
  <c r="D213" i="46"/>
  <c r="D213" i="44"/>
  <c r="D213" i="48"/>
  <c r="D213" i="53"/>
  <c r="D213" i="54"/>
  <c r="D213" i="56"/>
  <c r="D213" i="58"/>
  <c r="D213" i="60"/>
  <c r="C210" i="32"/>
  <c r="C210" i="51"/>
  <c r="C210" i="35"/>
  <c r="C210" i="38"/>
  <c r="C210" i="39"/>
  <c r="C210" i="42"/>
  <c r="C210" i="46"/>
  <c r="C210" i="47"/>
  <c r="C210" i="53"/>
  <c r="C210" i="52"/>
  <c r="C210" i="55"/>
  <c r="C210" i="57"/>
  <c r="C210" i="60"/>
  <c r="U281" i="67" l="1"/>
  <c r="C281" i="67" s="1"/>
  <c r="E281" i="67"/>
  <c r="F281" i="67"/>
  <c r="D281" i="67"/>
  <c r="D258" i="30" l="1"/>
  <c r="A15" i="1" l="1"/>
  <c r="A11" i="68" s="1"/>
  <c r="A14" i="6"/>
  <c r="A15" i="25"/>
  <c r="A14" i="11"/>
  <c r="D35" i="31"/>
  <c r="D34" i="31"/>
  <c r="D33" i="31"/>
  <c r="D35" i="33"/>
  <c r="D35" i="58"/>
  <c r="D33" i="43"/>
  <c r="D35" i="43"/>
  <c r="D34" i="46"/>
  <c r="D34" i="43"/>
  <c r="D33" i="46"/>
  <c r="D35" i="46"/>
  <c r="D34" i="48"/>
  <c r="D34" i="52"/>
  <c r="D33" i="48"/>
  <c r="D35" i="48"/>
  <c r="D33" i="52"/>
  <c r="D35" i="52"/>
  <c r="D34" i="58"/>
  <c r="D33" i="58"/>
  <c r="C445" i="64" l="1"/>
  <c r="D445" i="64" s="1"/>
  <c r="E445" i="64" s="1"/>
  <c r="F445" i="64" s="1"/>
  <c r="G445" i="64" s="1"/>
  <c r="H445" i="64" s="1"/>
  <c r="I445" i="64" s="1"/>
  <c r="J445" i="64" s="1"/>
  <c r="K445" i="64" s="1"/>
  <c r="L445" i="64" s="1"/>
  <c r="M445" i="64" s="1"/>
  <c r="N445" i="64" s="1"/>
  <c r="C245" i="11" l="1"/>
  <c r="D245" i="11" s="1"/>
  <c r="E245" i="11" s="1"/>
  <c r="F245" i="11" s="1"/>
  <c r="G245" i="11" s="1"/>
  <c r="H245" i="11" s="1"/>
  <c r="I245" i="11" s="1"/>
  <c r="J245" i="11" s="1"/>
  <c r="K245" i="11" s="1"/>
  <c r="L245" i="11" s="1"/>
  <c r="M245" i="11" s="1"/>
  <c r="N245" i="11" s="1"/>
  <c r="O245" i="11" s="1"/>
  <c r="P245" i="11" s="1"/>
  <c r="Q245" i="11" s="1"/>
  <c r="R245" i="11" s="1"/>
  <c r="S245" i="11" s="1"/>
  <c r="T245" i="11" s="1"/>
  <c r="U245" i="11" s="1"/>
  <c r="V245" i="11" s="1"/>
  <c r="W245" i="11" s="1"/>
  <c r="X245" i="11" s="1"/>
  <c r="Y245" i="11" s="1"/>
  <c r="Z245" i="11" s="1"/>
  <c r="AA245" i="11" s="1"/>
  <c r="AB245" i="11" s="1"/>
  <c r="AC245" i="11" s="1"/>
  <c r="AD245" i="11" s="1"/>
  <c r="AE245" i="11" s="1"/>
  <c r="AF245" i="11" s="1"/>
  <c r="AG245" i="11" s="1"/>
  <c r="AH245" i="11" s="1"/>
  <c r="C445" i="5"/>
  <c r="D445" i="5" s="1"/>
  <c r="E445" i="5" s="1"/>
  <c r="F445" i="5" s="1"/>
  <c r="G445" i="5" s="1"/>
  <c r="H445" i="5" s="1"/>
  <c r="I445" i="5" s="1"/>
  <c r="J445" i="5" s="1"/>
  <c r="K445" i="5" l="1"/>
  <c r="L445" i="5" s="1"/>
  <c r="M445" i="5" s="1"/>
  <c r="N445" i="5" s="1"/>
  <c r="E258" i="31"/>
  <c r="F258" i="31" s="1"/>
  <c r="G258" i="31" s="1"/>
  <c r="E258" i="32"/>
  <c r="F258" i="32" s="1"/>
  <c r="G258" i="32" s="1"/>
  <c r="H258" i="32" s="1"/>
  <c r="I258" i="32" s="1"/>
  <c r="J258" i="32" s="1"/>
  <c r="K258" i="32" s="1"/>
  <c r="L258" i="32" s="1"/>
  <c r="M258" i="32" s="1"/>
  <c r="N258" i="32" s="1"/>
  <c r="O258" i="32" s="1"/>
  <c r="P258" i="32" s="1"/>
  <c r="Q258" i="32" s="1"/>
  <c r="R258" i="32" s="1"/>
  <c r="S258" i="32" s="1"/>
  <c r="T258" i="32" s="1"/>
  <c r="U258" i="32" s="1"/>
  <c r="V258" i="32" s="1"/>
  <c r="W258" i="32" s="1"/>
  <c r="X258" i="32" s="1"/>
  <c r="Y258" i="32" s="1"/>
  <c r="C259" i="32" s="1"/>
  <c r="D259" i="32" s="1"/>
  <c r="E259" i="32" s="1"/>
  <c r="F259" i="32" s="1"/>
  <c r="G259" i="32" s="1"/>
  <c r="E258" i="33"/>
  <c r="F258" i="33" s="1"/>
  <c r="G258" i="33" s="1"/>
  <c r="H258" i="33" s="1"/>
  <c r="I258" i="33" s="1"/>
  <c r="J258" i="33" s="1"/>
  <c r="K258" i="33" s="1"/>
  <c r="L258" i="33" s="1"/>
  <c r="M258" i="33" s="1"/>
  <c r="N258" i="33" s="1"/>
  <c r="O258" i="33" s="1"/>
  <c r="P258" i="33" s="1"/>
  <c r="Q258" i="33" s="1"/>
  <c r="R258" i="33" s="1"/>
  <c r="S258" i="33" s="1"/>
  <c r="T258" i="33" s="1"/>
  <c r="U258" i="33" s="1"/>
  <c r="V258" i="33" s="1"/>
  <c r="W258" i="33" s="1"/>
  <c r="X258" i="33" s="1"/>
  <c r="Y258" i="33" s="1"/>
  <c r="C259" i="33" s="1"/>
  <c r="D259" i="33" s="1"/>
  <c r="E259" i="33" s="1"/>
  <c r="F259" i="33" s="1"/>
  <c r="G259" i="33" s="1"/>
  <c r="H259" i="33" s="1"/>
  <c r="I259" i="33" s="1"/>
  <c r="J259" i="33" s="1"/>
  <c r="K259" i="33" s="1"/>
  <c r="L259" i="33" s="1"/>
  <c r="M259" i="33" s="1"/>
  <c r="N259" i="33" s="1"/>
  <c r="O259" i="33" s="1"/>
  <c r="P259" i="33" s="1"/>
  <c r="Q259" i="33" s="1"/>
  <c r="R259" i="33" s="1"/>
  <c r="S259" i="33" s="1"/>
  <c r="T259" i="33" s="1"/>
  <c r="U259" i="33" s="1"/>
  <c r="V259" i="33" s="1"/>
  <c r="W259" i="33" s="1"/>
  <c r="X259" i="33" s="1"/>
  <c r="Y259" i="33" s="1"/>
  <c r="C260" i="33" s="1"/>
  <c r="D260" i="33" s="1"/>
  <c r="E260" i="33" s="1"/>
  <c r="F260" i="33" s="1"/>
  <c r="G260" i="33" s="1"/>
  <c r="E258" i="51"/>
  <c r="F258" i="51" s="1"/>
  <c r="G258" i="51" s="1"/>
  <c r="H258" i="51" s="1"/>
  <c r="I258" i="51" s="1"/>
  <c r="J258" i="51" s="1"/>
  <c r="K258" i="51" s="1"/>
  <c r="L258" i="51" s="1"/>
  <c r="M258" i="51" s="1"/>
  <c r="N258" i="51" s="1"/>
  <c r="O258" i="51" s="1"/>
  <c r="P258" i="51" s="1"/>
  <c r="Q258" i="51" s="1"/>
  <c r="R258" i="51" s="1"/>
  <c r="S258" i="51" s="1"/>
  <c r="T258" i="51" s="1"/>
  <c r="U258" i="51" s="1"/>
  <c r="V258" i="51" s="1"/>
  <c r="W258" i="51" s="1"/>
  <c r="X258" i="51" s="1"/>
  <c r="Y258" i="51" s="1"/>
  <c r="C259" i="51" s="1"/>
  <c r="D259" i="51" s="1"/>
  <c r="E259" i="51" s="1"/>
  <c r="F259" i="51" s="1"/>
  <c r="G259" i="51" s="1"/>
  <c r="H259" i="51" s="1"/>
  <c r="I259" i="51" s="1"/>
  <c r="J259" i="51" s="1"/>
  <c r="K259" i="51" s="1"/>
  <c r="L259" i="51" s="1"/>
  <c r="M259" i="51" s="1"/>
  <c r="N259" i="51" s="1"/>
  <c r="O259" i="51" s="1"/>
  <c r="P259" i="51" s="1"/>
  <c r="Q259" i="51" s="1"/>
  <c r="R259" i="51" s="1"/>
  <c r="S259" i="51" s="1"/>
  <c r="T259" i="51" s="1"/>
  <c r="U259" i="51" s="1"/>
  <c r="V259" i="51" s="1"/>
  <c r="W259" i="51" s="1"/>
  <c r="X259" i="51" s="1"/>
  <c r="Y259" i="51" s="1"/>
  <c r="C260" i="51" s="1"/>
  <c r="D260" i="51" s="1"/>
  <c r="E260" i="51" s="1"/>
  <c r="F260" i="51" s="1"/>
  <c r="G260" i="51" s="1"/>
  <c r="H260" i="51" s="1"/>
  <c r="I260" i="51" s="1"/>
  <c r="J260" i="51" s="1"/>
  <c r="K260" i="51" s="1"/>
  <c r="L260" i="51" s="1"/>
  <c r="M260" i="51" s="1"/>
  <c r="N260" i="51" s="1"/>
  <c r="O260" i="51" s="1"/>
  <c r="P260" i="51" s="1"/>
  <c r="Q260" i="51" s="1"/>
  <c r="R260" i="51" s="1"/>
  <c r="S260" i="51" s="1"/>
  <c r="T260" i="51" s="1"/>
  <c r="U260" i="51" s="1"/>
  <c r="V260" i="51" s="1"/>
  <c r="W260" i="51" s="1"/>
  <c r="X260" i="51" s="1"/>
  <c r="Y260" i="51" s="1"/>
  <c r="C261" i="51" s="1"/>
  <c r="D261" i="51" s="1"/>
  <c r="E261" i="51" s="1"/>
  <c r="F261" i="51" s="1"/>
  <c r="G261" i="51" s="1"/>
  <c r="E258" i="34"/>
  <c r="F258" i="34" s="1"/>
  <c r="G258" i="34" s="1"/>
  <c r="H258" i="34" s="1"/>
  <c r="I258" i="34" s="1"/>
  <c r="J258" i="34" s="1"/>
  <c r="K258" i="34" s="1"/>
  <c r="L258" i="34" s="1"/>
  <c r="M258" i="34" s="1"/>
  <c r="N258" i="34" s="1"/>
  <c r="O258" i="34" s="1"/>
  <c r="P258" i="34" s="1"/>
  <c r="Q258" i="34" s="1"/>
  <c r="R258" i="34" s="1"/>
  <c r="S258" i="34" s="1"/>
  <c r="T258" i="34" s="1"/>
  <c r="U258" i="34" s="1"/>
  <c r="V258" i="34" s="1"/>
  <c r="W258" i="34" s="1"/>
  <c r="X258" i="34" s="1"/>
  <c r="Y258" i="34" s="1"/>
  <c r="C259" i="34" s="1"/>
  <c r="D259" i="34" s="1"/>
  <c r="E259" i="34" s="1"/>
  <c r="F259" i="34" s="1"/>
  <c r="G259" i="34" s="1"/>
  <c r="H259" i="34" s="1"/>
  <c r="I259" i="34" s="1"/>
  <c r="J259" i="34" s="1"/>
  <c r="K259" i="34" s="1"/>
  <c r="L259" i="34" s="1"/>
  <c r="M259" i="34" s="1"/>
  <c r="N259" i="34" s="1"/>
  <c r="O259" i="34" s="1"/>
  <c r="P259" i="34" s="1"/>
  <c r="Q259" i="34" s="1"/>
  <c r="R259" i="34" s="1"/>
  <c r="S259" i="34" s="1"/>
  <c r="T259" i="34" s="1"/>
  <c r="U259" i="34" s="1"/>
  <c r="V259" i="34" s="1"/>
  <c r="W259" i="34" s="1"/>
  <c r="X259" i="34" s="1"/>
  <c r="Y259" i="34" s="1"/>
  <c r="C260" i="34" s="1"/>
  <c r="D260" i="34" s="1"/>
  <c r="E260" i="34" s="1"/>
  <c r="F260" i="34" s="1"/>
  <c r="G260" i="34" s="1"/>
  <c r="H260" i="34" s="1"/>
  <c r="I260" i="34" s="1"/>
  <c r="J260" i="34" s="1"/>
  <c r="K260" i="34" s="1"/>
  <c r="L260" i="34" s="1"/>
  <c r="M260" i="34" s="1"/>
  <c r="N260" i="34" s="1"/>
  <c r="O260" i="34" s="1"/>
  <c r="P260" i="34" s="1"/>
  <c r="Q260" i="34" s="1"/>
  <c r="R260" i="34" s="1"/>
  <c r="S260" i="34" s="1"/>
  <c r="T260" i="34" s="1"/>
  <c r="U260" i="34" s="1"/>
  <c r="V260" i="34" s="1"/>
  <c r="W260" i="34" s="1"/>
  <c r="X260" i="34" s="1"/>
  <c r="Y260" i="34" s="1"/>
  <c r="C261" i="34" s="1"/>
  <c r="D261" i="34" s="1"/>
  <c r="E261" i="34" s="1"/>
  <c r="F261" i="34" s="1"/>
  <c r="G261" i="34" s="1"/>
  <c r="H261" i="34" s="1"/>
  <c r="I261" i="34" s="1"/>
  <c r="J261" i="34" s="1"/>
  <c r="K261" i="34" s="1"/>
  <c r="L261" i="34" s="1"/>
  <c r="M261" i="34" s="1"/>
  <c r="N261" i="34" s="1"/>
  <c r="O261" i="34" s="1"/>
  <c r="P261" i="34" s="1"/>
  <c r="Q261" i="34" s="1"/>
  <c r="R261" i="34" s="1"/>
  <c r="S261" i="34" s="1"/>
  <c r="T261" i="34" s="1"/>
  <c r="U261" i="34" s="1"/>
  <c r="V261" i="34" s="1"/>
  <c r="W261" i="34" s="1"/>
  <c r="X261" i="34" s="1"/>
  <c r="Y261" i="34" s="1"/>
  <c r="C262" i="34" s="1"/>
  <c r="D262" i="34" s="1"/>
  <c r="E262" i="34" s="1"/>
  <c r="F262" i="34" s="1"/>
  <c r="G262" i="34" s="1"/>
  <c r="E258" i="35"/>
  <c r="F258" i="35"/>
  <c r="G258" i="35" s="1"/>
  <c r="H258" i="35" s="1"/>
  <c r="I258" i="35" s="1"/>
  <c r="J258" i="35" s="1"/>
  <c r="K258" i="35" s="1"/>
  <c r="L258" i="35" s="1"/>
  <c r="M258" i="35" s="1"/>
  <c r="N258" i="35" s="1"/>
  <c r="O258" i="35" s="1"/>
  <c r="P258" i="35" s="1"/>
  <c r="Q258" i="35" s="1"/>
  <c r="R258" i="35" s="1"/>
  <c r="S258" i="35" s="1"/>
  <c r="T258" i="35" s="1"/>
  <c r="U258" i="35" s="1"/>
  <c r="V258" i="35" s="1"/>
  <c r="W258" i="35" s="1"/>
  <c r="X258" i="35" s="1"/>
  <c r="Y258" i="35" s="1"/>
  <c r="C259" i="35" s="1"/>
  <c r="D259" i="35" s="1"/>
  <c r="E259" i="35" s="1"/>
  <c r="F259" i="35" s="1"/>
  <c r="G259" i="35" s="1"/>
  <c r="H259" i="35" s="1"/>
  <c r="I259" i="35" s="1"/>
  <c r="J259" i="35" s="1"/>
  <c r="K259" i="35" s="1"/>
  <c r="L259" i="35" s="1"/>
  <c r="M259" i="35" s="1"/>
  <c r="N259" i="35" s="1"/>
  <c r="O259" i="35" s="1"/>
  <c r="P259" i="35" s="1"/>
  <c r="Q259" i="35" s="1"/>
  <c r="R259" i="35" s="1"/>
  <c r="S259" i="35" s="1"/>
  <c r="T259" i="35" s="1"/>
  <c r="U259" i="35" s="1"/>
  <c r="V259" i="35" s="1"/>
  <c r="W259" i="35" s="1"/>
  <c r="X259" i="35" s="1"/>
  <c r="Y259" i="35" s="1"/>
  <c r="C260" i="35" s="1"/>
  <c r="D260" i="35" s="1"/>
  <c r="E260" i="35" s="1"/>
  <c r="F260" i="35" s="1"/>
  <c r="G260" i="35" s="1"/>
  <c r="H260" i="35" s="1"/>
  <c r="I260" i="35" s="1"/>
  <c r="J260" i="35" s="1"/>
  <c r="K260" i="35" s="1"/>
  <c r="L260" i="35" s="1"/>
  <c r="M260" i="35" s="1"/>
  <c r="N260" i="35" s="1"/>
  <c r="O260" i="35" s="1"/>
  <c r="P260" i="35" s="1"/>
  <c r="Q260" i="35" s="1"/>
  <c r="R260" i="35" s="1"/>
  <c r="S260" i="35" s="1"/>
  <c r="T260" i="35" s="1"/>
  <c r="U260" i="35" s="1"/>
  <c r="V260" i="35" s="1"/>
  <c r="W260" i="35" s="1"/>
  <c r="X260" i="35" s="1"/>
  <c r="Y260" i="35" s="1"/>
  <c r="C261" i="35" s="1"/>
  <c r="D261" i="35" s="1"/>
  <c r="E261" i="35" s="1"/>
  <c r="F261" i="35" s="1"/>
  <c r="G261" i="35" s="1"/>
  <c r="H261" i="35" s="1"/>
  <c r="I261" i="35" s="1"/>
  <c r="J261" i="35" s="1"/>
  <c r="K261" i="35" s="1"/>
  <c r="L261" i="35" s="1"/>
  <c r="M261" i="35" s="1"/>
  <c r="N261" i="35" s="1"/>
  <c r="O261" i="35" s="1"/>
  <c r="P261" i="35" s="1"/>
  <c r="Q261" i="35" s="1"/>
  <c r="R261" i="35" s="1"/>
  <c r="S261" i="35" s="1"/>
  <c r="T261" i="35" s="1"/>
  <c r="U261" i="35" s="1"/>
  <c r="V261" i="35" s="1"/>
  <c r="W261" i="35" s="1"/>
  <c r="X261" i="35" s="1"/>
  <c r="Y261" i="35" s="1"/>
  <c r="C262" i="35" s="1"/>
  <c r="D262" i="35" s="1"/>
  <c r="E262" i="35" s="1"/>
  <c r="F262" i="35" s="1"/>
  <c r="G262" i="35" s="1"/>
  <c r="H262" i="35" s="1"/>
  <c r="I262" i="35" s="1"/>
  <c r="J262" i="35" s="1"/>
  <c r="K262" i="35" s="1"/>
  <c r="L262" i="35" s="1"/>
  <c r="M262" i="35" s="1"/>
  <c r="N262" i="35" s="1"/>
  <c r="O262" i="35" s="1"/>
  <c r="P262" i="35" s="1"/>
  <c r="Q262" i="35" s="1"/>
  <c r="R262" i="35" s="1"/>
  <c r="S262" i="35" s="1"/>
  <c r="T262" i="35" s="1"/>
  <c r="U262" i="35" s="1"/>
  <c r="V262" i="35" s="1"/>
  <c r="W262" i="35" s="1"/>
  <c r="X262" i="35" s="1"/>
  <c r="Y262" i="35" s="1"/>
  <c r="C263" i="35" s="1"/>
  <c r="D263" i="35" s="1"/>
  <c r="E263" i="35" s="1"/>
  <c r="F263" i="35" s="1"/>
  <c r="G263" i="35" s="1"/>
  <c r="E258" i="36"/>
  <c r="F258" i="36" s="1"/>
  <c r="G258" i="36" s="1"/>
  <c r="H258" i="36" s="1"/>
  <c r="I258" i="36" s="1"/>
  <c r="J258" i="36" s="1"/>
  <c r="K258" i="36" s="1"/>
  <c r="L258" i="36" s="1"/>
  <c r="M258" i="36" s="1"/>
  <c r="N258" i="36" s="1"/>
  <c r="O258" i="36" s="1"/>
  <c r="P258" i="36" s="1"/>
  <c r="Q258" i="36" s="1"/>
  <c r="R258" i="36" s="1"/>
  <c r="S258" i="36" s="1"/>
  <c r="T258" i="36" s="1"/>
  <c r="U258" i="36" s="1"/>
  <c r="V258" i="36" s="1"/>
  <c r="W258" i="36" s="1"/>
  <c r="X258" i="36" s="1"/>
  <c r="Y258" i="36" s="1"/>
  <c r="C259" i="36" s="1"/>
  <c r="D259" i="36" s="1"/>
  <c r="E259" i="36" s="1"/>
  <c r="F259" i="36" s="1"/>
  <c r="G259" i="36" s="1"/>
  <c r="H259" i="36" s="1"/>
  <c r="I259" i="36" s="1"/>
  <c r="J259" i="36" s="1"/>
  <c r="K259" i="36" s="1"/>
  <c r="L259" i="36" s="1"/>
  <c r="M259" i="36" s="1"/>
  <c r="N259" i="36" s="1"/>
  <c r="O259" i="36" s="1"/>
  <c r="P259" i="36" s="1"/>
  <c r="Q259" i="36" s="1"/>
  <c r="R259" i="36" s="1"/>
  <c r="S259" i="36" s="1"/>
  <c r="T259" i="36" s="1"/>
  <c r="U259" i="36" s="1"/>
  <c r="V259" i="36" s="1"/>
  <c r="W259" i="36" s="1"/>
  <c r="X259" i="36" s="1"/>
  <c r="Y259" i="36" s="1"/>
  <c r="C260" i="36" s="1"/>
  <c r="D260" i="36" s="1"/>
  <c r="E260" i="36" s="1"/>
  <c r="F260" i="36" s="1"/>
  <c r="G260" i="36" s="1"/>
  <c r="H260" i="36" s="1"/>
  <c r="I260" i="36" s="1"/>
  <c r="J260" i="36" s="1"/>
  <c r="K260" i="36" s="1"/>
  <c r="L260" i="36" s="1"/>
  <c r="M260" i="36" s="1"/>
  <c r="N260" i="36" s="1"/>
  <c r="O260" i="36" s="1"/>
  <c r="P260" i="36" s="1"/>
  <c r="Q260" i="36" s="1"/>
  <c r="R260" i="36" s="1"/>
  <c r="S260" i="36" s="1"/>
  <c r="T260" i="36" s="1"/>
  <c r="U260" i="36" s="1"/>
  <c r="V260" i="36" s="1"/>
  <c r="W260" i="36" s="1"/>
  <c r="X260" i="36" s="1"/>
  <c r="Y260" i="36" s="1"/>
  <c r="C261" i="36" s="1"/>
  <c r="D261" i="36" s="1"/>
  <c r="E261" i="36" s="1"/>
  <c r="F261" i="36" s="1"/>
  <c r="G261" i="36" s="1"/>
  <c r="H261" i="36" s="1"/>
  <c r="I261" i="36" s="1"/>
  <c r="J261" i="36" s="1"/>
  <c r="K261" i="36" s="1"/>
  <c r="L261" i="36" s="1"/>
  <c r="M261" i="36" s="1"/>
  <c r="N261" i="36" s="1"/>
  <c r="O261" i="36" s="1"/>
  <c r="P261" i="36" s="1"/>
  <c r="Q261" i="36" s="1"/>
  <c r="R261" i="36" s="1"/>
  <c r="S261" i="36" s="1"/>
  <c r="T261" i="36" s="1"/>
  <c r="U261" i="36" s="1"/>
  <c r="V261" i="36" s="1"/>
  <c r="W261" i="36" s="1"/>
  <c r="X261" i="36" s="1"/>
  <c r="Y261" i="36" s="1"/>
  <c r="C262" i="36" s="1"/>
  <c r="D262" i="36" s="1"/>
  <c r="E262" i="36" s="1"/>
  <c r="F262" i="36" s="1"/>
  <c r="G262" i="36" s="1"/>
  <c r="H262" i="36" s="1"/>
  <c r="I262" i="36" s="1"/>
  <c r="J262" i="36" s="1"/>
  <c r="K262" i="36" s="1"/>
  <c r="L262" i="36" s="1"/>
  <c r="M262" i="36" s="1"/>
  <c r="N262" i="36" s="1"/>
  <c r="O262" i="36" s="1"/>
  <c r="P262" i="36" s="1"/>
  <c r="Q262" i="36" s="1"/>
  <c r="R262" i="36" s="1"/>
  <c r="S262" i="36" s="1"/>
  <c r="T262" i="36" s="1"/>
  <c r="U262" i="36" s="1"/>
  <c r="V262" i="36" s="1"/>
  <c r="W262" i="36" s="1"/>
  <c r="X262" i="36" s="1"/>
  <c r="Y262" i="36" s="1"/>
  <c r="C263" i="36" s="1"/>
  <c r="D263" i="36" s="1"/>
  <c r="E263" i="36" s="1"/>
  <c r="F263" i="36" s="1"/>
  <c r="G263" i="36" s="1"/>
  <c r="H263" i="36" s="1"/>
  <c r="I263" i="36" s="1"/>
  <c r="J263" i="36" s="1"/>
  <c r="K263" i="36" s="1"/>
  <c r="L263" i="36" s="1"/>
  <c r="M263" i="36" s="1"/>
  <c r="N263" i="36" s="1"/>
  <c r="O263" i="36" s="1"/>
  <c r="P263" i="36" s="1"/>
  <c r="Q263" i="36" s="1"/>
  <c r="R263" i="36" s="1"/>
  <c r="S263" i="36" s="1"/>
  <c r="T263" i="36" s="1"/>
  <c r="U263" i="36" s="1"/>
  <c r="V263" i="36" s="1"/>
  <c r="W263" i="36" s="1"/>
  <c r="X263" i="36" s="1"/>
  <c r="Y263" i="36" s="1"/>
  <c r="C264" i="36" s="1"/>
  <c r="D264" i="36" s="1"/>
  <c r="E264" i="36" s="1"/>
  <c r="F264" i="36" s="1"/>
  <c r="G264" i="36" s="1"/>
  <c r="E258" i="37"/>
  <c r="F258" i="37" s="1"/>
  <c r="G258" i="37" s="1"/>
  <c r="H258" i="37" s="1"/>
  <c r="I258" i="37" s="1"/>
  <c r="J258" i="37" s="1"/>
  <c r="K258" i="37" s="1"/>
  <c r="L258" i="37" s="1"/>
  <c r="M258" i="37" s="1"/>
  <c r="N258" i="37" s="1"/>
  <c r="O258" i="37" s="1"/>
  <c r="P258" i="37" s="1"/>
  <c r="Q258" i="37" s="1"/>
  <c r="R258" i="37" s="1"/>
  <c r="S258" i="37" s="1"/>
  <c r="T258" i="37" s="1"/>
  <c r="U258" i="37" s="1"/>
  <c r="V258" i="37" s="1"/>
  <c r="W258" i="37" s="1"/>
  <c r="X258" i="37" s="1"/>
  <c r="Y258" i="37" s="1"/>
  <c r="C259" i="37" s="1"/>
  <c r="D259" i="37" s="1"/>
  <c r="E259" i="37" s="1"/>
  <c r="F259" i="37" s="1"/>
  <c r="G259" i="37" s="1"/>
  <c r="H259" i="37" s="1"/>
  <c r="I259" i="37" s="1"/>
  <c r="J259" i="37" s="1"/>
  <c r="K259" i="37" s="1"/>
  <c r="L259" i="37" s="1"/>
  <c r="M259" i="37" s="1"/>
  <c r="N259" i="37" s="1"/>
  <c r="O259" i="37" s="1"/>
  <c r="P259" i="37" s="1"/>
  <c r="Q259" i="37" s="1"/>
  <c r="R259" i="37" s="1"/>
  <c r="S259" i="37" s="1"/>
  <c r="T259" i="37" s="1"/>
  <c r="U259" i="37" s="1"/>
  <c r="V259" i="37" s="1"/>
  <c r="W259" i="37" s="1"/>
  <c r="X259" i="37" s="1"/>
  <c r="Y259" i="37" s="1"/>
  <c r="C260" i="37" s="1"/>
  <c r="D260" i="37" s="1"/>
  <c r="E260" i="37" s="1"/>
  <c r="F260" i="37" s="1"/>
  <c r="G260" i="37" s="1"/>
  <c r="H260" i="37" s="1"/>
  <c r="I260" i="37" s="1"/>
  <c r="J260" i="37" s="1"/>
  <c r="K260" i="37" s="1"/>
  <c r="L260" i="37" s="1"/>
  <c r="M260" i="37" s="1"/>
  <c r="N260" i="37" s="1"/>
  <c r="O260" i="37" s="1"/>
  <c r="P260" i="37" s="1"/>
  <c r="Q260" i="37" s="1"/>
  <c r="R260" i="37" s="1"/>
  <c r="S260" i="37" s="1"/>
  <c r="T260" i="37" s="1"/>
  <c r="U260" i="37" s="1"/>
  <c r="V260" i="37" s="1"/>
  <c r="W260" i="37" s="1"/>
  <c r="X260" i="37" s="1"/>
  <c r="Y260" i="37" s="1"/>
  <c r="C261" i="37" s="1"/>
  <c r="D261" i="37" s="1"/>
  <c r="E261" i="37" s="1"/>
  <c r="F261" i="37" s="1"/>
  <c r="G261" i="37" s="1"/>
  <c r="H261" i="37" s="1"/>
  <c r="I261" i="37" s="1"/>
  <c r="J261" i="37" s="1"/>
  <c r="K261" i="37" s="1"/>
  <c r="L261" i="37" s="1"/>
  <c r="M261" i="37" s="1"/>
  <c r="N261" i="37" s="1"/>
  <c r="O261" i="37" s="1"/>
  <c r="P261" i="37" s="1"/>
  <c r="Q261" i="37" s="1"/>
  <c r="R261" i="37" s="1"/>
  <c r="S261" i="37" s="1"/>
  <c r="T261" i="37" s="1"/>
  <c r="U261" i="37" s="1"/>
  <c r="V261" i="37" s="1"/>
  <c r="W261" i="37" s="1"/>
  <c r="X261" i="37" s="1"/>
  <c r="Y261" i="37" s="1"/>
  <c r="C262" i="37" s="1"/>
  <c r="D262" i="37" s="1"/>
  <c r="E262" i="37" s="1"/>
  <c r="F262" i="37" s="1"/>
  <c r="G262" i="37" s="1"/>
  <c r="H262" i="37" s="1"/>
  <c r="I262" i="37" s="1"/>
  <c r="J262" i="37" s="1"/>
  <c r="K262" i="37" s="1"/>
  <c r="L262" i="37" s="1"/>
  <c r="M262" i="37" s="1"/>
  <c r="N262" i="37" s="1"/>
  <c r="O262" i="37" s="1"/>
  <c r="P262" i="37" s="1"/>
  <c r="Q262" i="37" s="1"/>
  <c r="R262" i="37" s="1"/>
  <c r="S262" i="37" s="1"/>
  <c r="T262" i="37" s="1"/>
  <c r="U262" i="37" s="1"/>
  <c r="V262" i="37" s="1"/>
  <c r="W262" i="37" s="1"/>
  <c r="X262" i="37" s="1"/>
  <c r="Y262" i="37" s="1"/>
  <c r="C263" i="37" s="1"/>
  <c r="D263" i="37" s="1"/>
  <c r="E263" i="37" s="1"/>
  <c r="F263" i="37" s="1"/>
  <c r="G263" i="37" s="1"/>
  <c r="H263" i="37" s="1"/>
  <c r="I263" i="37" s="1"/>
  <c r="J263" i="37" s="1"/>
  <c r="K263" i="37" s="1"/>
  <c r="L263" i="37" s="1"/>
  <c r="M263" i="37" s="1"/>
  <c r="N263" i="37" s="1"/>
  <c r="O263" i="37" s="1"/>
  <c r="P263" i="37" s="1"/>
  <c r="Q263" i="37" s="1"/>
  <c r="R263" i="37" s="1"/>
  <c r="S263" i="37" s="1"/>
  <c r="T263" i="37" s="1"/>
  <c r="U263" i="37" s="1"/>
  <c r="V263" i="37" s="1"/>
  <c r="W263" i="37" s="1"/>
  <c r="X263" i="37" s="1"/>
  <c r="Y263" i="37" s="1"/>
  <c r="C264" i="37" s="1"/>
  <c r="D264" i="37" s="1"/>
  <c r="E264" i="37" s="1"/>
  <c r="F264" i="37" s="1"/>
  <c r="G264" i="37" s="1"/>
  <c r="H264" i="37" s="1"/>
  <c r="I264" i="37" s="1"/>
  <c r="J264" i="37" s="1"/>
  <c r="K264" i="37" s="1"/>
  <c r="L264" i="37" s="1"/>
  <c r="M264" i="37" s="1"/>
  <c r="N264" i="37" s="1"/>
  <c r="O264" i="37" s="1"/>
  <c r="P264" i="37" s="1"/>
  <c r="Q264" i="37" s="1"/>
  <c r="R264" i="37" s="1"/>
  <c r="S264" i="37" s="1"/>
  <c r="T264" i="37" s="1"/>
  <c r="U264" i="37" s="1"/>
  <c r="V264" i="37" s="1"/>
  <c r="W264" i="37" s="1"/>
  <c r="X264" i="37" s="1"/>
  <c r="Y264" i="37" s="1"/>
  <c r="C265" i="37" s="1"/>
  <c r="D265" i="37" s="1"/>
  <c r="E265" i="37" s="1"/>
  <c r="F265" i="37" s="1"/>
  <c r="G265" i="37" s="1"/>
  <c r="E258" i="38"/>
  <c r="F258" i="38" s="1"/>
  <c r="G258" i="38" s="1"/>
  <c r="H258" i="38" s="1"/>
  <c r="I258" i="38" s="1"/>
  <c r="J258" i="38" s="1"/>
  <c r="K258" i="38" s="1"/>
  <c r="L258" i="38" s="1"/>
  <c r="M258" i="38" s="1"/>
  <c r="N258" i="38" s="1"/>
  <c r="O258" i="38" s="1"/>
  <c r="P258" i="38" s="1"/>
  <c r="Q258" i="38" s="1"/>
  <c r="R258" i="38" s="1"/>
  <c r="S258" i="38" s="1"/>
  <c r="T258" i="38" s="1"/>
  <c r="U258" i="38" s="1"/>
  <c r="V258" i="38" s="1"/>
  <c r="W258" i="38" s="1"/>
  <c r="X258" i="38" s="1"/>
  <c r="Y258" i="38" s="1"/>
  <c r="C259" i="38" s="1"/>
  <c r="D259" i="38" s="1"/>
  <c r="E259" i="38" s="1"/>
  <c r="F259" i="38" s="1"/>
  <c r="G259" i="38" s="1"/>
  <c r="H259" i="38" s="1"/>
  <c r="I259" i="38" s="1"/>
  <c r="J259" i="38" s="1"/>
  <c r="K259" i="38" s="1"/>
  <c r="L259" i="38" s="1"/>
  <c r="M259" i="38" s="1"/>
  <c r="N259" i="38" s="1"/>
  <c r="O259" i="38" s="1"/>
  <c r="P259" i="38" s="1"/>
  <c r="Q259" i="38" s="1"/>
  <c r="R259" i="38" s="1"/>
  <c r="S259" i="38" s="1"/>
  <c r="T259" i="38" s="1"/>
  <c r="U259" i="38" s="1"/>
  <c r="V259" i="38" s="1"/>
  <c r="W259" i="38" s="1"/>
  <c r="X259" i="38" s="1"/>
  <c r="Y259" i="38" s="1"/>
  <c r="C260" i="38" s="1"/>
  <c r="D260" i="38" s="1"/>
  <c r="E260" i="38" s="1"/>
  <c r="F260" i="38" s="1"/>
  <c r="G260" i="38" s="1"/>
  <c r="H260" i="38" s="1"/>
  <c r="I260" i="38" s="1"/>
  <c r="J260" i="38" s="1"/>
  <c r="K260" i="38" s="1"/>
  <c r="L260" i="38" s="1"/>
  <c r="M260" i="38" s="1"/>
  <c r="N260" i="38" s="1"/>
  <c r="O260" i="38" s="1"/>
  <c r="P260" i="38" s="1"/>
  <c r="Q260" i="38" s="1"/>
  <c r="R260" i="38" s="1"/>
  <c r="S260" i="38" s="1"/>
  <c r="T260" i="38" s="1"/>
  <c r="U260" i="38" s="1"/>
  <c r="V260" i="38" s="1"/>
  <c r="W260" i="38" s="1"/>
  <c r="X260" i="38" s="1"/>
  <c r="Y260" i="38" s="1"/>
  <c r="C261" i="38" s="1"/>
  <c r="D261" i="38" s="1"/>
  <c r="E261" i="38" s="1"/>
  <c r="F261" i="38" s="1"/>
  <c r="G261" i="38" s="1"/>
  <c r="H261" i="38" s="1"/>
  <c r="I261" i="38" s="1"/>
  <c r="J261" i="38" s="1"/>
  <c r="K261" i="38" s="1"/>
  <c r="L261" i="38" s="1"/>
  <c r="M261" i="38" s="1"/>
  <c r="N261" i="38" s="1"/>
  <c r="O261" i="38" s="1"/>
  <c r="P261" i="38" s="1"/>
  <c r="Q261" i="38" s="1"/>
  <c r="R261" i="38" s="1"/>
  <c r="S261" i="38" s="1"/>
  <c r="T261" i="38" s="1"/>
  <c r="U261" i="38" s="1"/>
  <c r="V261" i="38" s="1"/>
  <c r="W261" i="38" s="1"/>
  <c r="X261" i="38" s="1"/>
  <c r="Y261" i="38" s="1"/>
  <c r="C262" i="38" s="1"/>
  <c r="D262" i="38" s="1"/>
  <c r="E262" i="38" s="1"/>
  <c r="F262" i="38" s="1"/>
  <c r="G262" i="38" s="1"/>
  <c r="H262" i="38" s="1"/>
  <c r="I262" i="38" s="1"/>
  <c r="J262" i="38" s="1"/>
  <c r="K262" i="38" s="1"/>
  <c r="L262" i="38" s="1"/>
  <c r="M262" i="38" s="1"/>
  <c r="N262" i="38" s="1"/>
  <c r="O262" i="38" s="1"/>
  <c r="P262" i="38" s="1"/>
  <c r="Q262" i="38" s="1"/>
  <c r="R262" i="38" s="1"/>
  <c r="S262" i="38" s="1"/>
  <c r="T262" i="38" s="1"/>
  <c r="U262" i="38" s="1"/>
  <c r="V262" i="38" s="1"/>
  <c r="W262" i="38" s="1"/>
  <c r="X262" i="38" s="1"/>
  <c r="Y262" i="38" s="1"/>
  <c r="C263" i="38" s="1"/>
  <c r="D263" i="38" s="1"/>
  <c r="E263" i="38" s="1"/>
  <c r="F263" i="38" s="1"/>
  <c r="G263" i="38" s="1"/>
  <c r="H263" i="38" s="1"/>
  <c r="I263" i="38" s="1"/>
  <c r="J263" i="38" s="1"/>
  <c r="K263" i="38" s="1"/>
  <c r="L263" i="38" s="1"/>
  <c r="M263" i="38" s="1"/>
  <c r="N263" i="38" s="1"/>
  <c r="O263" i="38" s="1"/>
  <c r="P263" i="38" s="1"/>
  <c r="Q263" i="38" s="1"/>
  <c r="R263" i="38" s="1"/>
  <c r="S263" i="38" s="1"/>
  <c r="T263" i="38" s="1"/>
  <c r="U263" i="38" s="1"/>
  <c r="V263" i="38" s="1"/>
  <c r="W263" i="38" s="1"/>
  <c r="X263" i="38" s="1"/>
  <c r="Y263" i="38" s="1"/>
  <c r="C264" i="38" s="1"/>
  <c r="D264" i="38" s="1"/>
  <c r="E264" i="38" s="1"/>
  <c r="F264" i="38" s="1"/>
  <c r="G264" i="38" s="1"/>
  <c r="H264" i="38" s="1"/>
  <c r="I264" i="38" s="1"/>
  <c r="J264" i="38" s="1"/>
  <c r="K264" i="38" s="1"/>
  <c r="L264" i="38" s="1"/>
  <c r="M264" i="38" s="1"/>
  <c r="N264" i="38" s="1"/>
  <c r="O264" i="38" s="1"/>
  <c r="P264" i="38" s="1"/>
  <c r="Q264" i="38" s="1"/>
  <c r="R264" i="38" s="1"/>
  <c r="S264" i="38" s="1"/>
  <c r="T264" i="38" s="1"/>
  <c r="U264" i="38" s="1"/>
  <c r="V264" i="38" s="1"/>
  <c r="W264" i="38" s="1"/>
  <c r="X264" i="38" s="1"/>
  <c r="Y264" i="38" s="1"/>
  <c r="C265" i="38" s="1"/>
  <c r="D265" i="38" s="1"/>
  <c r="E265" i="38" s="1"/>
  <c r="F265" i="38" s="1"/>
  <c r="G265" i="38" s="1"/>
  <c r="H265" i="38" s="1"/>
  <c r="I265" i="38" s="1"/>
  <c r="J265" i="38" s="1"/>
  <c r="K265" i="38" s="1"/>
  <c r="L265" i="38" s="1"/>
  <c r="M265" i="38" s="1"/>
  <c r="N265" i="38" s="1"/>
  <c r="O265" i="38" s="1"/>
  <c r="P265" i="38" s="1"/>
  <c r="Q265" i="38" s="1"/>
  <c r="R265" i="38" s="1"/>
  <c r="S265" i="38" s="1"/>
  <c r="T265" i="38" s="1"/>
  <c r="U265" i="38" s="1"/>
  <c r="V265" i="38" s="1"/>
  <c r="W265" i="38" s="1"/>
  <c r="X265" i="38" s="1"/>
  <c r="Y265" i="38" s="1"/>
  <c r="C266" i="38" s="1"/>
  <c r="D266" i="38" s="1"/>
  <c r="E266" i="38" s="1"/>
  <c r="F266" i="38" s="1"/>
  <c r="G266" i="38" s="1"/>
  <c r="E258" i="39"/>
  <c r="F258" i="39" s="1"/>
  <c r="G258" i="39" s="1"/>
  <c r="H258" i="39" s="1"/>
  <c r="I258" i="39" s="1"/>
  <c r="J258" i="39" s="1"/>
  <c r="K258" i="39" s="1"/>
  <c r="L258" i="39" s="1"/>
  <c r="M258" i="39" s="1"/>
  <c r="N258" i="39" s="1"/>
  <c r="O258" i="39" s="1"/>
  <c r="P258" i="39" s="1"/>
  <c r="Q258" i="39" s="1"/>
  <c r="R258" i="39" s="1"/>
  <c r="S258" i="39" s="1"/>
  <c r="T258" i="39" s="1"/>
  <c r="U258" i="39" s="1"/>
  <c r="V258" i="39" s="1"/>
  <c r="W258" i="39" s="1"/>
  <c r="X258" i="39" s="1"/>
  <c r="Y258" i="39" s="1"/>
  <c r="C259" i="39" s="1"/>
  <c r="D259" i="39" s="1"/>
  <c r="E259" i="39" s="1"/>
  <c r="F259" i="39" s="1"/>
  <c r="G259" i="39" s="1"/>
  <c r="H259" i="39" s="1"/>
  <c r="I259" i="39" s="1"/>
  <c r="J259" i="39" s="1"/>
  <c r="K259" i="39" s="1"/>
  <c r="L259" i="39" s="1"/>
  <c r="M259" i="39" s="1"/>
  <c r="N259" i="39" s="1"/>
  <c r="O259" i="39" s="1"/>
  <c r="P259" i="39" s="1"/>
  <c r="Q259" i="39" s="1"/>
  <c r="R259" i="39" s="1"/>
  <c r="S259" i="39" s="1"/>
  <c r="T259" i="39" s="1"/>
  <c r="U259" i="39" s="1"/>
  <c r="V259" i="39" s="1"/>
  <c r="W259" i="39" s="1"/>
  <c r="X259" i="39" s="1"/>
  <c r="Y259" i="39" s="1"/>
  <c r="C260" i="39" s="1"/>
  <c r="D260" i="39" s="1"/>
  <c r="E260" i="39" s="1"/>
  <c r="F260" i="39" s="1"/>
  <c r="G260" i="39" s="1"/>
  <c r="H260" i="39" s="1"/>
  <c r="I260" i="39" s="1"/>
  <c r="J260" i="39" s="1"/>
  <c r="K260" i="39" s="1"/>
  <c r="L260" i="39" s="1"/>
  <c r="M260" i="39" s="1"/>
  <c r="N260" i="39" s="1"/>
  <c r="O260" i="39" s="1"/>
  <c r="P260" i="39" s="1"/>
  <c r="Q260" i="39" s="1"/>
  <c r="R260" i="39" s="1"/>
  <c r="S260" i="39" s="1"/>
  <c r="T260" i="39" s="1"/>
  <c r="U260" i="39" s="1"/>
  <c r="V260" i="39" s="1"/>
  <c r="W260" i="39" s="1"/>
  <c r="X260" i="39" s="1"/>
  <c r="Y260" i="39" s="1"/>
  <c r="C261" i="39" s="1"/>
  <c r="D261" i="39" s="1"/>
  <c r="E261" i="39" s="1"/>
  <c r="F261" i="39" s="1"/>
  <c r="G261" i="39" s="1"/>
  <c r="H261" i="39" s="1"/>
  <c r="I261" i="39" s="1"/>
  <c r="J261" i="39" s="1"/>
  <c r="K261" i="39" s="1"/>
  <c r="L261" i="39" s="1"/>
  <c r="M261" i="39" s="1"/>
  <c r="N261" i="39" s="1"/>
  <c r="O261" i="39" s="1"/>
  <c r="P261" i="39" s="1"/>
  <c r="Q261" i="39" s="1"/>
  <c r="R261" i="39" s="1"/>
  <c r="S261" i="39" s="1"/>
  <c r="T261" i="39" s="1"/>
  <c r="U261" i="39" s="1"/>
  <c r="V261" i="39" s="1"/>
  <c r="W261" i="39" s="1"/>
  <c r="X261" i="39" s="1"/>
  <c r="Y261" i="39" s="1"/>
  <c r="C262" i="39" s="1"/>
  <c r="D262" i="39" s="1"/>
  <c r="E262" i="39" s="1"/>
  <c r="F262" i="39" s="1"/>
  <c r="G262" i="39" s="1"/>
  <c r="H262" i="39" s="1"/>
  <c r="I262" i="39" s="1"/>
  <c r="J262" i="39" s="1"/>
  <c r="K262" i="39" s="1"/>
  <c r="L262" i="39" s="1"/>
  <c r="M262" i="39" s="1"/>
  <c r="N262" i="39" s="1"/>
  <c r="O262" i="39" s="1"/>
  <c r="P262" i="39" s="1"/>
  <c r="Q262" i="39" s="1"/>
  <c r="R262" i="39" s="1"/>
  <c r="S262" i="39" s="1"/>
  <c r="T262" i="39" s="1"/>
  <c r="U262" i="39" s="1"/>
  <c r="V262" i="39" s="1"/>
  <c r="W262" i="39" s="1"/>
  <c r="X262" i="39" s="1"/>
  <c r="Y262" i="39" s="1"/>
  <c r="C263" i="39" s="1"/>
  <c r="D263" i="39" s="1"/>
  <c r="E263" i="39" s="1"/>
  <c r="F263" i="39" s="1"/>
  <c r="G263" i="39" s="1"/>
  <c r="H263" i="39" s="1"/>
  <c r="I263" i="39" s="1"/>
  <c r="J263" i="39" s="1"/>
  <c r="K263" i="39" s="1"/>
  <c r="L263" i="39" s="1"/>
  <c r="M263" i="39" s="1"/>
  <c r="N263" i="39" s="1"/>
  <c r="O263" i="39" s="1"/>
  <c r="P263" i="39" s="1"/>
  <c r="Q263" i="39" s="1"/>
  <c r="R263" i="39" s="1"/>
  <c r="S263" i="39" s="1"/>
  <c r="T263" i="39" s="1"/>
  <c r="U263" i="39" s="1"/>
  <c r="V263" i="39" s="1"/>
  <c r="W263" i="39" s="1"/>
  <c r="X263" i="39" s="1"/>
  <c r="Y263" i="39" s="1"/>
  <c r="C264" i="39" s="1"/>
  <c r="D264" i="39" s="1"/>
  <c r="E264" i="39" s="1"/>
  <c r="F264" i="39" s="1"/>
  <c r="G264" i="39" s="1"/>
  <c r="H264" i="39" s="1"/>
  <c r="I264" i="39" s="1"/>
  <c r="J264" i="39" s="1"/>
  <c r="K264" i="39" s="1"/>
  <c r="L264" i="39" s="1"/>
  <c r="M264" i="39" s="1"/>
  <c r="N264" i="39" s="1"/>
  <c r="O264" i="39" s="1"/>
  <c r="P264" i="39" s="1"/>
  <c r="Q264" i="39" s="1"/>
  <c r="R264" i="39" s="1"/>
  <c r="S264" i="39" s="1"/>
  <c r="T264" i="39" s="1"/>
  <c r="U264" i="39" s="1"/>
  <c r="V264" i="39" s="1"/>
  <c r="W264" i="39" s="1"/>
  <c r="X264" i="39" s="1"/>
  <c r="Y264" i="39" s="1"/>
  <c r="C265" i="39" s="1"/>
  <c r="D265" i="39" s="1"/>
  <c r="E265" i="39" s="1"/>
  <c r="F265" i="39" s="1"/>
  <c r="G265" i="39" s="1"/>
  <c r="H265" i="39" s="1"/>
  <c r="I265" i="39" s="1"/>
  <c r="J265" i="39" s="1"/>
  <c r="K265" i="39" s="1"/>
  <c r="L265" i="39" s="1"/>
  <c r="M265" i="39" s="1"/>
  <c r="N265" i="39" s="1"/>
  <c r="O265" i="39" s="1"/>
  <c r="P265" i="39" s="1"/>
  <c r="Q265" i="39" s="1"/>
  <c r="R265" i="39" s="1"/>
  <c r="S265" i="39" s="1"/>
  <c r="T265" i="39" s="1"/>
  <c r="U265" i="39" s="1"/>
  <c r="V265" i="39" s="1"/>
  <c r="W265" i="39" s="1"/>
  <c r="X265" i="39" s="1"/>
  <c r="Y265" i="39" s="1"/>
  <c r="C266" i="39" s="1"/>
  <c r="D266" i="39" s="1"/>
  <c r="E266" i="39" s="1"/>
  <c r="F266" i="39" s="1"/>
  <c r="G266" i="39" s="1"/>
  <c r="H266" i="39" s="1"/>
  <c r="I266" i="39" s="1"/>
  <c r="J266" i="39" s="1"/>
  <c r="K266" i="39" s="1"/>
  <c r="L266" i="39" s="1"/>
  <c r="M266" i="39" s="1"/>
  <c r="N266" i="39" s="1"/>
  <c r="O266" i="39" s="1"/>
  <c r="P266" i="39" s="1"/>
  <c r="Q266" i="39" s="1"/>
  <c r="R266" i="39" s="1"/>
  <c r="S266" i="39" s="1"/>
  <c r="T266" i="39" s="1"/>
  <c r="U266" i="39" s="1"/>
  <c r="V266" i="39" s="1"/>
  <c r="W266" i="39" s="1"/>
  <c r="X266" i="39" s="1"/>
  <c r="Y266" i="39" s="1"/>
  <c r="C267" i="39" s="1"/>
  <c r="D267" i="39" s="1"/>
  <c r="E267" i="39" s="1"/>
  <c r="F267" i="39" s="1"/>
  <c r="G267" i="39" s="1"/>
  <c r="E258" i="41"/>
  <c r="F258" i="41" s="1"/>
  <c r="G258" i="41" s="1"/>
  <c r="H258" i="41" s="1"/>
  <c r="I258" i="41" s="1"/>
  <c r="J258" i="41" s="1"/>
  <c r="K258" i="41" s="1"/>
  <c r="L258" i="41" s="1"/>
  <c r="M258" i="41" s="1"/>
  <c r="N258" i="41" s="1"/>
  <c r="O258" i="41" s="1"/>
  <c r="P258" i="41" s="1"/>
  <c r="Q258" i="41" s="1"/>
  <c r="R258" i="41" s="1"/>
  <c r="S258" i="41" s="1"/>
  <c r="T258" i="41" s="1"/>
  <c r="U258" i="41" s="1"/>
  <c r="V258" i="41" s="1"/>
  <c r="W258" i="41" s="1"/>
  <c r="X258" i="41" s="1"/>
  <c r="Y258" i="41" s="1"/>
  <c r="C259" i="41" s="1"/>
  <c r="D259" i="41" s="1"/>
  <c r="E259" i="41" s="1"/>
  <c r="F259" i="41" s="1"/>
  <c r="G259" i="41" s="1"/>
  <c r="H259" i="41" s="1"/>
  <c r="I259" i="41" s="1"/>
  <c r="J259" i="41" s="1"/>
  <c r="K259" i="41" s="1"/>
  <c r="L259" i="41" s="1"/>
  <c r="M259" i="41" s="1"/>
  <c r="N259" i="41" s="1"/>
  <c r="O259" i="41" s="1"/>
  <c r="P259" i="41" s="1"/>
  <c r="Q259" i="41" s="1"/>
  <c r="R259" i="41" s="1"/>
  <c r="S259" i="41" s="1"/>
  <c r="T259" i="41" s="1"/>
  <c r="U259" i="41" s="1"/>
  <c r="V259" i="41" s="1"/>
  <c r="W259" i="41" s="1"/>
  <c r="X259" i="41" s="1"/>
  <c r="Y259" i="41" s="1"/>
  <c r="C260" i="41" s="1"/>
  <c r="D260" i="41" s="1"/>
  <c r="E260" i="41" s="1"/>
  <c r="F260" i="41" s="1"/>
  <c r="G260" i="41" s="1"/>
  <c r="H260" i="41" s="1"/>
  <c r="I260" i="41" s="1"/>
  <c r="J260" i="41" s="1"/>
  <c r="K260" i="41" s="1"/>
  <c r="L260" i="41" s="1"/>
  <c r="M260" i="41" s="1"/>
  <c r="N260" i="41" s="1"/>
  <c r="O260" i="41" s="1"/>
  <c r="P260" i="41" s="1"/>
  <c r="Q260" i="41" s="1"/>
  <c r="R260" i="41" s="1"/>
  <c r="S260" i="41" s="1"/>
  <c r="T260" i="41" s="1"/>
  <c r="U260" i="41" s="1"/>
  <c r="V260" i="41" s="1"/>
  <c r="W260" i="41" s="1"/>
  <c r="X260" i="41" s="1"/>
  <c r="Y260" i="41" s="1"/>
  <c r="C261" i="41" s="1"/>
  <c r="D261" i="41" s="1"/>
  <c r="E261" i="41" s="1"/>
  <c r="F261" i="41" s="1"/>
  <c r="G261" i="41" s="1"/>
  <c r="H261" i="41" s="1"/>
  <c r="I261" i="41" s="1"/>
  <c r="J261" i="41" s="1"/>
  <c r="K261" i="41" s="1"/>
  <c r="L261" i="41" s="1"/>
  <c r="M261" i="41" s="1"/>
  <c r="N261" i="41" s="1"/>
  <c r="O261" i="41" s="1"/>
  <c r="P261" i="41" s="1"/>
  <c r="Q261" i="41" s="1"/>
  <c r="R261" i="41" s="1"/>
  <c r="S261" i="41" s="1"/>
  <c r="T261" i="41" s="1"/>
  <c r="U261" i="41" s="1"/>
  <c r="V261" i="41" s="1"/>
  <c r="W261" i="41" s="1"/>
  <c r="X261" i="41" s="1"/>
  <c r="Y261" i="41" s="1"/>
  <c r="C262" i="41" s="1"/>
  <c r="D262" i="41" s="1"/>
  <c r="E262" i="41" s="1"/>
  <c r="F262" i="41" s="1"/>
  <c r="G262" i="41" s="1"/>
  <c r="H262" i="41" s="1"/>
  <c r="I262" i="41" s="1"/>
  <c r="J262" i="41" s="1"/>
  <c r="K262" i="41" s="1"/>
  <c r="L262" i="41" s="1"/>
  <c r="M262" i="41" s="1"/>
  <c r="N262" i="41" s="1"/>
  <c r="O262" i="41" s="1"/>
  <c r="P262" i="41" s="1"/>
  <c r="Q262" i="41" s="1"/>
  <c r="R262" i="41" s="1"/>
  <c r="S262" i="41" s="1"/>
  <c r="T262" i="41" s="1"/>
  <c r="U262" i="41" s="1"/>
  <c r="V262" i="41" s="1"/>
  <c r="W262" i="41" s="1"/>
  <c r="X262" i="41" s="1"/>
  <c r="Y262" i="41" s="1"/>
  <c r="C263" i="41" s="1"/>
  <c r="D263" i="41" s="1"/>
  <c r="E263" i="41" s="1"/>
  <c r="F263" i="41" s="1"/>
  <c r="G263" i="41" s="1"/>
  <c r="H263" i="41" s="1"/>
  <c r="I263" i="41" s="1"/>
  <c r="J263" i="41" s="1"/>
  <c r="K263" i="41" s="1"/>
  <c r="L263" i="41" s="1"/>
  <c r="M263" i="41" s="1"/>
  <c r="N263" i="41" s="1"/>
  <c r="O263" i="41" s="1"/>
  <c r="P263" i="41" s="1"/>
  <c r="Q263" i="41" s="1"/>
  <c r="R263" i="41" s="1"/>
  <c r="S263" i="41" s="1"/>
  <c r="T263" i="41" s="1"/>
  <c r="U263" i="41" s="1"/>
  <c r="V263" i="41" s="1"/>
  <c r="W263" i="41" s="1"/>
  <c r="X263" i="41" s="1"/>
  <c r="Y263" i="41" s="1"/>
  <c r="C264" i="41" s="1"/>
  <c r="D264" i="41" s="1"/>
  <c r="E264" i="41" s="1"/>
  <c r="F264" i="41" s="1"/>
  <c r="G264" i="41" s="1"/>
  <c r="H264" i="41" s="1"/>
  <c r="I264" i="41" s="1"/>
  <c r="J264" i="41" s="1"/>
  <c r="K264" i="41" s="1"/>
  <c r="L264" i="41" s="1"/>
  <c r="M264" i="41" s="1"/>
  <c r="N264" i="41" s="1"/>
  <c r="O264" i="41" s="1"/>
  <c r="P264" i="41" s="1"/>
  <c r="Q264" i="41" s="1"/>
  <c r="R264" i="41" s="1"/>
  <c r="S264" i="41" s="1"/>
  <c r="T264" i="41" s="1"/>
  <c r="U264" i="41" s="1"/>
  <c r="V264" i="41" s="1"/>
  <c r="W264" i="41" s="1"/>
  <c r="X264" i="41" s="1"/>
  <c r="Y264" i="41" s="1"/>
  <c r="C265" i="41" s="1"/>
  <c r="D265" i="41" s="1"/>
  <c r="E265" i="41" s="1"/>
  <c r="F265" i="41" s="1"/>
  <c r="G265" i="41" s="1"/>
  <c r="H265" i="41" s="1"/>
  <c r="I265" i="41" s="1"/>
  <c r="J265" i="41" s="1"/>
  <c r="K265" i="41" s="1"/>
  <c r="L265" i="41" s="1"/>
  <c r="M265" i="41" s="1"/>
  <c r="N265" i="41" s="1"/>
  <c r="O265" i="41" s="1"/>
  <c r="P265" i="41" s="1"/>
  <c r="Q265" i="41" s="1"/>
  <c r="R265" i="41" s="1"/>
  <c r="S265" i="41" s="1"/>
  <c r="T265" i="41" s="1"/>
  <c r="U265" i="41" s="1"/>
  <c r="V265" i="41" s="1"/>
  <c r="W265" i="41" s="1"/>
  <c r="X265" i="41" s="1"/>
  <c r="Y265" i="41" s="1"/>
  <c r="C266" i="41" s="1"/>
  <c r="D266" i="41" s="1"/>
  <c r="E266" i="41" s="1"/>
  <c r="F266" i="41" s="1"/>
  <c r="G266" i="41" s="1"/>
  <c r="H266" i="41" s="1"/>
  <c r="I266" i="41" s="1"/>
  <c r="J266" i="41" s="1"/>
  <c r="K266" i="41" s="1"/>
  <c r="L266" i="41" s="1"/>
  <c r="M266" i="41" s="1"/>
  <c r="N266" i="41" s="1"/>
  <c r="O266" i="41" s="1"/>
  <c r="P266" i="41" s="1"/>
  <c r="Q266" i="41" s="1"/>
  <c r="R266" i="41" s="1"/>
  <c r="S266" i="41" s="1"/>
  <c r="T266" i="41" s="1"/>
  <c r="U266" i="41" s="1"/>
  <c r="V266" i="41" s="1"/>
  <c r="W266" i="41" s="1"/>
  <c r="X266" i="41" s="1"/>
  <c r="Y266" i="41" s="1"/>
  <c r="C267" i="41" s="1"/>
  <c r="D267" i="41" s="1"/>
  <c r="E267" i="41" s="1"/>
  <c r="F267" i="41" s="1"/>
  <c r="G267" i="41" s="1"/>
  <c r="H267" i="41" s="1"/>
  <c r="I267" i="41" s="1"/>
  <c r="J267" i="41" s="1"/>
  <c r="K267" i="41" s="1"/>
  <c r="L267" i="41" s="1"/>
  <c r="M267" i="41" s="1"/>
  <c r="N267" i="41" s="1"/>
  <c r="O267" i="41" s="1"/>
  <c r="P267" i="41" s="1"/>
  <c r="Q267" i="41" s="1"/>
  <c r="R267" i="41" s="1"/>
  <c r="S267" i="41" s="1"/>
  <c r="T267" i="41" s="1"/>
  <c r="U267" i="41" s="1"/>
  <c r="V267" i="41" s="1"/>
  <c r="W267" i="41" s="1"/>
  <c r="X267" i="41" s="1"/>
  <c r="Y267" i="41" s="1"/>
  <c r="C268" i="41" s="1"/>
  <c r="D268" i="41" s="1"/>
  <c r="E268" i="41" s="1"/>
  <c r="F268" i="41" s="1"/>
  <c r="G268" i="41" s="1"/>
  <c r="E258" i="42"/>
  <c r="F258" i="42" s="1"/>
  <c r="G258" i="42" s="1"/>
  <c r="H258" i="42" s="1"/>
  <c r="I258" i="42" s="1"/>
  <c r="J258" i="42" s="1"/>
  <c r="K258" i="42" s="1"/>
  <c r="L258" i="42" s="1"/>
  <c r="M258" i="42" s="1"/>
  <c r="N258" i="42" s="1"/>
  <c r="O258" i="42" s="1"/>
  <c r="P258" i="42" s="1"/>
  <c r="Q258" i="42" s="1"/>
  <c r="R258" i="42" s="1"/>
  <c r="S258" i="42" s="1"/>
  <c r="T258" i="42" s="1"/>
  <c r="U258" i="42" s="1"/>
  <c r="V258" i="42" s="1"/>
  <c r="W258" i="42" s="1"/>
  <c r="X258" i="42" s="1"/>
  <c r="Y258" i="42" s="1"/>
  <c r="C259" i="42" s="1"/>
  <c r="D259" i="42" s="1"/>
  <c r="E259" i="42" s="1"/>
  <c r="F259" i="42" s="1"/>
  <c r="G259" i="42" s="1"/>
  <c r="H259" i="42" s="1"/>
  <c r="I259" i="42" s="1"/>
  <c r="J259" i="42" s="1"/>
  <c r="K259" i="42" s="1"/>
  <c r="L259" i="42" s="1"/>
  <c r="M259" i="42" s="1"/>
  <c r="N259" i="42" s="1"/>
  <c r="O259" i="42" s="1"/>
  <c r="P259" i="42" s="1"/>
  <c r="Q259" i="42" s="1"/>
  <c r="R259" i="42" s="1"/>
  <c r="S259" i="42" s="1"/>
  <c r="T259" i="42" s="1"/>
  <c r="U259" i="42" s="1"/>
  <c r="V259" i="42" s="1"/>
  <c r="W259" i="42" s="1"/>
  <c r="X259" i="42" s="1"/>
  <c r="Y259" i="42" s="1"/>
  <c r="C260" i="42" s="1"/>
  <c r="D260" i="42" s="1"/>
  <c r="E260" i="42" s="1"/>
  <c r="F260" i="42" s="1"/>
  <c r="G260" i="42" s="1"/>
  <c r="H260" i="42" s="1"/>
  <c r="I260" i="42" s="1"/>
  <c r="J260" i="42" s="1"/>
  <c r="K260" i="42" s="1"/>
  <c r="L260" i="42" s="1"/>
  <c r="M260" i="42" s="1"/>
  <c r="N260" i="42" s="1"/>
  <c r="O260" i="42" s="1"/>
  <c r="P260" i="42" s="1"/>
  <c r="Q260" i="42" s="1"/>
  <c r="R260" i="42" s="1"/>
  <c r="S260" i="42" s="1"/>
  <c r="T260" i="42" s="1"/>
  <c r="U260" i="42" s="1"/>
  <c r="V260" i="42" s="1"/>
  <c r="W260" i="42" s="1"/>
  <c r="X260" i="42" s="1"/>
  <c r="Y260" i="42" s="1"/>
  <c r="C261" i="42" s="1"/>
  <c r="D261" i="42" s="1"/>
  <c r="E261" i="42" s="1"/>
  <c r="F261" i="42" s="1"/>
  <c r="G261" i="42" s="1"/>
  <c r="H261" i="42" s="1"/>
  <c r="I261" i="42" s="1"/>
  <c r="J261" i="42" s="1"/>
  <c r="K261" i="42" s="1"/>
  <c r="L261" i="42" s="1"/>
  <c r="M261" i="42" s="1"/>
  <c r="N261" i="42" s="1"/>
  <c r="O261" i="42" s="1"/>
  <c r="P261" i="42" s="1"/>
  <c r="Q261" i="42" s="1"/>
  <c r="R261" i="42" s="1"/>
  <c r="S261" i="42" s="1"/>
  <c r="T261" i="42" s="1"/>
  <c r="U261" i="42" s="1"/>
  <c r="V261" i="42" s="1"/>
  <c r="W261" i="42" s="1"/>
  <c r="X261" i="42" s="1"/>
  <c r="Y261" i="42" s="1"/>
  <c r="C262" i="42" s="1"/>
  <c r="D262" i="42" s="1"/>
  <c r="E262" i="42" s="1"/>
  <c r="F262" i="42" s="1"/>
  <c r="G262" i="42" s="1"/>
  <c r="H262" i="42" s="1"/>
  <c r="I262" i="42" s="1"/>
  <c r="J262" i="42" s="1"/>
  <c r="K262" i="42" s="1"/>
  <c r="L262" i="42" s="1"/>
  <c r="M262" i="42" s="1"/>
  <c r="N262" i="42" s="1"/>
  <c r="O262" i="42" s="1"/>
  <c r="P262" i="42" s="1"/>
  <c r="Q262" i="42" s="1"/>
  <c r="R262" i="42" s="1"/>
  <c r="S262" i="42" s="1"/>
  <c r="T262" i="42" s="1"/>
  <c r="U262" i="42" s="1"/>
  <c r="V262" i="42" s="1"/>
  <c r="W262" i="42" s="1"/>
  <c r="X262" i="42" s="1"/>
  <c r="Y262" i="42" s="1"/>
  <c r="C263" i="42" s="1"/>
  <c r="D263" i="42" s="1"/>
  <c r="E263" i="42" s="1"/>
  <c r="F263" i="42" s="1"/>
  <c r="G263" i="42" s="1"/>
  <c r="H263" i="42" s="1"/>
  <c r="I263" i="42" s="1"/>
  <c r="J263" i="42" s="1"/>
  <c r="K263" i="42" s="1"/>
  <c r="L263" i="42" s="1"/>
  <c r="M263" i="42" s="1"/>
  <c r="N263" i="42" s="1"/>
  <c r="O263" i="42" s="1"/>
  <c r="P263" i="42" s="1"/>
  <c r="Q263" i="42" s="1"/>
  <c r="R263" i="42" s="1"/>
  <c r="S263" i="42" s="1"/>
  <c r="T263" i="42" s="1"/>
  <c r="U263" i="42" s="1"/>
  <c r="V263" i="42" s="1"/>
  <c r="W263" i="42" s="1"/>
  <c r="X263" i="42" s="1"/>
  <c r="Y263" i="42" s="1"/>
  <c r="C264" i="42" s="1"/>
  <c r="D264" i="42" s="1"/>
  <c r="E264" i="42" s="1"/>
  <c r="F264" i="42" s="1"/>
  <c r="G264" i="42" s="1"/>
  <c r="H264" i="42" s="1"/>
  <c r="I264" i="42" s="1"/>
  <c r="J264" i="42" s="1"/>
  <c r="K264" i="42" s="1"/>
  <c r="L264" i="42" s="1"/>
  <c r="M264" i="42" s="1"/>
  <c r="N264" i="42" s="1"/>
  <c r="O264" i="42" s="1"/>
  <c r="P264" i="42" s="1"/>
  <c r="Q264" i="42" s="1"/>
  <c r="R264" i="42" s="1"/>
  <c r="S264" i="42" s="1"/>
  <c r="T264" i="42" s="1"/>
  <c r="U264" i="42" s="1"/>
  <c r="V264" i="42" s="1"/>
  <c r="W264" i="42" s="1"/>
  <c r="X264" i="42" s="1"/>
  <c r="Y264" i="42" s="1"/>
  <c r="C265" i="42" s="1"/>
  <c r="D265" i="42" s="1"/>
  <c r="E265" i="42" s="1"/>
  <c r="F265" i="42" s="1"/>
  <c r="G265" i="42" s="1"/>
  <c r="H265" i="42" s="1"/>
  <c r="I265" i="42" s="1"/>
  <c r="J265" i="42" s="1"/>
  <c r="K265" i="42" s="1"/>
  <c r="L265" i="42" s="1"/>
  <c r="M265" i="42" s="1"/>
  <c r="N265" i="42" s="1"/>
  <c r="O265" i="42" s="1"/>
  <c r="P265" i="42" s="1"/>
  <c r="Q265" i="42" s="1"/>
  <c r="R265" i="42" s="1"/>
  <c r="S265" i="42" s="1"/>
  <c r="T265" i="42" s="1"/>
  <c r="U265" i="42" s="1"/>
  <c r="V265" i="42" s="1"/>
  <c r="W265" i="42" s="1"/>
  <c r="X265" i="42" s="1"/>
  <c r="Y265" i="42" s="1"/>
  <c r="C266" i="42" s="1"/>
  <c r="D266" i="42" s="1"/>
  <c r="E266" i="42" s="1"/>
  <c r="F266" i="42" s="1"/>
  <c r="G266" i="42" s="1"/>
  <c r="H266" i="42" s="1"/>
  <c r="I266" i="42" s="1"/>
  <c r="J266" i="42" s="1"/>
  <c r="K266" i="42" s="1"/>
  <c r="L266" i="42" s="1"/>
  <c r="M266" i="42" s="1"/>
  <c r="N266" i="42" s="1"/>
  <c r="O266" i="42" s="1"/>
  <c r="P266" i="42" s="1"/>
  <c r="Q266" i="42" s="1"/>
  <c r="R266" i="42" s="1"/>
  <c r="S266" i="42" s="1"/>
  <c r="T266" i="42" s="1"/>
  <c r="U266" i="42" s="1"/>
  <c r="V266" i="42" s="1"/>
  <c r="W266" i="42" s="1"/>
  <c r="X266" i="42" s="1"/>
  <c r="Y266" i="42" s="1"/>
  <c r="C267" i="42" s="1"/>
  <c r="D267" i="42" s="1"/>
  <c r="E267" i="42" s="1"/>
  <c r="F267" i="42" s="1"/>
  <c r="G267" i="42" s="1"/>
  <c r="H267" i="42" s="1"/>
  <c r="I267" i="42" s="1"/>
  <c r="J267" i="42" s="1"/>
  <c r="K267" i="42" s="1"/>
  <c r="L267" i="42" s="1"/>
  <c r="M267" i="42" s="1"/>
  <c r="N267" i="42" s="1"/>
  <c r="O267" i="42" s="1"/>
  <c r="P267" i="42" s="1"/>
  <c r="Q267" i="42" s="1"/>
  <c r="R267" i="42" s="1"/>
  <c r="S267" i="42" s="1"/>
  <c r="T267" i="42" s="1"/>
  <c r="U267" i="42" s="1"/>
  <c r="V267" i="42" s="1"/>
  <c r="W267" i="42" s="1"/>
  <c r="X267" i="42" s="1"/>
  <c r="Y267" i="42" s="1"/>
  <c r="C268" i="42" s="1"/>
  <c r="D268" i="42" s="1"/>
  <c r="E268" i="42" s="1"/>
  <c r="F268" i="42" s="1"/>
  <c r="G268" i="42" s="1"/>
  <c r="H268" i="42" s="1"/>
  <c r="I268" i="42" s="1"/>
  <c r="J268" i="42" s="1"/>
  <c r="K268" i="42" s="1"/>
  <c r="L268" i="42" s="1"/>
  <c r="M268" i="42" s="1"/>
  <c r="N268" i="42" s="1"/>
  <c r="O268" i="42" s="1"/>
  <c r="P268" i="42" s="1"/>
  <c r="Q268" i="42" s="1"/>
  <c r="R268" i="42" s="1"/>
  <c r="S268" i="42" s="1"/>
  <c r="T268" i="42" s="1"/>
  <c r="U268" i="42" s="1"/>
  <c r="V268" i="42" s="1"/>
  <c r="W268" i="42" s="1"/>
  <c r="X268" i="42" s="1"/>
  <c r="Y268" i="42" s="1"/>
  <c r="C269" i="42" s="1"/>
  <c r="D269" i="42" s="1"/>
  <c r="E269" i="42" s="1"/>
  <c r="F269" i="42" s="1"/>
  <c r="G269" i="42" s="1"/>
  <c r="E258" i="43"/>
  <c r="F258" i="43" s="1"/>
  <c r="G258" i="43" s="1"/>
  <c r="H258" i="43" s="1"/>
  <c r="I258" i="43" s="1"/>
  <c r="J258" i="43" s="1"/>
  <c r="K258" i="43" s="1"/>
  <c r="L258" i="43" s="1"/>
  <c r="M258" i="43" s="1"/>
  <c r="N258" i="43" s="1"/>
  <c r="O258" i="43" s="1"/>
  <c r="P258" i="43" s="1"/>
  <c r="Q258" i="43" s="1"/>
  <c r="R258" i="43" s="1"/>
  <c r="S258" i="43" s="1"/>
  <c r="T258" i="43" s="1"/>
  <c r="U258" i="43" s="1"/>
  <c r="V258" i="43" s="1"/>
  <c r="W258" i="43" s="1"/>
  <c r="X258" i="43" s="1"/>
  <c r="Y258" i="43" s="1"/>
  <c r="C259" i="43" s="1"/>
  <c r="D259" i="43" s="1"/>
  <c r="E259" i="43" s="1"/>
  <c r="F259" i="43" s="1"/>
  <c r="G259" i="43" s="1"/>
  <c r="H259" i="43" s="1"/>
  <c r="I259" i="43" s="1"/>
  <c r="J259" i="43" s="1"/>
  <c r="K259" i="43" s="1"/>
  <c r="L259" i="43" s="1"/>
  <c r="M259" i="43" s="1"/>
  <c r="N259" i="43" s="1"/>
  <c r="O259" i="43" s="1"/>
  <c r="P259" i="43" s="1"/>
  <c r="Q259" i="43" s="1"/>
  <c r="R259" i="43" s="1"/>
  <c r="S259" i="43" s="1"/>
  <c r="T259" i="43" s="1"/>
  <c r="U259" i="43" s="1"/>
  <c r="V259" i="43" s="1"/>
  <c r="W259" i="43" s="1"/>
  <c r="X259" i="43" s="1"/>
  <c r="Y259" i="43" s="1"/>
  <c r="C260" i="43" s="1"/>
  <c r="D260" i="43" s="1"/>
  <c r="E260" i="43" s="1"/>
  <c r="F260" i="43" s="1"/>
  <c r="G260" i="43" s="1"/>
  <c r="H260" i="43" s="1"/>
  <c r="I260" i="43" s="1"/>
  <c r="J260" i="43" s="1"/>
  <c r="K260" i="43" s="1"/>
  <c r="L260" i="43" s="1"/>
  <c r="M260" i="43" s="1"/>
  <c r="N260" i="43" s="1"/>
  <c r="O260" i="43" s="1"/>
  <c r="P260" i="43" s="1"/>
  <c r="Q260" i="43" s="1"/>
  <c r="R260" i="43" s="1"/>
  <c r="S260" i="43" s="1"/>
  <c r="T260" i="43" s="1"/>
  <c r="U260" i="43" s="1"/>
  <c r="V260" i="43" s="1"/>
  <c r="W260" i="43" s="1"/>
  <c r="X260" i="43" s="1"/>
  <c r="Y260" i="43" s="1"/>
  <c r="C261" i="43" s="1"/>
  <c r="D261" i="43" s="1"/>
  <c r="E261" i="43" s="1"/>
  <c r="F261" i="43" s="1"/>
  <c r="G261" i="43" s="1"/>
  <c r="H261" i="43" s="1"/>
  <c r="I261" i="43" s="1"/>
  <c r="J261" i="43" s="1"/>
  <c r="K261" i="43" s="1"/>
  <c r="L261" i="43" s="1"/>
  <c r="M261" i="43" s="1"/>
  <c r="N261" i="43" s="1"/>
  <c r="O261" i="43" s="1"/>
  <c r="P261" i="43" s="1"/>
  <c r="Q261" i="43" s="1"/>
  <c r="R261" i="43" s="1"/>
  <c r="S261" i="43" s="1"/>
  <c r="T261" i="43" s="1"/>
  <c r="U261" i="43" s="1"/>
  <c r="V261" i="43" s="1"/>
  <c r="W261" i="43" s="1"/>
  <c r="X261" i="43" s="1"/>
  <c r="Y261" i="43" s="1"/>
  <c r="C262" i="43" s="1"/>
  <c r="D262" i="43" s="1"/>
  <c r="E262" i="43" s="1"/>
  <c r="F262" i="43" s="1"/>
  <c r="G262" i="43" s="1"/>
  <c r="H262" i="43" s="1"/>
  <c r="I262" i="43" s="1"/>
  <c r="J262" i="43" s="1"/>
  <c r="K262" i="43" s="1"/>
  <c r="L262" i="43" s="1"/>
  <c r="M262" i="43" s="1"/>
  <c r="N262" i="43" s="1"/>
  <c r="O262" i="43" s="1"/>
  <c r="P262" i="43" s="1"/>
  <c r="Q262" i="43" s="1"/>
  <c r="R262" i="43" s="1"/>
  <c r="S262" i="43" s="1"/>
  <c r="T262" i="43" s="1"/>
  <c r="U262" i="43" s="1"/>
  <c r="V262" i="43" s="1"/>
  <c r="W262" i="43" s="1"/>
  <c r="X262" i="43" s="1"/>
  <c r="Y262" i="43" s="1"/>
  <c r="C263" i="43" s="1"/>
  <c r="D263" i="43" s="1"/>
  <c r="E263" i="43" s="1"/>
  <c r="F263" i="43" s="1"/>
  <c r="G263" i="43" s="1"/>
  <c r="H263" i="43" s="1"/>
  <c r="I263" i="43" s="1"/>
  <c r="J263" i="43" s="1"/>
  <c r="K263" i="43" s="1"/>
  <c r="L263" i="43" s="1"/>
  <c r="M263" i="43" s="1"/>
  <c r="N263" i="43" s="1"/>
  <c r="O263" i="43" s="1"/>
  <c r="P263" i="43" s="1"/>
  <c r="Q263" i="43" s="1"/>
  <c r="R263" i="43" s="1"/>
  <c r="S263" i="43" s="1"/>
  <c r="T263" i="43" s="1"/>
  <c r="U263" i="43" s="1"/>
  <c r="V263" i="43" s="1"/>
  <c r="W263" i="43" s="1"/>
  <c r="X263" i="43" s="1"/>
  <c r="Y263" i="43" s="1"/>
  <c r="C264" i="43" s="1"/>
  <c r="D264" i="43" s="1"/>
  <c r="E264" i="43" s="1"/>
  <c r="F264" i="43" s="1"/>
  <c r="G264" i="43" s="1"/>
  <c r="H264" i="43" s="1"/>
  <c r="I264" i="43" s="1"/>
  <c r="J264" i="43" s="1"/>
  <c r="K264" i="43" s="1"/>
  <c r="L264" i="43" s="1"/>
  <c r="M264" i="43" s="1"/>
  <c r="N264" i="43" s="1"/>
  <c r="O264" i="43" s="1"/>
  <c r="P264" i="43" s="1"/>
  <c r="Q264" i="43" s="1"/>
  <c r="R264" i="43" s="1"/>
  <c r="S264" i="43" s="1"/>
  <c r="T264" i="43" s="1"/>
  <c r="U264" i="43" s="1"/>
  <c r="V264" i="43" s="1"/>
  <c r="W264" i="43" s="1"/>
  <c r="X264" i="43" s="1"/>
  <c r="Y264" i="43" s="1"/>
  <c r="C265" i="43" s="1"/>
  <c r="D265" i="43" s="1"/>
  <c r="E265" i="43" s="1"/>
  <c r="F265" i="43" s="1"/>
  <c r="G265" i="43" s="1"/>
  <c r="H265" i="43" s="1"/>
  <c r="I265" i="43" s="1"/>
  <c r="J265" i="43" s="1"/>
  <c r="K265" i="43" s="1"/>
  <c r="L265" i="43" s="1"/>
  <c r="M265" i="43" s="1"/>
  <c r="N265" i="43" s="1"/>
  <c r="O265" i="43" s="1"/>
  <c r="P265" i="43" s="1"/>
  <c r="Q265" i="43" s="1"/>
  <c r="R265" i="43" s="1"/>
  <c r="S265" i="43" s="1"/>
  <c r="T265" i="43" s="1"/>
  <c r="U265" i="43" s="1"/>
  <c r="V265" i="43" s="1"/>
  <c r="W265" i="43" s="1"/>
  <c r="X265" i="43" s="1"/>
  <c r="Y265" i="43" s="1"/>
  <c r="C266" i="43" s="1"/>
  <c r="D266" i="43" s="1"/>
  <c r="E266" i="43" s="1"/>
  <c r="F266" i="43" s="1"/>
  <c r="G266" i="43" s="1"/>
  <c r="H266" i="43" s="1"/>
  <c r="I266" i="43" s="1"/>
  <c r="J266" i="43" s="1"/>
  <c r="K266" i="43" s="1"/>
  <c r="L266" i="43" s="1"/>
  <c r="M266" i="43" s="1"/>
  <c r="N266" i="43" s="1"/>
  <c r="O266" i="43" s="1"/>
  <c r="P266" i="43" s="1"/>
  <c r="Q266" i="43" s="1"/>
  <c r="R266" i="43" s="1"/>
  <c r="S266" i="43" s="1"/>
  <c r="T266" i="43" s="1"/>
  <c r="U266" i="43" s="1"/>
  <c r="V266" i="43" s="1"/>
  <c r="W266" i="43" s="1"/>
  <c r="X266" i="43" s="1"/>
  <c r="Y266" i="43" s="1"/>
  <c r="C267" i="43" s="1"/>
  <c r="D267" i="43" s="1"/>
  <c r="E267" i="43" s="1"/>
  <c r="F267" i="43" s="1"/>
  <c r="G267" i="43" s="1"/>
  <c r="H267" i="43" s="1"/>
  <c r="I267" i="43" s="1"/>
  <c r="J267" i="43" s="1"/>
  <c r="K267" i="43" s="1"/>
  <c r="L267" i="43" s="1"/>
  <c r="M267" i="43" s="1"/>
  <c r="N267" i="43" s="1"/>
  <c r="O267" i="43" s="1"/>
  <c r="P267" i="43" s="1"/>
  <c r="Q267" i="43" s="1"/>
  <c r="R267" i="43" s="1"/>
  <c r="S267" i="43" s="1"/>
  <c r="T267" i="43" s="1"/>
  <c r="U267" i="43" s="1"/>
  <c r="V267" i="43" s="1"/>
  <c r="W267" i="43" s="1"/>
  <c r="X267" i="43" s="1"/>
  <c r="Y267" i="43" s="1"/>
  <c r="C268" i="43" s="1"/>
  <c r="D268" i="43" s="1"/>
  <c r="E268" i="43" s="1"/>
  <c r="F268" i="43" s="1"/>
  <c r="G268" i="43" s="1"/>
  <c r="H268" i="43" s="1"/>
  <c r="I268" i="43" s="1"/>
  <c r="J268" i="43" s="1"/>
  <c r="K268" i="43" s="1"/>
  <c r="L268" i="43" s="1"/>
  <c r="M268" i="43" s="1"/>
  <c r="N268" i="43" s="1"/>
  <c r="O268" i="43" s="1"/>
  <c r="P268" i="43" s="1"/>
  <c r="Q268" i="43" s="1"/>
  <c r="R268" i="43" s="1"/>
  <c r="S268" i="43" s="1"/>
  <c r="T268" i="43" s="1"/>
  <c r="U268" i="43" s="1"/>
  <c r="V268" i="43" s="1"/>
  <c r="W268" i="43" s="1"/>
  <c r="X268" i="43" s="1"/>
  <c r="Y268" i="43" s="1"/>
  <c r="C269" i="43" s="1"/>
  <c r="D269" i="43" s="1"/>
  <c r="E269" i="43" s="1"/>
  <c r="F269" i="43" s="1"/>
  <c r="G269" i="43" s="1"/>
  <c r="H269" i="43" s="1"/>
  <c r="I269" i="43" s="1"/>
  <c r="J269" i="43" s="1"/>
  <c r="K269" i="43" s="1"/>
  <c r="L269" i="43" s="1"/>
  <c r="M269" i="43" s="1"/>
  <c r="N269" i="43" s="1"/>
  <c r="O269" i="43" s="1"/>
  <c r="P269" i="43" s="1"/>
  <c r="Q269" i="43" s="1"/>
  <c r="R269" i="43" s="1"/>
  <c r="S269" i="43" s="1"/>
  <c r="T269" i="43" s="1"/>
  <c r="U269" i="43" s="1"/>
  <c r="V269" i="43" s="1"/>
  <c r="W269" i="43" s="1"/>
  <c r="X269" i="43" s="1"/>
  <c r="Y269" i="43" s="1"/>
  <c r="C270" i="43" s="1"/>
  <c r="D270" i="43" s="1"/>
  <c r="E270" i="43" s="1"/>
  <c r="F270" i="43" s="1"/>
  <c r="G270" i="43" s="1"/>
  <c r="E258" i="44"/>
  <c r="F258" i="44"/>
  <c r="G258" i="44" s="1"/>
  <c r="H258" i="44" s="1"/>
  <c r="I258" i="44" s="1"/>
  <c r="J258" i="44" s="1"/>
  <c r="K258" i="44" s="1"/>
  <c r="L258" i="44" s="1"/>
  <c r="M258" i="44" s="1"/>
  <c r="N258" i="44" s="1"/>
  <c r="O258" i="44" s="1"/>
  <c r="P258" i="44" s="1"/>
  <c r="Q258" i="44" s="1"/>
  <c r="R258" i="44" s="1"/>
  <c r="S258" i="44" s="1"/>
  <c r="T258" i="44" s="1"/>
  <c r="U258" i="44" s="1"/>
  <c r="V258" i="44" s="1"/>
  <c r="W258" i="44" s="1"/>
  <c r="X258" i="44" s="1"/>
  <c r="Y258" i="44" s="1"/>
  <c r="C259" i="44" s="1"/>
  <c r="D259" i="44" s="1"/>
  <c r="E259" i="44" s="1"/>
  <c r="F259" i="44" s="1"/>
  <c r="G259" i="44" s="1"/>
  <c r="H259" i="44" s="1"/>
  <c r="I259" i="44" s="1"/>
  <c r="J259" i="44" s="1"/>
  <c r="K259" i="44" s="1"/>
  <c r="L259" i="44" s="1"/>
  <c r="M259" i="44" s="1"/>
  <c r="N259" i="44" s="1"/>
  <c r="O259" i="44" s="1"/>
  <c r="P259" i="44" s="1"/>
  <c r="Q259" i="44" s="1"/>
  <c r="R259" i="44" s="1"/>
  <c r="S259" i="44" s="1"/>
  <c r="T259" i="44" s="1"/>
  <c r="U259" i="44" s="1"/>
  <c r="V259" i="44" s="1"/>
  <c r="W259" i="44" s="1"/>
  <c r="X259" i="44" s="1"/>
  <c r="Y259" i="44" s="1"/>
  <c r="C260" i="44" s="1"/>
  <c r="D260" i="44" s="1"/>
  <c r="E260" i="44" s="1"/>
  <c r="F260" i="44" s="1"/>
  <c r="G260" i="44" s="1"/>
  <c r="H260" i="44" s="1"/>
  <c r="I260" i="44" s="1"/>
  <c r="J260" i="44" s="1"/>
  <c r="K260" i="44" s="1"/>
  <c r="L260" i="44" s="1"/>
  <c r="M260" i="44" s="1"/>
  <c r="N260" i="44" s="1"/>
  <c r="O260" i="44" s="1"/>
  <c r="P260" i="44" s="1"/>
  <c r="Q260" i="44" s="1"/>
  <c r="R260" i="44" s="1"/>
  <c r="S260" i="44" s="1"/>
  <c r="T260" i="44" s="1"/>
  <c r="U260" i="44" s="1"/>
  <c r="V260" i="44" s="1"/>
  <c r="W260" i="44" s="1"/>
  <c r="X260" i="44" s="1"/>
  <c r="Y260" i="44" s="1"/>
  <c r="C261" i="44" s="1"/>
  <c r="D261" i="44" s="1"/>
  <c r="E261" i="44" s="1"/>
  <c r="F261" i="44" s="1"/>
  <c r="G261" i="44" s="1"/>
  <c r="H261" i="44" s="1"/>
  <c r="I261" i="44" s="1"/>
  <c r="J261" i="44" s="1"/>
  <c r="K261" i="44" s="1"/>
  <c r="L261" i="44" s="1"/>
  <c r="M261" i="44" s="1"/>
  <c r="N261" i="44" s="1"/>
  <c r="O261" i="44" s="1"/>
  <c r="P261" i="44" s="1"/>
  <c r="Q261" i="44" s="1"/>
  <c r="R261" i="44" s="1"/>
  <c r="S261" i="44" s="1"/>
  <c r="T261" i="44" s="1"/>
  <c r="U261" i="44" s="1"/>
  <c r="V261" i="44" s="1"/>
  <c r="W261" i="44" s="1"/>
  <c r="X261" i="44" s="1"/>
  <c r="Y261" i="44" s="1"/>
  <c r="C262" i="44" s="1"/>
  <c r="D262" i="44" s="1"/>
  <c r="E262" i="44" s="1"/>
  <c r="F262" i="44" s="1"/>
  <c r="G262" i="44" s="1"/>
  <c r="H262" i="44" s="1"/>
  <c r="I262" i="44" s="1"/>
  <c r="J262" i="44" s="1"/>
  <c r="K262" i="44" s="1"/>
  <c r="L262" i="44" s="1"/>
  <c r="M262" i="44" s="1"/>
  <c r="N262" i="44" s="1"/>
  <c r="O262" i="44" s="1"/>
  <c r="P262" i="44" s="1"/>
  <c r="Q262" i="44" s="1"/>
  <c r="R262" i="44" s="1"/>
  <c r="S262" i="44" s="1"/>
  <c r="T262" i="44" s="1"/>
  <c r="U262" i="44" s="1"/>
  <c r="V262" i="44" s="1"/>
  <c r="W262" i="44" s="1"/>
  <c r="X262" i="44" s="1"/>
  <c r="Y262" i="44" s="1"/>
  <c r="C263" i="44" s="1"/>
  <c r="D263" i="44" s="1"/>
  <c r="E263" i="44" s="1"/>
  <c r="F263" i="44" s="1"/>
  <c r="G263" i="44" s="1"/>
  <c r="H263" i="44" s="1"/>
  <c r="I263" i="44" s="1"/>
  <c r="J263" i="44" s="1"/>
  <c r="K263" i="44" s="1"/>
  <c r="L263" i="44" s="1"/>
  <c r="M263" i="44" s="1"/>
  <c r="N263" i="44" s="1"/>
  <c r="O263" i="44" s="1"/>
  <c r="P263" i="44" s="1"/>
  <c r="Q263" i="44" s="1"/>
  <c r="R263" i="44" s="1"/>
  <c r="S263" i="44" s="1"/>
  <c r="T263" i="44" s="1"/>
  <c r="U263" i="44" s="1"/>
  <c r="V263" i="44" s="1"/>
  <c r="W263" i="44" s="1"/>
  <c r="X263" i="44" s="1"/>
  <c r="Y263" i="44" s="1"/>
  <c r="C264" i="44" s="1"/>
  <c r="D264" i="44" s="1"/>
  <c r="E264" i="44" s="1"/>
  <c r="F264" i="44" s="1"/>
  <c r="G264" i="44" s="1"/>
  <c r="H264" i="44" s="1"/>
  <c r="I264" i="44" s="1"/>
  <c r="J264" i="44" s="1"/>
  <c r="K264" i="44" s="1"/>
  <c r="L264" i="44" s="1"/>
  <c r="M264" i="44" s="1"/>
  <c r="N264" i="44" s="1"/>
  <c r="O264" i="44" s="1"/>
  <c r="P264" i="44" s="1"/>
  <c r="Q264" i="44" s="1"/>
  <c r="R264" i="44" s="1"/>
  <c r="S264" i="44" s="1"/>
  <c r="T264" i="44" s="1"/>
  <c r="U264" i="44" s="1"/>
  <c r="V264" i="44" s="1"/>
  <c r="W264" i="44" s="1"/>
  <c r="X264" i="44" s="1"/>
  <c r="Y264" i="44" s="1"/>
  <c r="C265" i="44" s="1"/>
  <c r="D265" i="44" s="1"/>
  <c r="E265" i="44" s="1"/>
  <c r="F265" i="44" s="1"/>
  <c r="G265" i="44" s="1"/>
  <c r="H265" i="44" s="1"/>
  <c r="I265" i="44" s="1"/>
  <c r="J265" i="44" s="1"/>
  <c r="K265" i="44" s="1"/>
  <c r="L265" i="44" s="1"/>
  <c r="M265" i="44" s="1"/>
  <c r="N265" i="44" s="1"/>
  <c r="O265" i="44" s="1"/>
  <c r="P265" i="44" s="1"/>
  <c r="Q265" i="44" s="1"/>
  <c r="R265" i="44" s="1"/>
  <c r="S265" i="44" s="1"/>
  <c r="T265" i="44" s="1"/>
  <c r="U265" i="44" s="1"/>
  <c r="V265" i="44" s="1"/>
  <c r="W265" i="44" s="1"/>
  <c r="X265" i="44" s="1"/>
  <c r="Y265" i="44" s="1"/>
  <c r="C266" i="44" s="1"/>
  <c r="D266" i="44" s="1"/>
  <c r="E266" i="44" s="1"/>
  <c r="F266" i="44" s="1"/>
  <c r="G266" i="44" s="1"/>
  <c r="H266" i="44" s="1"/>
  <c r="I266" i="44" s="1"/>
  <c r="J266" i="44" s="1"/>
  <c r="K266" i="44" s="1"/>
  <c r="L266" i="44" s="1"/>
  <c r="M266" i="44" s="1"/>
  <c r="N266" i="44" s="1"/>
  <c r="O266" i="44" s="1"/>
  <c r="P266" i="44" s="1"/>
  <c r="Q266" i="44" s="1"/>
  <c r="R266" i="44" s="1"/>
  <c r="S266" i="44" s="1"/>
  <c r="T266" i="44" s="1"/>
  <c r="U266" i="44" s="1"/>
  <c r="V266" i="44" s="1"/>
  <c r="W266" i="44" s="1"/>
  <c r="X266" i="44" s="1"/>
  <c r="Y266" i="44" s="1"/>
  <c r="C267" i="44" s="1"/>
  <c r="D267" i="44" s="1"/>
  <c r="E267" i="44" s="1"/>
  <c r="F267" i="44" s="1"/>
  <c r="G267" i="44" s="1"/>
  <c r="H267" i="44" s="1"/>
  <c r="I267" i="44" s="1"/>
  <c r="J267" i="44" s="1"/>
  <c r="K267" i="44" s="1"/>
  <c r="L267" i="44" s="1"/>
  <c r="M267" i="44" s="1"/>
  <c r="N267" i="44" s="1"/>
  <c r="O267" i="44" s="1"/>
  <c r="P267" i="44" s="1"/>
  <c r="Q267" i="44" s="1"/>
  <c r="R267" i="44" s="1"/>
  <c r="S267" i="44" s="1"/>
  <c r="T267" i="44" s="1"/>
  <c r="U267" i="44" s="1"/>
  <c r="V267" i="44" s="1"/>
  <c r="W267" i="44" s="1"/>
  <c r="X267" i="44" s="1"/>
  <c r="Y267" i="44" s="1"/>
  <c r="C268" i="44" s="1"/>
  <c r="D268" i="44" s="1"/>
  <c r="E268" i="44" s="1"/>
  <c r="F268" i="44" s="1"/>
  <c r="G268" i="44" s="1"/>
  <c r="H268" i="44" s="1"/>
  <c r="I268" i="44" s="1"/>
  <c r="J268" i="44" s="1"/>
  <c r="K268" i="44" s="1"/>
  <c r="L268" i="44" s="1"/>
  <c r="M268" i="44" s="1"/>
  <c r="N268" i="44" s="1"/>
  <c r="O268" i="44" s="1"/>
  <c r="P268" i="44" s="1"/>
  <c r="Q268" i="44" s="1"/>
  <c r="R268" i="44" s="1"/>
  <c r="S268" i="44" s="1"/>
  <c r="T268" i="44" s="1"/>
  <c r="U268" i="44" s="1"/>
  <c r="V268" i="44" s="1"/>
  <c r="W268" i="44" s="1"/>
  <c r="X268" i="44" s="1"/>
  <c r="Y268" i="44" s="1"/>
  <c r="C269" i="44" s="1"/>
  <c r="D269" i="44" s="1"/>
  <c r="E269" i="44" s="1"/>
  <c r="F269" i="44" s="1"/>
  <c r="G269" i="44" s="1"/>
  <c r="H269" i="44" s="1"/>
  <c r="I269" i="44" s="1"/>
  <c r="J269" i="44" s="1"/>
  <c r="K269" i="44" s="1"/>
  <c r="L269" i="44" s="1"/>
  <c r="M269" i="44" s="1"/>
  <c r="N269" i="44" s="1"/>
  <c r="O269" i="44" s="1"/>
  <c r="P269" i="44" s="1"/>
  <c r="Q269" i="44" s="1"/>
  <c r="R269" i="44" s="1"/>
  <c r="S269" i="44" s="1"/>
  <c r="T269" i="44" s="1"/>
  <c r="U269" i="44" s="1"/>
  <c r="V269" i="44" s="1"/>
  <c r="W269" i="44" s="1"/>
  <c r="X269" i="44" s="1"/>
  <c r="Y269" i="44" s="1"/>
  <c r="C270" i="44" s="1"/>
  <c r="D270" i="44" s="1"/>
  <c r="E270" i="44" s="1"/>
  <c r="F270" i="44" s="1"/>
  <c r="G270" i="44" s="1"/>
  <c r="H270" i="44" s="1"/>
  <c r="I270" i="44" s="1"/>
  <c r="J270" i="44" s="1"/>
  <c r="K270" i="44" s="1"/>
  <c r="L270" i="44" s="1"/>
  <c r="M270" i="44" s="1"/>
  <c r="N270" i="44" s="1"/>
  <c r="O270" i="44" s="1"/>
  <c r="P270" i="44" s="1"/>
  <c r="Q270" i="44" s="1"/>
  <c r="R270" i="44" s="1"/>
  <c r="S270" i="44" s="1"/>
  <c r="T270" i="44" s="1"/>
  <c r="U270" i="44" s="1"/>
  <c r="V270" i="44" s="1"/>
  <c r="W270" i="44" s="1"/>
  <c r="X270" i="44" s="1"/>
  <c r="Y270" i="44" s="1"/>
  <c r="C271" i="44" s="1"/>
  <c r="D271" i="44" s="1"/>
  <c r="E271" i="44" s="1"/>
  <c r="F271" i="44" s="1"/>
  <c r="G271" i="44" s="1"/>
  <c r="E258" i="46"/>
  <c r="F258" i="46" s="1"/>
  <c r="G258" i="46" s="1"/>
  <c r="H258" i="46" s="1"/>
  <c r="I258" i="46" s="1"/>
  <c r="J258" i="46" s="1"/>
  <c r="K258" i="46" s="1"/>
  <c r="L258" i="46" s="1"/>
  <c r="M258" i="46" s="1"/>
  <c r="N258" i="46" s="1"/>
  <c r="O258" i="46" s="1"/>
  <c r="P258" i="46" s="1"/>
  <c r="Q258" i="46" s="1"/>
  <c r="R258" i="46" s="1"/>
  <c r="S258" i="46" s="1"/>
  <c r="T258" i="46" s="1"/>
  <c r="U258" i="46" s="1"/>
  <c r="V258" i="46" s="1"/>
  <c r="W258" i="46" s="1"/>
  <c r="X258" i="46" s="1"/>
  <c r="Y258" i="46" s="1"/>
  <c r="C259" i="46" s="1"/>
  <c r="D259" i="46" s="1"/>
  <c r="E259" i="46" s="1"/>
  <c r="F259" i="46" s="1"/>
  <c r="G259" i="46" s="1"/>
  <c r="H259" i="46" s="1"/>
  <c r="I259" i="46" s="1"/>
  <c r="J259" i="46" s="1"/>
  <c r="K259" i="46" s="1"/>
  <c r="L259" i="46" s="1"/>
  <c r="M259" i="46" s="1"/>
  <c r="N259" i="46" s="1"/>
  <c r="O259" i="46" s="1"/>
  <c r="P259" i="46" s="1"/>
  <c r="Q259" i="46" s="1"/>
  <c r="R259" i="46" s="1"/>
  <c r="S259" i="46" s="1"/>
  <c r="T259" i="46" s="1"/>
  <c r="U259" i="46" s="1"/>
  <c r="V259" i="46" s="1"/>
  <c r="W259" i="46" s="1"/>
  <c r="X259" i="46" s="1"/>
  <c r="Y259" i="46" s="1"/>
  <c r="C260" i="46" s="1"/>
  <c r="D260" i="46" s="1"/>
  <c r="E260" i="46" s="1"/>
  <c r="F260" i="46" s="1"/>
  <c r="G260" i="46" s="1"/>
  <c r="H260" i="46" s="1"/>
  <c r="I260" i="46" s="1"/>
  <c r="J260" i="46" s="1"/>
  <c r="K260" i="46" s="1"/>
  <c r="L260" i="46" s="1"/>
  <c r="M260" i="46" s="1"/>
  <c r="N260" i="46" s="1"/>
  <c r="O260" i="46" s="1"/>
  <c r="P260" i="46" s="1"/>
  <c r="Q260" i="46" s="1"/>
  <c r="R260" i="46" s="1"/>
  <c r="S260" i="46" s="1"/>
  <c r="T260" i="46" s="1"/>
  <c r="U260" i="46" s="1"/>
  <c r="V260" i="46" s="1"/>
  <c r="W260" i="46" s="1"/>
  <c r="X260" i="46" s="1"/>
  <c r="Y260" i="46" s="1"/>
  <c r="C261" i="46" s="1"/>
  <c r="D261" i="46" s="1"/>
  <c r="E261" i="46" s="1"/>
  <c r="F261" i="46" s="1"/>
  <c r="G261" i="46" s="1"/>
  <c r="H261" i="46" s="1"/>
  <c r="I261" i="46" s="1"/>
  <c r="J261" i="46" s="1"/>
  <c r="K261" i="46" s="1"/>
  <c r="L261" i="46" s="1"/>
  <c r="M261" i="46" s="1"/>
  <c r="N261" i="46" s="1"/>
  <c r="O261" i="46" s="1"/>
  <c r="P261" i="46" s="1"/>
  <c r="Q261" i="46" s="1"/>
  <c r="R261" i="46" s="1"/>
  <c r="S261" i="46" s="1"/>
  <c r="T261" i="46" s="1"/>
  <c r="U261" i="46" s="1"/>
  <c r="V261" i="46" s="1"/>
  <c r="W261" i="46" s="1"/>
  <c r="X261" i="46" s="1"/>
  <c r="Y261" i="46" s="1"/>
  <c r="C262" i="46" s="1"/>
  <c r="D262" i="46" s="1"/>
  <c r="E262" i="46" s="1"/>
  <c r="F262" i="46" s="1"/>
  <c r="G262" i="46" s="1"/>
  <c r="H262" i="46" s="1"/>
  <c r="I262" i="46" s="1"/>
  <c r="J262" i="46" s="1"/>
  <c r="K262" i="46" s="1"/>
  <c r="L262" i="46" s="1"/>
  <c r="M262" i="46" s="1"/>
  <c r="N262" i="46" s="1"/>
  <c r="O262" i="46" s="1"/>
  <c r="P262" i="46" s="1"/>
  <c r="Q262" i="46" s="1"/>
  <c r="R262" i="46" s="1"/>
  <c r="S262" i="46" s="1"/>
  <c r="T262" i="46" s="1"/>
  <c r="U262" i="46" s="1"/>
  <c r="V262" i="46" s="1"/>
  <c r="W262" i="46" s="1"/>
  <c r="X262" i="46" s="1"/>
  <c r="Y262" i="46" s="1"/>
  <c r="C263" i="46" s="1"/>
  <c r="D263" i="46" s="1"/>
  <c r="E263" i="46" s="1"/>
  <c r="F263" i="46" s="1"/>
  <c r="G263" i="46" s="1"/>
  <c r="H263" i="46" s="1"/>
  <c r="I263" i="46" s="1"/>
  <c r="J263" i="46" s="1"/>
  <c r="K263" i="46" s="1"/>
  <c r="L263" i="46" s="1"/>
  <c r="M263" i="46" s="1"/>
  <c r="N263" i="46" s="1"/>
  <c r="O263" i="46" s="1"/>
  <c r="P263" i="46" s="1"/>
  <c r="Q263" i="46" s="1"/>
  <c r="R263" i="46" s="1"/>
  <c r="S263" i="46" s="1"/>
  <c r="T263" i="46" s="1"/>
  <c r="U263" i="46" s="1"/>
  <c r="V263" i="46" s="1"/>
  <c r="W263" i="46" s="1"/>
  <c r="X263" i="46" s="1"/>
  <c r="Y263" i="46" s="1"/>
  <c r="C264" i="46" s="1"/>
  <c r="D264" i="46" s="1"/>
  <c r="E264" i="46" s="1"/>
  <c r="F264" i="46" s="1"/>
  <c r="G264" i="46" s="1"/>
  <c r="H264" i="46" s="1"/>
  <c r="I264" i="46" s="1"/>
  <c r="J264" i="46" s="1"/>
  <c r="K264" i="46" s="1"/>
  <c r="L264" i="46" s="1"/>
  <c r="M264" i="46" s="1"/>
  <c r="N264" i="46" s="1"/>
  <c r="O264" i="46" s="1"/>
  <c r="P264" i="46" s="1"/>
  <c r="Q264" i="46" s="1"/>
  <c r="R264" i="46" s="1"/>
  <c r="S264" i="46" s="1"/>
  <c r="T264" i="46" s="1"/>
  <c r="U264" i="46" s="1"/>
  <c r="V264" i="46" s="1"/>
  <c r="W264" i="46" s="1"/>
  <c r="X264" i="46" s="1"/>
  <c r="Y264" i="46" s="1"/>
  <c r="C265" i="46" s="1"/>
  <c r="D265" i="46" s="1"/>
  <c r="E265" i="46" s="1"/>
  <c r="F265" i="46" s="1"/>
  <c r="G265" i="46" s="1"/>
  <c r="H265" i="46" s="1"/>
  <c r="I265" i="46" s="1"/>
  <c r="J265" i="46" s="1"/>
  <c r="K265" i="46" s="1"/>
  <c r="L265" i="46" s="1"/>
  <c r="M265" i="46" s="1"/>
  <c r="N265" i="46" s="1"/>
  <c r="O265" i="46" s="1"/>
  <c r="P265" i="46" s="1"/>
  <c r="Q265" i="46" s="1"/>
  <c r="R265" i="46" s="1"/>
  <c r="S265" i="46" s="1"/>
  <c r="T265" i="46" s="1"/>
  <c r="U265" i="46" s="1"/>
  <c r="V265" i="46" s="1"/>
  <c r="W265" i="46" s="1"/>
  <c r="X265" i="46" s="1"/>
  <c r="Y265" i="46" s="1"/>
  <c r="C266" i="46" s="1"/>
  <c r="D266" i="46" s="1"/>
  <c r="E266" i="46" s="1"/>
  <c r="F266" i="46" s="1"/>
  <c r="G266" i="46" s="1"/>
  <c r="H266" i="46" s="1"/>
  <c r="I266" i="46" s="1"/>
  <c r="J266" i="46" s="1"/>
  <c r="K266" i="46" s="1"/>
  <c r="L266" i="46" s="1"/>
  <c r="M266" i="46" s="1"/>
  <c r="N266" i="46" s="1"/>
  <c r="O266" i="46" s="1"/>
  <c r="P266" i="46" s="1"/>
  <c r="Q266" i="46" s="1"/>
  <c r="R266" i="46" s="1"/>
  <c r="S266" i="46" s="1"/>
  <c r="T266" i="46" s="1"/>
  <c r="U266" i="46" s="1"/>
  <c r="V266" i="46" s="1"/>
  <c r="W266" i="46" s="1"/>
  <c r="X266" i="46" s="1"/>
  <c r="Y266" i="46" s="1"/>
  <c r="C267" i="46" s="1"/>
  <c r="D267" i="46" s="1"/>
  <c r="E267" i="46" s="1"/>
  <c r="F267" i="46" s="1"/>
  <c r="G267" i="46" s="1"/>
  <c r="H267" i="46" s="1"/>
  <c r="I267" i="46" s="1"/>
  <c r="J267" i="46" s="1"/>
  <c r="K267" i="46" s="1"/>
  <c r="L267" i="46" s="1"/>
  <c r="M267" i="46" s="1"/>
  <c r="N267" i="46" s="1"/>
  <c r="O267" i="46" s="1"/>
  <c r="P267" i="46" s="1"/>
  <c r="Q267" i="46" s="1"/>
  <c r="R267" i="46" s="1"/>
  <c r="S267" i="46" s="1"/>
  <c r="T267" i="46" s="1"/>
  <c r="U267" i="46" s="1"/>
  <c r="V267" i="46" s="1"/>
  <c r="W267" i="46" s="1"/>
  <c r="X267" i="46" s="1"/>
  <c r="Y267" i="46" s="1"/>
  <c r="C268" i="46" s="1"/>
  <c r="D268" i="46" s="1"/>
  <c r="E268" i="46" s="1"/>
  <c r="F268" i="46" s="1"/>
  <c r="G268" i="46" s="1"/>
  <c r="H268" i="46" s="1"/>
  <c r="I268" i="46" s="1"/>
  <c r="J268" i="46" s="1"/>
  <c r="K268" i="46" s="1"/>
  <c r="L268" i="46" s="1"/>
  <c r="M268" i="46" s="1"/>
  <c r="N268" i="46" s="1"/>
  <c r="O268" i="46" s="1"/>
  <c r="P268" i="46" s="1"/>
  <c r="Q268" i="46" s="1"/>
  <c r="R268" i="46" s="1"/>
  <c r="S268" i="46" s="1"/>
  <c r="T268" i="46" s="1"/>
  <c r="U268" i="46" s="1"/>
  <c r="V268" i="46" s="1"/>
  <c r="W268" i="46" s="1"/>
  <c r="X268" i="46" s="1"/>
  <c r="Y268" i="46" s="1"/>
  <c r="C269" i="46" s="1"/>
  <c r="D269" i="46" s="1"/>
  <c r="E269" i="46" s="1"/>
  <c r="F269" i="46" s="1"/>
  <c r="G269" i="46" s="1"/>
  <c r="H269" i="46" s="1"/>
  <c r="I269" i="46" s="1"/>
  <c r="J269" i="46" s="1"/>
  <c r="K269" i="46" s="1"/>
  <c r="L269" i="46" s="1"/>
  <c r="M269" i="46" s="1"/>
  <c r="N269" i="46" s="1"/>
  <c r="O269" i="46" s="1"/>
  <c r="P269" i="46" s="1"/>
  <c r="Q269" i="46" s="1"/>
  <c r="R269" i="46" s="1"/>
  <c r="S269" i="46" s="1"/>
  <c r="T269" i="46" s="1"/>
  <c r="U269" i="46" s="1"/>
  <c r="V269" i="46" s="1"/>
  <c r="W269" i="46" s="1"/>
  <c r="X269" i="46" s="1"/>
  <c r="Y269" i="46" s="1"/>
  <c r="C270" i="46" s="1"/>
  <c r="D270" i="46" s="1"/>
  <c r="E270" i="46" s="1"/>
  <c r="F270" i="46" s="1"/>
  <c r="G270" i="46" s="1"/>
  <c r="H270" i="46" s="1"/>
  <c r="I270" i="46" s="1"/>
  <c r="J270" i="46" s="1"/>
  <c r="K270" i="46" s="1"/>
  <c r="L270" i="46" s="1"/>
  <c r="M270" i="46" s="1"/>
  <c r="N270" i="46" s="1"/>
  <c r="O270" i="46" s="1"/>
  <c r="P270" i="46" s="1"/>
  <c r="Q270" i="46" s="1"/>
  <c r="R270" i="46" s="1"/>
  <c r="S270" i="46" s="1"/>
  <c r="T270" i="46" s="1"/>
  <c r="U270" i="46" s="1"/>
  <c r="V270" i="46" s="1"/>
  <c r="W270" i="46" s="1"/>
  <c r="X270" i="46" s="1"/>
  <c r="Y270" i="46" s="1"/>
  <c r="C271" i="46" s="1"/>
  <c r="D271" i="46" s="1"/>
  <c r="E271" i="46" s="1"/>
  <c r="F271" i="46" s="1"/>
  <c r="G271" i="46" s="1"/>
  <c r="H271" i="46" s="1"/>
  <c r="I271" i="46" s="1"/>
  <c r="J271" i="46" s="1"/>
  <c r="K271" i="46" s="1"/>
  <c r="L271" i="46" s="1"/>
  <c r="M271" i="46" s="1"/>
  <c r="N271" i="46" s="1"/>
  <c r="O271" i="46" s="1"/>
  <c r="P271" i="46" s="1"/>
  <c r="Q271" i="46" s="1"/>
  <c r="R271" i="46" s="1"/>
  <c r="S271" i="46" s="1"/>
  <c r="T271" i="46" s="1"/>
  <c r="U271" i="46" s="1"/>
  <c r="V271" i="46" s="1"/>
  <c r="W271" i="46" s="1"/>
  <c r="X271" i="46" s="1"/>
  <c r="Y271" i="46" s="1"/>
  <c r="C272" i="46" s="1"/>
  <c r="D272" i="46" s="1"/>
  <c r="E272" i="46" s="1"/>
  <c r="F272" i="46" s="1"/>
  <c r="G272" i="46" s="1"/>
  <c r="E258" i="47"/>
  <c r="F258" i="47" s="1"/>
  <c r="G258" i="47" s="1"/>
  <c r="H258" i="47" s="1"/>
  <c r="I258" i="47" s="1"/>
  <c r="J258" i="47" s="1"/>
  <c r="K258" i="47" s="1"/>
  <c r="L258" i="47" s="1"/>
  <c r="M258" i="47" s="1"/>
  <c r="N258" i="47" s="1"/>
  <c r="O258" i="47" s="1"/>
  <c r="P258" i="47" s="1"/>
  <c r="Q258" i="47" s="1"/>
  <c r="R258" i="47" s="1"/>
  <c r="S258" i="47" s="1"/>
  <c r="T258" i="47" s="1"/>
  <c r="U258" i="47" s="1"/>
  <c r="V258" i="47" s="1"/>
  <c r="W258" i="47" s="1"/>
  <c r="X258" i="47" s="1"/>
  <c r="Y258" i="47" s="1"/>
  <c r="C259" i="47" s="1"/>
  <c r="D259" i="47" s="1"/>
  <c r="E259" i="47" s="1"/>
  <c r="F259" i="47" s="1"/>
  <c r="G259" i="47" s="1"/>
  <c r="H259" i="47" s="1"/>
  <c r="I259" i="47" s="1"/>
  <c r="J259" i="47" s="1"/>
  <c r="K259" i="47" s="1"/>
  <c r="L259" i="47" s="1"/>
  <c r="M259" i="47" s="1"/>
  <c r="N259" i="47" s="1"/>
  <c r="O259" i="47" s="1"/>
  <c r="P259" i="47" s="1"/>
  <c r="Q259" i="47" s="1"/>
  <c r="R259" i="47" s="1"/>
  <c r="S259" i="47" s="1"/>
  <c r="T259" i="47" s="1"/>
  <c r="U259" i="47" s="1"/>
  <c r="V259" i="47" s="1"/>
  <c r="W259" i="47" s="1"/>
  <c r="X259" i="47" s="1"/>
  <c r="Y259" i="47" s="1"/>
  <c r="C260" i="47" s="1"/>
  <c r="D260" i="47" s="1"/>
  <c r="E260" i="47" s="1"/>
  <c r="F260" i="47" s="1"/>
  <c r="G260" i="47" s="1"/>
  <c r="H260" i="47" s="1"/>
  <c r="I260" i="47" s="1"/>
  <c r="J260" i="47" s="1"/>
  <c r="K260" i="47" s="1"/>
  <c r="L260" i="47" s="1"/>
  <c r="M260" i="47" s="1"/>
  <c r="N260" i="47" s="1"/>
  <c r="O260" i="47" s="1"/>
  <c r="P260" i="47" s="1"/>
  <c r="Q260" i="47" s="1"/>
  <c r="R260" i="47" s="1"/>
  <c r="S260" i="47" s="1"/>
  <c r="T260" i="47" s="1"/>
  <c r="U260" i="47" s="1"/>
  <c r="V260" i="47" s="1"/>
  <c r="W260" i="47" s="1"/>
  <c r="X260" i="47" s="1"/>
  <c r="Y260" i="47" s="1"/>
  <c r="C261" i="47" s="1"/>
  <c r="D261" i="47" s="1"/>
  <c r="E261" i="47" s="1"/>
  <c r="F261" i="47" s="1"/>
  <c r="G261" i="47" s="1"/>
  <c r="H261" i="47" s="1"/>
  <c r="I261" i="47" s="1"/>
  <c r="J261" i="47" s="1"/>
  <c r="K261" i="47" s="1"/>
  <c r="L261" i="47" s="1"/>
  <c r="M261" i="47" s="1"/>
  <c r="N261" i="47" s="1"/>
  <c r="O261" i="47" s="1"/>
  <c r="P261" i="47" s="1"/>
  <c r="Q261" i="47" s="1"/>
  <c r="R261" i="47" s="1"/>
  <c r="S261" i="47" s="1"/>
  <c r="T261" i="47" s="1"/>
  <c r="U261" i="47" s="1"/>
  <c r="V261" i="47" s="1"/>
  <c r="W261" i="47" s="1"/>
  <c r="X261" i="47" s="1"/>
  <c r="Y261" i="47" s="1"/>
  <c r="C262" i="47" s="1"/>
  <c r="D262" i="47" s="1"/>
  <c r="E262" i="47" s="1"/>
  <c r="F262" i="47" s="1"/>
  <c r="G262" i="47" s="1"/>
  <c r="H262" i="47" s="1"/>
  <c r="I262" i="47" s="1"/>
  <c r="J262" i="47" s="1"/>
  <c r="K262" i="47" s="1"/>
  <c r="L262" i="47" s="1"/>
  <c r="M262" i="47" s="1"/>
  <c r="N262" i="47" s="1"/>
  <c r="O262" i="47" s="1"/>
  <c r="P262" i="47" s="1"/>
  <c r="Q262" i="47" s="1"/>
  <c r="R262" i="47" s="1"/>
  <c r="S262" i="47" s="1"/>
  <c r="T262" i="47" s="1"/>
  <c r="U262" i="47" s="1"/>
  <c r="V262" i="47" s="1"/>
  <c r="W262" i="47" s="1"/>
  <c r="X262" i="47" s="1"/>
  <c r="Y262" i="47" s="1"/>
  <c r="C263" i="47" s="1"/>
  <c r="D263" i="47" s="1"/>
  <c r="E263" i="47" s="1"/>
  <c r="F263" i="47" s="1"/>
  <c r="G263" i="47" s="1"/>
  <c r="H263" i="47" s="1"/>
  <c r="I263" i="47" s="1"/>
  <c r="J263" i="47" s="1"/>
  <c r="K263" i="47" s="1"/>
  <c r="L263" i="47" s="1"/>
  <c r="M263" i="47" s="1"/>
  <c r="N263" i="47" s="1"/>
  <c r="O263" i="47" s="1"/>
  <c r="P263" i="47" s="1"/>
  <c r="Q263" i="47" s="1"/>
  <c r="R263" i="47" s="1"/>
  <c r="S263" i="47" s="1"/>
  <c r="T263" i="47" s="1"/>
  <c r="U263" i="47" s="1"/>
  <c r="V263" i="47" s="1"/>
  <c r="W263" i="47" s="1"/>
  <c r="X263" i="47" s="1"/>
  <c r="Y263" i="47" s="1"/>
  <c r="C264" i="47" s="1"/>
  <c r="D264" i="47" s="1"/>
  <c r="E264" i="47" s="1"/>
  <c r="F264" i="47" s="1"/>
  <c r="G264" i="47" s="1"/>
  <c r="H264" i="47" s="1"/>
  <c r="I264" i="47" s="1"/>
  <c r="J264" i="47" s="1"/>
  <c r="K264" i="47" s="1"/>
  <c r="L264" i="47" s="1"/>
  <c r="M264" i="47" s="1"/>
  <c r="N264" i="47" s="1"/>
  <c r="O264" i="47" s="1"/>
  <c r="P264" i="47" s="1"/>
  <c r="Q264" i="47" s="1"/>
  <c r="R264" i="47" s="1"/>
  <c r="S264" i="47" s="1"/>
  <c r="T264" i="47" s="1"/>
  <c r="U264" i="47" s="1"/>
  <c r="V264" i="47" s="1"/>
  <c r="W264" i="47" s="1"/>
  <c r="X264" i="47" s="1"/>
  <c r="Y264" i="47" s="1"/>
  <c r="C265" i="47" s="1"/>
  <c r="D265" i="47" s="1"/>
  <c r="E265" i="47" s="1"/>
  <c r="F265" i="47" s="1"/>
  <c r="G265" i="47" s="1"/>
  <c r="H265" i="47" s="1"/>
  <c r="I265" i="47" s="1"/>
  <c r="J265" i="47" s="1"/>
  <c r="K265" i="47" s="1"/>
  <c r="L265" i="47" s="1"/>
  <c r="M265" i="47" s="1"/>
  <c r="N265" i="47" s="1"/>
  <c r="O265" i="47" s="1"/>
  <c r="P265" i="47" s="1"/>
  <c r="Q265" i="47" s="1"/>
  <c r="R265" i="47" s="1"/>
  <c r="S265" i="47" s="1"/>
  <c r="T265" i="47" s="1"/>
  <c r="U265" i="47" s="1"/>
  <c r="V265" i="47" s="1"/>
  <c r="W265" i="47" s="1"/>
  <c r="X265" i="47" s="1"/>
  <c r="Y265" i="47" s="1"/>
  <c r="C266" i="47" s="1"/>
  <c r="D266" i="47" s="1"/>
  <c r="E266" i="47" s="1"/>
  <c r="F266" i="47" s="1"/>
  <c r="G266" i="47" s="1"/>
  <c r="H266" i="47" s="1"/>
  <c r="I266" i="47" s="1"/>
  <c r="J266" i="47" s="1"/>
  <c r="K266" i="47" s="1"/>
  <c r="L266" i="47" s="1"/>
  <c r="M266" i="47" s="1"/>
  <c r="N266" i="47" s="1"/>
  <c r="O266" i="47" s="1"/>
  <c r="P266" i="47" s="1"/>
  <c r="Q266" i="47" s="1"/>
  <c r="R266" i="47" s="1"/>
  <c r="S266" i="47" s="1"/>
  <c r="T266" i="47" s="1"/>
  <c r="U266" i="47" s="1"/>
  <c r="V266" i="47" s="1"/>
  <c r="W266" i="47" s="1"/>
  <c r="X266" i="47" s="1"/>
  <c r="Y266" i="47" s="1"/>
  <c r="C267" i="47" s="1"/>
  <c r="D267" i="47" s="1"/>
  <c r="E267" i="47" s="1"/>
  <c r="F267" i="47" s="1"/>
  <c r="G267" i="47" s="1"/>
  <c r="H267" i="47" s="1"/>
  <c r="I267" i="47" s="1"/>
  <c r="J267" i="47" s="1"/>
  <c r="K267" i="47" s="1"/>
  <c r="L267" i="47" s="1"/>
  <c r="M267" i="47" s="1"/>
  <c r="N267" i="47" s="1"/>
  <c r="O267" i="47" s="1"/>
  <c r="P267" i="47" s="1"/>
  <c r="Q267" i="47" s="1"/>
  <c r="R267" i="47" s="1"/>
  <c r="S267" i="47" s="1"/>
  <c r="T267" i="47" s="1"/>
  <c r="U267" i="47" s="1"/>
  <c r="V267" i="47" s="1"/>
  <c r="W267" i="47" s="1"/>
  <c r="X267" i="47" s="1"/>
  <c r="Y267" i="47" s="1"/>
  <c r="C268" i="47" s="1"/>
  <c r="D268" i="47" s="1"/>
  <c r="E268" i="47" s="1"/>
  <c r="F268" i="47" s="1"/>
  <c r="G268" i="47" s="1"/>
  <c r="H268" i="47" s="1"/>
  <c r="I268" i="47" s="1"/>
  <c r="J268" i="47" s="1"/>
  <c r="K268" i="47" s="1"/>
  <c r="L268" i="47" s="1"/>
  <c r="M268" i="47" s="1"/>
  <c r="N268" i="47" s="1"/>
  <c r="O268" i="47" s="1"/>
  <c r="P268" i="47" s="1"/>
  <c r="Q268" i="47" s="1"/>
  <c r="R268" i="47" s="1"/>
  <c r="S268" i="47" s="1"/>
  <c r="T268" i="47" s="1"/>
  <c r="U268" i="47" s="1"/>
  <c r="V268" i="47" s="1"/>
  <c r="W268" i="47" s="1"/>
  <c r="X268" i="47" s="1"/>
  <c r="Y268" i="47" s="1"/>
  <c r="C269" i="47" s="1"/>
  <c r="D269" i="47" s="1"/>
  <c r="E269" i="47" s="1"/>
  <c r="F269" i="47" s="1"/>
  <c r="G269" i="47" s="1"/>
  <c r="H269" i="47" s="1"/>
  <c r="I269" i="47" s="1"/>
  <c r="J269" i="47" s="1"/>
  <c r="K269" i="47" s="1"/>
  <c r="L269" i="47" s="1"/>
  <c r="M269" i="47" s="1"/>
  <c r="N269" i="47" s="1"/>
  <c r="O269" i="47" s="1"/>
  <c r="P269" i="47" s="1"/>
  <c r="Q269" i="47" s="1"/>
  <c r="R269" i="47" s="1"/>
  <c r="S269" i="47" s="1"/>
  <c r="T269" i="47" s="1"/>
  <c r="U269" i="47" s="1"/>
  <c r="V269" i="47" s="1"/>
  <c r="W269" i="47" s="1"/>
  <c r="X269" i="47" s="1"/>
  <c r="Y269" i="47" s="1"/>
  <c r="C270" i="47" s="1"/>
  <c r="D270" i="47" s="1"/>
  <c r="E270" i="47" s="1"/>
  <c r="F270" i="47" s="1"/>
  <c r="G270" i="47" s="1"/>
  <c r="H270" i="47" s="1"/>
  <c r="I270" i="47" s="1"/>
  <c r="J270" i="47" s="1"/>
  <c r="K270" i="47" s="1"/>
  <c r="L270" i="47" s="1"/>
  <c r="M270" i="47" s="1"/>
  <c r="N270" i="47" s="1"/>
  <c r="O270" i="47" s="1"/>
  <c r="P270" i="47" s="1"/>
  <c r="Q270" i="47" s="1"/>
  <c r="R270" i="47" s="1"/>
  <c r="S270" i="47" s="1"/>
  <c r="T270" i="47" s="1"/>
  <c r="U270" i="47" s="1"/>
  <c r="V270" i="47" s="1"/>
  <c r="W270" i="47" s="1"/>
  <c r="X270" i="47" s="1"/>
  <c r="Y270" i="47" s="1"/>
  <c r="C271" i="47" s="1"/>
  <c r="D271" i="47" s="1"/>
  <c r="E271" i="47" s="1"/>
  <c r="F271" i="47" s="1"/>
  <c r="G271" i="47" s="1"/>
  <c r="H271" i="47" s="1"/>
  <c r="I271" i="47" s="1"/>
  <c r="J271" i="47" s="1"/>
  <c r="K271" i="47" s="1"/>
  <c r="L271" i="47" s="1"/>
  <c r="M271" i="47" s="1"/>
  <c r="N271" i="47" s="1"/>
  <c r="O271" i="47" s="1"/>
  <c r="P271" i="47" s="1"/>
  <c r="Q271" i="47" s="1"/>
  <c r="R271" i="47" s="1"/>
  <c r="S271" i="47" s="1"/>
  <c r="T271" i="47" s="1"/>
  <c r="U271" i="47" s="1"/>
  <c r="V271" i="47" s="1"/>
  <c r="W271" i="47" s="1"/>
  <c r="X271" i="47" s="1"/>
  <c r="Y271" i="47" s="1"/>
  <c r="C272" i="47" s="1"/>
  <c r="D272" i="47" s="1"/>
  <c r="E272" i="47" s="1"/>
  <c r="F272" i="47" s="1"/>
  <c r="G272" i="47" s="1"/>
  <c r="H272" i="47" s="1"/>
  <c r="I272" i="47" s="1"/>
  <c r="J272" i="47" s="1"/>
  <c r="K272" i="47" s="1"/>
  <c r="L272" i="47" s="1"/>
  <c r="M272" i="47" s="1"/>
  <c r="N272" i="47" s="1"/>
  <c r="O272" i="47" s="1"/>
  <c r="P272" i="47" s="1"/>
  <c r="Q272" i="47" s="1"/>
  <c r="R272" i="47" s="1"/>
  <c r="S272" i="47" s="1"/>
  <c r="T272" i="47" s="1"/>
  <c r="U272" i="47" s="1"/>
  <c r="V272" i="47" s="1"/>
  <c r="W272" i="47" s="1"/>
  <c r="X272" i="47" s="1"/>
  <c r="Y272" i="47" s="1"/>
  <c r="C273" i="47" s="1"/>
  <c r="D273" i="47" s="1"/>
  <c r="E273" i="47" s="1"/>
  <c r="F273" i="47" s="1"/>
  <c r="G273" i="47" s="1"/>
  <c r="E258" i="48"/>
  <c r="F258" i="48" s="1"/>
  <c r="G258" i="48" s="1"/>
  <c r="H258" i="48" s="1"/>
  <c r="I258" i="48" s="1"/>
  <c r="J258" i="48" s="1"/>
  <c r="K258" i="48" s="1"/>
  <c r="L258" i="48" s="1"/>
  <c r="M258" i="48" s="1"/>
  <c r="N258" i="48" s="1"/>
  <c r="O258" i="48" s="1"/>
  <c r="P258" i="48" s="1"/>
  <c r="Q258" i="48" s="1"/>
  <c r="R258" i="48" s="1"/>
  <c r="S258" i="48" s="1"/>
  <c r="T258" i="48" s="1"/>
  <c r="U258" i="48" s="1"/>
  <c r="V258" i="48" s="1"/>
  <c r="W258" i="48" s="1"/>
  <c r="X258" i="48" s="1"/>
  <c r="Y258" i="48" s="1"/>
  <c r="C259" i="48" s="1"/>
  <c r="D259" i="48" s="1"/>
  <c r="E259" i="48" s="1"/>
  <c r="F259" i="48" s="1"/>
  <c r="G259" i="48" s="1"/>
  <c r="H259" i="48" s="1"/>
  <c r="I259" i="48" s="1"/>
  <c r="J259" i="48" s="1"/>
  <c r="K259" i="48" s="1"/>
  <c r="L259" i="48" s="1"/>
  <c r="M259" i="48" s="1"/>
  <c r="N259" i="48" s="1"/>
  <c r="O259" i="48" s="1"/>
  <c r="P259" i="48" s="1"/>
  <c r="Q259" i="48" s="1"/>
  <c r="R259" i="48" s="1"/>
  <c r="S259" i="48" s="1"/>
  <c r="T259" i="48" s="1"/>
  <c r="U259" i="48" s="1"/>
  <c r="V259" i="48" s="1"/>
  <c r="W259" i="48" s="1"/>
  <c r="X259" i="48" s="1"/>
  <c r="Y259" i="48" s="1"/>
  <c r="C260" i="48" s="1"/>
  <c r="D260" i="48" s="1"/>
  <c r="E260" i="48" s="1"/>
  <c r="F260" i="48" s="1"/>
  <c r="G260" i="48" s="1"/>
  <c r="H260" i="48" s="1"/>
  <c r="I260" i="48" s="1"/>
  <c r="J260" i="48" s="1"/>
  <c r="K260" i="48" s="1"/>
  <c r="L260" i="48" s="1"/>
  <c r="M260" i="48" s="1"/>
  <c r="N260" i="48" s="1"/>
  <c r="O260" i="48" s="1"/>
  <c r="P260" i="48" s="1"/>
  <c r="Q260" i="48" s="1"/>
  <c r="R260" i="48" s="1"/>
  <c r="S260" i="48" s="1"/>
  <c r="T260" i="48" s="1"/>
  <c r="U260" i="48" s="1"/>
  <c r="V260" i="48" s="1"/>
  <c r="W260" i="48" s="1"/>
  <c r="X260" i="48" s="1"/>
  <c r="Y260" i="48" s="1"/>
  <c r="C261" i="48" s="1"/>
  <c r="D261" i="48" s="1"/>
  <c r="E261" i="48" s="1"/>
  <c r="F261" i="48" s="1"/>
  <c r="G261" i="48" s="1"/>
  <c r="H261" i="48" s="1"/>
  <c r="I261" i="48" s="1"/>
  <c r="J261" i="48" s="1"/>
  <c r="K261" i="48" s="1"/>
  <c r="L261" i="48" s="1"/>
  <c r="M261" i="48" s="1"/>
  <c r="N261" i="48" s="1"/>
  <c r="O261" i="48" s="1"/>
  <c r="P261" i="48" s="1"/>
  <c r="Q261" i="48" s="1"/>
  <c r="R261" i="48" s="1"/>
  <c r="S261" i="48" s="1"/>
  <c r="T261" i="48" s="1"/>
  <c r="U261" i="48" s="1"/>
  <c r="V261" i="48" s="1"/>
  <c r="W261" i="48" s="1"/>
  <c r="X261" i="48" s="1"/>
  <c r="Y261" i="48" s="1"/>
  <c r="C262" i="48" s="1"/>
  <c r="D262" i="48" s="1"/>
  <c r="E262" i="48" s="1"/>
  <c r="F262" i="48" s="1"/>
  <c r="G262" i="48" s="1"/>
  <c r="H262" i="48" s="1"/>
  <c r="I262" i="48" s="1"/>
  <c r="J262" i="48" s="1"/>
  <c r="K262" i="48" s="1"/>
  <c r="L262" i="48" s="1"/>
  <c r="M262" i="48" s="1"/>
  <c r="N262" i="48" s="1"/>
  <c r="O262" i="48" s="1"/>
  <c r="P262" i="48" s="1"/>
  <c r="Q262" i="48" s="1"/>
  <c r="R262" i="48" s="1"/>
  <c r="S262" i="48" s="1"/>
  <c r="T262" i="48" s="1"/>
  <c r="U262" i="48" s="1"/>
  <c r="V262" i="48" s="1"/>
  <c r="W262" i="48" s="1"/>
  <c r="X262" i="48" s="1"/>
  <c r="Y262" i="48" s="1"/>
  <c r="C263" i="48" s="1"/>
  <c r="D263" i="48" s="1"/>
  <c r="E263" i="48" s="1"/>
  <c r="F263" i="48" s="1"/>
  <c r="G263" i="48" s="1"/>
  <c r="H263" i="48" s="1"/>
  <c r="I263" i="48" s="1"/>
  <c r="J263" i="48" s="1"/>
  <c r="K263" i="48" s="1"/>
  <c r="L263" i="48" s="1"/>
  <c r="M263" i="48" s="1"/>
  <c r="N263" i="48" s="1"/>
  <c r="O263" i="48" s="1"/>
  <c r="P263" i="48" s="1"/>
  <c r="Q263" i="48" s="1"/>
  <c r="R263" i="48" s="1"/>
  <c r="S263" i="48" s="1"/>
  <c r="T263" i="48" s="1"/>
  <c r="U263" i="48" s="1"/>
  <c r="V263" i="48" s="1"/>
  <c r="W263" i="48" s="1"/>
  <c r="X263" i="48" s="1"/>
  <c r="Y263" i="48" s="1"/>
  <c r="C264" i="48" s="1"/>
  <c r="D264" i="48" s="1"/>
  <c r="E264" i="48" s="1"/>
  <c r="F264" i="48" s="1"/>
  <c r="G264" i="48" s="1"/>
  <c r="H264" i="48" s="1"/>
  <c r="I264" i="48" s="1"/>
  <c r="J264" i="48" s="1"/>
  <c r="K264" i="48" s="1"/>
  <c r="L264" i="48" s="1"/>
  <c r="M264" i="48" s="1"/>
  <c r="N264" i="48" s="1"/>
  <c r="O264" i="48" s="1"/>
  <c r="P264" i="48" s="1"/>
  <c r="Q264" i="48" s="1"/>
  <c r="R264" i="48" s="1"/>
  <c r="S264" i="48" s="1"/>
  <c r="T264" i="48" s="1"/>
  <c r="U264" i="48" s="1"/>
  <c r="V264" i="48" s="1"/>
  <c r="W264" i="48" s="1"/>
  <c r="X264" i="48" s="1"/>
  <c r="Y264" i="48" s="1"/>
  <c r="C265" i="48" s="1"/>
  <c r="D265" i="48" s="1"/>
  <c r="E265" i="48" s="1"/>
  <c r="F265" i="48" s="1"/>
  <c r="G265" i="48" s="1"/>
  <c r="H265" i="48" s="1"/>
  <c r="I265" i="48" s="1"/>
  <c r="J265" i="48" s="1"/>
  <c r="K265" i="48" s="1"/>
  <c r="L265" i="48" s="1"/>
  <c r="M265" i="48" s="1"/>
  <c r="N265" i="48" s="1"/>
  <c r="O265" i="48" s="1"/>
  <c r="P265" i="48" s="1"/>
  <c r="Q265" i="48" s="1"/>
  <c r="R265" i="48" s="1"/>
  <c r="S265" i="48" s="1"/>
  <c r="T265" i="48" s="1"/>
  <c r="U265" i="48" s="1"/>
  <c r="V265" i="48" s="1"/>
  <c r="W265" i="48" s="1"/>
  <c r="X265" i="48" s="1"/>
  <c r="Y265" i="48" s="1"/>
  <c r="C266" i="48" s="1"/>
  <c r="D266" i="48" s="1"/>
  <c r="E266" i="48" s="1"/>
  <c r="F266" i="48" s="1"/>
  <c r="G266" i="48" s="1"/>
  <c r="H266" i="48" s="1"/>
  <c r="I266" i="48" s="1"/>
  <c r="J266" i="48" s="1"/>
  <c r="K266" i="48" s="1"/>
  <c r="L266" i="48" s="1"/>
  <c r="M266" i="48" s="1"/>
  <c r="N266" i="48" s="1"/>
  <c r="O266" i="48" s="1"/>
  <c r="P266" i="48" s="1"/>
  <c r="Q266" i="48" s="1"/>
  <c r="R266" i="48" s="1"/>
  <c r="S266" i="48" s="1"/>
  <c r="T266" i="48" s="1"/>
  <c r="U266" i="48" s="1"/>
  <c r="V266" i="48" s="1"/>
  <c r="W266" i="48" s="1"/>
  <c r="X266" i="48" s="1"/>
  <c r="Y266" i="48" s="1"/>
  <c r="C267" i="48" s="1"/>
  <c r="D267" i="48" s="1"/>
  <c r="E267" i="48" s="1"/>
  <c r="F267" i="48" s="1"/>
  <c r="G267" i="48" s="1"/>
  <c r="H267" i="48" s="1"/>
  <c r="I267" i="48" s="1"/>
  <c r="J267" i="48" s="1"/>
  <c r="K267" i="48" s="1"/>
  <c r="L267" i="48" s="1"/>
  <c r="M267" i="48" s="1"/>
  <c r="N267" i="48" s="1"/>
  <c r="O267" i="48" s="1"/>
  <c r="P267" i="48" s="1"/>
  <c r="Q267" i="48" s="1"/>
  <c r="R267" i="48" s="1"/>
  <c r="S267" i="48" s="1"/>
  <c r="T267" i="48" s="1"/>
  <c r="U267" i="48" s="1"/>
  <c r="V267" i="48" s="1"/>
  <c r="W267" i="48" s="1"/>
  <c r="X267" i="48" s="1"/>
  <c r="Y267" i="48" s="1"/>
  <c r="C268" i="48" s="1"/>
  <c r="D268" i="48" s="1"/>
  <c r="E268" i="48" s="1"/>
  <c r="F268" i="48" s="1"/>
  <c r="G268" i="48" s="1"/>
  <c r="H268" i="48" s="1"/>
  <c r="I268" i="48" s="1"/>
  <c r="J268" i="48" s="1"/>
  <c r="K268" i="48" s="1"/>
  <c r="L268" i="48" s="1"/>
  <c r="M268" i="48" s="1"/>
  <c r="N268" i="48" s="1"/>
  <c r="O268" i="48" s="1"/>
  <c r="P268" i="48" s="1"/>
  <c r="Q268" i="48" s="1"/>
  <c r="R268" i="48" s="1"/>
  <c r="S268" i="48" s="1"/>
  <c r="T268" i="48" s="1"/>
  <c r="U268" i="48" s="1"/>
  <c r="V268" i="48" s="1"/>
  <c r="W268" i="48" s="1"/>
  <c r="X268" i="48" s="1"/>
  <c r="Y268" i="48" s="1"/>
  <c r="C269" i="48" s="1"/>
  <c r="D269" i="48" s="1"/>
  <c r="E269" i="48" s="1"/>
  <c r="F269" i="48" s="1"/>
  <c r="G269" i="48" s="1"/>
  <c r="H269" i="48" s="1"/>
  <c r="I269" i="48" s="1"/>
  <c r="J269" i="48" s="1"/>
  <c r="K269" i="48" s="1"/>
  <c r="L269" i="48" s="1"/>
  <c r="M269" i="48" s="1"/>
  <c r="N269" i="48" s="1"/>
  <c r="O269" i="48" s="1"/>
  <c r="P269" i="48" s="1"/>
  <c r="Q269" i="48" s="1"/>
  <c r="R269" i="48" s="1"/>
  <c r="S269" i="48" s="1"/>
  <c r="T269" i="48" s="1"/>
  <c r="U269" i="48" s="1"/>
  <c r="V269" i="48" s="1"/>
  <c r="W269" i="48" s="1"/>
  <c r="X269" i="48" s="1"/>
  <c r="Y269" i="48" s="1"/>
  <c r="C270" i="48" s="1"/>
  <c r="D270" i="48" s="1"/>
  <c r="E270" i="48" s="1"/>
  <c r="F270" i="48" s="1"/>
  <c r="G270" i="48" s="1"/>
  <c r="H270" i="48" s="1"/>
  <c r="I270" i="48" s="1"/>
  <c r="J270" i="48" s="1"/>
  <c r="K270" i="48" s="1"/>
  <c r="L270" i="48" s="1"/>
  <c r="M270" i="48" s="1"/>
  <c r="N270" i="48" s="1"/>
  <c r="O270" i="48" s="1"/>
  <c r="P270" i="48" s="1"/>
  <c r="Q270" i="48" s="1"/>
  <c r="R270" i="48" s="1"/>
  <c r="S270" i="48" s="1"/>
  <c r="T270" i="48" s="1"/>
  <c r="U270" i="48" s="1"/>
  <c r="V270" i="48" s="1"/>
  <c r="W270" i="48" s="1"/>
  <c r="X270" i="48" s="1"/>
  <c r="Y270" i="48" s="1"/>
  <c r="C271" i="48" s="1"/>
  <c r="D271" i="48" s="1"/>
  <c r="E271" i="48" s="1"/>
  <c r="F271" i="48" s="1"/>
  <c r="G271" i="48" s="1"/>
  <c r="H271" i="48" s="1"/>
  <c r="I271" i="48" s="1"/>
  <c r="J271" i="48" s="1"/>
  <c r="K271" i="48" s="1"/>
  <c r="L271" i="48" s="1"/>
  <c r="M271" i="48" s="1"/>
  <c r="N271" i="48" s="1"/>
  <c r="O271" i="48" s="1"/>
  <c r="P271" i="48" s="1"/>
  <c r="Q271" i="48" s="1"/>
  <c r="R271" i="48" s="1"/>
  <c r="S271" i="48" s="1"/>
  <c r="T271" i="48" s="1"/>
  <c r="U271" i="48" s="1"/>
  <c r="V271" i="48" s="1"/>
  <c r="W271" i="48" s="1"/>
  <c r="X271" i="48" s="1"/>
  <c r="Y271" i="48" s="1"/>
  <c r="C272" i="48" s="1"/>
  <c r="D272" i="48" s="1"/>
  <c r="E272" i="48" s="1"/>
  <c r="F272" i="48" s="1"/>
  <c r="G272" i="48" s="1"/>
  <c r="H272" i="48" s="1"/>
  <c r="I272" i="48" s="1"/>
  <c r="J272" i="48" s="1"/>
  <c r="K272" i="48" s="1"/>
  <c r="L272" i="48" s="1"/>
  <c r="M272" i="48" s="1"/>
  <c r="N272" i="48" s="1"/>
  <c r="O272" i="48" s="1"/>
  <c r="P272" i="48" s="1"/>
  <c r="Q272" i="48" s="1"/>
  <c r="R272" i="48" s="1"/>
  <c r="S272" i="48" s="1"/>
  <c r="T272" i="48" s="1"/>
  <c r="U272" i="48" s="1"/>
  <c r="V272" i="48" s="1"/>
  <c r="W272" i="48" s="1"/>
  <c r="X272" i="48" s="1"/>
  <c r="Y272" i="48" s="1"/>
  <c r="C273" i="48" s="1"/>
  <c r="D273" i="48" s="1"/>
  <c r="E273" i="48" s="1"/>
  <c r="F273" i="48" s="1"/>
  <c r="G273" i="48" s="1"/>
  <c r="H273" i="48" s="1"/>
  <c r="I273" i="48" s="1"/>
  <c r="J273" i="48" s="1"/>
  <c r="K273" i="48" s="1"/>
  <c r="L273" i="48" s="1"/>
  <c r="M273" i="48" s="1"/>
  <c r="N273" i="48" s="1"/>
  <c r="O273" i="48" s="1"/>
  <c r="P273" i="48" s="1"/>
  <c r="Q273" i="48" s="1"/>
  <c r="R273" i="48" s="1"/>
  <c r="S273" i="48" s="1"/>
  <c r="T273" i="48" s="1"/>
  <c r="U273" i="48" s="1"/>
  <c r="V273" i="48" s="1"/>
  <c r="W273" i="48" s="1"/>
  <c r="X273" i="48" s="1"/>
  <c r="Y273" i="48" s="1"/>
  <c r="C274" i="48" s="1"/>
  <c r="D274" i="48" s="1"/>
  <c r="E274" i="48" s="1"/>
  <c r="F274" i="48" s="1"/>
  <c r="G274" i="48" s="1"/>
  <c r="E258" i="50"/>
  <c r="F258" i="50" s="1"/>
  <c r="G258" i="50" s="1"/>
  <c r="H258" i="50" s="1"/>
  <c r="I258" i="50" s="1"/>
  <c r="J258" i="50" s="1"/>
  <c r="K258" i="50" s="1"/>
  <c r="L258" i="50" s="1"/>
  <c r="M258" i="50" s="1"/>
  <c r="N258" i="50" s="1"/>
  <c r="O258" i="50" s="1"/>
  <c r="P258" i="50" s="1"/>
  <c r="Q258" i="50" s="1"/>
  <c r="R258" i="50" s="1"/>
  <c r="S258" i="50" s="1"/>
  <c r="T258" i="50" s="1"/>
  <c r="U258" i="50" s="1"/>
  <c r="V258" i="50" s="1"/>
  <c r="W258" i="50" s="1"/>
  <c r="X258" i="50" s="1"/>
  <c r="Y258" i="50" s="1"/>
  <c r="C259" i="50" s="1"/>
  <c r="D259" i="50" s="1"/>
  <c r="E259" i="50" s="1"/>
  <c r="F259" i="50" s="1"/>
  <c r="G259" i="50" s="1"/>
  <c r="H259" i="50" s="1"/>
  <c r="I259" i="50" s="1"/>
  <c r="J259" i="50" s="1"/>
  <c r="K259" i="50" s="1"/>
  <c r="L259" i="50" s="1"/>
  <c r="M259" i="50" s="1"/>
  <c r="N259" i="50" s="1"/>
  <c r="O259" i="50" s="1"/>
  <c r="P259" i="50" s="1"/>
  <c r="Q259" i="50" s="1"/>
  <c r="R259" i="50" s="1"/>
  <c r="S259" i="50" s="1"/>
  <c r="T259" i="50" s="1"/>
  <c r="U259" i="50" s="1"/>
  <c r="V259" i="50" s="1"/>
  <c r="W259" i="50" s="1"/>
  <c r="X259" i="50" s="1"/>
  <c r="Y259" i="50" s="1"/>
  <c r="C260" i="50" s="1"/>
  <c r="D260" i="50" s="1"/>
  <c r="E260" i="50" s="1"/>
  <c r="F260" i="50" s="1"/>
  <c r="G260" i="50" s="1"/>
  <c r="H260" i="50" s="1"/>
  <c r="I260" i="50" s="1"/>
  <c r="J260" i="50" s="1"/>
  <c r="K260" i="50" s="1"/>
  <c r="L260" i="50" s="1"/>
  <c r="M260" i="50" s="1"/>
  <c r="N260" i="50" s="1"/>
  <c r="O260" i="50" s="1"/>
  <c r="P260" i="50" s="1"/>
  <c r="Q260" i="50" s="1"/>
  <c r="R260" i="50" s="1"/>
  <c r="S260" i="50" s="1"/>
  <c r="T260" i="50" s="1"/>
  <c r="U260" i="50" s="1"/>
  <c r="V260" i="50" s="1"/>
  <c r="W260" i="50" s="1"/>
  <c r="X260" i="50" s="1"/>
  <c r="Y260" i="50" s="1"/>
  <c r="C261" i="50" s="1"/>
  <c r="D261" i="50" s="1"/>
  <c r="E261" i="50" s="1"/>
  <c r="F261" i="50" s="1"/>
  <c r="G261" i="50" s="1"/>
  <c r="H261" i="50" s="1"/>
  <c r="I261" i="50" s="1"/>
  <c r="J261" i="50" s="1"/>
  <c r="K261" i="50" s="1"/>
  <c r="L261" i="50" s="1"/>
  <c r="M261" i="50" s="1"/>
  <c r="N261" i="50" s="1"/>
  <c r="O261" i="50" s="1"/>
  <c r="P261" i="50" s="1"/>
  <c r="Q261" i="50" s="1"/>
  <c r="R261" i="50" s="1"/>
  <c r="S261" i="50" s="1"/>
  <c r="T261" i="50" s="1"/>
  <c r="U261" i="50" s="1"/>
  <c r="V261" i="50" s="1"/>
  <c r="W261" i="50" s="1"/>
  <c r="X261" i="50" s="1"/>
  <c r="Y261" i="50" s="1"/>
  <c r="C262" i="50" s="1"/>
  <c r="D262" i="50" s="1"/>
  <c r="E262" i="50" s="1"/>
  <c r="F262" i="50" s="1"/>
  <c r="G262" i="50" s="1"/>
  <c r="H262" i="50" s="1"/>
  <c r="I262" i="50" s="1"/>
  <c r="J262" i="50" s="1"/>
  <c r="K262" i="50" s="1"/>
  <c r="L262" i="50" s="1"/>
  <c r="M262" i="50" s="1"/>
  <c r="N262" i="50" s="1"/>
  <c r="O262" i="50" s="1"/>
  <c r="P262" i="50" s="1"/>
  <c r="Q262" i="50" s="1"/>
  <c r="R262" i="50" s="1"/>
  <c r="S262" i="50" s="1"/>
  <c r="T262" i="50" s="1"/>
  <c r="U262" i="50" s="1"/>
  <c r="V262" i="50" s="1"/>
  <c r="W262" i="50" s="1"/>
  <c r="X262" i="50" s="1"/>
  <c r="Y262" i="50" s="1"/>
  <c r="C263" i="50" s="1"/>
  <c r="D263" i="50" s="1"/>
  <c r="E263" i="50" s="1"/>
  <c r="F263" i="50" s="1"/>
  <c r="G263" i="50" s="1"/>
  <c r="H263" i="50" s="1"/>
  <c r="I263" i="50" s="1"/>
  <c r="J263" i="50" s="1"/>
  <c r="K263" i="50" s="1"/>
  <c r="L263" i="50" s="1"/>
  <c r="M263" i="50" s="1"/>
  <c r="N263" i="50" s="1"/>
  <c r="O263" i="50" s="1"/>
  <c r="P263" i="50" s="1"/>
  <c r="Q263" i="50" s="1"/>
  <c r="R263" i="50" s="1"/>
  <c r="S263" i="50" s="1"/>
  <c r="T263" i="50" s="1"/>
  <c r="U263" i="50" s="1"/>
  <c r="V263" i="50" s="1"/>
  <c r="W263" i="50" s="1"/>
  <c r="X263" i="50" s="1"/>
  <c r="Y263" i="50" s="1"/>
  <c r="C264" i="50" s="1"/>
  <c r="D264" i="50" s="1"/>
  <c r="E264" i="50" s="1"/>
  <c r="F264" i="50" s="1"/>
  <c r="G264" i="50" s="1"/>
  <c r="H264" i="50" s="1"/>
  <c r="I264" i="50" s="1"/>
  <c r="J264" i="50" s="1"/>
  <c r="K264" i="50" s="1"/>
  <c r="L264" i="50" s="1"/>
  <c r="M264" i="50" s="1"/>
  <c r="N264" i="50" s="1"/>
  <c r="O264" i="50" s="1"/>
  <c r="P264" i="50" s="1"/>
  <c r="Q264" i="50" s="1"/>
  <c r="R264" i="50" s="1"/>
  <c r="S264" i="50" s="1"/>
  <c r="T264" i="50" s="1"/>
  <c r="U264" i="50" s="1"/>
  <c r="V264" i="50" s="1"/>
  <c r="W264" i="50" s="1"/>
  <c r="X264" i="50" s="1"/>
  <c r="Y264" i="50" s="1"/>
  <c r="C265" i="50" s="1"/>
  <c r="D265" i="50" s="1"/>
  <c r="E265" i="50" s="1"/>
  <c r="F265" i="50" s="1"/>
  <c r="G265" i="50" s="1"/>
  <c r="H265" i="50" s="1"/>
  <c r="I265" i="50" s="1"/>
  <c r="J265" i="50" s="1"/>
  <c r="K265" i="50" s="1"/>
  <c r="L265" i="50" s="1"/>
  <c r="M265" i="50" s="1"/>
  <c r="N265" i="50" s="1"/>
  <c r="O265" i="50" s="1"/>
  <c r="P265" i="50" s="1"/>
  <c r="Q265" i="50" s="1"/>
  <c r="R265" i="50" s="1"/>
  <c r="S265" i="50" s="1"/>
  <c r="T265" i="50" s="1"/>
  <c r="U265" i="50" s="1"/>
  <c r="V265" i="50" s="1"/>
  <c r="W265" i="50" s="1"/>
  <c r="X265" i="50" s="1"/>
  <c r="Y265" i="50" s="1"/>
  <c r="C266" i="50" s="1"/>
  <c r="D266" i="50" s="1"/>
  <c r="E266" i="50" s="1"/>
  <c r="F266" i="50" s="1"/>
  <c r="G266" i="50" s="1"/>
  <c r="H266" i="50" s="1"/>
  <c r="I266" i="50" s="1"/>
  <c r="J266" i="50" s="1"/>
  <c r="K266" i="50" s="1"/>
  <c r="L266" i="50" s="1"/>
  <c r="M266" i="50" s="1"/>
  <c r="N266" i="50" s="1"/>
  <c r="O266" i="50" s="1"/>
  <c r="P266" i="50" s="1"/>
  <c r="Q266" i="50" s="1"/>
  <c r="R266" i="50" s="1"/>
  <c r="S266" i="50" s="1"/>
  <c r="T266" i="50" s="1"/>
  <c r="U266" i="50" s="1"/>
  <c r="V266" i="50" s="1"/>
  <c r="W266" i="50" s="1"/>
  <c r="X266" i="50" s="1"/>
  <c r="Y266" i="50" s="1"/>
  <c r="C267" i="50" s="1"/>
  <c r="D267" i="50" s="1"/>
  <c r="E267" i="50" s="1"/>
  <c r="F267" i="50" s="1"/>
  <c r="G267" i="50" s="1"/>
  <c r="H267" i="50" s="1"/>
  <c r="I267" i="50" s="1"/>
  <c r="J267" i="50" s="1"/>
  <c r="K267" i="50" s="1"/>
  <c r="L267" i="50" s="1"/>
  <c r="M267" i="50" s="1"/>
  <c r="N267" i="50" s="1"/>
  <c r="O267" i="50" s="1"/>
  <c r="P267" i="50" s="1"/>
  <c r="Q267" i="50" s="1"/>
  <c r="R267" i="50" s="1"/>
  <c r="S267" i="50" s="1"/>
  <c r="T267" i="50" s="1"/>
  <c r="U267" i="50" s="1"/>
  <c r="V267" i="50" s="1"/>
  <c r="W267" i="50" s="1"/>
  <c r="X267" i="50" s="1"/>
  <c r="Y267" i="50" s="1"/>
  <c r="C268" i="50" s="1"/>
  <c r="D268" i="50" s="1"/>
  <c r="E268" i="50" s="1"/>
  <c r="F268" i="50" s="1"/>
  <c r="G268" i="50" s="1"/>
  <c r="H268" i="50" s="1"/>
  <c r="I268" i="50" s="1"/>
  <c r="J268" i="50" s="1"/>
  <c r="K268" i="50" s="1"/>
  <c r="L268" i="50" s="1"/>
  <c r="M268" i="50" s="1"/>
  <c r="N268" i="50" s="1"/>
  <c r="O268" i="50" s="1"/>
  <c r="P268" i="50" s="1"/>
  <c r="Q268" i="50" s="1"/>
  <c r="R268" i="50" s="1"/>
  <c r="S268" i="50" s="1"/>
  <c r="T268" i="50" s="1"/>
  <c r="U268" i="50" s="1"/>
  <c r="V268" i="50" s="1"/>
  <c r="W268" i="50" s="1"/>
  <c r="X268" i="50" s="1"/>
  <c r="Y268" i="50" s="1"/>
  <c r="C269" i="50" s="1"/>
  <c r="D269" i="50" s="1"/>
  <c r="E269" i="50" s="1"/>
  <c r="F269" i="50" s="1"/>
  <c r="G269" i="50" s="1"/>
  <c r="H269" i="50" s="1"/>
  <c r="I269" i="50" s="1"/>
  <c r="J269" i="50" s="1"/>
  <c r="K269" i="50" s="1"/>
  <c r="L269" i="50" s="1"/>
  <c r="M269" i="50" s="1"/>
  <c r="N269" i="50" s="1"/>
  <c r="O269" i="50" s="1"/>
  <c r="P269" i="50" s="1"/>
  <c r="Q269" i="50" s="1"/>
  <c r="R269" i="50" s="1"/>
  <c r="S269" i="50" s="1"/>
  <c r="T269" i="50" s="1"/>
  <c r="U269" i="50" s="1"/>
  <c r="V269" i="50" s="1"/>
  <c r="W269" i="50" s="1"/>
  <c r="X269" i="50" s="1"/>
  <c r="Y269" i="50" s="1"/>
  <c r="C270" i="50" s="1"/>
  <c r="D270" i="50" s="1"/>
  <c r="E270" i="50" s="1"/>
  <c r="F270" i="50" s="1"/>
  <c r="G270" i="50" s="1"/>
  <c r="H270" i="50" s="1"/>
  <c r="I270" i="50" s="1"/>
  <c r="J270" i="50" s="1"/>
  <c r="K270" i="50" s="1"/>
  <c r="L270" i="50" s="1"/>
  <c r="M270" i="50" s="1"/>
  <c r="N270" i="50" s="1"/>
  <c r="O270" i="50" s="1"/>
  <c r="P270" i="50" s="1"/>
  <c r="Q270" i="50" s="1"/>
  <c r="R270" i="50" s="1"/>
  <c r="S270" i="50" s="1"/>
  <c r="T270" i="50" s="1"/>
  <c r="U270" i="50" s="1"/>
  <c r="V270" i="50" s="1"/>
  <c r="W270" i="50" s="1"/>
  <c r="X270" i="50" s="1"/>
  <c r="Y270" i="50" s="1"/>
  <c r="C271" i="50" s="1"/>
  <c r="D271" i="50" s="1"/>
  <c r="E271" i="50" s="1"/>
  <c r="F271" i="50" s="1"/>
  <c r="G271" i="50" s="1"/>
  <c r="H271" i="50" s="1"/>
  <c r="I271" i="50" s="1"/>
  <c r="J271" i="50" s="1"/>
  <c r="K271" i="50" s="1"/>
  <c r="L271" i="50" s="1"/>
  <c r="M271" i="50" s="1"/>
  <c r="N271" i="50" s="1"/>
  <c r="O271" i="50" s="1"/>
  <c r="P271" i="50" s="1"/>
  <c r="Q271" i="50" s="1"/>
  <c r="R271" i="50" s="1"/>
  <c r="S271" i="50" s="1"/>
  <c r="T271" i="50" s="1"/>
  <c r="U271" i="50" s="1"/>
  <c r="V271" i="50" s="1"/>
  <c r="W271" i="50" s="1"/>
  <c r="X271" i="50" s="1"/>
  <c r="Y271" i="50" s="1"/>
  <c r="C272" i="50" s="1"/>
  <c r="D272" i="50" s="1"/>
  <c r="E272" i="50" s="1"/>
  <c r="F272" i="50" s="1"/>
  <c r="G272" i="50" s="1"/>
  <c r="H272" i="50" s="1"/>
  <c r="I272" i="50" s="1"/>
  <c r="J272" i="50" s="1"/>
  <c r="K272" i="50" s="1"/>
  <c r="L272" i="50" s="1"/>
  <c r="M272" i="50" s="1"/>
  <c r="N272" i="50" s="1"/>
  <c r="O272" i="50" s="1"/>
  <c r="P272" i="50" s="1"/>
  <c r="Q272" i="50" s="1"/>
  <c r="R272" i="50" s="1"/>
  <c r="S272" i="50" s="1"/>
  <c r="T272" i="50" s="1"/>
  <c r="U272" i="50" s="1"/>
  <c r="V272" i="50" s="1"/>
  <c r="W272" i="50" s="1"/>
  <c r="X272" i="50" s="1"/>
  <c r="Y272" i="50" s="1"/>
  <c r="C273" i="50" s="1"/>
  <c r="D273" i="50" s="1"/>
  <c r="E273" i="50" s="1"/>
  <c r="F273" i="50" s="1"/>
  <c r="G273" i="50" s="1"/>
  <c r="H273" i="50" s="1"/>
  <c r="I273" i="50" s="1"/>
  <c r="J273" i="50" s="1"/>
  <c r="K273" i="50" s="1"/>
  <c r="L273" i="50" s="1"/>
  <c r="M273" i="50" s="1"/>
  <c r="N273" i="50" s="1"/>
  <c r="O273" i="50" s="1"/>
  <c r="P273" i="50" s="1"/>
  <c r="Q273" i="50" s="1"/>
  <c r="R273" i="50" s="1"/>
  <c r="S273" i="50" s="1"/>
  <c r="T273" i="50" s="1"/>
  <c r="U273" i="50" s="1"/>
  <c r="V273" i="50" s="1"/>
  <c r="W273" i="50" s="1"/>
  <c r="X273" i="50" s="1"/>
  <c r="Y273" i="50" s="1"/>
  <c r="C274" i="50" s="1"/>
  <c r="D274" i="50" s="1"/>
  <c r="E274" i="50" s="1"/>
  <c r="F274" i="50" s="1"/>
  <c r="G274" i="50" s="1"/>
  <c r="H274" i="50" s="1"/>
  <c r="I274" i="50" s="1"/>
  <c r="J274" i="50" s="1"/>
  <c r="K274" i="50" s="1"/>
  <c r="L274" i="50" s="1"/>
  <c r="M274" i="50" s="1"/>
  <c r="N274" i="50" s="1"/>
  <c r="O274" i="50" s="1"/>
  <c r="P274" i="50" s="1"/>
  <c r="Q274" i="50" s="1"/>
  <c r="R274" i="50" s="1"/>
  <c r="S274" i="50" s="1"/>
  <c r="T274" i="50" s="1"/>
  <c r="U274" i="50" s="1"/>
  <c r="V274" i="50" s="1"/>
  <c r="W274" i="50" s="1"/>
  <c r="X274" i="50" s="1"/>
  <c r="Y274" i="50" s="1"/>
  <c r="C275" i="50" s="1"/>
  <c r="D275" i="50" s="1"/>
  <c r="E275" i="50" s="1"/>
  <c r="F275" i="50" s="1"/>
  <c r="G275" i="50" s="1"/>
  <c r="E258" i="52"/>
  <c r="F258" i="52" s="1"/>
  <c r="G258" i="52" s="1"/>
  <c r="H258" i="52" s="1"/>
  <c r="I258" i="52" s="1"/>
  <c r="J258" i="52" s="1"/>
  <c r="K258" i="52" s="1"/>
  <c r="L258" i="52" s="1"/>
  <c r="M258" i="52" s="1"/>
  <c r="N258" i="52" s="1"/>
  <c r="O258" i="52" s="1"/>
  <c r="P258" i="52" s="1"/>
  <c r="Q258" i="52" s="1"/>
  <c r="R258" i="52" s="1"/>
  <c r="S258" i="52" s="1"/>
  <c r="T258" i="52" s="1"/>
  <c r="U258" i="52" s="1"/>
  <c r="V258" i="52" s="1"/>
  <c r="W258" i="52" s="1"/>
  <c r="X258" i="52" s="1"/>
  <c r="Y258" i="52" s="1"/>
  <c r="C259" i="52" s="1"/>
  <c r="D259" i="52" s="1"/>
  <c r="E259" i="52" s="1"/>
  <c r="F259" i="52" s="1"/>
  <c r="G259" i="52" s="1"/>
  <c r="H259" i="52" s="1"/>
  <c r="I259" i="52" s="1"/>
  <c r="J259" i="52" s="1"/>
  <c r="K259" i="52" s="1"/>
  <c r="L259" i="52" s="1"/>
  <c r="M259" i="52" s="1"/>
  <c r="N259" i="52" s="1"/>
  <c r="O259" i="52" s="1"/>
  <c r="P259" i="52" s="1"/>
  <c r="Q259" i="52" s="1"/>
  <c r="R259" i="52" s="1"/>
  <c r="S259" i="52" s="1"/>
  <c r="T259" i="52" s="1"/>
  <c r="U259" i="52" s="1"/>
  <c r="V259" i="52" s="1"/>
  <c r="W259" i="52" s="1"/>
  <c r="X259" i="52" s="1"/>
  <c r="Y259" i="52" s="1"/>
  <c r="C260" i="52" s="1"/>
  <c r="D260" i="52" s="1"/>
  <c r="E260" i="52" s="1"/>
  <c r="F260" i="52" s="1"/>
  <c r="G260" i="52" s="1"/>
  <c r="H260" i="52" s="1"/>
  <c r="I260" i="52" s="1"/>
  <c r="J260" i="52" s="1"/>
  <c r="K260" i="52" s="1"/>
  <c r="L260" i="52" s="1"/>
  <c r="M260" i="52" s="1"/>
  <c r="N260" i="52" s="1"/>
  <c r="O260" i="52" s="1"/>
  <c r="P260" i="52" s="1"/>
  <c r="Q260" i="52" s="1"/>
  <c r="R260" i="52" s="1"/>
  <c r="S260" i="52" s="1"/>
  <c r="T260" i="52" s="1"/>
  <c r="U260" i="52" s="1"/>
  <c r="V260" i="52" s="1"/>
  <c r="W260" i="52" s="1"/>
  <c r="X260" i="52" s="1"/>
  <c r="Y260" i="52" s="1"/>
  <c r="C261" i="52" s="1"/>
  <c r="D261" i="52" s="1"/>
  <c r="E261" i="52" s="1"/>
  <c r="F261" i="52" s="1"/>
  <c r="G261" i="52" s="1"/>
  <c r="H261" i="52" s="1"/>
  <c r="I261" i="52" s="1"/>
  <c r="J261" i="52" s="1"/>
  <c r="K261" i="52" s="1"/>
  <c r="L261" i="52" s="1"/>
  <c r="M261" i="52" s="1"/>
  <c r="N261" i="52" s="1"/>
  <c r="O261" i="52" s="1"/>
  <c r="P261" i="52" s="1"/>
  <c r="Q261" i="52" s="1"/>
  <c r="R261" i="52" s="1"/>
  <c r="S261" i="52" s="1"/>
  <c r="T261" i="52" s="1"/>
  <c r="U261" i="52" s="1"/>
  <c r="V261" i="52" s="1"/>
  <c r="W261" i="52" s="1"/>
  <c r="X261" i="52" s="1"/>
  <c r="Y261" i="52" s="1"/>
  <c r="C262" i="52" s="1"/>
  <c r="D262" i="52" s="1"/>
  <c r="E262" i="52" s="1"/>
  <c r="F262" i="52" s="1"/>
  <c r="G262" i="52" s="1"/>
  <c r="H262" i="52" s="1"/>
  <c r="I262" i="52" s="1"/>
  <c r="J262" i="52" s="1"/>
  <c r="K262" i="52" s="1"/>
  <c r="L262" i="52" s="1"/>
  <c r="M262" i="52" s="1"/>
  <c r="N262" i="52" s="1"/>
  <c r="O262" i="52" s="1"/>
  <c r="P262" i="52" s="1"/>
  <c r="Q262" i="52" s="1"/>
  <c r="R262" i="52" s="1"/>
  <c r="S262" i="52" s="1"/>
  <c r="T262" i="52" s="1"/>
  <c r="U262" i="52" s="1"/>
  <c r="V262" i="52" s="1"/>
  <c r="W262" i="52" s="1"/>
  <c r="X262" i="52" s="1"/>
  <c r="Y262" i="52" s="1"/>
  <c r="C263" i="52" s="1"/>
  <c r="D263" i="52" s="1"/>
  <c r="E263" i="52" s="1"/>
  <c r="F263" i="52" s="1"/>
  <c r="G263" i="52" s="1"/>
  <c r="H263" i="52" s="1"/>
  <c r="I263" i="52" s="1"/>
  <c r="J263" i="52" s="1"/>
  <c r="K263" i="52" s="1"/>
  <c r="L263" i="52" s="1"/>
  <c r="M263" i="52" s="1"/>
  <c r="N263" i="52" s="1"/>
  <c r="O263" i="52" s="1"/>
  <c r="P263" i="52" s="1"/>
  <c r="Q263" i="52" s="1"/>
  <c r="R263" i="52" s="1"/>
  <c r="S263" i="52" s="1"/>
  <c r="T263" i="52" s="1"/>
  <c r="U263" i="52" s="1"/>
  <c r="V263" i="52" s="1"/>
  <c r="W263" i="52" s="1"/>
  <c r="X263" i="52" s="1"/>
  <c r="Y263" i="52" s="1"/>
  <c r="C264" i="52" s="1"/>
  <c r="D264" i="52" s="1"/>
  <c r="E264" i="52" s="1"/>
  <c r="F264" i="52" s="1"/>
  <c r="G264" i="52" s="1"/>
  <c r="H264" i="52" s="1"/>
  <c r="I264" i="52" s="1"/>
  <c r="J264" i="52" s="1"/>
  <c r="K264" i="52" s="1"/>
  <c r="L264" i="52" s="1"/>
  <c r="M264" i="52" s="1"/>
  <c r="N264" i="52" s="1"/>
  <c r="O264" i="52" s="1"/>
  <c r="P264" i="52" s="1"/>
  <c r="Q264" i="52" s="1"/>
  <c r="R264" i="52" s="1"/>
  <c r="S264" i="52" s="1"/>
  <c r="T264" i="52" s="1"/>
  <c r="U264" i="52" s="1"/>
  <c r="V264" i="52" s="1"/>
  <c r="W264" i="52" s="1"/>
  <c r="X264" i="52" s="1"/>
  <c r="Y264" i="52" s="1"/>
  <c r="C265" i="52" s="1"/>
  <c r="D265" i="52" s="1"/>
  <c r="E265" i="52" s="1"/>
  <c r="F265" i="52" s="1"/>
  <c r="G265" i="52" s="1"/>
  <c r="H265" i="52" s="1"/>
  <c r="I265" i="52" s="1"/>
  <c r="J265" i="52" s="1"/>
  <c r="K265" i="52" s="1"/>
  <c r="L265" i="52" s="1"/>
  <c r="M265" i="52" s="1"/>
  <c r="N265" i="52" s="1"/>
  <c r="O265" i="52" s="1"/>
  <c r="P265" i="52" s="1"/>
  <c r="Q265" i="52" s="1"/>
  <c r="R265" i="52" s="1"/>
  <c r="S265" i="52" s="1"/>
  <c r="T265" i="52" s="1"/>
  <c r="U265" i="52" s="1"/>
  <c r="V265" i="52" s="1"/>
  <c r="W265" i="52" s="1"/>
  <c r="X265" i="52" s="1"/>
  <c r="Y265" i="52" s="1"/>
  <c r="C266" i="52" s="1"/>
  <c r="D266" i="52" s="1"/>
  <c r="E266" i="52" s="1"/>
  <c r="F266" i="52" s="1"/>
  <c r="G266" i="52" s="1"/>
  <c r="H266" i="52" s="1"/>
  <c r="I266" i="52" s="1"/>
  <c r="J266" i="52" s="1"/>
  <c r="K266" i="52" s="1"/>
  <c r="L266" i="52" s="1"/>
  <c r="M266" i="52" s="1"/>
  <c r="N266" i="52" s="1"/>
  <c r="O266" i="52" s="1"/>
  <c r="P266" i="52" s="1"/>
  <c r="Q266" i="52" s="1"/>
  <c r="R266" i="52" s="1"/>
  <c r="S266" i="52" s="1"/>
  <c r="T266" i="52" s="1"/>
  <c r="U266" i="52" s="1"/>
  <c r="V266" i="52" s="1"/>
  <c r="W266" i="52" s="1"/>
  <c r="X266" i="52" s="1"/>
  <c r="Y266" i="52" s="1"/>
  <c r="C267" i="52" s="1"/>
  <c r="D267" i="52" s="1"/>
  <c r="E267" i="52" s="1"/>
  <c r="F267" i="52" s="1"/>
  <c r="G267" i="52" s="1"/>
  <c r="H267" i="52" s="1"/>
  <c r="I267" i="52" s="1"/>
  <c r="J267" i="52" s="1"/>
  <c r="K267" i="52" s="1"/>
  <c r="L267" i="52" s="1"/>
  <c r="M267" i="52" s="1"/>
  <c r="N267" i="52" s="1"/>
  <c r="O267" i="52" s="1"/>
  <c r="P267" i="52" s="1"/>
  <c r="Q267" i="52" s="1"/>
  <c r="R267" i="52" s="1"/>
  <c r="S267" i="52" s="1"/>
  <c r="T267" i="52" s="1"/>
  <c r="U267" i="52" s="1"/>
  <c r="V267" i="52" s="1"/>
  <c r="W267" i="52" s="1"/>
  <c r="X267" i="52" s="1"/>
  <c r="Y267" i="52" s="1"/>
  <c r="C268" i="52" s="1"/>
  <c r="D268" i="52" s="1"/>
  <c r="E268" i="52" s="1"/>
  <c r="F268" i="52" s="1"/>
  <c r="G268" i="52" s="1"/>
  <c r="H268" i="52" s="1"/>
  <c r="I268" i="52" s="1"/>
  <c r="J268" i="52" s="1"/>
  <c r="K268" i="52" s="1"/>
  <c r="L268" i="52" s="1"/>
  <c r="M268" i="52" s="1"/>
  <c r="N268" i="52" s="1"/>
  <c r="O268" i="52" s="1"/>
  <c r="P268" i="52" s="1"/>
  <c r="Q268" i="52" s="1"/>
  <c r="R268" i="52" s="1"/>
  <c r="S268" i="52" s="1"/>
  <c r="T268" i="52" s="1"/>
  <c r="U268" i="52" s="1"/>
  <c r="V268" i="52" s="1"/>
  <c r="W268" i="52" s="1"/>
  <c r="X268" i="52" s="1"/>
  <c r="Y268" i="52" s="1"/>
  <c r="C269" i="52" s="1"/>
  <c r="D269" i="52" s="1"/>
  <c r="E269" i="52" s="1"/>
  <c r="F269" i="52" s="1"/>
  <c r="G269" i="52" s="1"/>
  <c r="H269" i="52" s="1"/>
  <c r="I269" i="52" s="1"/>
  <c r="J269" i="52" s="1"/>
  <c r="K269" i="52" s="1"/>
  <c r="L269" i="52" s="1"/>
  <c r="M269" i="52" s="1"/>
  <c r="N269" i="52" s="1"/>
  <c r="O269" i="52" s="1"/>
  <c r="P269" i="52" s="1"/>
  <c r="Q269" i="52" s="1"/>
  <c r="R269" i="52" s="1"/>
  <c r="S269" i="52" s="1"/>
  <c r="T269" i="52" s="1"/>
  <c r="U269" i="52" s="1"/>
  <c r="V269" i="52" s="1"/>
  <c r="W269" i="52" s="1"/>
  <c r="X269" i="52" s="1"/>
  <c r="Y269" i="52" s="1"/>
  <c r="C270" i="52" s="1"/>
  <c r="D270" i="52" s="1"/>
  <c r="E270" i="52" s="1"/>
  <c r="F270" i="52" s="1"/>
  <c r="G270" i="52" s="1"/>
  <c r="H270" i="52" s="1"/>
  <c r="I270" i="52" s="1"/>
  <c r="J270" i="52" s="1"/>
  <c r="K270" i="52" s="1"/>
  <c r="L270" i="52" s="1"/>
  <c r="M270" i="52" s="1"/>
  <c r="N270" i="52" s="1"/>
  <c r="O270" i="52" s="1"/>
  <c r="P270" i="52" s="1"/>
  <c r="Q270" i="52" s="1"/>
  <c r="R270" i="52" s="1"/>
  <c r="S270" i="52" s="1"/>
  <c r="T270" i="52" s="1"/>
  <c r="U270" i="52" s="1"/>
  <c r="V270" i="52" s="1"/>
  <c r="W270" i="52" s="1"/>
  <c r="X270" i="52" s="1"/>
  <c r="Y270" i="52" s="1"/>
  <c r="C271" i="52" s="1"/>
  <c r="D271" i="52" s="1"/>
  <c r="E271" i="52" s="1"/>
  <c r="F271" i="52" s="1"/>
  <c r="G271" i="52" s="1"/>
  <c r="H271" i="52" s="1"/>
  <c r="I271" i="52" s="1"/>
  <c r="J271" i="52" s="1"/>
  <c r="K271" i="52" s="1"/>
  <c r="L271" i="52" s="1"/>
  <c r="M271" i="52" s="1"/>
  <c r="N271" i="52" s="1"/>
  <c r="O271" i="52" s="1"/>
  <c r="P271" i="52" s="1"/>
  <c r="Q271" i="52" s="1"/>
  <c r="R271" i="52" s="1"/>
  <c r="S271" i="52" s="1"/>
  <c r="T271" i="52" s="1"/>
  <c r="U271" i="52" s="1"/>
  <c r="V271" i="52" s="1"/>
  <c r="W271" i="52" s="1"/>
  <c r="X271" i="52" s="1"/>
  <c r="Y271" i="52" s="1"/>
  <c r="C272" i="52" s="1"/>
  <c r="D272" i="52" s="1"/>
  <c r="E272" i="52" s="1"/>
  <c r="F272" i="52" s="1"/>
  <c r="G272" i="52" s="1"/>
  <c r="H272" i="52" s="1"/>
  <c r="I272" i="52" s="1"/>
  <c r="J272" i="52" s="1"/>
  <c r="K272" i="52" s="1"/>
  <c r="L272" i="52" s="1"/>
  <c r="M272" i="52" s="1"/>
  <c r="N272" i="52" s="1"/>
  <c r="O272" i="52" s="1"/>
  <c r="P272" i="52" s="1"/>
  <c r="Q272" i="52" s="1"/>
  <c r="R272" i="52" s="1"/>
  <c r="S272" i="52" s="1"/>
  <c r="T272" i="52" s="1"/>
  <c r="U272" i="52" s="1"/>
  <c r="V272" i="52" s="1"/>
  <c r="W272" i="52" s="1"/>
  <c r="X272" i="52" s="1"/>
  <c r="Y272" i="52" s="1"/>
  <c r="C273" i="52" s="1"/>
  <c r="D273" i="52" s="1"/>
  <c r="E273" i="52" s="1"/>
  <c r="F273" i="52" s="1"/>
  <c r="G273" i="52" s="1"/>
  <c r="H273" i="52" s="1"/>
  <c r="I273" i="52" s="1"/>
  <c r="J273" i="52" s="1"/>
  <c r="K273" i="52" s="1"/>
  <c r="L273" i="52" s="1"/>
  <c r="M273" i="52" s="1"/>
  <c r="N273" i="52" s="1"/>
  <c r="O273" i="52" s="1"/>
  <c r="P273" i="52" s="1"/>
  <c r="Q273" i="52" s="1"/>
  <c r="R273" i="52" s="1"/>
  <c r="S273" i="52" s="1"/>
  <c r="T273" i="52" s="1"/>
  <c r="U273" i="52" s="1"/>
  <c r="V273" i="52" s="1"/>
  <c r="W273" i="52" s="1"/>
  <c r="X273" i="52" s="1"/>
  <c r="Y273" i="52" s="1"/>
  <c r="C274" i="52" s="1"/>
  <c r="D274" i="52" s="1"/>
  <c r="E274" i="52" s="1"/>
  <c r="F274" i="52" s="1"/>
  <c r="G274" i="52" s="1"/>
  <c r="H274" i="52" s="1"/>
  <c r="I274" i="52" s="1"/>
  <c r="J274" i="52" s="1"/>
  <c r="K274" i="52" s="1"/>
  <c r="L274" i="52" s="1"/>
  <c r="M274" i="52" s="1"/>
  <c r="N274" i="52" s="1"/>
  <c r="O274" i="52" s="1"/>
  <c r="P274" i="52" s="1"/>
  <c r="Q274" i="52" s="1"/>
  <c r="R274" i="52" s="1"/>
  <c r="S274" i="52" s="1"/>
  <c r="T274" i="52" s="1"/>
  <c r="U274" i="52" s="1"/>
  <c r="V274" i="52" s="1"/>
  <c r="W274" i="52" s="1"/>
  <c r="X274" i="52" s="1"/>
  <c r="Y274" i="52" s="1"/>
  <c r="C275" i="52" s="1"/>
  <c r="D275" i="52" s="1"/>
  <c r="E275" i="52" s="1"/>
  <c r="F275" i="52" s="1"/>
  <c r="G275" i="52" s="1"/>
  <c r="H275" i="52" s="1"/>
  <c r="I275" i="52" s="1"/>
  <c r="J275" i="52" s="1"/>
  <c r="K275" i="52" s="1"/>
  <c r="L275" i="52" s="1"/>
  <c r="M275" i="52" s="1"/>
  <c r="N275" i="52" s="1"/>
  <c r="O275" i="52" s="1"/>
  <c r="P275" i="52" s="1"/>
  <c r="Q275" i="52" s="1"/>
  <c r="R275" i="52" s="1"/>
  <c r="S275" i="52" s="1"/>
  <c r="T275" i="52" s="1"/>
  <c r="U275" i="52" s="1"/>
  <c r="V275" i="52" s="1"/>
  <c r="W275" i="52" s="1"/>
  <c r="X275" i="52" s="1"/>
  <c r="Y275" i="52" s="1"/>
  <c r="C276" i="52" s="1"/>
  <c r="D276" i="52" s="1"/>
  <c r="E276" i="52" s="1"/>
  <c r="F276" i="52" s="1"/>
  <c r="G276" i="52" s="1"/>
  <c r="E258" i="53"/>
  <c r="F258" i="53" s="1"/>
  <c r="G258" i="53" s="1"/>
  <c r="H258" i="53" s="1"/>
  <c r="I258" i="53" s="1"/>
  <c r="J258" i="53" s="1"/>
  <c r="K258" i="53" s="1"/>
  <c r="L258" i="53" s="1"/>
  <c r="M258" i="53" s="1"/>
  <c r="N258" i="53" s="1"/>
  <c r="O258" i="53" s="1"/>
  <c r="P258" i="53" s="1"/>
  <c r="Q258" i="53" s="1"/>
  <c r="R258" i="53" s="1"/>
  <c r="S258" i="53" s="1"/>
  <c r="T258" i="53" s="1"/>
  <c r="U258" i="53" s="1"/>
  <c r="V258" i="53" s="1"/>
  <c r="W258" i="53" s="1"/>
  <c r="X258" i="53" s="1"/>
  <c r="Y258" i="53" s="1"/>
  <c r="C259" i="53" s="1"/>
  <c r="D259" i="53" s="1"/>
  <c r="E259" i="53" s="1"/>
  <c r="F259" i="53" s="1"/>
  <c r="G259" i="53" s="1"/>
  <c r="H259" i="53" s="1"/>
  <c r="I259" i="53" s="1"/>
  <c r="J259" i="53" s="1"/>
  <c r="K259" i="53" s="1"/>
  <c r="L259" i="53" s="1"/>
  <c r="M259" i="53" s="1"/>
  <c r="N259" i="53" s="1"/>
  <c r="O259" i="53" s="1"/>
  <c r="P259" i="53" s="1"/>
  <c r="Q259" i="53" s="1"/>
  <c r="R259" i="53" s="1"/>
  <c r="S259" i="53" s="1"/>
  <c r="T259" i="53" s="1"/>
  <c r="U259" i="53" s="1"/>
  <c r="V259" i="53" s="1"/>
  <c r="W259" i="53" s="1"/>
  <c r="X259" i="53" s="1"/>
  <c r="Y259" i="53" s="1"/>
  <c r="C260" i="53" s="1"/>
  <c r="D260" i="53" s="1"/>
  <c r="E260" i="53" s="1"/>
  <c r="F260" i="53" s="1"/>
  <c r="G260" i="53" s="1"/>
  <c r="H260" i="53" s="1"/>
  <c r="I260" i="53" s="1"/>
  <c r="J260" i="53" s="1"/>
  <c r="K260" i="53" s="1"/>
  <c r="L260" i="53" s="1"/>
  <c r="M260" i="53" s="1"/>
  <c r="N260" i="53" s="1"/>
  <c r="O260" i="53" s="1"/>
  <c r="P260" i="53" s="1"/>
  <c r="Q260" i="53" s="1"/>
  <c r="R260" i="53" s="1"/>
  <c r="S260" i="53" s="1"/>
  <c r="T260" i="53" s="1"/>
  <c r="U260" i="53" s="1"/>
  <c r="V260" i="53" s="1"/>
  <c r="W260" i="53" s="1"/>
  <c r="X260" i="53" s="1"/>
  <c r="Y260" i="53" s="1"/>
  <c r="C261" i="53" s="1"/>
  <c r="D261" i="53" s="1"/>
  <c r="E261" i="53" s="1"/>
  <c r="F261" i="53" s="1"/>
  <c r="G261" i="53" s="1"/>
  <c r="H261" i="53" s="1"/>
  <c r="I261" i="53" s="1"/>
  <c r="J261" i="53" s="1"/>
  <c r="K261" i="53" s="1"/>
  <c r="L261" i="53" s="1"/>
  <c r="M261" i="53" s="1"/>
  <c r="N261" i="53" s="1"/>
  <c r="O261" i="53" s="1"/>
  <c r="P261" i="53" s="1"/>
  <c r="Q261" i="53" s="1"/>
  <c r="R261" i="53" s="1"/>
  <c r="S261" i="53" s="1"/>
  <c r="T261" i="53" s="1"/>
  <c r="U261" i="53" s="1"/>
  <c r="V261" i="53" s="1"/>
  <c r="W261" i="53" s="1"/>
  <c r="X261" i="53" s="1"/>
  <c r="Y261" i="53" s="1"/>
  <c r="C262" i="53" s="1"/>
  <c r="D262" i="53" s="1"/>
  <c r="E262" i="53" s="1"/>
  <c r="F262" i="53" s="1"/>
  <c r="G262" i="53" s="1"/>
  <c r="H262" i="53" s="1"/>
  <c r="I262" i="53" s="1"/>
  <c r="J262" i="53" s="1"/>
  <c r="K262" i="53" s="1"/>
  <c r="L262" i="53" s="1"/>
  <c r="M262" i="53" s="1"/>
  <c r="N262" i="53" s="1"/>
  <c r="O262" i="53" s="1"/>
  <c r="P262" i="53" s="1"/>
  <c r="Q262" i="53" s="1"/>
  <c r="R262" i="53" s="1"/>
  <c r="S262" i="53" s="1"/>
  <c r="T262" i="53" s="1"/>
  <c r="U262" i="53" s="1"/>
  <c r="V262" i="53" s="1"/>
  <c r="W262" i="53" s="1"/>
  <c r="X262" i="53" s="1"/>
  <c r="Y262" i="53" s="1"/>
  <c r="C263" i="53" s="1"/>
  <c r="D263" i="53" s="1"/>
  <c r="E263" i="53" s="1"/>
  <c r="F263" i="53" s="1"/>
  <c r="G263" i="53" s="1"/>
  <c r="H263" i="53" s="1"/>
  <c r="I263" i="53" s="1"/>
  <c r="J263" i="53" s="1"/>
  <c r="K263" i="53" s="1"/>
  <c r="L263" i="53" s="1"/>
  <c r="M263" i="53" s="1"/>
  <c r="N263" i="53" s="1"/>
  <c r="O263" i="53" s="1"/>
  <c r="P263" i="53" s="1"/>
  <c r="Q263" i="53" s="1"/>
  <c r="R263" i="53" s="1"/>
  <c r="S263" i="53" s="1"/>
  <c r="T263" i="53" s="1"/>
  <c r="U263" i="53" s="1"/>
  <c r="V263" i="53" s="1"/>
  <c r="W263" i="53" s="1"/>
  <c r="X263" i="53" s="1"/>
  <c r="Y263" i="53" s="1"/>
  <c r="C264" i="53" s="1"/>
  <c r="D264" i="53" s="1"/>
  <c r="E264" i="53" s="1"/>
  <c r="F264" i="53" s="1"/>
  <c r="G264" i="53" s="1"/>
  <c r="H264" i="53" s="1"/>
  <c r="I264" i="53" s="1"/>
  <c r="J264" i="53" s="1"/>
  <c r="K264" i="53" s="1"/>
  <c r="L264" i="53" s="1"/>
  <c r="M264" i="53" s="1"/>
  <c r="N264" i="53" s="1"/>
  <c r="O264" i="53" s="1"/>
  <c r="P264" i="53" s="1"/>
  <c r="Q264" i="53" s="1"/>
  <c r="R264" i="53" s="1"/>
  <c r="S264" i="53" s="1"/>
  <c r="T264" i="53" s="1"/>
  <c r="U264" i="53" s="1"/>
  <c r="V264" i="53" s="1"/>
  <c r="W264" i="53" s="1"/>
  <c r="X264" i="53" s="1"/>
  <c r="Y264" i="53" s="1"/>
  <c r="C265" i="53" s="1"/>
  <c r="D265" i="53" s="1"/>
  <c r="E265" i="53" s="1"/>
  <c r="F265" i="53" s="1"/>
  <c r="G265" i="53" s="1"/>
  <c r="H265" i="53" s="1"/>
  <c r="I265" i="53" s="1"/>
  <c r="J265" i="53" s="1"/>
  <c r="K265" i="53" s="1"/>
  <c r="L265" i="53" s="1"/>
  <c r="M265" i="53" s="1"/>
  <c r="N265" i="53" s="1"/>
  <c r="O265" i="53" s="1"/>
  <c r="P265" i="53" s="1"/>
  <c r="Q265" i="53" s="1"/>
  <c r="R265" i="53" s="1"/>
  <c r="S265" i="53" s="1"/>
  <c r="T265" i="53" s="1"/>
  <c r="U265" i="53" s="1"/>
  <c r="V265" i="53" s="1"/>
  <c r="W265" i="53" s="1"/>
  <c r="X265" i="53" s="1"/>
  <c r="Y265" i="53" s="1"/>
  <c r="C266" i="53" s="1"/>
  <c r="D266" i="53" s="1"/>
  <c r="E266" i="53" s="1"/>
  <c r="F266" i="53" s="1"/>
  <c r="G266" i="53" s="1"/>
  <c r="H266" i="53" s="1"/>
  <c r="I266" i="53" s="1"/>
  <c r="J266" i="53" s="1"/>
  <c r="K266" i="53" s="1"/>
  <c r="L266" i="53" s="1"/>
  <c r="M266" i="53" s="1"/>
  <c r="N266" i="53" s="1"/>
  <c r="O266" i="53" s="1"/>
  <c r="P266" i="53" s="1"/>
  <c r="Q266" i="53" s="1"/>
  <c r="R266" i="53" s="1"/>
  <c r="S266" i="53" s="1"/>
  <c r="T266" i="53" s="1"/>
  <c r="U266" i="53" s="1"/>
  <c r="V266" i="53" s="1"/>
  <c r="W266" i="53" s="1"/>
  <c r="X266" i="53" s="1"/>
  <c r="Y266" i="53" s="1"/>
  <c r="C267" i="53" s="1"/>
  <c r="D267" i="53" s="1"/>
  <c r="E267" i="53" s="1"/>
  <c r="F267" i="53" s="1"/>
  <c r="G267" i="53" s="1"/>
  <c r="H267" i="53" s="1"/>
  <c r="I267" i="53" s="1"/>
  <c r="J267" i="53" s="1"/>
  <c r="K267" i="53" s="1"/>
  <c r="L267" i="53" s="1"/>
  <c r="M267" i="53" s="1"/>
  <c r="N267" i="53" s="1"/>
  <c r="O267" i="53" s="1"/>
  <c r="P267" i="53" s="1"/>
  <c r="Q267" i="53" s="1"/>
  <c r="R267" i="53" s="1"/>
  <c r="S267" i="53" s="1"/>
  <c r="T267" i="53" s="1"/>
  <c r="U267" i="53" s="1"/>
  <c r="V267" i="53" s="1"/>
  <c r="W267" i="53" s="1"/>
  <c r="X267" i="53" s="1"/>
  <c r="Y267" i="53" s="1"/>
  <c r="C268" i="53" s="1"/>
  <c r="D268" i="53" s="1"/>
  <c r="E268" i="53" s="1"/>
  <c r="F268" i="53" s="1"/>
  <c r="G268" i="53" s="1"/>
  <c r="H268" i="53" s="1"/>
  <c r="I268" i="53" s="1"/>
  <c r="J268" i="53" s="1"/>
  <c r="K268" i="53" s="1"/>
  <c r="L268" i="53" s="1"/>
  <c r="M268" i="53" s="1"/>
  <c r="N268" i="53" s="1"/>
  <c r="O268" i="53" s="1"/>
  <c r="P268" i="53" s="1"/>
  <c r="Q268" i="53" s="1"/>
  <c r="R268" i="53" s="1"/>
  <c r="S268" i="53" s="1"/>
  <c r="T268" i="53" s="1"/>
  <c r="U268" i="53" s="1"/>
  <c r="V268" i="53" s="1"/>
  <c r="W268" i="53" s="1"/>
  <c r="X268" i="53" s="1"/>
  <c r="Y268" i="53" s="1"/>
  <c r="C269" i="53" s="1"/>
  <c r="D269" i="53" s="1"/>
  <c r="E269" i="53" s="1"/>
  <c r="F269" i="53" s="1"/>
  <c r="G269" i="53" s="1"/>
  <c r="H269" i="53" s="1"/>
  <c r="I269" i="53" s="1"/>
  <c r="J269" i="53" s="1"/>
  <c r="K269" i="53" s="1"/>
  <c r="L269" i="53" s="1"/>
  <c r="M269" i="53" s="1"/>
  <c r="N269" i="53" s="1"/>
  <c r="O269" i="53" s="1"/>
  <c r="P269" i="53" s="1"/>
  <c r="Q269" i="53" s="1"/>
  <c r="R269" i="53" s="1"/>
  <c r="S269" i="53" s="1"/>
  <c r="T269" i="53" s="1"/>
  <c r="U269" i="53" s="1"/>
  <c r="V269" i="53" s="1"/>
  <c r="W269" i="53" s="1"/>
  <c r="X269" i="53" s="1"/>
  <c r="Y269" i="53" s="1"/>
  <c r="C270" i="53" s="1"/>
  <c r="D270" i="53" s="1"/>
  <c r="E270" i="53" s="1"/>
  <c r="F270" i="53" s="1"/>
  <c r="G270" i="53" s="1"/>
  <c r="H270" i="53" s="1"/>
  <c r="I270" i="53" s="1"/>
  <c r="J270" i="53" s="1"/>
  <c r="K270" i="53" s="1"/>
  <c r="L270" i="53" s="1"/>
  <c r="M270" i="53" s="1"/>
  <c r="N270" i="53" s="1"/>
  <c r="O270" i="53" s="1"/>
  <c r="P270" i="53" s="1"/>
  <c r="Q270" i="53" s="1"/>
  <c r="R270" i="53" s="1"/>
  <c r="S270" i="53" s="1"/>
  <c r="T270" i="53" s="1"/>
  <c r="U270" i="53" s="1"/>
  <c r="V270" i="53" s="1"/>
  <c r="W270" i="53" s="1"/>
  <c r="X270" i="53" s="1"/>
  <c r="Y270" i="53" s="1"/>
  <c r="C271" i="53" s="1"/>
  <c r="D271" i="53" s="1"/>
  <c r="E271" i="53" s="1"/>
  <c r="F271" i="53" s="1"/>
  <c r="G271" i="53" s="1"/>
  <c r="H271" i="53" s="1"/>
  <c r="I271" i="53" s="1"/>
  <c r="J271" i="53" s="1"/>
  <c r="K271" i="53" s="1"/>
  <c r="L271" i="53" s="1"/>
  <c r="M271" i="53" s="1"/>
  <c r="N271" i="53" s="1"/>
  <c r="O271" i="53" s="1"/>
  <c r="P271" i="53" s="1"/>
  <c r="Q271" i="53" s="1"/>
  <c r="R271" i="53" s="1"/>
  <c r="S271" i="53" s="1"/>
  <c r="T271" i="53" s="1"/>
  <c r="U271" i="53" s="1"/>
  <c r="V271" i="53" s="1"/>
  <c r="W271" i="53" s="1"/>
  <c r="X271" i="53" s="1"/>
  <c r="Y271" i="53" s="1"/>
  <c r="C272" i="53" s="1"/>
  <c r="D272" i="53" s="1"/>
  <c r="E272" i="53" s="1"/>
  <c r="F272" i="53" s="1"/>
  <c r="G272" i="53" s="1"/>
  <c r="H272" i="53" s="1"/>
  <c r="I272" i="53" s="1"/>
  <c r="J272" i="53" s="1"/>
  <c r="K272" i="53" s="1"/>
  <c r="L272" i="53" s="1"/>
  <c r="M272" i="53" s="1"/>
  <c r="N272" i="53" s="1"/>
  <c r="O272" i="53" s="1"/>
  <c r="P272" i="53" s="1"/>
  <c r="Q272" i="53" s="1"/>
  <c r="R272" i="53" s="1"/>
  <c r="S272" i="53" s="1"/>
  <c r="T272" i="53" s="1"/>
  <c r="U272" i="53" s="1"/>
  <c r="V272" i="53" s="1"/>
  <c r="W272" i="53" s="1"/>
  <c r="X272" i="53" s="1"/>
  <c r="Y272" i="53" s="1"/>
  <c r="C273" i="53" s="1"/>
  <c r="D273" i="53" s="1"/>
  <c r="E273" i="53" s="1"/>
  <c r="F273" i="53" s="1"/>
  <c r="G273" i="53" s="1"/>
  <c r="H273" i="53" s="1"/>
  <c r="I273" i="53" s="1"/>
  <c r="J273" i="53" s="1"/>
  <c r="K273" i="53" s="1"/>
  <c r="L273" i="53" s="1"/>
  <c r="M273" i="53" s="1"/>
  <c r="N273" i="53" s="1"/>
  <c r="O273" i="53" s="1"/>
  <c r="P273" i="53" s="1"/>
  <c r="Q273" i="53" s="1"/>
  <c r="R273" i="53" s="1"/>
  <c r="S273" i="53" s="1"/>
  <c r="T273" i="53" s="1"/>
  <c r="U273" i="53" s="1"/>
  <c r="V273" i="53" s="1"/>
  <c r="W273" i="53" s="1"/>
  <c r="X273" i="53" s="1"/>
  <c r="Y273" i="53" s="1"/>
  <c r="C274" i="53" s="1"/>
  <c r="D274" i="53" s="1"/>
  <c r="E274" i="53" s="1"/>
  <c r="F274" i="53" s="1"/>
  <c r="G274" i="53" s="1"/>
  <c r="H274" i="53" s="1"/>
  <c r="I274" i="53" s="1"/>
  <c r="J274" i="53" s="1"/>
  <c r="K274" i="53" s="1"/>
  <c r="L274" i="53" s="1"/>
  <c r="M274" i="53" s="1"/>
  <c r="N274" i="53" s="1"/>
  <c r="O274" i="53" s="1"/>
  <c r="P274" i="53" s="1"/>
  <c r="Q274" i="53" s="1"/>
  <c r="R274" i="53" s="1"/>
  <c r="S274" i="53" s="1"/>
  <c r="T274" i="53" s="1"/>
  <c r="U274" i="53" s="1"/>
  <c r="V274" i="53" s="1"/>
  <c r="W274" i="53" s="1"/>
  <c r="X274" i="53" s="1"/>
  <c r="Y274" i="53" s="1"/>
  <c r="C275" i="53" s="1"/>
  <c r="D275" i="53" s="1"/>
  <c r="E275" i="53" s="1"/>
  <c r="F275" i="53" s="1"/>
  <c r="G275" i="53" s="1"/>
  <c r="H275" i="53" s="1"/>
  <c r="I275" i="53" s="1"/>
  <c r="J275" i="53" s="1"/>
  <c r="K275" i="53" s="1"/>
  <c r="L275" i="53" s="1"/>
  <c r="M275" i="53" s="1"/>
  <c r="N275" i="53" s="1"/>
  <c r="O275" i="53" s="1"/>
  <c r="P275" i="53" s="1"/>
  <c r="Q275" i="53" s="1"/>
  <c r="R275" i="53" s="1"/>
  <c r="S275" i="53" s="1"/>
  <c r="T275" i="53" s="1"/>
  <c r="U275" i="53" s="1"/>
  <c r="V275" i="53" s="1"/>
  <c r="W275" i="53" s="1"/>
  <c r="X275" i="53" s="1"/>
  <c r="Y275" i="53" s="1"/>
  <c r="C276" i="53" s="1"/>
  <c r="D276" i="53" s="1"/>
  <c r="E276" i="53" s="1"/>
  <c r="F276" i="53" s="1"/>
  <c r="G276" i="53" s="1"/>
  <c r="H276" i="53" s="1"/>
  <c r="I276" i="53" s="1"/>
  <c r="J276" i="53" s="1"/>
  <c r="K276" i="53" s="1"/>
  <c r="L276" i="53" s="1"/>
  <c r="M276" i="53" s="1"/>
  <c r="N276" i="53" s="1"/>
  <c r="O276" i="53" s="1"/>
  <c r="P276" i="53" s="1"/>
  <c r="Q276" i="53" s="1"/>
  <c r="R276" i="53" s="1"/>
  <c r="S276" i="53" s="1"/>
  <c r="T276" i="53" s="1"/>
  <c r="U276" i="53" s="1"/>
  <c r="V276" i="53" s="1"/>
  <c r="W276" i="53" s="1"/>
  <c r="X276" i="53" s="1"/>
  <c r="Y276" i="53" s="1"/>
  <c r="C277" i="53" s="1"/>
  <c r="D277" i="53" s="1"/>
  <c r="E277" i="53" s="1"/>
  <c r="F277" i="53" s="1"/>
  <c r="G277" i="53" s="1"/>
  <c r="H277" i="53" s="1"/>
  <c r="I277" i="53" s="1"/>
  <c r="J277" i="53" s="1"/>
  <c r="K277" i="53" s="1"/>
  <c r="L277" i="53" s="1"/>
  <c r="M277" i="53" s="1"/>
  <c r="N277" i="53" s="1"/>
  <c r="O277" i="53" s="1"/>
  <c r="P277" i="53" s="1"/>
  <c r="Q277" i="53" s="1"/>
  <c r="R277" i="53" s="1"/>
  <c r="S277" i="53" s="1"/>
  <c r="T277" i="53" s="1"/>
  <c r="U277" i="53" s="1"/>
  <c r="V277" i="53" s="1"/>
  <c r="W277" i="53" s="1"/>
  <c r="X277" i="53" s="1"/>
  <c r="Y277" i="53" s="1"/>
  <c r="C278" i="53" s="1"/>
  <c r="D278" i="53" s="1"/>
  <c r="E278" i="53" s="1"/>
  <c r="F278" i="53" s="1"/>
  <c r="G278" i="53" s="1"/>
  <c r="E258" i="54"/>
  <c r="F258" i="54" s="1"/>
  <c r="G258" i="54" s="1"/>
  <c r="H258" i="54" s="1"/>
  <c r="I258" i="54" s="1"/>
  <c r="J258" i="54" s="1"/>
  <c r="K258" i="54" s="1"/>
  <c r="L258" i="54" s="1"/>
  <c r="M258" i="54" s="1"/>
  <c r="N258" i="54" s="1"/>
  <c r="O258" i="54" s="1"/>
  <c r="P258" i="54" s="1"/>
  <c r="Q258" i="54" s="1"/>
  <c r="R258" i="54" s="1"/>
  <c r="S258" i="54" s="1"/>
  <c r="T258" i="54" s="1"/>
  <c r="U258" i="54" s="1"/>
  <c r="V258" i="54" s="1"/>
  <c r="W258" i="54" s="1"/>
  <c r="X258" i="54" s="1"/>
  <c r="Y258" i="54" s="1"/>
  <c r="C259" i="54" s="1"/>
  <c r="D259" i="54" s="1"/>
  <c r="E259" i="54" s="1"/>
  <c r="F259" i="54" s="1"/>
  <c r="G259" i="54" s="1"/>
  <c r="H259" i="54" s="1"/>
  <c r="I259" i="54" s="1"/>
  <c r="J259" i="54" s="1"/>
  <c r="K259" i="54" s="1"/>
  <c r="L259" i="54" s="1"/>
  <c r="M259" i="54" s="1"/>
  <c r="N259" i="54" s="1"/>
  <c r="O259" i="54" s="1"/>
  <c r="P259" i="54" s="1"/>
  <c r="Q259" i="54" s="1"/>
  <c r="R259" i="54" s="1"/>
  <c r="S259" i="54" s="1"/>
  <c r="T259" i="54" s="1"/>
  <c r="U259" i="54" s="1"/>
  <c r="V259" i="54" s="1"/>
  <c r="W259" i="54" s="1"/>
  <c r="X259" i="54" s="1"/>
  <c r="Y259" i="54" s="1"/>
  <c r="C260" i="54" s="1"/>
  <c r="D260" i="54" s="1"/>
  <c r="E260" i="54" s="1"/>
  <c r="F260" i="54" s="1"/>
  <c r="G260" i="54" s="1"/>
  <c r="H260" i="54" s="1"/>
  <c r="I260" i="54" s="1"/>
  <c r="J260" i="54" s="1"/>
  <c r="K260" i="54" s="1"/>
  <c r="L260" i="54" s="1"/>
  <c r="M260" i="54" s="1"/>
  <c r="N260" i="54" s="1"/>
  <c r="O260" i="54" s="1"/>
  <c r="P260" i="54" s="1"/>
  <c r="Q260" i="54" s="1"/>
  <c r="R260" i="54" s="1"/>
  <c r="S260" i="54" s="1"/>
  <c r="T260" i="54" s="1"/>
  <c r="U260" i="54" s="1"/>
  <c r="V260" i="54" s="1"/>
  <c r="W260" i="54" s="1"/>
  <c r="X260" i="54" s="1"/>
  <c r="Y260" i="54" s="1"/>
  <c r="C261" i="54" s="1"/>
  <c r="D261" i="54" s="1"/>
  <c r="E261" i="54" s="1"/>
  <c r="F261" i="54" s="1"/>
  <c r="G261" i="54" s="1"/>
  <c r="H261" i="54" s="1"/>
  <c r="I261" i="54" s="1"/>
  <c r="J261" i="54" s="1"/>
  <c r="K261" i="54" s="1"/>
  <c r="L261" i="54" s="1"/>
  <c r="M261" i="54" s="1"/>
  <c r="N261" i="54" s="1"/>
  <c r="O261" i="54" s="1"/>
  <c r="P261" i="54" s="1"/>
  <c r="Q261" i="54" s="1"/>
  <c r="R261" i="54" s="1"/>
  <c r="S261" i="54" s="1"/>
  <c r="T261" i="54" s="1"/>
  <c r="U261" i="54" s="1"/>
  <c r="V261" i="54" s="1"/>
  <c r="W261" i="54" s="1"/>
  <c r="X261" i="54" s="1"/>
  <c r="Y261" i="54" s="1"/>
  <c r="C262" i="54" s="1"/>
  <c r="D262" i="54" s="1"/>
  <c r="E262" i="54" s="1"/>
  <c r="F262" i="54" s="1"/>
  <c r="G262" i="54" s="1"/>
  <c r="H262" i="54" s="1"/>
  <c r="I262" i="54" s="1"/>
  <c r="J262" i="54" s="1"/>
  <c r="K262" i="54" s="1"/>
  <c r="L262" i="54" s="1"/>
  <c r="M262" i="54" s="1"/>
  <c r="N262" i="54" s="1"/>
  <c r="O262" i="54" s="1"/>
  <c r="P262" i="54" s="1"/>
  <c r="Q262" i="54" s="1"/>
  <c r="R262" i="54" s="1"/>
  <c r="S262" i="54" s="1"/>
  <c r="T262" i="54" s="1"/>
  <c r="U262" i="54" s="1"/>
  <c r="V262" i="54" s="1"/>
  <c r="W262" i="54" s="1"/>
  <c r="X262" i="54" s="1"/>
  <c r="Y262" i="54" s="1"/>
  <c r="C263" i="54" s="1"/>
  <c r="D263" i="54" s="1"/>
  <c r="E263" i="54" s="1"/>
  <c r="F263" i="54" s="1"/>
  <c r="G263" i="54" s="1"/>
  <c r="H263" i="54" s="1"/>
  <c r="I263" i="54" s="1"/>
  <c r="J263" i="54" s="1"/>
  <c r="K263" i="54" s="1"/>
  <c r="L263" i="54" s="1"/>
  <c r="M263" i="54" s="1"/>
  <c r="N263" i="54" s="1"/>
  <c r="O263" i="54" s="1"/>
  <c r="P263" i="54" s="1"/>
  <c r="Q263" i="54" s="1"/>
  <c r="R263" i="54" s="1"/>
  <c r="S263" i="54" s="1"/>
  <c r="T263" i="54" s="1"/>
  <c r="U263" i="54" s="1"/>
  <c r="V263" i="54" s="1"/>
  <c r="W263" i="54" s="1"/>
  <c r="X263" i="54" s="1"/>
  <c r="Y263" i="54" s="1"/>
  <c r="C264" i="54" s="1"/>
  <c r="D264" i="54" s="1"/>
  <c r="E264" i="54" s="1"/>
  <c r="F264" i="54" s="1"/>
  <c r="G264" i="54" s="1"/>
  <c r="H264" i="54" s="1"/>
  <c r="I264" i="54" s="1"/>
  <c r="J264" i="54" s="1"/>
  <c r="K264" i="54" s="1"/>
  <c r="L264" i="54" s="1"/>
  <c r="M264" i="54" s="1"/>
  <c r="N264" i="54" s="1"/>
  <c r="O264" i="54" s="1"/>
  <c r="P264" i="54" s="1"/>
  <c r="Q264" i="54" s="1"/>
  <c r="R264" i="54" s="1"/>
  <c r="S264" i="54" s="1"/>
  <c r="T264" i="54" s="1"/>
  <c r="U264" i="54" s="1"/>
  <c r="V264" i="54" s="1"/>
  <c r="W264" i="54" s="1"/>
  <c r="X264" i="54" s="1"/>
  <c r="Y264" i="54" s="1"/>
  <c r="C265" i="54" s="1"/>
  <c r="D265" i="54" s="1"/>
  <c r="E265" i="54" s="1"/>
  <c r="F265" i="54" s="1"/>
  <c r="G265" i="54" s="1"/>
  <c r="H265" i="54" s="1"/>
  <c r="I265" i="54" s="1"/>
  <c r="J265" i="54" s="1"/>
  <c r="K265" i="54" s="1"/>
  <c r="L265" i="54" s="1"/>
  <c r="M265" i="54" s="1"/>
  <c r="N265" i="54" s="1"/>
  <c r="O265" i="54" s="1"/>
  <c r="P265" i="54" s="1"/>
  <c r="Q265" i="54" s="1"/>
  <c r="R265" i="54" s="1"/>
  <c r="S265" i="54" s="1"/>
  <c r="T265" i="54" s="1"/>
  <c r="U265" i="54" s="1"/>
  <c r="V265" i="54" s="1"/>
  <c r="W265" i="54" s="1"/>
  <c r="X265" i="54" s="1"/>
  <c r="Y265" i="54" s="1"/>
  <c r="C266" i="54" s="1"/>
  <c r="D266" i="54" s="1"/>
  <c r="E266" i="54" s="1"/>
  <c r="F266" i="54" s="1"/>
  <c r="G266" i="54" s="1"/>
  <c r="H266" i="54" s="1"/>
  <c r="I266" i="54" s="1"/>
  <c r="J266" i="54" s="1"/>
  <c r="K266" i="54" s="1"/>
  <c r="L266" i="54" s="1"/>
  <c r="M266" i="54" s="1"/>
  <c r="N266" i="54" s="1"/>
  <c r="O266" i="54" s="1"/>
  <c r="P266" i="54" s="1"/>
  <c r="Q266" i="54" s="1"/>
  <c r="R266" i="54" s="1"/>
  <c r="S266" i="54" s="1"/>
  <c r="T266" i="54" s="1"/>
  <c r="U266" i="54" s="1"/>
  <c r="V266" i="54" s="1"/>
  <c r="W266" i="54" s="1"/>
  <c r="X266" i="54" s="1"/>
  <c r="Y266" i="54" s="1"/>
  <c r="C267" i="54" s="1"/>
  <c r="D267" i="54" s="1"/>
  <c r="E267" i="54" s="1"/>
  <c r="F267" i="54" s="1"/>
  <c r="G267" i="54" s="1"/>
  <c r="H267" i="54" s="1"/>
  <c r="I267" i="54" s="1"/>
  <c r="J267" i="54" s="1"/>
  <c r="K267" i="54" s="1"/>
  <c r="L267" i="54" s="1"/>
  <c r="M267" i="54" s="1"/>
  <c r="N267" i="54" s="1"/>
  <c r="O267" i="54" s="1"/>
  <c r="P267" i="54" s="1"/>
  <c r="Q267" i="54" s="1"/>
  <c r="R267" i="54" s="1"/>
  <c r="S267" i="54" s="1"/>
  <c r="T267" i="54" s="1"/>
  <c r="U267" i="54" s="1"/>
  <c r="V267" i="54" s="1"/>
  <c r="W267" i="54" s="1"/>
  <c r="X267" i="54" s="1"/>
  <c r="Y267" i="54" s="1"/>
  <c r="C268" i="54" s="1"/>
  <c r="D268" i="54" s="1"/>
  <c r="E268" i="54" s="1"/>
  <c r="F268" i="54" s="1"/>
  <c r="G268" i="54" s="1"/>
  <c r="H268" i="54" s="1"/>
  <c r="I268" i="54" s="1"/>
  <c r="J268" i="54" s="1"/>
  <c r="K268" i="54" s="1"/>
  <c r="L268" i="54" s="1"/>
  <c r="M268" i="54" s="1"/>
  <c r="N268" i="54" s="1"/>
  <c r="O268" i="54" s="1"/>
  <c r="P268" i="54" s="1"/>
  <c r="Q268" i="54" s="1"/>
  <c r="R268" i="54" s="1"/>
  <c r="S268" i="54" s="1"/>
  <c r="T268" i="54" s="1"/>
  <c r="U268" i="54" s="1"/>
  <c r="V268" i="54" s="1"/>
  <c r="W268" i="54" s="1"/>
  <c r="X268" i="54" s="1"/>
  <c r="Y268" i="54" s="1"/>
  <c r="C269" i="54" s="1"/>
  <c r="D269" i="54" s="1"/>
  <c r="E269" i="54" s="1"/>
  <c r="F269" i="54" s="1"/>
  <c r="G269" i="54" s="1"/>
  <c r="H269" i="54" s="1"/>
  <c r="I269" i="54" s="1"/>
  <c r="J269" i="54" s="1"/>
  <c r="K269" i="54" s="1"/>
  <c r="L269" i="54" s="1"/>
  <c r="M269" i="54" s="1"/>
  <c r="N269" i="54" s="1"/>
  <c r="O269" i="54" s="1"/>
  <c r="P269" i="54" s="1"/>
  <c r="Q269" i="54" s="1"/>
  <c r="R269" i="54" s="1"/>
  <c r="S269" i="54" s="1"/>
  <c r="T269" i="54" s="1"/>
  <c r="U269" i="54" s="1"/>
  <c r="V269" i="54" s="1"/>
  <c r="W269" i="54" s="1"/>
  <c r="X269" i="54" s="1"/>
  <c r="Y269" i="54" s="1"/>
  <c r="C270" i="54" s="1"/>
  <c r="D270" i="54" s="1"/>
  <c r="E270" i="54" s="1"/>
  <c r="F270" i="54" s="1"/>
  <c r="G270" i="54" s="1"/>
  <c r="H270" i="54" s="1"/>
  <c r="I270" i="54" s="1"/>
  <c r="J270" i="54" s="1"/>
  <c r="K270" i="54" s="1"/>
  <c r="L270" i="54" s="1"/>
  <c r="M270" i="54" s="1"/>
  <c r="N270" i="54" s="1"/>
  <c r="O270" i="54" s="1"/>
  <c r="P270" i="54" s="1"/>
  <c r="Q270" i="54" s="1"/>
  <c r="R270" i="54" s="1"/>
  <c r="S270" i="54" s="1"/>
  <c r="T270" i="54" s="1"/>
  <c r="U270" i="54" s="1"/>
  <c r="V270" i="54" s="1"/>
  <c r="W270" i="54" s="1"/>
  <c r="X270" i="54" s="1"/>
  <c r="Y270" i="54" s="1"/>
  <c r="C271" i="54" s="1"/>
  <c r="D271" i="54" s="1"/>
  <c r="E271" i="54" s="1"/>
  <c r="F271" i="54" s="1"/>
  <c r="G271" i="54" s="1"/>
  <c r="H271" i="54" s="1"/>
  <c r="I271" i="54" s="1"/>
  <c r="J271" i="54" s="1"/>
  <c r="K271" i="54" s="1"/>
  <c r="L271" i="54" s="1"/>
  <c r="M271" i="54" s="1"/>
  <c r="N271" i="54" s="1"/>
  <c r="O271" i="54" s="1"/>
  <c r="P271" i="54" s="1"/>
  <c r="Q271" i="54" s="1"/>
  <c r="R271" i="54" s="1"/>
  <c r="S271" i="54" s="1"/>
  <c r="T271" i="54" s="1"/>
  <c r="U271" i="54" s="1"/>
  <c r="V271" i="54" s="1"/>
  <c r="W271" i="54" s="1"/>
  <c r="X271" i="54" s="1"/>
  <c r="Y271" i="54" s="1"/>
  <c r="C272" i="54" s="1"/>
  <c r="D272" i="54" s="1"/>
  <c r="E272" i="54" s="1"/>
  <c r="F272" i="54" s="1"/>
  <c r="G272" i="54" s="1"/>
  <c r="H272" i="54" s="1"/>
  <c r="I272" i="54" s="1"/>
  <c r="J272" i="54" s="1"/>
  <c r="K272" i="54" s="1"/>
  <c r="L272" i="54" s="1"/>
  <c r="M272" i="54" s="1"/>
  <c r="N272" i="54" s="1"/>
  <c r="O272" i="54" s="1"/>
  <c r="P272" i="54" s="1"/>
  <c r="Q272" i="54" s="1"/>
  <c r="R272" i="54" s="1"/>
  <c r="S272" i="54" s="1"/>
  <c r="T272" i="54" s="1"/>
  <c r="U272" i="54" s="1"/>
  <c r="V272" i="54" s="1"/>
  <c r="W272" i="54" s="1"/>
  <c r="X272" i="54" s="1"/>
  <c r="Y272" i="54" s="1"/>
  <c r="C273" i="54" s="1"/>
  <c r="D273" i="54" s="1"/>
  <c r="E273" i="54" s="1"/>
  <c r="F273" i="54" s="1"/>
  <c r="G273" i="54" s="1"/>
  <c r="H273" i="54" s="1"/>
  <c r="I273" i="54" s="1"/>
  <c r="J273" i="54" s="1"/>
  <c r="K273" i="54" s="1"/>
  <c r="L273" i="54" s="1"/>
  <c r="M273" i="54" s="1"/>
  <c r="N273" i="54" s="1"/>
  <c r="O273" i="54" s="1"/>
  <c r="P273" i="54" s="1"/>
  <c r="Q273" i="54" s="1"/>
  <c r="R273" i="54" s="1"/>
  <c r="S273" i="54" s="1"/>
  <c r="T273" i="54" s="1"/>
  <c r="U273" i="54" s="1"/>
  <c r="V273" i="54" s="1"/>
  <c r="W273" i="54" s="1"/>
  <c r="X273" i="54" s="1"/>
  <c r="Y273" i="54" s="1"/>
  <c r="C274" i="54" s="1"/>
  <c r="D274" i="54" s="1"/>
  <c r="E274" i="54" s="1"/>
  <c r="F274" i="54" s="1"/>
  <c r="G274" i="54" s="1"/>
  <c r="H274" i="54" s="1"/>
  <c r="I274" i="54" s="1"/>
  <c r="J274" i="54" s="1"/>
  <c r="K274" i="54" s="1"/>
  <c r="L274" i="54" s="1"/>
  <c r="M274" i="54" s="1"/>
  <c r="N274" i="54" s="1"/>
  <c r="O274" i="54" s="1"/>
  <c r="P274" i="54" s="1"/>
  <c r="Q274" i="54" s="1"/>
  <c r="R274" i="54" s="1"/>
  <c r="S274" i="54" s="1"/>
  <c r="T274" i="54" s="1"/>
  <c r="U274" i="54" s="1"/>
  <c r="V274" i="54" s="1"/>
  <c r="W274" i="54" s="1"/>
  <c r="X274" i="54" s="1"/>
  <c r="Y274" i="54" s="1"/>
  <c r="C275" i="54" s="1"/>
  <c r="D275" i="54" s="1"/>
  <c r="E275" i="54" s="1"/>
  <c r="F275" i="54" s="1"/>
  <c r="G275" i="54" s="1"/>
  <c r="H275" i="54" s="1"/>
  <c r="I275" i="54" s="1"/>
  <c r="J275" i="54" s="1"/>
  <c r="K275" i="54" s="1"/>
  <c r="L275" i="54" s="1"/>
  <c r="M275" i="54" s="1"/>
  <c r="N275" i="54" s="1"/>
  <c r="O275" i="54" s="1"/>
  <c r="P275" i="54" s="1"/>
  <c r="Q275" i="54" s="1"/>
  <c r="R275" i="54" s="1"/>
  <c r="S275" i="54" s="1"/>
  <c r="T275" i="54" s="1"/>
  <c r="U275" i="54" s="1"/>
  <c r="V275" i="54" s="1"/>
  <c r="W275" i="54" s="1"/>
  <c r="X275" i="54" s="1"/>
  <c r="Y275" i="54" s="1"/>
  <c r="C276" i="54" s="1"/>
  <c r="D276" i="54" s="1"/>
  <c r="E276" i="54" s="1"/>
  <c r="F276" i="54" s="1"/>
  <c r="G276" i="54" s="1"/>
  <c r="H276" i="54" s="1"/>
  <c r="I276" i="54" s="1"/>
  <c r="J276" i="54" s="1"/>
  <c r="K276" i="54" s="1"/>
  <c r="L276" i="54" s="1"/>
  <c r="M276" i="54" s="1"/>
  <c r="N276" i="54" s="1"/>
  <c r="O276" i="54" s="1"/>
  <c r="P276" i="54" s="1"/>
  <c r="Q276" i="54" s="1"/>
  <c r="R276" i="54" s="1"/>
  <c r="S276" i="54" s="1"/>
  <c r="T276" i="54" s="1"/>
  <c r="U276" i="54" s="1"/>
  <c r="V276" i="54" s="1"/>
  <c r="W276" i="54" s="1"/>
  <c r="X276" i="54" s="1"/>
  <c r="Y276" i="54" s="1"/>
  <c r="C277" i="54" s="1"/>
  <c r="D277" i="54" s="1"/>
  <c r="E277" i="54" s="1"/>
  <c r="F277" i="54" s="1"/>
  <c r="G277" i="54" s="1"/>
  <c r="H277" i="54" s="1"/>
  <c r="I277" i="54" s="1"/>
  <c r="J277" i="54" s="1"/>
  <c r="K277" i="54" s="1"/>
  <c r="L277" i="54" s="1"/>
  <c r="M277" i="54" s="1"/>
  <c r="N277" i="54" s="1"/>
  <c r="O277" i="54" s="1"/>
  <c r="P277" i="54" s="1"/>
  <c r="Q277" i="54" s="1"/>
  <c r="R277" i="54" s="1"/>
  <c r="S277" i="54" s="1"/>
  <c r="T277" i="54" s="1"/>
  <c r="U277" i="54" s="1"/>
  <c r="V277" i="54" s="1"/>
  <c r="W277" i="54" s="1"/>
  <c r="X277" i="54" s="1"/>
  <c r="Y277" i="54" s="1"/>
  <c r="C278" i="54" s="1"/>
  <c r="D278" i="54" s="1"/>
  <c r="E278" i="54" s="1"/>
  <c r="F278" i="54" s="1"/>
  <c r="G278" i="54" s="1"/>
  <c r="H278" i="54" s="1"/>
  <c r="I278" i="54" s="1"/>
  <c r="J278" i="54" s="1"/>
  <c r="K278" i="54" s="1"/>
  <c r="L278" i="54" s="1"/>
  <c r="M278" i="54" s="1"/>
  <c r="N278" i="54" s="1"/>
  <c r="O278" i="54" s="1"/>
  <c r="P278" i="54" s="1"/>
  <c r="Q278" i="54" s="1"/>
  <c r="R278" i="54" s="1"/>
  <c r="S278" i="54" s="1"/>
  <c r="T278" i="54" s="1"/>
  <c r="U278" i="54" s="1"/>
  <c r="V278" i="54" s="1"/>
  <c r="W278" i="54" s="1"/>
  <c r="X278" i="54" s="1"/>
  <c r="Y278" i="54" s="1"/>
  <c r="C279" i="54" s="1"/>
  <c r="D279" i="54" s="1"/>
  <c r="E279" i="54" s="1"/>
  <c r="F279" i="54" s="1"/>
  <c r="G279" i="54" s="1"/>
  <c r="H279" i="54" s="1"/>
  <c r="I279" i="54" s="1"/>
  <c r="J279" i="54" s="1"/>
  <c r="K279" i="54" s="1"/>
  <c r="L279" i="54" s="1"/>
  <c r="M279" i="54" s="1"/>
  <c r="N279" i="54" s="1"/>
  <c r="O279" i="54" s="1"/>
  <c r="P279" i="54" s="1"/>
  <c r="Q279" i="54" s="1"/>
  <c r="R279" i="54" s="1"/>
  <c r="S279" i="54" s="1"/>
  <c r="T279" i="54" s="1"/>
  <c r="U279" i="54" s="1"/>
  <c r="V279" i="54" s="1"/>
  <c r="W279" i="54" s="1"/>
  <c r="X279" i="54" s="1"/>
  <c r="Y279" i="54" s="1"/>
  <c r="C280" i="54" s="1"/>
  <c r="D280" i="54" s="1"/>
  <c r="E280" i="54" s="1"/>
  <c r="F280" i="54" s="1"/>
  <c r="G280" i="54" s="1"/>
  <c r="E258" i="55"/>
  <c r="F258" i="55"/>
  <c r="G258" i="55" s="1"/>
  <c r="H258" i="55" s="1"/>
  <c r="I258" i="55" s="1"/>
  <c r="J258" i="55" s="1"/>
  <c r="K258" i="55" s="1"/>
  <c r="L258" i="55" s="1"/>
  <c r="M258" i="55" s="1"/>
  <c r="N258" i="55" s="1"/>
  <c r="O258" i="55" s="1"/>
  <c r="P258" i="55" s="1"/>
  <c r="Q258" i="55" s="1"/>
  <c r="R258" i="55" s="1"/>
  <c r="S258" i="55" s="1"/>
  <c r="T258" i="55" s="1"/>
  <c r="U258" i="55" s="1"/>
  <c r="V258" i="55" s="1"/>
  <c r="W258" i="55" s="1"/>
  <c r="X258" i="55" s="1"/>
  <c r="Y258" i="55" s="1"/>
  <c r="C259" i="55" s="1"/>
  <c r="D259" i="55" s="1"/>
  <c r="E259" i="55" s="1"/>
  <c r="F259" i="55" s="1"/>
  <c r="G259" i="55" s="1"/>
  <c r="H259" i="55" s="1"/>
  <c r="I259" i="55" s="1"/>
  <c r="J259" i="55" s="1"/>
  <c r="K259" i="55" s="1"/>
  <c r="L259" i="55" s="1"/>
  <c r="M259" i="55" s="1"/>
  <c r="N259" i="55" s="1"/>
  <c r="O259" i="55" s="1"/>
  <c r="P259" i="55" s="1"/>
  <c r="Q259" i="55" s="1"/>
  <c r="R259" i="55" s="1"/>
  <c r="S259" i="55" s="1"/>
  <c r="T259" i="55" s="1"/>
  <c r="U259" i="55" s="1"/>
  <c r="V259" i="55" s="1"/>
  <c r="W259" i="55" s="1"/>
  <c r="X259" i="55" s="1"/>
  <c r="Y259" i="55" s="1"/>
  <c r="C260" i="55" s="1"/>
  <c r="D260" i="55" s="1"/>
  <c r="E260" i="55" s="1"/>
  <c r="F260" i="55" s="1"/>
  <c r="G260" i="55" s="1"/>
  <c r="H260" i="55" s="1"/>
  <c r="I260" i="55" s="1"/>
  <c r="J260" i="55" s="1"/>
  <c r="K260" i="55" s="1"/>
  <c r="L260" i="55" s="1"/>
  <c r="M260" i="55" s="1"/>
  <c r="N260" i="55" s="1"/>
  <c r="O260" i="55" s="1"/>
  <c r="P260" i="55" s="1"/>
  <c r="Q260" i="55" s="1"/>
  <c r="R260" i="55" s="1"/>
  <c r="S260" i="55" s="1"/>
  <c r="T260" i="55" s="1"/>
  <c r="U260" i="55" s="1"/>
  <c r="V260" i="55" s="1"/>
  <c r="W260" i="55" s="1"/>
  <c r="X260" i="55" s="1"/>
  <c r="Y260" i="55" s="1"/>
  <c r="C261" i="55" s="1"/>
  <c r="D261" i="55" s="1"/>
  <c r="E261" i="55" s="1"/>
  <c r="F261" i="55" s="1"/>
  <c r="G261" i="55" s="1"/>
  <c r="H261" i="55" s="1"/>
  <c r="I261" i="55" s="1"/>
  <c r="J261" i="55" s="1"/>
  <c r="K261" i="55" s="1"/>
  <c r="L261" i="55" s="1"/>
  <c r="M261" i="55" s="1"/>
  <c r="N261" i="55" s="1"/>
  <c r="O261" i="55" s="1"/>
  <c r="P261" i="55" s="1"/>
  <c r="Q261" i="55" s="1"/>
  <c r="R261" i="55" s="1"/>
  <c r="S261" i="55" s="1"/>
  <c r="T261" i="55" s="1"/>
  <c r="U261" i="55" s="1"/>
  <c r="V261" i="55" s="1"/>
  <c r="W261" i="55" s="1"/>
  <c r="X261" i="55" s="1"/>
  <c r="Y261" i="55" s="1"/>
  <c r="C262" i="55" s="1"/>
  <c r="D262" i="55" s="1"/>
  <c r="E262" i="55" s="1"/>
  <c r="F262" i="55" s="1"/>
  <c r="G262" i="55" s="1"/>
  <c r="H262" i="55" s="1"/>
  <c r="I262" i="55" s="1"/>
  <c r="J262" i="55" s="1"/>
  <c r="K262" i="55" s="1"/>
  <c r="L262" i="55" s="1"/>
  <c r="M262" i="55" s="1"/>
  <c r="N262" i="55" s="1"/>
  <c r="O262" i="55" s="1"/>
  <c r="P262" i="55" s="1"/>
  <c r="Q262" i="55" s="1"/>
  <c r="R262" i="55" s="1"/>
  <c r="S262" i="55" s="1"/>
  <c r="T262" i="55" s="1"/>
  <c r="U262" i="55" s="1"/>
  <c r="V262" i="55" s="1"/>
  <c r="W262" i="55" s="1"/>
  <c r="X262" i="55" s="1"/>
  <c r="Y262" i="55" s="1"/>
  <c r="C263" i="55" s="1"/>
  <c r="D263" i="55" s="1"/>
  <c r="E263" i="55" s="1"/>
  <c r="F263" i="55" s="1"/>
  <c r="G263" i="55" s="1"/>
  <c r="H263" i="55" s="1"/>
  <c r="I263" i="55" s="1"/>
  <c r="J263" i="55" s="1"/>
  <c r="K263" i="55" s="1"/>
  <c r="L263" i="55" s="1"/>
  <c r="M263" i="55" s="1"/>
  <c r="N263" i="55" s="1"/>
  <c r="O263" i="55" s="1"/>
  <c r="P263" i="55" s="1"/>
  <c r="Q263" i="55" s="1"/>
  <c r="R263" i="55" s="1"/>
  <c r="S263" i="55" s="1"/>
  <c r="T263" i="55" s="1"/>
  <c r="U263" i="55" s="1"/>
  <c r="V263" i="55" s="1"/>
  <c r="W263" i="55" s="1"/>
  <c r="X263" i="55" s="1"/>
  <c r="Y263" i="55" s="1"/>
  <c r="C264" i="55" s="1"/>
  <c r="D264" i="55" s="1"/>
  <c r="E264" i="55" s="1"/>
  <c r="F264" i="55" s="1"/>
  <c r="G264" i="55" s="1"/>
  <c r="H264" i="55" s="1"/>
  <c r="I264" i="55" s="1"/>
  <c r="J264" i="55" s="1"/>
  <c r="K264" i="55" s="1"/>
  <c r="L264" i="55" s="1"/>
  <c r="M264" i="55" s="1"/>
  <c r="N264" i="55" s="1"/>
  <c r="O264" i="55" s="1"/>
  <c r="P264" i="55" s="1"/>
  <c r="Q264" i="55" s="1"/>
  <c r="R264" i="55" s="1"/>
  <c r="S264" i="55" s="1"/>
  <c r="T264" i="55" s="1"/>
  <c r="U264" i="55" s="1"/>
  <c r="V264" i="55" s="1"/>
  <c r="W264" i="55" s="1"/>
  <c r="X264" i="55" s="1"/>
  <c r="Y264" i="55" s="1"/>
  <c r="C265" i="55" s="1"/>
  <c r="D265" i="55" s="1"/>
  <c r="E265" i="55" s="1"/>
  <c r="F265" i="55" s="1"/>
  <c r="G265" i="55" s="1"/>
  <c r="H265" i="55" s="1"/>
  <c r="I265" i="55" s="1"/>
  <c r="J265" i="55" s="1"/>
  <c r="K265" i="55" s="1"/>
  <c r="L265" i="55" s="1"/>
  <c r="M265" i="55" s="1"/>
  <c r="N265" i="55" s="1"/>
  <c r="O265" i="55" s="1"/>
  <c r="P265" i="55" s="1"/>
  <c r="Q265" i="55" s="1"/>
  <c r="R265" i="55" s="1"/>
  <c r="S265" i="55" s="1"/>
  <c r="T265" i="55" s="1"/>
  <c r="U265" i="55" s="1"/>
  <c r="V265" i="55" s="1"/>
  <c r="W265" i="55" s="1"/>
  <c r="X265" i="55" s="1"/>
  <c r="Y265" i="55" s="1"/>
  <c r="C266" i="55" s="1"/>
  <c r="D266" i="55" s="1"/>
  <c r="E266" i="55" s="1"/>
  <c r="F266" i="55" s="1"/>
  <c r="G266" i="55" s="1"/>
  <c r="H266" i="55" s="1"/>
  <c r="I266" i="55" s="1"/>
  <c r="J266" i="55" s="1"/>
  <c r="K266" i="55" s="1"/>
  <c r="L266" i="55" s="1"/>
  <c r="M266" i="55" s="1"/>
  <c r="N266" i="55" s="1"/>
  <c r="O266" i="55" s="1"/>
  <c r="P266" i="55" s="1"/>
  <c r="Q266" i="55" s="1"/>
  <c r="R266" i="55" s="1"/>
  <c r="S266" i="55" s="1"/>
  <c r="T266" i="55" s="1"/>
  <c r="U266" i="55" s="1"/>
  <c r="V266" i="55" s="1"/>
  <c r="W266" i="55" s="1"/>
  <c r="X266" i="55" s="1"/>
  <c r="Y266" i="55" s="1"/>
  <c r="C267" i="55" s="1"/>
  <c r="D267" i="55" s="1"/>
  <c r="E267" i="55" s="1"/>
  <c r="F267" i="55" s="1"/>
  <c r="G267" i="55" s="1"/>
  <c r="H267" i="55" s="1"/>
  <c r="I267" i="55" s="1"/>
  <c r="J267" i="55" s="1"/>
  <c r="K267" i="55" s="1"/>
  <c r="L267" i="55" s="1"/>
  <c r="M267" i="55" s="1"/>
  <c r="N267" i="55" s="1"/>
  <c r="O267" i="55" s="1"/>
  <c r="P267" i="55" s="1"/>
  <c r="Q267" i="55" s="1"/>
  <c r="R267" i="55" s="1"/>
  <c r="S267" i="55" s="1"/>
  <c r="T267" i="55" s="1"/>
  <c r="U267" i="55" s="1"/>
  <c r="V267" i="55" s="1"/>
  <c r="W267" i="55" s="1"/>
  <c r="X267" i="55" s="1"/>
  <c r="Y267" i="55" s="1"/>
  <c r="C268" i="55" s="1"/>
  <c r="D268" i="55" s="1"/>
  <c r="E268" i="55" s="1"/>
  <c r="F268" i="55" s="1"/>
  <c r="G268" i="55" s="1"/>
  <c r="H268" i="55" s="1"/>
  <c r="I268" i="55" s="1"/>
  <c r="J268" i="55" s="1"/>
  <c r="K268" i="55" s="1"/>
  <c r="L268" i="55" s="1"/>
  <c r="M268" i="55" s="1"/>
  <c r="N268" i="55" s="1"/>
  <c r="O268" i="55" s="1"/>
  <c r="P268" i="55" s="1"/>
  <c r="Q268" i="55" s="1"/>
  <c r="R268" i="55" s="1"/>
  <c r="S268" i="55" s="1"/>
  <c r="T268" i="55" s="1"/>
  <c r="U268" i="55" s="1"/>
  <c r="V268" i="55" s="1"/>
  <c r="W268" i="55" s="1"/>
  <c r="X268" i="55" s="1"/>
  <c r="Y268" i="55" s="1"/>
  <c r="C269" i="55" s="1"/>
  <c r="D269" i="55" s="1"/>
  <c r="E269" i="55" s="1"/>
  <c r="F269" i="55" s="1"/>
  <c r="G269" i="55" s="1"/>
  <c r="H269" i="55" s="1"/>
  <c r="I269" i="55" s="1"/>
  <c r="J269" i="55" s="1"/>
  <c r="K269" i="55" s="1"/>
  <c r="L269" i="55" s="1"/>
  <c r="M269" i="55" s="1"/>
  <c r="N269" i="55" s="1"/>
  <c r="O269" i="55" s="1"/>
  <c r="P269" i="55" s="1"/>
  <c r="Q269" i="55" s="1"/>
  <c r="R269" i="55" s="1"/>
  <c r="S269" i="55" s="1"/>
  <c r="T269" i="55" s="1"/>
  <c r="U269" i="55" s="1"/>
  <c r="V269" i="55" s="1"/>
  <c r="W269" i="55" s="1"/>
  <c r="X269" i="55" s="1"/>
  <c r="Y269" i="55" s="1"/>
  <c r="C270" i="55" s="1"/>
  <c r="D270" i="55" s="1"/>
  <c r="E270" i="55" s="1"/>
  <c r="F270" i="55" s="1"/>
  <c r="G270" i="55" s="1"/>
  <c r="H270" i="55" s="1"/>
  <c r="I270" i="55" s="1"/>
  <c r="J270" i="55" s="1"/>
  <c r="K270" i="55" s="1"/>
  <c r="L270" i="55" s="1"/>
  <c r="M270" i="55" s="1"/>
  <c r="N270" i="55" s="1"/>
  <c r="O270" i="55" s="1"/>
  <c r="P270" i="55" s="1"/>
  <c r="Q270" i="55" s="1"/>
  <c r="R270" i="55" s="1"/>
  <c r="S270" i="55" s="1"/>
  <c r="T270" i="55" s="1"/>
  <c r="U270" i="55" s="1"/>
  <c r="V270" i="55" s="1"/>
  <c r="W270" i="55" s="1"/>
  <c r="X270" i="55" s="1"/>
  <c r="Y270" i="55" s="1"/>
  <c r="C271" i="55" s="1"/>
  <c r="D271" i="55" s="1"/>
  <c r="E271" i="55" s="1"/>
  <c r="F271" i="55" s="1"/>
  <c r="G271" i="55" s="1"/>
  <c r="H271" i="55" s="1"/>
  <c r="I271" i="55" s="1"/>
  <c r="J271" i="55" s="1"/>
  <c r="K271" i="55" s="1"/>
  <c r="L271" i="55" s="1"/>
  <c r="M271" i="55" s="1"/>
  <c r="N271" i="55" s="1"/>
  <c r="O271" i="55" s="1"/>
  <c r="P271" i="55" s="1"/>
  <c r="Q271" i="55" s="1"/>
  <c r="R271" i="55" s="1"/>
  <c r="S271" i="55" s="1"/>
  <c r="T271" i="55" s="1"/>
  <c r="U271" i="55" s="1"/>
  <c r="V271" i="55" s="1"/>
  <c r="W271" i="55" s="1"/>
  <c r="X271" i="55" s="1"/>
  <c r="Y271" i="55" s="1"/>
  <c r="C272" i="55" s="1"/>
  <c r="D272" i="55" s="1"/>
  <c r="E272" i="55" s="1"/>
  <c r="F272" i="55" s="1"/>
  <c r="G272" i="55" s="1"/>
  <c r="H272" i="55" s="1"/>
  <c r="I272" i="55" s="1"/>
  <c r="J272" i="55" s="1"/>
  <c r="K272" i="55" s="1"/>
  <c r="L272" i="55" s="1"/>
  <c r="M272" i="55" s="1"/>
  <c r="N272" i="55" s="1"/>
  <c r="O272" i="55" s="1"/>
  <c r="P272" i="55" s="1"/>
  <c r="Q272" i="55" s="1"/>
  <c r="R272" i="55" s="1"/>
  <c r="S272" i="55" s="1"/>
  <c r="T272" i="55" s="1"/>
  <c r="U272" i="55" s="1"/>
  <c r="V272" i="55" s="1"/>
  <c r="W272" i="55" s="1"/>
  <c r="X272" i="55" s="1"/>
  <c r="Y272" i="55" s="1"/>
  <c r="C273" i="55" s="1"/>
  <c r="D273" i="55" s="1"/>
  <c r="E273" i="55" s="1"/>
  <c r="F273" i="55" s="1"/>
  <c r="G273" i="55" s="1"/>
  <c r="H273" i="55" s="1"/>
  <c r="I273" i="55" s="1"/>
  <c r="J273" i="55" s="1"/>
  <c r="K273" i="55" s="1"/>
  <c r="L273" i="55" s="1"/>
  <c r="M273" i="55" s="1"/>
  <c r="N273" i="55" s="1"/>
  <c r="O273" i="55" s="1"/>
  <c r="P273" i="55" s="1"/>
  <c r="Q273" i="55" s="1"/>
  <c r="R273" i="55" s="1"/>
  <c r="S273" i="55" s="1"/>
  <c r="T273" i="55" s="1"/>
  <c r="U273" i="55" s="1"/>
  <c r="V273" i="55" s="1"/>
  <c r="W273" i="55" s="1"/>
  <c r="X273" i="55" s="1"/>
  <c r="Y273" i="55" s="1"/>
  <c r="C274" i="55" s="1"/>
  <c r="D274" i="55" s="1"/>
  <c r="E274" i="55" s="1"/>
  <c r="F274" i="55" s="1"/>
  <c r="G274" i="55" s="1"/>
  <c r="H274" i="55" s="1"/>
  <c r="I274" i="55" s="1"/>
  <c r="J274" i="55" s="1"/>
  <c r="K274" i="55" s="1"/>
  <c r="L274" i="55" s="1"/>
  <c r="M274" i="55" s="1"/>
  <c r="N274" i="55" s="1"/>
  <c r="O274" i="55" s="1"/>
  <c r="P274" i="55" s="1"/>
  <c r="Q274" i="55" s="1"/>
  <c r="R274" i="55" s="1"/>
  <c r="S274" i="55" s="1"/>
  <c r="T274" i="55" s="1"/>
  <c r="U274" i="55" s="1"/>
  <c r="V274" i="55" s="1"/>
  <c r="W274" i="55" s="1"/>
  <c r="X274" i="55" s="1"/>
  <c r="Y274" i="55" s="1"/>
  <c r="C275" i="55" s="1"/>
  <c r="D275" i="55" s="1"/>
  <c r="E275" i="55" s="1"/>
  <c r="F275" i="55" s="1"/>
  <c r="G275" i="55" s="1"/>
  <c r="H275" i="55" s="1"/>
  <c r="I275" i="55" s="1"/>
  <c r="J275" i="55" s="1"/>
  <c r="K275" i="55" s="1"/>
  <c r="L275" i="55" s="1"/>
  <c r="M275" i="55" s="1"/>
  <c r="N275" i="55" s="1"/>
  <c r="O275" i="55" s="1"/>
  <c r="P275" i="55" s="1"/>
  <c r="Q275" i="55" s="1"/>
  <c r="R275" i="55" s="1"/>
  <c r="S275" i="55" s="1"/>
  <c r="T275" i="55" s="1"/>
  <c r="U275" i="55" s="1"/>
  <c r="V275" i="55" s="1"/>
  <c r="W275" i="55" s="1"/>
  <c r="X275" i="55" s="1"/>
  <c r="Y275" i="55" s="1"/>
  <c r="C276" i="55" s="1"/>
  <c r="D276" i="55" s="1"/>
  <c r="E276" i="55" s="1"/>
  <c r="F276" i="55" s="1"/>
  <c r="G276" i="55" s="1"/>
  <c r="H276" i="55" s="1"/>
  <c r="I276" i="55" s="1"/>
  <c r="J276" i="55" s="1"/>
  <c r="K276" i="55" s="1"/>
  <c r="L276" i="55" s="1"/>
  <c r="M276" i="55" s="1"/>
  <c r="N276" i="55" s="1"/>
  <c r="O276" i="55" s="1"/>
  <c r="P276" i="55" s="1"/>
  <c r="Q276" i="55" s="1"/>
  <c r="R276" i="55" s="1"/>
  <c r="S276" i="55" s="1"/>
  <c r="T276" i="55" s="1"/>
  <c r="U276" i="55" s="1"/>
  <c r="V276" i="55" s="1"/>
  <c r="W276" i="55" s="1"/>
  <c r="X276" i="55" s="1"/>
  <c r="Y276" i="55" s="1"/>
  <c r="C277" i="55" s="1"/>
  <c r="D277" i="55" s="1"/>
  <c r="E277" i="55" s="1"/>
  <c r="F277" i="55" s="1"/>
  <c r="G277" i="55" s="1"/>
  <c r="H277" i="55" s="1"/>
  <c r="I277" i="55" s="1"/>
  <c r="J277" i="55" s="1"/>
  <c r="K277" i="55" s="1"/>
  <c r="L277" i="55" s="1"/>
  <c r="M277" i="55" s="1"/>
  <c r="N277" i="55" s="1"/>
  <c r="O277" i="55" s="1"/>
  <c r="P277" i="55" s="1"/>
  <c r="Q277" i="55" s="1"/>
  <c r="R277" i="55" s="1"/>
  <c r="S277" i="55" s="1"/>
  <c r="T277" i="55" s="1"/>
  <c r="U277" i="55" s="1"/>
  <c r="V277" i="55" s="1"/>
  <c r="W277" i="55" s="1"/>
  <c r="X277" i="55" s="1"/>
  <c r="Y277" i="55" s="1"/>
  <c r="C278" i="55" s="1"/>
  <c r="D278" i="55" s="1"/>
  <c r="E278" i="55" s="1"/>
  <c r="F278" i="55" s="1"/>
  <c r="G278" i="55" s="1"/>
  <c r="H278" i="55" s="1"/>
  <c r="I278" i="55" s="1"/>
  <c r="J278" i="55" s="1"/>
  <c r="K278" i="55" s="1"/>
  <c r="L278" i="55" s="1"/>
  <c r="M278" i="55" s="1"/>
  <c r="N278" i="55" s="1"/>
  <c r="O278" i="55" s="1"/>
  <c r="P278" i="55" s="1"/>
  <c r="Q278" i="55" s="1"/>
  <c r="R278" i="55" s="1"/>
  <c r="S278" i="55" s="1"/>
  <c r="T278" i="55" s="1"/>
  <c r="U278" i="55" s="1"/>
  <c r="V278" i="55" s="1"/>
  <c r="W278" i="55" s="1"/>
  <c r="X278" i="55" s="1"/>
  <c r="Y278" i="55" s="1"/>
  <c r="C279" i="55" s="1"/>
  <c r="D279" i="55" s="1"/>
  <c r="E279" i="55" s="1"/>
  <c r="F279" i="55" s="1"/>
  <c r="G279" i="55" s="1"/>
  <c r="H279" i="55" s="1"/>
  <c r="I279" i="55" s="1"/>
  <c r="J279" i="55" s="1"/>
  <c r="K279" i="55" s="1"/>
  <c r="L279" i="55" s="1"/>
  <c r="M279" i="55" s="1"/>
  <c r="N279" i="55" s="1"/>
  <c r="O279" i="55" s="1"/>
  <c r="P279" i="55" s="1"/>
  <c r="Q279" i="55" s="1"/>
  <c r="R279" i="55" s="1"/>
  <c r="S279" i="55" s="1"/>
  <c r="T279" i="55" s="1"/>
  <c r="U279" i="55" s="1"/>
  <c r="V279" i="55" s="1"/>
  <c r="W279" i="55" s="1"/>
  <c r="X279" i="55" s="1"/>
  <c r="Y279" i="55" s="1"/>
  <c r="C280" i="55" s="1"/>
  <c r="D280" i="55" s="1"/>
  <c r="E280" i="55" s="1"/>
  <c r="F280" i="55" s="1"/>
  <c r="G280" i="55" s="1"/>
  <c r="H280" i="55" s="1"/>
  <c r="I280" i="55" s="1"/>
  <c r="J280" i="55" s="1"/>
  <c r="K280" i="55" s="1"/>
  <c r="L280" i="55" s="1"/>
  <c r="M280" i="55" s="1"/>
  <c r="N280" i="55" s="1"/>
  <c r="O280" i="55" s="1"/>
  <c r="P280" i="55" s="1"/>
  <c r="Q280" i="55" s="1"/>
  <c r="R280" i="55" s="1"/>
  <c r="S280" i="55" s="1"/>
  <c r="T280" i="55" s="1"/>
  <c r="U280" i="55" s="1"/>
  <c r="V280" i="55" s="1"/>
  <c r="W280" i="55" s="1"/>
  <c r="X280" i="55" s="1"/>
  <c r="Y280" i="55" s="1"/>
  <c r="C281" i="55" s="1"/>
  <c r="D281" i="55" s="1"/>
  <c r="E281" i="55" s="1"/>
  <c r="F281" i="55" s="1"/>
  <c r="G281" i="55" s="1"/>
  <c r="E258" i="56"/>
  <c r="F258" i="56" s="1"/>
  <c r="G258" i="56" s="1"/>
  <c r="H258" i="56" s="1"/>
  <c r="I258" i="56" s="1"/>
  <c r="J258" i="56" s="1"/>
  <c r="K258" i="56" s="1"/>
  <c r="L258" i="56" s="1"/>
  <c r="M258" i="56" s="1"/>
  <c r="N258" i="56" s="1"/>
  <c r="O258" i="56" s="1"/>
  <c r="P258" i="56" s="1"/>
  <c r="Q258" i="56" s="1"/>
  <c r="R258" i="56" s="1"/>
  <c r="S258" i="56" s="1"/>
  <c r="T258" i="56" s="1"/>
  <c r="U258" i="56" s="1"/>
  <c r="V258" i="56" s="1"/>
  <c r="W258" i="56" s="1"/>
  <c r="X258" i="56" s="1"/>
  <c r="Y258" i="56" s="1"/>
  <c r="C259" i="56" s="1"/>
  <c r="D259" i="56" s="1"/>
  <c r="E259" i="56" s="1"/>
  <c r="F259" i="56" s="1"/>
  <c r="G259" i="56" s="1"/>
  <c r="H259" i="56" s="1"/>
  <c r="I259" i="56" s="1"/>
  <c r="J259" i="56" s="1"/>
  <c r="K259" i="56" s="1"/>
  <c r="L259" i="56" s="1"/>
  <c r="M259" i="56" s="1"/>
  <c r="N259" i="56" s="1"/>
  <c r="O259" i="56" s="1"/>
  <c r="P259" i="56" s="1"/>
  <c r="Q259" i="56" s="1"/>
  <c r="R259" i="56" s="1"/>
  <c r="S259" i="56" s="1"/>
  <c r="T259" i="56" s="1"/>
  <c r="U259" i="56" s="1"/>
  <c r="V259" i="56" s="1"/>
  <c r="W259" i="56" s="1"/>
  <c r="X259" i="56" s="1"/>
  <c r="Y259" i="56" s="1"/>
  <c r="C260" i="56" s="1"/>
  <c r="D260" i="56" s="1"/>
  <c r="E260" i="56" s="1"/>
  <c r="F260" i="56" s="1"/>
  <c r="G260" i="56" s="1"/>
  <c r="H260" i="56" s="1"/>
  <c r="I260" i="56" s="1"/>
  <c r="J260" i="56" s="1"/>
  <c r="K260" i="56" s="1"/>
  <c r="L260" i="56" s="1"/>
  <c r="M260" i="56" s="1"/>
  <c r="N260" i="56" s="1"/>
  <c r="O260" i="56" s="1"/>
  <c r="P260" i="56" s="1"/>
  <c r="Q260" i="56" s="1"/>
  <c r="R260" i="56" s="1"/>
  <c r="S260" i="56" s="1"/>
  <c r="T260" i="56" s="1"/>
  <c r="U260" i="56" s="1"/>
  <c r="V260" i="56" s="1"/>
  <c r="W260" i="56" s="1"/>
  <c r="X260" i="56" s="1"/>
  <c r="Y260" i="56" s="1"/>
  <c r="C261" i="56" s="1"/>
  <c r="D261" i="56" s="1"/>
  <c r="E261" i="56" s="1"/>
  <c r="F261" i="56" s="1"/>
  <c r="G261" i="56" s="1"/>
  <c r="H261" i="56" s="1"/>
  <c r="I261" i="56" s="1"/>
  <c r="J261" i="56" s="1"/>
  <c r="K261" i="56" s="1"/>
  <c r="L261" i="56" s="1"/>
  <c r="M261" i="56" s="1"/>
  <c r="N261" i="56" s="1"/>
  <c r="O261" i="56" s="1"/>
  <c r="P261" i="56" s="1"/>
  <c r="Q261" i="56" s="1"/>
  <c r="R261" i="56" s="1"/>
  <c r="S261" i="56" s="1"/>
  <c r="T261" i="56" s="1"/>
  <c r="U261" i="56" s="1"/>
  <c r="V261" i="56" s="1"/>
  <c r="W261" i="56" s="1"/>
  <c r="X261" i="56" s="1"/>
  <c r="Y261" i="56" s="1"/>
  <c r="C262" i="56" s="1"/>
  <c r="D262" i="56" s="1"/>
  <c r="E262" i="56" s="1"/>
  <c r="F262" i="56" s="1"/>
  <c r="G262" i="56" s="1"/>
  <c r="H262" i="56" s="1"/>
  <c r="I262" i="56" s="1"/>
  <c r="J262" i="56" s="1"/>
  <c r="K262" i="56" s="1"/>
  <c r="L262" i="56" s="1"/>
  <c r="M262" i="56" s="1"/>
  <c r="N262" i="56" s="1"/>
  <c r="O262" i="56" s="1"/>
  <c r="P262" i="56" s="1"/>
  <c r="Q262" i="56" s="1"/>
  <c r="R262" i="56" s="1"/>
  <c r="S262" i="56" s="1"/>
  <c r="T262" i="56" s="1"/>
  <c r="U262" i="56" s="1"/>
  <c r="V262" i="56" s="1"/>
  <c r="W262" i="56" s="1"/>
  <c r="X262" i="56" s="1"/>
  <c r="Y262" i="56" s="1"/>
  <c r="C263" i="56" s="1"/>
  <c r="D263" i="56" s="1"/>
  <c r="E263" i="56" s="1"/>
  <c r="F263" i="56" s="1"/>
  <c r="G263" i="56" s="1"/>
  <c r="H263" i="56" s="1"/>
  <c r="I263" i="56" s="1"/>
  <c r="J263" i="56" s="1"/>
  <c r="K263" i="56" s="1"/>
  <c r="L263" i="56" s="1"/>
  <c r="M263" i="56" s="1"/>
  <c r="N263" i="56" s="1"/>
  <c r="O263" i="56" s="1"/>
  <c r="P263" i="56" s="1"/>
  <c r="Q263" i="56" s="1"/>
  <c r="R263" i="56" s="1"/>
  <c r="S263" i="56" s="1"/>
  <c r="T263" i="56" s="1"/>
  <c r="U263" i="56" s="1"/>
  <c r="V263" i="56" s="1"/>
  <c r="W263" i="56" s="1"/>
  <c r="X263" i="56" s="1"/>
  <c r="Y263" i="56" s="1"/>
  <c r="C264" i="56" s="1"/>
  <c r="D264" i="56" s="1"/>
  <c r="E264" i="56" s="1"/>
  <c r="F264" i="56" s="1"/>
  <c r="G264" i="56" s="1"/>
  <c r="H264" i="56" s="1"/>
  <c r="I264" i="56" s="1"/>
  <c r="J264" i="56" s="1"/>
  <c r="K264" i="56" s="1"/>
  <c r="L264" i="56" s="1"/>
  <c r="M264" i="56" s="1"/>
  <c r="N264" i="56" s="1"/>
  <c r="O264" i="56" s="1"/>
  <c r="P264" i="56" s="1"/>
  <c r="Q264" i="56" s="1"/>
  <c r="R264" i="56" s="1"/>
  <c r="S264" i="56" s="1"/>
  <c r="T264" i="56" s="1"/>
  <c r="U264" i="56" s="1"/>
  <c r="V264" i="56" s="1"/>
  <c r="W264" i="56" s="1"/>
  <c r="X264" i="56" s="1"/>
  <c r="Y264" i="56" s="1"/>
  <c r="C265" i="56" s="1"/>
  <c r="D265" i="56" s="1"/>
  <c r="E265" i="56" s="1"/>
  <c r="F265" i="56" s="1"/>
  <c r="G265" i="56" s="1"/>
  <c r="H265" i="56" s="1"/>
  <c r="I265" i="56" s="1"/>
  <c r="J265" i="56" s="1"/>
  <c r="K265" i="56" s="1"/>
  <c r="L265" i="56" s="1"/>
  <c r="M265" i="56" s="1"/>
  <c r="N265" i="56" s="1"/>
  <c r="O265" i="56" s="1"/>
  <c r="P265" i="56" s="1"/>
  <c r="Q265" i="56" s="1"/>
  <c r="R265" i="56" s="1"/>
  <c r="S265" i="56" s="1"/>
  <c r="T265" i="56" s="1"/>
  <c r="U265" i="56" s="1"/>
  <c r="V265" i="56" s="1"/>
  <c r="W265" i="56" s="1"/>
  <c r="X265" i="56" s="1"/>
  <c r="Y265" i="56" s="1"/>
  <c r="C266" i="56" s="1"/>
  <c r="D266" i="56" s="1"/>
  <c r="E266" i="56" s="1"/>
  <c r="F266" i="56" s="1"/>
  <c r="G266" i="56" s="1"/>
  <c r="H266" i="56" s="1"/>
  <c r="I266" i="56" s="1"/>
  <c r="J266" i="56" s="1"/>
  <c r="K266" i="56" s="1"/>
  <c r="L266" i="56" s="1"/>
  <c r="M266" i="56" s="1"/>
  <c r="N266" i="56" s="1"/>
  <c r="O266" i="56" s="1"/>
  <c r="P266" i="56" s="1"/>
  <c r="Q266" i="56" s="1"/>
  <c r="R266" i="56" s="1"/>
  <c r="S266" i="56" s="1"/>
  <c r="T266" i="56" s="1"/>
  <c r="U266" i="56" s="1"/>
  <c r="V266" i="56" s="1"/>
  <c r="W266" i="56" s="1"/>
  <c r="X266" i="56" s="1"/>
  <c r="Y266" i="56" s="1"/>
  <c r="C267" i="56" s="1"/>
  <c r="D267" i="56" s="1"/>
  <c r="E267" i="56" s="1"/>
  <c r="F267" i="56" s="1"/>
  <c r="G267" i="56" s="1"/>
  <c r="H267" i="56" s="1"/>
  <c r="I267" i="56" s="1"/>
  <c r="J267" i="56" s="1"/>
  <c r="K267" i="56" s="1"/>
  <c r="L267" i="56" s="1"/>
  <c r="M267" i="56" s="1"/>
  <c r="N267" i="56" s="1"/>
  <c r="O267" i="56" s="1"/>
  <c r="P267" i="56" s="1"/>
  <c r="Q267" i="56" s="1"/>
  <c r="R267" i="56" s="1"/>
  <c r="S267" i="56" s="1"/>
  <c r="T267" i="56" s="1"/>
  <c r="U267" i="56" s="1"/>
  <c r="V267" i="56" s="1"/>
  <c r="W267" i="56" s="1"/>
  <c r="X267" i="56" s="1"/>
  <c r="Y267" i="56" s="1"/>
  <c r="C268" i="56" s="1"/>
  <c r="D268" i="56" s="1"/>
  <c r="E268" i="56" s="1"/>
  <c r="F268" i="56" s="1"/>
  <c r="G268" i="56" s="1"/>
  <c r="H268" i="56" s="1"/>
  <c r="I268" i="56" s="1"/>
  <c r="J268" i="56" s="1"/>
  <c r="K268" i="56" s="1"/>
  <c r="L268" i="56" s="1"/>
  <c r="M268" i="56" s="1"/>
  <c r="N268" i="56" s="1"/>
  <c r="O268" i="56" s="1"/>
  <c r="P268" i="56" s="1"/>
  <c r="Q268" i="56" s="1"/>
  <c r="R268" i="56" s="1"/>
  <c r="S268" i="56" s="1"/>
  <c r="T268" i="56" s="1"/>
  <c r="U268" i="56" s="1"/>
  <c r="V268" i="56" s="1"/>
  <c r="W268" i="56" s="1"/>
  <c r="X268" i="56" s="1"/>
  <c r="Y268" i="56" s="1"/>
  <c r="C269" i="56" s="1"/>
  <c r="D269" i="56" s="1"/>
  <c r="E269" i="56" s="1"/>
  <c r="F269" i="56" s="1"/>
  <c r="G269" i="56" s="1"/>
  <c r="H269" i="56" s="1"/>
  <c r="I269" i="56" s="1"/>
  <c r="J269" i="56" s="1"/>
  <c r="K269" i="56" s="1"/>
  <c r="L269" i="56" s="1"/>
  <c r="M269" i="56" s="1"/>
  <c r="N269" i="56" s="1"/>
  <c r="O269" i="56" s="1"/>
  <c r="P269" i="56" s="1"/>
  <c r="Q269" i="56" s="1"/>
  <c r="R269" i="56" s="1"/>
  <c r="S269" i="56" s="1"/>
  <c r="T269" i="56" s="1"/>
  <c r="U269" i="56" s="1"/>
  <c r="V269" i="56" s="1"/>
  <c r="W269" i="56" s="1"/>
  <c r="X269" i="56" s="1"/>
  <c r="Y269" i="56" s="1"/>
  <c r="C270" i="56" s="1"/>
  <c r="D270" i="56" s="1"/>
  <c r="E270" i="56" s="1"/>
  <c r="F270" i="56" s="1"/>
  <c r="G270" i="56" s="1"/>
  <c r="H270" i="56" s="1"/>
  <c r="I270" i="56" s="1"/>
  <c r="J270" i="56" s="1"/>
  <c r="K270" i="56" s="1"/>
  <c r="L270" i="56" s="1"/>
  <c r="M270" i="56" s="1"/>
  <c r="N270" i="56" s="1"/>
  <c r="O270" i="56" s="1"/>
  <c r="P270" i="56" s="1"/>
  <c r="Q270" i="56" s="1"/>
  <c r="R270" i="56" s="1"/>
  <c r="S270" i="56" s="1"/>
  <c r="T270" i="56" s="1"/>
  <c r="U270" i="56" s="1"/>
  <c r="V270" i="56" s="1"/>
  <c r="W270" i="56" s="1"/>
  <c r="X270" i="56" s="1"/>
  <c r="Y270" i="56" s="1"/>
  <c r="C271" i="56" s="1"/>
  <c r="D271" i="56" s="1"/>
  <c r="E271" i="56" s="1"/>
  <c r="F271" i="56" s="1"/>
  <c r="G271" i="56" s="1"/>
  <c r="H271" i="56" s="1"/>
  <c r="I271" i="56" s="1"/>
  <c r="J271" i="56" s="1"/>
  <c r="K271" i="56" s="1"/>
  <c r="L271" i="56" s="1"/>
  <c r="M271" i="56" s="1"/>
  <c r="N271" i="56" s="1"/>
  <c r="O271" i="56" s="1"/>
  <c r="P271" i="56" s="1"/>
  <c r="Q271" i="56" s="1"/>
  <c r="R271" i="56" s="1"/>
  <c r="S271" i="56" s="1"/>
  <c r="T271" i="56" s="1"/>
  <c r="U271" i="56" s="1"/>
  <c r="V271" i="56" s="1"/>
  <c r="W271" i="56" s="1"/>
  <c r="X271" i="56" s="1"/>
  <c r="Y271" i="56" s="1"/>
  <c r="C272" i="56" s="1"/>
  <c r="D272" i="56" s="1"/>
  <c r="E272" i="56" s="1"/>
  <c r="F272" i="56" s="1"/>
  <c r="G272" i="56" s="1"/>
  <c r="H272" i="56" s="1"/>
  <c r="I272" i="56" s="1"/>
  <c r="J272" i="56" s="1"/>
  <c r="K272" i="56" s="1"/>
  <c r="L272" i="56" s="1"/>
  <c r="M272" i="56" s="1"/>
  <c r="N272" i="56" s="1"/>
  <c r="O272" i="56" s="1"/>
  <c r="P272" i="56" s="1"/>
  <c r="Q272" i="56" s="1"/>
  <c r="R272" i="56" s="1"/>
  <c r="S272" i="56" s="1"/>
  <c r="T272" i="56" s="1"/>
  <c r="U272" i="56" s="1"/>
  <c r="V272" i="56" s="1"/>
  <c r="W272" i="56" s="1"/>
  <c r="X272" i="56" s="1"/>
  <c r="Y272" i="56" s="1"/>
  <c r="C273" i="56" s="1"/>
  <c r="D273" i="56" s="1"/>
  <c r="E273" i="56" s="1"/>
  <c r="F273" i="56" s="1"/>
  <c r="G273" i="56" s="1"/>
  <c r="H273" i="56" s="1"/>
  <c r="I273" i="56" s="1"/>
  <c r="J273" i="56" s="1"/>
  <c r="K273" i="56" s="1"/>
  <c r="L273" i="56" s="1"/>
  <c r="M273" i="56" s="1"/>
  <c r="N273" i="56" s="1"/>
  <c r="O273" i="56" s="1"/>
  <c r="P273" i="56" s="1"/>
  <c r="Q273" i="56" s="1"/>
  <c r="R273" i="56" s="1"/>
  <c r="S273" i="56" s="1"/>
  <c r="T273" i="56" s="1"/>
  <c r="U273" i="56" s="1"/>
  <c r="V273" i="56" s="1"/>
  <c r="W273" i="56" s="1"/>
  <c r="X273" i="56" s="1"/>
  <c r="Y273" i="56" s="1"/>
  <c r="C274" i="56" s="1"/>
  <c r="D274" i="56" s="1"/>
  <c r="E274" i="56" s="1"/>
  <c r="F274" i="56" s="1"/>
  <c r="G274" i="56" s="1"/>
  <c r="H274" i="56" s="1"/>
  <c r="I274" i="56" s="1"/>
  <c r="J274" i="56" s="1"/>
  <c r="K274" i="56" s="1"/>
  <c r="L274" i="56" s="1"/>
  <c r="M274" i="56" s="1"/>
  <c r="N274" i="56" s="1"/>
  <c r="O274" i="56" s="1"/>
  <c r="P274" i="56" s="1"/>
  <c r="Q274" i="56" s="1"/>
  <c r="R274" i="56" s="1"/>
  <c r="S274" i="56" s="1"/>
  <c r="T274" i="56" s="1"/>
  <c r="U274" i="56" s="1"/>
  <c r="V274" i="56" s="1"/>
  <c r="W274" i="56" s="1"/>
  <c r="X274" i="56" s="1"/>
  <c r="Y274" i="56" s="1"/>
  <c r="C275" i="56" s="1"/>
  <c r="D275" i="56" s="1"/>
  <c r="E275" i="56" s="1"/>
  <c r="F275" i="56" s="1"/>
  <c r="G275" i="56" s="1"/>
  <c r="H275" i="56" s="1"/>
  <c r="I275" i="56" s="1"/>
  <c r="J275" i="56" s="1"/>
  <c r="K275" i="56" s="1"/>
  <c r="L275" i="56" s="1"/>
  <c r="M275" i="56" s="1"/>
  <c r="N275" i="56" s="1"/>
  <c r="O275" i="56" s="1"/>
  <c r="P275" i="56" s="1"/>
  <c r="Q275" i="56" s="1"/>
  <c r="R275" i="56" s="1"/>
  <c r="S275" i="56" s="1"/>
  <c r="T275" i="56" s="1"/>
  <c r="U275" i="56" s="1"/>
  <c r="V275" i="56" s="1"/>
  <c r="W275" i="56" s="1"/>
  <c r="X275" i="56" s="1"/>
  <c r="Y275" i="56" s="1"/>
  <c r="C276" i="56" s="1"/>
  <c r="D276" i="56" s="1"/>
  <c r="E276" i="56" s="1"/>
  <c r="F276" i="56" s="1"/>
  <c r="G276" i="56" s="1"/>
  <c r="H276" i="56" s="1"/>
  <c r="I276" i="56" s="1"/>
  <c r="J276" i="56" s="1"/>
  <c r="K276" i="56" s="1"/>
  <c r="L276" i="56" s="1"/>
  <c r="M276" i="56" s="1"/>
  <c r="N276" i="56" s="1"/>
  <c r="O276" i="56" s="1"/>
  <c r="P276" i="56" s="1"/>
  <c r="Q276" i="56" s="1"/>
  <c r="R276" i="56" s="1"/>
  <c r="S276" i="56" s="1"/>
  <c r="T276" i="56" s="1"/>
  <c r="U276" i="56" s="1"/>
  <c r="V276" i="56" s="1"/>
  <c r="W276" i="56" s="1"/>
  <c r="X276" i="56" s="1"/>
  <c r="Y276" i="56" s="1"/>
  <c r="C277" i="56" s="1"/>
  <c r="D277" i="56" s="1"/>
  <c r="E277" i="56" s="1"/>
  <c r="F277" i="56" s="1"/>
  <c r="G277" i="56" s="1"/>
  <c r="H277" i="56" s="1"/>
  <c r="I277" i="56" s="1"/>
  <c r="J277" i="56" s="1"/>
  <c r="K277" i="56" s="1"/>
  <c r="L277" i="56" s="1"/>
  <c r="M277" i="56" s="1"/>
  <c r="N277" i="56" s="1"/>
  <c r="O277" i="56" s="1"/>
  <c r="P277" i="56" s="1"/>
  <c r="Q277" i="56" s="1"/>
  <c r="R277" i="56" s="1"/>
  <c r="S277" i="56" s="1"/>
  <c r="T277" i="56" s="1"/>
  <c r="U277" i="56" s="1"/>
  <c r="V277" i="56" s="1"/>
  <c r="W277" i="56" s="1"/>
  <c r="X277" i="56" s="1"/>
  <c r="Y277" i="56" s="1"/>
  <c r="C278" i="56" s="1"/>
  <c r="D278" i="56" s="1"/>
  <c r="E278" i="56" s="1"/>
  <c r="F278" i="56" s="1"/>
  <c r="G278" i="56" s="1"/>
  <c r="H278" i="56" s="1"/>
  <c r="I278" i="56" s="1"/>
  <c r="J278" i="56" s="1"/>
  <c r="K278" i="56" s="1"/>
  <c r="L278" i="56" s="1"/>
  <c r="M278" i="56" s="1"/>
  <c r="N278" i="56" s="1"/>
  <c r="O278" i="56" s="1"/>
  <c r="P278" i="56" s="1"/>
  <c r="Q278" i="56" s="1"/>
  <c r="R278" i="56" s="1"/>
  <c r="S278" i="56" s="1"/>
  <c r="T278" i="56" s="1"/>
  <c r="U278" i="56" s="1"/>
  <c r="V278" i="56" s="1"/>
  <c r="W278" i="56" s="1"/>
  <c r="X278" i="56" s="1"/>
  <c r="Y278" i="56" s="1"/>
  <c r="C279" i="56" s="1"/>
  <c r="D279" i="56" s="1"/>
  <c r="E279" i="56" s="1"/>
  <c r="F279" i="56" s="1"/>
  <c r="G279" i="56" s="1"/>
  <c r="H279" i="56" s="1"/>
  <c r="I279" i="56" s="1"/>
  <c r="J279" i="56" s="1"/>
  <c r="K279" i="56" s="1"/>
  <c r="L279" i="56" s="1"/>
  <c r="M279" i="56" s="1"/>
  <c r="N279" i="56" s="1"/>
  <c r="O279" i="56" s="1"/>
  <c r="P279" i="56" s="1"/>
  <c r="Q279" i="56" s="1"/>
  <c r="R279" i="56" s="1"/>
  <c r="S279" i="56" s="1"/>
  <c r="T279" i="56" s="1"/>
  <c r="U279" i="56" s="1"/>
  <c r="V279" i="56" s="1"/>
  <c r="W279" i="56" s="1"/>
  <c r="X279" i="56" s="1"/>
  <c r="Y279" i="56" s="1"/>
  <c r="C280" i="56" s="1"/>
  <c r="D280" i="56" s="1"/>
  <c r="E280" i="56" s="1"/>
  <c r="F280" i="56" s="1"/>
  <c r="G280" i="56" s="1"/>
  <c r="H280" i="56" s="1"/>
  <c r="I280" i="56" s="1"/>
  <c r="J280" i="56" s="1"/>
  <c r="K280" i="56" s="1"/>
  <c r="L280" i="56" s="1"/>
  <c r="M280" i="56" s="1"/>
  <c r="N280" i="56" s="1"/>
  <c r="O280" i="56" s="1"/>
  <c r="P280" i="56" s="1"/>
  <c r="Q280" i="56" s="1"/>
  <c r="R280" i="56" s="1"/>
  <c r="S280" i="56" s="1"/>
  <c r="T280" i="56" s="1"/>
  <c r="U280" i="56" s="1"/>
  <c r="V280" i="56" s="1"/>
  <c r="W280" i="56" s="1"/>
  <c r="X280" i="56" s="1"/>
  <c r="Y280" i="56" s="1"/>
  <c r="C281" i="56" s="1"/>
  <c r="D281" i="56" s="1"/>
  <c r="E281" i="56" s="1"/>
  <c r="F281" i="56" s="1"/>
  <c r="G281" i="56" s="1"/>
  <c r="H281" i="56" s="1"/>
  <c r="I281" i="56" s="1"/>
  <c r="J281" i="56" s="1"/>
  <c r="K281" i="56" s="1"/>
  <c r="L281" i="56" s="1"/>
  <c r="M281" i="56" s="1"/>
  <c r="N281" i="56" s="1"/>
  <c r="O281" i="56" s="1"/>
  <c r="P281" i="56" s="1"/>
  <c r="Q281" i="56" s="1"/>
  <c r="R281" i="56" s="1"/>
  <c r="S281" i="56" s="1"/>
  <c r="T281" i="56" s="1"/>
  <c r="U281" i="56" s="1"/>
  <c r="V281" i="56" s="1"/>
  <c r="W281" i="56" s="1"/>
  <c r="X281" i="56" s="1"/>
  <c r="Y281" i="56" s="1"/>
  <c r="C282" i="56" s="1"/>
  <c r="D282" i="56" s="1"/>
  <c r="E282" i="56" s="1"/>
  <c r="F282" i="56" s="1"/>
  <c r="G282" i="56" s="1"/>
  <c r="E258" i="57"/>
  <c r="F258" i="57" s="1"/>
  <c r="G258" i="57" s="1"/>
  <c r="H258" i="57" s="1"/>
  <c r="I258" i="57" s="1"/>
  <c r="J258" i="57" s="1"/>
  <c r="K258" i="57" s="1"/>
  <c r="L258" i="57" s="1"/>
  <c r="M258" i="57" s="1"/>
  <c r="N258" i="57" s="1"/>
  <c r="O258" i="57" s="1"/>
  <c r="P258" i="57" s="1"/>
  <c r="Q258" i="57" s="1"/>
  <c r="R258" i="57" s="1"/>
  <c r="S258" i="57" s="1"/>
  <c r="T258" i="57" s="1"/>
  <c r="U258" i="57" s="1"/>
  <c r="V258" i="57" s="1"/>
  <c r="W258" i="57" s="1"/>
  <c r="X258" i="57" s="1"/>
  <c r="Y258" i="57" s="1"/>
  <c r="C259" i="57" s="1"/>
  <c r="D259" i="57" s="1"/>
  <c r="E259" i="57" s="1"/>
  <c r="F259" i="57" s="1"/>
  <c r="G259" i="57" s="1"/>
  <c r="H259" i="57" s="1"/>
  <c r="I259" i="57" s="1"/>
  <c r="J259" i="57" s="1"/>
  <c r="K259" i="57" s="1"/>
  <c r="L259" i="57" s="1"/>
  <c r="M259" i="57" s="1"/>
  <c r="N259" i="57" s="1"/>
  <c r="O259" i="57" s="1"/>
  <c r="P259" i="57" s="1"/>
  <c r="Q259" i="57" s="1"/>
  <c r="R259" i="57" s="1"/>
  <c r="S259" i="57" s="1"/>
  <c r="T259" i="57" s="1"/>
  <c r="U259" i="57" s="1"/>
  <c r="V259" i="57" s="1"/>
  <c r="W259" i="57" s="1"/>
  <c r="X259" i="57" s="1"/>
  <c r="Y259" i="57" s="1"/>
  <c r="C260" i="57" s="1"/>
  <c r="D260" i="57" s="1"/>
  <c r="E260" i="57" s="1"/>
  <c r="F260" i="57" s="1"/>
  <c r="G260" i="57" s="1"/>
  <c r="H260" i="57" s="1"/>
  <c r="I260" i="57" s="1"/>
  <c r="J260" i="57" s="1"/>
  <c r="K260" i="57" s="1"/>
  <c r="L260" i="57" s="1"/>
  <c r="M260" i="57" s="1"/>
  <c r="N260" i="57" s="1"/>
  <c r="O260" i="57" s="1"/>
  <c r="P260" i="57" s="1"/>
  <c r="Q260" i="57" s="1"/>
  <c r="R260" i="57" s="1"/>
  <c r="S260" i="57" s="1"/>
  <c r="T260" i="57" s="1"/>
  <c r="U260" i="57" s="1"/>
  <c r="V260" i="57" s="1"/>
  <c r="W260" i="57" s="1"/>
  <c r="X260" i="57" s="1"/>
  <c r="Y260" i="57" s="1"/>
  <c r="C261" i="57" s="1"/>
  <c r="D261" i="57" s="1"/>
  <c r="E261" i="57" s="1"/>
  <c r="F261" i="57" s="1"/>
  <c r="G261" i="57" s="1"/>
  <c r="H261" i="57" s="1"/>
  <c r="I261" i="57" s="1"/>
  <c r="J261" i="57" s="1"/>
  <c r="K261" i="57" s="1"/>
  <c r="L261" i="57" s="1"/>
  <c r="M261" i="57" s="1"/>
  <c r="N261" i="57" s="1"/>
  <c r="O261" i="57" s="1"/>
  <c r="P261" i="57" s="1"/>
  <c r="Q261" i="57" s="1"/>
  <c r="R261" i="57" s="1"/>
  <c r="S261" i="57" s="1"/>
  <c r="T261" i="57" s="1"/>
  <c r="U261" i="57" s="1"/>
  <c r="V261" i="57" s="1"/>
  <c r="W261" i="57" s="1"/>
  <c r="X261" i="57" s="1"/>
  <c r="Y261" i="57" s="1"/>
  <c r="C262" i="57" s="1"/>
  <c r="D262" i="57" s="1"/>
  <c r="E262" i="57" s="1"/>
  <c r="F262" i="57" s="1"/>
  <c r="G262" i="57" s="1"/>
  <c r="H262" i="57" s="1"/>
  <c r="I262" i="57" s="1"/>
  <c r="J262" i="57" s="1"/>
  <c r="K262" i="57" s="1"/>
  <c r="L262" i="57" s="1"/>
  <c r="M262" i="57" s="1"/>
  <c r="N262" i="57" s="1"/>
  <c r="O262" i="57" s="1"/>
  <c r="P262" i="57" s="1"/>
  <c r="Q262" i="57" s="1"/>
  <c r="R262" i="57" s="1"/>
  <c r="S262" i="57" s="1"/>
  <c r="T262" i="57" s="1"/>
  <c r="U262" i="57" s="1"/>
  <c r="V262" i="57" s="1"/>
  <c r="W262" i="57" s="1"/>
  <c r="X262" i="57" s="1"/>
  <c r="Y262" i="57" s="1"/>
  <c r="C263" i="57" s="1"/>
  <c r="D263" i="57" s="1"/>
  <c r="E263" i="57" s="1"/>
  <c r="F263" i="57" s="1"/>
  <c r="G263" i="57" s="1"/>
  <c r="H263" i="57" s="1"/>
  <c r="I263" i="57" s="1"/>
  <c r="J263" i="57" s="1"/>
  <c r="K263" i="57" s="1"/>
  <c r="L263" i="57" s="1"/>
  <c r="M263" i="57" s="1"/>
  <c r="N263" i="57" s="1"/>
  <c r="O263" i="57" s="1"/>
  <c r="P263" i="57" s="1"/>
  <c r="Q263" i="57" s="1"/>
  <c r="R263" i="57" s="1"/>
  <c r="S263" i="57" s="1"/>
  <c r="T263" i="57" s="1"/>
  <c r="U263" i="57" s="1"/>
  <c r="V263" i="57" s="1"/>
  <c r="W263" i="57" s="1"/>
  <c r="X263" i="57" s="1"/>
  <c r="Y263" i="57" s="1"/>
  <c r="C264" i="57" s="1"/>
  <c r="D264" i="57" s="1"/>
  <c r="E264" i="57" s="1"/>
  <c r="F264" i="57" s="1"/>
  <c r="G264" i="57" s="1"/>
  <c r="H264" i="57" s="1"/>
  <c r="I264" i="57" s="1"/>
  <c r="J264" i="57" s="1"/>
  <c r="K264" i="57" s="1"/>
  <c r="L264" i="57" s="1"/>
  <c r="M264" i="57" s="1"/>
  <c r="N264" i="57" s="1"/>
  <c r="O264" i="57" s="1"/>
  <c r="P264" i="57" s="1"/>
  <c r="Q264" i="57" s="1"/>
  <c r="R264" i="57" s="1"/>
  <c r="S264" i="57" s="1"/>
  <c r="T264" i="57" s="1"/>
  <c r="U264" i="57" s="1"/>
  <c r="V264" i="57" s="1"/>
  <c r="W264" i="57" s="1"/>
  <c r="X264" i="57" s="1"/>
  <c r="Y264" i="57" s="1"/>
  <c r="C265" i="57" s="1"/>
  <c r="D265" i="57" s="1"/>
  <c r="E265" i="57" s="1"/>
  <c r="F265" i="57" s="1"/>
  <c r="G265" i="57" s="1"/>
  <c r="H265" i="57" s="1"/>
  <c r="I265" i="57" s="1"/>
  <c r="J265" i="57" s="1"/>
  <c r="K265" i="57" s="1"/>
  <c r="L265" i="57" s="1"/>
  <c r="M265" i="57" s="1"/>
  <c r="N265" i="57" s="1"/>
  <c r="O265" i="57" s="1"/>
  <c r="P265" i="57" s="1"/>
  <c r="Q265" i="57" s="1"/>
  <c r="R265" i="57" s="1"/>
  <c r="S265" i="57" s="1"/>
  <c r="T265" i="57" s="1"/>
  <c r="U265" i="57" s="1"/>
  <c r="V265" i="57" s="1"/>
  <c r="W265" i="57" s="1"/>
  <c r="X265" i="57" s="1"/>
  <c r="Y265" i="57" s="1"/>
  <c r="C266" i="57" s="1"/>
  <c r="D266" i="57" s="1"/>
  <c r="E266" i="57" s="1"/>
  <c r="F266" i="57" s="1"/>
  <c r="G266" i="57" s="1"/>
  <c r="H266" i="57" s="1"/>
  <c r="I266" i="57" s="1"/>
  <c r="J266" i="57" s="1"/>
  <c r="K266" i="57" s="1"/>
  <c r="L266" i="57" s="1"/>
  <c r="M266" i="57" s="1"/>
  <c r="N266" i="57" s="1"/>
  <c r="O266" i="57" s="1"/>
  <c r="P266" i="57" s="1"/>
  <c r="Q266" i="57" s="1"/>
  <c r="R266" i="57" s="1"/>
  <c r="S266" i="57" s="1"/>
  <c r="T266" i="57" s="1"/>
  <c r="U266" i="57" s="1"/>
  <c r="V266" i="57" s="1"/>
  <c r="W266" i="57" s="1"/>
  <c r="X266" i="57" s="1"/>
  <c r="Y266" i="57" s="1"/>
  <c r="C267" i="57" s="1"/>
  <c r="D267" i="57" s="1"/>
  <c r="E267" i="57" s="1"/>
  <c r="F267" i="57" s="1"/>
  <c r="G267" i="57" s="1"/>
  <c r="H267" i="57" s="1"/>
  <c r="I267" i="57" s="1"/>
  <c r="J267" i="57" s="1"/>
  <c r="K267" i="57" s="1"/>
  <c r="L267" i="57" s="1"/>
  <c r="M267" i="57" s="1"/>
  <c r="N267" i="57" s="1"/>
  <c r="O267" i="57" s="1"/>
  <c r="P267" i="57" s="1"/>
  <c r="Q267" i="57" s="1"/>
  <c r="R267" i="57" s="1"/>
  <c r="S267" i="57" s="1"/>
  <c r="T267" i="57" s="1"/>
  <c r="U267" i="57" s="1"/>
  <c r="V267" i="57" s="1"/>
  <c r="W267" i="57" s="1"/>
  <c r="X267" i="57" s="1"/>
  <c r="Y267" i="57" s="1"/>
  <c r="C268" i="57" s="1"/>
  <c r="D268" i="57" s="1"/>
  <c r="E268" i="57" s="1"/>
  <c r="F268" i="57" s="1"/>
  <c r="G268" i="57" s="1"/>
  <c r="H268" i="57" s="1"/>
  <c r="I268" i="57" s="1"/>
  <c r="J268" i="57" s="1"/>
  <c r="K268" i="57" s="1"/>
  <c r="L268" i="57" s="1"/>
  <c r="M268" i="57" s="1"/>
  <c r="N268" i="57" s="1"/>
  <c r="O268" i="57" s="1"/>
  <c r="P268" i="57" s="1"/>
  <c r="Q268" i="57" s="1"/>
  <c r="R268" i="57" s="1"/>
  <c r="S268" i="57" s="1"/>
  <c r="T268" i="57" s="1"/>
  <c r="U268" i="57" s="1"/>
  <c r="V268" i="57" s="1"/>
  <c r="W268" i="57" s="1"/>
  <c r="X268" i="57" s="1"/>
  <c r="Y268" i="57" s="1"/>
  <c r="C269" i="57" s="1"/>
  <c r="D269" i="57" s="1"/>
  <c r="E269" i="57" s="1"/>
  <c r="F269" i="57" s="1"/>
  <c r="G269" i="57" s="1"/>
  <c r="H269" i="57" s="1"/>
  <c r="I269" i="57" s="1"/>
  <c r="J269" i="57" s="1"/>
  <c r="K269" i="57" s="1"/>
  <c r="L269" i="57" s="1"/>
  <c r="M269" i="57" s="1"/>
  <c r="N269" i="57" s="1"/>
  <c r="O269" i="57" s="1"/>
  <c r="P269" i="57" s="1"/>
  <c r="Q269" i="57" s="1"/>
  <c r="R269" i="57" s="1"/>
  <c r="S269" i="57" s="1"/>
  <c r="T269" i="57" s="1"/>
  <c r="U269" i="57" s="1"/>
  <c r="V269" i="57" s="1"/>
  <c r="W269" i="57" s="1"/>
  <c r="X269" i="57" s="1"/>
  <c r="Y269" i="57" s="1"/>
  <c r="C270" i="57" s="1"/>
  <c r="D270" i="57" s="1"/>
  <c r="E270" i="57" s="1"/>
  <c r="F270" i="57" s="1"/>
  <c r="G270" i="57" s="1"/>
  <c r="H270" i="57" s="1"/>
  <c r="I270" i="57" s="1"/>
  <c r="J270" i="57" s="1"/>
  <c r="K270" i="57" s="1"/>
  <c r="L270" i="57" s="1"/>
  <c r="M270" i="57" s="1"/>
  <c r="N270" i="57" s="1"/>
  <c r="O270" i="57" s="1"/>
  <c r="P270" i="57" s="1"/>
  <c r="Q270" i="57" s="1"/>
  <c r="R270" i="57" s="1"/>
  <c r="S270" i="57" s="1"/>
  <c r="T270" i="57" s="1"/>
  <c r="U270" i="57" s="1"/>
  <c r="V270" i="57" s="1"/>
  <c r="W270" i="57" s="1"/>
  <c r="X270" i="57" s="1"/>
  <c r="Y270" i="57" s="1"/>
  <c r="C271" i="57" s="1"/>
  <c r="D271" i="57" s="1"/>
  <c r="E271" i="57" s="1"/>
  <c r="F271" i="57" s="1"/>
  <c r="G271" i="57" s="1"/>
  <c r="H271" i="57" s="1"/>
  <c r="I271" i="57" s="1"/>
  <c r="J271" i="57" s="1"/>
  <c r="K271" i="57" s="1"/>
  <c r="L271" i="57" s="1"/>
  <c r="M271" i="57" s="1"/>
  <c r="N271" i="57" s="1"/>
  <c r="O271" i="57" s="1"/>
  <c r="P271" i="57" s="1"/>
  <c r="Q271" i="57" s="1"/>
  <c r="R271" i="57" s="1"/>
  <c r="S271" i="57" s="1"/>
  <c r="T271" i="57" s="1"/>
  <c r="U271" i="57" s="1"/>
  <c r="V271" i="57" s="1"/>
  <c r="W271" i="57" s="1"/>
  <c r="X271" i="57" s="1"/>
  <c r="Y271" i="57" s="1"/>
  <c r="C272" i="57" s="1"/>
  <c r="D272" i="57" s="1"/>
  <c r="E272" i="57" s="1"/>
  <c r="F272" i="57" s="1"/>
  <c r="G272" i="57" s="1"/>
  <c r="H272" i="57" s="1"/>
  <c r="I272" i="57" s="1"/>
  <c r="J272" i="57" s="1"/>
  <c r="K272" i="57" s="1"/>
  <c r="L272" i="57" s="1"/>
  <c r="M272" i="57" s="1"/>
  <c r="N272" i="57" s="1"/>
  <c r="O272" i="57" s="1"/>
  <c r="P272" i="57" s="1"/>
  <c r="Q272" i="57" s="1"/>
  <c r="R272" i="57" s="1"/>
  <c r="S272" i="57" s="1"/>
  <c r="T272" i="57" s="1"/>
  <c r="U272" i="57" s="1"/>
  <c r="V272" i="57" s="1"/>
  <c r="W272" i="57" s="1"/>
  <c r="X272" i="57" s="1"/>
  <c r="Y272" i="57" s="1"/>
  <c r="C273" i="57" s="1"/>
  <c r="D273" i="57" s="1"/>
  <c r="E273" i="57" s="1"/>
  <c r="F273" i="57" s="1"/>
  <c r="G273" i="57" s="1"/>
  <c r="H273" i="57" s="1"/>
  <c r="I273" i="57" s="1"/>
  <c r="J273" i="57" s="1"/>
  <c r="K273" i="57" s="1"/>
  <c r="L273" i="57" s="1"/>
  <c r="M273" i="57" s="1"/>
  <c r="N273" i="57" s="1"/>
  <c r="O273" i="57" s="1"/>
  <c r="P273" i="57" s="1"/>
  <c r="Q273" i="57" s="1"/>
  <c r="R273" i="57" s="1"/>
  <c r="S273" i="57" s="1"/>
  <c r="T273" i="57" s="1"/>
  <c r="U273" i="57" s="1"/>
  <c r="V273" i="57" s="1"/>
  <c r="W273" i="57" s="1"/>
  <c r="X273" i="57" s="1"/>
  <c r="Y273" i="57" s="1"/>
  <c r="C274" i="57" s="1"/>
  <c r="D274" i="57" s="1"/>
  <c r="E274" i="57" s="1"/>
  <c r="F274" i="57" s="1"/>
  <c r="G274" i="57" s="1"/>
  <c r="H274" i="57" s="1"/>
  <c r="I274" i="57" s="1"/>
  <c r="J274" i="57" s="1"/>
  <c r="K274" i="57" s="1"/>
  <c r="L274" i="57" s="1"/>
  <c r="M274" i="57" s="1"/>
  <c r="N274" i="57" s="1"/>
  <c r="O274" i="57" s="1"/>
  <c r="P274" i="57" s="1"/>
  <c r="Q274" i="57" s="1"/>
  <c r="R274" i="57" s="1"/>
  <c r="S274" i="57" s="1"/>
  <c r="T274" i="57" s="1"/>
  <c r="U274" i="57" s="1"/>
  <c r="V274" i="57" s="1"/>
  <c r="W274" i="57" s="1"/>
  <c r="X274" i="57" s="1"/>
  <c r="Y274" i="57" s="1"/>
  <c r="C275" i="57" s="1"/>
  <c r="D275" i="57" s="1"/>
  <c r="E275" i="57" s="1"/>
  <c r="F275" i="57" s="1"/>
  <c r="G275" i="57" s="1"/>
  <c r="H275" i="57" s="1"/>
  <c r="I275" i="57" s="1"/>
  <c r="J275" i="57" s="1"/>
  <c r="K275" i="57" s="1"/>
  <c r="L275" i="57" s="1"/>
  <c r="M275" i="57" s="1"/>
  <c r="N275" i="57" s="1"/>
  <c r="O275" i="57" s="1"/>
  <c r="P275" i="57" s="1"/>
  <c r="Q275" i="57" s="1"/>
  <c r="R275" i="57" s="1"/>
  <c r="S275" i="57" s="1"/>
  <c r="T275" i="57" s="1"/>
  <c r="U275" i="57" s="1"/>
  <c r="V275" i="57" s="1"/>
  <c r="W275" i="57" s="1"/>
  <c r="X275" i="57" s="1"/>
  <c r="Y275" i="57" s="1"/>
  <c r="C276" i="57" s="1"/>
  <c r="D276" i="57" s="1"/>
  <c r="E276" i="57" s="1"/>
  <c r="F276" i="57" s="1"/>
  <c r="G276" i="57" s="1"/>
  <c r="H276" i="57" s="1"/>
  <c r="I276" i="57" s="1"/>
  <c r="J276" i="57" s="1"/>
  <c r="K276" i="57" s="1"/>
  <c r="L276" i="57" s="1"/>
  <c r="M276" i="57" s="1"/>
  <c r="N276" i="57" s="1"/>
  <c r="O276" i="57" s="1"/>
  <c r="P276" i="57" s="1"/>
  <c r="Q276" i="57" s="1"/>
  <c r="R276" i="57" s="1"/>
  <c r="S276" i="57" s="1"/>
  <c r="T276" i="57" s="1"/>
  <c r="U276" i="57" s="1"/>
  <c r="V276" i="57" s="1"/>
  <c r="W276" i="57" s="1"/>
  <c r="X276" i="57" s="1"/>
  <c r="Y276" i="57" s="1"/>
  <c r="C277" i="57" s="1"/>
  <c r="D277" i="57" s="1"/>
  <c r="E277" i="57" s="1"/>
  <c r="F277" i="57" s="1"/>
  <c r="G277" i="57" s="1"/>
  <c r="H277" i="57" s="1"/>
  <c r="I277" i="57" s="1"/>
  <c r="J277" i="57" s="1"/>
  <c r="K277" i="57" s="1"/>
  <c r="L277" i="57" s="1"/>
  <c r="M277" i="57" s="1"/>
  <c r="N277" i="57" s="1"/>
  <c r="O277" i="57" s="1"/>
  <c r="P277" i="57" s="1"/>
  <c r="Q277" i="57" s="1"/>
  <c r="R277" i="57" s="1"/>
  <c r="S277" i="57" s="1"/>
  <c r="T277" i="57" s="1"/>
  <c r="U277" i="57" s="1"/>
  <c r="V277" i="57" s="1"/>
  <c r="W277" i="57" s="1"/>
  <c r="X277" i="57" s="1"/>
  <c r="Y277" i="57" s="1"/>
  <c r="C278" i="57" s="1"/>
  <c r="D278" i="57" s="1"/>
  <c r="E278" i="57" s="1"/>
  <c r="F278" i="57" s="1"/>
  <c r="G278" i="57" s="1"/>
  <c r="H278" i="57" s="1"/>
  <c r="I278" i="57" s="1"/>
  <c r="J278" i="57" s="1"/>
  <c r="K278" i="57" s="1"/>
  <c r="L278" i="57" s="1"/>
  <c r="M278" i="57" s="1"/>
  <c r="N278" i="57" s="1"/>
  <c r="O278" i="57" s="1"/>
  <c r="P278" i="57" s="1"/>
  <c r="Q278" i="57" s="1"/>
  <c r="R278" i="57" s="1"/>
  <c r="S278" i="57" s="1"/>
  <c r="T278" i="57" s="1"/>
  <c r="U278" i="57" s="1"/>
  <c r="V278" i="57" s="1"/>
  <c r="W278" i="57" s="1"/>
  <c r="X278" i="57" s="1"/>
  <c r="Y278" i="57" s="1"/>
  <c r="C279" i="57" s="1"/>
  <c r="D279" i="57" s="1"/>
  <c r="E279" i="57" s="1"/>
  <c r="F279" i="57" s="1"/>
  <c r="G279" i="57" s="1"/>
  <c r="H279" i="57" s="1"/>
  <c r="I279" i="57" s="1"/>
  <c r="J279" i="57" s="1"/>
  <c r="K279" i="57" s="1"/>
  <c r="L279" i="57" s="1"/>
  <c r="M279" i="57" s="1"/>
  <c r="N279" i="57" s="1"/>
  <c r="O279" i="57" s="1"/>
  <c r="P279" i="57" s="1"/>
  <c r="Q279" i="57" s="1"/>
  <c r="R279" i="57" s="1"/>
  <c r="S279" i="57" s="1"/>
  <c r="T279" i="57" s="1"/>
  <c r="U279" i="57" s="1"/>
  <c r="V279" i="57" s="1"/>
  <c r="W279" i="57" s="1"/>
  <c r="X279" i="57" s="1"/>
  <c r="Y279" i="57" s="1"/>
  <c r="C280" i="57" s="1"/>
  <c r="D280" i="57" s="1"/>
  <c r="E280" i="57" s="1"/>
  <c r="F280" i="57" s="1"/>
  <c r="G280" i="57" s="1"/>
  <c r="H280" i="57" s="1"/>
  <c r="I280" i="57" s="1"/>
  <c r="J280" i="57" s="1"/>
  <c r="K280" i="57" s="1"/>
  <c r="L280" i="57" s="1"/>
  <c r="M280" i="57" s="1"/>
  <c r="N280" i="57" s="1"/>
  <c r="O280" i="57" s="1"/>
  <c r="P280" i="57" s="1"/>
  <c r="Q280" i="57" s="1"/>
  <c r="R280" i="57" s="1"/>
  <c r="S280" i="57" s="1"/>
  <c r="T280" i="57" s="1"/>
  <c r="U280" i="57" s="1"/>
  <c r="V280" i="57" s="1"/>
  <c r="W280" i="57" s="1"/>
  <c r="X280" i="57" s="1"/>
  <c r="Y280" i="57" s="1"/>
  <c r="C281" i="57" s="1"/>
  <c r="D281" i="57" s="1"/>
  <c r="E281" i="57" s="1"/>
  <c r="F281" i="57" s="1"/>
  <c r="G281" i="57" s="1"/>
  <c r="H281" i="57" s="1"/>
  <c r="I281" i="57" s="1"/>
  <c r="J281" i="57" s="1"/>
  <c r="K281" i="57" s="1"/>
  <c r="L281" i="57" s="1"/>
  <c r="M281" i="57" s="1"/>
  <c r="N281" i="57" s="1"/>
  <c r="O281" i="57" s="1"/>
  <c r="P281" i="57" s="1"/>
  <c r="Q281" i="57" s="1"/>
  <c r="R281" i="57" s="1"/>
  <c r="S281" i="57" s="1"/>
  <c r="T281" i="57" s="1"/>
  <c r="U281" i="57" s="1"/>
  <c r="V281" i="57" s="1"/>
  <c r="W281" i="57" s="1"/>
  <c r="X281" i="57" s="1"/>
  <c r="Y281" i="57" s="1"/>
  <c r="C282" i="57" s="1"/>
  <c r="D282" i="57" s="1"/>
  <c r="E282" i="57" s="1"/>
  <c r="F282" i="57" s="1"/>
  <c r="G282" i="57" s="1"/>
  <c r="H282" i="57" s="1"/>
  <c r="I282" i="57" s="1"/>
  <c r="J282" i="57" s="1"/>
  <c r="K282" i="57" s="1"/>
  <c r="L282" i="57" s="1"/>
  <c r="M282" i="57" s="1"/>
  <c r="N282" i="57" s="1"/>
  <c r="O282" i="57" s="1"/>
  <c r="P282" i="57" s="1"/>
  <c r="Q282" i="57" s="1"/>
  <c r="R282" i="57" s="1"/>
  <c r="S282" i="57" s="1"/>
  <c r="T282" i="57" s="1"/>
  <c r="U282" i="57" s="1"/>
  <c r="V282" i="57" s="1"/>
  <c r="W282" i="57" s="1"/>
  <c r="X282" i="57" s="1"/>
  <c r="Y282" i="57" s="1"/>
  <c r="C283" i="57" s="1"/>
  <c r="D283" i="57" s="1"/>
  <c r="E283" i="57" s="1"/>
  <c r="F283" i="57" s="1"/>
  <c r="G283" i="57" s="1"/>
  <c r="E258" i="58"/>
  <c r="F258" i="58" s="1"/>
  <c r="G258" i="58" s="1"/>
  <c r="H258" i="58" s="1"/>
  <c r="I258" i="58" s="1"/>
  <c r="J258" i="58" s="1"/>
  <c r="K258" i="58" s="1"/>
  <c r="L258" i="58" s="1"/>
  <c r="M258" i="58" s="1"/>
  <c r="N258" i="58" s="1"/>
  <c r="O258" i="58" s="1"/>
  <c r="P258" i="58" s="1"/>
  <c r="Q258" i="58" s="1"/>
  <c r="R258" i="58" s="1"/>
  <c r="S258" i="58" s="1"/>
  <c r="T258" i="58" s="1"/>
  <c r="U258" i="58" s="1"/>
  <c r="V258" i="58" s="1"/>
  <c r="W258" i="58" s="1"/>
  <c r="X258" i="58" s="1"/>
  <c r="Y258" i="58" s="1"/>
  <c r="C259" i="58" s="1"/>
  <c r="D259" i="58" s="1"/>
  <c r="E259" i="58" s="1"/>
  <c r="F259" i="58" s="1"/>
  <c r="G259" i="58" s="1"/>
  <c r="H259" i="58" s="1"/>
  <c r="I259" i="58" s="1"/>
  <c r="J259" i="58" s="1"/>
  <c r="K259" i="58" s="1"/>
  <c r="L259" i="58" s="1"/>
  <c r="M259" i="58" s="1"/>
  <c r="N259" i="58" s="1"/>
  <c r="O259" i="58" s="1"/>
  <c r="P259" i="58" s="1"/>
  <c r="Q259" i="58" s="1"/>
  <c r="R259" i="58" s="1"/>
  <c r="S259" i="58" s="1"/>
  <c r="T259" i="58" s="1"/>
  <c r="U259" i="58" s="1"/>
  <c r="V259" i="58" s="1"/>
  <c r="W259" i="58" s="1"/>
  <c r="X259" i="58" s="1"/>
  <c r="Y259" i="58" s="1"/>
  <c r="C260" i="58" s="1"/>
  <c r="D260" i="58" s="1"/>
  <c r="E260" i="58" s="1"/>
  <c r="F260" i="58" s="1"/>
  <c r="G260" i="58" s="1"/>
  <c r="H260" i="58" s="1"/>
  <c r="I260" i="58" s="1"/>
  <c r="J260" i="58" s="1"/>
  <c r="K260" i="58" s="1"/>
  <c r="L260" i="58" s="1"/>
  <c r="M260" i="58" s="1"/>
  <c r="N260" i="58" s="1"/>
  <c r="O260" i="58" s="1"/>
  <c r="P260" i="58" s="1"/>
  <c r="Q260" i="58" s="1"/>
  <c r="R260" i="58" s="1"/>
  <c r="S260" i="58" s="1"/>
  <c r="T260" i="58" s="1"/>
  <c r="U260" i="58" s="1"/>
  <c r="V260" i="58" s="1"/>
  <c r="W260" i="58" s="1"/>
  <c r="X260" i="58" s="1"/>
  <c r="Y260" i="58" s="1"/>
  <c r="C261" i="58" s="1"/>
  <c r="D261" i="58" s="1"/>
  <c r="E261" i="58" s="1"/>
  <c r="F261" i="58" s="1"/>
  <c r="G261" i="58" s="1"/>
  <c r="H261" i="58" s="1"/>
  <c r="I261" i="58" s="1"/>
  <c r="J261" i="58" s="1"/>
  <c r="K261" i="58" s="1"/>
  <c r="L261" i="58" s="1"/>
  <c r="M261" i="58" s="1"/>
  <c r="N261" i="58" s="1"/>
  <c r="O261" i="58" s="1"/>
  <c r="P261" i="58" s="1"/>
  <c r="Q261" i="58" s="1"/>
  <c r="R261" i="58" s="1"/>
  <c r="S261" i="58" s="1"/>
  <c r="T261" i="58" s="1"/>
  <c r="U261" i="58" s="1"/>
  <c r="V261" i="58" s="1"/>
  <c r="W261" i="58" s="1"/>
  <c r="X261" i="58" s="1"/>
  <c r="Y261" i="58" s="1"/>
  <c r="C262" i="58" s="1"/>
  <c r="D262" i="58" s="1"/>
  <c r="E262" i="58" s="1"/>
  <c r="F262" i="58" s="1"/>
  <c r="G262" i="58" s="1"/>
  <c r="H262" i="58" s="1"/>
  <c r="I262" i="58" s="1"/>
  <c r="J262" i="58" s="1"/>
  <c r="K262" i="58" s="1"/>
  <c r="L262" i="58" s="1"/>
  <c r="M262" i="58" s="1"/>
  <c r="N262" i="58" s="1"/>
  <c r="O262" i="58" s="1"/>
  <c r="P262" i="58" s="1"/>
  <c r="Q262" i="58" s="1"/>
  <c r="R262" i="58" s="1"/>
  <c r="S262" i="58" s="1"/>
  <c r="T262" i="58" s="1"/>
  <c r="U262" i="58" s="1"/>
  <c r="V262" i="58" s="1"/>
  <c r="W262" i="58" s="1"/>
  <c r="X262" i="58" s="1"/>
  <c r="Y262" i="58" s="1"/>
  <c r="C263" i="58" s="1"/>
  <c r="D263" i="58" s="1"/>
  <c r="E263" i="58" s="1"/>
  <c r="F263" i="58" s="1"/>
  <c r="G263" i="58" s="1"/>
  <c r="H263" i="58" s="1"/>
  <c r="I263" i="58" s="1"/>
  <c r="J263" i="58" s="1"/>
  <c r="K263" i="58" s="1"/>
  <c r="L263" i="58" s="1"/>
  <c r="M263" i="58" s="1"/>
  <c r="N263" i="58" s="1"/>
  <c r="O263" i="58" s="1"/>
  <c r="P263" i="58" s="1"/>
  <c r="Q263" i="58" s="1"/>
  <c r="R263" i="58" s="1"/>
  <c r="S263" i="58" s="1"/>
  <c r="T263" i="58" s="1"/>
  <c r="U263" i="58" s="1"/>
  <c r="V263" i="58" s="1"/>
  <c r="W263" i="58" s="1"/>
  <c r="X263" i="58" s="1"/>
  <c r="Y263" i="58" s="1"/>
  <c r="C264" i="58" s="1"/>
  <c r="D264" i="58" s="1"/>
  <c r="E264" i="58" s="1"/>
  <c r="F264" i="58" s="1"/>
  <c r="G264" i="58" s="1"/>
  <c r="H264" i="58" s="1"/>
  <c r="I264" i="58" s="1"/>
  <c r="J264" i="58" s="1"/>
  <c r="K264" i="58" s="1"/>
  <c r="L264" i="58" s="1"/>
  <c r="M264" i="58" s="1"/>
  <c r="N264" i="58" s="1"/>
  <c r="O264" i="58" s="1"/>
  <c r="P264" i="58" s="1"/>
  <c r="Q264" i="58" s="1"/>
  <c r="R264" i="58" s="1"/>
  <c r="S264" i="58" s="1"/>
  <c r="T264" i="58" s="1"/>
  <c r="U264" i="58" s="1"/>
  <c r="V264" i="58" s="1"/>
  <c r="W264" i="58" s="1"/>
  <c r="X264" i="58" s="1"/>
  <c r="Y264" i="58" s="1"/>
  <c r="C265" i="58" s="1"/>
  <c r="D265" i="58" s="1"/>
  <c r="E265" i="58" s="1"/>
  <c r="F265" i="58" s="1"/>
  <c r="G265" i="58" s="1"/>
  <c r="H265" i="58" s="1"/>
  <c r="I265" i="58" s="1"/>
  <c r="J265" i="58" s="1"/>
  <c r="K265" i="58" s="1"/>
  <c r="L265" i="58" s="1"/>
  <c r="M265" i="58" s="1"/>
  <c r="N265" i="58" s="1"/>
  <c r="O265" i="58" s="1"/>
  <c r="P265" i="58" s="1"/>
  <c r="Q265" i="58" s="1"/>
  <c r="R265" i="58" s="1"/>
  <c r="S265" i="58" s="1"/>
  <c r="T265" i="58" s="1"/>
  <c r="U265" i="58" s="1"/>
  <c r="V265" i="58" s="1"/>
  <c r="W265" i="58" s="1"/>
  <c r="X265" i="58" s="1"/>
  <c r="Y265" i="58" s="1"/>
  <c r="C266" i="58" s="1"/>
  <c r="D266" i="58" s="1"/>
  <c r="E266" i="58" s="1"/>
  <c r="F266" i="58" s="1"/>
  <c r="G266" i="58" s="1"/>
  <c r="H266" i="58" s="1"/>
  <c r="I266" i="58" s="1"/>
  <c r="J266" i="58" s="1"/>
  <c r="K266" i="58" s="1"/>
  <c r="L266" i="58" s="1"/>
  <c r="M266" i="58" s="1"/>
  <c r="N266" i="58" s="1"/>
  <c r="O266" i="58" s="1"/>
  <c r="P266" i="58" s="1"/>
  <c r="Q266" i="58" s="1"/>
  <c r="R266" i="58" s="1"/>
  <c r="S266" i="58" s="1"/>
  <c r="T266" i="58" s="1"/>
  <c r="U266" i="58" s="1"/>
  <c r="V266" i="58" s="1"/>
  <c r="W266" i="58" s="1"/>
  <c r="X266" i="58" s="1"/>
  <c r="Y266" i="58" s="1"/>
  <c r="C267" i="58" s="1"/>
  <c r="D267" i="58" s="1"/>
  <c r="E267" i="58" s="1"/>
  <c r="F267" i="58" s="1"/>
  <c r="G267" i="58" s="1"/>
  <c r="H267" i="58" s="1"/>
  <c r="I267" i="58" s="1"/>
  <c r="J267" i="58" s="1"/>
  <c r="K267" i="58" s="1"/>
  <c r="L267" i="58" s="1"/>
  <c r="M267" i="58" s="1"/>
  <c r="N267" i="58" s="1"/>
  <c r="O267" i="58" s="1"/>
  <c r="P267" i="58" s="1"/>
  <c r="Q267" i="58" s="1"/>
  <c r="R267" i="58" s="1"/>
  <c r="S267" i="58" s="1"/>
  <c r="T267" i="58" s="1"/>
  <c r="U267" i="58" s="1"/>
  <c r="V267" i="58" s="1"/>
  <c r="W267" i="58" s="1"/>
  <c r="X267" i="58" s="1"/>
  <c r="Y267" i="58" s="1"/>
  <c r="C268" i="58" s="1"/>
  <c r="D268" i="58" s="1"/>
  <c r="E268" i="58" s="1"/>
  <c r="F268" i="58" s="1"/>
  <c r="G268" i="58" s="1"/>
  <c r="H268" i="58" s="1"/>
  <c r="I268" i="58" s="1"/>
  <c r="J268" i="58" s="1"/>
  <c r="K268" i="58" s="1"/>
  <c r="L268" i="58" s="1"/>
  <c r="M268" i="58" s="1"/>
  <c r="N268" i="58" s="1"/>
  <c r="O268" i="58" s="1"/>
  <c r="P268" i="58" s="1"/>
  <c r="Q268" i="58" s="1"/>
  <c r="R268" i="58" s="1"/>
  <c r="S268" i="58" s="1"/>
  <c r="T268" i="58" s="1"/>
  <c r="U268" i="58" s="1"/>
  <c r="V268" i="58" s="1"/>
  <c r="W268" i="58" s="1"/>
  <c r="X268" i="58" s="1"/>
  <c r="Y268" i="58" s="1"/>
  <c r="C269" i="58" s="1"/>
  <c r="D269" i="58" s="1"/>
  <c r="E269" i="58" s="1"/>
  <c r="F269" i="58" s="1"/>
  <c r="G269" i="58" s="1"/>
  <c r="H269" i="58" s="1"/>
  <c r="I269" i="58" s="1"/>
  <c r="J269" i="58" s="1"/>
  <c r="K269" i="58" s="1"/>
  <c r="L269" i="58" s="1"/>
  <c r="M269" i="58" s="1"/>
  <c r="N269" i="58" s="1"/>
  <c r="O269" i="58" s="1"/>
  <c r="P269" i="58" s="1"/>
  <c r="Q269" i="58" s="1"/>
  <c r="R269" i="58" s="1"/>
  <c r="S269" i="58" s="1"/>
  <c r="T269" i="58" s="1"/>
  <c r="U269" i="58" s="1"/>
  <c r="V269" i="58" s="1"/>
  <c r="W269" i="58" s="1"/>
  <c r="X269" i="58" s="1"/>
  <c r="Y269" i="58" s="1"/>
  <c r="C270" i="58" s="1"/>
  <c r="D270" i="58" s="1"/>
  <c r="E270" i="58" s="1"/>
  <c r="F270" i="58" s="1"/>
  <c r="G270" i="58" s="1"/>
  <c r="H270" i="58" s="1"/>
  <c r="I270" i="58" s="1"/>
  <c r="J270" i="58" s="1"/>
  <c r="K270" i="58" s="1"/>
  <c r="L270" i="58" s="1"/>
  <c r="M270" i="58" s="1"/>
  <c r="N270" i="58" s="1"/>
  <c r="O270" i="58" s="1"/>
  <c r="P270" i="58" s="1"/>
  <c r="Q270" i="58" s="1"/>
  <c r="R270" i="58" s="1"/>
  <c r="S270" i="58" s="1"/>
  <c r="T270" i="58" s="1"/>
  <c r="U270" i="58" s="1"/>
  <c r="V270" i="58" s="1"/>
  <c r="W270" i="58" s="1"/>
  <c r="X270" i="58" s="1"/>
  <c r="Y270" i="58" s="1"/>
  <c r="C271" i="58" s="1"/>
  <c r="D271" i="58" s="1"/>
  <c r="E271" i="58" s="1"/>
  <c r="F271" i="58" s="1"/>
  <c r="G271" i="58" s="1"/>
  <c r="H271" i="58" s="1"/>
  <c r="I271" i="58" s="1"/>
  <c r="J271" i="58" s="1"/>
  <c r="K271" i="58" s="1"/>
  <c r="L271" i="58" s="1"/>
  <c r="M271" i="58" s="1"/>
  <c r="N271" i="58" s="1"/>
  <c r="O271" i="58" s="1"/>
  <c r="P271" i="58" s="1"/>
  <c r="Q271" i="58" s="1"/>
  <c r="R271" i="58" s="1"/>
  <c r="S271" i="58" s="1"/>
  <c r="T271" i="58" s="1"/>
  <c r="U271" i="58" s="1"/>
  <c r="V271" i="58" s="1"/>
  <c r="W271" i="58" s="1"/>
  <c r="X271" i="58" s="1"/>
  <c r="Y271" i="58" s="1"/>
  <c r="C272" i="58" s="1"/>
  <c r="D272" i="58" s="1"/>
  <c r="E272" i="58" s="1"/>
  <c r="F272" i="58" s="1"/>
  <c r="G272" i="58" s="1"/>
  <c r="H272" i="58" s="1"/>
  <c r="I272" i="58" s="1"/>
  <c r="J272" i="58" s="1"/>
  <c r="K272" i="58" s="1"/>
  <c r="L272" i="58" s="1"/>
  <c r="M272" i="58" s="1"/>
  <c r="N272" i="58" s="1"/>
  <c r="O272" i="58" s="1"/>
  <c r="P272" i="58" s="1"/>
  <c r="Q272" i="58" s="1"/>
  <c r="R272" i="58" s="1"/>
  <c r="S272" i="58" s="1"/>
  <c r="T272" i="58" s="1"/>
  <c r="U272" i="58" s="1"/>
  <c r="V272" i="58" s="1"/>
  <c r="W272" i="58" s="1"/>
  <c r="X272" i="58" s="1"/>
  <c r="Y272" i="58" s="1"/>
  <c r="C273" i="58" s="1"/>
  <c r="D273" i="58" s="1"/>
  <c r="E273" i="58" s="1"/>
  <c r="F273" i="58" s="1"/>
  <c r="G273" i="58" s="1"/>
  <c r="H273" i="58" s="1"/>
  <c r="I273" i="58" s="1"/>
  <c r="J273" i="58" s="1"/>
  <c r="K273" i="58" s="1"/>
  <c r="L273" i="58" s="1"/>
  <c r="M273" i="58" s="1"/>
  <c r="N273" i="58" s="1"/>
  <c r="O273" i="58" s="1"/>
  <c r="P273" i="58" s="1"/>
  <c r="Q273" i="58" s="1"/>
  <c r="R273" i="58" s="1"/>
  <c r="S273" i="58" s="1"/>
  <c r="T273" i="58" s="1"/>
  <c r="U273" i="58" s="1"/>
  <c r="V273" i="58" s="1"/>
  <c r="W273" i="58" s="1"/>
  <c r="X273" i="58" s="1"/>
  <c r="Y273" i="58" s="1"/>
  <c r="C274" i="58" s="1"/>
  <c r="D274" i="58" s="1"/>
  <c r="E274" i="58" s="1"/>
  <c r="F274" i="58" s="1"/>
  <c r="G274" i="58" s="1"/>
  <c r="H274" i="58" s="1"/>
  <c r="I274" i="58" s="1"/>
  <c r="J274" i="58" s="1"/>
  <c r="K274" i="58" s="1"/>
  <c r="L274" i="58" s="1"/>
  <c r="M274" i="58" s="1"/>
  <c r="N274" i="58" s="1"/>
  <c r="O274" i="58" s="1"/>
  <c r="P274" i="58" s="1"/>
  <c r="Q274" i="58" s="1"/>
  <c r="R274" i="58" s="1"/>
  <c r="S274" i="58" s="1"/>
  <c r="T274" i="58" s="1"/>
  <c r="U274" i="58" s="1"/>
  <c r="V274" i="58" s="1"/>
  <c r="W274" i="58" s="1"/>
  <c r="X274" i="58" s="1"/>
  <c r="Y274" i="58" s="1"/>
  <c r="C275" i="58" s="1"/>
  <c r="D275" i="58" s="1"/>
  <c r="E275" i="58" s="1"/>
  <c r="F275" i="58" s="1"/>
  <c r="G275" i="58" s="1"/>
  <c r="H275" i="58" s="1"/>
  <c r="I275" i="58" s="1"/>
  <c r="J275" i="58" s="1"/>
  <c r="K275" i="58" s="1"/>
  <c r="L275" i="58" s="1"/>
  <c r="M275" i="58" s="1"/>
  <c r="N275" i="58" s="1"/>
  <c r="O275" i="58" s="1"/>
  <c r="P275" i="58" s="1"/>
  <c r="Q275" i="58" s="1"/>
  <c r="R275" i="58" s="1"/>
  <c r="S275" i="58" s="1"/>
  <c r="T275" i="58" s="1"/>
  <c r="U275" i="58" s="1"/>
  <c r="V275" i="58" s="1"/>
  <c r="W275" i="58" s="1"/>
  <c r="X275" i="58" s="1"/>
  <c r="Y275" i="58" s="1"/>
  <c r="C276" i="58" s="1"/>
  <c r="D276" i="58" s="1"/>
  <c r="E276" i="58" s="1"/>
  <c r="F276" i="58" s="1"/>
  <c r="G276" i="58" s="1"/>
  <c r="H276" i="58" s="1"/>
  <c r="I276" i="58" s="1"/>
  <c r="J276" i="58" s="1"/>
  <c r="K276" i="58" s="1"/>
  <c r="L276" i="58" s="1"/>
  <c r="M276" i="58" s="1"/>
  <c r="N276" i="58" s="1"/>
  <c r="O276" i="58" s="1"/>
  <c r="P276" i="58" s="1"/>
  <c r="Q276" i="58" s="1"/>
  <c r="R276" i="58" s="1"/>
  <c r="S276" i="58" s="1"/>
  <c r="T276" i="58" s="1"/>
  <c r="U276" i="58" s="1"/>
  <c r="V276" i="58" s="1"/>
  <c r="W276" i="58" s="1"/>
  <c r="X276" i="58" s="1"/>
  <c r="Y276" i="58" s="1"/>
  <c r="C277" i="58" s="1"/>
  <c r="D277" i="58" s="1"/>
  <c r="E277" i="58" s="1"/>
  <c r="F277" i="58" s="1"/>
  <c r="G277" i="58" s="1"/>
  <c r="H277" i="58" s="1"/>
  <c r="I277" i="58" s="1"/>
  <c r="J277" i="58" s="1"/>
  <c r="K277" i="58" s="1"/>
  <c r="L277" i="58" s="1"/>
  <c r="M277" i="58" s="1"/>
  <c r="N277" i="58" s="1"/>
  <c r="O277" i="58" s="1"/>
  <c r="P277" i="58" s="1"/>
  <c r="Q277" i="58" s="1"/>
  <c r="R277" i="58" s="1"/>
  <c r="S277" i="58" s="1"/>
  <c r="T277" i="58" s="1"/>
  <c r="U277" i="58" s="1"/>
  <c r="V277" i="58" s="1"/>
  <c r="W277" i="58" s="1"/>
  <c r="X277" i="58" s="1"/>
  <c r="Y277" i="58" s="1"/>
  <c r="C278" i="58" s="1"/>
  <c r="D278" i="58" s="1"/>
  <c r="E278" i="58" s="1"/>
  <c r="F278" i="58" s="1"/>
  <c r="G278" i="58" s="1"/>
  <c r="H278" i="58" s="1"/>
  <c r="I278" i="58" s="1"/>
  <c r="J278" i="58" s="1"/>
  <c r="K278" i="58" s="1"/>
  <c r="L278" i="58" s="1"/>
  <c r="M278" i="58" s="1"/>
  <c r="N278" i="58" s="1"/>
  <c r="O278" i="58" s="1"/>
  <c r="P278" i="58" s="1"/>
  <c r="Q278" i="58" s="1"/>
  <c r="R278" i="58" s="1"/>
  <c r="S278" i="58" s="1"/>
  <c r="T278" i="58" s="1"/>
  <c r="U278" i="58" s="1"/>
  <c r="V278" i="58" s="1"/>
  <c r="W278" i="58" s="1"/>
  <c r="X278" i="58" s="1"/>
  <c r="Y278" i="58" s="1"/>
  <c r="C279" i="58" s="1"/>
  <c r="D279" i="58" s="1"/>
  <c r="E279" i="58" s="1"/>
  <c r="F279" i="58" s="1"/>
  <c r="G279" i="58" s="1"/>
  <c r="H279" i="58" s="1"/>
  <c r="I279" i="58" s="1"/>
  <c r="J279" i="58" s="1"/>
  <c r="K279" i="58" s="1"/>
  <c r="L279" i="58" s="1"/>
  <c r="M279" i="58" s="1"/>
  <c r="N279" i="58" s="1"/>
  <c r="O279" i="58" s="1"/>
  <c r="P279" i="58" s="1"/>
  <c r="Q279" i="58" s="1"/>
  <c r="R279" i="58" s="1"/>
  <c r="S279" i="58" s="1"/>
  <c r="T279" i="58" s="1"/>
  <c r="U279" i="58" s="1"/>
  <c r="V279" i="58" s="1"/>
  <c r="W279" i="58" s="1"/>
  <c r="X279" i="58" s="1"/>
  <c r="Y279" i="58" s="1"/>
  <c r="C280" i="58" s="1"/>
  <c r="D280" i="58" s="1"/>
  <c r="E280" i="58" s="1"/>
  <c r="F280" i="58" s="1"/>
  <c r="G280" i="58" s="1"/>
  <c r="H280" i="58" s="1"/>
  <c r="I280" i="58" s="1"/>
  <c r="J280" i="58" s="1"/>
  <c r="K280" i="58" s="1"/>
  <c r="L280" i="58" s="1"/>
  <c r="M280" i="58" s="1"/>
  <c r="N280" i="58" s="1"/>
  <c r="O280" i="58" s="1"/>
  <c r="P280" i="58" s="1"/>
  <c r="Q280" i="58" s="1"/>
  <c r="R280" i="58" s="1"/>
  <c r="S280" i="58" s="1"/>
  <c r="T280" i="58" s="1"/>
  <c r="U280" i="58" s="1"/>
  <c r="V280" i="58" s="1"/>
  <c r="W280" i="58" s="1"/>
  <c r="X280" i="58" s="1"/>
  <c r="Y280" i="58" s="1"/>
  <c r="C281" i="58" s="1"/>
  <c r="D281" i="58" s="1"/>
  <c r="E281" i="58" s="1"/>
  <c r="F281" i="58" s="1"/>
  <c r="G281" i="58" s="1"/>
  <c r="H281" i="58" s="1"/>
  <c r="I281" i="58" s="1"/>
  <c r="J281" i="58" s="1"/>
  <c r="K281" i="58" s="1"/>
  <c r="L281" i="58" s="1"/>
  <c r="M281" i="58" s="1"/>
  <c r="N281" i="58" s="1"/>
  <c r="O281" i="58" s="1"/>
  <c r="P281" i="58" s="1"/>
  <c r="Q281" i="58" s="1"/>
  <c r="R281" i="58" s="1"/>
  <c r="S281" i="58" s="1"/>
  <c r="T281" i="58" s="1"/>
  <c r="U281" i="58" s="1"/>
  <c r="V281" i="58" s="1"/>
  <c r="W281" i="58" s="1"/>
  <c r="X281" i="58" s="1"/>
  <c r="Y281" i="58" s="1"/>
  <c r="C282" i="58" s="1"/>
  <c r="D282" i="58" s="1"/>
  <c r="E282" i="58" s="1"/>
  <c r="F282" i="58" s="1"/>
  <c r="G282" i="58" s="1"/>
  <c r="H282" i="58" s="1"/>
  <c r="I282" i="58" s="1"/>
  <c r="J282" i="58" s="1"/>
  <c r="K282" i="58" s="1"/>
  <c r="L282" i="58" s="1"/>
  <c r="M282" i="58" s="1"/>
  <c r="N282" i="58" s="1"/>
  <c r="O282" i="58" s="1"/>
  <c r="P282" i="58" s="1"/>
  <c r="Q282" i="58" s="1"/>
  <c r="R282" i="58" s="1"/>
  <c r="S282" i="58" s="1"/>
  <c r="T282" i="58" s="1"/>
  <c r="U282" i="58" s="1"/>
  <c r="V282" i="58" s="1"/>
  <c r="W282" i="58" s="1"/>
  <c r="X282" i="58" s="1"/>
  <c r="Y282" i="58" s="1"/>
  <c r="C283" i="58" s="1"/>
  <c r="D283" i="58" s="1"/>
  <c r="E283" i="58" s="1"/>
  <c r="F283" i="58" s="1"/>
  <c r="G283" i="58" s="1"/>
  <c r="H283" i="58" s="1"/>
  <c r="I283" i="58" s="1"/>
  <c r="J283" i="58" s="1"/>
  <c r="K283" i="58" s="1"/>
  <c r="L283" i="58" s="1"/>
  <c r="M283" i="58" s="1"/>
  <c r="N283" i="58" s="1"/>
  <c r="O283" i="58" s="1"/>
  <c r="P283" i="58" s="1"/>
  <c r="Q283" i="58" s="1"/>
  <c r="R283" i="58" s="1"/>
  <c r="S283" i="58" s="1"/>
  <c r="T283" i="58" s="1"/>
  <c r="U283" i="58" s="1"/>
  <c r="V283" i="58" s="1"/>
  <c r="W283" i="58" s="1"/>
  <c r="X283" i="58" s="1"/>
  <c r="Y283" i="58" s="1"/>
  <c r="C284" i="58" s="1"/>
  <c r="D284" i="58" s="1"/>
  <c r="E284" i="58" s="1"/>
  <c r="F284" i="58" s="1"/>
  <c r="G284" i="58" s="1"/>
  <c r="E258" i="59"/>
  <c r="F258" i="59" s="1"/>
  <c r="G258" i="59" s="1"/>
  <c r="H258" i="59" s="1"/>
  <c r="I258" i="59" s="1"/>
  <c r="J258" i="59" s="1"/>
  <c r="K258" i="59" s="1"/>
  <c r="L258" i="59" s="1"/>
  <c r="M258" i="59" s="1"/>
  <c r="N258" i="59" s="1"/>
  <c r="O258" i="59" s="1"/>
  <c r="P258" i="59" s="1"/>
  <c r="Q258" i="59" s="1"/>
  <c r="R258" i="59" s="1"/>
  <c r="S258" i="59" s="1"/>
  <c r="T258" i="59" s="1"/>
  <c r="U258" i="59" s="1"/>
  <c r="V258" i="59" s="1"/>
  <c r="W258" i="59" s="1"/>
  <c r="X258" i="59" s="1"/>
  <c r="Y258" i="59" s="1"/>
  <c r="C259" i="59" s="1"/>
  <c r="D259" i="59" s="1"/>
  <c r="E259" i="59" s="1"/>
  <c r="F259" i="59" s="1"/>
  <c r="G259" i="59" s="1"/>
  <c r="H259" i="59" s="1"/>
  <c r="I259" i="59" s="1"/>
  <c r="J259" i="59" s="1"/>
  <c r="K259" i="59" s="1"/>
  <c r="L259" i="59" s="1"/>
  <c r="M259" i="59" s="1"/>
  <c r="N259" i="59" s="1"/>
  <c r="O259" i="59" s="1"/>
  <c r="P259" i="59" s="1"/>
  <c r="Q259" i="59" s="1"/>
  <c r="R259" i="59" s="1"/>
  <c r="S259" i="59" s="1"/>
  <c r="T259" i="59" s="1"/>
  <c r="U259" i="59" s="1"/>
  <c r="V259" i="59" s="1"/>
  <c r="W259" i="59" s="1"/>
  <c r="X259" i="59" s="1"/>
  <c r="Y259" i="59" s="1"/>
  <c r="C260" i="59" s="1"/>
  <c r="D260" i="59" s="1"/>
  <c r="E260" i="59" s="1"/>
  <c r="F260" i="59" s="1"/>
  <c r="G260" i="59" s="1"/>
  <c r="H260" i="59" s="1"/>
  <c r="I260" i="59" s="1"/>
  <c r="J260" i="59" s="1"/>
  <c r="K260" i="59" s="1"/>
  <c r="L260" i="59" s="1"/>
  <c r="M260" i="59" s="1"/>
  <c r="N260" i="59" s="1"/>
  <c r="O260" i="59" s="1"/>
  <c r="P260" i="59" s="1"/>
  <c r="Q260" i="59" s="1"/>
  <c r="R260" i="59" s="1"/>
  <c r="S260" i="59" s="1"/>
  <c r="T260" i="59" s="1"/>
  <c r="U260" i="59" s="1"/>
  <c r="V260" i="59" s="1"/>
  <c r="W260" i="59" s="1"/>
  <c r="X260" i="59" s="1"/>
  <c r="Y260" i="59" s="1"/>
  <c r="C261" i="59" s="1"/>
  <c r="D261" i="59" s="1"/>
  <c r="E261" i="59" s="1"/>
  <c r="F261" i="59" s="1"/>
  <c r="G261" i="59" s="1"/>
  <c r="H261" i="59" s="1"/>
  <c r="I261" i="59" s="1"/>
  <c r="J261" i="59" s="1"/>
  <c r="K261" i="59" s="1"/>
  <c r="L261" i="59" s="1"/>
  <c r="M261" i="59" s="1"/>
  <c r="N261" i="59" s="1"/>
  <c r="O261" i="59" s="1"/>
  <c r="P261" i="59" s="1"/>
  <c r="Q261" i="59" s="1"/>
  <c r="R261" i="59" s="1"/>
  <c r="S261" i="59" s="1"/>
  <c r="T261" i="59" s="1"/>
  <c r="U261" i="59" s="1"/>
  <c r="V261" i="59" s="1"/>
  <c r="W261" i="59" s="1"/>
  <c r="X261" i="59" s="1"/>
  <c r="Y261" i="59" s="1"/>
  <c r="C262" i="59" s="1"/>
  <c r="D262" i="59" s="1"/>
  <c r="E262" i="59" s="1"/>
  <c r="F262" i="59" s="1"/>
  <c r="G262" i="59" s="1"/>
  <c r="H262" i="59" s="1"/>
  <c r="I262" i="59" s="1"/>
  <c r="J262" i="59" s="1"/>
  <c r="K262" i="59" s="1"/>
  <c r="L262" i="59" s="1"/>
  <c r="M262" i="59" s="1"/>
  <c r="N262" i="59" s="1"/>
  <c r="O262" i="59" s="1"/>
  <c r="P262" i="59" s="1"/>
  <c r="Q262" i="59" s="1"/>
  <c r="R262" i="59" s="1"/>
  <c r="S262" i="59" s="1"/>
  <c r="T262" i="59" s="1"/>
  <c r="U262" i="59" s="1"/>
  <c r="V262" i="59" s="1"/>
  <c r="W262" i="59" s="1"/>
  <c r="X262" i="59" s="1"/>
  <c r="Y262" i="59" s="1"/>
  <c r="C263" i="59" s="1"/>
  <c r="D263" i="59" s="1"/>
  <c r="E263" i="59" s="1"/>
  <c r="F263" i="59" s="1"/>
  <c r="G263" i="59" s="1"/>
  <c r="H263" i="59" s="1"/>
  <c r="I263" i="59" s="1"/>
  <c r="J263" i="59" s="1"/>
  <c r="K263" i="59" s="1"/>
  <c r="L263" i="59" s="1"/>
  <c r="M263" i="59" s="1"/>
  <c r="N263" i="59" s="1"/>
  <c r="O263" i="59" s="1"/>
  <c r="P263" i="59" s="1"/>
  <c r="Q263" i="59" s="1"/>
  <c r="R263" i="59" s="1"/>
  <c r="S263" i="59" s="1"/>
  <c r="T263" i="59" s="1"/>
  <c r="U263" i="59" s="1"/>
  <c r="V263" i="59" s="1"/>
  <c r="W263" i="59" s="1"/>
  <c r="X263" i="59" s="1"/>
  <c r="Y263" i="59" s="1"/>
  <c r="C264" i="59" s="1"/>
  <c r="D264" i="59" s="1"/>
  <c r="E264" i="59" s="1"/>
  <c r="F264" i="59" s="1"/>
  <c r="G264" i="59" s="1"/>
  <c r="H264" i="59" s="1"/>
  <c r="I264" i="59" s="1"/>
  <c r="J264" i="59" s="1"/>
  <c r="K264" i="59" s="1"/>
  <c r="L264" i="59" s="1"/>
  <c r="M264" i="59" s="1"/>
  <c r="N264" i="59" s="1"/>
  <c r="O264" i="59" s="1"/>
  <c r="P264" i="59" s="1"/>
  <c r="Q264" i="59" s="1"/>
  <c r="R264" i="59" s="1"/>
  <c r="S264" i="59" s="1"/>
  <c r="T264" i="59" s="1"/>
  <c r="U264" i="59" s="1"/>
  <c r="V264" i="59" s="1"/>
  <c r="W264" i="59" s="1"/>
  <c r="X264" i="59" s="1"/>
  <c r="Y264" i="59" s="1"/>
  <c r="C265" i="59" s="1"/>
  <c r="D265" i="59" s="1"/>
  <c r="E265" i="59" s="1"/>
  <c r="F265" i="59" s="1"/>
  <c r="G265" i="59" s="1"/>
  <c r="H265" i="59" s="1"/>
  <c r="I265" i="59" s="1"/>
  <c r="J265" i="59" s="1"/>
  <c r="K265" i="59" s="1"/>
  <c r="L265" i="59" s="1"/>
  <c r="M265" i="59" s="1"/>
  <c r="N265" i="59" s="1"/>
  <c r="O265" i="59" s="1"/>
  <c r="P265" i="59" s="1"/>
  <c r="Q265" i="59" s="1"/>
  <c r="R265" i="59" s="1"/>
  <c r="S265" i="59" s="1"/>
  <c r="T265" i="59" s="1"/>
  <c r="U265" i="59" s="1"/>
  <c r="V265" i="59" s="1"/>
  <c r="W265" i="59" s="1"/>
  <c r="X265" i="59" s="1"/>
  <c r="Y265" i="59" s="1"/>
  <c r="C266" i="59" s="1"/>
  <c r="D266" i="59" s="1"/>
  <c r="E266" i="59" s="1"/>
  <c r="F266" i="59" s="1"/>
  <c r="G266" i="59" s="1"/>
  <c r="H266" i="59" s="1"/>
  <c r="I266" i="59" s="1"/>
  <c r="J266" i="59" s="1"/>
  <c r="K266" i="59" s="1"/>
  <c r="L266" i="59" s="1"/>
  <c r="M266" i="59" s="1"/>
  <c r="N266" i="59" s="1"/>
  <c r="O266" i="59" s="1"/>
  <c r="P266" i="59" s="1"/>
  <c r="Q266" i="59" s="1"/>
  <c r="R266" i="59" s="1"/>
  <c r="S266" i="59" s="1"/>
  <c r="T266" i="59" s="1"/>
  <c r="U266" i="59" s="1"/>
  <c r="V266" i="59" s="1"/>
  <c r="W266" i="59" s="1"/>
  <c r="X266" i="59" s="1"/>
  <c r="Y266" i="59" s="1"/>
  <c r="C267" i="59" s="1"/>
  <c r="D267" i="59" s="1"/>
  <c r="E267" i="59" s="1"/>
  <c r="F267" i="59" s="1"/>
  <c r="G267" i="59" s="1"/>
  <c r="H267" i="59" s="1"/>
  <c r="I267" i="59" s="1"/>
  <c r="J267" i="59" s="1"/>
  <c r="K267" i="59" s="1"/>
  <c r="L267" i="59" s="1"/>
  <c r="M267" i="59" s="1"/>
  <c r="N267" i="59" s="1"/>
  <c r="O267" i="59" s="1"/>
  <c r="P267" i="59" s="1"/>
  <c r="Q267" i="59" s="1"/>
  <c r="R267" i="59" s="1"/>
  <c r="S267" i="59" s="1"/>
  <c r="T267" i="59" s="1"/>
  <c r="U267" i="59" s="1"/>
  <c r="V267" i="59" s="1"/>
  <c r="W267" i="59" s="1"/>
  <c r="X267" i="59" s="1"/>
  <c r="Y267" i="59" s="1"/>
  <c r="C268" i="59" s="1"/>
  <c r="D268" i="59" s="1"/>
  <c r="E268" i="59" s="1"/>
  <c r="F268" i="59" s="1"/>
  <c r="G268" i="59" s="1"/>
  <c r="H268" i="59" s="1"/>
  <c r="I268" i="59" s="1"/>
  <c r="J268" i="59" s="1"/>
  <c r="K268" i="59" s="1"/>
  <c r="L268" i="59" s="1"/>
  <c r="M268" i="59" s="1"/>
  <c r="N268" i="59" s="1"/>
  <c r="O268" i="59" s="1"/>
  <c r="P268" i="59" s="1"/>
  <c r="Q268" i="59" s="1"/>
  <c r="R268" i="59" s="1"/>
  <c r="S268" i="59" s="1"/>
  <c r="T268" i="59" s="1"/>
  <c r="U268" i="59" s="1"/>
  <c r="V268" i="59" s="1"/>
  <c r="W268" i="59" s="1"/>
  <c r="X268" i="59" s="1"/>
  <c r="Y268" i="59" s="1"/>
  <c r="C269" i="59" s="1"/>
  <c r="D269" i="59" s="1"/>
  <c r="E269" i="59" s="1"/>
  <c r="F269" i="59" s="1"/>
  <c r="G269" i="59" s="1"/>
  <c r="H269" i="59" s="1"/>
  <c r="I269" i="59" s="1"/>
  <c r="J269" i="59" s="1"/>
  <c r="K269" i="59" s="1"/>
  <c r="L269" i="59" s="1"/>
  <c r="M269" i="59" s="1"/>
  <c r="N269" i="59" s="1"/>
  <c r="O269" i="59" s="1"/>
  <c r="P269" i="59" s="1"/>
  <c r="Q269" i="59" s="1"/>
  <c r="R269" i="59" s="1"/>
  <c r="S269" i="59" s="1"/>
  <c r="T269" i="59" s="1"/>
  <c r="U269" i="59" s="1"/>
  <c r="V269" i="59" s="1"/>
  <c r="W269" i="59" s="1"/>
  <c r="X269" i="59" s="1"/>
  <c r="Y269" i="59" s="1"/>
  <c r="C270" i="59" s="1"/>
  <c r="D270" i="59" s="1"/>
  <c r="E270" i="59" s="1"/>
  <c r="F270" i="59" s="1"/>
  <c r="G270" i="59" s="1"/>
  <c r="H270" i="59" s="1"/>
  <c r="I270" i="59" s="1"/>
  <c r="J270" i="59" s="1"/>
  <c r="K270" i="59" s="1"/>
  <c r="L270" i="59" s="1"/>
  <c r="M270" i="59" s="1"/>
  <c r="N270" i="59" s="1"/>
  <c r="O270" i="59" s="1"/>
  <c r="P270" i="59" s="1"/>
  <c r="Q270" i="59" s="1"/>
  <c r="R270" i="59" s="1"/>
  <c r="S270" i="59" s="1"/>
  <c r="T270" i="59" s="1"/>
  <c r="U270" i="59" s="1"/>
  <c r="V270" i="59" s="1"/>
  <c r="W270" i="59" s="1"/>
  <c r="X270" i="59" s="1"/>
  <c r="Y270" i="59" s="1"/>
  <c r="C271" i="59" s="1"/>
  <c r="D271" i="59" s="1"/>
  <c r="E271" i="59" s="1"/>
  <c r="F271" i="59" s="1"/>
  <c r="G271" i="59" s="1"/>
  <c r="H271" i="59" s="1"/>
  <c r="I271" i="59" s="1"/>
  <c r="J271" i="59" s="1"/>
  <c r="K271" i="59" s="1"/>
  <c r="L271" i="59" s="1"/>
  <c r="M271" i="59" s="1"/>
  <c r="N271" i="59" s="1"/>
  <c r="O271" i="59" s="1"/>
  <c r="P271" i="59" s="1"/>
  <c r="Q271" i="59" s="1"/>
  <c r="R271" i="59" s="1"/>
  <c r="S271" i="59" s="1"/>
  <c r="T271" i="59" s="1"/>
  <c r="U271" i="59" s="1"/>
  <c r="V271" i="59" s="1"/>
  <c r="W271" i="59" s="1"/>
  <c r="X271" i="59" s="1"/>
  <c r="Y271" i="59" s="1"/>
  <c r="C272" i="59" s="1"/>
  <c r="D272" i="59" s="1"/>
  <c r="E272" i="59" s="1"/>
  <c r="F272" i="59" s="1"/>
  <c r="G272" i="59" s="1"/>
  <c r="H272" i="59" s="1"/>
  <c r="I272" i="59" s="1"/>
  <c r="J272" i="59" s="1"/>
  <c r="K272" i="59" s="1"/>
  <c r="L272" i="59" s="1"/>
  <c r="M272" i="59" s="1"/>
  <c r="N272" i="59" s="1"/>
  <c r="O272" i="59" s="1"/>
  <c r="P272" i="59" s="1"/>
  <c r="Q272" i="59" s="1"/>
  <c r="R272" i="59" s="1"/>
  <c r="S272" i="59" s="1"/>
  <c r="T272" i="59" s="1"/>
  <c r="U272" i="59" s="1"/>
  <c r="V272" i="59" s="1"/>
  <c r="W272" i="59" s="1"/>
  <c r="X272" i="59" s="1"/>
  <c r="Y272" i="59" s="1"/>
  <c r="C273" i="59" s="1"/>
  <c r="D273" i="59" s="1"/>
  <c r="E273" i="59" s="1"/>
  <c r="F273" i="59" s="1"/>
  <c r="G273" i="59" s="1"/>
  <c r="H273" i="59" s="1"/>
  <c r="I273" i="59" s="1"/>
  <c r="J273" i="59" s="1"/>
  <c r="K273" i="59" s="1"/>
  <c r="L273" i="59" s="1"/>
  <c r="M273" i="59" s="1"/>
  <c r="N273" i="59" s="1"/>
  <c r="O273" i="59" s="1"/>
  <c r="P273" i="59" s="1"/>
  <c r="Q273" i="59" s="1"/>
  <c r="R273" i="59" s="1"/>
  <c r="S273" i="59" s="1"/>
  <c r="T273" i="59" s="1"/>
  <c r="U273" i="59" s="1"/>
  <c r="V273" i="59" s="1"/>
  <c r="W273" i="59" s="1"/>
  <c r="X273" i="59" s="1"/>
  <c r="Y273" i="59" s="1"/>
  <c r="C274" i="59" s="1"/>
  <c r="D274" i="59" s="1"/>
  <c r="E274" i="59" s="1"/>
  <c r="F274" i="59" s="1"/>
  <c r="G274" i="59" s="1"/>
  <c r="H274" i="59" s="1"/>
  <c r="I274" i="59" s="1"/>
  <c r="J274" i="59" s="1"/>
  <c r="K274" i="59" s="1"/>
  <c r="L274" i="59" s="1"/>
  <c r="M274" i="59" s="1"/>
  <c r="N274" i="59" s="1"/>
  <c r="O274" i="59" s="1"/>
  <c r="P274" i="59" s="1"/>
  <c r="Q274" i="59" s="1"/>
  <c r="R274" i="59" s="1"/>
  <c r="S274" i="59" s="1"/>
  <c r="T274" i="59" s="1"/>
  <c r="U274" i="59" s="1"/>
  <c r="V274" i="59" s="1"/>
  <c r="W274" i="59" s="1"/>
  <c r="X274" i="59" s="1"/>
  <c r="Y274" i="59" s="1"/>
  <c r="C275" i="59" s="1"/>
  <c r="D275" i="59" s="1"/>
  <c r="E275" i="59" s="1"/>
  <c r="F275" i="59" s="1"/>
  <c r="G275" i="59" s="1"/>
  <c r="H275" i="59" s="1"/>
  <c r="I275" i="59" s="1"/>
  <c r="J275" i="59" s="1"/>
  <c r="K275" i="59" s="1"/>
  <c r="L275" i="59" s="1"/>
  <c r="M275" i="59" s="1"/>
  <c r="N275" i="59" s="1"/>
  <c r="O275" i="59" s="1"/>
  <c r="P275" i="59" s="1"/>
  <c r="Q275" i="59" s="1"/>
  <c r="R275" i="59" s="1"/>
  <c r="S275" i="59" s="1"/>
  <c r="T275" i="59" s="1"/>
  <c r="U275" i="59" s="1"/>
  <c r="V275" i="59" s="1"/>
  <c r="W275" i="59" s="1"/>
  <c r="X275" i="59" s="1"/>
  <c r="Y275" i="59" s="1"/>
  <c r="C276" i="59" s="1"/>
  <c r="D276" i="59" s="1"/>
  <c r="E276" i="59" s="1"/>
  <c r="F276" i="59" s="1"/>
  <c r="G276" i="59" s="1"/>
  <c r="H276" i="59" s="1"/>
  <c r="I276" i="59" s="1"/>
  <c r="J276" i="59" s="1"/>
  <c r="K276" i="59" s="1"/>
  <c r="L276" i="59" s="1"/>
  <c r="M276" i="59" s="1"/>
  <c r="N276" i="59" s="1"/>
  <c r="O276" i="59" s="1"/>
  <c r="P276" i="59" s="1"/>
  <c r="Q276" i="59" s="1"/>
  <c r="R276" i="59" s="1"/>
  <c r="S276" i="59" s="1"/>
  <c r="T276" i="59" s="1"/>
  <c r="U276" i="59" s="1"/>
  <c r="V276" i="59" s="1"/>
  <c r="W276" i="59" s="1"/>
  <c r="X276" i="59" s="1"/>
  <c r="Y276" i="59" s="1"/>
  <c r="C277" i="59" s="1"/>
  <c r="D277" i="59" s="1"/>
  <c r="E277" i="59" s="1"/>
  <c r="F277" i="59" s="1"/>
  <c r="G277" i="59" s="1"/>
  <c r="H277" i="59" s="1"/>
  <c r="I277" i="59" s="1"/>
  <c r="J277" i="59" s="1"/>
  <c r="K277" i="59" s="1"/>
  <c r="L277" i="59" s="1"/>
  <c r="M277" i="59" s="1"/>
  <c r="N277" i="59" s="1"/>
  <c r="O277" i="59" s="1"/>
  <c r="P277" i="59" s="1"/>
  <c r="Q277" i="59" s="1"/>
  <c r="R277" i="59" s="1"/>
  <c r="S277" i="59" s="1"/>
  <c r="T277" i="59" s="1"/>
  <c r="U277" i="59" s="1"/>
  <c r="V277" i="59" s="1"/>
  <c r="W277" i="59" s="1"/>
  <c r="X277" i="59" s="1"/>
  <c r="Y277" i="59" s="1"/>
  <c r="C278" i="59" s="1"/>
  <c r="D278" i="59" s="1"/>
  <c r="E278" i="59" s="1"/>
  <c r="F278" i="59" s="1"/>
  <c r="G278" i="59" s="1"/>
  <c r="H278" i="59" s="1"/>
  <c r="I278" i="59" s="1"/>
  <c r="J278" i="59" s="1"/>
  <c r="K278" i="59" s="1"/>
  <c r="L278" i="59" s="1"/>
  <c r="M278" i="59" s="1"/>
  <c r="N278" i="59" s="1"/>
  <c r="O278" i="59" s="1"/>
  <c r="P278" i="59" s="1"/>
  <c r="Q278" i="59" s="1"/>
  <c r="R278" i="59" s="1"/>
  <c r="S278" i="59" s="1"/>
  <c r="T278" i="59" s="1"/>
  <c r="U278" i="59" s="1"/>
  <c r="V278" i="59" s="1"/>
  <c r="W278" i="59" s="1"/>
  <c r="X278" i="59" s="1"/>
  <c r="Y278" i="59" s="1"/>
  <c r="C279" i="59" s="1"/>
  <c r="D279" i="59" s="1"/>
  <c r="E279" i="59" s="1"/>
  <c r="F279" i="59" s="1"/>
  <c r="G279" i="59" s="1"/>
  <c r="H279" i="59" s="1"/>
  <c r="I279" i="59" s="1"/>
  <c r="J279" i="59" s="1"/>
  <c r="K279" i="59" s="1"/>
  <c r="L279" i="59" s="1"/>
  <c r="M279" i="59" s="1"/>
  <c r="N279" i="59" s="1"/>
  <c r="O279" i="59" s="1"/>
  <c r="P279" i="59" s="1"/>
  <c r="Q279" i="59" s="1"/>
  <c r="R279" i="59" s="1"/>
  <c r="S279" i="59" s="1"/>
  <c r="T279" i="59" s="1"/>
  <c r="U279" i="59" s="1"/>
  <c r="V279" i="59" s="1"/>
  <c r="W279" i="59" s="1"/>
  <c r="X279" i="59" s="1"/>
  <c r="Y279" i="59" s="1"/>
  <c r="C280" i="59" s="1"/>
  <c r="D280" i="59" s="1"/>
  <c r="E280" i="59" s="1"/>
  <c r="F280" i="59" s="1"/>
  <c r="G280" i="59" s="1"/>
  <c r="H280" i="59" s="1"/>
  <c r="I280" i="59" s="1"/>
  <c r="J280" i="59" s="1"/>
  <c r="K280" i="59" s="1"/>
  <c r="L280" i="59" s="1"/>
  <c r="M280" i="59" s="1"/>
  <c r="N280" i="59" s="1"/>
  <c r="O280" i="59" s="1"/>
  <c r="P280" i="59" s="1"/>
  <c r="Q280" i="59" s="1"/>
  <c r="R280" i="59" s="1"/>
  <c r="S280" i="59" s="1"/>
  <c r="T280" i="59" s="1"/>
  <c r="U280" i="59" s="1"/>
  <c r="V280" i="59" s="1"/>
  <c r="W280" i="59" s="1"/>
  <c r="X280" i="59" s="1"/>
  <c r="Y280" i="59" s="1"/>
  <c r="C281" i="59" s="1"/>
  <c r="D281" i="59" s="1"/>
  <c r="E281" i="59" s="1"/>
  <c r="F281" i="59" s="1"/>
  <c r="G281" i="59" s="1"/>
  <c r="H281" i="59" s="1"/>
  <c r="I281" i="59" s="1"/>
  <c r="J281" i="59" s="1"/>
  <c r="K281" i="59" s="1"/>
  <c r="L281" i="59" s="1"/>
  <c r="M281" i="59" s="1"/>
  <c r="N281" i="59" s="1"/>
  <c r="O281" i="59" s="1"/>
  <c r="P281" i="59" s="1"/>
  <c r="Q281" i="59" s="1"/>
  <c r="R281" i="59" s="1"/>
  <c r="S281" i="59" s="1"/>
  <c r="T281" i="59" s="1"/>
  <c r="U281" i="59" s="1"/>
  <c r="V281" i="59" s="1"/>
  <c r="W281" i="59" s="1"/>
  <c r="X281" i="59" s="1"/>
  <c r="Y281" i="59" s="1"/>
  <c r="C282" i="59" s="1"/>
  <c r="D282" i="59" s="1"/>
  <c r="E282" i="59" s="1"/>
  <c r="F282" i="59" s="1"/>
  <c r="G282" i="59" s="1"/>
  <c r="H282" i="59" s="1"/>
  <c r="I282" i="59" s="1"/>
  <c r="J282" i="59" s="1"/>
  <c r="K282" i="59" s="1"/>
  <c r="L282" i="59" s="1"/>
  <c r="M282" i="59" s="1"/>
  <c r="N282" i="59" s="1"/>
  <c r="O282" i="59" s="1"/>
  <c r="P282" i="59" s="1"/>
  <c r="Q282" i="59" s="1"/>
  <c r="R282" i="59" s="1"/>
  <c r="S282" i="59" s="1"/>
  <c r="T282" i="59" s="1"/>
  <c r="U282" i="59" s="1"/>
  <c r="V282" i="59" s="1"/>
  <c r="W282" i="59" s="1"/>
  <c r="X282" i="59" s="1"/>
  <c r="Y282" i="59" s="1"/>
  <c r="C283" i="59" s="1"/>
  <c r="D283" i="59" s="1"/>
  <c r="E283" i="59" s="1"/>
  <c r="F283" i="59" s="1"/>
  <c r="G283" i="59" s="1"/>
  <c r="H283" i="59" s="1"/>
  <c r="I283" i="59" s="1"/>
  <c r="J283" i="59" s="1"/>
  <c r="K283" i="59" s="1"/>
  <c r="L283" i="59" s="1"/>
  <c r="M283" i="59" s="1"/>
  <c r="N283" i="59" s="1"/>
  <c r="O283" i="59" s="1"/>
  <c r="P283" i="59" s="1"/>
  <c r="Q283" i="59" s="1"/>
  <c r="R283" i="59" s="1"/>
  <c r="S283" i="59" s="1"/>
  <c r="T283" i="59" s="1"/>
  <c r="U283" i="59" s="1"/>
  <c r="V283" i="59" s="1"/>
  <c r="W283" i="59" s="1"/>
  <c r="X283" i="59" s="1"/>
  <c r="Y283" i="59" s="1"/>
  <c r="C284" i="59" s="1"/>
  <c r="D284" i="59" s="1"/>
  <c r="E284" i="59" s="1"/>
  <c r="F284" i="59" s="1"/>
  <c r="G284" i="59" s="1"/>
  <c r="H284" i="59" s="1"/>
  <c r="I284" i="59" s="1"/>
  <c r="J284" i="59" s="1"/>
  <c r="K284" i="59" s="1"/>
  <c r="L284" i="59" s="1"/>
  <c r="M284" i="59" s="1"/>
  <c r="N284" i="59" s="1"/>
  <c r="O284" i="59" s="1"/>
  <c r="P284" i="59" s="1"/>
  <c r="Q284" i="59" s="1"/>
  <c r="R284" i="59" s="1"/>
  <c r="S284" i="59" s="1"/>
  <c r="T284" i="59" s="1"/>
  <c r="U284" i="59" s="1"/>
  <c r="V284" i="59" s="1"/>
  <c r="W284" i="59" s="1"/>
  <c r="X284" i="59" s="1"/>
  <c r="Y284" i="59" s="1"/>
  <c r="C285" i="59" s="1"/>
  <c r="D285" i="59" s="1"/>
  <c r="E285" i="59" s="1"/>
  <c r="F285" i="59" s="1"/>
  <c r="G285" i="59" s="1"/>
  <c r="E258" i="60"/>
  <c r="F258" i="60" s="1"/>
  <c r="G258" i="60" s="1"/>
  <c r="H258" i="60" s="1"/>
  <c r="I258" i="60" s="1"/>
  <c r="J258" i="60" s="1"/>
  <c r="K258" i="60" s="1"/>
  <c r="L258" i="60" s="1"/>
  <c r="M258" i="60" s="1"/>
  <c r="N258" i="60" s="1"/>
  <c r="O258" i="60" s="1"/>
  <c r="P258" i="60" s="1"/>
  <c r="Q258" i="60" s="1"/>
  <c r="R258" i="60" s="1"/>
  <c r="S258" i="60" s="1"/>
  <c r="T258" i="60" s="1"/>
  <c r="U258" i="60" s="1"/>
  <c r="V258" i="60" s="1"/>
  <c r="W258" i="60" s="1"/>
  <c r="X258" i="60" s="1"/>
  <c r="Y258" i="60" s="1"/>
  <c r="C259" i="60" s="1"/>
  <c r="D259" i="60" s="1"/>
  <c r="E259" i="60" s="1"/>
  <c r="F259" i="60" s="1"/>
  <c r="G259" i="60" s="1"/>
  <c r="H259" i="60" s="1"/>
  <c r="I259" i="60" s="1"/>
  <c r="J259" i="60" s="1"/>
  <c r="K259" i="60" s="1"/>
  <c r="L259" i="60" s="1"/>
  <c r="M259" i="60" s="1"/>
  <c r="N259" i="60" s="1"/>
  <c r="O259" i="60" s="1"/>
  <c r="P259" i="60" s="1"/>
  <c r="Q259" i="60" s="1"/>
  <c r="R259" i="60" s="1"/>
  <c r="S259" i="60" s="1"/>
  <c r="T259" i="60" s="1"/>
  <c r="U259" i="60" s="1"/>
  <c r="V259" i="60" s="1"/>
  <c r="W259" i="60" s="1"/>
  <c r="X259" i="60" s="1"/>
  <c r="Y259" i="60" s="1"/>
  <c r="C260" i="60" s="1"/>
  <c r="D260" i="60" s="1"/>
  <c r="E260" i="60" s="1"/>
  <c r="F260" i="60" s="1"/>
  <c r="G260" i="60" s="1"/>
  <c r="H260" i="60" s="1"/>
  <c r="I260" i="60" s="1"/>
  <c r="J260" i="60" s="1"/>
  <c r="K260" i="60" s="1"/>
  <c r="L260" i="60" s="1"/>
  <c r="M260" i="60" s="1"/>
  <c r="N260" i="60" s="1"/>
  <c r="O260" i="60" s="1"/>
  <c r="P260" i="60" s="1"/>
  <c r="Q260" i="60" s="1"/>
  <c r="R260" i="60" s="1"/>
  <c r="S260" i="60" s="1"/>
  <c r="T260" i="60" s="1"/>
  <c r="U260" i="60" s="1"/>
  <c r="V260" i="60" s="1"/>
  <c r="W260" i="60" s="1"/>
  <c r="X260" i="60" s="1"/>
  <c r="Y260" i="60" s="1"/>
  <c r="C261" i="60" s="1"/>
  <c r="D261" i="60" s="1"/>
  <c r="E261" i="60" s="1"/>
  <c r="F261" i="60" s="1"/>
  <c r="G261" i="60" s="1"/>
  <c r="H261" i="60" s="1"/>
  <c r="I261" i="60" s="1"/>
  <c r="J261" i="60" s="1"/>
  <c r="K261" i="60" s="1"/>
  <c r="L261" i="60" s="1"/>
  <c r="M261" i="60" s="1"/>
  <c r="N261" i="60" s="1"/>
  <c r="O261" i="60" s="1"/>
  <c r="P261" i="60" s="1"/>
  <c r="Q261" i="60" s="1"/>
  <c r="R261" i="60" s="1"/>
  <c r="S261" i="60" s="1"/>
  <c r="T261" i="60" s="1"/>
  <c r="U261" i="60" s="1"/>
  <c r="V261" i="60" s="1"/>
  <c r="W261" i="60" s="1"/>
  <c r="X261" i="60" s="1"/>
  <c r="Y261" i="60" s="1"/>
  <c r="C262" i="60" s="1"/>
  <c r="D262" i="60" s="1"/>
  <c r="E262" i="60" s="1"/>
  <c r="F262" i="60" s="1"/>
  <c r="G262" i="60" s="1"/>
  <c r="H262" i="60" s="1"/>
  <c r="I262" i="60" s="1"/>
  <c r="J262" i="60" s="1"/>
  <c r="K262" i="60" s="1"/>
  <c r="L262" i="60" s="1"/>
  <c r="M262" i="60" s="1"/>
  <c r="N262" i="60" s="1"/>
  <c r="O262" i="60" s="1"/>
  <c r="P262" i="60" s="1"/>
  <c r="Q262" i="60" s="1"/>
  <c r="R262" i="60" s="1"/>
  <c r="S262" i="60" s="1"/>
  <c r="T262" i="60" s="1"/>
  <c r="U262" i="60" s="1"/>
  <c r="V262" i="60" s="1"/>
  <c r="W262" i="60" s="1"/>
  <c r="X262" i="60" s="1"/>
  <c r="Y262" i="60" s="1"/>
  <c r="C263" i="60" s="1"/>
  <c r="D263" i="60" s="1"/>
  <c r="E263" i="60" s="1"/>
  <c r="F263" i="60" s="1"/>
  <c r="G263" i="60" s="1"/>
  <c r="H263" i="60" s="1"/>
  <c r="I263" i="60" s="1"/>
  <c r="J263" i="60" s="1"/>
  <c r="K263" i="60" s="1"/>
  <c r="L263" i="60" s="1"/>
  <c r="M263" i="60" s="1"/>
  <c r="N263" i="60" s="1"/>
  <c r="O263" i="60" s="1"/>
  <c r="P263" i="60" s="1"/>
  <c r="Q263" i="60" s="1"/>
  <c r="R263" i="60" s="1"/>
  <c r="S263" i="60" s="1"/>
  <c r="T263" i="60" s="1"/>
  <c r="U263" i="60" s="1"/>
  <c r="V263" i="60" s="1"/>
  <c r="W263" i="60" s="1"/>
  <c r="X263" i="60" s="1"/>
  <c r="Y263" i="60" s="1"/>
  <c r="C264" i="60" s="1"/>
  <c r="D264" i="60" s="1"/>
  <c r="E264" i="60" s="1"/>
  <c r="F264" i="60" s="1"/>
  <c r="G264" i="60" s="1"/>
  <c r="H264" i="60" s="1"/>
  <c r="I264" i="60" s="1"/>
  <c r="J264" i="60" s="1"/>
  <c r="K264" i="60" s="1"/>
  <c r="L264" i="60" s="1"/>
  <c r="M264" i="60" s="1"/>
  <c r="N264" i="60" s="1"/>
  <c r="O264" i="60" s="1"/>
  <c r="P264" i="60" s="1"/>
  <c r="Q264" i="60" s="1"/>
  <c r="R264" i="60" s="1"/>
  <c r="S264" i="60" s="1"/>
  <c r="T264" i="60" s="1"/>
  <c r="U264" i="60" s="1"/>
  <c r="V264" i="60" s="1"/>
  <c r="W264" i="60" s="1"/>
  <c r="X264" i="60" s="1"/>
  <c r="Y264" i="60" s="1"/>
  <c r="C265" i="60" s="1"/>
  <c r="D265" i="60" s="1"/>
  <c r="E265" i="60" s="1"/>
  <c r="F265" i="60" s="1"/>
  <c r="G265" i="60" s="1"/>
  <c r="H265" i="60" s="1"/>
  <c r="I265" i="60" s="1"/>
  <c r="J265" i="60" s="1"/>
  <c r="K265" i="60" s="1"/>
  <c r="L265" i="60" s="1"/>
  <c r="M265" i="60" s="1"/>
  <c r="N265" i="60" s="1"/>
  <c r="O265" i="60" s="1"/>
  <c r="P265" i="60" s="1"/>
  <c r="Q265" i="60" s="1"/>
  <c r="R265" i="60" s="1"/>
  <c r="S265" i="60" s="1"/>
  <c r="T265" i="60" s="1"/>
  <c r="U265" i="60" s="1"/>
  <c r="V265" i="60" s="1"/>
  <c r="W265" i="60" s="1"/>
  <c r="X265" i="60" s="1"/>
  <c r="Y265" i="60" s="1"/>
  <c r="C266" i="60" s="1"/>
  <c r="D266" i="60" s="1"/>
  <c r="E266" i="60" s="1"/>
  <c r="F266" i="60" s="1"/>
  <c r="G266" i="60" s="1"/>
  <c r="H266" i="60" s="1"/>
  <c r="I266" i="60" s="1"/>
  <c r="J266" i="60" s="1"/>
  <c r="K266" i="60" s="1"/>
  <c r="L266" i="60" s="1"/>
  <c r="M266" i="60" s="1"/>
  <c r="N266" i="60" s="1"/>
  <c r="O266" i="60" s="1"/>
  <c r="P266" i="60" s="1"/>
  <c r="Q266" i="60" s="1"/>
  <c r="R266" i="60" s="1"/>
  <c r="S266" i="60" s="1"/>
  <c r="T266" i="60" s="1"/>
  <c r="U266" i="60" s="1"/>
  <c r="V266" i="60" s="1"/>
  <c r="W266" i="60" s="1"/>
  <c r="X266" i="60" s="1"/>
  <c r="Y266" i="60" s="1"/>
  <c r="C267" i="60" s="1"/>
  <c r="D267" i="60" s="1"/>
  <c r="E267" i="60" s="1"/>
  <c r="F267" i="60" s="1"/>
  <c r="G267" i="60" s="1"/>
  <c r="H267" i="60" s="1"/>
  <c r="I267" i="60" s="1"/>
  <c r="J267" i="60" s="1"/>
  <c r="K267" i="60" s="1"/>
  <c r="L267" i="60" s="1"/>
  <c r="M267" i="60" s="1"/>
  <c r="N267" i="60" s="1"/>
  <c r="O267" i="60" s="1"/>
  <c r="P267" i="60" s="1"/>
  <c r="Q267" i="60" s="1"/>
  <c r="R267" i="60" s="1"/>
  <c r="S267" i="60" s="1"/>
  <c r="T267" i="60" s="1"/>
  <c r="U267" i="60" s="1"/>
  <c r="V267" i="60" s="1"/>
  <c r="W267" i="60" s="1"/>
  <c r="X267" i="60" s="1"/>
  <c r="Y267" i="60" s="1"/>
  <c r="C268" i="60" s="1"/>
  <c r="D268" i="60" s="1"/>
  <c r="E268" i="60" s="1"/>
  <c r="F268" i="60" s="1"/>
  <c r="G268" i="60" s="1"/>
  <c r="H268" i="60" s="1"/>
  <c r="I268" i="60" s="1"/>
  <c r="J268" i="60" s="1"/>
  <c r="K268" i="60" s="1"/>
  <c r="L268" i="60" s="1"/>
  <c r="M268" i="60" s="1"/>
  <c r="N268" i="60" s="1"/>
  <c r="O268" i="60" s="1"/>
  <c r="P268" i="60" s="1"/>
  <c r="Q268" i="60" s="1"/>
  <c r="R268" i="60" s="1"/>
  <c r="S268" i="60" s="1"/>
  <c r="T268" i="60" s="1"/>
  <c r="U268" i="60" s="1"/>
  <c r="V268" i="60" s="1"/>
  <c r="W268" i="60" s="1"/>
  <c r="X268" i="60" s="1"/>
  <c r="Y268" i="60" s="1"/>
  <c r="C269" i="60" s="1"/>
  <c r="D269" i="60" s="1"/>
  <c r="E269" i="60" s="1"/>
  <c r="F269" i="60" s="1"/>
  <c r="G269" i="60" s="1"/>
  <c r="H269" i="60" s="1"/>
  <c r="I269" i="60" s="1"/>
  <c r="J269" i="60" s="1"/>
  <c r="K269" i="60" s="1"/>
  <c r="L269" i="60" s="1"/>
  <c r="M269" i="60" s="1"/>
  <c r="N269" i="60" s="1"/>
  <c r="O269" i="60" s="1"/>
  <c r="P269" i="60" s="1"/>
  <c r="Q269" i="60" s="1"/>
  <c r="R269" i="60" s="1"/>
  <c r="S269" i="60" s="1"/>
  <c r="T269" i="60" s="1"/>
  <c r="U269" i="60" s="1"/>
  <c r="V269" i="60" s="1"/>
  <c r="W269" i="60" s="1"/>
  <c r="X269" i="60" s="1"/>
  <c r="Y269" i="60" s="1"/>
  <c r="C270" i="60" s="1"/>
  <c r="D270" i="60" s="1"/>
  <c r="E270" i="60" s="1"/>
  <c r="F270" i="60" s="1"/>
  <c r="G270" i="60" s="1"/>
  <c r="H270" i="60" s="1"/>
  <c r="I270" i="60" s="1"/>
  <c r="J270" i="60" s="1"/>
  <c r="K270" i="60" s="1"/>
  <c r="L270" i="60" s="1"/>
  <c r="M270" i="60" s="1"/>
  <c r="N270" i="60" s="1"/>
  <c r="O270" i="60" s="1"/>
  <c r="P270" i="60" s="1"/>
  <c r="Q270" i="60" s="1"/>
  <c r="R270" i="60" s="1"/>
  <c r="S270" i="60" s="1"/>
  <c r="T270" i="60" s="1"/>
  <c r="U270" i="60" s="1"/>
  <c r="V270" i="60" s="1"/>
  <c r="W270" i="60" s="1"/>
  <c r="X270" i="60" s="1"/>
  <c r="Y270" i="60" s="1"/>
  <c r="C271" i="60" s="1"/>
  <c r="D271" i="60" s="1"/>
  <c r="E271" i="60" s="1"/>
  <c r="F271" i="60" s="1"/>
  <c r="G271" i="60" s="1"/>
  <c r="H271" i="60" s="1"/>
  <c r="I271" i="60" s="1"/>
  <c r="J271" i="60" s="1"/>
  <c r="K271" i="60" s="1"/>
  <c r="L271" i="60" s="1"/>
  <c r="M271" i="60" s="1"/>
  <c r="N271" i="60" s="1"/>
  <c r="O271" i="60" s="1"/>
  <c r="P271" i="60" s="1"/>
  <c r="Q271" i="60" s="1"/>
  <c r="R271" i="60" s="1"/>
  <c r="S271" i="60" s="1"/>
  <c r="T271" i="60" s="1"/>
  <c r="U271" i="60" s="1"/>
  <c r="V271" i="60" s="1"/>
  <c r="W271" i="60" s="1"/>
  <c r="X271" i="60" s="1"/>
  <c r="Y271" i="60" s="1"/>
  <c r="C272" i="60" s="1"/>
  <c r="D272" i="60" s="1"/>
  <c r="E272" i="60" s="1"/>
  <c r="F272" i="60" s="1"/>
  <c r="G272" i="60" s="1"/>
  <c r="H272" i="60" s="1"/>
  <c r="I272" i="60" s="1"/>
  <c r="J272" i="60" s="1"/>
  <c r="K272" i="60" s="1"/>
  <c r="L272" i="60" s="1"/>
  <c r="M272" i="60" s="1"/>
  <c r="N272" i="60" s="1"/>
  <c r="O272" i="60" s="1"/>
  <c r="P272" i="60" s="1"/>
  <c r="Q272" i="60" s="1"/>
  <c r="R272" i="60" s="1"/>
  <c r="S272" i="60" s="1"/>
  <c r="T272" i="60" s="1"/>
  <c r="U272" i="60" s="1"/>
  <c r="V272" i="60" s="1"/>
  <c r="W272" i="60" s="1"/>
  <c r="X272" i="60" s="1"/>
  <c r="Y272" i="60" s="1"/>
  <c r="C273" i="60" s="1"/>
  <c r="D273" i="60" s="1"/>
  <c r="E273" i="60" s="1"/>
  <c r="F273" i="60" s="1"/>
  <c r="G273" i="60" s="1"/>
  <c r="H273" i="60" s="1"/>
  <c r="I273" i="60" s="1"/>
  <c r="J273" i="60" s="1"/>
  <c r="K273" i="60" s="1"/>
  <c r="L273" i="60" s="1"/>
  <c r="M273" i="60" s="1"/>
  <c r="N273" i="60" s="1"/>
  <c r="O273" i="60" s="1"/>
  <c r="P273" i="60" s="1"/>
  <c r="Q273" i="60" s="1"/>
  <c r="R273" i="60" s="1"/>
  <c r="S273" i="60" s="1"/>
  <c r="T273" i="60" s="1"/>
  <c r="U273" i="60" s="1"/>
  <c r="V273" i="60" s="1"/>
  <c r="W273" i="60" s="1"/>
  <c r="X273" i="60" s="1"/>
  <c r="Y273" i="60" s="1"/>
  <c r="C274" i="60" s="1"/>
  <c r="D274" i="60" s="1"/>
  <c r="E274" i="60" s="1"/>
  <c r="F274" i="60" s="1"/>
  <c r="G274" i="60" s="1"/>
  <c r="H274" i="60" s="1"/>
  <c r="I274" i="60" s="1"/>
  <c r="J274" i="60" s="1"/>
  <c r="K274" i="60" s="1"/>
  <c r="L274" i="60" s="1"/>
  <c r="M274" i="60" s="1"/>
  <c r="N274" i="60" s="1"/>
  <c r="O274" i="60" s="1"/>
  <c r="P274" i="60" s="1"/>
  <c r="Q274" i="60" s="1"/>
  <c r="R274" i="60" s="1"/>
  <c r="S274" i="60" s="1"/>
  <c r="T274" i="60" s="1"/>
  <c r="U274" i="60" s="1"/>
  <c r="V274" i="60" s="1"/>
  <c r="W274" i="60" s="1"/>
  <c r="X274" i="60" s="1"/>
  <c r="Y274" i="60" s="1"/>
  <c r="C275" i="60" s="1"/>
  <c r="D275" i="60" s="1"/>
  <c r="E275" i="60" s="1"/>
  <c r="F275" i="60" s="1"/>
  <c r="G275" i="60" s="1"/>
  <c r="H275" i="60" s="1"/>
  <c r="I275" i="60" s="1"/>
  <c r="J275" i="60" s="1"/>
  <c r="K275" i="60" s="1"/>
  <c r="L275" i="60" s="1"/>
  <c r="M275" i="60" s="1"/>
  <c r="N275" i="60" s="1"/>
  <c r="O275" i="60" s="1"/>
  <c r="P275" i="60" s="1"/>
  <c r="Q275" i="60" s="1"/>
  <c r="R275" i="60" s="1"/>
  <c r="S275" i="60" s="1"/>
  <c r="T275" i="60" s="1"/>
  <c r="U275" i="60" s="1"/>
  <c r="V275" i="60" s="1"/>
  <c r="W275" i="60" s="1"/>
  <c r="X275" i="60" s="1"/>
  <c r="Y275" i="60" s="1"/>
  <c r="C276" i="60" s="1"/>
  <c r="D276" i="60" s="1"/>
  <c r="E276" i="60" s="1"/>
  <c r="F276" i="60" s="1"/>
  <c r="G276" i="60" s="1"/>
  <c r="H276" i="60" s="1"/>
  <c r="I276" i="60" s="1"/>
  <c r="J276" i="60" s="1"/>
  <c r="K276" i="60" s="1"/>
  <c r="L276" i="60" s="1"/>
  <c r="M276" i="60" s="1"/>
  <c r="N276" i="60" s="1"/>
  <c r="O276" i="60" s="1"/>
  <c r="P276" i="60" s="1"/>
  <c r="Q276" i="60" s="1"/>
  <c r="R276" i="60" s="1"/>
  <c r="S276" i="60" s="1"/>
  <c r="T276" i="60" s="1"/>
  <c r="U276" i="60" s="1"/>
  <c r="V276" i="60" s="1"/>
  <c r="W276" i="60" s="1"/>
  <c r="X276" i="60" s="1"/>
  <c r="Y276" i="60" s="1"/>
  <c r="C277" i="60" s="1"/>
  <c r="D277" i="60" s="1"/>
  <c r="E277" i="60" s="1"/>
  <c r="F277" i="60" s="1"/>
  <c r="G277" i="60" s="1"/>
  <c r="H277" i="60" s="1"/>
  <c r="I277" i="60" s="1"/>
  <c r="J277" i="60" s="1"/>
  <c r="K277" i="60" s="1"/>
  <c r="L277" i="60" s="1"/>
  <c r="M277" i="60" s="1"/>
  <c r="N277" i="60" s="1"/>
  <c r="O277" i="60" s="1"/>
  <c r="P277" i="60" s="1"/>
  <c r="Q277" i="60" s="1"/>
  <c r="R277" i="60" s="1"/>
  <c r="S277" i="60" s="1"/>
  <c r="T277" i="60" s="1"/>
  <c r="U277" i="60" s="1"/>
  <c r="V277" i="60" s="1"/>
  <c r="W277" i="60" s="1"/>
  <c r="X277" i="60" s="1"/>
  <c r="Y277" i="60" s="1"/>
  <c r="C278" i="60" s="1"/>
  <c r="D278" i="60" s="1"/>
  <c r="E278" i="60" s="1"/>
  <c r="F278" i="60" s="1"/>
  <c r="G278" i="60" s="1"/>
  <c r="H278" i="60" s="1"/>
  <c r="I278" i="60" s="1"/>
  <c r="J278" i="60" s="1"/>
  <c r="K278" i="60" s="1"/>
  <c r="L278" i="60" s="1"/>
  <c r="M278" i="60" s="1"/>
  <c r="N278" i="60" s="1"/>
  <c r="O278" i="60" s="1"/>
  <c r="P278" i="60" s="1"/>
  <c r="Q278" i="60" s="1"/>
  <c r="R278" i="60" s="1"/>
  <c r="S278" i="60" s="1"/>
  <c r="T278" i="60" s="1"/>
  <c r="U278" i="60" s="1"/>
  <c r="V278" i="60" s="1"/>
  <c r="W278" i="60" s="1"/>
  <c r="X278" i="60" s="1"/>
  <c r="Y278" i="60" s="1"/>
  <c r="C279" i="60" s="1"/>
  <c r="D279" i="60" s="1"/>
  <c r="E279" i="60" s="1"/>
  <c r="F279" i="60" s="1"/>
  <c r="G279" i="60" s="1"/>
  <c r="H279" i="60" s="1"/>
  <c r="I279" i="60" s="1"/>
  <c r="J279" i="60" s="1"/>
  <c r="K279" i="60" s="1"/>
  <c r="L279" i="60" s="1"/>
  <c r="M279" i="60" s="1"/>
  <c r="N279" i="60" s="1"/>
  <c r="O279" i="60" s="1"/>
  <c r="P279" i="60" s="1"/>
  <c r="Q279" i="60" s="1"/>
  <c r="R279" i="60" s="1"/>
  <c r="S279" i="60" s="1"/>
  <c r="T279" i="60" s="1"/>
  <c r="U279" i="60" s="1"/>
  <c r="V279" i="60" s="1"/>
  <c r="W279" i="60" s="1"/>
  <c r="X279" i="60" s="1"/>
  <c r="Y279" i="60" s="1"/>
  <c r="C280" i="60" s="1"/>
  <c r="D280" i="60" s="1"/>
  <c r="E280" i="60" s="1"/>
  <c r="F280" i="60" s="1"/>
  <c r="G280" i="60" s="1"/>
  <c r="H280" i="60" s="1"/>
  <c r="I280" i="60" s="1"/>
  <c r="J280" i="60" s="1"/>
  <c r="K280" i="60" s="1"/>
  <c r="L280" i="60" s="1"/>
  <c r="M280" i="60" s="1"/>
  <c r="N280" i="60" s="1"/>
  <c r="O280" i="60" s="1"/>
  <c r="P280" i="60" s="1"/>
  <c r="Q280" i="60" s="1"/>
  <c r="R280" i="60" s="1"/>
  <c r="S280" i="60" s="1"/>
  <c r="T280" i="60" s="1"/>
  <c r="U280" i="60" s="1"/>
  <c r="V280" i="60" s="1"/>
  <c r="W280" i="60" s="1"/>
  <c r="X280" i="60" s="1"/>
  <c r="Y280" i="60" s="1"/>
  <c r="C281" i="60" s="1"/>
  <c r="D281" i="60" s="1"/>
  <c r="E281" i="60" s="1"/>
  <c r="F281" i="60" s="1"/>
  <c r="G281" i="60" s="1"/>
  <c r="H281" i="60" s="1"/>
  <c r="I281" i="60" s="1"/>
  <c r="J281" i="60" s="1"/>
  <c r="K281" i="60" s="1"/>
  <c r="L281" i="60" s="1"/>
  <c r="M281" i="60" s="1"/>
  <c r="N281" i="60" s="1"/>
  <c r="O281" i="60" s="1"/>
  <c r="P281" i="60" s="1"/>
  <c r="Q281" i="60" s="1"/>
  <c r="R281" i="60" s="1"/>
  <c r="S281" i="60" s="1"/>
  <c r="T281" i="60" s="1"/>
  <c r="U281" i="60" s="1"/>
  <c r="V281" i="60" s="1"/>
  <c r="W281" i="60" s="1"/>
  <c r="X281" i="60" s="1"/>
  <c r="Y281" i="60" s="1"/>
  <c r="C282" i="60" s="1"/>
  <c r="D282" i="60" s="1"/>
  <c r="E282" i="60" s="1"/>
  <c r="F282" i="60" s="1"/>
  <c r="G282" i="60" s="1"/>
  <c r="H282" i="60" s="1"/>
  <c r="I282" i="60" s="1"/>
  <c r="J282" i="60" s="1"/>
  <c r="K282" i="60" s="1"/>
  <c r="L282" i="60" s="1"/>
  <c r="M282" i="60" s="1"/>
  <c r="N282" i="60" s="1"/>
  <c r="O282" i="60" s="1"/>
  <c r="P282" i="60" s="1"/>
  <c r="Q282" i="60" s="1"/>
  <c r="R282" i="60" s="1"/>
  <c r="S282" i="60" s="1"/>
  <c r="T282" i="60" s="1"/>
  <c r="U282" i="60" s="1"/>
  <c r="V282" i="60" s="1"/>
  <c r="W282" i="60" s="1"/>
  <c r="X282" i="60" s="1"/>
  <c r="Y282" i="60" s="1"/>
  <c r="C283" i="60" s="1"/>
  <c r="D283" i="60" s="1"/>
  <c r="E283" i="60" s="1"/>
  <c r="F283" i="60" s="1"/>
  <c r="G283" i="60" s="1"/>
  <c r="H283" i="60" s="1"/>
  <c r="I283" i="60" s="1"/>
  <c r="J283" i="60" s="1"/>
  <c r="K283" i="60" s="1"/>
  <c r="L283" i="60" s="1"/>
  <c r="M283" i="60" s="1"/>
  <c r="N283" i="60" s="1"/>
  <c r="O283" i="60" s="1"/>
  <c r="P283" i="60" s="1"/>
  <c r="Q283" i="60" s="1"/>
  <c r="R283" i="60" s="1"/>
  <c r="S283" i="60" s="1"/>
  <c r="T283" i="60" s="1"/>
  <c r="U283" i="60" s="1"/>
  <c r="V283" i="60" s="1"/>
  <c r="W283" i="60" s="1"/>
  <c r="X283" i="60" s="1"/>
  <c r="Y283" i="60" s="1"/>
  <c r="C284" i="60" s="1"/>
  <c r="D284" i="60" s="1"/>
  <c r="E284" i="60" s="1"/>
  <c r="F284" i="60" s="1"/>
  <c r="G284" i="60" s="1"/>
  <c r="H284" i="60" s="1"/>
  <c r="I284" i="60" s="1"/>
  <c r="J284" i="60" s="1"/>
  <c r="K284" i="60" s="1"/>
  <c r="L284" i="60" s="1"/>
  <c r="M284" i="60" s="1"/>
  <c r="N284" i="60" s="1"/>
  <c r="O284" i="60" s="1"/>
  <c r="P284" i="60" s="1"/>
  <c r="Q284" i="60" s="1"/>
  <c r="R284" i="60" s="1"/>
  <c r="S284" i="60" s="1"/>
  <c r="T284" i="60" s="1"/>
  <c r="U284" i="60" s="1"/>
  <c r="V284" i="60" s="1"/>
  <c r="W284" i="60" s="1"/>
  <c r="X284" i="60" s="1"/>
  <c r="Y284" i="60" s="1"/>
  <c r="C285" i="60" s="1"/>
  <c r="D285" i="60" s="1"/>
  <c r="E285" i="60" s="1"/>
  <c r="F285" i="60" s="1"/>
  <c r="G285" i="60" s="1"/>
  <c r="H285" i="60" s="1"/>
  <c r="I285" i="60" s="1"/>
  <c r="J285" i="60" s="1"/>
  <c r="K285" i="60" s="1"/>
  <c r="L285" i="60" s="1"/>
  <c r="M285" i="60" s="1"/>
  <c r="N285" i="60" s="1"/>
  <c r="O285" i="60" s="1"/>
  <c r="P285" i="60" s="1"/>
  <c r="Q285" i="60" s="1"/>
  <c r="R285" i="60" s="1"/>
  <c r="S285" i="60" s="1"/>
  <c r="T285" i="60" s="1"/>
  <c r="U285" i="60" s="1"/>
  <c r="V285" i="60" s="1"/>
  <c r="W285" i="60" s="1"/>
  <c r="X285" i="60" s="1"/>
  <c r="Y285" i="60" s="1"/>
  <c r="C286" i="60" s="1"/>
  <c r="D286" i="60" s="1"/>
  <c r="E286" i="60" s="1"/>
  <c r="F286" i="60" s="1"/>
  <c r="G286" i="60" s="1"/>
  <c r="E258" i="61"/>
  <c r="F258" i="61" s="1"/>
  <c r="G258" i="61" s="1"/>
  <c r="H258" i="61" s="1"/>
  <c r="I258" i="61" s="1"/>
  <c r="J258" i="61" s="1"/>
  <c r="K258" i="61" s="1"/>
  <c r="L258" i="61" s="1"/>
  <c r="M258" i="61" s="1"/>
  <c r="N258" i="61" s="1"/>
  <c r="O258" i="61" s="1"/>
  <c r="P258" i="61" s="1"/>
  <c r="Q258" i="61" s="1"/>
  <c r="R258" i="61" s="1"/>
  <c r="S258" i="61" s="1"/>
  <c r="T258" i="61" s="1"/>
  <c r="U258" i="61" s="1"/>
  <c r="V258" i="61" s="1"/>
  <c r="W258" i="61" s="1"/>
  <c r="X258" i="61" s="1"/>
  <c r="Y258" i="61" s="1"/>
  <c r="C259" i="61" s="1"/>
  <c r="D259" i="61" s="1"/>
  <c r="E259" i="61" s="1"/>
  <c r="F259" i="61" s="1"/>
  <c r="G259" i="61" s="1"/>
  <c r="H259" i="61" s="1"/>
  <c r="I259" i="61" s="1"/>
  <c r="J259" i="61" s="1"/>
  <c r="K259" i="61" s="1"/>
  <c r="L259" i="61" s="1"/>
  <c r="M259" i="61" s="1"/>
  <c r="N259" i="61" s="1"/>
  <c r="O259" i="61" s="1"/>
  <c r="P259" i="61" s="1"/>
  <c r="Q259" i="61" s="1"/>
  <c r="R259" i="61" s="1"/>
  <c r="S259" i="61" s="1"/>
  <c r="T259" i="61" s="1"/>
  <c r="U259" i="61" s="1"/>
  <c r="V259" i="61" s="1"/>
  <c r="W259" i="61" s="1"/>
  <c r="X259" i="61" s="1"/>
  <c r="Y259" i="61" s="1"/>
  <c r="C260" i="61" s="1"/>
  <c r="D260" i="61" s="1"/>
  <c r="E260" i="61" s="1"/>
  <c r="F260" i="61" s="1"/>
  <c r="G260" i="61" s="1"/>
  <c r="H260" i="61" s="1"/>
  <c r="I260" i="61" s="1"/>
  <c r="J260" i="61" s="1"/>
  <c r="K260" i="61" s="1"/>
  <c r="L260" i="61" s="1"/>
  <c r="M260" i="61" s="1"/>
  <c r="N260" i="61" s="1"/>
  <c r="O260" i="61" s="1"/>
  <c r="P260" i="61" s="1"/>
  <c r="Q260" i="61" s="1"/>
  <c r="R260" i="61" s="1"/>
  <c r="S260" i="61" s="1"/>
  <c r="T260" i="61" s="1"/>
  <c r="U260" i="61" s="1"/>
  <c r="V260" i="61" s="1"/>
  <c r="W260" i="61" s="1"/>
  <c r="X260" i="61" s="1"/>
  <c r="Y260" i="61" s="1"/>
  <c r="C261" i="61" s="1"/>
  <c r="D261" i="61" s="1"/>
  <c r="E261" i="61" s="1"/>
  <c r="F261" i="61" s="1"/>
  <c r="G261" i="61" s="1"/>
  <c r="H261" i="61" s="1"/>
  <c r="I261" i="61" s="1"/>
  <c r="J261" i="61" s="1"/>
  <c r="K261" i="61" s="1"/>
  <c r="L261" i="61" s="1"/>
  <c r="M261" i="61" s="1"/>
  <c r="N261" i="61" s="1"/>
  <c r="O261" i="61" s="1"/>
  <c r="P261" i="61" s="1"/>
  <c r="Q261" i="61" s="1"/>
  <c r="R261" i="61" s="1"/>
  <c r="S261" i="61" s="1"/>
  <c r="T261" i="61" s="1"/>
  <c r="U261" i="61" s="1"/>
  <c r="V261" i="61" s="1"/>
  <c r="W261" i="61" s="1"/>
  <c r="X261" i="61" s="1"/>
  <c r="Y261" i="61" s="1"/>
  <c r="C262" i="61" s="1"/>
  <c r="D262" i="61" s="1"/>
  <c r="E262" i="61" s="1"/>
  <c r="F262" i="61" s="1"/>
  <c r="G262" i="61" s="1"/>
  <c r="H262" i="61" s="1"/>
  <c r="I262" i="61" s="1"/>
  <c r="J262" i="61" s="1"/>
  <c r="K262" i="61" s="1"/>
  <c r="L262" i="61" s="1"/>
  <c r="M262" i="61" s="1"/>
  <c r="N262" i="61" s="1"/>
  <c r="O262" i="61" s="1"/>
  <c r="P262" i="61" s="1"/>
  <c r="Q262" i="61" s="1"/>
  <c r="R262" i="61" s="1"/>
  <c r="S262" i="61" s="1"/>
  <c r="T262" i="61" s="1"/>
  <c r="U262" i="61" s="1"/>
  <c r="V262" i="61" s="1"/>
  <c r="W262" i="61" s="1"/>
  <c r="X262" i="61" s="1"/>
  <c r="Y262" i="61" s="1"/>
  <c r="C263" i="61" s="1"/>
  <c r="D263" i="61" s="1"/>
  <c r="E263" i="61" s="1"/>
  <c r="F263" i="61" s="1"/>
  <c r="G263" i="61" s="1"/>
  <c r="H263" i="61" s="1"/>
  <c r="I263" i="61" s="1"/>
  <c r="J263" i="61" s="1"/>
  <c r="K263" i="61" s="1"/>
  <c r="L263" i="61" s="1"/>
  <c r="M263" i="61" s="1"/>
  <c r="N263" i="61" s="1"/>
  <c r="O263" i="61" s="1"/>
  <c r="P263" i="61" s="1"/>
  <c r="Q263" i="61" s="1"/>
  <c r="R263" i="61" s="1"/>
  <c r="S263" i="61" s="1"/>
  <c r="T263" i="61" s="1"/>
  <c r="U263" i="61" s="1"/>
  <c r="V263" i="61" s="1"/>
  <c r="W263" i="61" s="1"/>
  <c r="X263" i="61" s="1"/>
  <c r="Y263" i="61" s="1"/>
  <c r="C264" i="61" s="1"/>
  <c r="D264" i="61" s="1"/>
  <c r="E264" i="61" s="1"/>
  <c r="F264" i="61" s="1"/>
  <c r="G264" i="61" s="1"/>
  <c r="H264" i="61" s="1"/>
  <c r="I264" i="61" s="1"/>
  <c r="J264" i="61" s="1"/>
  <c r="K264" i="61" s="1"/>
  <c r="L264" i="61" s="1"/>
  <c r="M264" i="61" s="1"/>
  <c r="N264" i="61" s="1"/>
  <c r="O264" i="61" s="1"/>
  <c r="P264" i="61" s="1"/>
  <c r="Q264" i="61" s="1"/>
  <c r="R264" i="61" s="1"/>
  <c r="S264" i="61" s="1"/>
  <c r="T264" i="61" s="1"/>
  <c r="U264" i="61" s="1"/>
  <c r="V264" i="61" s="1"/>
  <c r="W264" i="61" s="1"/>
  <c r="X264" i="61" s="1"/>
  <c r="Y264" i="61" s="1"/>
  <c r="C265" i="61" s="1"/>
  <c r="D265" i="61" s="1"/>
  <c r="E265" i="61" s="1"/>
  <c r="F265" i="61" s="1"/>
  <c r="G265" i="61" s="1"/>
  <c r="H265" i="61" s="1"/>
  <c r="I265" i="61" s="1"/>
  <c r="J265" i="61" s="1"/>
  <c r="K265" i="61" s="1"/>
  <c r="L265" i="61" s="1"/>
  <c r="M265" i="61" s="1"/>
  <c r="N265" i="61" s="1"/>
  <c r="O265" i="61" s="1"/>
  <c r="P265" i="61" s="1"/>
  <c r="Q265" i="61" s="1"/>
  <c r="R265" i="61" s="1"/>
  <c r="S265" i="61" s="1"/>
  <c r="T265" i="61" s="1"/>
  <c r="U265" i="61" s="1"/>
  <c r="V265" i="61" s="1"/>
  <c r="W265" i="61" s="1"/>
  <c r="X265" i="61" s="1"/>
  <c r="Y265" i="61" s="1"/>
  <c r="C266" i="61" s="1"/>
  <c r="D266" i="61" s="1"/>
  <c r="E266" i="61" s="1"/>
  <c r="F266" i="61" s="1"/>
  <c r="G266" i="61" s="1"/>
  <c r="H266" i="61" s="1"/>
  <c r="I266" i="61" s="1"/>
  <c r="J266" i="61" s="1"/>
  <c r="K266" i="61" s="1"/>
  <c r="L266" i="61" s="1"/>
  <c r="M266" i="61" s="1"/>
  <c r="N266" i="61" s="1"/>
  <c r="O266" i="61" s="1"/>
  <c r="P266" i="61" s="1"/>
  <c r="Q266" i="61" s="1"/>
  <c r="R266" i="61" s="1"/>
  <c r="S266" i="61" s="1"/>
  <c r="T266" i="61" s="1"/>
  <c r="U266" i="61" s="1"/>
  <c r="V266" i="61" s="1"/>
  <c r="W266" i="61" s="1"/>
  <c r="X266" i="61" s="1"/>
  <c r="Y266" i="61" s="1"/>
  <c r="C267" i="61" s="1"/>
  <c r="D267" i="61" s="1"/>
  <c r="E267" i="61" s="1"/>
  <c r="F267" i="61" s="1"/>
  <c r="G267" i="61" s="1"/>
  <c r="H267" i="61" s="1"/>
  <c r="I267" i="61" s="1"/>
  <c r="J267" i="61" s="1"/>
  <c r="K267" i="61" s="1"/>
  <c r="L267" i="61" s="1"/>
  <c r="M267" i="61" s="1"/>
  <c r="N267" i="61" s="1"/>
  <c r="O267" i="61" s="1"/>
  <c r="P267" i="61" s="1"/>
  <c r="Q267" i="61" s="1"/>
  <c r="R267" i="61" s="1"/>
  <c r="S267" i="61" s="1"/>
  <c r="T267" i="61" s="1"/>
  <c r="U267" i="61" s="1"/>
  <c r="V267" i="61" s="1"/>
  <c r="W267" i="61" s="1"/>
  <c r="X267" i="61" s="1"/>
  <c r="Y267" i="61" s="1"/>
  <c r="C268" i="61" s="1"/>
  <c r="D268" i="61" s="1"/>
  <c r="E268" i="61" s="1"/>
  <c r="F268" i="61" s="1"/>
  <c r="G268" i="61" s="1"/>
  <c r="H268" i="61" s="1"/>
  <c r="I268" i="61" s="1"/>
  <c r="J268" i="61" s="1"/>
  <c r="K268" i="61" s="1"/>
  <c r="L268" i="61" s="1"/>
  <c r="M268" i="61" s="1"/>
  <c r="N268" i="61" s="1"/>
  <c r="O268" i="61" s="1"/>
  <c r="P268" i="61" s="1"/>
  <c r="Q268" i="61" s="1"/>
  <c r="R268" i="61" s="1"/>
  <c r="S268" i="61" s="1"/>
  <c r="T268" i="61" s="1"/>
  <c r="U268" i="61" s="1"/>
  <c r="V268" i="61" s="1"/>
  <c r="W268" i="61" s="1"/>
  <c r="X268" i="61" s="1"/>
  <c r="Y268" i="61" s="1"/>
  <c r="C269" i="61" s="1"/>
  <c r="D269" i="61" s="1"/>
  <c r="E269" i="61" s="1"/>
  <c r="F269" i="61" s="1"/>
  <c r="G269" i="61" s="1"/>
  <c r="H269" i="61" s="1"/>
  <c r="I269" i="61" s="1"/>
  <c r="J269" i="61" s="1"/>
  <c r="K269" i="61" s="1"/>
  <c r="L269" i="61" s="1"/>
  <c r="M269" i="61" s="1"/>
  <c r="N269" i="61" s="1"/>
  <c r="O269" i="61" s="1"/>
  <c r="P269" i="61" s="1"/>
  <c r="Q269" i="61" s="1"/>
  <c r="R269" i="61" s="1"/>
  <c r="S269" i="61" s="1"/>
  <c r="T269" i="61" s="1"/>
  <c r="U269" i="61" s="1"/>
  <c r="V269" i="61" s="1"/>
  <c r="W269" i="61" s="1"/>
  <c r="X269" i="61" s="1"/>
  <c r="Y269" i="61" s="1"/>
  <c r="C270" i="61" s="1"/>
  <c r="D270" i="61" s="1"/>
  <c r="E270" i="61" s="1"/>
  <c r="F270" i="61" s="1"/>
  <c r="G270" i="61" s="1"/>
  <c r="H270" i="61" s="1"/>
  <c r="I270" i="61" s="1"/>
  <c r="J270" i="61" s="1"/>
  <c r="K270" i="61" s="1"/>
  <c r="L270" i="61" s="1"/>
  <c r="M270" i="61" s="1"/>
  <c r="N270" i="61" s="1"/>
  <c r="O270" i="61" s="1"/>
  <c r="P270" i="61" s="1"/>
  <c r="Q270" i="61" s="1"/>
  <c r="R270" i="61" s="1"/>
  <c r="S270" i="61" s="1"/>
  <c r="T270" i="61" s="1"/>
  <c r="U270" i="61" s="1"/>
  <c r="V270" i="61" s="1"/>
  <c r="W270" i="61" s="1"/>
  <c r="X270" i="61" s="1"/>
  <c r="Y270" i="61" s="1"/>
  <c r="C271" i="61" s="1"/>
  <c r="D271" i="61" s="1"/>
  <c r="E271" i="61" s="1"/>
  <c r="F271" i="61" s="1"/>
  <c r="G271" i="61" s="1"/>
  <c r="H271" i="61" s="1"/>
  <c r="I271" i="61" s="1"/>
  <c r="J271" i="61" s="1"/>
  <c r="K271" i="61" s="1"/>
  <c r="L271" i="61" s="1"/>
  <c r="M271" i="61" s="1"/>
  <c r="N271" i="61" s="1"/>
  <c r="O271" i="61" s="1"/>
  <c r="P271" i="61" s="1"/>
  <c r="Q271" i="61" s="1"/>
  <c r="R271" i="61" s="1"/>
  <c r="S271" i="61" s="1"/>
  <c r="T271" i="61" s="1"/>
  <c r="U271" i="61" s="1"/>
  <c r="V271" i="61" s="1"/>
  <c r="W271" i="61" s="1"/>
  <c r="X271" i="61" s="1"/>
  <c r="Y271" i="61" s="1"/>
  <c r="C272" i="61" s="1"/>
  <c r="D272" i="61" s="1"/>
  <c r="E272" i="61" s="1"/>
  <c r="F272" i="61" s="1"/>
  <c r="G272" i="61" s="1"/>
  <c r="H272" i="61" s="1"/>
  <c r="I272" i="61" s="1"/>
  <c r="J272" i="61" s="1"/>
  <c r="K272" i="61" s="1"/>
  <c r="L272" i="61" s="1"/>
  <c r="M272" i="61" s="1"/>
  <c r="N272" i="61" s="1"/>
  <c r="O272" i="61" s="1"/>
  <c r="P272" i="61" s="1"/>
  <c r="Q272" i="61" s="1"/>
  <c r="R272" i="61" s="1"/>
  <c r="S272" i="61" s="1"/>
  <c r="T272" i="61" s="1"/>
  <c r="U272" i="61" s="1"/>
  <c r="V272" i="61" s="1"/>
  <c r="W272" i="61" s="1"/>
  <c r="X272" i="61" s="1"/>
  <c r="Y272" i="61" s="1"/>
  <c r="C273" i="61" s="1"/>
  <c r="D273" i="61" s="1"/>
  <c r="E273" i="61" s="1"/>
  <c r="F273" i="61" s="1"/>
  <c r="G273" i="61" s="1"/>
  <c r="H273" i="61" s="1"/>
  <c r="I273" i="61" s="1"/>
  <c r="J273" i="61" s="1"/>
  <c r="K273" i="61" s="1"/>
  <c r="L273" i="61" s="1"/>
  <c r="M273" i="61" s="1"/>
  <c r="N273" i="61" s="1"/>
  <c r="O273" i="61" s="1"/>
  <c r="P273" i="61" s="1"/>
  <c r="Q273" i="61" s="1"/>
  <c r="R273" i="61" s="1"/>
  <c r="S273" i="61" s="1"/>
  <c r="T273" i="61" s="1"/>
  <c r="U273" i="61" s="1"/>
  <c r="V273" i="61" s="1"/>
  <c r="W273" i="61" s="1"/>
  <c r="X273" i="61" s="1"/>
  <c r="Y273" i="61" s="1"/>
  <c r="C274" i="61" s="1"/>
  <c r="D274" i="61" s="1"/>
  <c r="E274" i="61" s="1"/>
  <c r="F274" i="61" s="1"/>
  <c r="G274" i="61" s="1"/>
  <c r="H274" i="61" s="1"/>
  <c r="I274" i="61" s="1"/>
  <c r="J274" i="61" s="1"/>
  <c r="K274" i="61" s="1"/>
  <c r="L274" i="61" s="1"/>
  <c r="M274" i="61" s="1"/>
  <c r="N274" i="61" s="1"/>
  <c r="O274" i="61" s="1"/>
  <c r="P274" i="61" s="1"/>
  <c r="Q274" i="61" s="1"/>
  <c r="R274" i="61" s="1"/>
  <c r="S274" i="61" s="1"/>
  <c r="T274" i="61" s="1"/>
  <c r="U274" i="61" s="1"/>
  <c r="V274" i="61" s="1"/>
  <c r="W274" i="61" s="1"/>
  <c r="X274" i="61" s="1"/>
  <c r="Y274" i="61" s="1"/>
  <c r="C275" i="61" s="1"/>
  <c r="D275" i="61" s="1"/>
  <c r="E275" i="61" s="1"/>
  <c r="F275" i="61" s="1"/>
  <c r="G275" i="61" s="1"/>
  <c r="H275" i="61" s="1"/>
  <c r="I275" i="61" s="1"/>
  <c r="J275" i="61" s="1"/>
  <c r="K275" i="61" s="1"/>
  <c r="L275" i="61" s="1"/>
  <c r="M275" i="61" s="1"/>
  <c r="N275" i="61" s="1"/>
  <c r="O275" i="61" s="1"/>
  <c r="P275" i="61" s="1"/>
  <c r="Q275" i="61" s="1"/>
  <c r="R275" i="61" s="1"/>
  <c r="S275" i="61" s="1"/>
  <c r="T275" i="61" s="1"/>
  <c r="U275" i="61" s="1"/>
  <c r="V275" i="61" s="1"/>
  <c r="W275" i="61" s="1"/>
  <c r="X275" i="61" s="1"/>
  <c r="Y275" i="61" s="1"/>
  <c r="C276" i="61" s="1"/>
  <c r="D276" i="61" s="1"/>
  <c r="E276" i="61" s="1"/>
  <c r="F276" i="61" s="1"/>
  <c r="G276" i="61" s="1"/>
  <c r="H276" i="61" s="1"/>
  <c r="I276" i="61" s="1"/>
  <c r="J276" i="61" s="1"/>
  <c r="K276" i="61" s="1"/>
  <c r="L276" i="61" s="1"/>
  <c r="M276" i="61" s="1"/>
  <c r="N276" i="61" s="1"/>
  <c r="O276" i="61" s="1"/>
  <c r="P276" i="61" s="1"/>
  <c r="Q276" i="61" s="1"/>
  <c r="R276" i="61" s="1"/>
  <c r="S276" i="61" s="1"/>
  <c r="T276" i="61" s="1"/>
  <c r="U276" i="61" s="1"/>
  <c r="V276" i="61" s="1"/>
  <c r="W276" i="61" s="1"/>
  <c r="X276" i="61" s="1"/>
  <c r="Y276" i="61" s="1"/>
  <c r="C277" i="61" s="1"/>
  <c r="D277" i="61" s="1"/>
  <c r="E277" i="61" s="1"/>
  <c r="F277" i="61" s="1"/>
  <c r="G277" i="61" s="1"/>
  <c r="E258" i="62"/>
  <c r="F258" i="62" s="1"/>
  <c r="G258" i="62" s="1"/>
  <c r="H258" i="62" s="1"/>
  <c r="I258" i="62" s="1"/>
  <c r="J258" i="62" s="1"/>
  <c r="K258" i="62" s="1"/>
  <c r="L258" i="62" s="1"/>
  <c r="M258" i="62" s="1"/>
  <c r="N258" i="62" s="1"/>
  <c r="O258" i="62" s="1"/>
  <c r="P258" i="62" s="1"/>
  <c r="Q258" i="62" s="1"/>
  <c r="R258" i="62" s="1"/>
  <c r="S258" i="62" s="1"/>
  <c r="T258" i="62" s="1"/>
  <c r="U258" i="62" s="1"/>
  <c r="V258" i="62" s="1"/>
  <c r="W258" i="62" s="1"/>
  <c r="X258" i="62" s="1"/>
  <c r="Y258" i="62" s="1"/>
  <c r="C259" i="62" s="1"/>
  <c r="D259" i="62" s="1"/>
  <c r="E259" i="62" s="1"/>
  <c r="F259" i="62" s="1"/>
  <c r="G259" i="62" s="1"/>
  <c r="H259" i="62" s="1"/>
  <c r="I259" i="62" s="1"/>
  <c r="J259" i="62" s="1"/>
  <c r="K259" i="62" s="1"/>
  <c r="L259" i="62" s="1"/>
  <c r="M259" i="62" s="1"/>
  <c r="N259" i="62" s="1"/>
  <c r="O259" i="62" s="1"/>
  <c r="P259" i="62" s="1"/>
  <c r="Q259" i="62" s="1"/>
  <c r="R259" i="62" s="1"/>
  <c r="S259" i="62" s="1"/>
  <c r="T259" i="62" s="1"/>
  <c r="U259" i="62" s="1"/>
  <c r="V259" i="62" s="1"/>
  <c r="W259" i="62" s="1"/>
  <c r="X259" i="62" s="1"/>
  <c r="Y259" i="62" s="1"/>
  <c r="C260" i="62" s="1"/>
  <c r="D260" i="62" s="1"/>
  <c r="E260" i="62" s="1"/>
  <c r="F260" i="62" s="1"/>
  <c r="G260" i="62" s="1"/>
  <c r="H260" i="62" s="1"/>
  <c r="I260" i="62" s="1"/>
  <c r="J260" i="62" s="1"/>
  <c r="K260" i="62" s="1"/>
  <c r="L260" i="62" s="1"/>
  <c r="M260" i="62" s="1"/>
  <c r="N260" i="62" s="1"/>
  <c r="O260" i="62" s="1"/>
  <c r="P260" i="62" s="1"/>
  <c r="Q260" i="62" s="1"/>
  <c r="R260" i="62" s="1"/>
  <c r="S260" i="62" s="1"/>
  <c r="T260" i="62" s="1"/>
  <c r="U260" i="62" s="1"/>
  <c r="V260" i="62" s="1"/>
  <c r="W260" i="62" s="1"/>
  <c r="X260" i="62" s="1"/>
  <c r="Y260" i="62" s="1"/>
  <c r="C261" i="62" s="1"/>
  <c r="D261" i="62" s="1"/>
  <c r="E261" i="62" s="1"/>
  <c r="F261" i="62" s="1"/>
  <c r="G261" i="62" s="1"/>
  <c r="H261" i="62" s="1"/>
  <c r="I261" i="62" s="1"/>
  <c r="J261" i="62" s="1"/>
  <c r="K261" i="62" s="1"/>
  <c r="L261" i="62" s="1"/>
  <c r="M261" i="62" s="1"/>
  <c r="N261" i="62" s="1"/>
  <c r="O261" i="62" s="1"/>
  <c r="P261" i="62" s="1"/>
  <c r="Q261" i="62" s="1"/>
  <c r="R261" i="62" s="1"/>
  <c r="S261" i="62" s="1"/>
  <c r="T261" i="62" s="1"/>
  <c r="U261" i="62" s="1"/>
  <c r="V261" i="62" s="1"/>
  <c r="W261" i="62" s="1"/>
  <c r="X261" i="62" s="1"/>
  <c r="Y261" i="62" s="1"/>
  <c r="C262" i="62" s="1"/>
  <c r="D262" i="62" s="1"/>
  <c r="E262" i="62" s="1"/>
  <c r="F262" i="62" s="1"/>
  <c r="G262" i="62" s="1"/>
  <c r="H262" i="62" s="1"/>
  <c r="I262" i="62" s="1"/>
  <c r="J262" i="62" s="1"/>
  <c r="K262" i="62" s="1"/>
  <c r="L262" i="62" s="1"/>
  <c r="M262" i="62" s="1"/>
  <c r="N262" i="62" s="1"/>
  <c r="O262" i="62" s="1"/>
  <c r="P262" i="62" s="1"/>
  <c r="Q262" i="62" s="1"/>
  <c r="R262" i="62" s="1"/>
  <c r="S262" i="62" s="1"/>
  <c r="T262" i="62" s="1"/>
  <c r="U262" i="62" s="1"/>
  <c r="V262" i="62" s="1"/>
  <c r="W262" i="62" s="1"/>
  <c r="X262" i="62" s="1"/>
  <c r="Y262" i="62" s="1"/>
  <c r="C263" i="62" s="1"/>
  <c r="D263" i="62" s="1"/>
  <c r="E263" i="62" s="1"/>
  <c r="F263" i="62" s="1"/>
  <c r="G263" i="62" s="1"/>
  <c r="H263" i="62" s="1"/>
  <c r="I263" i="62" s="1"/>
  <c r="J263" i="62" s="1"/>
  <c r="K263" i="62" s="1"/>
  <c r="L263" i="62" s="1"/>
  <c r="M263" i="62" s="1"/>
  <c r="N263" i="62" s="1"/>
  <c r="O263" i="62" s="1"/>
  <c r="P263" i="62" s="1"/>
  <c r="Q263" i="62" s="1"/>
  <c r="R263" i="62" s="1"/>
  <c r="S263" i="62" s="1"/>
  <c r="T263" i="62" s="1"/>
  <c r="U263" i="62" s="1"/>
  <c r="V263" i="62" s="1"/>
  <c r="W263" i="62" s="1"/>
  <c r="X263" i="62" s="1"/>
  <c r="Y263" i="62" s="1"/>
  <c r="C264" i="62" s="1"/>
  <c r="D264" i="62" s="1"/>
  <c r="E264" i="62" s="1"/>
  <c r="F264" i="62" s="1"/>
  <c r="G264" i="62" s="1"/>
  <c r="H264" i="62" s="1"/>
  <c r="I264" i="62" s="1"/>
  <c r="J264" i="62" s="1"/>
  <c r="K264" i="62" s="1"/>
  <c r="L264" i="62" s="1"/>
  <c r="M264" i="62" s="1"/>
  <c r="N264" i="62" s="1"/>
  <c r="O264" i="62" s="1"/>
  <c r="P264" i="62" s="1"/>
  <c r="Q264" i="62" s="1"/>
  <c r="R264" i="62" s="1"/>
  <c r="S264" i="62" s="1"/>
  <c r="T264" i="62" s="1"/>
  <c r="U264" i="62" s="1"/>
  <c r="V264" i="62" s="1"/>
  <c r="W264" i="62" s="1"/>
  <c r="X264" i="62" s="1"/>
  <c r="Y264" i="62" s="1"/>
  <c r="C265" i="62" s="1"/>
  <c r="D265" i="62" s="1"/>
  <c r="E265" i="62" s="1"/>
  <c r="F265" i="62" s="1"/>
  <c r="G265" i="62" s="1"/>
  <c r="H265" i="62" s="1"/>
  <c r="I265" i="62" s="1"/>
  <c r="J265" i="62" s="1"/>
  <c r="K265" i="62" s="1"/>
  <c r="L265" i="62" s="1"/>
  <c r="M265" i="62" s="1"/>
  <c r="N265" i="62" s="1"/>
  <c r="O265" i="62" s="1"/>
  <c r="P265" i="62" s="1"/>
  <c r="Q265" i="62" s="1"/>
  <c r="R265" i="62" s="1"/>
  <c r="S265" i="62" s="1"/>
  <c r="T265" i="62" s="1"/>
  <c r="U265" i="62" s="1"/>
  <c r="V265" i="62" s="1"/>
  <c r="W265" i="62" s="1"/>
  <c r="X265" i="62" s="1"/>
  <c r="Y265" i="62" s="1"/>
  <c r="C266" i="62" s="1"/>
  <c r="D266" i="62" s="1"/>
  <c r="E266" i="62" s="1"/>
  <c r="F266" i="62" s="1"/>
  <c r="G266" i="62" s="1"/>
  <c r="H266" i="62" s="1"/>
  <c r="I266" i="62" s="1"/>
  <c r="J266" i="62" s="1"/>
  <c r="K266" i="62" s="1"/>
  <c r="L266" i="62" s="1"/>
  <c r="M266" i="62" s="1"/>
  <c r="N266" i="62" s="1"/>
  <c r="O266" i="62" s="1"/>
  <c r="P266" i="62" s="1"/>
  <c r="Q266" i="62" s="1"/>
  <c r="R266" i="62" s="1"/>
  <c r="S266" i="62" s="1"/>
  <c r="T266" i="62" s="1"/>
  <c r="U266" i="62" s="1"/>
  <c r="V266" i="62" s="1"/>
  <c r="W266" i="62" s="1"/>
  <c r="X266" i="62" s="1"/>
  <c r="Y266" i="62" s="1"/>
  <c r="C267" i="62" s="1"/>
  <c r="D267" i="62" s="1"/>
  <c r="E267" i="62" s="1"/>
  <c r="F267" i="62" s="1"/>
  <c r="G267" i="62" s="1"/>
  <c r="H267" i="62" s="1"/>
  <c r="I267" i="62" s="1"/>
  <c r="J267" i="62" s="1"/>
  <c r="K267" i="62" s="1"/>
  <c r="L267" i="62" s="1"/>
  <c r="M267" i="62" s="1"/>
  <c r="N267" i="62" s="1"/>
  <c r="O267" i="62" s="1"/>
  <c r="P267" i="62" s="1"/>
  <c r="Q267" i="62" s="1"/>
  <c r="R267" i="62" s="1"/>
  <c r="S267" i="62" s="1"/>
  <c r="T267" i="62" s="1"/>
  <c r="U267" i="62" s="1"/>
  <c r="V267" i="62" s="1"/>
  <c r="W267" i="62" s="1"/>
  <c r="X267" i="62" s="1"/>
  <c r="Y267" i="62" s="1"/>
  <c r="C268" i="62" s="1"/>
  <c r="D268" i="62" s="1"/>
  <c r="E268" i="62" s="1"/>
  <c r="F268" i="62" s="1"/>
  <c r="G268" i="62" s="1"/>
  <c r="H268" i="62" s="1"/>
  <c r="I268" i="62" s="1"/>
  <c r="J268" i="62" s="1"/>
  <c r="K268" i="62" s="1"/>
  <c r="L268" i="62" s="1"/>
  <c r="M268" i="62" s="1"/>
  <c r="N268" i="62" s="1"/>
  <c r="O268" i="62" s="1"/>
  <c r="P268" i="62" s="1"/>
  <c r="Q268" i="62" s="1"/>
  <c r="R268" i="62" s="1"/>
  <c r="S268" i="62" s="1"/>
  <c r="T268" i="62" s="1"/>
  <c r="U268" i="62" s="1"/>
  <c r="V268" i="62" s="1"/>
  <c r="W268" i="62" s="1"/>
  <c r="X268" i="62" s="1"/>
  <c r="Y268" i="62" s="1"/>
  <c r="C269" i="62" s="1"/>
  <c r="D269" i="62" s="1"/>
  <c r="E269" i="62" s="1"/>
  <c r="F269" i="62" s="1"/>
  <c r="G269" i="62" s="1"/>
  <c r="H269" i="62" s="1"/>
  <c r="I269" i="62" s="1"/>
  <c r="J269" i="62" s="1"/>
  <c r="K269" i="62" s="1"/>
  <c r="L269" i="62" s="1"/>
  <c r="M269" i="62" s="1"/>
  <c r="N269" i="62" s="1"/>
  <c r="O269" i="62" s="1"/>
  <c r="P269" i="62" s="1"/>
  <c r="Q269" i="62" s="1"/>
  <c r="R269" i="62" s="1"/>
  <c r="S269" i="62" s="1"/>
  <c r="T269" i="62" s="1"/>
  <c r="U269" i="62" s="1"/>
  <c r="V269" i="62" s="1"/>
  <c r="W269" i="62" s="1"/>
  <c r="X269" i="62" s="1"/>
  <c r="Y269" i="62" s="1"/>
  <c r="C270" i="62" s="1"/>
  <c r="D270" i="62" s="1"/>
  <c r="E270" i="62" s="1"/>
  <c r="F270" i="62" s="1"/>
  <c r="G270" i="62" s="1"/>
  <c r="H270" i="62" s="1"/>
  <c r="I270" i="62" s="1"/>
  <c r="J270" i="62" s="1"/>
  <c r="K270" i="62" s="1"/>
  <c r="L270" i="62" s="1"/>
  <c r="M270" i="62" s="1"/>
  <c r="N270" i="62" s="1"/>
  <c r="O270" i="62" s="1"/>
  <c r="P270" i="62" s="1"/>
  <c r="Q270" i="62" s="1"/>
  <c r="R270" i="62" s="1"/>
  <c r="S270" i="62" s="1"/>
  <c r="T270" i="62" s="1"/>
  <c r="U270" i="62" s="1"/>
  <c r="V270" i="62" s="1"/>
  <c r="W270" i="62" s="1"/>
  <c r="X270" i="62" s="1"/>
  <c r="Y270" i="62" s="1"/>
  <c r="C271" i="62" s="1"/>
  <c r="D271" i="62" s="1"/>
  <c r="E271" i="62" s="1"/>
  <c r="F271" i="62" s="1"/>
  <c r="G271" i="62" s="1"/>
  <c r="H271" i="62" s="1"/>
  <c r="I271" i="62" s="1"/>
  <c r="J271" i="62" s="1"/>
  <c r="K271" i="62" s="1"/>
  <c r="L271" i="62" s="1"/>
  <c r="M271" i="62" s="1"/>
  <c r="N271" i="62" s="1"/>
  <c r="O271" i="62" s="1"/>
  <c r="P271" i="62" s="1"/>
  <c r="Q271" i="62" s="1"/>
  <c r="R271" i="62" s="1"/>
  <c r="S271" i="62" s="1"/>
  <c r="T271" i="62" s="1"/>
  <c r="U271" i="62" s="1"/>
  <c r="V271" i="62" s="1"/>
  <c r="W271" i="62" s="1"/>
  <c r="X271" i="62" s="1"/>
  <c r="Y271" i="62" s="1"/>
  <c r="C272" i="62" s="1"/>
  <c r="D272" i="62" s="1"/>
  <c r="E272" i="62" s="1"/>
  <c r="F272" i="62" s="1"/>
  <c r="G272" i="62" s="1"/>
  <c r="H272" i="62" s="1"/>
  <c r="I272" i="62" s="1"/>
  <c r="J272" i="62" s="1"/>
  <c r="K272" i="62" s="1"/>
  <c r="L272" i="62" s="1"/>
  <c r="M272" i="62" s="1"/>
  <c r="N272" i="62" s="1"/>
  <c r="O272" i="62" s="1"/>
  <c r="P272" i="62" s="1"/>
  <c r="Q272" i="62" s="1"/>
  <c r="R272" i="62" s="1"/>
  <c r="S272" i="62" s="1"/>
  <c r="T272" i="62" s="1"/>
  <c r="U272" i="62" s="1"/>
  <c r="V272" i="62" s="1"/>
  <c r="W272" i="62" s="1"/>
  <c r="X272" i="62" s="1"/>
  <c r="Y272" i="62" s="1"/>
  <c r="C273" i="62" s="1"/>
  <c r="D273" i="62" s="1"/>
  <c r="E273" i="62" s="1"/>
  <c r="F273" i="62" s="1"/>
  <c r="G273" i="62" s="1"/>
  <c r="H273" i="62" s="1"/>
  <c r="I273" i="62" s="1"/>
  <c r="J273" i="62" s="1"/>
  <c r="K273" i="62" s="1"/>
  <c r="L273" i="62" s="1"/>
  <c r="M273" i="62" s="1"/>
  <c r="N273" i="62" s="1"/>
  <c r="O273" i="62" s="1"/>
  <c r="P273" i="62" s="1"/>
  <c r="Q273" i="62" s="1"/>
  <c r="R273" i="62" s="1"/>
  <c r="S273" i="62" s="1"/>
  <c r="T273" i="62" s="1"/>
  <c r="U273" i="62" s="1"/>
  <c r="V273" i="62" s="1"/>
  <c r="W273" i="62" s="1"/>
  <c r="X273" i="62" s="1"/>
  <c r="Y273" i="62" s="1"/>
  <c r="C274" i="62" s="1"/>
  <c r="D274" i="62" s="1"/>
  <c r="E274" i="62" s="1"/>
  <c r="F274" i="62" s="1"/>
  <c r="G274" i="62" s="1"/>
  <c r="H274" i="62" s="1"/>
  <c r="I274" i="62" s="1"/>
  <c r="J274" i="62" s="1"/>
  <c r="K274" i="62" s="1"/>
  <c r="L274" i="62" s="1"/>
  <c r="M274" i="62" s="1"/>
  <c r="N274" i="62" s="1"/>
  <c r="O274" i="62" s="1"/>
  <c r="P274" i="62" s="1"/>
  <c r="Q274" i="62" s="1"/>
  <c r="R274" i="62" s="1"/>
  <c r="S274" i="62" s="1"/>
  <c r="T274" i="62" s="1"/>
  <c r="U274" i="62" s="1"/>
  <c r="V274" i="62" s="1"/>
  <c r="W274" i="62" s="1"/>
  <c r="X274" i="62" s="1"/>
  <c r="Y274" i="62" s="1"/>
  <c r="C275" i="62" s="1"/>
  <c r="D275" i="62" s="1"/>
  <c r="E275" i="62" s="1"/>
  <c r="F275" i="62" s="1"/>
  <c r="G275" i="62" s="1"/>
  <c r="H275" i="62" s="1"/>
  <c r="I275" i="62" s="1"/>
  <c r="J275" i="62" s="1"/>
  <c r="K275" i="62" s="1"/>
  <c r="L275" i="62" s="1"/>
  <c r="M275" i="62" s="1"/>
  <c r="N275" i="62" s="1"/>
  <c r="O275" i="62" s="1"/>
  <c r="P275" i="62" s="1"/>
  <c r="Q275" i="62" s="1"/>
  <c r="R275" i="62" s="1"/>
  <c r="S275" i="62" s="1"/>
  <c r="T275" i="62" s="1"/>
  <c r="U275" i="62" s="1"/>
  <c r="V275" i="62" s="1"/>
  <c r="W275" i="62" s="1"/>
  <c r="X275" i="62" s="1"/>
  <c r="Y275" i="62" s="1"/>
  <c r="C276" i="62" s="1"/>
  <c r="D276" i="62" s="1"/>
  <c r="E276" i="62" s="1"/>
  <c r="F276" i="62" s="1"/>
  <c r="G276" i="62" s="1"/>
  <c r="H276" i="62" s="1"/>
  <c r="I276" i="62" s="1"/>
  <c r="J276" i="62" s="1"/>
  <c r="K276" i="62" s="1"/>
  <c r="L276" i="62" s="1"/>
  <c r="M276" i="62" s="1"/>
  <c r="N276" i="62" s="1"/>
  <c r="O276" i="62" s="1"/>
  <c r="P276" i="62" s="1"/>
  <c r="Q276" i="62" s="1"/>
  <c r="R276" i="62" s="1"/>
  <c r="S276" i="62" s="1"/>
  <c r="T276" i="62" s="1"/>
  <c r="U276" i="62" s="1"/>
  <c r="V276" i="62" s="1"/>
  <c r="W276" i="62" s="1"/>
  <c r="X276" i="62" s="1"/>
  <c r="Y276" i="62" s="1"/>
  <c r="C277" i="62" s="1"/>
  <c r="D277" i="62" s="1"/>
  <c r="E277" i="62" s="1"/>
  <c r="F277" i="62" s="1"/>
  <c r="G277" i="62" s="1"/>
  <c r="H277" i="62" s="1"/>
  <c r="I277" i="62" s="1"/>
  <c r="J277" i="62" s="1"/>
  <c r="K277" i="62" s="1"/>
  <c r="L277" i="62" s="1"/>
  <c r="M277" i="62" s="1"/>
  <c r="N277" i="62" s="1"/>
  <c r="O277" i="62" s="1"/>
  <c r="P277" i="62" s="1"/>
  <c r="Q277" i="62" s="1"/>
  <c r="R277" i="62" s="1"/>
  <c r="S277" i="62" s="1"/>
  <c r="T277" i="62" s="1"/>
  <c r="U277" i="62" s="1"/>
  <c r="V277" i="62" s="1"/>
  <c r="W277" i="62" s="1"/>
  <c r="X277" i="62" s="1"/>
  <c r="Y277" i="62" s="1"/>
  <c r="C278" i="62" s="1"/>
  <c r="D278" i="62" s="1"/>
  <c r="E278" i="62" s="1"/>
  <c r="F278" i="62" s="1"/>
  <c r="G278" i="62" s="1"/>
  <c r="H278" i="62" s="1"/>
  <c r="I278" i="62" s="1"/>
  <c r="J278" i="62" s="1"/>
  <c r="K278" i="62" s="1"/>
  <c r="L278" i="62" s="1"/>
  <c r="M278" i="62" s="1"/>
  <c r="N278" i="62" s="1"/>
  <c r="O278" i="62" s="1"/>
  <c r="P278" i="62" s="1"/>
  <c r="Q278" i="62" s="1"/>
  <c r="R278" i="62" s="1"/>
  <c r="S278" i="62" s="1"/>
  <c r="T278" i="62" s="1"/>
  <c r="U278" i="62" s="1"/>
  <c r="V278" i="62" s="1"/>
  <c r="W278" i="62" s="1"/>
  <c r="X278" i="62" s="1"/>
  <c r="Y278" i="62" s="1"/>
  <c r="C279" i="62" s="1"/>
  <c r="D279" i="62" s="1"/>
  <c r="E279" i="62" s="1"/>
  <c r="F279" i="62" s="1"/>
  <c r="G279" i="62" s="1"/>
  <c r="H285" i="59" l="1"/>
  <c r="C38" i="59"/>
  <c r="H286" i="60"/>
  <c r="C38" i="60"/>
  <c r="C38" i="61"/>
  <c r="H277" i="61"/>
  <c r="H279" i="62"/>
  <c r="C38" i="62"/>
  <c r="H284" i="58"/>
  <c r="C38" i="58"/>
  <c r="H283" i="57"/>
  <c r="C38" i="57"/>
  <c r="H282" i="56"/>
  <c r="C38" i="56"/>
  <c r="H281" i="55"/>
  <c r="C38" i="55"/>
  <c r="H280" i="54"/>
  <c r="C38" i="54"/>
  <c r="H278" i="53"/>
  <c r="C38" i="53"/>
  <c r="C38" i="52"/>
  <c r="H276" i="52"/>
  <c r="H275" i="50"/>
  <c r="C38" i="50"/>
  <c r="C38" i="48"/>
  <c r="H274" i="48"/>
  <c r="H273" i="47"/>
  <c r="C38" i="47"/>
  <c r="H272" i="46"/>
  <c r="C38" i="46"/>
  <c r="H271" i="44"/>
  <c r="C38" i="44"/>
  <c r="H270" i="43"/>
  <c r="C38" i="43"/>
  <c r="H269" i="42"/>
  <c r="C38" i="42"/>
  <c r="C38" i="41"/>
  <c r="H268" i="41"/>
  <c r="H267" i="39"/>
  <c r="C38" i="39"/>
  <c r="C38" i="38"/>
  <c r="H266" i="38"/>
  <c r="H265" i="37"/>
  <c r="C38" i="37"/>
  <c r="C38" i="36"/>
  <c r="H264" i="36"/>
  <c r="H263" i="35"/>
  <c r="C38" i="35"/>
  <c r="H262" i="34"/>
  <c r="C38" i="34"/>
  <c r="H261" i="51"/>
  <c r="C38" i="51"/>
  <c r="C38" i="33"/>
  <c r="H260" i="33"/>
  <c r="H259" i="32"/>
  <c r="C38" i="32"/>
  <c r="C38" i="31"/>
  <c r="H258" i="31"/>
  <c r="I285" i="59" l="1"/>
  <c r="D38" i="59"/>
  <c r="I286" i="60"/>
  <c r="D38" i="60"/>
  <c r="I277" i="61"/>
  <c r="D38" i="61"/>
  <c r="D38" i="62"/>
  <c r="I279" i="62"/>
  <c r="I284" i="58"/>
  <c r="D38" i="58"/>
  <c r="D38" i="57"/>
  <c r="I283" i="57"/>
  <c r="I282" i="56"/>
  <c r="D38" i="56"/>
  <c r="D38" i="55"/>
  <c r="I281" i="55"/>
  <c r="I280" i="54"/>
  <c r="D38" i="54"/>
  <c r="I278" i="53"/>
  <c r="D38" i="53"/>
  <c r="D38" i="52"/>
  <c r="I276" i="52"/>
  <c r="D38" i="50"/>
  <c r="I275" i="50"/>
  <c r="I274" i="48"/>
  <c r="D38" i="48"/>
  <c r="I273" i="47"/>
  <c r="D38" i="47"/>
  <c r="D38" i="46"/>
  <c r="I272" i="46"/>
  <c r="D38" i="44"/>
  <c r="I271" i="44"/>
  <c r="D38" i="43"/>
  <c r="I270" i="43"/>
  <c r="I269" i="42"/>
  <c r="D38" i="42"/>
  <c r="D38" i="41"/>
  <c r="I268" i="41"/>
  <c r="I267" i="39"/>
  <c r="D38" i="39"/>
  <c r="D38" i="38"/>
  <c r="I266" i="38"/>
  <c r="I265" i="37"/>
  <c r="D38" i="37"/>
  <c r="I264" i="36"/>
  <c r="D38" i="36"/>
  <c r="D38" i="35"/>
  <c r="I263" i="35"/>
  <c r="I262" i="34"/>
  <c r="D38" i="34"/>
  <c r="D38" i="51"/>
  <c r="I261" i="51"/>
  <c r="D38" i="33"/>
  <c r="I260" i="33"/>
  <c r="D38" i="32"/>
  <c r="I259" i="32"/>
  <c r="D38" i="31"/>
  <c r="I258" i="31"/>
  <c r="J285" i="59" l="1"/>
  <c r="C226" i="59"/>
  <c r="E38" i="59"/>
  <c r="J286" i="60"/>
  <c r="E38" i="60"/>
  <c r="C226" i="60"/>
  <c r="E38" i="61"/>
  <c r="J277" i="61"/>
  <c r="C226" i="61"/>
  <c r="E38" i="62"/>
  <c r="C226" i="62"/>
  <c r="J279" i="62"/>
  <c r="J284" i="58"/>
  <c r="E38" i="58"/>
  <c r="C226" i="58"/>
  <c r="E38" i="57"/>
  <c r="J283" i="57"/>
  <c r="C226" i="57"/>
  <c r="J282" i="56"/>
  <c r="E38" i="56"/>
  <c r="C226" i="56"/>
  <c r="E38" i="55"/>
  <c r="J281" i="55"/>
  <c r="C226" i="55"/>
  <c r="J280" i="54"/>
  <c r="E38" i="54"/>
  <c r="C226" i="54"/>
  <c r="E38" i="53"/>
  <c r="C226" i="53"/>
  <c r="J278" i="53"/>
  <c r="E38" i="52"/>
  <c r="J276" i="52"/>
  <c r="C226" i="52"/>
  <c r="J275" i="50"/>
  <c r="C226" i="50"/>
  <c r="E38" i="50"/>
  <c r="E38" i="48"/>
  <c r="J274" i="48"/>
  <c r="C226" i="48"/>
  <c r="E38" i="47"/>
  <c r="J273" i="47"/>
  <c r="C226" i="47"/>
  <c r="J272" i="46"/>
  <c r="E38" i="46"/>
  <c r="C226" i="46"/>
  <c r="E38" i="44"/>
  <c r="C226" i="44"/>
  <c r="J271" i="44"/>
  <c r="E38" i="43"/>
  <c r="J270" i="43"/>
  <c r="C226" i="43"/>
  <c r="J269" i="42"/>
  <c r="C226" i="42"/>
  <c r="E38" i="42"/>
  <c r="E38" i="41"/>
  <c r="J268" i="41"/>
  <c r="C226" i="41"/>
  <c r="J267" i="39"/>
  <c r="E38" i="39"/>
  <c r="C226" i="39"/>
  <c r="E38" i="38"/>
  <c r="J266" i="38"/>
  <c r="C226" i="38"/>
  <c r="J265" i="37"/>
  <c r="C226" i="37"/>
  <c r="E38" i="37"/>
  <c r="E38" i="36"/>
  <c r="J264" i="36"/>
  <c r="C226" i="36"/>
  <c r="E38" i="35"/>
  <c r="J263" i="35"/>
  <c r="C226" i="35"/>
  <c r="J262" i="34"/>
  <c r="E38" i="34"/>
  <c r="C226" i="34"/>
  <c r="E38" i="51"/>
  <c r="J261" i="51"/>
  <c r="C226" i="51"/>
  <c r="C226" i="33"/>
  <c r="E38" i="33"/>
  <c r="J260" i="33"/>
  <c r="E38" i="32"/>
  <c r="J259" i="32"/>
  <c r="C226" i="32"/>
  <c r="C226" i="31"/>
  <c r="E38" i="31"/>
  <c r="J258" i="31"/>
  <c r="K285" i="59" l="1"/>
  <c r="F38" i="59"/>
  <c r="D226" i="59"/>
  <c r="D6" i="59"/>
  <c r="F38" i="60"/>
  <c r="D6" i="60"/>
  <c r="K286" i="60"/>
  <c r="D226" i="60"/>
  <c r="F38" i="61"/>
  <c r="D6" i="61"/>
  <c r="K277" i="61"/>
  <c r="D226" i="61"/>
  <c r="F38" i="62"/>
  <c r="K279" i="62"/>
  <c r="D226" i="62"/>
  <c r="D6" i="62"/>
  <c r="F38" i="58"/>
  <c r="D6" i="58"/>
  <c r="K284" i="58"/>
  <c r="D226" i="58"/>
  <c r="D226" i="57"/>
  <c r="F38" i="57"/>
  <c r="D6" i="57"/>
  <c r="K283" i="57"/>
  <c r="D226" i="56"/>
  <c r="F38" i="56"/>
  <c r="D6" i="56"/>
  <c r="K282" i="56"/>
  <c r="F38" i="55"/>
  <c r="D6" i="55"/>
  <c r="K281" i="55"/>
  <c r="D226" i="55"/>
  <c r="D6" i="54"/>
  <c r="F38" i="54"/>
  <c r="K280" i="54"/>
  <c r="D226" i="54"/>
  <c r="D6" i="53"/>
  <c r="F38" i="53"/>
  <c r="K278" i="53"/>
  <c r="D226" i="53"/>
  <c r="F38" i="52"/>
  <c r="D6" i="52"/>
  <c r="K276" i="52"/>
  <c r="D226" i="52"/>
  <c r="F38" i="50"/>
  <c r="D6" i="50"/>
  <c r="K275" i="50"/>
  <c r="D226" i="50"/>
  <c r="F38" i="48"/>
  <c r="D6" i="48"/>
  <c r="K274" i="48"/>
  <c r="D226" i="48"/>
  <c r="F38" i="47"/>
  <c r="K273" i="47"/>
  <c r="D226" i="47"/>
  <c r="D6" i="47"/>
  <c r="D6" i="46"/>
  <c r="K272" i="46"/>
  <c r="D226" i="46"/>
  <c r="F38" i="46"/>
  <c r="F38" i="44"/>
  <c r="D6" i="44"/>
  <c r="K271" i="44"/>
  <c r="D226" i="44"/>
  <c r="F38" i="43"/>
  <c r="K270" i="43"/>
  <c r="D226" i="43"/>
  <c r="D6" i="43"/>
  <c r="K269" i="42"/>
  <c r="D6" i="42"/>
  <c r="F38" i="42"/>
  <c r="D226" i="42"/>
  <c r="F38" i="41"/>
  <c r="D6" i="41"/>
  <c r="K268" i="41"/>
  <c r="D226" i="41"/>
  <c r="K267" i="39"/>
  <c r="D226" i="39"/>
  <c r="D6" i="39"/>
  <c r="F38" i="39"/>
  <c r="F38" i="38"/>
  <c r="D6" i="38"/>
  <c r="K266" i="38"/>
  <c r="D226" i="38"/>
  <c r="D6" i="37"/>
  <c r="F38" i="37"/>
  <c r="K265" i="37"/>
  <c r="D226" i="37"/>
  <c r="F38" i="36"/>
  <c r="D6" i="36"/>
  <c r="K264" i="36"/>
  <c r="D226" i="36"/>
  <c r="F38" i="35"/>
  <c r="D6" i="35"/>
  <c r="K263" i="35"/>
  <c r="D226" i="35"/>
  <c r="D6" i="34"/>
  <c r="F38" i="34"/>
  <c r="K262" i="34"/>
  <c r="D226" i="34"/>
  <c r="F38" i="51"/>
  <c r="D6" i="51"/>
  <c r="K261" i="51"/>
  <c r="D226" i="51"/>
  <c r="F38" i="33"/>
  <c r="D6" i="33"/>
  <c r="K260" i="33"/>
  <c r="D226" i="33"/>
  <c r="F38" i="32"/>
  <c r="K259" i="32"/>
  <c r="D226" i="32"/>
  <c r="D6" i="32"/>
  <c r="F38" i="31"/>
  <c r="D6" i="31"/>
  <c r="K258" i="31"/>
  <c r="D226" i="31"/>
  <c r="C245" i="6"/>
  <c r="D245" i="6" s="1"/>
  <c r="E245" i="6" s="1"/>
  <c r="F245" i="6" s="1"/>
  <c r="G245" i="6" s="1"/>
  <c r="H245" i="6" s="1"/>
  <c r="I245" i="6" s="1"/>
  <c r="J245" i="6" s="1"/>
  <c r="K245" i="6" s="1"/>
  <c r="L245" i="6" s="1"/>
  <c r="M245" i="6" s="1"/>
  <c r="N245" i="6" s="1"/>
  <c r="O245" i="6" s="1"/>
  <c r="P245" i="6" s="1"/>
  <c r="Q245" i="6" s="1"/>
  <c r="R245" i="6" s="1"/>
  <c r="S245" i="6" s="1"/>
  <c r="T245" i="6" s="1"/>
  <c r="U245" i="6" s="1"/>
  <c r="V245" i="6" s="1"/>
  <c r="W245" i="6" s="1"/>
  <c r="X245" i="6" s="1"/>
  <c r="Y245" i="6" s="1"/>
  <c r="Z245" i="6" s="1"/>
  <c r="AA245" i="6" s="1"/>
  <c r="AB245" i="6" s="1"/>
  <c r="AC245" i="6" s="1"/>
  <c r="AD245" i="6" s="1"/>
  <c r="AE245" i="6" s="1"/>
  <c r="AF245" i="6" s="1"/>
  <c r="AG245" i="6" s="1"/>
  <c r="AH245" i="6" s="1"/>
  <c r="AI245" i="6" s="1"/>
  <c r="AJ245" i="6" s="1"/>
  <c r="AK245" i="6" s="1"/>
  <c r="AL245" i="6" s="1"/>
  <c r="AM245" i="6" s="1"/>
  <c r="D246" i="1"/>
  <c r="E246" i="1" s="1"/>
  <c r="F246" i="1" s="1"/>
  <c r="G246" i="1" s="1"/>
  <c r="H246" i="1" s="1"/>
  <c r="I246" i="1" s="1"/>
  <c r="J246" i="1" s="1"/>
  <c r="K246" i="1" s="1"/>
  <c r="L246" i="1" s="1"/>
  <c r="M246" i="1" s="1"/>
  <c r="N246" i="1" s="1"/>
  <c r="O246" i="1" s="1"/>
  <c r="P246" i="1" s="1"/>
  <c r="Q246" i="1" s="1"/>
  <c r="R246" i="1" s="1"/>
  <c r="S246" i="1" s="1"/>
  <c r="T246" i="1" s="1"/>
  <c r="U246" i="1" s="1"/>
  <c r="V246" i="1" s="1"/>
  <c r="W246" i="1" s="1"/>
  <c r="X246" i="1" s="1"/>
  <c r="Y246" i="1" s="1"/>
  <c r="Z246" i="1" s="1"/>
  <c r="AA246" i="1" s="1"/>
  <c r="AB246" i="1" s="1"/>
  <c r="AC246" i="1" s="1"/>
  <c r="AD246" i="1" s="1"/>
  <c r="AE246" i="1" s="1"/>
  <c r="AF246" i="1" s="1"/>
  <c r="AG246" i="1" s="1"/>
  <c r="C214" i="3"/>
  <c r="D214" i="3" s="1"/>
  <c r="E214" i="3" s="1"/>
  <c r="F214" i="3" s="1"/>
  <c r="G214" i="3" s="1"/>
  <c r="L285" i="59" l="1"/>
  <c r="C227" i="59"/>
  <c r="C182" i="59"/>
  <c r="L286" i="60"/>
  <c r="C182" i="60"/>
  <c r="C227" i="60"/>
  <c r="L277" i="61"/>
  <c r="C182" i="61"/>
  <c r="C227" i="61"/>
  <c r="C182" i="62"/>
  <c r="L279" i="62"/>
  <c r="C227" i="62"/>
  <c r="L284" i="58"/>
  <c r="C182" i="58"/>
  <c r="C227" i="58"/>
  <c r="L283" i="57"/>
  <c r="C227" i="57"/>
  <c r="C182" i="57"/>
  <c r="L282" i="56"/>
  <c r="C182" i="56"/>
  <c r="C227" i="56"/>
  <c r="L281" i="55"/>
  <c r="C227" i="55"/>
  <c r="C182" i="55"/>
  <c r="L280" i="54"/>
  <c r="C182" i="54"/>
  <c r="C227" i="54"/>
  <c r="L278" i="53"/>
  <c r="C227" i="53"/>
  <c r="C182" i="53"/>
  <c r="C182" i="52"/>
  <c r="C227" i="52"/>
  <c r="L276" i="52"/>
  <c r="L275" i="50"/>
  <c r="C227" i="50"/>
  <c r="C182" i="50"/>
  <c r="L274" i="48"/>
  <c r="C227" i="48"/>
  <c r="C182" i="48"/>
  <c r="C227" i="47"/>
  <c r="L273" i="47"/>
  <c r="C182" i="47"/>
  <c r="C182" i="46"/>
  <c r="C227" i="46"/>
  <c r="L272" i="46"/>
  <c r="L271" i="44"/>
  <c r="C227" i="44"/>
  <c r="C182" i="44"/>
  <c r="C227" i="43"/>
  <c r="L270" i="43"/>
  <c r="C182" i="43"/>
  <c r="L269" i="42"/>
  <c r="C182" i="42"/>
  <c r="C227" i="42"/>
  <c r="L268" i="41"/>
  <c r="C182" i="41"/>
  <c r="C227" i="41"/>
  <c r="L267" i="39"/>
  <c r="C182" i="39"/>
  <c r="C227" i="39"/>
  <c r="L266" i="38"/>
  <c r="C227" i="38"/>
  <c r="C182" i="38"/>
  <c r="L265" i="37"/>
  <c r="C182" i="37"/>
  <c r="C227" i="37"/>
  <c r="L264" i="36"/>
  <c r="C227" i="36"/>
  <c r="C182" i="36"/>
  <c r="L263" i="35"/>
  <c r="C227" i="35"/>
  <c r="C182" i="35"/>
  <c r="L262" i="34"/>
  <c r="C227" i="34"/>
  <c r="C182" i="34"/>
  <c r="L261" i="51"/>
  <c r="C182" i="51"/>
  <c r="C227" i="51"/>
  <c r="L260" i="33"/>
  <c r="C182" i="33"/>
  <c r="C227" i="33"/>
  <c r="C227" i="32"/>
  <c r="C182" i="32"/>
  <c r="L259" i="32"/>
  <c r="L258" i="31"/>
  <c r="C182" i="31"/>
  <c r="C227" i="31"/>
  <c r="M285" i="59" l="1"/>
  <c r="D182" i="59"/>
  <c r="D227" i="59"/>
  <c r="D182" i="60"/>
  <c r="D227" i="60"/>
  <c r="M286" i="60"/>
  <c r="M277" i="61"/>
  <c r="D182" i="61"/>
  <c r="D227" i="61"/>
  <c r="M279" i="62"/>
  <c r="D182" i="62"/>
  <c r="D227" i="62"/>
  <c r="M284" i="58"/>
  <c r="D182" i="58"/>
  <c r="D227" i="58"/>
  <c r="D182" i="57"/>
  <c r="M283" i="57"/>
  <c r="D227" i="57"/>
  <c r="D182" i="56"/>
  <c r="D227" i="56"/>
  <c r="M282" i="56"/>
  <c r="D227" i="55"/>
  <c r="D182" i="55"/>
  <c r="M281" i="55"/>
  <c r="M280" i="54"/>
  <c r="D227" i="54"/>
  <c r="D182" i="54"/>
  <c r="M278" i="53"/>
  <c r="D227" i="53"/>
  <c r="D182" i="53"/>
  <c r="M276" i="52"/>
  <c r="D182" i="52"/>
  <c r="D227" i="52"/>
  <c r="D227" i="50"/>
  <c r="M275" i="50"/>
  <c r="D182" i="50"/>
  <c r="D227" i="48"/>
  <c r="D182" i="48"/>
  <c r="M274" i="48"/>
  <c r="M273" i="47"/>
  <c r="D227" i="47"/>
  <c r="D182" i="47"/>
  <c r="M272" i="46"/>
  <c r="D182" i="46"/>
  <c r="D227" i="46"/>
  <c r="M271" i="44"/>
  <c r="D227" i="44"/>
  <c r="D182" i="44"/>
  <c r="M270" i="43"/>
  <c r="D182" i="43"/>
  <c r="D227" i="43"/>
  <c r="M269" i="42"/>
  <c r="D182" i="42"/>
  <c r="D227" i="42"/>
  <c r="M268" i="41"/>
  <c r="D182" i="41"/>
  <c r="D227" i="41"/>
  <c r="M267" i="39"/>
  <c r="D182" i="39"/>
  <c r="D227" i="39"/>
  <c r="D182" i="38"/>
  <c r="D227" i="38"/>
  <c r="M266" i="38"/>
  <c r="M265" i="37"/>
  <c r="D182" i="37"/>
  <c r="D227" i="37"/>
  <c r="M264" i="36"/>
  <c r="D227" i="36"/>
  <c r="D182" i="36"/>
  <c r="D227" i="35"/>
  <c r="D182" i="35"/>
  <c r="M263" i="35"/>
  <c r="M262" i="34"/>
  <c r="D182" i="34"/>
  <c r="D227" i="34"/>
  <c r="M261" i="51"/>
  <c r="D182" i="51"/>
  <c r="D227" i="51"/>
  <c r="D182" i="33"/>
  <c r="D227" i="33"/>
  <c r="M260" i="33"/>
  <c r="M259" i="32"/>
  <c r="D182" i="32"/>
  <c r="D227" i="32"/>
  <c r="M258" i="31"/>
  <c r="D182" i="31"/>
  <c r="D227" i="31"/>
  <c r="C91" i="48" l="1"/>
  <c r="N285" i="59"/>
  <c r="E226" i="59"/>
  <c r="E182" i="59"/>
  <c r="N286" i="60"/>
  <c r="E182" i="60"/>
  <c r="E226" i="60"/>
  <c r="N277" i="61"/>
  <c r="E182" i="61"/>
  <c r="E226" i="61"/>
  <c r="E226" i="62"/>
  <c r="N279" i="62"/>
  <c r="E182" i="62"/>
  <c r="N284" i="58"/>
  <c r="E182" i="58"/>
  <c r="E226" i="58"/>
  <c r="N283" i="57"/>
  <c r="E226" i="57"/>
  <c r="E182" i="57"/>
  <c r="N282" i="56"/>
  <c r="E182" i="56"/>
  <c r="E226" i="56"/>
  <c r="N281" i="55"/>
  <c r="E226" i="55"/>
  <c r="E182" i="55"/>
  <c r="N280" i="54"/>
  <c r="E182" i="54"/>
  <c r="E226" i="54"/>
  <c r="N278" i="53"/>
  <c r="E226" i="53"/>
  <c r="E182" i="53"/>
  <c r="N276" i="52"/>
  <c r="E182" i="52"/>
  <c r="E226" i="52"/>
  <c r="N275" i="50"/>
  <c r="E182" i="50"/>
  <c r="E226" i="50"/>
  <c r="N274" i="48"/>
  <c r="E226" i="48"/>
  <c r="E182" i="48"/>
  <c r="N273" i="47"/>
  <c r="E182" i="47"/>
  <c r="E226" i="47"/>
  <c r="E182" i="46"/>
  <c r="E226" i="46"/>
  <c r="N272" i="46"/>
  <c r="N271" i="44"/>
  <c r="E226" i="44"/>
  <c r="E182" i="44"/>
  <c r="E226" i="43"/>
  <c r="N270" i="43"/>
  <c r="E182" i="43"/>
  <c r="E226" i="42"/>
  <c r="N269" i="42"/>
  <c r="E182" i="42"/>
  <c r="N268" i="41"/>
  <c r="E182" i="41"/>
  <c r="E226" i="41"/>
  <c r="N267" i="39"/>
  <c r="E182" i="39"/>
  <c r="E226" i="39"/>
  <c r="N266" i="38"/>
  <c r="E226" i="38"/>
  <c r="E182" i="38"/>
  <c r="N265" i="37"/>
  <c r="E182" i="37"/>
  <c r="E226" i="37"/>
  <c r="N264" i="36"/>
  <c r="E226" i="36"/>
  <c r="E182" i="36"/>
  <c r="N263" i="35"/>
  <c r="E226" i="35"/>
  <c r="E182" i="35"/>
  <c r="N262" i="34"/>
  <c r="E226" i="34"/>
  <c r="E182" i="34"/>
  <c r="N261" i="51"/>
  <c r="E182" i="51"/>
  <c r="E226" i="51"/>
  <c r="N260" i="33"/>
  <c r="E182" i="33"/>
  <c r="E226" i="33"/>
  <c r="E226" i="32"/>
  <c r="N259" i="32"/>
  <c r="E182" i="32"/>
  <c r="N258" i="31"/>
  <c r="E182" i="31"/>
  <c r="E226" i="31"/>
  <c r="E91" i="48" l="1"/>
  <c r="D91" i="48"/>
  <c r="O285" i="59"/>
  <c r="F182" i="59"/>
  <c r="F226" i="59"/>
  <c r="F182" i="60"/>
  <c r="F226" i="60"/>
  <c r="O286" i="60"/>
  <c r="O277" i="61"/>
  <c r="F182" i="61"/>
  <c r="F226" i="61"/>
  <c r="O279" i="62"/>
  <c r="F182" i="62"/>
  <c r="F226" i="62"/>
  <c r="O284" i="58"/>
  <c r="F182" i="58"/>
  <c r="F226" i="58"/>
  <c r="F182" i="57"/>
  <c r="F226" i="57"/>
  <c r="O283" i="57"/>
  <c r="F182" i="56"/>
  <c r="F226" i="56"/>
  <c r="O282" i="56"/>
  <c r="F182" i="55"/>
  <c r="F226" i="55"/>
  <c r="O281" i="55"/>
  <c r="F226" i="54"/>
  <c r="O280" i="54"/>
  <c r="F182" i="54"/>
  <c r="O278" i="53"/>
  <c r="F226" i="53"/>
  <c r="F182" i="53"/>
  <c r="O276" i="52"/>
  <c r="F182" i="52"/>
  <c r="F226" i="52"/>
  <c r="F226" i="50"/>
  <c r="O275" i="50"/>
  <c r="F182" i="50"/>
  <c r="F182" i="48"/>
  <c r="F226" i="48"/>
  <c r="O274" i="48"/>
  <c r="F226" i="47"/>
  <c r="O273" i="47"/>
  <c r="F182" i="47"/>
  <c r="O272" i="46"/>
  <c r="F182" i="46"/>
  <c r="F226" i="46"/>
  <c r="F226" i="44"/>
  <c r="O271" i="44"/>
  <c r="F182" i="44"/>
  <c r="O270" i="43"/>
  <c r="F226" i="43"/>
  <c r="F182" i="43"/>
  <c r="O269" i="42"/>
  <c r="F182" i="42"/>
  <c r="F226" i="42"/>
  <c r="F226" i="41"/>
  <c r="O268" i="41"/>
  <c r="F182" i="41"/>
  <c r="O267" i="39"/>
  <c r="F182" i="39"/>
  <c r="F226" i="39"/>
  <c r="F182" i="38"/>
  <c r="F226" i="38"/>
  <c r="O266" i="38"/>
  <c r="O265" i="37"/>
  <c r="F182" i="37"/>
  <c r="F226" i="37"/>
  <c r="O264" i="36"/>
  <c r="F226" i="36"/>
  <c r="F182" i="36"/>
  <c r="F226" i="35"/>
  <c r="F182" i="35"/>
  <c r="O263" i="35"/>
  <c r="O262" i="34"/>
  <c r="F182" i="34"/>
  <c r="F226" i="34"/>
  <c r="O261" i="51"/>
  <c r="F182" i="51"/>
  <c r="F226" i="51"/>
  <c r="F182" i="33"/>
  <c r="F226" i="33"/>
  <c r="O260" i="33"/>
  <c r="O259" i="32"/>
  <c r="F182" i="32"/>
  <c r="F226" i="32"/>
  <c r="O258" i="31"/>
  <c r="F182" i="31"/>
  <c r="F226" i="31"/>
  <c r="C77" i="48" l="1"/>
  <c r="E77" i="48"/>
  <c r="D77" i="48"/>
  <c r="P285" i="59"/>
  <c r="G182" i="59"/>
  <c r="G226" i="59"/>
  <c r="G226" i="60"/>
  <c r="P286" i="60"/>
  <c r="G182" i="60"/>
  <c r="G226" i="61"/>
  <c r="P277" i="61"/>
  <c r="G182" i="61"/>
  <c r="G226" i="62"/>
  <c r="P279" i="62"/>
  <c r="G182" i="62"/>
  <c r="G226" i="58"/>
  <c r="P284" i="58"/>
  <c r="G182" i="58"/>
  <c r="G226" i="57"/>
  <c r="P283" i="57"/>
  <c r="G182" i="57"/>
  <c r="G226" i="56"/>
  <c r="G182" i="56"/>
  <c r="P282" i="56"/>
  <c r="G226" i="55"/>
  <c r="P281" i="55"/>
  <c r="G182" i="55"/>
  <c r="G182" i="54"/>
  <c r="P280" i="54"/>
  <c r="G226" i="54"/>
  <c r="P278" i="53"/>
  <c r="G226" i="53"/>
  <c r="G182" i="53"/>
  <c r="G182" i="52"/>
  <c r="P276" i="52"/>
  <c r="G226" i="52"/>
  <c r="G226" i="50"/>
  <c r="G182" i="50"/>
  <c r="P275" i="50"/>
  <c r="G226" i="48"/>
  <c r="P274" i="48"/>
  <c r="G182" i="48"/>
  <c r="G226" i="47"/>
  <c r="G182" i="47"/>
  <c r="P273" i="47"/>
  <c r="G226" i="46"/>
  <c r="P272" i="46"/>
  <c r="G182" i="46"/>
  <c r="G226" i="44"/>
  <c r="P271" i="44"/>
  <c r="G182" i="44"/>
  <c r="G226" i="43"/>
  <c r="P270" i="43"/>
  <c r="G182" i="43"/>
  <c r="P269" i="42"/>
  <c r="G182" i="42"/>
  <c r="G226" i="42"/>
  <c r="G226" i="41"/>
  <c r="P268" i="41"/>
  <c r="G182" i="41"/>
  <c r="G226" i="39"/>
  <c r="P267" i="39"/>
  <c r="G182" i="39"/>
  <c r="G226" i="38"/>
  <c r="G182" i="38"/>
  <c r="P266" i="38"/>
  <c r="G226" i="37"/>
  <c r="P265" i="37"/>
  <c r="G182" i="37"/>
  <c r="G226" i="36"/>
  <c r="P264" i="36"/>
  <c r="G182" i="36"/>
  <c r="G226" i="35"/>
  <c r="P263" i="35"/>
  <c r="G182" i="35"/>
  <c r="G226" i="34"/>
  <c r="P262" i="34"/>
  <c r="G182" i="34"/>
  <c r="G226" i="51"/>
  <c r="P261" i="51"/>
  <c r="G182" i="51"/>
  <c r="G226" i="33"/>
  <c r="G182" i="33"/>
  <c r="P260" i="33"/>
  <c r="G182" i="32"/>
  <c r="G226" i="32"/>
  <c r="P259" i="32"/>
  <c r="G182" i="31"/>
  <c r="G226" i="31"/>
  <c r="P258" i="31"/>
  <c r="Q285" i="59" l="1"/>
  <c r="D228" i="59"/>
  <c r="D183" i="59"/>
  <c r="D183" i="60"/>
  <c r="D228" i="60"/>
  <c r="Q286" i="60"/>
  <c r="Q277" i="61"/>
  <c r="D183" i="61"/>
  <c r="D228" i="61"/>
  <c r="Q279" i="62"/>
  <c r="D183" i="62"/>
  <c r="D228" i="62"/>
  <c r="Q284" i="58"/>
  <c r="D228" i="58"/>
  <c r="D183" i="58"/>
  <c r="Q283" i="57"/>
  <c r="D228" i="57"/>
  <c r="D183" i="57"/>
  <c r="D183" i="56"/>
  <c r="Q282" i="56"/>
  <c r="D228" i="56"/>
  <c r="D183" i="55"/>
  <c r="Q281" i="55"/>
  <c r="D228" i="55"/>
  <c r="Q280" i="54"/>
  <c r="D228" i="54"/>
  <c r="D183" i="54"/>
  <c r="Q278" i="53"/>
  <c r="D183" i="53"/>
  <c r="D228" i="53"/>
  <c r="Q276" i="52"/>
  <c r="D183" i="52"/>
  <c r="D228" i="52"/>
  <c r="D228" i="50"/>
  <c r="Q275" i="50"/>
  <c r="D183" i="50"/>
  <c r="D228" i="48"/>
  <c r="D183" i="48"/>
  <c r="Q274" i="48"/>
  <c r="Q273" i="47"/>
  <c r="D228" i="47"/>
  <c r="D183" i="47"/>
  <c r="Q272" i="46"/>
  <c r="D228" i="46"/>
  <c r="D183" i="46"/>
  <c r="Q271" i="44"/>
  <c r="D228" i="44"/>
  <c r="D183" i="44"/>
  <c r="Q270" i="43"/>
  <c r="D183" i="43"/>
  <c r="D228" i="43"/>
  <c r="Q269" i="42"/>
  <c r="D183" i="42"/>
  <c r="D228" i="42"/>
  <c r="D228" i="41"/>
  <c r="Q268" i="41"/>
  <c r="D183" i="41"/>
  <c r="Q267" i="39"/>
  <c r="D183" i="39"/>
  <c r="D228" i="39"/>
  <c r="D228" i="38"/>
  <c r="D183" i="38"/>
  <c r="Q266" i="38"/>
  <c r="D183" i="37"/>
  <c r="Q265" i="37"/>
  <c r="D228" i="37"/>
  <c r="Q264" i="36"/>
  <c r="D228" i="36"/>
  <c r="D183" i="36"/>
  <c r="D228" i="35"/>
  <c r="D183" i="35"/>
  <c r="Q263" i="35"/>
  <c r="Q262" i="34"/>
  <c r="D183" i="34"/>
  <c r="D228" i="34"/>
  <c r="D183" i="51"/>
  <c r="Q261" i="51"/>
  <c r="D228" i="51"/>
  <c r="D228" i="33"/>
  <c r="D183" i="33"/>
  <c r="Q260" i="33"/>
  <c r="Q259" i="32"/>
  <c r="D228" i="32"/>
  <c r="D183" i="32"/>
  <c r="Q258" i="31"/>
  <c r="D183" i="31"/>
  <c r="D228" i="31"/>
  <c r="R285" i="59" l="1"/>
  <c r="E227" i="59"/>
  <c r="E183" i="59"/>
  <c r="R286" i="60"/>
  <c r="E227" i="60"/>
  <c r="E183" i="60"/>
  <c r="R277" i="61"/>
  <c r="E183" i="61"/>
  <c r="E227" i="61"/>
  <c r="E183" i="62"/>
  <c r="E227" i="62"/>
  <c r="R279" i="62"/>
  <c r="R284" i="58"/>
  <c r="E183" i="58"/>
  <c r="E227" i="58"/>
  <c r="R283" i="57"/>
  <c r="E227" i="57"/>
  <c r="E183" i="57"/>
  <c r="R282" i="56"/>
  <c r="E227" i="56"/>
  <c r="E183" i="56"/>
  <c r="R281" i="55"/>
  <c r="E227" i="55"/>
  <c r="E183" i="55"/>
  <c r="R280" i="54"/>
  <c r="E183" i="54"/>
  <c r="E227" i="54"/>
  <c r="R278" i="53"/>
  <c r="E227" i="53"/>
  <c r="E183" i="53"/>
  <c r="R276" i="52"/>
  <c r="E183" i="52"/>
  <c r="E227" i="52"/>
  <c r="R275" i="50"/>
  <c r="E227" i="50"/>
  <c r="E183" i="50"/>
  <c r="R274" i="48"/>
  <c r="E227" i="48"/>
  <c r="E183" i="48"/>
  <c r="R273" i="47"/>
  <c r="E227" i="47"/>
  <c r="E183" i="47"/>
  <c r="E183" i="46"/>
  <c r="R272" i="46"/>
  <c r="E227" i="46"/>
  <c r="R271" i="44"/>
  <c r="E227" i="44"/>
  <c r="E183" i="44"/>
  <c r="R270" i="43"/>
  <c r="E227" i="43"/>
  <c r="E183" i="43"/>
  <c r="E227" i="42"/>
  <c r="R269" i="42"/>
  <c r="E183" i="42"/>
  <c r="R268" i="41"/>
  <c r="E183" i="41"/>
  <c r="E227" i="41"/>
  <c r="E227" i="39"/>
  <c r="R267" i="39"/>
  <c r="E183" i="39"/>
  <c r="R266" i="38"/>
  <c r="E227" i="38"/>
  <c r="E183" i="38"/>
  <c r="R265" i="37"/>
  <c r="E227" i="37"/>
  <c r="E183" i="37"/>
  <c r="E227" i="36"/>
  <c r="E183" i="36"/>
  <c r="R264" i="36"/>
  <c r="R263" i="35"/>
  <c r="E183" i="35"/>
  <c r="E227" i="35"/>
  <c r="R262" i="34"/>
  <c r="E183" i="34"/>
  <c r="E227" i="34"/>
  <c r="R261" i="51"/>
  <c r="E227" i="51"/>
  <c r="E183" i="51"/>
  <c r="R260" i="33"/>
  <c r="E183" i="33"/>
  <c r="E227" i="33"/>
  <c r="E183" i="32"/>
  <c r="E227" i="32"/>
  <c r="R259" i="32"/>
  <c r="E227" i="31"/>
  <c r="R258" i="31"/>
  <c r="E183" i="31"/>
  <c r="S285" i="59" l="1"/>
  <c r="F183" i="59"/>
  <c r="F227" i="59"/>
  <c r="F183" i="60"/>
  <c r="F227" i="60"/>
  <c r="S286" i="60"/>
  <c r="F183" i="61"/>
  <c r="F227" i="61"/>
  <c r="S277" i="61"/>
  <c r="S279" i="62"/>
  <c r="F183" i="62"/>
  <c r="F227" i="62"/>
  <c r="S284" i="58"/>
  <c r="F227" i="58"/>
  <c r="F183" i="58"/>
  <c r="F227" i="57"/>
  <c r="S283" i="57"/>
  <c r="F183" i="57"/>
  <c r="F183" i="56"/>
  <c r="S282" i="56"/>
  <c r="F227" i="56"/>
  <c r="F183" i="55"/>
  <c r="F227" i="55"/>
  <c r="S281" i="55"/>
  <c r="S280" i="54"/>
  <c r="F227" i="54"/>
  <c r="F183" i="54"/>
  <c r="S278" i="53"/>
  <c r="F183" i="53"/>
  <c r="F227" i="53"/>
  <c r="S276" i="52"/>
  <c r="F227" i="52"/>
  <c r="F183" i="52"/>
  <c r="S275" i="50"/>
  <c r="F183" i="50"/>
  <c r="F227" i="50"/>
  <c r="F183" i="48"/>
  <c r="F227" i="48"/>
  <c r="S274" i="48"/>
  <c r="S273" i="47"/>
  <c r="F183" i="47"/>
  <c r="F227" i="47"/>
  <c r="S272" i="46"/>
  <c r="F227" i="46"/>
  <c r="F183" i="46"/>
  <c r="S271" i="44"/>
  <c r="F183" i="44"/>
  <c r="F227" i="44"/>
  <c r="S270" i="43"/>
  <c r="F183" i="43"/>
  <c r="F227" i="43"/>
  <c r="S269" i="42"/>
  <c r="F183" i="42"/>
  <c r="F227" i="42"/>
  <c r="F227" i="41"/>
  <c r="S268" i="41"/>
  <c r="F183" i="41"/>
  <c r="S267" i="39"/>
  <c r="F227" i="39"/>
  <c r="F183" i="39"/>
  <c r="F183" i="38"/>
  <c r="F227" i="38"/>
  <c r="S266" i="38"/>
  <c r="F183" i="37"/>
  <c r="S265" i="37"/>
  <c r="F227" i="37"/>
  <c r="S264" i="36"/>
  <c r="F227" i="36"/>
  <c r="F183" i="36"/>
  <c r="F227" i="35"/>
  <c r="F183" i="35"/>
  <c r="S263" i="35"/>
  <c r="S262" i="34"/>
  <c r="F183" i="34"/>
  <c r="F227" i="34"/>
  <c r="F183" i="51"/>
  <c r="S261" i="51"/>
  <c r="F227" i="51"/>
  <c r="F227" i="33"/>
  <c r="F183" i="33"/>
  <c r="S260" i="33"/>
  <c r="S259" i="32"/>
  <c r="F183" i="32"/>
  <c r="F227" i="32"/>
  <c r="S258" i="31"/>
  <c r="F183" i="31"/>
  <c r="F227" i="31"/>
  <c r="T285" i="59" l="1"/>
  <c r="G227" i="59"/>
  <c r="G183" i="59"/>
  <c r="T286" i="60"/>
  <c r="G227" i="60"/>
  <c r="G183" i="60"/>
  <c r="T277" i="61"/>
  <c r="G183" i="61"/>
  <c r="G227" i="61"/>
  <c r="T279" i="62"/>
  <c r="G183" i="62"/>
  <c r="G227" i="62"/>
  <c r="T284" i="58"/>
  <c r="G183" i="58"/>
  <c r="G227" i="58"/>
  <c r="T283" i="57"/>
  <c r="G227" i="57"/>
  <c r="G183" i="57"/>
  <c r="T282" i="56"/>
  <c r="G227" i="56"/>
  <c r="G183" i="56"/>
  <c r="G227" i="55"/>
  <c r="T281" i="55"/>
  <c r="G183" i="55"/>
  <c r="T280" i="54"/>
  <c r="G183" i="54"/>
  <c r="G227" i="54"/>
  <c r="T278" i="53"/>
  <c r="G227" i="53"/>
  <c r="G183" i="53"/>
  <c r="G227" i="52"/>
  <c r="G183" i="52"/>
  <c r="T276" i="52"/>
  <c r="T275" i="50"/>
  <c r="G183" i="50"/>
  <c r="G227" i="50"/>
  <c r="G227" i="48"/>
  <c r="T274" i="48"/>
  <c r="G183" i="48"/>
  <c r="G183" i="47"/>
  <c r="T273" i="47"/>
  <c r="G227" i="47"/>
  <c r="G183" i="46"/>
  <c r="T272" i="46"/>
  <c r="G227" i="46"/>
  <c r="T271" i="44"/>
  <c r="G227" i="44"/>
  <c r="G183" i="44"/>
  <c r="T270" i="43"/>
  <c r="G227" i="43"/>
  <c r="G183" i="43"/>
  <c r="G227" i="42"/>
  <c r="T269" i="42"/>
  <c r="G183" i="42"/>
  <c r="T268" i="41"/>
  <c r="G183" i="41"/>
  <c r="G227" i="41"/>
  <c r="G227" i="39"/>
  <c r="T267" i="39"/>
  <c r="G183" i="39"/>
  <c r="T266" i="38"/>
  <c r="G227" i="38"/>
  <c r="G183" i="38"/>
  <c r="T265" i="37"/>
  <c r="G227" i="37"/>
  <c r="G183" i="37"/>
  <c r="G183" i="36"/>
  <c r="G227" i="36"/>
  <c r="T264" i="36"/>
  <c r="T263" i="35"/>
  <c r="G183" i="35"/>
  <c r="G227" i="35"/>
  <c r="G227" i="34"/>
  <c r="T262" i="34"/>
  <c r="G183" i="34"/>
  <c r="G227" i="51"/>
  <c r="T261" i="51"/>
  <c r="G183" i="51"/>
  <c r="T260" i="33"/>
  <c r="G183" i="33"/>
  <c r="G227" i="33"/>
  <c r="G183" i="32"/>
  <c r="G227" i="32"/>
  <c r="T259" i="32"/>
  <c r="G227" i="31"/>
  <c r="T258" i="31"/>
  <c r="G183" i="31"/>
  <c r="U285" i="59" l="1"/>
  <c r="H227" i="59"/>
  <c r="H183" i="59"/>
  <c r="H183" i="60"/>
  <c r="H227" i="60"/>
  <c r="U286" i="60"/>
  <c r="U277" i="61"/>
  <c r="H183" i="61"/>
  <c r="H227" i="61"/>
  <c r="U279" i="62"/>
  <c r="H183" i="62"/>
  <c r="H227" i="62"/>
  <c r="U284" i="58"/>
  <c r="H227" i="58"/>
  <c r="H183" i="58"/>
  <c r="H227" i="57"/>
  <c r="U283" i="57"/>
  <c r="H183" i="57"/>
  <c r="H183" i="56"/>
  <c r="U282" i="56"/>
  <c r="H227" i="56"/>
  <c r="H183" i="55"/>
  <c r="H227" i="55"/>
  <c r="U281" i="55"/>
  <c r="U280" i="54"/>
  <c r="H227" i="54"/>
  <c r="H183" i="54"/>
  <c r="U278" i="53"/>
  <c r="H227" i="53"/>
  <c r="H183" i="53"/>
  <c r="U276" i="52"/>
  <c r="H183" i="52"/>
  <c r="H227" i="52"/>
  <c r="H227" i="50"/>
  <c r="U275" i="50"/>
  <c r="H183" i="50"/>
  <c r="H183" i="48"/>
  <c r="H227" i="48"/>
  <c r="U274" i="48"/>
  <c r="U273" i="47"/>
  <c r="H227" i="47"/>
  <c r="H183" i="47"/>
  <c r="U272" i="46"/>
  <c r="H227" i="46"/>
  <c r="H183" i="46"/>
  <c r="U271" i="44"/>
  <c r="H227" i="44"/>
  <c r="H183" i="44"/>
  <c r="U270" i="43"/>
  <c r="H183" i="43"/>
  <c r="H227" i="43"/>
  <c r="U269" i="42"/>
  <c r="H183" i="42"/>
  <c r="H227" i="42"/>
  <c r="H227" i="41"/>
  <c r="U268" i="41"/>
  <c r="H183" i="41"/>
  <c r="H227" i="39"/>
  <c r="U267" i="39"/>
  <c r="H183" i="39"/>
  <c r="H183" i="38"/>
  <c r="H227" i="38"/>
  <c r="U266" i="38"/>
  <c r="H183" i="37"/>
  <c r="U265" i="37"/>
  <c r="H227" i="37"/>
  <c r="H227" i="36"/>
  <c r="U264" i="36"/>
  <c r="H183" i="36"/>
  <c r="H227" i="35"/>
  <c r="H183" i="35"/>
  <c r="U263" i="35"/>
  <c r="H227" i="34"/>
  <c r="H183" i="34"/>
  <c r="U262" i="34"/>
  <c r="H183" i="51"/>
  <c r="H227" i="51"/>
  <c r="U261" i="51"/>
  <c r="H227" i="33"/>
  <c r="H183" i="33"/>
  <c r="U260" i="33"/>
  <c r="H227" i="32"/>
  <c r="U259" i="32"/>
  <c r="H183" i="32"/>
  <c r="H227" i="31"/>
  <c r="U258" i="31"/>
  <c r="H183" i="31"/>
  <c r="V285" i="59" l="1"/>
  <c r="E228" i="59"/>
  <c r="E184" i="59"/>
  <c r="V286" i="60"/>
  <c r="E228" i="60"/>
  <c r="E184" i="60"/>
  <c r="E184" i="61"/>
  <c r="V277" i="61"/>
  <c r="E228" i="61"/>
  <c r="E228" i="62"/>
  <c r="V279" i="62"/>
  <c r="E184" i="62"/>
  <c r="E228" i="58"/>
  <c r="E184" i="58"/>
  <c r="V284" i="58"/>
  <c r="E228" i="57"/>
  <c r="V283" i="57"/>
  <c r="E184" i="57"/>
  <c r="V282" i="56"/>
  <c r="E184" i="56"/>
  <c r="E228" i="56"/>
  <c r="E228" i="55"/>
  <c r="V281" i="55"/>
  <c r="E184" i="55"/>
  <c r="V280" i="54"/>
  <c r="E228" i="54"/>
  <c r="E184" i="54"/>
  <c r="V278" i="53"/>
  <c r="E184" i="53"/>
  <c r="E228" i="53"/>
  <c r="V276" i="52"/>
  <c r="E184" i="52"/>
  <c r="E228" i="52"/>
  <c r="V275" i="50"/>
  <c r="E184" i="50"/>
  <c r="E228" i="50"/>
  <c r="V274" i="48"/>
  <c r="E184" i="48"/>
  <c r="E228" i="48"/>
  <c r="V273" i="47"/>
  <c r="E184" i="47"/>
  <c r="E228" i="47"/>
  <c r="V272" i="46"/>
  <c r="E184" i="46"/>
  <c r="E228" i="46"/>
  <c r="V271" i="44"/>
  <c r="E228" i="44"/>
  <c r="E184" i="44"/>
  <c r="V270" i="43"/>
  <c r="E228" i="43"/>
  <c r="E184" i="43"/>
  <c r="V269" i="42"/>
  <c r="E184" i="42"/>
  <c r="E228" i="42"/>
  <c r="V268" i="41"/>
  <c r="E184" i="41"/>
  <c r="E228" i="41"/>
  <c r="V267" i="39"/>
  <c r="E184" i="39"/>
  <c r="E228" i="39"/>
  <c r="V266" i="38"/>
  <c r="E184" i="38"/>
  <c r="E228" i="38"/>
  <c r="V265" i="37"/>
  <c r="E184" i="37"/>
  <c r="E228" i="37"/>
  <c r="E228" i="36"/>
  <c r="V264" i="36"/>
  <c r="E184" i="36"/>
  <c r="V263" i="35"/>
  <c r="E228" i="35"/>
  <c r="E184" i="35"/>
  <c r="V262" i="34"/>
  <c r="E184" i="34"/>
  <c r="E228" i="34"/>
  <c r="V261" i="51"/>
  <c r="E184" i="51"/>
  <c r="E228" i="51"/>
  <c r="V260" i="33"/>
  <c r="E228" i="33"/>
  <c r="E184" i="33"/>
  <c r="V259" i="32"/>
  <c r="E184" i="32"/>
  <c r="E228" i="32"/>
  <c r="E228" i="31"/>
  <c r="V258" i="31"/>
  <c r="E184" i="31"/>
  <c r="W285" i="59" l="1"/>
  <c r="F228" i="59"/>
  <c r="F184" i="59"/>
  <c r="F184" i="60"/>
  <c r="F228" i="60"/>
  <c r="W286" i="60"/>
  <c r="F184" i="61"/>
  <c r="W277" i="61"/>
  <c r="F228" i="61"/>
  <c r="W279" i="62"/>
  <c r="F228" i="62"/>
  <c r="F184" i="62"/>
  <c r="W284" i="58"/>
  <c r="F184" i="58"/>
  <c r="F228" i="58"/>
  <c r="F184" i="57"/>
  <c r="W283" i="57"/>
  <c r="F228" i="57"/>
  <c r="F184" i="56"/>
  <c r="F228" i="56"/>
  <c r="W282" i="56"/>
  <c r="F184" i="55"/>
  <c r="F228" i="55"/>
  <c r="W281" i="55"/>
  <c r="W280" i="54"/>
  <c r="F184" i="54"/>
  <c r="F228" i="54"/>
  <c r="W278" i="53"/>
  <c r="F228" i="53"/>
  <c r="F184" i="53"/>
  <c r="W276" i="52"/>
  <c r="F184" i="52"/>
  <c r="F228" i="52"/>
  <c r="W275" i="50"/>
  <c r="F228" i="50"/>
  <c r="F184" i="50"/>
  <c r="F184" i="48"/>
  <c r="F228" i="48"/>
  <c r="W274" i="48"/>
  <c r="W273" i="47"/>
  <c r="F184" i="47"/>
  <c r="F228" i="47"/>
  <c r="W272" i="46"/>
  <c r="F184" i="46"/>
  <c r="F228" i="46"/>
  <c r="W271" i="44"/>
  <c r="F228" i="44"/>
  <c r="F184" i="44"/>
  <c r="W270" i="43"/>
  <c r="F184" i="43"/>
  <c r="F228" i="43"/>
  <c r="W269" i="42"/>
  <c r="F184" i="42"/>
  <c r="F228" i="42"/>
  <c r="W268" i="41"/>
  <c r="F184" i="41"/>
  <c r="F228" i="41"/>
  <c r="W267" i="39"/>
  <c r="F184" i="39"/>
  <c r="F228" i="39"/>
  <c r="F228" i="38"/>
  <c r="W266" i="38"/>
  <c r="F184" i="38"/>
  <c r="W265" i="37"/>
  <c r="F184" i="37"/>
  <c r="F228" i="37"/>
  <c r="W264" i="36"/>
  <c r="F184" i="36"/>
  <c r="F228" i="36"/>
  <c r="F228" i="35"/>
  <c r="F184" i="35"/>
  <c r="W263" i="35"/>
  <c r="F228" i="34"/>
  <c r="W262" i="34"/>
  <c r="F184" i="34"/>
  <c r="F184" i="51"/>
  <c r="F228" i="51"/>
  <c r="W261" i="51"/>
  <c r="F228" i="33"/>
  <c r="F184" i="33"/>
  <c r="W260" i="33"/>
  <c r="W259" i="32"/>
  <c r="F184" i="32"/>
  <c r="F228" i="32"/>
  <c r="W258" i="31"/>
  <c r="F184" i="31"/>
  <c r="F228" i="31"/>
  <c r="G184" i="59" l="1"/>
  <c r="X285" i="59"/>
  <c r="G228" i="59"/>
  <c r="X286" i="60"/>
  <c r="G228" i="60"/>
  <c r="G184" i="60"/>
  <c r="X277" i="61"/>
  <c r="G184" i="61"/>
  <c r="G228" i="61"/>
  <c r="X279" i="62"/>
  <c r="G184" i="62"/>
  <c r="G228" i="62"/>
  <c r="G184" i="58"/>
  <c r="G228" i="58"/>
  <c r="X284" i="58"/>
  <c r="G228" i="57"/>
  <c r="X283" i="57"/>
  <c r="G184" i="57"/>
  <c r="G184" i="56"/>
  <c r="X282" i="56"/>
  <c r="G228" i="56"/>
  <c r="G228" i="55"/>
  <c r="X281" i="55"/>
  <c r="G184" i="55"/>
  <c r="G184" i="54"/>
  <c r="X280" i="54"/>
  <c r="G228" i="54"/>
  <c r="X278" i="53"/>
  <c r="G184" i="53"/>
  <c r="G228" i="53"/>
  <c r="G228" i="52"/>
  <c r="X276" i="52"/>
  <c r="G184" i="52"/>
  <c r="X275" i="50"/>
  <c r="G184" i="50"/>
  <c r="G228" i="50"/>
  <c r="G184" i="48"/>
  <c r="X274" i="48"/>
  <c r="G228" i="48"/>
  <c r="X273" i="47"/>
  <c r="G228" i="47"/>
  <c r="G184" i="47"/>
  <c r="G228" i="46"/>
  <c r="G184" i="46"/>
  <c r="X272" i="46"/>
  <c r="X271" i="44"/>
  <c r="G228" i="44"/>
  <c r="G184" i="44"/>
  <c r="G228" i="43"/>
  <c r="X270" i="43"/>
  <c r="G184" i="43"/>
  <c r="G228" i="42"/>
  <c r="X269" i="42"/>
  <c r="G184" i="42"/>
  <c r="G184" i="41"/>
  <c r="X268" i="41"/>
  <c r="G228" i="41"/>
  <c r="G184" i="39"/>
  <c r="X267" i="39"/>
  <c r="G228" i="39"/>
  <c r="X266" i="38"/>
  <c r="G184" i="38"/>
  <c r="G228" i="38"/>
  <c r="G228" i="37"/>
  <c r="X265" i="37"/>
  <c r="G184" i="37"/>
  <c r="G228" i="36"/>
  <c r="G184" i="36"/>
  <c r="X264" i="36"/>
  <c r="X263" i="35"/>
  <c r="G228" i="35"/>
  <c r="G184" i="35"/>
  <c r="X262" i="34"/>
  <c r="G184" i="34"/>
  <c r="G228" i="34"/>
  <c r="X261" i="51"/>
  <c r="G184" i="51"/>
  <c r="G228" i="51"/>
  <c r="X260" i="33"/>
  <c r="G184" i="33"/>
  <c r="G228" i="33"/>
  <c r="X259" i="32"/>
  <c r="G184" i="32"/>
  <c r="G228" i="32"/>
  <c r="G228" i="31"/>
  <c r="X258" i="31"/>
  <c r="G184" i="31"/>
  <c r="Y285" i="59" l="1"/>
  <c r="H184" i="59"/>
  <c r="H228" i="59"/>
  <c r="H228" i="60"/>
  <c r="H184" i="60"/>
  <c r="Y286" i="60"/>
  <c r="H184" i="61"/>
  <c r="Y277" i="61"/>
  <c r="H228" i="61"/>
  <c r="H228" i="62"/>
  <c r="Y279" i="62"/>
  <c r="H184" i="62"/>
  <c r="H184" i="58"/>
  <c r="Y284" i="58"/>
  <c r="H228" i="58"/>
  <c r="H184" i="57"/>
  <c r="Y283" i="57"/>
  <c r="H228" i="57"/>
  <c r="H228" i="56"/>
  <c r="Y282" i="56"/>
  <c r="H184" i="56"/>
  <c r="H184" i="55"/>
  <c r="H228" i="55"/>
  <c r="Y281" i="55"/>
  <c r="H184" i="54"/>
  <c r="Y280" i="54"/>
  <c r="H228" i="54"/>
  <c r="Y278" i="53"/>
  <c r="H228" i="53"/>
  <c r="H184" i="53"/>
  <c r="H228" i="52"/>
  <c r="Y276" i="52"/>
  <c r="H184" i="52"/>
  <c r="Y275" i="50"/>
  <c r="H184" i="50"/>
  <c r="H228" i="50"/>
  <c r="H228" i="48"/>
  <c r="H184" i="48"/>
  <c r="Y274" i="48"/>
  <c r="H184" i="47"/>
  <c r="Y273" i="47"/>
  <c r="H228" i="47"/>
  <c r="H228" i="46"/>
  <c r="Y272" i="46"/>
  <c r="H184" i="46"/>
  <c r="Y271" i="44"/>
  <c r="H184" i="44"/>
  <c r="H228" i="44"/>
  <c r="H228" i="43"/>
  <c r="Y270" i="43"/>
  <c r="H184" i="43"/>
  <c r="H228" i="42"/>
  <c r="Y269" i="42"/>
  <c r="H184" i="42"/>
  <c r="H184" i="41"/>
  <c r="Y268" i="41"/>
  <c r="H228" i="41"/>
  <c r="H184" i="39"/>
  <c r="Y267" i="39"/>
  <c r="H228" i="39"/>
  <c r="H228" i="38"/>
  <c r="H184" i="38"/>
  <c r="Y266" i="38"/>
  <c r="H184" i="37"/>
  <c r="Y265" i="37"/>
  <c r="H228" i="37"/>
  <c r="Y264" i="36"/>
  <c r="H184" i="36"/>
  <c r="H228" i="36"/>
  <c r="H184" i="35"/>
  <c r="H228" i="35"/>
  <c r="Y263" i="35"/>
  <c r="H228" i="34"/>
  <c r="Y262" i="34"/>
  <c r="H184" i="34"/>
  <c r="H228" i="51"/>
  <c r="H184" i="51"/>
  <c r="Y261" i="51"/>
  <c r="H228" i="33"/>
  <c r="H184" i="33"/>
  <c r="Y260" i="33"/>
  <c r="H184" i="32"/>
  <c r="H228" i="32"/>
  <c r="Y259" i="32"/>
  <c r="H184" i="31"/>
  <c r="Y258" i="31"/>
  <c r="H228" i="31"/>
  <c r="C286" i="59" l="1"/>
  <c r="D286" i="59" s="1"/>
  <c r="E286" i="59" s="1"/>
  <c r="F286" i="59" s="1"/>
  <c r="G286" i="59" s="1"/>
  <c r="H286" i="59" s="1"/>
  <c r="I286" i="59" s="1"/>
  <c r="J286" i="59" s="1"/>
  <c r="K286" i="59" s="1"/>
  <c r="L286" i="59" s="1"/>
  <c r="M286" i="59" s="1"/>
  <c r="N286" i="59" s="1"/>
  <c r="O286" i="59" s="1"/>
  <c r="P286" i="59" s="1"/>
  <c r="Q286" i="59" s="1"/>
  <c r="R286" i="59" s="1"/>
  <c r="S286" i="59" s="1"/>
  <c r="T286" i="59" s="1"/>
  <c r="U286" i="59" s="1"/>
  <c r="V286" i="59" s="1"/>
  <c r="W286" i="59" s="1"/>
  <c r="X286" i="59" s="1"/>
  <c r="Y286" i="59" s="1"/>
  <c r="I228" i="59"/>
  <c r="I184" i="59"/>
  <c r="I184" i="60"/>
  <c r="I228" i="60"/>
  <c r="I184" i="61"/>
  <c r="I228" i="61"/>
  <c r="C278" i="61"/>
  <c r="D278" i="61" s="1"/>
  <c r="E278" i="61" s="1"/>
  <c r="F278" i="61" s="1"/>
  <c r="G278" i="61" s="1"/>
  <c r="H278" i="61" s="1"/>
  <c r="I278" i="61" s="1"/>
  <c r="J278" i="61" s="1"/>
  <c r="K278" i="61" s="1"/>
  <c r="L278" i="61" s="1"/>
  <c r="M278" i="61" s="1"/>
  <c r="N278" i="61" s="1"/>
  <c r="O278" i="61" s="1"/>
  <c r="P278" i="61" s="1"/>
  <c r="Q278" i="61" s="1"/>
  <c r="R278" i="61" s="1"/>
  <c r="S278" i="61" s="1"/>
  <c r="T278" i="61" s="1"/>
  <c r="U278" i="61" s="1"/>
  <c r="V278" i="61" s="1"/>
  <c r="W278" i="61" s="1"/>
  <c r="X278" i="61" s="1"/>
  <c r="Y278" i="61" s="1"/>
  <c r="C279" i="61" s="1"/>
  <c r="D279" i="61" s="1"/>
  <c r="E279" i="61" s="1"/>
  <c r="F279" i="61" s="1"/>
  <c r="G279" i="61" s="1"/>
  <c r="H279" i="61" s="1"/>
  <c r="I279" i="61" s="1"/>
  <c r="J279" i="61" s="1"/>
  <c r="K279" i="61" s="1"/>
  <c r="L279" i="61" s="1"/>
  <c r="M279" i="61" s="1"/>
  <c r="N279" i="61" s="1"/>
  <c r="O279" i="61" s="1"/>
  <c r="P279" i="61" s="1"/>
  <c r="Q279" i="61" s="1"/>
  <c r="R279" i="61" s="1"/>
  <c r="S279" i="61" s="1"/>
  <c r="T279" i="61" s="1"/>
  <c r="U279" i="61" s="1"/>
  <c r="V279" i="61" s="1"/>
  <c r="W279" i="61" s="1"/>
  <c r="X279" i="61" s="1"/>
  <c r="Y279" i="61" s="1"/>
  <c r="C280" i="61" s="1"/>
  <c r="D280" i="61" s="1"/>
  <c r="E280" i="61" s="1"/>
  <c r="F280" i="61" s="1"/>
  <c r="G280" i="61" s="1"/>
  <c r="H280" i="61" s="1"/>
  <c r="I280" i="61" s="1"/>
  <c r="J280" i="61" s="1"/>
  <c r="K280" i="61" s="1"/>
  <c r="L280" i="61" s="1"/>
  <c r="M280" i="61" s="1"/>
  <c r="N280" i="61" s="1"/>
  <c r="O280" i="61" s="1"/>
  <c r="P280" i="61" s="1"/>
  <c r="Q280" i="61" s="1"/>
  <c r="R280" i="61" s="1"/>
  <c r="S280" i="61" s="1"/>
  <c r="T280" i="61" s="1"/>
  <c r="U280" i="61" s="1"/>
  <c r="V280" i="61" s="1"/>
  <c r="W280" i="61" s="1"/>
  <c r="X280" i="61" s="1"/>
  <c r="Y280" i="61" s="1"/>
  <c r="C281" i="61" s="1"/>
  <c r="D281" i="61" s="1"/>
  <c r="E281" i="61" s="1"/>
  <c r="F281" i="61" s="1"/>
  <c r="G281" i="61" s="1"/>
  <c r="H281" i="61" s="1"/>
  <c r="I281" i="61" s="1"/>
  <c r="J281" i="61" s="1"/>
  <c r="K281" i="61" s="1"/>
  <c r="L281" i="61" s="1"/>
  <c r="M281" i="61" s="1"/>
  <c r="N281" i="61" s="1"/>
  <c r="O281" i="61" s="1"/>
  <c r="P281" i="61" s="1"/>
  <c r="Q281" i="61" s="1"/>
  <c r="R281" i="61" s="1"/>
  <c r="S281" i="61" s="1"/>
  <c r="T281" i="61" s="1"/>
  <c r="U281" i="61" s="1"/>
  <c r="V281" i="61" s="1"/>
  <c r="W281" i="61" s="1"/>
  <c r="X281" i="61" s="1"/>
  <c r="Y281" i="61" s="1"/>
  <c r="C282" i="61" s="1"/>
  <c r="D282" i="61" s="1"/>
  <c r="E282" i="61" s="1"/>
  <c r="F282" i="61" s="1"/>
  <c r="G282" i="61" s="1"/>
  <c r="H282" i="61" s="1"/>
  <c r="I282" i="61" s="1"/>
  <c r="J282" i="61" s="1"/>
  <c r="K282" i="61" s="1"/>
  <c r="L282" i="61" s="1"/>
  <c r="M282" i="61" s="1"/>
  <c r="N282" i="61" s="1"/>
  <c r="O282" i="61" s="1"/>
  <c r="P282" i="61" s="1"/>
  <c r="Q282" i="61" s="1"/>
  <c r="R282" i="61" s="1"/>
  <c r="S282" i="61" s="1"/>
  <c r="T282" i="61" s="1"/>
  <c r="U282" i="61" s="1"/>
  <c r="V282" i="61" s="1"/>
  <c r="W282" i="61" s="1"/>
  <c r="X282" i="61" s="1"/>
  <c r="Y282" i="61" s="1"/>
  <c r="C283" i="61" s="1"/>
  <c r="D283" i="61" s="1"/>
  <c r="E283" i="61" s="1"/>
  <c r="F283" i="61" s="1"/>
  <c r="G283" i="61" s="1"/>
  <c r="H283" i="61" s="1"/>
  <c r="I283" i="61" s="1"/>
  <c r="J283" i="61" s="1"/>
  <c r="K283" i="61" s="1"/>
  <c r="L283" i="61" s="1"/>
  <c r="M283" i="61" s="1"/>
  <c r="N283" i="61" s="1"/>
  <c r="O283" i="61" s="1"/>
  <c r="P283" i="61" s="1"/>
  <c r="Q283" i="61" s="1"/>
  <c r="R283" i="61" s="1"/>
  <c r="S283" i="61" s="1"/>
  <c r="T283" i="61" s="1"/>
  <c r="U283" i="61" s="1"/>
  <c r="V283" i="61" s="1"/>
  <c r="W283" i="61" s="1"/>
  <c r="X283" i="61" s="1"/>
  <c r="Y283" i="61" s="1"/>
  <c r="C284" i="61" s="1"/>
  <c r="D284" i="61" s="1"/>
  <c r="E284" i="61" s="1"/>
  <c r="F284" i="61" s="1"/>
  <c r="G284" i="61" s="1"/>
  <c r="H284" i="61" s="1"/>
  <c r="I284" i="61" s="1"/>
  <c r="J284" i="61" s="1"/>
  <c r="K284" i="61" s="1"/>
  <c r="L284" i="61" s="1"/>
  <c r="M284" i="61" s="1"/>
  <c r="N284" i="61" s="1"/>
  <c r="O284" i="61" s="1"/>
  <c r="P284" i="61" s="1"/>
  <c r="Q284" i="61" s="1"/>
  <c r="R284" i="61" s="1"/>
  <c r="S284" i="61" s="1"/>
  <c r="T284" i="61" s="1"/>
  <c r="U284" i="61" s="1"/>
  <c r="V284" i="61" s="1"/>
  <c r="W284" i="61" s="1"/>
  <c r="X284" i="61" s="1"/>
  <c r="Y284" i="61" s="1"/>
  <c r="C285" i="61" s="1"/>
  <c r="D285" i="61" s="1"/>
  <c r="E285" i="61" s="1"/>
  <c r="F285" i="61" s="1"/>
  <c r="G285" i="61" s="1"/>
  <c r="H285" i="61" s="1"/>
  <c r="I285" i="61" s="1"/>
  <c r="J285" i="61" s="1"/>
  <c r="K285" i="61" s="1"/>
  <c r="L285" i="61" s="1"/>
  <c r="M285" i="61" s="1"/>
  <c r="N285" i="61" s="1"/>
  <c r="O285" i="61" s="1"/>
  <c r="P285" i="61" s="1"/>
  <c r="Q285" i="61" s="1"/>
  <c r="R285" i="61" s="1"/>
  <c r="S285" i="61" s="1"/>
  <c r="T285" i="61" s="1"/>
  <c r="U285" i="61" s="1"/>
  <c r="V285" i="61" s="1"/>
  <c r="W285" i="61" s="1"/>
  <c r="X285" i="61" s="1"/>
  <c r="Y285" i="61" s="1"/>
  <c r="C286" i="61" s="1"/>
  <c r="D286" i="61" s="1"/>
  <c r="E286" i="61" s="1"/>
  <c r="F286" i="61" s="1"/>
  <c r="G286" i="61" s="1"/>
  <c r="H286" i="61" s="1"/>
  <c r="I286" i="61" s="1"/>
  <c r="J286" i="61" s="1"/>
  <c r="K286" i="61" s="1"/>
  <c r="L286" i="61" s="1"/>
  <c r="M286" i="61" s="1"/>
  <c r="N286" i="61" s="1"/>
  <c r="O286" i="61" s="1"/>
  <c r="P286" i="61" s="1"/>
  <c r="Q286" i="61" s="1"/>
  <c r="R286" i="61" s="1"/>
  <c r="S286" i="61" s="1"/>
  <c r="T286" i="61" s="1"/>
  <c r="U286" i="61" s="1"/>
  <c r="V286" i="61" s="1"/>
  <c r="W286" i="61" s="1"/>
  <c r="X286" i="61" s="1"/>
  <c r="Y286" i="61" s="1"/>
  <c r="C280" i="62"/>
  <c r="D280" i="62" s="1"/>
  <c r="E280" i="62" s="1"/>
  <c r="F280" i="62" s="1"/>
  <c r="G280" i="62" s="1"/>
  <c r="H280" i="62" s="1"/>
  <c r="I280" i="62" s="1"/>
  <c r="J280" i="62" s="1"/>
  <c r="K280" i="62" s="1"/>
  <c r="L280" i="62" s="1"/>
  <c r="M280" i="62" s="1"/>
  <c r="N280" i="62" s="1"/>
  <c r="O280" i="62" s="1"/>
  <c r="P280" i="62" s="1"/>
  <c r="Q280" i="62" s="1"/>
  <c r="R280" i="62" s="1"/>
  <c r="S280" i="62" s="1"/>
  <c r="T280" i="62" s="1"/>
  <c r="U280" i="62" s="1"/>
  <c r="V280" i="62" s="1"/>
  <c r="W280" i="62" s="1"/>
  <c r="X280" i="62" s="1"/>
  <c r="Y280" i="62" s="1"/>
  <c r="C281" i="62" s="1"/>
  <c r="D281" i="62" s="1"/>
  <c r="E281" i="62" s="1"/>
  <c r="F281" i="62" s="1"/>
  <c r="G281" i="62" s="1"/>
  <c r="H281" i="62" s="1"/>
  <c r="I281" i="62" s="1"/>
  <c r="J281" i="62" s="1"/>
  <c r="K281" i="62" s="1"/>
  <c r="L281" i="62" s="1"/>
  <c r="M281" i="62" s="1"/>
  <c r="N281" i="62" s="1"/>
  <c r="O281" i="62" s="1"/>
  <c r="P281" i="62" s="1"/>
  <c r="Q281" i="62" s="1"/>
  <c r="R281" i="62" s="1"/>
  <c r="S281" i="62" s="1"/>
  <c r="T281" i="62" s="1"/>
  <c r="U281" i="62" s="1"/>
  <c r="V281" i="62" s="1"/>
  <c r="W281" i="62" s="1"/>
  <c r="X281" i="62" s="1"/>
  <c r="Y281" i="62" s="1"/>
  <c r="C282" i="62" s="1"/>
  <c r="D282" i="62" s="1"/>
  <c r="E282" i="62" s="1"/>
  <c r="F282" i="62" s="1"/>
  <c r="G282" i="62" s="1"/>
  <c r="H282" i="62" s="1"/>
  <c r="I282" i="62" s="1"/>
  <c r="J282" i="62" s="1"/>
  <c r="K282" i="62" s="1"/>
  <c r="L282" i="62" s="1"/>
  <c r="M282" i="62" s="1"/>
  <c r="N282" i="62" s="1"/>
  <c r="O282" i="62" s="1"/>
  <c r="P282" i="62" s="1"/>
  <c r="Q282" i="62" s="1"/>
  <c r="R282" i="62" s="1"/>
  <c r="S282" i="62" s="1"/>
  <c r="T282" i="62" s="1"/>
  <c r="U282" i="62" s="1"/>
  <c r="V282" i="62" s="1"/>
  <c r="W282" i="62" s="1"/>
  <c r="X282" i="62" s="1"/>
  <c r="Y282" i="62" s="1"/>
  <c r="C283" i="62" s="1"/>
  <c r="D283" i="62" s="1"/>
  <c r="E283" i="62" s="1"/>
  <c r="F283" i="62" s="1"/>
  <c r="G283" i="62" s="1"/>
  <c r="H283" i="62" s="1"/>
  <c r="I283" i="62" s="1"/>
  <c r="J283" i="62" s="1"/>
  <c r="K283" i="62" s="1"/>
  <c r="L283" i="62" s="1"/>
  <c r="M283" i="62" s="1"/>
  <c r="N283" i="62" s="1"/>
  <c r="O283" i="62" s="1"/>
  <c r="P283" i="62" s="1"/>
  <c r="Q283" i="62" s="1"/>
  <c r="R283" i="62" s="1"/>
  <c r="S283" i="62" s="1"/>
  <c r="T283" i="62" s="1"/>
  <c r="U283" i="62" s="1"/>
  <c r="V283" i="62" s="1"/>
  <c r="W283" i="62" s="1"/>
  <c r="X283" i="62" s="1"/>
  <c r="Y283" i="62" s="1"/>
  <c r="C284" i="62" s="1"/>
  <c r="D284" i="62" s="1"/>
  <c r="E284" i="62" s="1"/>
  <c r="F284" i="62" s="1"/>
  <c r="G284" i="62" s="1"/>
  <c r="H284" i="62" s="1"/>
  <c r="I284" i="62" s="1"/>
  <c r="J284" i="62" s="1"/>
  <c r="K284" i="62" s="1"/>
  <c r="L284" i="62" s="1"/>
  <c r="M284" i="62" s="1"/>
  <c r="N284" i="62" s="1"/>
  <c r="O284" i="62" s="1"/>
  <c r="P284" i="62" s="1"/>
  <c r="Q284" i="62" s="1"/>
  <c r="R284" i="62" s="1"/>
  <c r="S284" i="62" s="1"/>
  <c r="T284" i="62" s="1"/>
  <c r="U284" i="62" s="1"/>
  <c r="V284" i="62" s="1"/>
  <c r="W284" i="62" s="1"/>
  <c r="X284" i="62" s="1"/>
  <c r="Y284" i="62" s="1"/>
  <c r="C285" i="62" s="1"/>
  <c r="D285" i="62" s="1"/>
  <c r="E285" i="62" s="1"/>
  <c r="F285" i="62" s="1"/>
  <c r="G285" i="62" s="1"/>
  <c r="H285" i="62" s="1"/>
  <c r="I285" i="62" s="1"/>
  <c r="J285" i="62" s="1"/>
  <c r="K285" i="62" s="1"/>
  <c r="L285" i="62" s="1"/>
  <c r="M285" i="62" s="1"/>
  <c r="N285" i="62" s="1"/>
  <c r="O285" i="62" s="1"/>
  <c r="P285" i="62" s="1"/>
  <c r="Q285" i="62" s="1"/>
  <c r="R285" i="62" s="1"/>
  <c r="S285" i="62" s="1"/>
  <c r="T285" i="62" s="1"/>
  <c r="U285" i="62" s="1"/>
  <c r="V285" i="62" s="1"/>
  <c r="W285" i="62" s="1"/>
  <c r="X285" i="62" s="1"/>
  <c r="Y285" i="62" s="1"/>
  <c r="C286" i="62" s="1"/>
  <c r="D286" i="62" s="1"/>
  <c r="E286" i="62" s="1"/>
  <c r="F286" i="62" s="1"/>
  <c r="G286" i="62" s="1"/>
  <c r="H286" i="62" s="1"/>
  <c r="I286" i="62" s="1"/>
  <c r="J286" i="62" s="1"/>
  <c r="K286" i="62" s="1"/>
  <c r="L286" i="62" s="1"/>
  <c r="M286" i="62" s="1"/>
  <c r="N286" i="62" s="1"/>
  <c r="O286" i="62" s="1"/>
  <c r="P286" i="62" s="1"/>
  <c r="Q286" i="62" s="1"/>
  <c r="R286" i="62" s="1"/>
  <c r="S286" i="62" s="1"/>
  <c r="T286" i="62" s="1"/>
  <c r="U286" i="62" s="1"/>
  <c r="V286" i="62" s="1"/>
  <c r="W286" i="62" s="1"/>
  <c r="X286" i="62" s="1"/>
  <c r="Y286" i="62" s="1"/>
  <c r="I184" i="62"/>
  <c r="I228" i="62"/>
  <c r="I228" i="58"/>
  <c r="I184" i="58"/>
  <c r="C285" i="58"/>
  <c r="D285" i="58" s="1"/>
  <c r="E285" i="58" s="1"/>
  <c r="F285" i="58" s="1"/>
  <c r="G285" i="58" s="1"/>
  <c r="H285" i="58" s="1"/>
  <c r="I285" i="58" s="1"/>
  <c r="J285" i="58" s="1"/>
  <c r="K285" i="58" s="1"/>
  <c r="L285" i="58" s="1"/>
  <c r="M285" i="58" s="1"/>
  <c r="N285" i="58" s="1"/>
  <c r="O285" i="58" s="1"/>
  <c r="P285" i="58" s="1"/>
  <c r="Q285" i="58" s="1"/>
  <c r="R285" i="58" s="1"/>
  <c r="S285" i="58" s="1"/>
  <c r="T285" i="58" s="1"/>
  <c r="U285" i="58" s="1"/>
  <c r="V285" i="58" s="1"/>
  <c r="W285" i="58" s="1"/>
  <c r="X285" i="58" s="1"/>
  <c r="Y285" i="58" s="1"/>
  <c r="C286" i="58" s="1"/>
  <c r="D286" i="58" s="1"/>
  <c r="E286" i="58" s="1"/>
  <c r="F286" i="58" s="1"/>
  <c r="G286" i="58" s="1"/>
  <c r="H286" i="58" s="1"/>
  <c r="I286" i="58" s="1"/>
  <c r="J286" i="58" s="1"/>
  <c r="K286" i="58" s="1"/>
  <c r="L286" i="58" s="1"/>
  <c r="M286" i="58" s="1"/>
  <c r="N286" i="58" s="1"/>
  <c r="O286" i="58" s="1"/>
  <c r="P286" i="58" s="1"/>
  <c r="Q286" i="58" s="1"/>
  <c r="R286" i="58" s="1"/>
  <c r="S286" i="58" s="1"/>
  <c r="T286" i="58" s="1"/>
  <c r="U286" i="58" s="1"/>
  <c r="V286" i="58" s="1"/>
  <c r="W286" i="58" s="1"/>
  <c r="X286" i="58" s="1"/>
  <c r="Y286" i="58" s="1"/>
  <c r="I228" i="57"/>
  <c r="I184" i="57"/>
  <c r="C284" i="57"/>
  <c r="D284" i="57" s="1"/>
  <c r="E284" i="57" s="1"/>
  <c r="F284" i="57" s="1"/>
  <c r="G284" i="57" s="1"/>
  <c r="H284" i="57" s="1"/>
  <c r="I284" i="57" s="1"/>
  <c r="J284" i="57" s="1"/>
  <c r="K284" i="57" s="1"/>
  <c r="L284" i="57" s="1"/>
  <c r="M284" i="57" s="1"/>
  <c r="N284" i="57" s="1"/>
  <c r="O284" i="57" s="1"/>
  <c r="P284" i="57" s="1"/>
  <c r="Q284" i="57" s="1"/>
  <c r="R284" i="57" s="1"/>
  <c r="S284" i="57" s="1"/>
  <c r="T284" i="57" s="1"/>
  <c r="U284" i="57" s="1"/>
  <c r="V284" i="57" s="1"/>
  <c r="W284" i="57" s="1"/>
  <c r="X284" i="57" s="1"/>
  <c r="Y284" i="57" s="1"/>
  <c r="C285" i="57" s="1"/>
  <c r="D285" i="57" s="1"/>
  <c r="E285" i="57" s="1"/>
  <c r="F285" i="57" s="1"/>
  <c r="G285" i="57" s="1"/>
  <c r="H285" i="57" s="1"/>
  <c r="I285" i="57" s="1"/>
  <c r="J285" i="57" s="1"/>
  <c r="K285" i="57" s="1"/>
  <c r="L285" i="57" s="1"/>
  <c r="M285" i="57" s="1"/>
  <c r="N285" i="57" s="1"/>
  <c r="O285" i="57" s="1"/>
  <c r="P285" i="57" s="1"/>
  <c r="Q285" i="57" s="1"/>
  <c r="R285" i="57" s="1"/>
  <c r="S285" i="57" s="1"/>
  <c r="T285" i="57" s="1"/>
  <c r="U285" i="57" s="1"/>
  <c r="V285" i="57" s="1"/>
  <c r="W285" i="57" s="1"/>
  <c r="X285" i="57" s="1"/>
  <c r="Y285" i="57" s="1"/>
  <c r="C286" i="57" s="1"/>
  <c r="D286" i="57" s="1"/>
  <c r="E286" i="57" s="1"/>
  <c r="F286" i="57" s="1"/>
  <c r="G286" i="57" s="1"/>
  <c r="H286" i="57" s="1"/>
  <c r="I286" i="57" s="1"/>
  <c r="J286" i="57" s="1"/>
  <c r="K286" i="57" s="1"/>
  <c r="L286" i="57" s="1"/>
  <c r="M286" i="57" s="1"/>
  <c r="N286" i="57" s="1"/>
  <c r="O286" i="57" s="1"/>
  <c r="P286" i="57" s="1"/>
  <c r="Q286" i="57" s="1"/>
  <c r="R286" i="57" s="1"/>
  <c r="S286" i="57" s="1"/>
  <c r="T286" i="57" s="1"/>
  <c r="U286" i="57" s="1"/>
  <c r="V286" i="57" s="1"/>
  <c r="W286" i="57" s="1"/>
  <c r="X286" i="57" s="1"/>
  <c r="Y286" i="57" s="1"/>
  <c r="I184" i="56"/>
  <c r="C283" i="56"/>
  <c r="D283" i="56" s="1"/>
  <c r="E283" i="56" s="1"/>
  <c r="F283" i="56" s="1"/>
  <c r="G283" i="56" s="1"/>
  <c r="H283" i="56" s="1"/>
  <c r="I283" i="56" s="1"/>
  <c r="J283" i="56" s="1"/>
  <c r="K283" i="56" s="1"/>
  <c r="L283" i="56" s="1"/>
  <c r="M283" i="56" s="1"/>
  <c r="N283" i="56" s="1"/>
  <c r="O283" i="56" s="1"/>
  <c r="P283" i="56" s="1"/>
  <c r="Q283" i="56" s="1"/>
  <c r="R283" i="56" s="1"/>
  <c r="S283" i="56" s="1"/>
  <c r="T283" i="56" s="1"/>
  <c r="U283" i="56" s="1"/>
  <c r="V283" i="56" s="1"/>
  <c r="W283" i="56" s="1"/>
  <c r="X283" i="56" s="1"/>
  <c r="Y283" i="56" s="1"/>
  <c r="C284" i="56" s="1"/>
  <c r="D284" i="56" s="1"/>
  <c r="E284" i="56" s="1"/>
  <c r="F284" i="56" s="1"/>
  <c r="G284" i="56" s="1"/>
  <c r="H284" i="56" s="1"/>
  <c r="I284" i="56" s="1"/>
  <c r="J284" i="56" s="1"/>
  <c r="K284" i="56" s="1"/>
  <c r="L284" i="56" s="1"/>
  <c r="M284" i="56" s="1"/>
  <c r="N284" i="56" s="1"/>
  <c r="O284" i="56" s="1"/>
  <c r="P284" i="56" s="1"/>
  <c r="Q284" i="56" s="1"/>
  <c r="R284" i="56" s="1"/>
  <c r="S284" i="56" s="1"/>
  <c r="T284" i="56" s="1"/>
  <c r="U284" i="56" s="1"/>
  <c r="V284" i="56" s="1"/>
  <c r="W284" i="56" s="1"/>
  <c r="X284" i="56" s="1"/>
  <c r="Y284" i="56" s="1"/>
  <c r="C285" i="56" s="1"/>
  <c r="D285" i="56" s="1"/>
  <c r="E285" i="56" s="1"/>
  <c r="F285" i="56" s="1"/>
  <c r="G285" i="56" s="1"/>
  <c r="H285" i="56" s="1"/>
  <c r="I285" i="56" s="1"/>
  <c r="J285" i="56" s="1"/>
  <c r="K285" i="56" s="1"/>
  <c r="L285" i="56" s="1"/>
  <c r="M285" i="56" s="1"/>
  <c r="N285" i="56" s="1"/>
  <c r="O285" i="56" s="1"/>
  <c r="P285" i="56" s="1"/>
  <c r="Q285" i="56" s="1"/>
  <c r="R285" i="56" s="1"/>
  <c r="S285" i="56" s="1"/>
  <c r="T285" i="56" s="1"/>
  <c r="U285" i="56" s="1"/>
  <c r="V285" i="56" s="1"/>
  <c r="W285" i="56" s="1"/>
  <c r="X285" i="56" s="1"/>
  <c r="Y285" i="56" s="1"/>
  <c r="C286" i="56" s="1"/>
  <c r="D286" i="56" s="1"/>
  <c r="E286" i="56" s="1"/>
  <c r="F286" i="56" s="1"/>
  <c r="G286" i="56" s="1"/>
  <c r="H286" i="56" s="1"/>
  <c r="I286" i="56" s="1"/>
  <c r="J286" i="56" s="1"/>
  <c r="K286" i="56" s="1"/>
  <c r="L286" i="56" s="1"/>
  <c r="M286" i="56" s="1"/>
  <c r="N286" i="56" s="1"/>
  <c r="O286" i="56" s="1"/>
  <c r="P286" i="56" s="1"/>
  <c r="Q286" i="56" s="1"/>
  <c r="R286" i="56" s="1"/>
  <c r="S286" i="56" s="1"/>
  <c r="T286" i="56" s="1"/>
  <c r="U286" i="56" s="1"/>
  <c r="V286" i="56" s="1"/>
  <c r="W286" i="56" s="1"/>
  <c r="X286" i="56" s="1"/>
  <c r="Y286" i="56" s="1"/>
  <c r="I228" i="56"/>
  <c r="I228" i="55"/>
  <c r="C282" i="55"/>
  <c r="D282" i="55" s="1"/>
  <c r="E282" i="55" s="1"/>
  <c r="F282" i="55" s="1"/>
  <c r="G282" i="55" s="1"/>
  <c r="H282" i="55" s="1"/>
  <c r="I282" i="55" s="1"/>
  <c r="J282" i="55" s="1"/>
  <c r="K282" i="55" s="1"/>
  <c r="L282" i="55" s="1"/>
  <c r="M282" i="55" s="1"/>
  <c r="N282" i="55" s="1"/>
  <c r="O282" i="55" s="1"/>
  <c r="P282" i="55" s="1"/>
  <c r="Q282" i="55" s="1"/>
  <c r="R282" i="55" s="1"/>
  <c r="S282" i="55" s="1"/>
  <c r="T282" i="55" s="1"/>
  <c r="U282" i="55" s="1"/>
  <c r="V282" i="55" s="1"/>
  <c r="W282" i="55" s="1"/>
  <c r="X282" i="55" s="1"/>
  <c r="Y282" i="55" s="1"/>
  <c r="C283" i="55" s="1"/>
  <c r="D283" i="55" s="1"/>
  <c r="E283" i="55" s="1"/>
  <c r="F283" i="55" s="1"/>
  <c r="G283" i="55" s="1"/>
  <c r="H283" i="55" s="1"/>
  <c r="I283" i="55" s="1"/>
  <c r="J283" i="55" s="1"/>
  <c r="K283" i="55" s="1"/>
  <c r="L283" i="55" s="1"/>
  <c r="M283" i="55" s="1"/>
  <c r="N283" i="55" s="1"/>
  <c r="O283" i="55" s="1"/>
  <c r="P283" i="55" s="1"/>
  <c r="Q283" i="55" s="1"/>
  <c r="R283" i="55" s="1"/>
  <c r="S283" i="55" s="1"/>
  <c r="T283" i="55" s="1"/>
  <c r="U283" i="55" s="1"/>
  <c r="V283" i="55" s="1"/>
  <c r="W283" i="55" s="1"/>
  <c r="X283" i="55" s="1"/>
  <c r="Y283" i="55" s="1"/>
  <c r="C284" i="55" s="1"/>
  <c r="D284" i="55" s="1"/>
  <c r="E284" i="55" s="1"/>
  <c r="F284" i="55" s="1"/>
  <c r="G284" i="55" s="1"/>
  <c r="H284" i="55" s="1"/>
  <c r="I284" i="55" s="1"/>
  <c r="J284" i="55" s="1"/>
  <c r="K284" i="55" s="1"/>
  <c r="L284" i="55" s="1"/>
  <c r="M284" i="55" s="1"/>
  <c r="N284" i="55" s="1"/>
  <c r="O284" i="55" s="1"/>
  <c r="P284" i="55" s="1"/>
  <c r="Q284" i="55" s="1"/>
  <c r="R284" i="55" s="1"/>
  <c r="S284" i="55" s="1"/>
  <c r="T284" i="55" s="1"/>
  <c r="U284" i="55" s="1"/>
  <c r="V284" i="55" s="1"/>
  <c r="W284" i="55" s="1"/>
  <c r="X284" i="55" s="1"/>
  <c r="Y284" i="55" s="1"/>
  <c r="C285" i="55" s="1"/>
  <c r="D285" i="55" s="1"/>
  <c r="E285" i="55" s="1"/>
  <c r="F285" i="55" s="1"/>
  <c r="G285" i="55" s="1"/>
  <c r="H285" i="55" s="1"/>
  <c r="I285" i="55" s="1"/>
  <c r="J285" i="55" s="1"/>
  <c r="K285" i="55" s="1"/>
  <c r="L285" i="55" s="1"/>
  <c r="M285" i="55" s="1"/>
  <c r="N285" i="55" s="1"/>
  <c r="O285" i="55" s="1"/>
  <c r="P285" i="55" s="1"/>
  <c r="Q285" i="55" s="1"/>
  <c r="R285" i="55" s="1"/>
  <c r="S285" i="55" s="1"/>
  <c r="T285" i="55" s="1"/>
  <c r="U285" i="55" s="1"/>
  <c r="V285" i="55" s="1"/>
  <c r="W285" i="55" s="1"/>
  <c r="X285" i="55" s="1"/>
  <c r="Y285" i="55" s="1"/>
  <c r="C286" i="55" s="1"/>
  <c r="D286" i="55" s="1"/>
  <c r="E286" i="55" s="1"/>
  <c r="F286" i="55" s="1"/>
  <c r="G286" i="55" s="1"/>
  <c r="H286" i="55" s="1"/>
  <c r="I286" i="55" s="1"/>
  <c r="J286" i="55" s="1"/>
  <c r="K286" i="55" s="1"/>
  <c r="L286" i="55" s="1"/>
  <c r="M286" i="55" s="1"/>
  <c r="N286" i="55" s="1"/>
  <c r="O286" i="55" s="1"/>
  <c r="P286" i="55" s="1"/>
  <c r="Q286" i="55" s="1"/>
  <c r="R286" i="55" s="1"/>
  <c r="S286" i="55" s="1"/>
  <c r="T286" i="55" s="1"/>
  <c r="U286" i="55" s="1"/>
  <c r="V286" i="55" s="1"/>
  <c r="W286" i="55" s="1"/>
  <c r="X286" i="55" s="1"/>
  <c r="Y286" i="55" s="1"/>
  <c r="I184" i="55"/>
  <c r="I184" i="54"/>
  <c r="I228" i="54"/>
  <c r="C281" i="54"/>
  <c r="D281" i="54" s="1"/>
  <c r="E281" i="54" s="1"/>
  <c r="F281" i="54" s="1"/>
  <c r="G281" i="54" s="1"/>
  <c r="H281" i="54" s="1"/>
  <c r="I281" i="54" s="1"/>
  <c r="J281" i="54" s="1"/>
  <c r="K281" i="54" s="1"/>
  <c r="L281" i="54" s="1"/>
  <c r="M281" i="54" s="1"/>
  <c r="N281" i="54" s="1"/>
  <c r="O281" i="54" s="1"/>
  <c r="P281" i="54" s="1"/>
  <c r="Q281" i="54" s="1"/>
  <c r="R281" i="54" s="1"/>
  <c r="S281" i="54" s="1"/>
  <c r="T281" i="54" s="1"/>
  <c r="U281" i="54" s="1"/>
  <c r="V281" i="54" s="1"/>
  <c r="W281" i="54" s="1"/>
  <c r="X281" i="54" s="1"/>
  <c r="Y281" i="54" s="1"/>
  <c r="C282" i="54" s="1"/>
  <c r="D282" i="54" s="1"/>
  <c r="E282" i="54" s="1"/>
  <c r="F282" i="54" s="1"/>
  <c r="G282" i="54" s="1"/>
  <c r="H282" i="54" s="1"/>
  <c r="I282" i="54" s="1"/>
  <c r="J282" i="54" s="1"/>
  <c r="K282" i="54" s="1"/>
  <c r="L282" i="54" s="1"/>
  <c r="M282" i="54" s="1"/>
  <c r="N282" i="54" s="1"/>
  <c r="O282" i="54" s="1"/>
  <c r="P282" i="54" s="1"/>
  <c r="Q282" i="54" s="1"/>
  <c r="R282" i="54" s="1"/>
  <c r="S282" i="54" s="1"/>
  <c r="T282" i="54" s="1"/>
  <c r="U282" i="54" s="1"/>
  <c r="V282" i="54" s="1"/>
  <c r="W282" i="54" s="1"/>
  <c r="X282" i="54" s="1"/>
  <c r="Y282" i="54" s="1"/>
  <c r="C283" i="54" s="1"/>
  <c r="D283" i="54" s="1"/>
  <c r="E283" i="54" s="1"/>
  <c r="F283" i="54" s="1"/>
  <c r="G283" i="54" s="1"/>
  <c r="H283" i="54" s="1"/>
  <c r="I283" i="54" s="1"/>
  <c r="J283" i="54" s="1"/>
  <c r="K283" i="54" s="1"/>
  <c r="L283" i="54" s="1"/>
  <c r="M283" i="54" s="1"/>
  <c r="N283" i="54" s="1"/>
  <c r="O283" i="54" s="1"/>
  <c r="P283" i="54" s="1"/>
  <c r="Q283" i="54" s="1"/>
  <c r="R283" i="54" s="1"/>
  <c r="S283" i="54" s="1"/>
  <c r="T283" i="54" s="1"/>
  <c r="U283" i="54" s="1"/>
  <c r="V283" i="54" s="1"/>
  <c r="W283" i="54" s="1"/>
  <c r="X283" i="54" s="1"/>
  <c r="Y283" i="54" s="1"/>
  <c r="C284" i="54" s="1"/>
  <c r="D284" i="54" s="1"/>
  <c r="E284" i="54" s="1"/>
  <c r="F284" i="54" s="1"/>
  <c r="G284" i="54" s="1"/>
  <c r="H284" i="54" s="1"/>
  <c r="I284" i="54" s="1"/>
  <c r="J284" i="54" s="1"/>
  <c r="K284" i="54" s="1"/>
  <c r="L284" i="54" s="1"/>
  <c r="M284" i="54" s="1"/>
  <c r="N284" i="54" s="1"/>
  <c r="O284" i="54" s="1"/>
  <c r="P284" i="54" s="1"/>
  <c r="Q284" i="54" s="1"/>
  <c r="R284" i="54" s="1"/>
  <c r="S284" i="54" s="1"/>
  <c r="T284" i="54" s="1"/>
  <c r="U284" i="54" s="1"/>
  <c r="V284" i="54" s="1"/>
  <c r="W284" i="54" s="1"/>
  <c r="X284" i="54" s="1"/>
  <c r="Y284" i="54" s="1"/>
  <c r="C285" i="54" s="1"/>
  <c r="D285" i="54" s="1"/>
  <c r="E285" i="54" s="1"/>
  <c r="F285" i="54" s="1"/>
  <c r="G285" i="54" s="1"/>
  <c r="H285" i="54" s="1"/>
  <c r="I285" i="54" s="1"/>
  <c r="J285" i="54" s="1"/>
  <c r="K285" i="54" s="1"/>
  <c r="L285" i="54" s="1"/>
  <c r="M285" i="54" s="1"/>
  <c r="N285" i="54" s="1"/>
  <c r="O285" i="54" s="1"/>
  <c r="P285" i="54" s="1"/>
  <c r="Q285" i="54" s="1"/>
  <c r="R285" i="54" s="1"/>
  <c r="S285" i="54" s="1"/>
  <c r="T285" i="54" s="1"/>
  <c r="U285" i="54" s="1"/>
  <c r="V285" i="54" s="1"/>
  <c r="W285" i="54" s="1"/>
  <c r="X285" i="54" s="1"/>
  <c r="Y285" i="54" s="1"/>
  <c r="C286" i="54" s="1"/>
  <c r="D286" i="54" s="1"/>
  <c r="E286" i="54" s="1"/>
  <c r="F286" i="54" s="1"/>
  <c r="G286" i="54" s="1"/>
  <c r="H286" i="54" s="1"/>
  <c r="I286" i="54" s="1"/>
  <c r="J286" i="54" s="1"/>
  <c r="K286" i="54" s="1"/>
  <c r="L286" i="54" s="1"/>
  <c r="M286" i="54" s="1"/>
  <c r="N286" i="54" s="1"/>
  <c r="O286" i="54" s="1"/>
  <c r="P286" i="54" s="1"/>
  <c r="Q286" i="54" s="1"/>
  <c r="R286" i="54" s="1"/>
  <c r="S286" i="54" s="1"/>
  <c r="T286" i="54" s="1"/>
  <c r="U286" i="54" s="1"/>
  <c r="V286" i="54" s="1"/>
  <c r="W286" i="54" s="1"/>
  <c r="X286" i="54" s="1"/>
  <c r="Y286" i="54" s="1"/>
  <c r="I228" i="53"/>
  <c r="I184" i="53"/>
  <c r="C279" i="53"/>
  <c r="D279" i="53" s="1"/>
  <c r="E279" i="53" s="1"/>
  <c r="F279" i="53" s="1"/>
  <c r="G279" i="53" s="1"/>
  <c r="H279" i="53" s="1"/>
  <c r="I279" i="53" s="1"/>
  <c r="J279" i="53" s="1"/>
  <c r="K279" i="53" s="1"/>
  <c r="L279" i="53" s="1"/>
  <c r="M279" i="53" s="1"/>
  <c r="N279" i="53" s="1"/>
  <c r="O279" i="53" s="1"/>
  <c r="P279" i="53" s="1"/>
  <c r="Q279" i="53" s="1"/>
  <c r="R279" i="53" s="1"/>
  <c r="S279" i="53" s="1"/>
  <c r="T279" i="53" s="1"/>
  <c r="U279" i="53" s="1"/>
  <c r="V279" i="53" s="1"/>
  <c r="W279" i="53" s="1"/>
  <c r="X279" i="53" s="1"/>
  <c r="Y279" i="53" s="1"/>
  <c r="C280" i="53" s="1"/>
  <c r="D280" i="53" s="1"/>
  <c r="E280" i="53" s="1"/>
  <c r="F280" i="53" s="1"/>
  <c r="G280" i="53" s="1"/>
  <c r="H280" i="53" s="1"/>
  <c r="I280" i="53" s="1"/>
  <c r="J280" i="53" s="1"/>
  <c r="K280" i="53" s="1"/>
  <c r="L280" i="53" s="1"/>
  <c r="M280" i="53" s="1"/>
  <c r="N280" i="53" s="1"/>
  <c r="O280" i="53" s="1"/>
  <c r="P280" i="53" s="1"/>
  <c r="Q280" i="53" s="1"/>
  <c r="R280" i="53" s="1"/>
  <c r="S280" i="53" s="1"/>
  <c r="T280" i="53" s="1"/>
  <c r="U280" i="53" s="1"/>
  <c r="V280" i="53" s="1"/>
  <c r="W280" i="53" s="1"/>
  <c r="X280" i="53" s="1"/>
  <c r="Y280" i="53" s="1"/>
  <c r="C281" i="53" s="1"/>
  <c r="D281" i="53" s="1"/>
  <c r="E281" i="53" s="1"/>
  <c r="F281" i="53" s="1"/>
  <c r="G281" i="53" s="1"/>
  <c r="H281" i="53" s="1"/>
  <c r="I281" i="53" s="1"/>
  <c r="J281" i="53" s="1"/>
  <c r="K281" i="53" s="1"/>
  <c r="L281" i="53" s="1"/>
  <c r="M281" i="53" s="1"/>
  <c r="N281" i="53" s="1"/>
  <c r="O281" i="53" s="1"/>
  <c r="P281" i="53" s="1"/>
  <c r="Q281" i="53" s="1"/>
  <c r="R281" i="53" s="1"/>
  <c r="S281" i="53" s="1"/>
  <c r="T281" i="53" s="1"/>
  <c r="U281" i="53" s="1"/>
  <c r="V281" i="53" s="1"/>
  <c r="W281" i="53" s="1"/>
  <c r="X281" i="53" s="1"/>
  <c r="Y281" i="53" s="1"/>
  <c r="C282" i="53" s="1"/>
  <c r="D282" i="53" s="1"/>
  <c r="E282" i="53" s="1"/>
  <c r="F282" i="53" s="1"/>
  <c r="G282" i="53" s="1"/>
  <c r="H282" i="53" s="1"/>
  <c r="I282" i="53" s="1"/>
  <c r="J282" i="53" s="1"/>
  <c r="K282" i="53" s="1"/>
  <c r="L282" i="53" s="1"/>
  <c r="M282" i="53" s="1"/>
  <c r="N282" i="53" s="1"/>
  <c r="O282" i="53" s="1"/>
  <c r="P282" i="53" s="1"/>
  <c r="Q282" i="53" s="1"/>
  <c r="R282" i="53" s="1"/>
  <c r="S282" i="53" s="1"/>
  <c r="T282" i="53" s="1"/>
  <c r="U282" i="53" s="1"/>
  <c r="V282" i="53" s="1"/>
  <c r="W282" i="53" s="1"/>
  <c r="X282" i="53" s="1"/>
  <c r="Y282" i="53" s="1"/>
  <c r="C283" i="53" s="1"/>
  <c r="D283" i="53" s="1"/>
  <c r="E283" i="53" s="1"/>
  <c r="F283" i="53" s="1"/>
  <c r="G283" i="53" s="1"/>
  <c r="H283" i="53" s="1"/>
  <c r="I283" i="53" s="1"/>
  <c r="J283" i="53" s="1"/>
  <c r="K283" i="53" s="1"/>
  <c r="L283" i="53" s="1"/>
  <c r="M283" i="53" s="1"/>
  <c r="N283" i="53" s="1"/>
  <c r="O283" i="53" s="1"/>
  <c r="P283" i="53" s="1"/>
  <c r="Q283" i="53" s="1"/>
  <c r="R283" i="53" s="1"/>
  <c r="S283" i="53" s="1"/>
  <c r="T283" i="53" s="1"/>
  <c r="U283" i="53" s="1"/>
  <c r="V283" i="53" s="1"/>
  <c r="W283" i="53" s="1"/>
  <c r="X283" i="53" s="1"/>
  <c r="Y283" i="53" s="1"/>
  <c r="C284" i="53" s="1"/>
  <c r="D284" i="53" s="1"/>
  <c r="E284" i="53" s="1"/>
  <c r="F284" i="53" s="1"/>
  <c r="G284" i="53" s="1"/>
  <c r="H284" i="53" s="1"/>
  <c r="I284" i="53" s="1"/>
  <c r="J284" i="53" s="1"/>
  <c r="K284" i="53" s="1"/>
  <c r="L284" i="53" s="1"/>
  <c r="M284" i="53" s="1"/>
  <c r="N284" i="53" s="1"/>
  <c r="O284" i="53" s="1"/>
  <c r="P284" i="53" s="1"/>
  <c r="Q284" i="53" s="1"/>
  <c r="R284" i="53" s="1"/>
  <c r="S284" i="53" s="1"/>
  <c r="T284" i="53" s="1"/>
  <c r="U284" i="53" s="1"/>
  <c r="V284" i="53" s="1"/>
  <c r="W284" i="53" s="1"/>
  <c r="X284" i="53" s="1"/>
  <c r="Y284" i="53" s="1"/>
  <c r="C285" i="53" s="1"/>
  <c r="D285" i="53" s="1"/>
  <c r="E285" i="53" s="1"/>
  <c r="F285" i="53" s="1"/>
  <c r="G285" i="53" s="1"/>
  <c r="H285" i="53" s="1"/>
  <c r="I285" i="53" s="1"/>
  <c r="J285" i="53" s="1"/>
  <c r="K285" i="53" s="1"/>
  <c r="L285" i="53" s="1"/>
  <c r="M285" i="53" s="1"/>
  <c r="N285" i="53" s="1"/>
  <c r="O285" i="53" s="1"/>
  <c r="P285" i="53" s="1"/>
  <c r="Q285" i="53" s="1"/>
  <c r="R285" i="53" s="1"/>
  <c r="S285" i="53" s="1"/>
  <c r="T285" i="53" s="1"/>
  <c r="U285" i="53" s="1"/>
  <c r="V285" i="53" s="1"/>
  <c r="W285" i="53" s="1"/>
  <c r="X285" i="53" s="1"/>
  <c r="Y285" i="53" s="1"/>
  <c r="C286" i="53" s="1"/>
  <c r="D286" i="53" s="1"/>
  <c r="E286" i="53" s="1"/>
  <c r="F286" i="53" s="1"/>
  <c r="G286" i="53" s="1"/>
  <c r="H286" i="53" s="1"/>
  <c r="I286" i="53" s="1"/>
  <c r="J286" i="53" s="1"/>
  <c r="K286" i="53" s="1"/>
  <c r="L286" i="53" s="1"/>
  <c r="M286" i="53" s="1"/>
  <c r="N286" i="53" s="1"/>
  <c r="O286" i="53" s="1"/>
  <c r="P286" i="53" s="1"/>
  <c r="Q286" i="53" s="1"/>
  <c r="R286" i="53" s="1"/>
  <c r="S286" i="53" s="1"/>
  <c r="T286" i="53" s="1"/>
  <c r="U286" i="53" s="1"/>
  <c r="V286" i="53" s="1"/>
  <c r="W286" i="53" s="1"/>
  <c r="X286" i="53" s="1"/>
  <c r="Y286" i="53" s="1"/>
  <c r="I184" i="52"/>
  <c r="C277" i="52"/>
  <c r="D277" i="52" s="1"/>
  <c r="E277" i="52" s="1"/>
  <c r="F277" i="52" s="1"/>
  <c r="G277" i="52" s="1"/>
  <c r="H277" i="52" s="1"/>
  <c r="I277" i="52" s="1"/>
  <c r="J277" i="52" s="1"/>
  <c r="K277" i="52" s="1"/>
  <c r="L277" i="52" s="1"/>
  <c r="M277" i="52" s="1"/>
  <c r="N277" i="52" s="1"/>
  <c r="O277" i="52" s="1"/>
  <c r="P277" i="52" s="1"/>
  <c r="Q277" i="52" s="1"/>
  <c r="R277" i="52" s="1"/>
  <c r="S277" i="52" s="1"/>
  <c r="T277" i="52" s="1"/>
  <c r="U277" i="52" s="1"/>
  <c r="V277" i="52" s="1"/>
  <c r="W277" i="52" s="1"/>
  <c r="X277" i="52" s="1"/>
  <c r="Y277" i="52" s="1"/>
  <c r="C278" i="52" s="1"/>
  <c r="D278" i="52" s="1"/>
  <c r="E278" i="52" s="1"/>
  <c r="F278" i="52" s="1"/>
  <c r="G278" i="52" s="1"/>
  <c r="H278" i="52" s="1"/>
  <c r="I278" i="52" s="1"/>
  <c r="J278" i="52" s="1"/>
  <c r="K278" i="52" s="1"/>
  <c r="L278" i="52" s="1"/>
  <c r="M278" i="52" s="1"/>
  <c r="N278" i="52" s="1"/>
  <c r="O278" i="52" s="1"/>
  <c r="P278" i="52" s="1"/>
  <c r="Q278" i="52" s="1"/>
  <c r="R278" i="52" s="1"/>
  <c r="S278" i="52" s="1"/>
  <c r="T278" i="52" s="1"/>
  <c r="U278" i="52" s="1"/>
  <c r="V278" i="52" s="1"/>
  <c r="W278" i="52" s="1"/>
  <c r="X278" i="52" s="1"/>
  <c r="Y278" i="52" s="1"/>
  <c r="C279" i="52" s="1"/>
  <c r="D279" i="52" s="1"/>
  <c r="E279" i="52" s="1"/>
  <c r="F279" i="52" s="1"/>
  <c r="G279" i="52" s="1"/>
  <c r="H279" i="52" s="1"/>
  <c r="I279" i="52" s="1"/>
  <c r="J279" i="52" s="1"/>
  <c r="K279" i="52" s="1"/>
  <c r="L279" i="52" s="1"/>
  <c r="M279" i="52" s="1"/>
  <c r="N279" i="52" s="1"/>
  <c r="O279" i="52" s="1"/>
  <c r="P279" i="52" s="1"/>
  <c r="Q279" i="52" s="1"/>
  <c r="R279" i="52" s="1"/>
  <c r="S279" i="52" s="1"/>
  <c r="T279" i="52" s="1"/>
  <c r="U279" i="52" s="1"/>
  <c r="V279" i="52" s="1"/>
  <c r="W279" i="52" s="1"/>
  <c r="X279" i="52" s="1"/>
  <c r="Y279" i="52" s="1"/>
  <c r="C280" i="52" s="1"/>
  <c r="D280" i="52" s="1"/>
  <c r="E280" i="52" s="1"/>
  <c r="F280" i="52" s="1"/>
  <c r="G280" i="52" s="1"/>
  <c r="H280" i="52" s="1"/>
  <c r="I280" i="52" s="1"/>
  <c r="J280" i="52" s="1"/>
  <c r="K280" i="52" s="1"/>
  <c r="L280" i="52" s="1"/>
  <c r="M280" i="52" s="1"/>
  <c r="N280" i="52" s="1"/>
  <c r="O280" i="52" s="1"/>
  <c r="P280" i="52" s="1"/>
  <c r="Q280" i="52" s="1"/>
  <c r="R280" i="52" s="1"/>
  <c r="S280" i="52" s="1"/>
  <c r="T280" i="52" s="1"/>
  <c r="U280" i="52" s="1"/>
  <c r="V280" i="52" s="1"/>
  <c r="W280" i="52" s="1"/>
  <c r="X280" i="52" s="1"/>
  <c r="Y280" i="52" s="1"/>
  <c r="C281" i="52" s="1"/>
  <c r="D281" i="52" s="1"/>
  <c r="E281" i="52" s="1"/>
  <c r="F281" i="52" s="1"/>
  <c r="G281" i="52" s="1"/>
  <c r="H281" i="52" s="1"/>
  <c r="I281" i="52" s="1"/>
  <c r="J281" i="52" s="1"/>
  <c r="K281" i="52" s="1"/>
  <c r="L281" i="52" s="1"/>
  <c r="M281" i="52" s="1"/>
  <c r="N281" i="52" s="1"/>
  <c r="O281" i="52" s="1"/>
  <c r="P281" i="52" s="1"/>
  <c r="Q281" i="52" s="1"/>
  <c r="R281" i="52" s="1"/>
  <c r="S281" i="52" s="1"/>
  <c r="T281" i="52" s="1"/>
  <c r="U281" i="52" s="1"/>
  <c r="V281" i="52" s="1"/>
  <c r="W281" i="52" s="1"/>
  <c r="X281" i="52" s="1"/>
  <c r="Y281" i="52" s="1"/>
  <c r="C282" i="52" s="1"/>
  <c r="D282" i="52" s="1"/>
  <c r="E282" i="52" s="1"/>
  <c r="F282" i="52" s="1"/>
  <c r="G282" i="52" s="1"/>
  <c r="H282" i="52" s="1"/>
  <c r="I282" i="52" s="1"/>
  <c r="J282" i="52" s="1"/>
  <c r="K282" i="52" s="1"/>
  <c r="L282" i="52" s="1"/>
  <c r="M282" i="52" s="1"/>
  <c r="N282" i="52" s="1"/>
  <c r="O282" i="52" s="1"/>
  <c r="P282" i="52" s="1"/>
  <c r="Q282" i="52" s="1"/>
  <c r="R282" i="52" s="1"/>
  <c r="S282" i="52" s="1"/>
  <c r="T282" i="52" s="1"/>
  <c r="U282" i="52" s="1"/>
  <c r="V282" i="52" s="1"/>
  <c r="W282" i="52" s="1"/>
  <c r="X282" i="52" s="1"/>
  <c r="Y282" i="52" s="1"/>
  <c r="C283" i="52" s="1"/>
  <c r="D283" i="52" s="1"/>
  <c r="E283" i="52" s="1"/>
  <c r="F283" i="52" s="1"/>
  <c r="G283" i="52" s="1"/>
  <c r="H283" i="52" s="1"/>
  <c r="I283" i="52" s="1"/>
  <c r="J283" i="52" s="1"/>
  <c r="K283" i="52" s="1"/>
  <c r="L283" i="52" s="1"/>
  <c r="M283" i="52" s="1"/>
  <c r="N283" i="52" s="1"/>
  <c r="O283" i="52" s="1"/>
  <c r="P283" i="52" s="1"/>
  <c r="Q283" i="52" s="1"/>
  <c r="R283" i="52" s="1"/>
  <c r="S283" i="52" s="1"/>
  <c r="T283" i="52" s="1"/>
  <c r="U283" i="52" s="1"/>
  <c r="V283" i="52" s="1"/>
  <c r="W283" i="52" s="1"/>
  <c r="X283" i="52" s="1"/>
  <c r="Y283" i="52" s="1"/>
  <c r="C284" i="52" s="1"/>
  <c r="D284" i="52" s="1"/>
  <c r="E284" i="52" s="1"/>
  <c r="F284" i="52" s="1"/>
  <c r="G284" i="52" s="1"/>
  <c r="H284" i="52" s="1"/>
  <c r="I284" i="52" s="1"/>
  <c r="J284" i="52" s="1"/>
  <c r="K284" i="52" s="1"/>
  <c r="L284" i="52" s="1"/>
  <c r="M284" i="52" s="1"/>
  <c r="N284" i="52" s="1"/>
  <c r="O284" i="52" s="1"/>
  <c r="P284" i="52" s="1"/>
  <c r="Q284" i="52" s="1"/>
  <c r="R284" i="52" s="1"/>
  <c r="S284" i="52" s="1"/>
  <c r="T284" i="52" s="1"/>
  <c r="U284" i="52" s="1"/>
  <c r="V284" i="52" s="1"/>
  <c r="W284" i="52" s="1"/>
  <c r="X284" i="52" s="1"/>
  <c r="Y284" i="52" s="1"/>
  <c r="C285" i="52" s="1"/>
  <c r="D285" i="52" s="1"/>
  <c r="E285" i="52" s="1"/>
  <c r="F285" i="52" s="1"/>
  <c r="G285" i="52" s="1"/>
  <c r="H285" i="52" s="1"/>
  <c r="I285" i="52" s="1"/>
  <c r="J285" i="52" s="1"/>
  <c r="K285" i="52" s="1"/>
  <c r="L285" i="52" s="1"/>
  <c r="M285" i="52" s="1"/>
  <c r="N285" i="52" s="1"/>
  <c r="O285" i="52" s="1"/>
  <c r="P285" i="52" s="1"/>
  <c r="Q285" i="52" s="1"/>
  <c r="R285" i="52" s="1"/>
  <c r="S285" i="52" s="1"/>
  <c r="T285" i="52" s="1"/>
  <c r="U285" i="52" s="1"/>
  <c r="V285" i="52" s="1"/>
  <c r="W285" i="52" s="1"/>
  <c r="X285" i="52" s="1"/>
  <c r="Y285" i="52" s="1"/>
  <c r="C286" i="52" s="1"/>
  <c r="D286" i="52" s="1"/>
  <c r="E286" i="52" s="1"/>
  <c r="F286" i="52" s="1"/>
  <c r="G286" i="52" s="1"/>
  <c r="H286" i="52" s="1"/>
  <c r="I286" i="52" s="1"/>
  <c r="J286" i="52" s="1"/>
  <c r="K286" i="52" s="1"/>
  <c r="L286" i="52" s="1"/>
  <c r="M286" i="52" s="1"/>
  <c r="N286" i="52" s="1"/>
  <c r="O286" i="52" s="1"/>
  <c r="P286" i="52" s="1"/>
  <c r="Q286" i="52" s="1"/>
  <c r="R286" i="52" s="1"/>
  <c r="S286" i="52" s="1"/>
  <c r="T286" i="52" s="1"/>
  <c r="U286" i="52" s="1"/>
  <c r="V286" i="52" s="1"/>
  <c r="W286" i="52" s="1"/>
  <c r="X286" i="52" s="1"/>
  <c r="Y286" i="52" s="1"/>
  <c r="I228" i="52"/>
  <c r="I228" i="50"/>
  <c r="C276" i="50"/>
  <c r="D276" i="50" s="1"/>
  <c r="E276" i="50" s="1"/>
  <c r="F276" i="50" s="1"/>
  <c r="G276" i="50" s="1"/>
  <c r="H276" i="50" s="1"/>
  <c r="I276" i="50" s="1"/>
  <c r="J276" i="50" s="1"/>
  <c r="K276" i="50" s="1"/>
  <c r="L276" i="50" s="1"/>
  <c r="M276" i="50" s="1"/>
  <c r="N276" i="50" s="1"/>
  <c r="O276" i="50" s="1"/>
  <c r="P276" i="50" s="1"/>
  <c r="Q276" i="50" s="1"/>
  <c r="R276" i="50" s="1"/>
  <c r="S276" i="50" s="1"/>
  <c r="T276" i="50" s="1"/>
  <c r="U276" i="50" s="1"/>
  <c r="V276" i="50" s="1"/>
  <c r="W276" i="50" s="1"/>
  <c r="X276" i="50" s="1"/>
  <c r="Y276" i="50" s="1"/>
  <c r="C277" i="50" s="1"/>
  <c r="D277" i="50" s="1"/>
  <c r="E277" i="50" s="1"/>
  <c r="F277" i="50" s="1"/>
  <c r="G277" i="50" s="1"/>
  <c r="H277" i="50" s="1"/>
  <c r="I277" i="50" s="1"/>
  <c r="J277" i="50" s="1"/>
  <c r="K277" i="50" s="1"/>
  <c r="L277" i="50" s="1"/>
  <c r="M277" i="50" s="1"/>
  <c r="N277" i="50" s="1"/>
  <c r="O277" i="50" s="1"/>
  <c r="P277" i="50" s="1"/>
  <c r="Q277" i="50" s="1"/>
  <c r="R277" i="50" s="1"/>
  <c r="S277" i="50" s="1"/>
  <c r="T277" i="50" s="1"/>
  <c r="U277" i="50" s="1"/>
  <c r="V277" i="50" s="1"/>
  <c r="W277" i="50" s="1"/>
  <c r="X277" i="50" s="1"/>
  <c r="Y277" i="50" s="1"/>
  <c r="C278" i="50" s="1"/>
  <c r="D278" i="50" s="1"/>
  <c r="E278" i="50" s="1"/>
  <c r="F278" i="50" s="1"/>
  <c r="G278" i="50" s="1"/>
  <c r="H278" i="50" s="1"/>
  <c r="I278" i="50" s="1"/>
  <c r="J278" i="50" s="1"/>
  <c r="K278" i="50" s="1"/>
  <c r="L278" i="50" s="1"/>
  <c r="M278" i="50" s="1"/>
  <c r="N278" i="50" s="1"/>
  <c r="O278" i="50" s="1"/>
  <c r="P278" i="50" s="1"/>
  <c r="Q278" i="50" s="1"/>
  <c r="R278" i="50" s="1"/>
  <c r="S278" i="50" s="1"/>
  <c r="T278" i="50" s="1"/>
  <c r="U278" i="50" s="1"/>
  <c r="V278" i="50" s="1"/>
  <c r="W278" i="50" s="1"/>
  <c r="X278" i="50" s="1"/>
  <c r="Y278" i="50" s="1"/>
  <c r="C279" i="50" s="1"/>
  <c r="D279" i="50" s="1"/>
  <c r="E279" i="50" s="1"/>
  <c r="F279" i="50" s="1"/>
  <c r="G279" i="50" s="1"/>
  <c r="H279" i="50" s="1"/>
  <c r="I279" i="50" s="1"/>
  <c r="J279" i="50" s="1"/>
  <c r="K279" i="50" s="1"/>
  <c r="L279" i="50" s="1"/>
  <c r="M279" i="50" s="1"/>
  <c r="N279" i="50" s="1"/>
  <c r="O279" i="50" s="1"/>
  <c r="P279" i="50" s="1"/>
  <c r="Q279" i="50" s="1"/>
  <c r="R279" i="50" s="1"/>
  <c r="S279" i="50" s="1"/>
  <c r="T279" i="50" s="1"/>
  <c r="U279" i="50" s="1"/>
  <c r="V279" i="50" s="1"/>
  <c r="W279" i="50" s="1"/>
  <c r="X279" i="50" s="1"/>
  <c r="Y279" i="50" s="1"/>
  <c r="C280" i="50" s="1"/>
  <c r="D280" i="50" s="1"/>
  <c r="E280" i="50" s="1"/>
  <c r="F280" i="50" s="1"/>
  <c r="G280" i="50" s="1"/>
  <c r="H280" i="50" s="1"/>
  <c r="I280" i="50" s="1"/>
  <c r="J280" i="50" s="1"/>
  <c r="K280" i="50" s="1"/>
  <c r="L280" i="50" s="1"/>
  <c r="M280" i="50" s="1"/>
  <c r="N280" i="50" s="1"/>
  <c r="O280" i="50" s="1"/>
  <c r="P280" i="50" s="1"/>
  <c r="Q280" i="50" s="1"/>
  <c r="R280" i="50" s="1"/>
  <c r="S280" i="50" s="1"/>
  <c r="T280" i="50" s="1"/>
  <c r="U280" i="50" s="1"/>
  <c r="V280" i="50" s="1"/>
  <c r="W280" i="50" s="1"/>
  <c r="X280" i="50" s="1"/>
  <c r="Y280" i="50" s="1"/>
  <c r="C281" i="50" s="1"/>
  <c r="D281" i="50" s="1"/>
  <c r="E281" i="50" s="1"/>
  <c r="F281" i="50" s="1"/>
  <c r="G281" i="50" s="1"/>
  <c r="H281" i="50" s="1"/>
  <c r="I281" i="50" s="1"/>
  <c r="J281" i="50" s="1"/>
  <c r="K281" i="50" s="1"/>
  <c r="L281" i="50" s="1"/>
  <c r="M281" i="50" s="1"/>
  <c r="N281" i="50" s="1"/>
  <c r="O281" i="50" s="1"/>
  <c r="P281" i="50" s="1"/>
  <c r="Q281" i="50" s="1"/>
  <c r="R281" i="50" s="1"/>
  <c r="S281" i="50" s="1"/>
  <c r="T281" i="50" s="1"/>
  <c r="U281" i="50" s="1"/>
  <c r="V281" i="50" s="1"/>
  <c r="W281" i="50" s="1"/>
  <c r="X281" i="50" s="1"/>
  <c r="Y281" i="50" s="1"/>
  <c r="C282" i="50" s="1"/>
  <c r="D282" i="50" s="1"/>
  <c r="E282" i="50" s="1"/>
  <c r="F282" i="50" s="1"/>
  <c r="G282" i="50" s="1"/>
  <c r="H282" i="50" s="1"/>
  <c r="I282" i="50" s="1"/>
  <c r="J282" i="50" s="1"/>
  <c r="K282" i="50" s="1"/>
  <c r="L282" i="50" s="1"/>
  <c r="M282" i="50" s="1"/>
  <c r="N282" i="50" s="1"/>
  <c r="O282" i="50" s="1"/>
  <c r="P282" i="50" s="1"/>
  <c r="Q282" i="50" s="1"/>
  <c r="R282" i="50" s="1"/>
  <c r="S282" i="50" s="1"/>
  <c r="T282" i="50" s="1"/>
  <c r="U282" i="50" s="1"/>
  <c r="V282" i="50" s="1"/>
  <c r="W282" i="50" s="1"/>
  <c r="X282" i="50" s="1"/>
  <c r="Y282" i="50" s="1"/>
  <c r="C283" i="50" s="1"/>
  <c r="D283" i="50" s="1"/>
  <c r="E283" i="50" s="1"/>
  <c r="F283" i="50" s="1"/>
  <c r="G283" i="50" s="1"/>
  <c r="H283" i="50" s="1"/>
  <c r="I283" i="50" s="1"/>
  <c r="J283" i="50" s="1"/>
  <c r="K283" i="50" s="1"/>
  <c r="L283" i="50" s="1"/>
  <c r="M283" i="50" s="1"/>
  <c r="N283" i="50" s="1"/>
  <c r="O283" i="50" s="1"/>
  <c r="P283" i="50" s="1"/>
  <c r="Q283" i="50" s="1"/>
  <c r="R283" i="50" s="1"/>
  <c r="S283" i="50" s="1"/>
  <c r="T283" i="50" s="1"/>
  <c r="U283" i="50" s="1"/>
  <c r="V283" i="50" s="1"/>
  <c r="W283" i="50" s="1"/>
  <c r="X283" i="50" s="1"/>
  <c r="Y283" i="50" s="1"/>
  <c r="C284" i="50" s="1"/>
  <c r="D284" i="50" s="1"/>
  <c r="E284" i="50" s="1"/>
  <c r="F284" i="50" s="1"/>
  <c r="G284" i="50" s="1"/>
  <c r="H284" i="50" s="1"/>
  <c r="I284" i="50" s="1"/>
  <c r="J284" i="50" s="1"/>
  <c r="K284" i="50" s="1"/>
  <c r="L284" i="50" s="1"/>
  <c r="M284" i="50" s="1"/>
  <c r="N284" i="50" s="1"/>
  <c r="O284" i="50" s="1"/>
  <c r="P284" i="50" s="1"/>
  <c r="Q284" i="50" s="1"/>
  <c r="R284" i="50" s="1"/>
  <c r="S284" i="50" s="1"/>
  <c r="T284" i="50" s="1"/>
  <c r="U284" i="50" s="1"/>
  <c r="V284" i="50" s="1"/>
  <c r="W284" i="50" s="1"/>
  <c r="X284" i="50" s="1"/>
  <c r="Y284" i="50" s="1"/>
  <c r="C285" i="50" s="1"/>
  <c r="D285" i="50" s="1"/>
  <c r="E285" i="50" s="1"/>
  <c r="F285" i="50" s="1"/>
  <c r="G285" i="50" s="1"/>
  <c r="H285" i="50" s="1"/>
  <c r="I285" i="50" s="1"/>
  <c r="J285" i="50" s="1"/>
  <c r="K285" i="50" s="1"/>
  <c r="L285" i="50" s="1"/>
  <c r="M285" i="50" s="1"/>
  <c r="N285" i="50" s="1"/>
  <c r="O285" i="50" s="1"/>
  <c r="P285" i="50" s="1"/>
  <c r="Q285" i="50" s="1"/>
  <c r="R285" i="50" s="1"/>
  <c r="S285" i="50" s="1"/>
  <c r="T285" i="50" s="1"/>
  <c r="U285" i="50" s="1"/>
  <c r="V285" i="50" s="1"/>
  <c r="W285" i="50" s="1"/>
  <c r="X285" i="50" s="1"/>
  <c r="Y285" i="50" s="1"/>
  <c r="C286" i="50" s="1"/>
  <c r="D286" i="50" s="1"/>
  <c r="E286" i="50" s="1"/>
  <c r="F286" i="50" s="1"/>
  <c r="G286" i="50" s="1"/>
  <c r="H286" i="50" s="1"/>
  <c r="I286" i="50" s="1"/>
  <c r="J286" i="50" s="1"/>
  <c r="K286" i="50" s="1"/>
  <c r="L286" i="50" s="1"/>
  <c r="M286" i="50" s="1"/>
  <c r="N286" i="50" s="1"/>
  <c r="O286" i="50" s="1"/>
  <c r="P286" i="50" s="1"/>
  <c r="Q286" i="50" s="1"/>
  <c r="R286" i="50" s="1"/>
  <c r="S286" i="50" s="1"/>
  <c r="T286" i="50" s="1"/>
  <c r="U286" i="50" s="1"/>
  <c r="V286" i="50" s="1"/>
  <c r="W286" i="50" s="1"/>
  <c r="X286" i="50" s="1"/>
  <c r="Y286" i="50" s="1"/>
  <c r="I184" i="50"/>
  <c r="I184" i="48"/>
  <c r="I228" i="48"/>
  <c r="C275" i="48"/>
  <c r="D275" i="48" s="1"/>
  <c r="E275" i="48" s="1"/>
  <c r="F275" i="48" s="1"/>
  <c r="G275" i="48" s="1"/>
  <c r="H275" i="48" s="1"/>
  <c r="I275" i="48" s="1"/>
  <c r="J275" i="48" s="1"/>
  <c r="K275" i="48" s="1"/>
  <c r="L275" i="48" s="1"/>
  <c r="M275" i="48" s="1"/>
  <c r="N275" i="48" s="1"/>
  <c r="O275" i="48" s="1"/>
  <c r="P275" i="48" s="1"/>
  <c r="Q275" i="48" s="1"/>
  <c r="R275" i="48" s="1"/>
  <c r="S275" i="48" s="1"/>
  <c r="T275" i="48" s="1"/>
  <c r="U275" i="48" s="1"/>
  <c r="V275" i="48" s="1"/>
  <c r="W275" i="48" s="1"/>
  <c r="X275" i="48" s="1"/>
  <c r="Y275" i="48" s="1"/>
  <c r="C276" i="48" s="1"/>
  <c r="D276" i="48" s="1"/>
  <c r="E276" i="48" s="1"/>
  <c r="F276" i="48" s="1"/>
  <c r="G276" i="48" s="1"/>
  <c r="H276" i="48" s="1"/>
  <c r="I276" i="48" s="1"/>
  <c r="J276" i="48" s="1"/>
  <c r="K276" i="48" s="1"/>
  <c r="L276" i="48" s="1"/>
  <c r="M276" i="48" s="1"/>
  <c r="N276" i="48" s="1"/>
  <c r="O276" i="48" s="1"/>
  <c r="P276" i="48" s="1"/>
  <c r="Q276" i="48" s="1"/>
  <c r="R276" i="48" s="1"/>
  <c r="S276" i="48" s="1"/>
  <c r="T276" i="48" s="1"/>
  <c r="U276" i="48" s="1"/>
  <c r="V276" i="48" s="1"/>
  <c r="W276" i="48" s="1"/>
  <c r="X276" i="48" s="1"/>
  <c r="Y276" i="48" s="1"/>
  <c r="C277" i="48" s="1"/>
  <c r="D277" i="48" s="1"/>
  <c r="E277" i="48" s="1"/>
  <c r="F277" i="48" s="1"/>
  <c r="G277" i="48" s="1"/>
  <c r="H277" i="48" s="1"/>
  <c r="I277" i="48" s="1"/>
  <c r="J277" i="48" s="1"/>
  <c r="K277" i="48" s="1"/>
  <c r="L277" i="48" s="1"/>
  <c r="M277" i="48" s="1"/>
  <c r="N277" i="48" s="1"/>
  <c r="O277" i="48" s="1"/>
  <c r="P277" i="48" s="1"/>
  <c r="Q277" i="48" s="1"/>
  <c r="R277" i="48" s="1"/>
  <c r="S277" i="48" s="1"/>
  <c r="T277" i="48" s="1"/>
  <c r="U277" i="48" s="1"/>
  <c r="V277" i="48" s="1"/>
  <c r="W277" i="48" s="1"/>
  <c r="X277" i="48" s="1"/>
  <c r="Y277" i="48" s="1"/>
  <c r="C278" i="48" s="1"/>
  <c r="D278" i="48" s="1"/>
  <c r="E278" i="48" s="1"/>
  <c r="F278" i="48" s="1"/>
  <c r="G278" i="48" s="1"/>
  <c r="H278" i="48" s="1"/>
  <c r="I278" i="48" s="1"/>
  <c r="J278" i="48" s="1"/>
  <c r="K278" i="48" s="1"/>
  <c r="L278" i="48" s="1"/>
  <c r="M278" i="48" s="1"/>
  <c r="N278" i="48" s="1"/>
  <c r="O278" i="48" s="1"/>
  <c r="P278" i="48" s="1"/>
  <c r="Q278" i="48" s="1"/>
  <c r="R278" i="48" s="1"/>
  <c r="S278" i="48" s="1"/>
  <c r="T278" i="48" s="1"/>
  <c r="U278" i="48" s="1"/>
  <c r="V278" i="48" s="1"/>
  <c r="W278" i="48" s="1"/>
  <c r="X278" i="48" s="1"/>
  <c r="Y278" i="48" s="1"/>
  <c r="C279" i="48" s="1"/>
  <c r="D279" i="48" s="1"/>
  <c r="E279" i="48" s="1"/>
  <c r="F279" i="48" s="1"/>
  <c r="G279" i="48" s="1"/>
  <c r="H279" i="48" s="1"/>
  <c r="I279" i="48" s="1"/>
  <c r="J279" i="48" s="1"/>
  <c r="K279" i="48" s="1"/>
  <c r="L279" i="48" s="1"/>
  <c r="M279" i="48" s="1"/>
  <c r="N279" i="48" s="1"/>
  <c r="O279" i="48" s="1"/>
  <c r="P279" i="48" s="1"/>
  <c r="Q279" i="48" s="1"/>
  <c r="R279" i="48" s="1"/>
  <c r="S279" i="48" s="1"/>
  <c r="T279" i="48" s="1"/>
  <c r="U279" i="48" s="1"/>
  <c r="V279" i="48" s="1"/>
  <c r="W279" i="48" s="1"/>
  <c r="X279" i="48" s="1"/>
  <c r="Y279" i="48" s="1"/>
  <c r="C280" i="48" s="1"/>
  <c r="D280" i="48" s="1"/>
  <c r="E280" i="48" s="1"/>
  <c r="F280" i="48" s="1"/>
  <c r="G280" i="48" s="1"/>
  <c r="H280" i="48" s="1"/>
  <c r="I280" i="48" s="1"/>
  <c r="J280" i="48" s="1"/>
  <c r="K280" i="48" s="1"/>
  <c r="L280" i="48" s="1"/>
  <c r="M280" i="48" s="1"/>
  <c r="N280" i="48" s="1"/>
  <c r="O280" i="48" s="1"/>
  <c r="P280" i="48" s="1"/>
  <c r="Q280" i="48" s="1"/>
  <c r="R280" i="48" s="1"/>
  <c r="S280" i="48" s="1"/>
  <c r="T280" i="48" s="1"/>
  <c r="U280" i="48" s="1"/>
  <c r="V280" i="48" s="1"/>
  <c r="W280" i="48" s="1"/>
  <c r="X280" i="48" s="1"/>
  <c r="Y280" i="48" s="1"/>
  <c r="C281" i="48" s="1"/>
  <c r="D281" i="48" s="1"/>
  <c r="E281" i="48" s="1"/>
  <c r="F281" i="48" s="1"/>
  <c r="G281" i="48" s="1"/>
  <c r="H281" i="48" s="1"/>
  <c r="I281" i="48" s="1"/>
  <c r="J281" i="48" s="1"/>
  <c r="K281" i="48" s="1"/>
  <c r="L281" i="48" s="1"/>
  <c r="M281" i="48" s="1"/>
  <c r="N281" i="48" s="1"/>
  <c r="O281" i="48" s="1"/>
  <c r="P281" i="48" s="1"/>
  <c r="Q281" i="48" s="1"/>
  <c r="R281" i="48" s="1"/>
  <c r="S281" i="48" s="1"/>
  <c r="T281" i="48" s="1"/>
  <c r="U281" i="48" s="1"/>
  <c r="V281" i="48" s="1"/>
  <c r="W281" i="48" s="1"/>
  <c r="X281" i="48" s="1"/>
  <c r="Y281" i="48" s="1"/>
  <c r="C282" i="48" s="1"/>
  <c r="D282" i="48" s="1"/>
  <c r="E282" i="48" s="1"/>
  <c r="F282" i="48" s="1"/>
  <c r="G282" i="48" s="1"/>
  <c r="H282" i="48" s="1"/>
  <c r="I282" i="48" s="1"/>
  <c r="J282" i="48" s="1"/>
  <c r="K282" i="48" s="1"/>
  <c r="L282" i="48" s="1"/>
  <c r="M282" i="48" s="1"/>
  <c r="N282" i="48" s="1"/>
  <c r="O282" i="48" s="1"/>
  <c r="P282" i="48" s="1"/>
  <c r="Q282" i="48" s="1"/>
  <c r="R282" i="48" s="1"/>
  <c r="S282" i="48" s="1"/>
  <c r="T282" i="48" s="1"/>
  <c r="U282" i="48" s="1"/>
  <c r="V282" i="48" s="1"/>
  <c r="W282" i="48" s="1"/>
  <c r="X282" i="48" s="1"/>
  <c r="Y282" i="48" s="1"/>
  <c r="C283" i="48" s="1"/>
  <c r="D283" i="48" s="1"/>
  <c r="E283" i="48" s="1"/>
  <c r="F283" i="48" s="1"/>
  <c r="G283" i="48" s="1"/>
  <c r="H283" i="48" s="1"/>
  <c r="I283" i="48" s="1"/>
  <c r="J283" i="48" s="1"/>
  <c r="K283" i="48" s="1"/>
  <c r="L283" i="48" s="1"/>
  <c r="M283" i="48" s="1"/>
  <c r="N283" i="48" s="1"/>
  <c r="O283" i="48" s="1"/>
  <c r="P283" i="48" s="1"/>
  <c r="Q283" i="48" s="1"/>
  <c r="R283" i="48" s="1"/>
  <c r="S283" i="48" s="1"/>
  <c r="T283" i="48" s="1"/>
  <c r="U283" i="48" s="1"/>
  <c r="V283" i="48" s="1"/>
  <c r="W283" i="48" s="1"/>
  <c r="X283" i="48" s="1"/>
  <c r="Y283" i="48" s="1"/>
  <c r="C284" i="48" s="1"/>
  <c r="D284" i="48" s="1"/>
  <c r="E284" i="48" s="1"/>
  <c r="F284" i="48" s="1"/>
  <c r="G284" i="48" s="1"/>
  <c r="H284" i="48" s="1"/>
  <c r="I284" i="48" s="1"/>
  <c r="J284" i="48" s="1"/>
  <c r="K284" i="48" s="1"/>
  <c r="L284" i="48" s="1"/>
  <c r="M284" i="48" s="1"/>
  <c r="N284" i="48" s="1"/>
  <c r="O284" i="48" s="1"/>
  <c r="P284" i="48" s="1"/>
  <c r="Q284" i="48" s="1"/>
  <c r="R284" i="48" s="1"/>
  <c r="S284" i="48" s="1"/>
  <c r="T284" i="48" s="1"/>
  <c r="U284" i="48" s="1"/>
  <c r="V284" i="48" s="1"/>
  <c r="W284" i="48" s="1"/>
  <c r="X284" i="48" s="1"/>
  <c r="Y284" i="48" s="1"/>
  <c r="C285" i="48" s="1"/>
  <c r="D285" i="48" s="1"/>
  <c r="E285" i="48" s="1"/>
  <c r="F285" i="48" s="1"/>
  <c r="G285" i="48" s="1"/>
  <c r="H285" i="48" s="1"/>
  <c r="I285" i="48" s="1"/>
  <c r="J285" i="48" s="1"/>
  <c r="K285" i="48" s="1"/>
  <c r="L285" i="48" s="1"/>
  <c r="M285" i="48" s="1"/>
  <c r="N285" i="48" s="1"/>
  <c r="O285" i="48" s="1"/>
  <c r="P285" i="48" s="1"/>
  <c r="Q285" i="48" s="1"/>
  <c r="R285" i="48" s="1"/>
  <c r="S285" i="48" s="1"/>
  <c r="T285" i="48" s="1"/>
  <c r="U285" i="48" s="1"/>
  <c r="V285" i="48" s="1"/>
  <c r="W285" i="48" s="1"/>
  <c r="X285" i="48" s="1"/>
  <c r="Y285" i="48" s="1"/>
  <c r="C286" i="48" s="1"/>
  <c r="D286" i="48" s="1"/>
  <c r="E286" i="48" s="1"/>
  <c r="F286" i="48" s="1"/>
  <c r="G286" i="48" s="1"/>
  <c r="H286" i="48" s="1"/>
  <c r="I286" i="48" s="1"/>
  <c r="J286" i="48" s="1"/>
  <c r="K286" i="48" s="1"/>
  <c r="L286" i="48" s="1"/>
  <c r="M286" i="48" s="1"/>
  <c r="N286" i="48" s="1"/>
  <c r="O286" i="48" s="1"/>
  <c r="P286" i="48" s="1"/>
  <c r="Q286" i="48" s="1"/>
  <c r="R286" i="48" s="1"/>
  <c r="S286" i="48" s="1"/>
  <c r="T286" i="48" s="1"/>
  <c r="U286" i="48" s="1"/>
  <c r="V286" i="48" s="1"/>
  <c r="W286" i="48" s="1"/>
  <c r="X286" i="48" s="1"/>
  <c r="Y286" i="48" s="1"/>
  <c r="I184" i="47"/>
  <c r="C274" i="47"/>
  <c r="D274" i="47" s="1"/>
  <c r="E274" i="47" s="1"/>
  <c r="F274" i="47" s="1"/>
  <c r="G274" i="47" s="1"/>
  <c r="H274" i="47" s="1"/>
  <c r="I274" i="47" s="1"/>
  <c r="J274" i="47" s="1"/>
  <c r="K274" i="47" s="1"/>
  <c r="L274" i="47" s="1"/>
  <c r="M274" i="47" s="1"/>
  <c r="N274" i="47" s="1"/>
  <c r="O274" i="47" s="1"/>
  <c r="P274" i="47" s="1"/>
  <c r="Q274" i="47" s="1"/>
  <c r="R274" i="47" s="1"/>
  <c r="S274" i="47" s="1"/>
  <c r="T274" i="47" s="1"/>
  <c r="U274" i="47" s="1"/>
  <c r="V274" i="47" s="1"/>
  <c r="W274" i="47" s="1"/>
  <c r="X274" i="47" s="1"/>
  <c r="Y274" i="47" s="1"/>
  <c r="C275" i="47" s="1"/>
  <c r="D275" i="47" s="1"/>
  <c r="E275" i="47" s="1"/>
  <c r="F275" i="47" s="1"/>
  <c r="G275" i="47" s="1"/>
  <c r="H275" i="47" s="1"/>
  <c r="I275" i="47" s="1"/>
  <c r="J275" i="47" s="1"/>
  <c r="K275" i="47" s="1"/>
  <c r="L275" i="47" s="1"/>
  <c r="M275" i="47" s="1"/>
  <c r="N275" i="47" s="1"/>
  <c r="O275" i="47" s="1"/>
  <c r="P275" i="47" s="1"/>
  <c r="Q275" i="47" s="1"/>
  <c r="R275" i="47" s="1"/>
  <c r="S275" i="47" s="1"/>
  <c r="T275" i="47" s="1"/>
  <c r="U275" i="47" s="1"/>
  <c r="V275" i="47" s="1"/>
  <c r="W275" i="47" s="1"/>
  <c r="X275" i="47" s="1"/>
  <c r="Y275" i="47" s="1"/>
  <c r="C276" i="47" s="1"/>
  <c r="D276" i="47" s="1"/>
  <c r="E276" i="47" s="1"/>
  <c r="F276" i="47" s="1"/>
  <c r="G276" i="47" s="1"/>
  <c r="H276" i="47" s="1"/>
  <c r="I276" i="47" s="1"/>
  <c r="J276" i="47" s="1"/>
  <c r="K276" i="47" s="1"/>
  <c r="L276" i="47" s="1"/>
  <c r="M276" i="47" s="1"/>
  <c r="N276" i="47" s="1"/>
  <c r="O276" i="47" s="1"/>
  <c r="P276" i="47" s="1"/>
  <c r="Q276" i="47" s="1"/>
  <c r="R276" i="47" s="1"/>
  <c r="S276" i="47" s="1"/>
  <c r="T276" i="47" s="1"/>
  <c r="U276" i="47" s="1"/>
  <c r="V276" i="47" s="1"/>
  <c r="W276" i="47" s="1"/>
  <c r="X276" i="47" s="1"/>
  <c r="Y276" i="47" s="1"/>
  <c r="C277" i="47" s="1"/>
  <c r="D277" i="47" s="1"/>
  <c r="E277" i="47" s="1"/>
  <c r="F277" i="47" s="1"/>
  <c r="G277" i="47" s="1"/>
  <c r="H277" i="47" s="1"/>
  <c r="I277" i="47" s="1"/>
  <c r="J277" i="47" s="1"/>
  <c r="K277" i="47" s="1"/>
  <c r="L277" i="47" s="1"/>
  <c r="M277" i="47" s="1"/>
  <c r="N277" i="47" s="1"/>
  <c r="O277" i="47" s="1"/>
  <c r="P277" i="47" s="1"/>
  <c r="Q277" i="47" s="1"/>
  <c r="R277" i="47" s="1"/>
  <c r="S277" i="47" s="1"/>
  <c r="T277" i="47" s="1"/>
  <c r="U277" i="47" s="1"/>
  <c r="V277" i="47" s="1"/>
  <c r="W277" i="47" s="1"/>
  <c r="X277" i="47" s="1"/>
  <c r="Y277" i="47" s="1"/>
  <c r="C278" i="47" s="1"/>
  <c r="D278" i="47" s="1"/>
  <c r="E278" i="47" s="1"/>
  <c r="F278" i="47" s="1"/>
  <c r="G278" i="47" s="1"/>
  <c r="H278" i="47" s="1"/>
  <c r="I278" i="47" s="1"/>
  <c r="J278" i="47" s="1"/>
  <c r="K278" i="47" s="1"/>
  <c r="L278" i="47" s="1"/>
  <c r="M278" i="47" s="1"/>
  <c r="N278" i="47" s="1"/>
  <c r="O278" i="47" s="1"/>
  <c r="P278" i="47" s="1"/>
  <c r="Q278" i="47" s="1"/>
  <c r="R278" i="47" s="1"/>
  <c r="S278" i="47" s="1"/>
  <c r="T278" i="47" s="1"/>
  <c r="U278" i="47" s="1"/>
  <c r="V278" i="47" s="1"/>
  <c r="W278" i="47" s="1"/>
  <c r="X278" i="47" s="1"/>
  <c r="Y278" i="47" s="1"/>
  <c r="C279" i="47" s="1"/>
  <c r="D279" i="47" s="1"/>
  <c r="E279" i="47" s="1"/>
  <c r="F279" i="47" s="1"/>
  <c r="G279" i="47" s="1"/>
  <c r="H279" i="47" s="1"/>
  <c r="I279" i="47" s="1"/>
  <c r="J279" i="47" s="1"/>
  <c r="K279" i="47" s="1"/>
  <c r="L279" i="47" s="1"/>
  <c r="M279" i="47" s="1"/>
  <c r="N279" i="47" s="1"/>
  <c r="O279" i="47" s="1"/>
  <c r="P279" i="47" s="1"/>
  <c r="Q279" i="47" s="1"/>
  <c r="R279" i="47" s="1"/>
  <c r="S279" i="47" s="1"/>
  <c r="T279" i="47" s="1"/>
  <c r="U279" i="47" s="1"/>
  <c r="V279" i="47" s="1"/>
  <c r="W279" i="47" s="1"/>
  <c r="X279" i="47" s="1"/>
  <c r="Y279" i="47" s="1"/>
  <c r="C280" i="47" s="1"/>
  <c r="D280" i="47" s="1"/>
  <c r="E280" i="47" s="1"/>
  <c r="F280" i="47" s="1"/>
  <c r="G280" i="47" s="1"/>
  <c r="H280" i="47" s="1"/>
  <c r="I280" i="47" s="1"/>
  <c r="J280" i="47" s="1"/>
  <c r="K280" i="47" s="1"/>
  <c r="L280" i="47" s="1"/>
  <c r="M280" i="47" s="1"/>
  <c r="N280" i="47" s="1"/>
  <c r="O280" i="47" s="1"/>
  <c r="P280" i="47" s="1"/>
  <c r="Q280" i="47" s="1"/>
  <c r="R280" i="47" s="1"/>
  <c r="S280" i="47" s="1"/>
  <c r="T280" i="47" s="1"/>
  <c r="U280" i="47" s="1"/>
  <c r="V280" i="47" s="1"/>
  <c r="W280" i="47" s="1"/>
  <c r="X280" i="47" s="1"/>
  <c r="Y280" i="47" s="1"/>
  <c r="C281" i="47" s="1"/>
  <c r="D281" i="47" s="1"/>
  <c r="E281" i="47" s="1"/>
  <c r="F281" i="47" s="1"/>
  <c r="G281" i="47" s="1"/>
  <c r="H281" i="47" s="1"/>
  <c r="I281" i="47" s="1"/>
  <c r="J281" i="47" s="1"/>
  <c r="K281" i="47" s="1"/>
  <c r="L281" i="47" s="1"/>
  <c r="M281" i="47" s="1"/>
  <c r="N281" i="47" s="1"/>
  <c r="O281" i="47" s="1"/>
  <c r="P281" i="47" s="1"/>
  <c r="Q281" i="47" s="1"/>
  <c r="R281" i="47" s="1"/>
  <c r="S281" i="47" s="1"/>
  <c r="T281" i="47" s="1"/>
  <c r="U281" i="47" s="1"/>
  <c r="V281" i="47" s="1"/>
  <c r="W281" i="47" s="1"/>
  <c r="X281" i="47" s="1"/>
  <c r="Y281" i="47" s="1"/>
  <c r="C282" i="47" s="1"/>
  <c r="D282" i="47" s="1"/>
  <c r="E282" i="47" s="1"/>
  <c r="F282" i="47" s="1"/>
  <c r="G282" i="47" s="1"/>
  <c r="H282" i="47" s="1"/>
  <c r="I282" i="47" s="1"/>
  <c r="J282" i="47" s="1"/>
  <c r="K282" i="47" s="1"/>
  <c r="L282" i="47" s="1"/>
  <c r="M282" i="47" s="1"/>
  <c r="N282" i="47" s="1"/>
  <c r="O282" i="47" s="1"/>
  <c r="P282" i="47" s="1"/>
  <c r="Q282" i="47" s="1"/>
  <c r="R282" i="47" s="1"/>
  <c r="S282" i="47" s="1"/>
  <c r="T282" i="47" s="1"/>
  <c r="U282" i="47" s="1"/>
  <c r="V282" i="47" s="1"/>
  <c r="W282" i="47" s="1"/>
  <c r="X282" i="47" s="1"/>
  <c r="Y282" i="47" s="1"/>
  <c r="C283" i="47" s="1"/>
  <c r="D283" i="47" s="1"/>
  <c r="E283" i="47" s="1"/>
  <c r="F283" i="47" s="1"/>
  <c r="G283" i="47" s="1"/>
  <c r="H283" i="47" s="1"/>
  <c r="I283" i="47" s="1"/>
  <c r="J283" i="47" s="1"/>
  <c r="K283" i="47" s="1"/>
  <c r="L283" i="47" s="1"/>
  <c r="M283" i="47" s="1"/>
  <c r="N283" i="47" s="1"/>
  <c r="O283" i="47" s="1"/>
  <c r="P283" i="47" s="1"/>
  <c r="Q283" i="47" s="1"/>
  <c r="R283" i="47" s="1"/>
  <c r="S283" i="47" s="1"/>
  <c r="T283" i="47" s="1"/>
  <c r="U283" i="47" s="1"/>
  <c r="V283" i="47" s="1"/>
  <c r="W283" i="47" s="1"/>
  <c r="X283" i="47" s="1"/>
  <c r="Y283" i="47" s="1"/>
  <c r="C284" i="47" s="1"/>
  <c r="D284" i="47" s="1"/>
  <c r="E284" i="47" s="1"/>
  <c r="F284" i="47" s="1"/>
  <c r="G284" i="47" s="1"/>
  <c r="H284" i="47" s="1"/>
  <c r="I284" i="47" s="1"/>
  <c r="J284" i="47" s="1"/>
  <c r="K284" i="47" s="1"/>
  <c r="L284" i="47" s="1"/>
  <c r="M284" i="47" s="1"/>
  <c r="N284" i="47" s="1"/>
  <c r="O284" i="47" s="1"/>
  <c r="P284" i="47" s="1"/>
  <c r="Q284" i="47" s="1"/>
  <c r="R284" i="47" s="1"/>
  <c r="S284" i="47" s="1"/>
  <c r="T284" i="47" s="1"/>
  <c r="U284" i="47" s="1"/>
  <c r="V284" i="47" s="1"/>
  <c r="W284" i="47" s="1"/>
  <c r="X284" i="47" s="1"/>
  <c r="Y284" i="47" s="1"/>
  <c r="C285" i="47" s="1"/>
  <c r="D285" i="47" s="1"/>
  <c r="E285" i="47" s="1"/>
  <c r="F285" i="47" s="1"/>
  <c r="G285" i="47" s="1"/>
  <c r="H285" i="47" s="1"/>
  <c r="I285" i="47" s="1"/>
  <c r="J285" i="47" s="1"/>
  <c r="K285" i="47" s="1"/>
  <c r="L285" i="47" s="1"/>
  <c r="M285" i="47" s="1"/>
  <c r="N285" i="47" s="1"/>
  <c r="O285" i="47" s="1"/>
  <c r="P285" i="47" s="1"/>
  <c r="Q285" i="47" s="1"/>
  <c r="R285" i="47" s="1"/>
  <c r="S285" i="47" s="1"/>
  <c r="T285" i="47" s="1"/>
  <c r="U285" i="47" s="1"/>
  <c r="V285" i="47" s="1"/>
  <c r="W285" i="47" s="1"/>
  <c r="X285" i="47" s="1"/>
  <c r="Y285" i="47" s="1"/>
  <c r="C286" i="47" s="1"/>
  <c r="D286" i="47" s="1"/>
  <c r="E286" i="47" s="1"/>
  <c r="F286" i="47" s="1"/>
  <c r="G286" i="47" s="1"/>
  <c r="H286" i="47" s="1"/>
  <c r="I286" i="47" s="1"/>
  <c r="J286" i="47" s="1"/>
  <c r="K286" i="47" s="1"/>
  <c r="L286" i="47" s="1"/>
  <c r="M286" i="47" s="1"/>
  <c r="N286" i="47" s="1"/>
  <c r="O286" i="47" s="1"/>
  <c r="P286" i="47" s="1"/>
  <c r="Q286" i="47" s="1"/>
  <c r="R286" i="47" s="1"/>
  <c r="S286" i="47" s="1"/>
  <c r="T286" i="47" s="1"/>
  <c r="U286" i="47" s="1"/>
  <c r="V286" i="47" s="1"/>
  <c r="W286" i="47" s="1"/>
  <c r="X286" i="47" s="1"/>
  <c r="Y286" i="47" s="1"/>
  <c r="I228" i="47"/>
  <c r="I184" i="46"/>
  <c r="C273" i="46"/>
  <c r="D273" i="46" s="1"/>
  <c r="E273" i="46" s="1"/>
  <c r="F273" i="46" s="1"/>
  <c r="G273" i="46" s="1"/>
  <c r="H273" i="46" s="1"/>
  <c r="I273" i="46" s="1"/>
  <c r="J273" i="46" s="1"/>
  <c r="K273" i="46" s="1"/>
  <c r="L273" i="46" s="1"/>
  <c r="M273" i="46" s="1"/>
  <c r="N273" i="46" s="1"/>
  <c r="O273" i="46" s="1"/>
  <c r="P273" i="46" s="1"/>
  <c r="Q273" i="46" s="1"/>
  <c r="R273" i="46" s="1"/>
  <c r="S273" i="46" s="1"/>
  <c r="T273" i="46" s="1"/>
  <c r="U273" i="46" s="1"/>
  <c r="V273" i="46" s="1"/>
  <c r="W273" i="46" s="1"/>
  <c r="X273" i="46" s="1"/>
  <c r="Y273" i="46" s="1"/>
  <c r="C274" i="46" s="1"/>
  <c r="D274" i="46" s="1"/>
  <c r="E274" i="46" s="1"/>
  <c r="F274" i="46" s="1"/>
  <c r="G274" i="46" s="1"/>
  <c r="H274" i="46" s="1"/>
  <c r="I274" i="46" s="1"/>
  <c r="J274" i="46" s="1"/>
  <c r="K274" i="46" s="1"/>
  <c r="L274" i="46" s="1"/>
  <c r="M274" i="46" s="1"/>
  <c r="N274" i="46" s="1"/>
  <c r="O274" i="46" s="1"/>
  <c r="P274" i="46" s="1"/>
  <c r="Q274" i="46" s="1"/>
  <c r="R274" i="46" s="1"/>
  <c r="S274" i="46" s="1"/>
  <c r="T274" i="46" s="1"/>
  <c r="U274" i="46" s="1"/>
  <c r="V274" i="46" s="1"/>
  <c r="W274" i="46" s="1"/>
  <c r="X274" i="46" s="1"/>
  <c r="Y274" i="46" s="1"/>
  <c r="C275" i="46" s="1"/>
  <c r="D275" i="46" s="1"/>
  <c r="E275" i="46" s="1"/>
  <c r="F275" i="46" s="1"/>
  <c r="G275" i="46" s="1"/>
  <c r="H275" i="46" s="1"/>
  <c r="I275" i="46" s="1"/>
  <c r="J275" i="46" s="1"/>
  <c r="K275" i="46" s="1"/>
  <c r="L275" i="46" s="1"/>
  <c r="M275" i="46" s="1"/>
  <c r="N275" i="46" s="1"/>
  <c r="O275" i="46" s="1"/>
  <c r="P275" i="46" s="1"/>
  <c r="Q275" i="46" s="1"/>
  <c r="R275" i="46" s="1"/>
  <c r="S275" i="46" s="1"/>
  <c r="T275" i="46" s="1"/>
  <c r="U275" i="46" s="1"/>
  <c r="V275" i="46" s="1"/>
  <c r="W275" i="46" s="1"/>
  <c r="X275" i="46" s="1"/>
  <c r="Y275" i="46" s="1"/>
  <c r="C276" i="46" s="1"/>
  <c r="D276" i="46" s="1"/>
  <c r="E276" i="46" s="1"/>
  <c r="F276" i="46" s="1"/>
  <c r="G276" i="46" s="1"/>
  <c r="H276" i="46" s="1"/>
  <c r="I276" i="46" s="1"/>
  <c r="J276" i="46" s="1"/>
  <c r="K276" i="46" s="1"/>
  <c r="L276" i="46" s="1"/>
  <c r="M276" i="46" s="1"/>
  <c r="N276" i="46" s="1"/>
  <c r="O276" i="46" s="1"/>
  <c r="P276" i="46" s="1"/>
  <c r="Q276" i="46" s="1"/>
  <c r="R276" i="46" s="1"/>
  <c r="S276" i="46" s="1"/>
  <c r="T276" i="46" s="1"/>
  <c r="U276" i="46" s="1"/>
  <c r="V276" i="46" s="1"/>
  <c r="W276" i="46" s="1"/>
  <c r="X276" i="46" s="1"/>
  <c r="Y276" i="46" s="1"/>
  <c r="C277" i="46" s="1"/>
  <c r="D277" i="46" s="1"/>
  <c r="E277" i="46" s="1"/>
  <c r="F277" i="46" s="1"/>
  <c r="G277" i="46" s="1"/>
  <c r="H277" i="46" s="1"/>
  <c r="I277" i="46" s="1"/>
  <c r="J277" i="46" s="1"/>
  <c r="K277" i="46" s="1"/>
  <c r="L277" i="46" s="1"/>
  <c r="M277" i="46" s="1"/>
  <c r="N277" i="46" s="1"/>
  <c r="O277" i="46" s="1"/>
  <c r="P277" i="46" s="1"/>
  <c r="Q277" i="46" s="1"/>
  <c r="R277" i="46" s="1"/>
  <c r="S277" i="46" s="1"/>
  <c r="T277" i="46" s="1"/>
  <c r="U277" i="46" s="1"/>
  <c r="V277" i="46" s="1"/>
  <c r="W277" i="46" s="1"/>
  <c r="X277" i="46" s="1"/>
  <c r="Y277" i="46" s="1"/>
  <c r="C278" i="46" s="1"/>
  <c r="D278" i="46" s="1"/>
  <c r="E278" i="46" s="1"/>
  <c r="F278" i="46" s="1"/>
  <c r="G278" i="46" s="1"/>
  <c r="H278" i="46" s="1"/>
  <c r="I278" i="46" s="1"/>
  <c r="J278" i="46" s="1"/>
  <c r="K278" i="46" s="1"/>
  <c r="L278" i="46" s="1"/>
  <c r="M278" i="46" s="1"/>
  <c r="N278" i="46" s="1"/>
  <c r="O278" i="46" s="1"/>
  <c r="P278" i="46" s="1"/>
  <c r="Q278" i="46" s="1"/>
  <c r="R278" i="46" s="1"/>
  <c r="S278" i="46" s="1"/>
  <c r="T278" i="46" s="1"/>
  <c r="U278" i="46" s="1"/>
  <c r="V278" i="46" s="1"/>
  <c r="W278" i="46" s="1"/>
  <c r="X278" i="46" s="1"/>
  <c r="Y278" i="46" s="1"/>
  <c r="C279" i="46" s="1"/>
  <c r="D279" i="46" s="1"/>
  <c r="E279" i="46" s="1"/>
  <c r="F279" i="46" s="1"/>
  <c r="G279" i="46" s="1"/>
  <c r="H279" i="46" s="1"/>
  <c r="I279" i="46" s="1"/>
  <c r="J279" i="46" s="1"/>
  <c r="K279" i="46" s="1"/>
  <c r="L279" i="46" s="1"/>
  <c r="M279" i="46" s="1"/>
  <c r="N279" i="46" s="1"/>
  <c r="O279" i="46" s="1"/>
  <c r="P279" i="46" s="1"/>
  <c r="Q279" i="46" s="1"/>
  <c r="R279" i="46" s="1"/>
  <c r="S279" i="46" s="1"/>
  <c r="T279" i="46" s="1"/>
  <c r="U279" i="46" s="1"/>
  <c r="V279" i="46" s="1"/>
  <c r="W279" i="46" s="1"/>
  <c r="X279" i="46" s="1"/>
  <c r="Y279" i="46" s="1"/>
  <c r="C280" i="46" s="1"/>
  <c r="D280" i="46" s="1"/>
  <c r="E280" i="46" s="1"/>
  <c r="F280" i="46" s="1"/>
  <c r="G280" i="46" s="1"/>
  <c r="H280" i="46" s="1"/>
  <c r="I280" i="46" s="1"/>
  <c r="J280" i="46" s="1"/>
  <c r="K280" i="46" s="1"/>
  <c r="L280" i="46" s="1"/>
  <c r="M280" i="46" s="1"/>
  <c r="N280" i="46" s="1"/>
  <c r="O280" i="46" s="1"/>
  <c r="P280" i="46" s="1"/>
  <c r="Q280" i="46" s="1"/>
  <c r="R280" i="46" s="1"/>
  <c r="S280" i="46" s="1"/>
  <c r="T280" i="46" s="1"/>
  <c r="U280" i="46" s="1"/>
  <c r="V280" i="46" s="1"/>
  <c r="W280" i="46" s="1"/>
  <c r="X280" i="46" s="1"/>
  <c r="Y280" i="46" s="1"/>
  <c r="C281" i="46" s="1"/>
  <c r="D281" i="46" s="1"/>
  <c r="E281" i="46" s="1"/>
  <c r="F281" i="46" s="1"/>
  <c r="G281" i="46" s="1"/>
  <c r="H281" i="46" s="1"/>
  <c r="I281" i="46" s="1"/>
  <c r="J281" i="46" s="1"/>
  <c r="K281" i="46" s="1"/>
  <c r="L281" i="46" s="1"/>
  <c r="M281" i="46" s="1"/>
  <c r="N281" i="46" s="1"/>
  <c r="O281" i="46" s="1"/>
  <c r="P281" i="46" s="1"/>
  <c r="Q281" i="46" s="1"/>
  <c r="R281" i="46" s="1"/>
  <c r="S281" i="46" s="1"/>
  <c r="T281" i="46" s="1"/>
  <c r="U281" i="46" s="1"/>
  <c r="V281" i="46" s="1"/>
  <c r="W281" i="46" s="1"/>
  <c r="X281" i="46" s="1"/>
  <c r="Y281" i="46" s="1"/>
  <c r="C282" i="46" s="1"/>
  <c r="D282" i="46" s="1"/>
  <c r="E282" i="46" s="1"/>
  <c r="F282" i="46" s="1"/>
  <c r="G282" i="46" s="1"/>
  <c r="H282" i="46" s="1"/>
  <c r="I282" i="46" s="1"/>
  <c r="J282" i="46" s="1"/>
  <c r="K282" i="46" s="1"/>
  <c r="L282" i="46" s="1"/>
  <c r="M282" i="46" s="1"/>
  <c r="N282" i="46" s="1"/>
  <c r="O282" i="46" s="1"/>
  <c r="P282" i="46" s="1"/>
  <c r="Q282" i="46" s="1"/>
  <c r="R282" i="46" s="1"/>
  <c r="S282" i="46" s="1"/>
  <c r="T282" i="46" s="1"/>
  <c r="U282" i="46" s="1"/>
  <c r="V282" i="46" s="1"/>
  <c r="W282" i="46" s="1"/>
  <c r="X282" i="46" s="1"/>
  <c r="Y282" i="46" s="1"/>
  <c r="C283" i="46" s="1"/>
  <c r="D283" i="46" s="1"/>
  <c r="E283" i="46" s="1"/>
  <c r="F283" i="46" s="1"/>
  <c r="G283" i="46" s="1"/>
  <c r="H283" i="46" s="1"/>
  <c r="I283" i="46" s="1"/>
  <c r="J283" i="46" s="1"/>
  <c r="K283" i="46" s="1"/>
  <c r="L283" i="46" s="1"/>
  <c r="M283" i="46" s="1"/>
  <c r="N283" i="46" s="1"/>
  <c r="O283" i="46" s="1"/>
  <c r="P283" i="46" s="1"/>
  <c r="Q283" i="46" s="1"/>
  <c r="R283" i="46" s="1"/>
  <c r="S283" i="46" s="1"/>
  <c r="T283" i="46" s="1"/>
  <c r="U283" i="46" s="1"/>
  <c r="V283" i="46" s="1"/>
  <c r="W283" i="46" s="1"/>
  <c r="X283" i="46" s="1"/>
  <c r="Y283" i="46" s="1"/>
  <c r="C284" i="46" s="1"/>
  <c r="D284" i="46" s="1"/>
  <c r="E284" i="46" s="1"/>
  <c r="F284" i="46" s="1"/>
  <c r="G284" i="46" s="1"/>
  <c r="H284" i="46" s="1"/>
  <c r="I284" i="46" s="1"/>
  <c r="J284" i="46" s="1"/>
  <c r="K284" i="46" s="1"/>
  <c r="L284" i="46" s="1"/>
  <c r="M284" i="46" s="1"/>
  <c r="N284" i="46" s="1"/>
  <c r="O284" i="46" s="1"/>
  <c r="P284" i="46" s="1"/>
  <c r="Q284" i="46" s="1"/>
  <c r="R284" i="46" s="1"/>
  <c r="S284" i="46" s="1"/>
  <c r="T284" i="46" s="1"/>
  <c r="U284" i="46" s="1"/>
  <c r="V284" i="46" s="1"/>
  <c r="W284" i="46" s="1"/>
  <c r="X284" i="46" s="1"/>
  <c r="Y284" i="46" s="1"/>
  <c r="C285" i="46" s="1"/>
  <c r="D285" i="46" s="1"/>
  <c r="E285" i="46" s="1"/>
  <c r="F285" i="46" s="1"/>
  <c r="G285" i="46" s="1"/>
  <c r="H285" i="46" s="1"/>
  <c r="I285" i="46" s="1"/>
  <c r="J285" i="46" s="1"/>
  <c r="K285" i="46" s="1"/>
  <c r="L285" i="46" s="1"/>
  <c r="M285" i="46" s="1"/>
  <c r="N285" i="46" s="1"/>
  <c r="O285" i="46" s="1"/>
  <c r="P285" i="46" s="1"/>
  <c r="Q285" i="46" s="1"/>
  <c r="R285" i="46" s="1"/>
  <c r="S285" i="46" s="1"/>
  <c r="T285" i="46" s="1"/>
  <c r="U285" i="46" s="1"/>
  <c r="V285" i="46" s="1"/>
  <c r="W285" i="46" s="1"/>
  <c r="X285" i="46" s="1"/>
  <c r="Y285" i="46" s="1"/>
  <c r="C286" i="46" s="1"/>
  <c r="D286" i="46" s="1"/>
  <c r="E286" i="46" s="1"/>
  <c r="F286" i="46" s="1"/>
  <c r="G286" i="46" s="1"/>
  <c r="H286" i="46" s="1"/>
  <c r="I286" i="46" s="1"/>
  <c r="J286" i="46" s="1"/>
  <c r="K286" i="46" s="1"/>
  <c r="L286" i="46" s="1"/>
  <c r="M286" i="46" s="1"/>
  <c r="N286" i="46" s="1"/>
  <c r="O286" i="46" s="1"/>
  <c r="P286" i="46" s="1"/>
  <c r="Q286" i="46" s="1"/>
  <c r="R286" i="46" s="1"/>
  <c r="S286" i="46" s="1"/>
  <c r="T286" i="46" s="1"/>
  <c r="U286" i="46" s="1"/>
  <c r="V286" i="46" s="1"/>
  <c r="W286" i="46" s="1"/>
  <c r="X286" i="46" s="1"/>
  <c r="Y286" i="46" s="1"/>
  <c r="I228" i="46"/>
  <c r="I184" i="44"/>
  <c r="I228" i="44"/>
  <c r="C272" i="44"/>
  <c r="D272" i="44" s="1"/>
  <c r="E272" i="44" s="1"/>
  <c r="F272" i="44" s="1"/>
  <c r="G272" i="44" s="1"/>
  <c r="H272" i="44" s="1"/>
  <c r="I272" i="44" s="1"/>
  <c r="J272" i="44" s="1"/>
  <c r="K272" i="44" s="1"/>
  <c r="L272" i="44" s="1"/>
  <c r="M272" i="44" s="1"/>
  <c r="N272" i="44" s="1"/>
  <c r="O272" i="44" s="1"/>
  <c r="P272" i="44" s="1"/>
  <c r="Q272" i="44" s="1"/>
  <c r="R272" i="44" s="1"/>
  <c r="S272" i="44" s="1"/>
  <c r="T272" i="44" s="1"/>
  <c r="U272" i="44" s="1"/>
  <c r="V272" i="44" s="1"/>
  <c r="W272" i="44" s="1"/>
  <c r="X272" i="44" s="1"/>
  <c r="Y272" i="44" s="1"/>
  <c r="C273" i="44" s="1"/>
  <c r="D273" i="44" s="1"/>
  <c r="E273" i="44" s="1"/>
  <c r="F273" i="44" s="1"/>
  <c r="G273" i="44" s="1"/>
  <c r="H273" i="44" s="1"/>
  <c r="I273" i="44" s="1"/>
  <c r="J273" i="44" s="1"/>
  <c r="K273" i="44" s="1"/>
  <c r="L273" i="44" s="1"/>
  <c r="M273" i="44" s="1"/>
  <c r="N273" i="44" s="1"/>
  <c r="O273" i="44" s="1"/>
  <c r="P273" i="44" s="1"/>
  <c r="Q273" i="44" s="1"/>
  <c r="R273" i="44" s="1"/>
  <c r="S273" i="44" s="1"/>
  <c r="T273" i="44" s="1"/>
  <c r="U273" i="44" s="1"/>
  <c r="V273" i="44" s="1"/>
  <c r="W273" i="44" s="1"/>
  <c r="X273" i="44" s="1"/>
  <c r="Y273" i="44" s="1"/>
  <c r="C274" i="44" s="1"/>
  <c r="D274" i="44" s="1"/>
  <c r="E274" i="44" s="1"/>
  <c r="F274" i="44" s="1"/>
  <c r="G274" i="44" s="1"/>
  <c r="H274" i="44" s="1"/>
  <c r="I274" i="44" s="1"/>
  <c r="J274" i="44" s="1"/>
  <c r="K274" i="44" s="1"/>
  <c r="L274" i="44" s="1"/>
  <c r="M274" i="44" s="1"/>
  <c r="N274" i="44" s="1"/>
  <c r="O274" i="44" s="1"/>
  <c r="P274" i="44" s="1"/>
  <c r="Q274" i="44" s="1"/>
  <c r="R274" i="44" s="1"/>
  <c r="S274" i="44" s="1"/>
  <c r="T274" i="44" s="1"/>
  <c r="U274" i="44" s="1"/>
  <c r="V274" i="44" s="1"/>
  <c r="W274" i="44" s="1"/>
  <c r="X274" i="44" s="1"/>
  <c r="Y274" i="44" s="1"/>
  <c r="C275" i="44" s="1"/>
  <c r="D275" i="44" s="1"/>
  <c r="E275" i="44" s="1"/>
  <c r="F275" i="44" s="1"/>
  <c r="G275" i="44" s="1"/>
  <c r="H275" i="44" s="1"/>
  <c r="I275" i="44" s="1"/>
  <c r="J275" i="44" s="1"/>
  <c r="K275" i="44" s="1"/>
  <c r="L275" i="44" s="1"/>
  <c r="M275" i="44" s="1"/>
  <c r="N275" i="44" s="1"/>
  <c r="O275" i="44" s="1"/>
  <c r="P275" i="44" s="1"/>
  <c r="Q275" i="44" s="1"/>
  <c r="R275" i="44" s="1"/>
  <c r="S275" i="44" s="1"/>
  <c r="T275" i="44" s="1"/>
  <c r="U275" i="44" s="1"/>
  <c r="V275" i="44" s="1"/>
  <c r="W275" i="44" s="1"/>
  <c r="X275" i="44" s="1"/>
  <c r="Y275" i="44" s="1"/>
  <c r="C276" i="44" s="1"/>
  <c r="D276" i="44" s="1"/>
  <c r="E276" i="44" s="1"/>
  <c r="F276" i="44" s="1"/>
  <c r="G276" i="44" s="1"/>
  <c r="H276" i="44" s="1"/>
  <c r="I276" i="44" s="1"/>
  <c r="J276" i="44" s="1"/>
  <c r="K276" i="44" s="1"/>
  <c r="L276" i="44" s="1"/>
  <c r="M276" i="44" s="1"/>
  <c r="N276" i="44" s="1"/>
  <c r="O276" i="44" s="1"/>
  <c r="P276" i="44" s="1"/>
  <c r="Q276" i="44" s="1"/>
  <c r="R276" i="44" s="1"/>
  <c r="S276" i="44" s="1"/>
  <c r="T276" i="44" s="1"/>
  <c r="U276" i="44" s="1"/>
  <c r="V276" i="44" s="1"/>
  <c r="W276" i="44" s="1"/>
  <c r="X276" i="44" s="1"/>
  <c r="Y276" i="44" s="1"/>
  <c r="C277" i="44" s="1"/>
  <c r="D277" i="44" s="1"/>
  <c r="E277" i="44" s="1"/>
  <c r="F277" i="44" s="1"/>
  <c r="G277" i="44" s="1"/>
  <c r="H277" i="44" s="1"/>
  <c r="I277" i="44" s="1"/>
  <c r="J277" i="44" s="1"/>
  <c r="K277" i="44" s="1"/>
  <c r="L277" i="44" s="1"/>
  <c r="M277" i="44" s="1"/>
  <c r="N277" i="44" s="1"/>
  <c r="O277" i="44" s="1"/>
  <c r="P277" i="44" s="1"/>
  <c r="Q277" i="44" s="1"/>
  <c r="R277" i="44" s="1"/>
  <c r="S277" i="44" s="1"/>
  <c r="T277" i="44" s="1"/>
  <c r="U277" i="44" s="1"/>
  <c r="V277" i="44" s="1"/>
  <c r="W277" i="44" s="1"/>
  <c r="X277" i="44" s="1"/>
  <c r="Y277" i="44" s="1"/>
  <c r="C278" i="44" s="1"/>
  <c r="D278" i="44" s="1"/>
  <c r="E278" i="44" s="1"/>
  <c r="F278" i="44" s="1"/>
  <c r="G278" i="44" s="1"/>
  <c r="H278" i="44" s="1"/>
  <c r="I278" i="44" s="1"/>
  <c r="J278" i="44" s="1"/>
  <c r="K278" i="44" s="1"/>
  <c r="L278" i="44" s="1"/>
  <c r="M278" i="44" s="1"/>
  <c r="N278" i="44" s="1"/>
  <c r="O278" i="44" s="1"/>
  <c r="P278" i="44" s="1"/>
  <c r="Q278" i="44" s="1"/>
  <c r="R278" i="44" s="1"/>
  <c r="S278" i="44" s="1"/>
  <c r="T278" i="44" s="1"/>
  <c r="U278" i="44" s="1"/>
  <c r="V278" i="44" s="1"/>
  <c r="W278" i="44" s="1"/>
  <c r="X278" i="44" s="1"/>
  <c r="Y278" i="44" s="1"/>
  <c r="C279" i="44" s="1"/>
  <c r="D279" i="44" s="1"/>
  <c r="E279" i="44" s="1"/>
  <c r="F279" i="44" s="1"/>
  <c r="G279" i="44" s="1"/>
  <c r="H279" i="44" s="1"/>
  <c r="I279" i="44" s="1"/>
  <c r="J279" i="44" s="1"/>
  <c r="K279" i="44" s="1"/>
  <c r="L279" i="44" s="1"/>
  <c r="M279" i="44" s="1"/>
  <c r="N279" i="44" s="1"/>
  <c r="O279" i="44" s="1"/>
  <c r="P279" i="44" s="1"/>
  <c r="Q279" i="44" s="1"/>
  <c r="R279" i="44" s="1"/>
  <c r="S279" i="44" s="1"/>
  <c r="T279" i="44" s="1"/>
  <c r="U279" i="44" s="1"/>
  <c r="V279" i="44" s="1"/>
  <c r="W279" i="44" s="1"/>
  <c r="X279" i="44" s="1"/>
  <c r="Y279" i="44" s="1"/>
  <c r="C280" i="44" s="1"/>
  <c r="D280" i="44" s="1"/>
  <c r="E280" i="44" s="1"/>
  <c r="F280" i="44" s="1"/>
  <c r="G280" i="44" s="1"/>
  <c r="H280" i="44" s="1"/>
  <c r="I280" i="44" s="1"/>
  <c r="J280" i="44" s="1"/>
  <c r="K280" i="44" s="1"/>
  <c r="L280" i="44" s="1"/>
  <c r="M280" i="44" s="1"/>
  <c r="N280" i="44" s="1"/>
  <c r="O280" i="44" s="1"/>
  <c r="P280" i="44" s="1"/>
  <c r="Q280" i="44" s="1"/>
  <c r="R280" i="44" s="1"/>
  <c r="S280" i="44" s="1"/>
  <c r="T280" i="44" s="1"/>
  <c r="U280" i="44" s="1"/>
  <c r="V280" i="44" s="1"/>
  <c r="W280" i="44" s="1"/>
  <c r="X280" i="44" s="1"/>
  <c r="Y280" i="44" s="1"/>
  <c r="C281" i="44" s="1"/>
  <c r="D281" i="44" s="1"/>
  <c r="E281" i="44" s="1"/>
  <c r="F281" i="44" s="1"/>
  <c r="G281" i="44" s="1"/>
  <c r="H281" i="44" s="1"/>
  <c r="I281" i="44" s="1"/>
  <c r="J281" i="44" s="1"/>
  <c r="K281" i="44" s="1"/>
  <c r="L281" i="44" s="1"/>
  <c r="M281" i="44" s="1"/>
  <c r="N281" i="44" s="1"/>
  <c r="O281" i="44" s="1"/>
  <c r="P281" i="44" s="1"/>
  <c r="Q281" i="44" s="1"/>
  <c r="R281" i="44" s="1"/>
  <c r="S281" i="44" s="1"/>
  <c r="T281" i="44" s="1"/>
  <c r="U281" i="44" s="1"/>
  <c r="V281" i="44" s="1"/>
  <c r="W281" i="44" s="1"/>
  <c r="X281" i="44" s="1"/>
  <c r="Y281" i="44" s="1"/>
  <c r="C282" i="44" s="1"/>
  <c r="D282" i="44" s="1"/>
  <c r="E282" i="44" s="1"/>
  <c r="F282" i="44" s="1"/>
  <c r="G282" i="44" s="1"/>
  <c r="H282" i="44" s="1"/>
  <c r="I282" i="44" s="1"/>
  <c r="J282" i="44" s="1"/>
  <c r="K282" i="44" s="1"/>
  <c r="L282" i="44" s="1"/>
  <c r="M282" i="44" s="1"/>
  <c r="N282" i="44" s="1"/>
  <c r="O282" i="44" s="1"/>
  <c r="P282" i="44" s="1"/>
  <c r="Q282" i="44" s="1"/>
  <c r="R282" i="44" s="1"/>
  <c r="S282" i="44" s="1"/>
  <c r="T282" i="44" s="1"/>
  <c r="U282" i="44" s="1"/>
  <c r="V282" i="44" s="1"/>
  <c r="W282" i="44" s="1"/>
  <c r="X282" i="44" s="1"/>
  <c r="Y282" i="44" s="1"/>
  <c r="C283" i="44" s="1"/>
  <c r="D283" i="44" s="1"/>
  <c r="E283" i="44" s="1"/>
  <c r="F283" i="44" s="1"/>
  <c r="G283" i="44" s="1"/>
  <c r="H283" i="44" s="1"/>
  <c r="I283" i="44" s="1"/>
  <c r="J283" i="44" s="1"/>
  <c r="K283" i="44" s="1"/>
  <c r="L283" i="44" s="1"/>
  <c r="M283" i="44" s="1"/>
  <c r="N283" i="44" s="1"/>
  <c r="O283" i="44" s="1"/>
  <c r="P283" i="44" s="1"/>
  <c r="Q283" i="44" s="1"/>
  <c r="R283" i="44" s="1"/>
  <c r="S283" i="44" s="1"/>
  <c r="T283" i="44" s="1"/>
  <c r="U283" i="44" s="1"/>
  <c r="V283" i="44" s="1"/>
  <c r="W283" i="44" s="1"/>
  <c r="X283" i="44" s="1"/>
  <c r="Y283" i="44" s="1"/>
  <c r="C284" i="44" s="1"/>
  <c r="D284" i="44" s="1"/>
  <c r="E284" i="44" s="1"/>
  <c r="F284" i="44" s="1"/>
  <c r="G284" i="44" s="1"/>
  <c r="H284" i="44" s="1"/>
  <c r="I284" i="44" s="1"/>
  <c r="J284" i="44" s="1"/>
  <c r="K284" i="44" s="1"/>
  <c r="L284" i="44" s="1"/>
  <c r="M284" i="44" s="1"/>
  <c r="N284" i="44" s="1"/>
  <c r="O284" i="44" s="1"/>
  <c r="P284" i="44" s="1"/>
  <c r="Q284" i="44" s="1"/>
  <c r="R284" i="44" s="1"/>
  <c r="S284" i="44" s="1"/>
  <c r="T284" i="44" s="1"/>
  <c r="U284" i="44" s="1"/>
  <c r="V284" i="44" s="1"/>
  <c r="W284" i="44" s="1"/>
  <c r="X284" i="44" s="1"/>
  <c r="Y284" i="44" s="1"/>
  <c r="C285" i="44" s="1"/>
  <c r="D285" i="44" s="1"/>
  <c r="E285" i="44" s="1"/>
  <c r="F285" i="44" s="1"/>
  <c r="G285" i="44" s="1"/>
  <c r="H285" i="44" s="1"/>
  <c r="I285" i="44" s="1"/>
  <c r="J285" i="44" s="1"/>
  <c r="K285" i="44" s="1"/>
  <c r="L285" i="44" s="1"/>
  <c r="M285" i="44" s="1"/>
  <c r="N285" i="44" s="1"/>
  <c r="O285" i="44" s="1"/>
  <c r="P285" i="44" s="1"/>
  <c r="Q285" i="44" s="1"/>
  <c r="R285" i="44" s="1"/>
  <c r="S285" i="44" s="1"/>
  <c r="T285" i="44" s="1"/>
  <c r="U285" i="44" s="1"/>
  <c r="V285" i="44" s="1"/>
  <c r="W285" i="44" s="1"/>
  <c r="X285" i="44" s="1"/>
  <c r="Y285" i="44" s="1"/>
  <c r="C286" i="44" s="1"/>
  <c r="D286" i="44" s="1"/>
  <c r="E286" i="44" s="1"/>
  <c r="F286" i="44" s="1"/>
  <c r="G286" i="44" s="1"/>
  <c r="H286" i="44" s="1"/>
  <c r="I286" i="44" s="1"/>
  <c r="J286" i="44" s="1"/>
  <c r="K286" i="44" s="1"/>
  <c r="L286" i="44" s="1"/>
  <c r="M286" i="44" s="1"/>
  <c r="N286" i="44" s="1"/>
  <c r="O286" i="44" s="1"/>
  <c r="P286" i="44" s="1"/>
  <c r="Q286" i="44" s="1"/>
  <c r="R286" i="44" s="1"/>
  <c r="S286" i="44" s="1"/>
  <c r="T286" i="44" s="1"/>
  <c r="U286" i="44" s="1"/>
  <c r="V286" i="44" s="1"/>
  <c r="W286" i="44" s="1"/>
  <c r="X286" i="44" s="1"/>
  <c r="Y286" i="44" s="1"/>
  <c r="I228" i="43"/>
  <c r="I184" i="43"/>
  <c r="C271" i="43"/>
  <c r="D271" i="43" s="1"/>
  <c r="E271" i="43" s="1"/>
  <c r="F271" i="43" s="1"/>
  <c r="G271" i="43" s="1"/>
  <c r="H271" i="43" s="1"/>
  <c r="I271" i="43" s="1"/>
  <c r="J271" i="43" s="1"/>
  <c r="K271" i="43" s="1"/>
  <c r="L271" i="43" s="1"/>
  <c r="M271" i="43" s="1"/>
  <c r="N271" i="43" s="1"/>
  <c r="O271" i="43" s="1"/>
  <c r="P271" i="43" s="1"/>
  <c r="Q271" i="43" s="1"/>
  <c r="R271" i="43" s="1"/>
  <c r="S271" i="43" s="1"/>
  <c r="T271" i="43" s="1"/>
  <c r="U271" i="43" s="1"/>
  <c r="V271" i="43" s="1"/>
  <c r="W271" i="43" s="1"/>
  <c r="X271" i="43" s="1"/>
  <c r="Y271" i="43" s="1"/>
  <c r="C272" i="43" s="1"/>
  <c r="D272" i="43" s="1"/>
  <c r="E272" i="43" s="1"/>
  <c r="F272" i="43" s="1"/>
  <c r="G272" i="43" s="1"/>
  <c r="H272" i="43" s="1"/>
  <c r="I272" i="43" s="1"/>
  <c r="J272" i="43" s="1"/>
  <c r="K272" i="43" s="1"/>
  <c r="L272" i="43" s="1"/>
  <c r="M272" i="43" s="1"/>
  <c r="N272" i="43" s="1"/>
  <c r="O272" i="43" s="1"/>
  <c r="P272" i="43" s="1"/>
  <c r="Q272" i="43" s="1"/>
  <c r="R272" i="43" s="1"/>
  <c r="S272" i="43" s="1"/>
  <c r="T272" i="43" s="1"/>
  <c r="U272" i="43" s="1"/>
  <c r="V272" i="43" s="1"/>
  <c r="W272" i="43" s="1"/>
  <c r="X272" i="43" s="1"/>
  <c r="Y272" i="43" s="1"/>
  <c r="C273" i="43" s="1"/>
  <c r="D273" i="43" s="1"/>
  <c r="E273" i="43" s="1"/>
  <c r="F273" i="43" s="1"/>
  <c r="G273" i="43" s="1"/>
  <c r="H273" i="43" s="1"/>
  <c r="I273" i="43" s="1"/>
  <c r="J273" i="43" s="1"/>
  <c r="K273" i="43" s="1"/>
  <c r="L273" i="43" s="1"/>
  <c r="M273" i="43" s="1"/>
  <c r="N273" i="43" s="1"/>
  <c r="O273" i="43" s="1"/>
  <c r="P273" i="43" s="1"/>
  <c r="Q273" i="43" s="1"/>
  <c r="R273" i="43" s="1"/>
  <c r="S273" i="43" s="1"/>
  <c r="T273" i="43" s="1"/>
  <c r="U273" i="43" s="1"/>
  <c r="V273" i="43" s="1"/>
  <c r="W273" i="43" s="1"/>
  <c r="X273" i="43" s="1"/>
  <c r="Y273" i="43" s="1"/>
  <c r="C274" i="43" s="1"/>
  <c r="D274" i="43" s="1"/>
  <c r="E274" i="43" s="1"/>
  <c r="F274" i="43" s="1"/>
  <c r="G274" i="43" s="1"/>
  <c r="H274" i="43" s="1"/>
  <c r="I274" i="43" s="1"/>
  <c r="J274" i="43" s="1"/>
  <c r="K274" i="43" s="1"/>
  <c r="L274" i="43" s="1"/>
  <c r="M274" i="43" s="1"/>
  <c r="N274" i="43" s="1"/>
  <c r="O274" i="43" s="1"/>
  <c r="P274" i="43" s="1"/>
  <c r="Q274" i="43" s="1"/>
  <c r="R274" i="43" s="1"/>
  <c r="S274" i="43" s="1"/>
  <c r="T274" i="43" s="1"/>
  <c r="U274" i="43" s="1"/>
  <c r="V274" i="43" s="1"/>
  <c r="W274" i="43" s="1"/>
  <c r="X274" i="43" s="1"/>
  <c r="Y274" i="43" s="1"/>
  <c r="C275" i="43" s="1"/>
  <c r="D275" i="43" s="1"/>
  <c r="E275" i="43" s="1"/>
  <c r="F275" i="43" s="1"/>
  <c r="G275" i="43" s="1"/>
  <c r="H275" i="43" s="1"/>
  <c r="I275" i="43" s="1"/>
  <c r="J275" i="43" s="1"/>
  <c r="K275" i="43" s="1"/>
  <c r="L275" i="43" s="1"/>
  <c r="M275" i="43" s="1"/>
  <c r="N275" i="43" s="1"/>
  <c r="O275" i="43" s="1"/>
  <c r="P275" i="43" s="1"/>
  <c r="Q275" i="43" s="1"/>
  <c r="R275" i="43" s="1"/>
  <c r="S275" i="43" s="1"/>
  <c r="T275" i="43" s="1"/>
  <c r="U275" i="43" s="1"/>
  <c r="V275" i="43" s="1"/>
  <c r="W275" i="43" s="1"/>
  <c r="X275" i="43" s="1"/>
  <c r="Y275" i="43" s="1"/>
  <c r="C276" i="43" s="1"/>
  <c r="D276" i="43" s="1"/>
  <c r="E276" i="43" s="1"/>
  <c r="F276" i="43" s="1"/>
  <c r="G276" i="43" s="1"/>
  <c r="H276" i="43" s="1"/>
  <c r="I276" i="43" s="1"/>
  <c r="J276" i="43" s="1"/>
  <c r="K276" i="43" s="1"/>
  <c r="L276" i="43" s="1"/>
  <c r="M276" i="43" s="1"/>
  <c r="N276" i="43" s="1"/>
  <c r="O276" i="43" s="1"/>
  <c r="P276" i="43" s="1"/>
  <c r="Q276" i="43" s="1"/>
  <c r="R276" i="43" s="1"/>
  <c r="S276" i="43" s="1"/>
  <c r="T276" i="43" s="1"/>
  <c r="U276" i="43" s="1"/>
  <c r="V276" i="43" s="1"/>
  <c r="W276" i="43" s="1"/>
  <c r="X276" i="43" s="1"/>
  <c r="Y276" i="43" s="1"/>
  <c r="C277" i="43" s="1"/>
  <c r="D277" i="43" s="1"/>
  <c r="E277" i="43" s="1"/>
  <c r="F277" i="43" s="1"/>
  <c r="G277" i="43" s="1"/>
  <c r="H277" i="43" s="1"/>
  <c r="I277" i="43" s="1"/>
  <c r="J277" i="43" s="1"/>
  <c r="K277" i="43" s="1"/>
  <c r="L277" i="43" s="1"/>
  <c r="M277" i="43" s="1"/>
  <c r="N277" i="43" s="1"/>
  <c r="O277" i="43" s="1"/>
  <c r="P277" i="43" s="1"/>
  <c r="Q277" i="43" s="1"/>
  <c r="R277" i="43" s="1"/>
  <c r="S277" i="43" s="1"/>
  <c r="T277" i="43" s="1"/>
  <c r="U277" i="43" s="1"/>
  <c r="V277" i="43" s="1"/>
  <c r="W277" i="43" s="1"/>
  <c r="X277" i="43" s="1"/>
  <c r="Y277" i="43" s="1"/>
  <c r="C278" i="43" s="1"/>
  <c r="D278" i="43" s="1"/>
  <c r="E278" i="43" s="1"/>
  <c r="F278" i="43" s="1"/>
  <c r="G278" i="43" s="1"/>
  <c r="H278" i="43" s="1"/>
  <c r="I278" i="43" s="1"/>
  <c r="J278" i="43" s="1"/>
  <c r="K278" i="43" s="1"/>
  <c r="L278" i="43" s="1"/>
  <c r="M278" i="43" s="1"/>
  <c r="N278" i="43" s="1"/>
  <c r="O278" i="43" s="1"/>
  <c r="P278" i="43" s="1"/>
  <c r="Q278" i="43" s="1"/>
  <c r="R278" i="43" s="1"/>
  <c r="S278" i="43" s="1"/>
  <c r="T278" i="43" s="1"/>
  <c r="U278" i="43" s="1"/>
  <c r="V278" i="43" s="1"/>
  <c r="W278" i="43" s="1"/>
  <c r="X278" i="43" s="1"/>
  <c r="Y278" i="43" s="1"/>
  <c r="C279" i="43" s="1"/>
  <c r="D279" i="43" s="1"/>
  <c r="E279" i="43" s="1"/>
  <c r="F279" i="43" s="1"/>
  <c r="G279" i="43" s="1"/>
  <c r="H279" i="43" s="1"/>
  <c r="I279" i="43" s="1"/>
  <c r="J279" i="43" s="1"/>
  <c r="K279" i="43" s="1"/>
  <c r="L279" i="43" s="1"/>
  <c r="M279" i="43" s="1"/>
  <c r="N279" i="43" s="1"/>
  <c r="O279" i="43" s="1"/>
  <c r="P279" i="43" s="1"/>
  <c r="Q279" i="43" s="1"/>
  <c r="R279" i="43" s="1"/>
  <c r="S279" i="43" s="1"/>
  <c r="T279" i="43" s="1"/>
  <c r="U279" i="43" s="1"/>
  <c r="V279" i="43" s="1"/>
  <c r="W279" i="43" s="1"/>
  <c r="X279" i="43" s="1"/>
  <c r="Y279" i="43" s="1"/>
  <c r="C280" i="43" s="1"/>
  <c r="D280" i="43" s="1"/>
  <c r="E280" i="43" s="1"/>
  <c r="F280" i="43" s="1"/>
  <c r="G280" i="43" s="1"/>
  <c r="H280" i="43" s="1"/>
  <c r="I280" i="43" s="1"/>
  <c r="J280" i="43" s="1"/>
  <c r="K280" i="43" s="1"/>
  <c r="L280" i="43" s="1"/>
  <c r="M280" i="43" s="1"/>
  <c r="N280" i="43" s="1"/>
  <c r="O280" i="43" s="1"/>
  <c r="P280" i="43" s="1"/>
  <c r="Q280" i="43" s="1"/>
  <c r="R280" i="43" s="1"/>
  <c r="S280" i="43" s="1"/>
  <c r="T280" i="43" s="1"/>
  <c r="U280" i="43" s="1"/>
  <c r="V280" i="43" s="1"/>
  <c r="W280" i="43" s="1"/>
  <c r="X280" i="43" s="1"/>
  <c r="Y280" i="43" s="1"/>
  <c r="C281" i="43" s="1"/>
  <c r="D281" i="43" s="1"/>
  <c r="E281" i="43" s="1"/>
  <c r="F281" i="43" s="1"/>
  <c r="G281" i="43" s="1"/>
  <c r="H281" i="43" s="1"/>
  <c r="I281" i="43" s="1"/>
  <c r="J281" i="43" s="1"/>
  <c r="K281" i="43" s="1"/>
  <c r="L281" i="43" s="1"/>
  <c r="M281" i="43" s="1"/>
  <c r="N281" i="43" s="1"/>
  <c r="O281" i="43" s="1"/>
  <c r="P281" i="43" s="1"/>
  <c r="Q281" i="43" s="1"/>
  <c r="R281" i="43" s="1"/>
  <c r="S281" i="43" s="1"/>
  <c r="T281" i="43" s="1"/>
  <c r="U281" i="43" s="1"/>
  <c r="V281" i="43" s="1"/>
  <c r="W281" i="43" s="1"/>
  <c r="X281" i="43" s="1"/>
  <c r="Y281" i="43" s="1"/>
  <c r="C282" i="43" s="1"/>
  <c r="D282" i="43" s="1"/>
  <c r="E282" i="43" s="1"/>
  <c r="F282" i="43" s="1"/>
  <c r="G282" i="43" s="1"/>
  <c r="H282" i="43" s="1"/>
  <c r="I282" i="43" s="1"/>
  <c r="J282" i="43" s="1"/>
  <c r="K282" i="43" s="1"/>
  <c r="L282" i="43" s="1"/>
  <c r="M282" i="43" s="1"/>
  <c r="N282" i="43" s="1"/>
  <c r="O282" i="43" s="1"/>
  <c r="P282" i="43" s="1"/>
  <c r="Q282" i="43" s="1"/>
  <c r="R282" i="43" s="1"/>
  <c r="S282" i="43" s="1"/>
  <c r="T282" i="43" s="1"/>
  <c r="U282" i="43" s="1"/>
  <c r="V282" i="43" s="1"/>
  <c r="W282" i="43" s="1"/>
  <c r="X282" i="43" s="1"/>
  <c r="Y282" i="43" s="1"/>
  <c r="C283" i="43" s="1"/>
  <c r="D283" i="43" s="1"/>
  <c r="E283" i="43" s="1"/>
  <c r="F283" i="43" s="1"/>
  <c r="G283" i="43" s="1"/>
  <c r="H283" i="43" s="1"/>
  <c r="I283" i="43" s="1"/>
  <c r="J283" i="43" s="1"/>
  <c r="K283" i="43" s="1"/>
  <c r="L283" i="43" s="1"/>
  <c r="M283" i="43" s="1"/>
  <c r="N283" i="43" s="1"/>
  <c r="O283" i="43" s="1"/>
  <c r="P283" i="43" s="1"/>
  <c r="Q283" i="43" s="1"/>
  <c r="R283" i="43" s="1"/>
  <c r="S283" i="43" s="1"/>
  <c r="T283" i="43" s="1"/>
  <c r="U283" i="43" s="1"/>
  <c r="V283" i="43" s="1"/>
  <c r="W283" i="43" s="1"/>
  <c r="X283" i="43" s="1"/>
  <c r="Y283" i="43" s="1"/>
  <c r="C284" i="43" s="1"/>
  <c r="D284" i="43" s="1"/>
  <c r="E284" i="43" s="1"/>
  <c r="F284" i="43" s="1"/>
  <c r="G284" i="43" s="1"/>
  <c r="H284" i="43" s="1"/>
  <c r="I284" i="43" s="1"/>
  <c r="J284" i="43" s="1"/>
  <c r="K284" i="43" s="1"/>
  <c r="L284" i="43" s="1"/>
  <c r="M284" i="43" s="1"/>
  <c r="N284" i="43" s="1"/>
  <c r="O284" i="43" s="1"/>
  <c r="P284" i="43" s="1"/>
  <c r="Q284" i="43" s="1"/>
  <c r="R284" i="43" s="1"/>
  <c r="S284" i="43" s="1"/>
  <c r="T284" i="43" s="1"/>
  <c r="U284" i="43" s="1"/>
  <c r="V284" i="43" s="1"/>
  <c r="W284" i="43" s="1"/>
  <c r="X284" i="43" s="1"/>
  <c r="Y284" i="43" s="1"/>
  <c r="C285" i="43" s="1"/>
  <c r="D285" i="43" s="1"/>
  <c r="E285" i="43" s="1"/>
  <c r="F285" i="43" s="1"/>
  <c r="G285" i="43" s="1"/>
  <c r="H285" i="43" s="1"/>
  <c r="I285" i="43" s="1"/>
  <c r="J285" i="43" s="1"/>
  <c r="K285" i="43" s="1"/>
  <c r="L285" i="43" s="1"/>
  <c r="M285" i="43" s="1"/>
  <c r="N285" i="43" s="1"/>
  <c r="O285" i="43" s="1"/>
  <c r="P285" i="43" s="1"/>
  <c r="Q285" i="43" s="1"/>
  <c r="R285" i="43" s="1"/>
  <c r="S285" i="43" s="1"/>
  <c r="T285" i="43" s="1"/>
  <c r="U285" i="43" s="1"/>
  <c r="V285" i="43" s="1"/>
  <c r="W285" i="43" s="1"/>
  <c r="X285" i="43" s="1"/>
  <c r="Y285" i="43" s="1"/>
  <c r="C286" i="43" s="1"/>
  <c r="D286" i="43" s="1"/>
  <c r="E286" i="43" s="1"/>
  <c r="F286" i="43" s="1"/>
  <c r="G286" i="43" s="1"/>
  <c r="H286" i="43" s="1"/>
  <c r="I286" i="43" s="1"/>
  <c r="J286" i="43" s="1"/>
  <c r="K286" i="43" s="1"/>
  <c r="L286" i="43" s="1"/>
  <c r="M286" i="43" s="1"/>
  <c r="N286" i="43" s="1"/>
  <c r="O286" i="43" s="1"/>
  <c r="P286" i="43" s="1"/>
  <c r="Q286" i="43" s="1"/>
  <c r="R286" i="43" s="1"/>
  <c r="S286" i="43" s="1"/>
  <c r="T286" i="43" s="1"/>
  <c r="U286" i="43" s="1"/>
  <c r="V286" i="43" s="1"/>
  <c r="W286" i="43" s="1"/>
  <c r="X286" i="43" s="1"/>
  <c r="Y286" i="43" s="1"/>
  <c r="I228" i="42"/>
  <c r="I184" i="42"/>
  <c r="C270" i="42"/>
  <c r="D270" i="42" s="1"/>
  <c r="E270" i="42" s="1"/>
  <c r="F270" i="42" s="1"/>
  <c r="G270" i="42" s="1"/>
  <c r="H270" i="42" s="1"/>
  <c r="I270" i="42" s="1"/>
  <c r="J270" i="42" s="1"/>
  <c r="K270" i="42" s="1"/>
  <c r="L270" i="42" s="1"/>
  <c r="M270" i="42" s="1"/>
  <c r="N270" i="42" s="1"/>
  <c r="O270" i="42" s="1"/>
  <c r="P270" i="42" s="1"/>
  <c r="Q270" i="42" s="1"/>
  <c r="R270" i="42" s="1"/>
  <c r="S270" i="42" s="1"/>
  <c r="T270" i="42" s="1"/>
  <c r="U270" i="42" s="1"/>
  <c r="V270" i="42" s="1"/>
  <c r="W270" i="42" s="1"/>
  <c r="X270" i="42" s="1"/>
  <c r="Y270" i="42" s="1"/>
  <c r="C271" i="42" s="1"/>
  <c r="D271" i="42" s="1"/>
  <c r="E271" i="42" s="1"/>
  <c r="F271" i="42" s="1"/>
  <c r="G271" i="42" s="1"/>
  <c r="H271" i="42" s="1"/>
  <c r="I271" i="42" s="1"/>
  <c r="J271" i="42" s="1"/>
  <c r="K271" i="42" s="1"/>
  <c r="L271" i="42" s="1"/>
  <c r="M271" i="42" s="1"/>
  <c r="N271" i="42" s="1"/>
  <c r="O271" i="42" s="1"/>
  <c r="P271" i="42" s="1"/>
  <c r="Q271" i="42" s="1"/>
  <c r="R271" i="42" s="1"/>
  <c r="S271" i="42" s="1"/>
  <c r="T271" i="42" s="1"/>
  <c r="U271" i="42" s="1"/>
  <c r="V271" i="42" s="1"/>
  <c r="W271" i="42" s="1"/>
  <c r="X271" i="42" s="1"/>
  <c r="Y271" i="42" s="1"/>
  <c r="C272" i="42" s="1"/>
  <c r="D272" i="42" s="1"/>
  <c r="E272" i="42" s="1"/>
  <c r="F272" i="42" s="1"/>
  <c r="G272" i="42" s="1"/>
  <c r="H272" i="42" s="1"/>
  <c r="I272" i="42" s="1"/>
  <c r="J272" i="42" s="1"/>
  <c r="K272" i="42" s="1"/>
  <c r="L272" i="42" s="1"/>
  <c r="M272" i="42" s="1"/>
  <c r="N272" i="42" s="1"/>
  <c r="O272" i="42" s="1"/>
  <c r="P272" i="42" s="1"/>
  <c r="Q272" i="42" s="1"/>
  <c r="R272" i="42" s="1"/>
  <c r="S272" i="42" s="1"/>
  <c r="T272" i="42" s="1"/>
  <c r="U272" i="42" s="1"/>
  <c r="V272" i="42" s="1"/>
  <c r="W272" i="42" s="1"/>
  <c r="X272" i="42" s="1"/>
  <c r="Y272" i="42" s="1"/>
  <c r="C273" i="42" s="1"/>
  <c r="D273" i="42" s="1"/>
  <c r="E273" i="42" s="1"/>
  <c r="F273" i="42" s="1"/>
  <c r="G273" i="42" s="1"/>
  <c r="H273" i="42" s="1"/>
  <c r="I273" i="42" s="1"/>
  <c r="J273" i="42" s="1"/>
  <c r="K273" i="42" s="1"/>
  <c r="L273" i="42" s="1"/>
  <c r="M273" i="42" s="1"/>
  <c r="N273" i="42" s="1"/>
  <c r="O273" i="42" s="1"/>
  <c r="P273" i="42" s="1"/>
  <c r="Q273" i="42" s="1"/>
  <c r="R273" i="42" s="1"/>
  <c r="S273" i="42" s="1"/>
  <c r="T273" i="42" s="1"/>
  <c r="U273" i="42" s="1"/>
  <c r="V273" i="42" s="1"/>
  <c r="W273" i="42" s="1"/>
  <c r="X273" i="42" s="1"/>
  <c r="Y273" i="42" s="1"/>
  <c r="C274" i="42" s="1"/>
  <c r="D274" i="42" s="1"/>
  <c r="E274" i="42" s="1"/>
  <c r="F274" i="42" s="1"/>
  <c r="G274" i="42" s="1"/>
  <c r="H274" i="42" s="1"/>
  <c r="I274" i="42" s="1"/>
  <c r="J274" i="42" s="1"/>
  <c r="K274" i="42" s="1"/>
  <c r="L274" i="42" s="1"/>
  <c r="M274" i="42" s="1"/>
  <c r="N274" i="42" s="1"/>
  <c r="O274" i="42" s="1"/>
  <c r="P274" i="42" s="1"/>
  <c r="Q274" i="42" s="1"/>
  <c r="R274" i="42" s="1"/>
  <c r="S274" i="42" s="1"/>
  <c r="T274" i="42" s="1"/>
  <c r="U274" i="42" s="1"/>
  <c r="V274" i="42" s="1"/>
  <c r="W274" i="42" s="1"/>
  <c r="X274" i="42" s="1"/>
  <c r="Y274" i="42" s="1"/>
  <c r="C275" i="42" s="1"/>
  <c r="D275" i="42" s="1"/>
  <c r="E275" i="42" s="1"/>
  <c r="F275" i="42" s="1"/>
  <c r="G275" i="42" s="1"/>
  <c r="H275" i="42" s="1"/>
  <c r="I275" i="42" s="1"/>
  <c r="J275" i="42" s="1"/>
  <c r="K275" i="42" s="1"/>
  <c r="L275" i="42" s="1"/>
  <c r="M275" i="42" s="1"/>
  <c r="N275" i="42" s="1"/>
  <c r="O275" i="42" s="1"/>
  <c r="P275" i="42" s="1"/>
  <c r="Q275" i="42" s="1"/>
  <c r="R275" i="42" s="1"/>
  <c r="S275" i="42" s="1"/>
  <c r="T275" i="42" s="1"/>
  <c r="U275" i="42" s="1"/>
  <c r="V275" i="42" s="1"/>
  <c r="W275" i="42" s="1"/>
  <c r="X275" i="42" s="1"/>
  <c r="Y275" i="42" s="1"/>
  <c r="C276" i="42" s="1"/>
  <c r="D276" i="42" s="1"/>
  <c r="E276" i="42" s="1"/>
  <c r="F276" i="42" s="1"/>
  <c r="G276" i="42" s="1"/>
  <c r="H276" i="42" s="1"/>
  <c r="I276" i="42" s="1"/>
  <c r="J276" i="42" s="1"/>
  <c r="K276" i="42" s="1"/>
  <c r="L276" i="42" s="1"/>
  <c r="M276" i="42" s="1"/>
  <c r="N276" i="42" s="1"/>
  <c r="O276" i="42" s="1"/>
  <c r="P276" i="42" s="1"/>
  <c r="Q276" i="42" s="1"/>
  <c r="R276" i="42" s="1"/>
  <c r="S276" i="42" s="1"/>
  <c r="T276" i="42" s="1"/>
  <c r="U276" i="42" s="1"/>
  <c r="V276" i="42" s="1"/>
  <c r="W276" i="42" s="1"/>
  <c r="X276" i="42" s="1"/>
  <c r="Y276" i="42" s="1"/>
  <c r="C277" i="42" s="1"/>
  <c r="D277" i="42" s="1"/>
  <c r="E277" i="42" s="1"/>
  <c r="F277" i="42" s="1"/>
  <c r="G277" i="42" s="1"/>
  <c r="H277" i="42" s="1"/>
  <c r="I277" i="42" s="1"/>
  <c r="J277" i="42" s="1"/>
  <c r="K277" i="42" s="1"/>
  <c r="L277" i="42" s="1"/>
  <c r="M277" i="42" s="1"/>
  <c r="N277" i="42" s="1"/>
  <c r="O277" i="42" s="1"/>
  <c r="P277" i="42" s="1"/>
  <c r="Q277" i="42" s="1"/>
  <c r="R277" i="42" s="1"/>
  <c r="S277" i="42" s="1"/>
  <c r="T277" i="42" s="1"/>
  <c r="U277" i="42" s="1"/>
  <c r="V277" i="42" s="1"/>
  <c r="W277" i="42" s="1"/>
  <c r="X277" i="42" s="1"/>
  <c r="Y277" i="42" s="1"/>
  <c r="C278" i="42" s="1"/>
  <c r="D278" i="42" s="1"/>
  <c r="E278" i="42" s="1"/>
  <c r="F278" i="42" s="1"/>
  <c r="G278" i="42" s="1"/>
  <c r="H278" i="42" s="1"/>
  <c r="I278" i="42" s="1"/>
  <c r="J278" i="42" s="1"/>
  <c r="K278" i="42" s="1"/>
  <c r="L278" i="42" s="1"/>
  <c r="M278" i="42" s="1"/>
  <c r="N278" i="42" s="1"/>
  <c r="O278" i="42" s="1"/>
  <c r="P278" i="42" s="1"/>
  <c r="Q278" i="42" s="1"/>
  <c r="R278" i="42" s="1"/>
  <c r="S278" i="42" s="1"/>
  <c r="T278" i="42" s="1"/>
  <c r="U278" i="42" s="1"/>
  <c r="V278" i="42" s="1"/>
  <c r="W278" i="42" s="1"/>
  <c r="X278" i="42" s="1"/>
  <c r="Y278" i="42" s="1"/>
  <c r="C279" i="42" s="1"/>
  <c r="D279" i="42" s="1"/>
  <c r="E279" i="42" s="1"/>
  <c r="F279" i="42" s="1"/>
  <c r="G279" i="42" s="1"/>
  <c r="H279" i="42" s="1"/>
  <c r="I279" i="42" s="1"/>
  <c r="J279" i="42" s="1"/>
  <c r="K279" i="42" s="1"/>
  <c r="L279" i="42" s="1"/>
  <c r="M279" i="42" s="1"/>
  <c r="N279" i="42" s="1"/>
  <c r="O279" i="42" s="1"/>
  <c r="P279" i="42" s="1"/>
  <c r="Q279" i="42" s="1"/>
  <c r="R279" i="42" s="1"/>
  <c r="S279" i="42" s="1"/>
  <c r="T279" i="42" s="1"/>
  <c r="U279" i="42" s="1"/>
  <c r="V279" i="42" s="1"/>
  <c r="W279" i="42" s="1"/>
  <c r="X279" i="42" s="1"/>
  <c r="Y279" i="42" s="1"/>
  <c r="C280" i="42" s="1"/>
  <c r="D280" i="42" s="1"/>
  <c r="E280" i="42" s="1"/>
  <c r="F280" i="42" s="1"/>
  <c r="G280" i="42" s="1"/>
  <c r="H280" i="42" s="1"/>
  <c r="I280" i="42" s="1"/>
  <c r="J280" i="42" s="1"/>
  <c r="K280" i="42" s="1"/>
  <c r="L280" i="42" s="1"/>
  <c r="M280" i="42" s="1"/>
  <c r="N280" i="42" s="1"/>
  <c r="O280" i="42" s="1"/>
  <c r="P280" i="42" s="1"/>
  <c r="Q280" i="42" s="1"/>
  <c r="R280" i="42" s="1"/>
  <c r="S280" i="42" s="1"/>
  <c r="T280" i="42" s="1"/>
  <c r="U280" i="42" s="1"/>
  <c r="V280" i="42" s="1"/>
  <c r="W280" i="42" s="1"/>
  <c r="X280" i="42" s="1"/>
  <c r="Y280" i="42" s="1"/>
  <c r="C281" i="42" s="1"/>
  <c r="D281" i="42" s="1"/>
  <c r="E281" i="42" s="1"/>
  <c r="F281" i="42" s="1"/>
  <c r="G281" i="42" s="1"/>
  <c r="H281" i="42" s="1"/>
  <c r="I281" i="42" s="1"/>
  <c r="J281" i="42" s="1"/>
  <c r="K281" i="42" s="1"/>
  <c r="L281" i="42" s="1"/>
  <c r="M281" i="42" s="1"/>
  <c r="N281" i="42" s="1"/>
  <c r="O281" i="42" s="1"/>
  <c r="P281" i="42" s="1"/>
  <c r="Q281" i="42" s="1"/>
  <c r="R281" i="42" s="1"/>
  <c r="S281" i="42" s="1"/>
  <c r="T281" i="42" s="1"/>
  <c r="U281" i="42" s="1"/>
  <c r="V281" i="42" s="1"/>
  <c r="W281" i="42" s="1"/>
  <c r="X281" i="42" s="1"/>
  <c r="Y281" i="42" s="1"/>
  <c r="C282" i="42" s="1"/>
  <c r="D282" i="42" s="1"/>
  <c r="E282" i="42" s="1"/>
  <c r="F282" i="42" s="1"/>
  <c r="G282" i="42" s="1"/>
  <c r="H282" i="42" s="1"/>
  <c r="I282" i="42" s="1"/>
  <c r="J282" i="42" s="1"/>
  <c r="K282" i="42" s="1"/>
  <c r="L282" i="42" s="1"/>
  <c r="M282" i="42" s="1"/>
  <c r="N282" i="42" s="1"/>
  <c r="O282" i="42" s="1"/>
  <c r="P282" i="42" s="1"/>
  <c r="Q282" i="42" s="1"/>
  <c r="R282" i="42" s="1"/>
  <c r="S282" i="42" s="1"/>
  <c r="T282" i="42" s="1"/>
  <c r="U282" i="42" s="1"/>
  <c r="V282" i="42" s="1"/>
  <c r="W282" i="42" s="1"/>
  <c r="X282" i="42" s="1"/>
  <c r="Y282" i="42" s="1"/>
  <c r="C283" i="42" s="1"/>
  <c r="D283" i="42" s="1"/>
  <c r="E283" i="42" s="1"/>
  <c r="F283" i="42" s="1"/>
  <c r="G283" i="42" s="1"/>
  <c r="H283" i="42" s="1"/>
  <c r="I283" i="42" s="1"/>
  <c r="J283" i="42" s="1"/>
  <c r="K283" i="42" s="1"/>
  <c r="L283" i="42" s="1"/>
  <c r="M283" i="42" s="1"/>
  <c r="N283" i="42" s="1"/>
  <c r="O283" i="42" s="1"/>
  <c r="P283" i="42" s="1"/>
  <c r="Q283" i="42" s="1"/>
  <c r="R283" i="42" s="1"/>
  <c r="S283" i="42" s="1"/>
  <c r="T283" i="42" s="1"/>
  <c r="U283" i="42" s="1"/>
  <c r="V283" i="42" s="1"/>
  <c r="W283" i="42" s="1"/>
  <c r="X283" i="42" s="1"/>
  <c r="Y283" i="42" s="1"/>
  <c r="C284" i="42" s="1"/>
  <c r="D284" i="42" s="1"/>
  <c r="E284" i="42" s="1"/>
  <c r="F284" i="42" s="1"/>
  <c r="G284" i="42" s="1"/>
  <c r="H284" i="42" s="1"/>
  <c r="I284" i="42" s="1"/>
  <c r="J284" i="42" s="1"/>
  <c r="K284" i="42" s="1"/>
  <c r="L284" i="42" s="1"/>
  <c r="M284" i="42" s="1"/>
  <c r="N284" i="42" s="1"/>
  <c r="O284" i="42" s="1"/>
  <c r="P284" i="42" s="1"/>
  <c r="Q284" i="42" s="1"/>
  <c r="R284" i="42" s="1"/>
  <c r="S284" i="42" s="1"/>
  <c r="T284" i="42" s="1"/>
  <c r="U284" i="42" s="1"/>
  <c r="V284" i="42" s="1"/>
  <c r="W284" i="42" s="1"/>
  <c r="X284" i="42" s="1"/>
  <c r="Y284" i="42" s="1"/>
  <c r="C285" i="42" s="1"/>
  <c r="D285" i="42" s="1"/>
  <c r="E285" i="42" s="1"/>
  <c r="F285" i="42" s="1"/>
  <c r="G285" i="42" s="1"/>
  <c r="H285" i="42" s="1"/>
  <c r="I285" i="42" s="1"/>
  <c r="J285" i="42" s="1"/>
  <c r="K285" i="42" s="1"/>
  <c r="L285" i="42" s="1"/>
  <c r="M285" i="42" s="1"/>
  <c r="N285" i="42" s="1"/>
  <c r="O285" i="42" s="1"/>
  <c r="P285" i="42" s="1"/>
  <c r="Q285" i="42" s="1"/>
  <c r="R285" i="42" s="1"/>
  <c r="S285" i="42" s="1"/>
  <c r="T285" i="42" s="1"/>
  <c r="U285" i="42" s="1"/>
  <c r="V285" i="42" s="1"/>
  <c r="W285" i="42" s="1"/>
  <c r="X285" i="42" s="1"/>
  <c r="Y285" i="42" s="1"/>
  <c r="C286" i="42" s="1"/>
  <c r="D286" i="42" s="1"/>
  <c r="E286" i="42" s="1"/>
  <c r="F286" i="42" s="1"/>
  <c r="G286" i="42" s="1"/>
  <c r="H286" i="42" s="1"/>
  <c r="I286" i="42" s="1"/>
  <c r="J286" i="42" s="1"/>
  <c r="K286" i="42" s="1"/>
  <c r="L286" i="42" s="1"/>
  <c r="M286" i="42" s="1"/>
  <c r="N286" i="42" s="1"/>
  <c r="O286" i="42" s="1"/>
  <c r="P286" i="42" s="1"/>
  <c r="Q286" i="42" s="1"/>
  <c r="R286" i="42" s="1"/>
  <c r="S286" i="42" s="1"/>
  <c r="T286" i="42" s="1"/>
  <c r="U286" i="42" s="1"/>
  <c r="V286" i="42" s="1"/>
  <c r="W286" i="42" s="1"/>
  <c r="X286" i="42" s="1"/>
  <c r="Y286" i="42" s="1"/>
  <c r="I184" i="41"/>
  <c r="I228" i="41"/>
  <c r="C269" i="41"/>
  <c r="D269" i="41" s="1"/>
  <c r="E269" i="41" s="1"/>
  <c r="F269" i="41" s="1"/>
  <c r="G269" i="41" s="1"/>
  <c r="H269" i="41" s="1"/>
  <c r="I269" i="41" s="1"/>
  <c r="J269" i="41" s="1"/>
  <c r="K269" i="41" s="1"/>
  <c r="L269" i="41" s="1"/>
  <c r="M269" i="41" s="1"/>
  <c r="N269" i="41" s="1"/>
  <c r="O269" i="41" s="1"/>
  <c r="P269" i="41" s="1"/>
  <c r="Q269" i="41" s="1"/>
  <c r="R269" i="41" s="1"/>
  <c r="S269" i="41" s="1"/>
  <c r="T269" i="41" s="1"/>
  <c r="U269" i="41" s="1"/>
  <c r="V269" i="41" s="1"/>
  <c r="W269" i="41" s="1"/>
  <c r="X269" i="41" s="1"/>
  <c r="Y269" i="41" s="1"/>
  <c r="C270" i="41" s="1"/>
  <c r="D270" i="41" s="1"/>
  <c r="E270" i="41" s="1"/>
  <c r="F270" i="41" s="1"/>
  <c r="G270" i="41" s="1"/>
  <c r="H270" i="41" s="1"/>
  <c r="I270" i="41" s="1"/>
  <c r="J270" i="41" s="1"/>
  <c r="K270" i="41" s="1"/>
  <c r="L270" i="41" s="1"/>
  <c r="M270" i="41" s="1"/>
  <c r="N270" i="41" s="1"/>
  <c r="O270" i="41" s="1"/>
  <c r="P270" i="41" s="1"/>
  <c r="Q270" i="41" s="1"/>
  <c r="R270" i="41" s="1"/>
  <c r="S270" i="41" s="1"/>
  <c r="T270" i="41" s="1"/>
  <c r="U270" i="41" s="1"/>
  <c r="V270" i="41" s="1"/>
  <c r="W270" i="41" s="1"/>
  <c r="X270" i="41" s="1"/>
  <c r="Y270" i="41" s="1"/>
  <c r="C271" i="41" s="1"/>
  <c r="D271" i="41" s="1"/>
  <c r="E271" i="41" s="1"/>
  <c r="F271" i="41" s="1"/>
  <c r="G271" i="41" s="1"/>
  <c r="H271" i="41" s="1"/>
  <c r="I271" i="41" s="1"/>
  <c r="J271" i="41" s="1"/>
  <c r="K271" i="41" s="1"/>
  <c r="L271" i="41" s="1"/>
  <c r="M271" i="41" s="1"/>
  <c r="N271" i="41" s="1"/>
  <c r="O271" i="41" s="1"/>
  <c r="P271" i="41" s="1"/>
  <c r="Q271" i="41" s="1"/>
  <c r="R271" i="41" s="1"/>
  <c r="S271" i="41" s="1"/>
  <c r="T271" i="41" s="1"/>
  <c r="U271" i="41" s="1"/>
  <c r="V271" i="41" s="1"/>
  <c r="W271" i="41" s="1"/>
  <c r="X271" i="41" s="1"/>
  <c r="Y271" i="41" s="1"/>
  <c r="C272" i="41" s="1"/>
  <c r="D272" i="41" s="1"/>
  <c r="E272" i="41" s="1"/>
  <c r="F272" i="41" s="1"/>
  <c r="G272" i="41" s="1"/>
  <c r="H272" i="41" s="1"/>
  <c r="I272" i="41" s="1"/>
  <c r="J272" i="41" s="1"/>
  <c r="K272" i="41" s="1"/>
  <c r="L272" i="41" s="1"/>
  <c r="M272" i="41" s="1"/>
  <c r="N272" i="41" s="1"/>
  <c r="O272" i="41" s="1"/>
  <c r="P272" i="41" s="1"/>
  <c r="Q272" i="41" s="1"/>
  <c r="R272" i="41" s="1"/>
  <c r="S272" i="41" s="1"/>
  <c r="T272" i="41" s="1"/>
  <c r="U272" i="41" s="1"/>
  <c r="V272" i="41" s="1"/>
  <c r="W272" i="41" s="1"/>
  <c r="X272" i="41" s="1"/>
  <c r="Y272" i="41" s="1"/>
  <c r="C273" i="41" s="1"/>
  <c r="D273" i="41" s="1"/>
  <c r="E273" i="41" s="1"/>
  <c r="F273" i="41" s="1"/>
  <c r="G273" i="41" s="1"/>
  <c r="H273" i="41" s="1"/>
  <c r="I273" i="41" s="1"/>
  <c r="J273" i="41" s="1"/>
  <c r="K273" i="41" s="1"/>
  <c r="L273" i="41" s="1"/>
  <c r="M273" i="41" s="1"/>
  <c r="N273" i="41" s="1"/>
  <c r="O273" i="41" s="1"/>
  <c r="P273" i="41" s="1"/>
  <c r="Q273" i="41" s="1"/>
  <c r="R273" i="41" s="1"/>
  <c r="S273" i="41" s="1"/>
  <c r="T273" i="41" s="1"/>
  <c r="U273" i="41" s="1"/>
  <c r="V273" i="41" s="1"/>
  <c r="W273" i="41" s="1"/>
  <c r="X273" i="41" s="1"/>
  <c r="Y273" i="41" s="1"/>
  <c r="C274" i="41" s="1"/>
  <c r="D274" i="41" s="1"/>
  <c r="E274" i="41" s="1"/>
  <c r="F274" i="41" s="1"/>
  <c r="G274" i="41" s="1"/>
  <c r="H274" i="41" s="1"/>
  <c r="I274" i="41" s="1"/>
  <c r="J274" i="41" s="1"/>
  <c r="K274" i="41" s="1"/>
  <c r="L274" i="41" s="1"/>
  <c r="M274" i="41" s="1"/>
  <c r="N274" i="41" s="1"/>
  <c r="O274" i="41" s="1"/>
  <c r="P274" i="41" s="1"/>
  <c r="Q274" i="41" s="1"/>
  <c r="R274" i="41" s="1"/>
  <c r="S274" i="41" s="1"/>
  <c r="T274" i="41" s="1"/>
  <c r="U274" i="41" s="1"/>
  <c r="V274" i="41" s="1"/>
  <c r="W274" i="41" s="1"/>
  <c r="X274" i="41" s="1"/>
  <c r="Y274" i="41" s="1"/>
  <c r="C275" i="41" s="1"/>
  <c r="D275" i="41" s="1"/>
  <c r="E275" i="41" s="1"/>
  <c r="F275" i="41" s="1"/>
  <c r="G275" i="41" s="1"/>
  <c r="H275" i="41" s="1"/>
  <c r="I275" i="41" s="1"/>
  <c r="J275" i="41" s="1"/>
  <c r="K275" i="41" s="1"/>
  <c r="L275" i="41" s="1"/>
  <c r="M275" i="41" s="1"/>
  <c r="N275" i="41" s="1"/>
  <c r="O275" i="41" s="1"/>
  <c r="P275" i="41" s="1"/>
  <c r="Q275" i="41" s="1"/>
  <c r="R275" i="41" s="1"/>
  <c r="S275" i="41" s="1"/>
  <c r="T275" i="41" s="1"/>
  <c r="U275" i="41" s="1"/>
  <c r="V275" i="41" s="1"/>
  <c r="W275" i="41" s="1"/>
  <c r="X275" i="41" s="1"/>
  <c r="Y275" i="41" s="1"/>
  <c r="C276" i="41" s="1"/>
  <c r="D276" i="41" s="1"/>
  <c r="E276" i="41" s="1"/>
  <c r="F276" i="41" s="1"/>
  <c r="G276" i="41" s="1"/>
  <c r="H276" i="41" s="1"/>
  <c r="I276" i="41" s="1"/>
  <c r="J276" i="41" s="1"/>
  <c r="K276" i="41" s="1"/>
  <c r="L276" i="41" s="1"/>
  <c r="M276" i="41" s="1"/>
  <c r="N276" i="41" s="1"/>
  <c r="O276" i="41" s="1"/>
  <c r="P276" i="41" s="1"/>
  <c r="Q276" i="41" s="1"/>
  <c r="R276" i="41" s="1"/>
  <c r="S276" i="41" s="1"/>
  <c r="T276" i="41" s="1"/>
  <c r="U276" i="41" s="1"/>
  <c r="V276" i="41" s="1"/>
  <c r="W276" i="41" s="1"/>
  <c r="X276" i="41" s="1"/>
  <c r="Y276" i="41" s="1"/>
  <c r="C277" i="41" s="1"/>
  <c r="D277" i="41" s="1"/>
  <c r="E277" i="41" s="1"/>
  <c r="F277" i="41" s="1"/>
  <c r="G277" i="41" s="1"/>
  <c r="H277" i="41" s="1"/>
  <c r="I277" i="41" s="1"/>
  <c r="J277" i="41" s="1"/>
  <c r="K277" i="41" s="1"/>
  <c r="L277" i="41" s="1"/>
  <c r="M277" i="41" s="1"/>
  <c r="N277" i="41" s="1"/>
  <c r="O277" i="41" s="1"/>
  <c r="P277" i="41" s="1"/>
  <c r="Q277" i="41" s="1"/>
  <c r="R277" i="41" s="1"/>
  <c r="S277" i="41" s="1"/>
  <c r="T277" i="41" s="1"/>
  <c r="U277" i="41" s="1"/>
  <c r="V277" i="41" s="1"/>
  <c r="W277" i="41" s="1"/>
  <c r="X277" i="41" s="1"/>
  <c r="Y277" i="41" s="1"/>
  <c r="C278" i="41" s="1"/>
  <c r="D278" i="41" s="1"/>
  <c r="E278" i="41" s="1"/>
  <c r="F278" i="41" s="1"/>
  <c r="G278" i="41" s="1"/>
  <c r="H278" i="41" s="1"/>
  <c r="I278" i="41" s="1"/>
  <c r="J278" i="41" s="1"/>
  <c r="K278" i="41" s="1"/>
  <c r="L278" i="41" s="1"/>
  <c r="M278" i="41" s="1"/>
  <c r="N278" i="41" s="1"/>
  <c r="O278" i="41" s="1"/>
  <c r="P278" i="41" s="1"/>
  <c r="Q278" i="41" s="1"/>
  <c r="R278" i="41" s="1"/>
  <c r="S278" i="41" s="1"/>
  <c r="T278" i="41" s="1"/>
  <c r="U278" i="41" s="1"/>
  <c r="V278" i="41" s="1"/>
  <c r="W278" i="41" s="1"/>
  <c r="X278" i="41" s="1"/>
  <c r="Y278" i="41" s="1"/>
  <c r="C279" i="41" s="1"/>
  <c r="D279" i="41" s="1"/>
  <c r="E279" i="41" s="1"/>
  <c r="F279" i="41" s="1"/>
  <c r="G279" i="41" s="1"/>
  <c r="H279" i="41" s="1"/>
  <c r="I279" i="41" s="1"/>
  <c r="J279" i="41" s="1"/>
  <c r="K279" i="41" s="1"/>
  <c r="L279" i="41" s="1"/>
  <c r="M279" i="41" s="1"/>
  <c r="N279" i="41" s="1"/>
  <c r="O279" i="41" s="1"/>
  <c r="P279" i="41" s="1"/>
  <c r="Q279" i="41" s="1"/>
  <c r="R279" i="41" s="1"/>
  <c r="S279" i="41" s="1"/>
  <c r="T279" i="41" s="1"/>
  <c r="U279" i="41" s="1"/>
  <c r="V279" i="41" s="1"/>
  <c r="W279" i="41" s="1"/>
  <c r="X279" i="41" s="1"/>
  <c r="Y279" i="41" s="1"/>
  <c r="C280" i="41" s="1"/>
  <c r="D280" i="41" s="1"/>
  <c r="E280" i="41" s="1"/>
  <c r="F280" i="41" s="1"/>
  <c r="G280" i="41" s="1"/>
  <c r="H280" i="41" s="1"/>
  <c r="I280" i="41" s="1"/>
  <c r="J280" i="41" s="1"/>
  <c r="K280" i="41" s="1"/>
  <c r="L280" i="41" s="1"/>
  <c r="M280" i="41" s="1"/>
  <c r="N280" i="41" s="1"/>
  <c r="O280" i="41" s="1"/>
  <c r="P280" i="41" s="1"/>
  <c r="Q280" i="41" s="1"/>
  <c r="R280" i="41" s="1"/>
  <c r="S280" i="41" s="1"/>
  <c r="T280" i="41" s="1"/>
  <c r="U280" i="41" s="1"/>
  <c r="V280" i="41" s="1"/>
  <c r="W280" i="41" s="1"/>
  <c r="X280" i="41" s="1"/>
  <c r="Y280" i="41" s="1"/>
  <c r="C281" i="41" s="1"/>
  <c r="D281" i="41" s="1"/>
  <c r="E281" i="41" s="1"/>
  <c r="F281" i="41" s="1"/>
  <c r="G281" i="41" s="1"/>
  <c r="H281" i="41" s="1"/>
  <c r="I281" i="41" s="1"/>
  <c r="J281" i="41" s="1"/>
  <c r="K281" i="41" s="1"/>
  <c r="L281" i="41" s="1"/>
  <c r="M281" i="41" s="1"/>
  <c r="N281" i="41" s="1"/>
  <c r="O281" i="41" s="1"/>
  <c r="P281" i="41" s="1"/>
  <c r="Q281" i="41" s="1"/>
  <c r="R281" i="41" s="1"/>
  <c r="S281" i="41" s="1"/>
  <c r="T281" i="41" s="1"/>
  <c r="U281" i="41" s="1"/>
  <c r="V281" i="41" s="1"/>
  <c r="W281" i="41" s="1"/>
  <c r="X281" i="41" s="1"/>
  <c r="Y281" i="41" s="1"/>
  <c r="C282" i="41" s="1"/>
  <c r="D282" i="41" s="1"/>
  <c r="E282" i="41" s="1"/>
  <c r="F282" i="41" s="1"/>
  <c r="G282" i="41" s="1"/>
  <c r="H282" i="41" s="1"/>
  <c r="I282" i="41" s="1"/>
  <c r="J282" i="41" s="1"/>
  <c r="K282" i="41" s="1"/>
  <c r="L282" i="41" s="1"/>
  <c r="M282" i="41" s="1"/>
  <c r="N282" i="41" s="1"/>
  <c r="O282" i="41" s="1"/>
  <c r="P282" i="41" s="1"/>
  <c r="Q282" i="41" s="1"/>
  <c r="R282" i="41" s="1"/>
  <c r="S282" i="41" s="1"/>
  <c r="T282" i="41" s="1"/>
  <c r="U282" i="41" s="1"/>
  <c r="V282" i="41" s="1"/>
  <c r="W282" i="41" s="1"/>
  <c r="X282" i="41" s="1"/>
  <c r="Y282" i="41" s="1"/>
  <c r="C283" i="41" s="1"/>
  <c r="D283" i="41" s="1"/>
  <c r="E283" i="41" s="1"/>
  <c r="F283" i="41" s="1"/>
  <c r="G283" i="41" s="1"/>
  <c r="H283" i="41" s="1"/>
  <c r="I283" i="41" s="1"/>
  <c r="J283" i="41" s="1"/>
  <c r="K283" i="41" s="1"/>
  <c r="L283" i="41" s="1"/>
  <c r="M283" i="41" s="1"/>
  <c r="N283" i="41" s="1"/>
  <c r="O283" i="41" s="1"/>
  <c r="P283" i="41" s="1"/>
  <c r="Q283" i="41" s="1"/>
  <c r="R283" i="41" s="1"/>
  <c r="S283" i="41" s="1"/>
  <c r="T283" i="41" s="1"/>
  <c r="U283" i="41" s="1"/>
  <c r="V283" i="41" s="1"/>
  <c r="W283" i="41" s="1"/>
  <c r="X283" i="41" s="1"/>
  <c r="Y283" i="41" s="1"/>
  <c r="C284" i="41" s="1"/>
  <c r="D284" i="41" s="1"/>
  <c r="E284" i="41" s="1"/>
  <c r="F284" i="41" s="1"/>
  <c r="G284" i="41" s="1"/>
  <c r="H284" i="41" s="1"/>
  <c r="I284" i="41" s="1"/>
  <c r="J284" i="41" s="1"/>
  <c r="K284" i="41" s="1"/>
  <c r="L284" i="41" s="1"/>
  <c r="M284" i="41" s="1"/>
  <c r="N284" i="41" s="1"/>
  <c r="O284" i="41" s="1"/>
  <c r="P284" i="41" s="1"/>
  <c r="Q284" i="41" s="1"/>
  <c r="R284" i="41" s="1"/>
  <c r="S284" i="41" s="1"/>
  <c r="T284" i="41" s="1"/>
  <c r="U284" i="41" s="1"/>
  <c r="V284" i="41" s="1"/>
  <c r="W284" i="41" s="1"/>
  <c r="X284" i="41" s="1"/>
  <c r="Y284" i="41" s="1"/>
  <c r="C285" i="41" s="1"/>
  <c r="D285" i="41" s="1"/>
  <c r="E285" i="41" s="1"/>
  <c r="F285" i="41" s="1"/>
  <c r="G285" i="41" s="1"/>
  <c r="H285" i="41" s="1"/>
  <c r="I285" i="41" s="1"/>
  <c r="J285" i="41" s="1"/>
  <c r="K285" i="41" s="1"/>
  <c r="L285" i="41" s="1"/>
  <c r="M285" i="41" s="1"/>
  <c r="N285" i="41" s="1"/>
  <c r="O285" i="41" s="1"/>
  <c r="P285" i="41" s="1"/>
  <c r="Q285" i="41" s="1"/>
  <c r="R285" i="41" s="1"/>
  <c r="S285" i="41" s="1"/>
  <c r="T285" i="41" s="1"/>
  <c r="U285" i="41" s="1"/>
  <c r="V285" i="41" s="1"/>
  <c r="W285" i="41" s="1"/>
  <c r="X285" i="41" s="1"/>
  <c r="Y285" i="41" s="1"/>
  <c r="C286" i="41" s="1"/>
  <c r="D286" i="41" s="1"/>
  <c r="E286" i="41" s="1"/>
  <c r="F286" i="41" s="1"/>
  <c r="G286" i="41" s="1"/>
  <c r="H286" i="41" s="1"/>
  <c r="I286" i="41" s="1"/>
  <c r="J286" i="41" s="1"/>
  <c r="K286" i="41" s="1"/>
  <c r="L286" i="41" s="1"/>
  <c r="M286" i="41" s="1"/>
  <c r="N286" i="41" s="1"/>
  <c r="O286" i="41" s="1"/>
  <c r="P286" i="41" s="1"/>
  <c r="Q286" i="41" s="1"/>
  <c r="R286" i="41" s="1"/>
  <c r="S286" i="41" s="1"/>
  <c r="T286" i="41" s="1"/>
  <c r="U286" i="41" s="1"/>
  <c r="V286" i="41" s="1"/>
  <c r="W286" i="41" s="1"/>
  <c r="X286" i="41" s="1"/>
  <c r="Y286" i="41" s="1"/>
  <c r="I184" i="39"/>
  <c r="I228" i="39"/>
  <c r="C268" i="39"/>
  <c r="D268" i="39" s="1"/>
  <c r="E268" i="39" s="1"/>
  <c r="F268" i="39" s="1"/>
  <c r="G268" i="39" s="1"/>
  <c r="H268" i="39" s="1"/>
  <c r="I268" i="39" s="1"/>
  <c r="J268" i="39" s="1"/>
  <c r="K268" i="39" s="1"/>
  <c r="L268" i="39" s="1"/>
  <c r="M268" i="39" s="1"/>
  <c r="N268" i="39" s="1"/>
  <c r="O268" i="39" s="1"/>
  <c r="P268" i="39" s="1"/>
  <c r="Q268" i="39" s="1"/>
  <c r="R268" i="39" s="1"/>
  <c r="S268" i="39" s="1"/>
  <c r="T268" i="39" s="1"/>
  <c r="U268" i="39" s="1"/>
  <c r="V268" i="39" s="1"/>
  <c r="W268" i="39" s="1"/>
  <c r="X268" i="39" s="1"/>
  <c r="Y268" i="39" s="1"/>
  <c r="C269" i="39" s="1"/>
  <c r="D269" i="39" s="1"/>
  <c r="E269" i="39" s="1"/>
  <c r="F269" i="39" s="1"/>
  <c r="G269" i="39" s="1"/>
  <c r="H269" i="39" s="1"/>
  <c r="I269" i="39" s="1"/>
  <c r="J269" i="39" s="1"/>
  <c r="K269" i="39" s="1"/>
  <c r="L269" i="39" s="1"/>
  <c r="M269" i="39" s="1"/>
  <c r="N269" i="39" s="1"/>
  <c r="O269" i="39" s="1"/>
  <c r="P269" i="39" s="1"/>
  <c r="Q269" i="39" s="1"/>
  <c r="R269" i="39" s="1"/>
  <c r="S269" i="39" s="1"/>
  <c r="T269" i="39" s="1"/>
  <c r="U269" i="39" s="1"/>
  <c r="V269" i="39" s="1"/>
  <c r="W269" i="39" s="1"/>
  <c r="X269" i="39" s="1"/>
  <c r="Y269" i="39" s="1"/>
  <c r="C270" i="39" s="1"/>
  <c r="D270" i="39" s="1"/>
  <c r="E270" i="39" s="1"/>
  <c r="F270" i="39" s="1"/>
  <c r="G270" i="39" s="1"/>
  <c r="H270" i="39" s="1"/>
  <c r="I270" i="39" s="1"/>
  <c r="J270" i="39" s="1"/>
  <c r="K270" i="39" s="1"/>
  <c r="L270" i="39" s="1"/>
  <c r="M270" i="39" s="1"/>
  <c r="N270" i="39" s="1"/>
  <c r="O270" i="39" s="1"/>
  <c r="P270" i="39" s="1"/>
  <c r="Q270" i="39" s="1"/>
  <c r="R270" i="39" s="1"/>
  <c r="S270" i="39" s="1"/>
  <c r="T270" i="39" s="1"/>
  <c r="U270" i="39" s="1"/>
  <c r="V270" i="39" s="1"/>
  <c r="W270" i="39" s="1"/>
  <c r="X270" i="39" s="1"/>
  <c r="Y270" i="39" s="1"/>
  <c r="C271" i="39" s="1"/>
  <c r="D271" i="39" s="1"/>
  <c r="E271" i="39" s="1"/>
  <c r="F271" i="39" s="1"/>
  <c r="G271" i="39" s="1"/>
  <c r="H271" i="39" s="1"/>
  <c r="I271" i="39" s="1"/>
  <c r="J271" i="39" s="1"/>
  <c r="K271" i="39" s="1"/>
  <c r="L271" i="39" s="1"/>
  <c r="M271" i="39" s="1"/>
  <c r="N271" i="39" s="1"/>
  <c r="O271" i="39" s="1"/>
  <c r="P271" i="39" s="1"/>
  <c r="Q271" i="39" s="1"/>
  <c r="R271" i="39" s="1"/>
  <c r="S271" i="39" s="1"/>
  <c r="T271" i="39" s="1"/>
  <c r="U271" i="39" s="1"/>
  <c r="V271" i="39" s="1"/>
  <c r="W271" i="39" s="1"/>
  <c r="X271" i="39" s="1"/>
  <c r="Y271" i="39" s="1"/>
  <c r="C272" i="39" s="1"/>
  <c r="D272" i="39" s="1"/>
  <c r="E272" i="39" s="1"/>
  <c r="F272" i="39" s="1"/>
  <c r="G272" i="39" s="1"/>
  <c r="H272" i="39" s="1"/>
  <c r="I272" i="39" s="1"/>
  <c r="J272" i="39" s="1"/>
  <c r="K272" i="39" s="1"/>
  <c r="L272" i="39" s="1"/>
  <c r="M272" i="39" s="1"/>
  <c r="N272" i="39" s="1"/>
  <c r="O272" i="39" s="1"/>
  <c r="P272" i="39" s="1"/>
  <c r="Q272" i="39" s="1"/>
  <c r="R272" i="39" s="1"/>
  <c r="S272" i="39" s="1"/>
  <c r="T272" i="39" s="1"/>
  <c r="U272" i="39" s="1"/>
  <c r="V272" i="39" s="1"/>
  <c r="W272" i="39" s="1"/>
  <c r="X272" i="39" s="1"/>
  <c r="Y272" i="39" s="1"/>
  <c r="C273" i="39" s="1"/>
  <c r="D273" i="39" s="1"/>
  <c r="E273" i="39" s="1"/>
  <c r="F273" i="39" s="1"/>
  <c r="G273" i="39" s="1"/>
  <c r="H273" i="39" s="1"/>
  <c r="I273" i="39" s="1"/>
  <c r="J273" i="39" s="1"/>
  <c r="K273" i="39" s="1"/>
  <c r="L273" i="39" s="1"/>
  <c r="M273" i="39" s="1"/>
  <c r="N273" i="39" s="1"/>
  <c r="O273" i="39" s="1"/>
  <c r="P273" i="39" s="1"/>
  <c r="Q273" i="39" s="1"/>
  <c r="R273" i="39" s="1"/>
  <c r="S273" i="39" s="1"/>
  <c r="T273" i="39" s="1"/>
  <c r="U273" i="39" s="1"/>
  <c r="V273" i="39" s="1"/>
  <c r="W273" i="39" s="1"/>
  <c r="X273" i="39" s="1"/>
  <c r="Y273" i="39" s="1"/>
  <c r="C274" i="39" s="1"/>
  <c r="D274" i="39" s="1"/>
  <c r="E274" i="39" s="1"/>
  <c r="F274" i="39" s="1"/>
  <c r="G274" i="39" s="1"/>
  <c r="H274" i="39" s="1"/>
  <c r="I274" i="39" s="1"/>
  <c r="J274" i="39" s="1"/>
  <c r="K274" i="39" s="1"/>
  <c r="L274" i="39" s="1"/>
  <c r="M274" i="39" s="1"/>
  <c r="N274" i="39" s="1"/>
  <c r="O274" i="39" s="1"/>
  <c r="P274" i="39" s="1"/>
  <c r="Q274" i="39" s="1"/>
  <c r="R274" i="39" s="1"/>
  <c r="S274" i="39" s="1"/>
  <c r="T274" i="39" s="1"/>
  <c r="U274" i="39" s="1"/>
  <c r="V274" i="39" s="1"/>
  <c r="W274" i="39" s="1"/>
  <c r="X274" i="39" s="1"/>
  <c r="Y274" i="39" s="1"/>
  <c r="C275" i="39" s="1"/>
  <c r="D275" i="39" s="1"/>
  <c r="E275" i="39" s="1"/>
  <c r="F275" i="39" s="1"/>
  <c r="G275" i="39" s="1"/>
  <c r="H275" i="39" s="1"/>
  <c r="I275" i="39" s="1"/>
  <c r="J275" i="39" s="1"/>
  <c r="K275" i="39" s="1"/>
  <c r="L275" i="39" s="1"/>
  <c r="M275" i="39" s="1"/>
  <c r="N275" i="39" s="1"/>
  <c r="O275" i="39" s="1"/>
  <c r="P275" i="39" s="1"/>
  <c r="Q275" i="39" s="1"/>
  <c r="R275" i="39" s="1"/>
  <c r="S275" i="39" s="1"/>
  <c r="T275" i="39" s="1"/>
  <c r="U275" i="39" s="1"/>
  <c r="V275" i="39" s="1"/>
  <c r="W275" i="39" s="1"/>
  <c r="X275" i="39" s="1"/>
  <c r="Y275" i="39" s="1"/>
  <c r="C276" i="39" s="1"/>
  <c r="D276" i="39" s="1"/>
  <c r="E276" i="39" s="1"/>
  <c r="F276" i="39" s="1"/>
  <c r="G276" i="39" s="1"/>
  <c r="H276" i="39" s="1"/>
  <c r="I276" i="39" s="1"/>
  <c r="J276" i="39" s="1"/>
  <c r="K276" i="39" s="1"/>
  <c r="L276" i="39" s="1"/>
  <c r="M276" i="39" s="1"/>
  <c r="N276" i="39" s="1"/>
  <c r="O276" i="39" s="1"/>
  <c r="P276" i="39" s="1"/>
  <c r="Q276" i="39" s="1"/>
  <c r="R276" i="39" s="1"/>
  <c r="S276" i="39" s="1"/>
  <c r="T276" i="39" s="1"/>
  <c r="U276" i="39" s="1"/>
  <c r="V276" i="39" s="1"/>
  <c r="W276" i="39" s="1"/>
  <c r="X276" i="39" s="1"/>
  <c r="Y276" i="39" s="1"/>
  <c r="C277" i="39" s="1"/>
  <c r="D277" i="39" s="1"/>
  <c r="E277" i="39" s="1"/>
  <c r="F277" i="39" s="1"/>
  <c r="G277" i="39" s="1"/>
  <c r="H277" i="39" s="1"/>
  <c r="I277" i="39" s="1"/>
  <c r="J277" i="39" s="1"/>
  <c r="K277" i="39" s="1"/>
  <c r="L277" i="39" s="1"/>
  <c r="M277" i="39" s="1"/>
  <c r="N277" i="39" s="1"/>
  <c r="O277" i="39" s="1"/>
  <c r="P277" i="39" s="1"/>
  <c r="Q277" i="39" s="1"/>
  <c r="R277" i="39" s="1"/>
  <c r="S277" i="39" s="1"/>
  <c r="T277" i="39" s="1"/>
  <c r="U277" i="39" s="1"/>
  <c r="V277" i="39" s="1"/>
  <c r="W277" i="39" s="1"/>
  <c r="X277" i="39" s="1"/>
  <c r="Y277" i="39" s="1"/>
  <c r="C278" i="39" s="1"/>
  <c r="D278" i="39" s="1"/>
  <c r="E278" i="39" s="1"/>
  <c r="F278" i="39" s="1"/>
  <c r="G278" i="39" s="1"/>
  <c r="H278" i="39" s="1"/>
  <c r="I278" i="39" s="1"/>
  <c r="J278" i="39" s="1"/>
  <c r="K278" i="39" s="1"/>
  <c r="L278" i="39" s="1"/>
  <c r="M278" i="39" s="1"/>
  <c r="N278" i="39" s="1"/>
  <c r="O278" i="39" s="1"/>
  <c r="P278" i="39" s="1"/>
  <c r="Q278" i="39" s="1"/>
  <c r="R278" i="39" s="1"/>
  <c r="S278" i="39" s="1"/>
  <c r="T278" i="39" s="1"/>
  <c r="U278" i="39" s="1"/>
  <c r="V278" i="39" s="1"/>
  <c r="W278" i="39" s="1"/>
  <c r="X278" i="39" s="1"/>
  <c r="Y278" i="39" s="1"/>
  <c r="C279" i="39" s="1"/>
  <c r="D279" i="39" s="1"/>
  <c r="E279" i="39" s="1"/>
  <c r="F279" i="39" s="1"/>
  <c r="G279" i="39" s="1"/>
  <c r="H279" i="39" s="1"/>
  <c r="I279" i="39" s="1"/>
  <c r="J279" i="39" s="1"/>
  <c r="K279" i="39" s="1"/>
  <c r="L279" i="39" s="1"/>
  <c r="M279" i="39" s="1"/>
  <c r="N279" i="39" s="1"/>
  <c r="O279" i="39" s="1"/>
  <c r="P279" i="39" s="1"/>
  <c r="Q279" i="39" s="1"/>
  <c r="R279" i="39" s="1"/>
  <c r="S279" i="39" s="1"/>
  <c r="T279" i="39" s="1"/>
  <c r="U279" i="39" s="1"/>
  <c r="V279" i="39" s="1"/>
  <c r="W279" i="39" s="1"/>
  <c r="X279" i="39" s="1"/>
  <c r="Y279" i="39" s="1"/>
  <c r="C280" i="39" s="1"/>
  <c r="D280" i="39" s="1"/>
  <c r="E280" i="39" s="1"/>
  <c r="F280" i="39" s="1"/>
  <c r="G280" i="39" s="1"/>
  <c r="H280" i="39" s="1"/>
  <c r="I280" i="39" s="1"/>
  <c r="J280" i="39" s="1"/>
  <c r="K280" i="39" s="1"/>
  <c r="L280" i="39" s="1"/>
  <c r="M280" i="39" s="1"/>
  <c r="N280" i="39" s="1"/>
  <c r="O280" i="39" s="1"/>
  <c r="P280" i="39" s="1"/>
  <c r="Q280" i="39" s="1"/>
  <c r="R280" i="39" s="1"/>
  <c r="S280" i="39" s="1"/>
  <c r="T280" i="39" s="1"/>
  <c r="U280" i="39" s="1"/>
  <c r="V280" i="39" s="1"/>
  <c r="W280" i="39" s="1"/>
  <c r="X280" i="39" s="1"/>
  <c r="Y280" i="39" s="1"/>
  <c r="C281" i="39" s="1"/>
  <c r="D281" i="39" s="1"/>
  <c r="E281" i="39" s="1"/>
  <c r="F281" i="39" s="1"/>
  <c r="G281" i="39" s="1"/>
  <c r="H281" i="39" s="1"/>
  <c r="I281" i="39" s="1"/>
  <c r="J281" i="39" s="1"/>
  <c r="K281" i="39" s="1"/>
  <c r="L281" i="39" s="1"/>
  <c r="M281" i="39" s="1"/>
  <c r="N281" i="39" s="1"/>
  <c r="O281" i="39" s="1"/>
  <c r="P281" i="39" s="1"/>
  <c r="Q281" i="39" s="1"/>
  <c r="R281" i="39" s="1"/>
  <c r="S281" i="39" s="1"/>
  <c r="T281" i="39" s="1"/>
  <c r="U281" i="39" s="1"/>
  <c r="V281" i="39" s="1"/>
  <c r="W281" i="39" s="1"/>
  <c r="X281" i="39" s="1"/>
  <c r="Y281" i="39" s="1"/>
  <c r="C282" i="39" s="1"/>
  <c r="D282" i="39" s="1"/>
  <c r="E282" i="39" s="1"/>
  <c r="F282" i="39" s="1"/>
  <c r="G282" i="39" s="1"/>
  <c r="H282" i="39" s="1"/>
  <c r="I282" i="39" s="1"/>
  <c r="J282" i="39" s="1"/>
  <c r="K282" i="39" s="1"/>
  <c r="L282" i="39" s="1"/>
  <c r="M282" i="39" s="1"/>
  <c r="N282" i="39" s="1"/>
  <c r="O282" i="39" s="1"/>
  <c r="P282" i="39" s="1"/>
  <c r="Q282" i="39" s="1"/>
  <c r="R282" i="39" s="1"/>
  <c r="S282" i="39" s="1"/>
  <c r="T282" i="39" s="1"/>
  <c r="U282" i="39" s="1"/>
  <c r="V282" i="39" s="1"/>
  <c r="W282" i="39" s="1"/>
  <c r="X282" i="39" s="1"/>
  <c r="Y282" i="39" s="1"/>
  <c r="C283" i="39" s="1"/>
  <c r="D283" i="39" s="1"/>
  <c r="E283" i="39" s="1"/>
  <c r="F283" i="39" s="1"/>
  <c r="G283" i="39" s="1"/>
  <c r="H283" i="39" s="1"/>
  <c r="I283" i="39" s="1"/>
  <c r="J283" i="39" s="1"/>
  <c r="K283" i="39" s="1"/>
  <c r="L283" i="39" s="1"/>
  <c r="M283" i="39" s="1"/>
  <c r="N283" i="39" s="1"/>
  <c r="O283" i="39" s="1"/>
  <c r="P283" i="39" s="1"/>
  <c r="Q283" i="39" s="1"/>
  <c r="R283" i="39" s="1"/>
  <c r="S283" i="39" s="1"/>
  <c r="T283" i="39" s="1"/>
  <c r="U283" i="39" s="1"/>
  <c r="V283" i="39" s="1"/>
  <c r="W283" i="39" s="1"/>
  <c r="X283" i="39" s="1"/>
  <c r="Y283" i="39" s="1"/>
  <c r="C284" i="39" s="1"/>
  <c r="D284" i="39" s="1"/>
  <c r="E284" i="39" s="1"/>
  <c r="F284" i="39" s="1"/>
  <c r="G284" i="39" s="1"/>
  <c r="H284" i="39" s="1"/>
  <c r="I284" i="39" s="1"/>
  <c r="J284" i="39" s="1"/>
  <c r="K284" i="39" s="1"/>
  <c r="L284" i="39" s="1"/>
  <c r="M284" i="39" s="1"/>
  <c r="N284" i="39" s="1"/>
  <c r="O284" i="39" s="1"/>
  <c r="P284" i="39" s="1"/>
  <c r="Q284" i="39" s="1"/>
  <c r="R284" i="39" s="1"/>
  <c r="S284" i="39" s="1"/>
  <c r="T284" i="39" s="1"/>
  <c r="U284" i="39" s="1"/>
  <c r="V284" i="39" s="1"/>
  <c r="W284" i="39" s="1"/>
  <c r="X284" i="39" s="1"/>
  <c r="Y284" i="39" s="1"/>
  <c r="C285" i="39" s="1"/>
  <c r="D285" i="39" s="1"/>
  <c r="E285" i="39" s="1"/>
  <c r="F285" i="39" s="1"/>
  <c r="G285" i="39" s="1"/>
  <c r="H285" i="39" s="1"/>
  <c r="I285" i="39" s="1"/>
  <c r="J285" i="39" s="1"/>
  <c r="K285" i="39" s="1"/>
  <c r="L285" i="39" s="1"/>
  <c r="M285" i="39" s="1"/>
  <c r="N285" i="39" s="1"/>
  <c r="O285" i="39" s="1"/>
  <c r="P285" i="39" s="1"/>
  <c r="Q285" i="39" s="1"/>
  <c r="R285" i="39" s="1"/>
  <c r="S285" i="39" s="1"/>
  <c r="T285" i="39" s="1"/>
  <c r="U285" i="39" s="1"/>
  <c r="V285" i="39" s="1"/>
  <c r="W285" i="39" s="1"/>
  <c r="X285" i="39" s="1"/>
  <c r="Y285" i="39" s="1"/>
  <c r="C286" i="39" s="1"/>
  <c r="D286" i="39" s="1"/>
  <c r="E286" i="39" s="1"/>
  <c r="F286" i="39" s="1"/>
  <c r="G286" i="39" s="1"/>
  <c r="H286" i="39" s="1"/>
  <c r="I286" i="39" s="1"/>
  <c r="J286" i="39" s="1"/>
  <c r="K286" i="39" s="1"/>
  <c r="L286" i="39" s="1"/>
  <c r="M286" i="39" s="1"/>
  <c r="N286" i="39" s="1"/>
  <c r="O286" i="39" s="1"/>
  <c r="P286" i="39" s="1"/>
  <c r="Q286" i="39" s="1"/>
  <c r="R286" i="39" s="1"/>
  <c r="S286" i="39" s="1"/>
  <c r="T286" i="39" s="1"/>
  <c r="U286" i="39" s="1"/>
  <c r="V286" i="39" s="1"/>
  <c r="W286" i="39" s="1"/>
  <c r="X286" i="39" s="1"/>
  <c r="Y286" i="39" s="1"/>
  <c r="I228" i="38"/>
  <c r="I184" i="38"/>
  <c r="C267" i="38"/>
  <c r="D267" i="38" s="1"/>
  <c r="E267" i="38" s="1"/>
  <c r="F267" i="38" s="1"/>
  <c r="G267" i="38" s="1"/>
  <c r="H267" i="38" s="1"/>
  <c r="I267" i="38" s="1"/>
  <c r="J267" i="38" s="1"/>
  <c r="K267" i="38" s="1"/>
  <c r="L267" i="38" s="1"/>
  <c r="M267" i="38" s="1"/>
  <c r="N267" i="38" s="1"/>
  <c r="O267" i="38" s="1"/>
  <c r="P267" i="38" s="1"/>
  <c r="Q267" i="38" s="1"/>
  <c r="R267" i="38" s="1"/>
  <c r="S267" i="38" s="1"/>
  <c r="T267" i="38" s="1"/>
  <c r="U267" i="38" s="1"/>
  <c r="V267" i="38" s="1"/>
  <c r="W267" i="38" s="1"/>
  <c r="X267" i="38" s="1"/>
  <c r="Y267" i="38" s="1"/>
  <c r="C268" i="38" s="1"/>
  <c r="D268" i="38" s="1"/>
  <c r="E268" i="38" s="1"/>
  <c r="F268" i="38" s="1"/>
  <c r="G268" i="38" s="1"/>
  <c r="H268" i="38" s="1"/>
  <c r="I268" i="38" s="1"/>
  <c r="J268" i="38" s="1"/>
  <c r="K268" i="38" s="1"/>
  <c r="L268" i="38" s="1"/>
  <c r="M268" i="38" s="1"/>
  <c r="N268" i="38" s="1"/>
  <c r="O268" i="38" s="1"/>
  <c r="P268" i="38" s="1"/>
  <c r="Q268" i="38" s="1"/>
  <c r="R268" i="38" s="1"/>
  <c r="S268" i="38" s="1"/>
  <c r="T268" i="38" s="1"/>
  <c r="U268" i="38" s="1"/>
  <c r="V268" i="38" s="1"/>
  <c r="W268" i="38" s="1"/>
  <c r="X268" i="38" s="1"/>
  <c r="Y268" i="38" s="1"/>
  <c r="C269" i="38" s="1"/>
  <c r="D269" i="38" s="1"/>
  <c r="E269" i="38" s="1"/>
  <c r="F269" i="38" s="1"/>
  <c r="G269" i="38" s="1"/>
  <c r="H269" i="38" s="1"/>
  <c r="I269" i="38" s="1"/>
  <c r="J269" i="38" s="1"/>
  <c r="K269" i="38" s="1"/>
  <c r="L269" i="38" s="1"/>
  <c r="M269" i="38" s="1"/>
  <c r="N269" i="38" s="1"/>
  <c r="O269" i="38" s="1"/>
  <c r="P269" i="38" s="1"/>
  <c r="Q269" i="38" s="1"/>
  <c r="R269" i="38" s="1"/>
  <c r="S269" i="38" s="1"/>
  <c r="T269" i="38" s="1"/>
  <c r="U269" i="38" s="1"/>
  <c r="V269" i="38" s="1"/>
  <c r="W269" i="38" s="1"/>
  <c r="X269" i="38" s="1"/>
  <c r="Y269" i="38" s="1"/>
  <c r="C270" i="38" s="1"/>
  <c r="D270" i="38" s="1"/>
  <c r="E270" i="38" s="1"/>
  <c r="F270" i="38" s="1"/>
  <c r="G270" i="38" s="1"/>
  <c r="H270" i="38" s="1"/>
  <c r="I270" i="38" s="1"/>
  <c r="J270" i="38" s="1"/>
  <c r="K270" i="38" s="1"/>
  <c r="L270" i="38" s="1"/>
  <c r="M270" i="38" s="1"/>
  <c r="N270" i="38" s="1"/>
  <c r="O270" i="38" s="1"/>
  <c r="P270" i="38" s="1"/>
  <c r="Q270" i="38" s="1"/>
  <c r="R270" i="38" s="1"/>
  <c r="S270" i="38" s="1"/>
  <c r="T270" i="38" s="1"/>
  <c r="U270" i="38" s="1"/>
  <c r="V270" i="38" s="1"/>
  <c r="W270" i="38" s="1"/>
  <c r="X270" i="38" s="1"/>
  <c r="Y270" i="38" s="1"/>
  <c r="C271" i="38" s="1"/>
  <c r="D271" i="38" s="1"/>
  <c r="E271" i="38" s="1"/>
  <c r="F271" i="38" s="1"/>
  <c r="G271" i="38" s="1"/>
  <c r="H271" i="38" s="1"/>
  <c r="I271" i="38" s="1"/>
  <c r="J271" i="38" s="1"/>
  <c r="K271" i="38" s="1"/>
  <c r="L271" i="38" s="1"/>
  <c r="M271" i="38" s="1"/>
  <c r="N271" i="38" s="1"/>
  <c r="O271" i="38" s="1"/>
  <c r="P271" i="38" s="1"/>
  <c r="Q271" i="38" s="1"/>
  <c r="R271" i="38" s="1"/>
  <c r="S271" i="38" s="1"/>
  <c r="T271" i="38" s="1"/>
  <c r="U271" i="38" s="1"/>
  <c r="V271" i="38" s="1"/>
  <c r="W271" i="38" s="1"/>
  <c r="X271" i="38" s="1"/>
  <c r="Y271" i="38" s="1"/>
  <c r="C272" i="38" s="1"/>
  <c r="D272" i="38" s="1"/>
  <c r="E272" i="38" s="1"/>
  <c r="F272" i="38" s="1"/>
  <c r="G272" i="38" s="1"/>
  <c r="H272" i="38" s="1"/>
  <c r="I272" i="38" s="1"/>
  <c r="J272" i="38" s="1"/>
  <c r="K272" i="38" s="1"/>
  <c r="L272" i="38" s="1"/>
  <c r="M272" i="38" s="1"/>
  <c r="N272" i="38" s="1"/>
  <c r="O272" i="38" s="1"/>
  <c r="P272" i="38" s="1"/>
  <c r="Q272" i="38" s="1"/>
  <c r="R272" i="38" s="1"/>
  <c r="S272" i="38" s="1"/>
  <c r="T272" i="38" s="1"/>
  <c r="U272" i="38" s="1"/>
  <c r="V272" i="38" s="1"/>
  <c r="W272" i="38" s="1"/>
  <c r="X272" i="38" s="1"/>
  <c r="Y272" i="38" s="1"/>
  <c r="C273" i="38" s="1"/>
  <c r="D273" i="38" s="1"/>
  <c r="E273" i="38" s="1"/>
  <c r="F273" i="38" s="1"/>
  <c r="G273" i="38" s="1"/>
  <c r="H273" i="38" s="1"/>
  <c r="I273" i="38" s="1"/>
  <c r="J273" i="38" s="1"/>
  <c r="K273" i="38" s="1"/>
  <c r="L273" i="38" s="1"/>
  <c r="M273" i="38" s="1"/>
  <c r="N273" i="38" s="1"/>
  <c r="O273" i="38" s="1"/>
  <c r="P273" i="38" s="1"/>
  <c r="Q273" i="38" s="1"/>
  <c r="R273" i="38" s="1"/>
  <c r="S273" i="38" s="1"/>
  <c r="T273" i="38" s="1"/>
  <c r="U273" i="38" s="1"/>
  <c r="V273" i="38" s="1"/>
  <c r="W273" i="38" s="1"/>
  <c r="X273" i="38" s="1"/>
  <c r="Y273" i="38" s="1"/>
  <c r="C274" i="38" s="1"/>
  <c r="D274" i="38" s="1"/>
  <c r="E274" i="38" s="1"/>
  <c r="F274" i="38" s="1"/>
  <c r="G274" i="38" s="1"/>
  <c r="H274" i="38" s="1"/>
  <c r="I274" i="38" s="1"/>
  <c r="J274" i="38" s="1"/>
  <c r="K274" i="38" s="1"/>
  <c r="L274" i="38" s="1"/>
  <c r="M274" i="38" s="1"/>
  <c r="N274" i="38" s="1"/>
  <c r="O274" i="38" s="1"/>
  <c r="P274" i="38" s="1"/>
  <c r="Q274" i="38" s="1"/>
  <c r="R274" i="38" s="1"/>
  <c r="S274" i="38" s="1"/>
  <c r="T274" i="38" s="1"/>
  <c r="U274" i="38" s="1"/>
  <c r="V274" i="38" s="1"/>
  <c r="W274" i="38" s="1"/>
  <c r="X274" i="38" s="1"/>
  <c r="Y274" i="38" s="1"/>
  <c r="C275" i="38" s="1"/>
  <c r="D275" i="38" s="1"/>
  <c r="E275" i="38" s="1"/>
  <c r="F275" i="38" s="1"/>
  <c r="G275" i="38" s="1"/>
  <c r="H275" i="38" s="1"/>
  <c r="I275" i="38" s="1"/>
  <c r="J275" i="38" s="1"/>
  <c r="K275" i="38" s="1"/>
  <c r="L275" i="38" s="1"/>
  <c r="M275" i="38" s="1"/>
  <c r="N275" i="38" s="1"/>
  <c r="O275" i="38" s="1"/>
  <c r="P275" i="38" s="1"/>
  <c r="Q275" i="38" s="1"/>
  <c r="R275" i="38" s="1"/>
  <c r="S275" i="38" s="1"/>
  <c r="T275" i="38" s="1"/>
  <c r="U275" i="38" s="1"/>
  <c r="V275" i="38" s="1"/>
  <c r="W275" i="38" s="1"/>
  <c r="X275" i="38" s="1"/>
  <c r="Y275" i="38" s="1"/>
  <c r="C276" i="38" s="1"/>
  <c r="D276" i="38" s="1"/>
  <c r="E276" i="38" s="1"/>
  <c r="F276" i="38" s="1"/>
  <c r="G276" i="38" s="1"/>
  <c r="H276" i="38" s="1"/>
  <c r="I276" i="38" s="1"/>
  <c r="J276" i="38" s="1"/>
  <c r="K276" i="38" s="1"/>
  <c r="L276" i="38" s="1"/>
  <c r="M276" i="38" s="1"/>
  <c r="N276" i="38" s="1"/>
  <c r="O276" i="38" s="1"/>
  <c r="P276" i="38" s="1"/>
  <c r="Q276" i="38" s="1"/>
  <c r="R276" i="38" s="1"/>
  <c r="S276" i="38" s="1"/>
  <c r="T276" i="38" s="1"/>
  <c r="U276" i="38" s="1"/>
  <c r="V276" i="38" s="1"/>
  <c r="W276" i="38" s="1"/>
  <c r="X276" i="38" s="1"/>
  <c r="Y276" i="38" s="1"/>
  <c r="C277" i="38" s="1"/>
  <c r="D277" i="38" s="1"/>
  <c r="E277" i="38" s="1"/>
  <c r="F277" i="38" s="1"/>
  <c r="G277" i="38" s="1"/>
  <c r="H277" i="38" s="1"/>
  <c r="I277" i="38" s="1"/>
  <c r="J277" i="38" s="1"/>
  <c r="K277" i="38" s="1"/>
  <c r="L277" i="38" s="1"/>
  <c r="M277" i="38" s="1"/>
  <c r="N277" i="38" s="1"/>
  <c r="O277" i="38" s="1"/>
  <c r="P277" i="38" s="1"/>
  <c r="Q277" i="38" s="1"/>
  <c r="R277" i="38" s="1"/>
  <c r="S277" i="38" s="1"/>
  <c r="T277" i="38" s="1"/>
  <c r="U277" i="38" s="1"/>
  <c r="V277" i="38" s="1"/>
  <c r="W277" i="38" s="1"/>
  <c r="X277" i="38" s="1"/>
  <c r="Y277" i="38" s="1"/>
  <c r="C278" i="38" s="1"/>
  <c r="D278" i="38" s="1"/>
  <c r="E278" i="38" s="1"/>
  <c r="F278" i="38" s="1"/>
  <c r="G278" i="38" s="1"/>
  <c r="H278" i="38" s="1"/>
  <c r="I278" i="38" s="1"/>
  <c r="J278" i="38" s="1"/>
  <c r="K278" i="38" s="1"/>
  <c r="L278" i="38" s="1"/>
  <c r="M278" i="38" s="1"/>
  <c r="N278" i="38" s="1"/>
  <c r="O278" i="38" s="1"/>
  <c r="P278" i="38" s="1"/>
  <c r="Q278" i="38" s="1"/>
  <c r="R278" i="38" s="1"/>
  <c r="S278" i="38" s="1"/>
  <c r="T278" i="38" s="1"/>
  <c r="U278" i="38" s="1"/>
  <c r="V278" i="38" s="1"/>
  <c r="W278" i="38" s="1"/>
  <c r="X278" i="38" s="1"/>
  <c r="Y278" i="38" s="1"/>
  <c r="C279" i="38" s="1"/>
  <c r="D279" i="38" s="1"/>
  <c r="E279" i="38" s="1"/>
  <c r="F279" i="38" s="1"/>
  <c r="G279" i="38" s="1"/>
  <c r="H279" i="38" s="1"/>
  <c r="I279" i="38" s="1"/>
  <c r="J279" i="38" s="1"/>
  <c r="K279" i="38" s="1"/>
  <c r="L279" i="38" s="1"/>
  <c r="M279" i="38" s="1"/>
  <c r="N279" i="38" s="1"/>
  <c r="O279" i="38" s="1"/>
  <c r="P279" i="38" s="1"/>
  <c r="Q279" i="38" s="1"/>
  <c r="R279" i="38" s="1"/>
  <c r="S279" i="38" s="1"/>
  <c r="T279" i="38" s="1"/>
  <c r="U279" i="38" s="1"/>
  <c r="V279" i="38" s="1"/>
  <c r="W279" i="38" s="1"/>
  <c r="X279" i="38" s="1"/>
  <c r="Y279" i="38" s="1"/>
  <c r="C280" i="38" s="1"/>
  <c r="D280" i="38" s="1"/>
  <c r="E280" i="38" s="1"/>
  <c r="F280" i="38" s="1"/>
  <c r="G280" i="38" s="1"/>
  <c r="H280" i="38" s="1"/>
  <c r="I280" i="38" s="1"/>
  <c r="J280" i="38" s="1"/>
  <c r="K280" i="38" s="1"/>
  <c r="L280" i="38" s="1"/>
  <c r="M280" i="38" s="1"/>
  <c r="N280" i="38" s="1"/>
  <c r="O280" i="38" s="1"/>
  <c r="P280" i="38" s="1"/>
  <c r="Q280" i="38" s="1"/>
  <c r="R280" i="38" s="1"/>
  <c r="S280" i="38" s="1"/>
  <c r="T280" i="38" s="1"/>
  <c r="U280" i="38" s="1"/>
  <c r="V280" i="38" s="1"/>
  <c r="W280" i="38" s="1"/>
  <c r="X280" i="38" s="1"/>
  <c r="Y280" i="38" s="1"/>
  <c r="C281" i="38" s="1"/>
  <c r="D281" i="38" s="1"/>
  <c r="E281" i="38" s="1"/>
  <c r="F281" i="38" s="1"/>
  <c r="G281" i="38" s="1"/>
  <c r="H281" i="38" s="1"/>
  <c r="I281" i="38" s="1"/>
  <c r="J281" i="38" s="1"/>
  <c r="K281" i="38" s="1"/>
  <c r="L281" i="38" s="1"/>
  <c r="M281" i="38" s="1"/>
  <c r="N281" i="38" s="1"/>
  <c r="O281" i="38" s="1"/>
  <c r="P281" i="38" s="1"/>
  <c r="Q281" i="38" s="1"/>
  <c r="R281" i="38" s="1"/>
  <c r="S281" i="38" s="1"/>
  <c r="T281" i="38" s="1"/>
  <c r="U281" i="38" s="1"/>
  <c r="V281" i="38" s="1"/>
  <c r="W281" i="38" s="1"/>
  <c r="X281" i="38" s="1"/>
  <c r="Y281" i="38" s="1"/>
  <c r="C282" i="38" s="1"/>
  <c r="D282" i="38" s="1"/>
  <c r="E282" i="38" s="1"/>
  <c r="F282" i="38" s="1"/>
  <c r="G282" i="38" s="1"/>
  <c r="H282" i="38" s="1"/>
  <c r="I282" i="38" s="1"/>
  <c r="J282" i="38" s="1"/>
  <c r="K282" i="38" s="1"/>
  <c r="L282" i="38" s="1"/>
  <c r="M282" i="38" s="1"/>
  <c r="N282" i="38" s="1"/>
  <c r="O282" i="38" s="1"/>
  <c r="P282" i="38" s="1"/>
  <c r="Q282" i="38" s="1"/>
  <c r="R282" i="38" s="1"/>
  <c r="S282" i="38" s="1"/>
  <c r="T282" i="38" s="1"/>
  <c r="U282" i="38" s="1"/>
  <c r="V282" i="38" s="1"/>
  <c r="W282" i="38" s="1"/>
  <c r="X282" i="38" s="1"/>
  <c r="Y282" i="38" s="1"/>
  <c r="C283" i="38" s="1"/>
  <c r="D283" i="38" s="1"/>
  <c r="E283" i="38" s="1"/>
  <c r="F283" i="38" s="1"/>
  <c r="G283" i="38" s="1"/>
  <c r="H283" i="38" s="1"/>
  <c r="I283" i="38" s="1"/>
  <c r="J283" i="38" s="1"/>
  <c r="K283" i="38" s="1"/>
  <c r="L283" i="38" s="1"/>
  <c r="M283" i="38" s="1"/>
  <c r="N283" i="38" s="1"/>
  <c r="O283" i="38" s="1"/>
  <c r="P283" i="38" s="1"/>
  <c r="Q283" i="38" s="1"/>
  <c r="R283" i="38" s="1"/>
  <c r="S283" i="38" s="1"/>
  <c r="T283" i="38" s="1"/>
  <c r="U283" i="38" s="1"/>
  <c r="V283" i="38" s="1"/>
  <c r="W283" i="38" s="1"/>
  <c r="X283" i="38" s="1"/>
  <c r="Y283" i="38" s="1"/>
  <c r="C284" i="38" s="1"/>
  <c r="D284" i="38" s="1"/>
  <c r="E284" i="38" s="1"/>
  <c r="F284" i="38" s="1"/>
  <c r="G284" i="38" s="1"/>
  <c r="H284" i="38" s="1"/>
  <c r="I284" i="38" s="1"/>
  <c r="J284" i="38" s="1"/>
  <c r="K284" i="38" s="1"/>
  <c r="L284" i="38" s="1"/>
  <c r="M284" i="38" s="1"/>
  <c r="N284" i="38" s="1"/>
  <c r="O284" i="38" s="1"/>
  <c r="P284" i="38" s="1"/>
  <c r="Q284" i="38" s="1"/>
  <c r="R284" i="38" s="1"/>
  <c r="S284" i="38" s="1"/>
  <c r="T284" i="38" s="1"/>
  <c r="U284" i="38" s="1"/>
  <c r="V284" i="38" s="1"/>
  <c r="W284" i="38" s="1"/>
  <c r="X284" i="38" s="1"/>
  <c r="Y284" i="38" s="1"/>
  <c r="C285" i="38" s="1"/>
  <c r="D285" i="38" s="1"/>
  <c r="E285" i="38" s="1"/>
  <c r="F285" i="38" s="1"/>
  <c r="G285" i="38" s="1"/>
  <c r="H285" i="38" s="1"/>
  <c r="I285" i="38" s="1"/>
  <c r="J285" i="38" s="1"/>
  <c r="K285" i="38" s="1"/>
  <c r="L285" i="38" s="1"/>
  <c r="M285" i="38" s="1"/>
  <c r="N285" i="38" s="1"/>
  <c r="O285" i="38" s="1"/>
  <c r="P285" i="38" s="1"/>
  <c r="Q285" i="38" s="1"/>
  <c r="R285" i="38" s="1"/>
  <c r="S285" i="38" s="1"/>
  <c r="T285" i="38" s="1"/>
  <c r="U285" i="38" s="1"/>
  <c r="V285" i="38" s="1"/>
  <c r="W285" i="38" s="1"/>
  <c r="X285" i="38" s="1"/>
  <c r="Y285" i="38" s="1"/>
  <c r="C286" i="38" s="1"/>
  <c r="D286" i="38" s="1"/>
  <c r="E286" i="38" s="1"/>
  <c r="F286" i="38" s="1"/>
  <c r="G286" i="38" s="1"/>
  <c r="H286" i="38" s="1"/>
  <c r="I286" i="38" s="1"/>
  <c r="J286" i="38" s="1"/>
  <c r="K286" i="38" s="1"/>
  <c r="L286" i="38" s="1"/>
  <c r="M286" i="38" s="1"/>
  <c r="N286" i="38" s="1"/>
  <c r="O286" i="38" s="1"/>
  <c r="P286" i="38" s="1"/>
  <c r="Q286" i="38" s="1"/>
  <c r="R286" i="38" s="1"/>
  <c r="S286" i="38" s="1"/>
  <c r="T286" i="38" s="1"/>
  <c r="U286" i="38" s="1"/>
  <c r="V286" i="38" s="1"/>
  <c r="W286" i="38" s="1"/>
  <c r="X286" i="38" s="1"/>
  <c r="Y286" i="38" s="1"/>
  <c r="I228" i="37"/>
  <c r="I184" i="37"/>
  <c r="C266" i="37"/>
  <c r="D266" i="37" s="1"/>
  <c r="E266" i="37" s="1"/>
  <c r="F266" i="37" s="1"/>
  <c r="G266" i="37" s="1"/>
  <c r="H266" i="37" s="1"/>
  <c r="I266" i="37" s="1"/>
  <c r="J266" i="37" s="1"/>
  <c r="K266" i="37" s="1"/>
  <c r="L266" i="37" s="1"/>
  <c r="M266" i="37" s="1"/>
  <c r="N266" i="37" s="1"/>
  <c r="O266" i="37" s="1"/>
  <c r="P266" i="37" s="1"/>
  <c r="Q266" i="37" s="1"/>
  <c r="R266" i="37" s="1"/>
  <c r="S266" i="37" s="1"/>
  <c r="T266" i="37" s="1"/>
  <c r="U266" i="37" s="1"/>
  <c r="V266" i="37" s="1"/>
  <c r="W266" i="37" s="1"/>
  <c r="X266" i="37" s="1"/>
  <c r="Y266" i="37" s="1"/>
  <c r="C267" i="37" s="1"/>
  <c r="D267" i="37" s="1"/>
  <c r="E267" i="37" s="1"/>
  <c r="F267" i="37" s="1"/>
  <c r="G267" i="37" s="1"/>
  <c r="H267" i="37" s="1"/>
  <c r="I267" i="37" s="1"/>
  <c r="J267" i="37" s="1"/>
  <c r="K267" i="37" s="1"/>
  <c r="L267" i="37" s="1"/>
  <c r="M267" i="37" s="1"/>
  <c r="N267" i="37" s="1"/>
  <c r="O267" i="37" s="1"/>
  <c r="P267" i="37" s="1"/>
  <c r="Q267" i="37" s="1"/>
  <c r="R267" i="37" s="1"/>
  <c r="S267" i="37" s="1"/>
  <c r="T267" i="37" s="1"/>
  <c r="U267" i="37" s="1"/>
  <c r="V267" i="37" s="1"/>
  <c r="W267" i="37" s="1"/>
  <c r="X267" i="37" s="1"/>
  <c r="Y267" i="37" s="1"/>
  <c r="C268" i="37" s="1"/>
  <c r="D268" i="37" s="1"/>
  <c r="E268" i="37" s="1"/>
  <c r="F268" i="37" s="1"/>
  <c r="G268" i="37" s="1"/>
  <c r="H268" i="37" s="1"/>
  <c r="I268" i="37" s="1"/>
  <c r="J268" i="37" s="1"/>
  <c r="K268" i="37" s="1"/>
  <c r="L268" i="37" s="1"/>
  <c r="M268" i="37" s="1"/>
  <c r="N268" i="37" s="1"/>
  <c r="O268" i="37" s="1"/>
  <c r="P268" i="37" s="1"/>
  <c r="Q268" i="37" s="1"/>
  <c r="R268" i="37" s="1"/>
  <c r="S268" i="37" s="1"/>
  <c r="T268" i="37" s="1"/>
  <c r="U268" i="37" s="1"/>
  <c r="V268" i="37" s="1"/>
  <c r="W268" i="37" s="1"/>
  <c r="X268" i="37" s="1"/>
  <c r="Y268" i="37" s="1"/>
  <c r="C269" i="37" s="1"/>
  <c r="D269" i="37" s="1"/>
  <c r="E269" i="37" s="1"/>
  <c r="F269" i="37" s="1"/>
  <c r="G269" i="37" s="1"/>
  <c r="H269" i="37" s="1"/>
  <c r="I269" i="37" s="1"/>
  <c r="J269" i="37" s="1"/>
  <c r="K269" i="37" s="1"/>
  <c r="L269" i="37" s="1"/>
  <c r="M269" i="37" s="1"/>
  <c r="N269" i="37" s="1"/>
  <c r="O269" i="37" s="1"/>
  <c r="P269" i="37" s="1"/>
  <c r="Q269" i="37" s="1"/>
  <c r="R269" i="37" s="1"/>
  <c r="S269" i="37" s="1"/>
  <c r="T269" i="37" s="1"/>
  <c r="U269" i="37" s="1"/>
  <c r="V269" i="37" s="1"/>
  <c r="W269" i="37" s="1"/>
  <c r="X269" i="37" s="1"/>
  <c r="Y269" i="37" s="1"/>
  <c r="C270" i="37" s="1"/>
  <c r="D270" i="37" s="1"/>
  <c r="E270" i="37" s="1"/>
  <c r="F270" i="37" s="1"/>
  <c r="G270" i="37" s="1"/>
  <c r="H270" i="37" s="1"/>
  <c r="I270" i="37" s="1"/>
  <c r="J270" i="37" s="1"/>
  <c r="K270" i="37" s="1"/>
  <c r="L270" i="37" s="1"/>
  <c r="M270" i="37" s="1"/>
  <c r="N270" i="37" s="1"/>
  <c r="O270" i="37" s="1"/>
  <c r="P270" i="37" s="1"/>
  <c r="Q270" i="37" s="1"/>
  <c r="R270" i="37" s="1"/>
  <c r="S270" i="37" s="1"/>
  <c r="T270" i="37" s="1"/>
  <c r="U270" i="37" s="1"/>
  <c r="V270" i="37" s="1"/>
  <c r="W270" i="37" s="1"/>
  <c r="X270" i="37" s="1"/>
  <c r="Y270" i="37" s="1"/>
  <c r="C271" i="37" s="1"/>
  <c r="D271" i="37" s="1"/>
  <c r="E271" i="37" s="1"/>
  <c r="F271" i="37" s="1"/>
  <c r="G271" i="37" s="1"/>
  <c r="H271" i="37" s="1"/>
  <c r="I271" i="37" s="1"/>
  <c r="J271" i="37" s="1"/>
  <c r="K271" i="37" s="1"/>
  <c r="L271" i="37" s="1"/>
  <c r="M271" i="37" s="1"/>
  <c r="N271" i="37" s="1"/>
  <c r="O271" i="37" s="1"/>
  <c r="P271" i="37" s="1"/>
  <c r="Q271" i="37" s="1"/>
  <c r="R271" i="37" s="1"/>
  <c r="S271" i="37" s="1"/>
  <c r="T271" i="37" s="1"/>
  <c r="U271" i="37" s="1"/>
  <c r="V271" i="37" s="1"/>
  <c r="W271" i="37" s="1"/>
  <c r="X271" i="37" s="1"/>
  <c r="Y271" i="37" s="1"/>
  <c r="C272" i="37" s="1"/>
  <c r="D272" i="37" s="1"/>
  <c r="E272" i="37" s="1"/>
  <c r="F272" i="37" s="1"/>
  <c r="G272" i="37" s="1"/>
  <c r="H272" i="37" s="1"/>
  <c r="I272" i="37" s="1"/>
  <c r="J272" i="37" s="1"/>
  <c r="K272" i="37" s="1"/>
  <c r="L272" i="37" s="1"/>
  <c r="M272" i="37" s="1"/>
  <c r="N272" i="37" s="1"/>
  <c r="O272" i="37" s="1"/>
  <c r="P272" i="37" s="1"/>
  <c r="Q272" i="37" s="1"/>
  <c r="R272" i="37" s="1"/>
  <c r="S272" i="37" s="1"/>
  <c r="T272" i="37" s="1"/>
  <c r="U272" i="37" s="1"/>
  <c r="V272" i="37" s="1"/>
  <c r="W272" i="37" s="1"/>
  <c r="X272" i="37" s="1"/>
  <c r="Y272" i="37" s="1"/>
  <c r="C273" i="37" s="1"/>
  <c r="D273" i="37" s="1"/>
  <c r="E273" i="37" s="1"/>
  <c r="F273" i="37" s="1"/>
  <c r="G273" i="37" s="1"/>
  <c r="H273" i="37" s="1"/>
  <c r="I273" i="37" s="1"/>
  <c r="J273" i="37" s="1"/>
  <c r="K273" i="37" s="1"/>
  <c r="L273" i="37" s="1"/>
  <c r="M273" i="37" s="1"/>
  <c r="N273" i="37" s="1"/>
  <c r="O273" i="37" s="1"/>
  <c r="P273" i="37" s="1"/>
  <c r="Q273" i="37" s="1"/>
  <c r="R273" i="37" s="1"/>
  <c r="S273" i="37" s="1"/>
  <c r="T273" i="37" s="1"/>
  <c r="U273" i="37" s="1"/>
  <c r="V273" i="37" s="1"/>
  <c r="W273" i="37" s="1"/>
  <c r="X273" i="37" s="1"/>
  <c r="Y273" i="37" s="1"/>
  <c r="C274" i="37" s="1"/>
  <c r="D274" i="37" s="1"/>
  <c r="E274" i="37" s="1"/>
  <c r="F274" i="37" s="1"/>
  <c r="G274" i="37" s="1"/>
  <c r="H274" i="37" s="1"/>
  <c r="I274" i="37" s="1"/>
  <c r="J274" i="37" s="1"/>
  <c r="K274" i="37" s="1"/>
  <c r="L274" i="37" s="1"/>
  <c r="M274" i="37" s="1"/>
  <c r="N274" i="37" s="1"/>
  <c r="O274" i="37" s="1"/>
  <c r="P274" i="37" s="1"/>
  <c r="Q274" i="37" s="1"/>
  <c r="R274" i="37" s="1"/>
  <c r="S274" i="37" s="1"/>
  <c r="T274" i="37" s="1"/>
  <c r="U274" i="37" s="1"/>
  <c r="V274" i="37" s="1"/>
  <c r="W274" i="37" s="1"/>
  <c r="X274" i="37" s="1"/>
  <c r="Y274" i="37" s="1"/>
  <c r="C275" i="37" s="1"/>
  <c r="D275" i="37" s="1"/>
  <c r="E275" i="37" s="1"/>
  <c r="F275" i="37" s="1"/>
  <c r="G275" i="37" s="1"/>
  <c r="H275" i="37" s="1"/>
  <c r="I275" i="37" s="1"/>
  <c r="J275" i="37" s="1"/>
  <c r="K275" i="37" s="1"/>
  <c r="L275" i="37" s="1"/>
  <c r="M275" i="37" s="1"/>
  <c r="N275" i="37" s="1"/>
  <c r="O275" i="37" s="1"/>
  <c r="P275" i="37" s="1"/>
  <c r="Q275" i="37" s="1"/>
  <c r="R275" i="37" s="1"/>
  <c r="S275" i="37" s="1"/>
  <c r="T275" i="37" s="1"/>
  <c r="U275" i="37" s="1"/>
  <c r="V275" i="37" s="1"/>
  <c r="W275" i="37" s="1"/>
  <c r="X275" i="37" s="1"/>
  <c r="Y275" i="37" s="1"/>
  <c r="C276" i="37" s="1"/>
  <c r="D276" i="37" s="1"/>
  <c r="E276" i="37" s="1"/>
  <c r="F276" i="37" s="1"/>
  <c r="G276" i="37" s="1"/>
  <c r="H276" i="37" s="1"/>
  <c r="I276" i="37" s="1"/>
  <c r="J276" i="37" s="1"/>
  <c r="K276" i="37" s="1"/>
  <c r="L276" i="37" s="1"/>
  <c r="M276" i="37" s="1"/>
  <c r="N276" i="37" s="1"/>
  <c r="O276" i="37" s="1"/>
  <c r="P276" i="37" s="1"/>
  <c r="Q276" i="37" s="1"/>
  <c r="R276" i="37" s="1"/>
  <c r="S276" i="37" s="1"/>
  <c r="T276" i="37" s="1"/>
  <c r="U276" i="37" s="1"/>
  <c r="V276" i="37" s="1"/>
  <c r="W276" i="37" s="1"/>
  <c r="X276" i="37" s="1"/>
  <c r="Y276" i="37" s="1"/>
  <c r="C277" i="37" s="1"/>
  <c r="D277" i="37" s="1"/>
  <c r="E277" i="37" s="1"/>
  <c r="F277" i="37" s="1"/>
  <c r="G277" i="37" s="1"/>
  <c r="H277" i="37" s="1"/>
  <c r="I277" i="37" s="1"/>
  <c r="J277" i="37" s="1"/>
  <c r="K277" i="37" s="1"/>
  <c r="L277" i="37" s="1"/>
  <c r="M277" i="37" s="1"/>
  <c r="N277" i="37" s="1"/>
  <c r="O277" i="37" s="1"/>
  <c r="P277" i="37" s="1"/>
  <c r="Q277" i="37" s="1"/>
  <c r="R277" i="37" s="1"/>
  <c r="S277" i="37" s="1"/>
  <c r="T277" i="37" s="1"/>
  <c r="U277" i="37" s="1"/>
  <c r="V277" i="37" s="1"/>
  <c r="W277" i="37" s="1"/>
  <c r="X277" i="37" s="1"/>
  <c r="Y277" i="37" s="1"/>
  <c r="C278" i="37" s="1"/>
  <c r="D278" i="37" s="1"/>
  <c r="E278" i="37" s="1"/>
  <c r="F278" i="37" s="1"/>
  <c r="G278" i="37" s="1"/>
  <c r="H278" i="37" s="1"/>
  <c r="I278" i="37" s="1"/>
  <c r="J278" i="37" s="1"/>
  <c r="K278" i="37" s="1"/>
  <c r="L278" i="37" s="1"/>
  <c r="M278" i="37" s="1"/>
  <c r="N278" i="37" s="1"/>
  <c r="O278" i="37" s="1"/>
  <c r="P278" i="37" s="1"/>
  <c r="Q278" i="37" s="1"/>
  <c r="R278" i="37" s="1"/>
  <c r="S278" i="37" s="1"/>
  <c r="T278" i="37" s="1"/>
  <c r="U278" i="37" s="1"/>
  <c r="V278" i="37" s="1"/>
  <c r="W278" i="37" s="1"/>
  <c r="X278" i="37" s="1"/>
  <c r="Y278" i="37" s="1"/>
  <c r="C279" i="37" s="1"/>
  <c r="D279" i="37" s="1"/>
  <c r="E279" i="37" s="1"/>
  <c r="F279" i="37" s="1"/>
  <c r="G279" i="37" s="1"/>
  <c r="H279" i="37" s="1"/>
  <c r="I279" i="37" s="1"/>
  <c r="J279" i="37" s="1"/>
  <c r="K279" i="37" s="1"/>
  <c r="L279" i="37" s="1"/>
  <c r="M279" i="37" s="1"/>
  <c r="N279" i="37" s="1"/>
  <c r="O279" i="37" s="1"/>
  <c r="P279" i="37" s="1"/>
  <c r="Q279" i="37" s="1"/>
  <c r="R279" i="37" s="1"/>
  <c r="S279" i="37" s="1"/>
  <c r="T279" i="37" s="1"/>
  <c r="U279" i="37" s="1"/>
  <c r="V279" i="37" s="1"/>
  <c r="W279" i="37" s="1"/>
  <c r="X279" i="37" s="1"/>
  <c r="Y279" i="37" s="1"/>
  <c r="C280" i="37" s="1"/>
  <c r="D280" i="37" s="1"/>
  <c r="E280" i="37" s="1"/>
  <c r="F280" i="37" s="1"/>
  <c r="G280" i="37" s="1"/>
  <c r="H280" i="37" s="1"/>
  <c r="I280" i="37" s="1"/>
  <c r="J280" i="37" s="1"/>
  <c r="K280" i="37" s="1"/>
  <c r="L280" i="37" s="1"/>
  <c r="M280" i="37" s="1"/>
  <c r="N280" i="37" s="1"/>
  <c r="O280" i="37" s="1"/>
  <c r="P280" i="37" s="1"/>
  <c r="Q280" i="37" s="1"/>
  <c r="R280" i="37" s="1"/>
  <c r="S280" i="37" s="1"/>
  <c r="T280" i="37" s="1"/>
  <c r="U280" i="37" s="1"/>
  <c r="V280" i="37" s="1"/>
  <c r="W280" i="37" s="1"/>
  <c r="X280" i="37" s="1"/>
  <c r="Y280" i="37" s="1"/>
  <c r="C281" i="37" s="1"/>
  <c r="D281" i="37" s="1"/>
  <c r="E281" i="37" s="1"/>
  <c r="F281" i="37" s="1"/>
  <c r="G281" i="37" s="1"/>
  <c r="H281" i="37" s="1"/>
  <c r="I281" i="37" s="1"/>
  <c r="J281" i="37" s="1"/>
  <c r="K281" i="37" s="1"/>
  <c r="L281" i="37" s="1"/>
  <c r="M281" i="37" s="1"/>
  <c r="N281" i="37" s="1"/>
  <c r="O281" i="37" s="1"/>
  <c r="P281" i="37" s="1"/>
  <c r="Q281" i="37" s="1"/>
  <c r="R281" i="37" s="1"/>
  <c r="S281" i="37" s="1"/>
  <c r="T281" i="37" s="1"/>
  <c r="U281" i="37" s="1"/>
  <c r="V281" i="37" s="1"/>
  <c r="W281" i="37" s="1"/>
  <c r="X281" i="37" s="1"/>
  <c r="Y281" i="37" s="1"/>
  <c r="C282" i="37" s="1"/>
  <c r="D282" i="37" s="1"/>
  <c r="E282" i="37" s="1"/>
  <c r="F282" i="37" s="1"/>
  <c r="G282" i="37" s="1"/>
  <c r="H282" i="37" s="1"/>
  <c r="I282" i="37" s="1"/>
  <c r="J282" i="37" s="1"/>
  <c r="K282" i="37" s="1"/>
  <c r="L282" i="37" s="1"/>
  <c r="M282" i="37" s="1"/>
  <c r="N282" i="37" s="1"/>
  <c r="O282" i="37" s="1"/>
  <c r="P282" i="37" s="1"/>
  <c r="Q282" i="37" s="1"/>
  <c r="R282" i="37" s="1"/>
  <c r="S282" i="37" s="1"/>
  <c r="T282" i="37" s="1"/>
  <c r="U282" i="37" s="1"/>
  <c r="V282" i="37" s="1"/>
  <c r="W282" i="37" s="1"/>
  <c r="X282" i="37" s="1"/>
  <c r="Y282" i="37" s="1"/>
  <c r="C283" i="37" s="1"/>
  <c r="D283" i="37" s="1"/>
  <c r="E283" i="37" s="1"/>
  <c r="F283" i="37" s="1"/>
  <c r="G283" i="37" s="1"/>
  <c r="H283" i="37" s="1"/>
  <c r="I283" i="37" s="1"/>
  <c r="J283" i="37" s="1"/>
  <c r="K283" i="37" s="1"/>
  <c r="L283" i="37" s="1"/>
  <c r="M283" i="37" s="1"/>
  <c r="N283" i="37" s="1"/>
  <c r="O283" i="37" s="1"/>
  <c r="P283" i="37" s="1"/>
  <c r="Q283" i="37" s="1"/>
  <c r="R283" i="37" s="1"/>
  <c r="S283" i="37" s="1"/>
  <c r="T283" i="37" s="1"/>
  <c r="U283" i="37" s="1"/>
  <c r="V283" i="37" s="1"/>
  <c r="W283" i="37" s="1"/>
  <c r="X283" i="37" s="1"/>
  <c r="Y283" i="37" s="1"/>
  <c r="C284" i="37" s="1"/>
  <c r="D284" i="37" s="1"/>
  <c r="E284" i="37" s="1"/>
  <c r="F284" i="37" s="1"/>
  <c r="G284" i="37" s="1"/>
  <c r="H284" i="37" s="1"/>
  <c r="I284" i="37" s="1"/>
  <c r="J284" i="37" s="1"/>
  <c r="K284" i="37" s="1"/>
  <c r="L284" i="37" s="1"/>
  <c r="M284" i="37" s="1"/>
  <c r="N284" i="37" s="1"/>
  <c r="O284" i="37" s="1"/>
  <c r="P284" i="37" s="1"/>
  <c r="Q284" i="37" s="1"/>
  <c r="R284" i="37" s="1"/>
  <c r="S284" i="37" s="1"/>
  <c r="T284" i="37" s="1"/>
  <c r="U284" i="37" s="1"/>
  <c r="V284" i="37" s="1"/>
  <c r="W284" i="37" s="1"/>
  <c r="X284" i="37" s="1"/>
  <c r="Y284" i="37" s="1"/>
  <c r="C285" i="37" s="1"/>
  <c r="D285" i="37" s="1"/>
  <c r="E285" i="37" s="1"/>
  <c r="F285" i="37" s="1"/>
  <c r="G285" i="37" s="1"/>
  <c r="H285" i="37" s="1"/>
  <c r="I285" i="37" s="1"/>
  <c r="J285" i="37" s="1"/>
  <c r="K285" i="37" s="1"/>
  <c r="L285" i="37" s="1"/>
  <c r="M285" i="37" s="1"/>
  <c r="N285" i="37" s="1"/>
  <c r="O285" i="37" s="1"/>
  <c r="P285" i="37" s="1"/>
  <c r="Q285" i="37" s="1"/>
  <c r="R285" i="37" s="1"/>
  <c r="S285" i="37" s="1"/>
  <c r="T285" i="37" s="1"/>
  <c r="U285" i="37" s="1"/>
  <c r="V285" i="37" s="1"/>
  <c r="W285" i="37" s="1"/>
  <c r="X285" i="37" s="1"/>
  <c r="Y285" i="37" s="1"/>
  <c r="C286" i="37" s="1"/>
  <c r="D286" i="37" s="1"/>
  <c r="E286" i="37" s="1"/>
  <c r="F286" i="37" s="1"/>
  <c r="G286" i="37" s="1"/>
  <c r="H286" i="37" s="1"/>
  <c r="I286" i="37" s="1"/>
  <c r="J286" i="37" s="1"/>
  <c r="K286" i="37" s="1"/>
  <c r="L286" i="37" s="1"/>
  <c r="M286" i="37" s="1"/>
  <c r="N286" i="37" s="1"/>
  <c r="O286" i="37" s="1"/>
  <c r="P286" i="37" s="1"/>
  <c r="Q286" i="37" s="1"/>
  <c r="R286" i="37" s="1"/>
  <c r="S286" i="37" s="1"/>
  <c r="T286" i="37" s="1"/>
  <c r="U286" i="37" s="1"/>
  <c r="V286" i="37" s="1"/>
  <c r="W286" i="37" s="1"/>
  <c r="X286" i="37" s="1"/>
  <c r="Y286" i="37" s="1"/>
  <c r="I228" i="36"/>
  <c r="I184" i="36"/>
  <c r="C265" i="36"/>
  <c r="D265" i="36" s="1"/>
  <c r="E265" i="36" s="1"/>
  <c r="F265" i="36" s="1"/>
  <c r="G265" i="36" s="1"/>
  <c r="H265" i="36" s="1"/>
  <c r="I265" i="36" s="1"/>
  <c r="J265" i="36" s="1"/>
  <c r="K265" i="36" s="1"/>
  <c r="L265" i="36" s="1"/>
  <c r="M265" i="36" s="1"/>
  <c r="N265" i="36" s="1"/>
  <c r="O265" i="36" s="1"/>
  <c r="P265" i="36" s="1"/>
  <c r="Q265" i="36" s="1"/>
  <c r="R265" i="36" s="1"/>
  <c r="S265" i="36" s="1"/>
  <c r="T265" i="36" s="1"/>
  <c r="U265" i="36" s="1"/>
  <c r="V265" i="36" s="1"/>
  <c r="W265" i="36" s="1"/>
  <c r="X265" i="36" s="1"/>
  <c r="Y265" i="36" s="1"/>
  <c r="C266" i="36" s="1"/>
  <c r="D266" i="36" s="1"/>
  <c r="E266" i="36" s="1"/>
  <c r="F266" i="36" s="1"/>
  <c r="G266" i="36" s="1"/>
  <c r="H266" i="36" s="1"/>
  <c r="I266" i="36" s="1"/>
  <c r="J266" i="36" s="1"/>
  <c r="K266" i="36" s="1"/>
  <c r="L266" i="36" s="1"/>
  <c r="M266" i="36" s="1"/>
  <c r="N266" i="36" s="1"/>
  <c r="O266" i="36" s="1"/>
  <c r="P266" i="36" s="1"/>
  <c r="Q266" i="36" s="1"/>
  <c r="R266" i="36" s="1"/>
  <c r="S266" i="36" s="1"/>
  <c r="T266" i="36" s="1"/>
  <c r="U266" i="36" s="1"/>
  <c r="V266" i="36" s="1"/>
  <c r="W266" i="36" s="1"/>
  <c r="X266" i="36" s="1"/>
  <c r="Y266" i="36" s="1"/>
  <c r="C267" i="36" s="1"/>
  <c r="D267" i="36" s="1"/>
  <c r="E267" i="36" s="1"/>
  <c r="F267" i="36" s="1"/>
  <c r="G267" i="36" s="1"/>
  <c r="H267" i="36" s="1"/>
  <c r="I267" i="36" s="1"/>
  <c r="J267" i="36" s="1"/>
  <c r="K267" i="36" s="1"/>
  <c r="L267" i="36" s="1"/>
  <c r="M267" i="36" s="1"/>
  <c r="N267" i="36" s="1"/>
  <c r="O267" i="36" s="1"/>
  <c r="P267" i="36" s="1"/>
  <c r="Q267" i="36" s="1"/>
  <c r="R267" i="36" s="1"/>
  <c r="S267" i="36" s="1"/>
  <c r="T267" i="36" s="1"/>
  <c r="U267" i="36" s="1"/>
  <c r="V267" i="36" s="1"/>
  <c r="W267" i="36" s="1"/>
  <c r="X267" i="36" s="1"/>
  <c r="Y267" i="36" s="1"/>
  <c r="C268" i="36" s="1"/>
  <c r="D268" i="36" s="1"/>
  <c r="E268" i="36" s="1"/>
  <c r="F268" i="36" s="1"/>
  <c r="G268" i="36" s="1"/>
  <c r="H268" i="36" s="1"/>
  <c r="I268" i="36" s="1"/>
  <c r="J268" i="36" s="1"/>
  <c r="K268" i="36" s="1"/>
  <c r="L268" i="36" s="1"/>
  <c r="M268" i="36" s="1"/>
  <c r="N268" i="36" s="1"/>
  <c r="O268" i="36" s="1"/>
  <c r="P268" i="36" s="1"/>
  <c r="Q268" i="36" s="1"/>
  <c r="R268" i="36" s="1"/>
  <c r="S268" i="36" s="1"/>
  <c r="T268" i="36" s="1"/>
  <c r="U268" i="36" s="1"/>
  <c r="V268" i="36" s="1"/>
  <c r="W268" i="36" s="1"/>
  <c r="X268" i="36" s="1"/>
  <c r="Y268" i="36" s="1"/>
  <c r="C269" i="36" s="1"/>
  <c r="D269" i="36" s="1"/>
  <c r="E269" i="36" s="1"/>
  <c r="F269" i="36" s="1"/>
  <c r="G269" i="36" s="1"/>
  <c r="H269" i="36" s="1"/>
  <c r="I269" i="36" s="1"/>
  <c r="J269" i="36" s="1"/>
  <c r="K269" i="36" s="1"/>
  <c r="L269" i="36" s="1"/>
  <c r="M269" i="36" s="1"/>
  <c r="N269" i="36" s="1"/>
  <c r="O269" i="36" s="1"/>
  <c r="P269" i="36" s="1"/>
  <c r="Q269" i="36" s="1"/>
  <c r="R269" i="36" s="1"/>
  <c r="S269" i="36" s="1"/>
  <c r="T269" i="36" s="1"/>
  <c r="U269" i="36" s="1"/>
  <c r="V269" i="36" s="1"/>
  <c r="W269" i="36" s="1"/>
  <c r="X269" i="36" s="1"/>
  <c r="Y269" i="36" s="1"/>
  <c r="C270" i="36" s="1"/>
  <c r="D270" i="36" s="1"/>
  <c r="E270" i="36" s="1"/>
  <c r="F270" i="36" s="1"/>
  <c r="G270" i="36" s="1"/>
  <c r="H270" i="36" s="1"/>
  <c r="I270" i="36" s="1"/>
  <c r="J270" i="36" s="1"/>
  <c r="K270" i="36" s="1"/>
  <c r="L270" i="36" s="1"/>
  <c r="M270" i="36" s="1"/>
  <c r="N270" i="36" s="1"/>
  <c r="O270" i="36" s="1"/>
  <c r="P270" i="36" s="1"/>
  <c r="Q270" i="36" s="1"/>
  <c r="R270" i="36" s="1"/>
  <c r="S270" i="36" s="1"/>
  <c r="T270" i="36" s="1"/>
  <c r="U270" i="36" s="1"/>
  <c r="V270" i="36" s="1"/>
  <c r="W270" i="36" s="1"/>
  <c r="X270" i="36" s="1"/>
  <c r="Y270" i="36" s="1"/>
  <c r="C271" i="36" s="1"/>
  <c r="D271" i="36" s="1"/>
  <c r="E271" i="36" s="1"/>
  <c r="F271" i="36" s="1"/>
  <c r="G271" i="36" s="1"/>
  <c r="H271" i="36" s="1"/>
  <c r="I271" i="36" s="1"/>
  <c r="J271" i="36" s="1"/>
  <c r="K271" i="36" s="1"/>
  <c r="L271" i="36" s="1"/>
  <c r="M271" i="36" s="1"/>
  <c r="N271" i="36" s="1"/>
  <c r="O271" i="36" s="1"/>
  <c r="P271" i="36" s="1"/>
  <c r="Q271" i="36" s="1"/>
  <c r="R271" i="36" s="1"/>
  <c r="S271" i="36" s="1"/>
  <c r="T271" i="36" s="1"/>
  <c r="U271" i="36" s="1"/>
  <c r="V271" i="36" s="1"/>
  <c r="W271" i="36" s="1"/>
  <c r="X271" i="36" s="1"/>
  <c r="Y271" i="36" s="1"/>
  <c r="C272" i="36" s="1"/>
  <c r="D272" i="36" s="1"/>
  <c r="E272" i="36" s="1"/>
  <c r="F272" i="36" s="1"/>
  <c r="G272" i="36" s="1"/>
  <c r="H272" i="36" s="1"/>
  <c r="I272" i="36" s="1"/>
  <c r="J272" i="36" s="1"/>
  <c r="K272" i="36" s="1"/>
  <c r="L272" i="36" s="1"/>
  <c r="M272" i="36" s="1"/>
  <c r="N272" i="36" s="1"/>
  <c r="O272" i="36" s="1"/>
  <c r="P272" i="36" s="1"/>
  <c r="Q272" i="36" s="1"/>
  <c r="R272" i="36" s="1"/>
  <c r="S272" i="36" s="1"/>
  <c r="T272" i="36" s="1"/>
  <c r="U272" i="36" s="1"/>
  <c r="V272" i="36" s="1"/>
  <c r="W272" i="36" s="1"/>
  <c r="X272" i="36" s="1"/>
  <c r="Y272" i="36" s="1"/>
  <c r="C273" i="36" s="1"/>
  <c r="D273" i="36" s="1"/>
  <c r="E273" i="36" s="1"/>
  <c r="F273" i="36" s="1"/>
  <c r="G273" i="36" s="1"/>
  <c r="H273" i="36" s="1"/>
  <c r="I273" i="36" s="1"/>
  <c r="J273" i="36" s="1"/>
  <c r="K273" i="36" s="1"/>
  <c r="L273" i="36" s="1"/>
  <c r="M273" i="36" s="1"/>
  <c r="N273" i="36" s="1"/>
  <c r="O273" i="36" s="1"/>
  <c r="P273" i="36" s="1"/>
  <c r="Q273" i="36" s="1"/>
  <c r="R273" i="36" s="1"/>
  <c r="S273" i="36" s="1"/>
  <c r="T273" i="36" s="1"/>
  <c r="U273" i="36" s="1"/>
  <c r="V273" i="36" s="1"/>
  <c r="W273" i="36" s="1"/>
  <c r="X273" i="36" s="1"/>
  <c r="Y273" i="36" s="1"/>
  <c r="C274" i="36" s="1"/>
  <c r="D274" i="36" s="1"/>
  <c r="E274" i="36" s="1"/>
  <c r="F274" i="36" s="1"/>
  <c r="G274" i="36" s="1"/>
  <c r="H274" i="36" s="1"/>
  <c r="I274" i="36" s="1"/>
  <c r="J274" i="36" s="1"/>
  <c r="K274" i="36" s="1"/>
  <c r="L274" i="36" s="1"/>
  <c r="M274" i="36" s="1"/>
  <c r="N274" i="36" s="1"/>
  <c r="O274" i="36" s="1"/>
  <c r="P274" i="36" s="1"/>
  <c r="Q274" i="36" s="1"/>
  <c r="R274" i="36" s="1"/>
  <c r="S274" i="36" s="1"/>
  <c r="T274" i="36" s="1"/>
  <c r="U274" i="36" s="1"/>
  <c r="V274" i="36" s="1"/>
  <c r="W274" i="36" s="1"/>
  <c r="X274" i="36" s="1"/>
  <c r="Y274" i="36" s="1"/>
  <c r="C275" i="36" s="1"/>
  <c r="D275" i="36" s="1"/>
  <c r="E275" i="36" s="1"/>
  <c r="F275" i="36" s="1"/>
  <c r="G275" i="36" s="1"/>
  <c r="H275" i="36" s="1"/>
  <c r="I275" i="36" s="1"/>
  <c r="J275" i="36" s="1"/>
  <c r="K275" i="36" s="1"/>
  <c r="L275" i="36" s="1"/>
  <c r="M275" i="36" s="1"/>
  <c r="N275" i="36" s="1"/>
  <c r="O275" i="36" s="1"/>
  <c r="P275" i="36" s="1"/>
  <c r="Q275" i="36" s="1"/>
  <c r="R275" i="36" s="1"/>
  <c r="S275" i="36" s="1"/>
  <c r="T275" i="36" s="1"/>
  <c r="U275" i="36" s="1"/>
  <c r="V275" i="36" s="1"/>
  <c r="W275" i="36" s="1"/>
  <c r="X275" i="36" s="1"/>
  <c r="Y275" i="36" s="1"/>
  <c r="C276" i="36" s="1"/>
  <c r="D276" i="36" s="1"/>
  <c r="E276" i="36" s="1"/>
  <c r="F276" i="36" s="1"/>
  <c r="G276" i="36" s="1"/>
  <c r="H276" i="36" s="1"/>
  <c r="I276" i="36" s="1"/>
  <c r="J276" i="36" s="1"/>
  <c r="K276" i="36" s="1"/>
  <c r="L276" i="36" s="1"/>
  <c r="M276" i="36" s="1"/>
  <c r="N276" i="36" s="1"/>
  <c r="O276" i="36" s="1"/>
  <c r="P276" i="36" s="1"/>
  <c r="Q276" i="36" s="1"/>
  <c r="R276" i="36" s="1"/>
  <c r="S276" i="36" s="1"/>
  <c r="T276" i="36" s="1"/>
  <c r="U276" i="36" s="1"/>
  <c r="V276" i="36" s="1"/>
  <c r="W276" i="36" s="1"/>
  <c r="X276" i="36" s="1"/>
  <c r="Y276" i="36" s="1"/>
  <c r="C277" i="36" s="1"/>
  <c r="D277" i="36" s="1"/>
  <c r="E277" i="36" s="1"/>
  <c r="F277" i="36" s="1"/>
  <c r="G277" i="36" s="1"/>
  <c r="H277" i="36" s="1"/>
  <c r="I277" i="36" s="1"/>
  <c r="J277" i="36" s="1"/>
  <c r="K277" i="36" s="1"/>
  <c r="L277" i="36" s="1"/>
  <c r="M277" i="36" s="1"/>
  <c r="N277" i="36" s="1"/>
  <c r="O277" i="36" s="1"/>
  <c r="P277" i="36" s="1"/>
  <c r="Q277" i="36" s="1"/>
  <c r="R277" i="36" s="1"/>
  <c r="S277" i="36" s="1"/>
  <c r="T277" i="36" s="1"/>
  <c r="U277" i="36" s="1"/>
  <c r="V277" i="36" s="1"/>
  <c r="W277" i="36" s="1"/>
  <c r="X277" i="36" s="1"/>
  <c r="Y277" i="36" s="1"/>
  <c r="C278" i="36" s="1"/>
  <c r="D278" i="36" s="1"/>
  <c r="E278" i="36" s="1"/>
  <c r="F278" i="36" s="1"/>
  <c r="G278" i="36" s="1"/>
  <c r="H278" i="36" s="1"/>
  <c r="I278" i="36" s="1"/>
  <c r="J278" i="36" s="1"/>
  <c r="K278" i="36" s="1"/>
  <c r="L278" i="36" s="1"/>
  <c r="M278" i="36" s="1"/>
  <c r="N278" i="36" s="1"/>
  <c r="O278" i="36" s="1"/>
  <c r="P278" i="36" s="1"/>
  <c r="Q278" i="36" s="1"/>
  <c r="R278" i="36" s="1"/>
  <c r="S278" i="36" s="1"/>
  <c r="T278" i="36" s="1"/>
  <c r="U278" i="36" s="1"/>
  <c r="V278" i="36" s="1"/>
  <c r="W278" i="36" s="1"/>
  <c r="X278" i="36" s="1"/>
  <c r="Y278" i="36" s="1"/>
  <c r="C279" i="36" s="1"/>
  <c r="D279" i="36" s="1"/>
  <c r="E279" i="36" s="1"/>
  <c r="F279" i="36" s="1"/>
  <c r="G279" i="36" s="1"/>
  <c r="H279" i="36" s="1"/>
  <c r="I279" i="36" s="1"/>
  <c r="J279" i="36" s="1"/>
  <c r="K279" i="36" s="1"/>
  <c r="L279" i="36" s="1"/>
  <c r="M279" i="36" s="1"/>
  <c r="N279" i="36" s="1"/>
  <c r="O279" i="36" s="1"/>
  <c r="P279" i="36" s="1"/>
  <c r="Q279" i="36" s="1"/>
  <c r="R279" i="36" s="1"/>
  <c r="S279" i="36" s="1"/>
  <c r="T279" i="36" s="1"/>
  <c r="U279" i="36" s="1"/>
  <c r="V279" i="36" s="1"/>
  <c r="W279" i="36" s="1"/>
  <c r="X279" i="36" s="1"/>
  <c r="Y279" i="36" s="1"/>
  <c r="C280" i="36" s="1"/>
  <c r="D280" i="36" s="1"/>
  <c r="E280" i="36" s="1"/>
  <c r="F280" i="36" s="1"/>
  <c r="G280" i="36" s="1"/>
  <c r="H280" i="36" s="1"/>
  <c r="I280" i="36" s="1"/>
  <c r="J280" i="36" s="1"/>
  <c r="K280" i="36" s="1"/>
  <c r="L280" i="36" s="1"/>
  <c r="M280" i="36" s="1"/>
  <c r="N280" i="36" s="1"/>
  <c r="O280" i="36" s="1"/>
  <c r="P280" i="36" s="1"/>
  <c r="Q280" i="36" s="1"/>
  <c r="R280" i="36" s="1"/>
  <c r="S280" i="36" s="1"/>
  <c r="T280" i="36" s="1"/>
  <c r="U280" i="36" s="1"/>
  <c r="V280" i="36" s="1"/>
  <c r="W280" i="36" s="1"/>
  <c r="X280" i="36" s="1"/>
  <c r="Y280" i="36" s="1"/>
  <c r="C281" i="36" s="1"/>
  <c r="D281" i="36" s="1"/>
  <c r="E281" i="36" s="1"/>
  <c r="F281" i="36" s="1"/>
  <c r="G281" i="36" s="1"/>
  <c r="H281" i="36" s="1"/>
  <c r="I281" i="36" s="1"/>
  <c r="J281" i="36" s="1"/>
  <c r="K281" i="36" s="1"/>
  <c r="L281" i="36" s="1"/>
  <c r="M281" i="36" s="1"/>
  <c r="N281" i="36" s="1"/>
  <c r="O281" i="36" s="1"/>
  <c r="P281" i="36" s="1"/>
  <c r="Q281" i="36" s="1"/>
  <c r="R281" i="36" s="1"/>
  <c r="S281" i="36" s="1"/>
  <c r="T281" i="36" s="1"/>
  <c r="U281" i="36" s="1"/>
  <c r="V281" i="36" s="1"/>
  <c r="W281" i="36" s="1"/>
  <c r="X281" i="36" s="1"/>
  <c r="Y281" i="36" s="1"/>
  <c r="C282" i="36" s="1"/>
  <c r="D282" i="36" s="1"/>
  <c r="E282" i="36" s="1"/>
  <c r="F282" i="36" s="1"/>
  <c r="G282" i="36" s="1"/>
  <c r="H282" i="36" s="1"/>
  <c r="I282" i="36" s="1"/>
  <c r="J282" i="36" s="1"/>
  <c r="K282" i="36" s="1"/>
  <c r="L282" i="36" s="1"/>
  <c r="M282" i="36" s="1"/>
  <c r="N282" i="36" s="1"/>
  <c r="O282" i="36" s="1"/>
  <c r="P282" i="36" s="1"/>
  <c r="Q282" i="36" s="1"/>
  <c r="R282" i="36" s="1"/>
  <c r="S282" i="36" s="1"/>
  <c r="T282" i="36" s="1"/>
  <c r="U282" i="36" s="1"/>
  <c r="V282" i="36" s="1"/>
  <c r="W282" i="36" s="1"/>
  <c r="X282" i="36" s="1"/>
  <c r="Y282" i="36" s="1"/>
  <c r="C283" i="36" s="1"/>
  <c r="D283" i="36" s="1"/>
  <c r="E283" i="36" s="1"/>
  <c r="F283" i="36" s="1"/>
  <c r="G283" i="36" s="1"/>
  <c r="H283" i="36" s="1"/>
  <c r="I283" i="36" s="1"/>
  <c r="J283" i="36" s="1"/>
  <c r="K283" i="36" s="1"/>
  <c r="L283" i="36" s="1"/>
  <c r="M283" i="36" s="1"/>
  <c r="N283" i="36" s="1"/>
  <c r="O283" i="36" s="1"/>
  <c r="P283" i="36" s="1"/>
  <c r="Q283" i="36" s="1"/>
  <c r="R283" i="36" s="1"/>
  <c r="S283" i="36" s="1"/>
  <c r="T283" i="36" s="1"/>
  <c r="U283" i="36" s="1"/>
  <c r="V283" i="36" s="1"/>
  <c r="W283" i="36" s="1"/>
  <c r="X283" i="36" s="1"/>
  <c r="Y283" i="36" s="1"/>
  <c r="C284" i="36" s="1"/>
  <c r="D284" i="36" s="1"/>
  <c r="E284" i="36" s="1"/>
  <c r="F284" i="36" s="1"/>
  <c r="G284" i="36" s="1"/>
  <c r="H284" i="36" s="1"/>
  <c r="I284" i="36" s="1"/>
  <c r="J284" i="36" s="1"/>
  <c r="K284" i="36" s="1"/>
  <c r="L284" i="36" s="1"/>
  <c r="M284" i="36" s="1"/>
  <c r="N284" i="36" s="1"/>
  <c r="O284" i="36" s="1"/>
  <c r="P284" i="36" s="1"/>
  <c r="Q284" i="36" s="1"/>
  <c r="R284" i="36" s="1"/>
  <c r="S284" i="36" s="1"/>
  <c r="T284" i="36" s="1"/>
  <c r="U284" i="36" s="1"/>
  <c r="V284" i="36" s="1"/>
  <c r="W284" i="36" s="1"/>
  <c r="X284" i="36" s="1"/>
  <c r="Y284" i="36" s="1"/>
  <c r="C285" i="36" s="1"/>
  <c r="D285" i="36" s="1"/>
  <c r="E285" i="36" s="1"/>
  <c r="F285" i="36" s="1"/>
  <c r="G285" i="36" s="1"/>
  <c r="H285" i="36" s="1"/>
  <c r="I285" i="36" s="1"/>
  <c r="J285" i="36" s="1"/>
  <c r="K285" i="36" s="1"/>
  <c r="L285" i="36" s="1"/>
  <c r="M285" i="36" s="1"/>
  <c r="N285" i="36" s="1"/>
  <c r="O285" i="36" s="1"/>
  <c r="P285" i="36" s="1"/>
  <c r="Q285" i="36" s="1"/>
  <c r="R285" i="36" s="1"/>
  <c r="S285" i="36" s="1"/>
  <c r="T285" i="36" s="1"/>
  <c r="U285" i="36" s="1"/>
  <c r="V285" i="36" s="1"/>
  <c r="W285" i="36" s="1"/>
  <c r="X285" i="36" s="1"/>
  <c r="Y285" i="36" s="1"/>
  <c r="C286" i="36" s="1"/>
  <c r="D286" i="36" s="1"/>
  <c r="E286" i="36" s="1"/>
  <c r="F286" i="36" s="1"/>
  <c r="G286" i="36" s="1"/>
  <c r="H286" i="36" s="1"/>
  <c r="I286" i="36" s="1"/>
  <c r="J286" i="36" s="1"/>
  <c r="K286" i="36" s="1"/>
  <c r="L286" i="36" s="1"/>
  <c r="M286" i="36" s="1"/>
  <c r="N286" i="36" s="1"/>
  <c r="O286" i="36" s="1"/>
  <c r="P286" i="36" s="1"/>
  <c r="Q286" i="36" s="1"/>
  <c r="R286" i="36" s="1"/>
  <c r="S286" i="36" s="1"/>
  <c r="T286" i="36" s="1"/>
  <c r="U286" i="36" s="1"/>
  <c r="V286" i="36" s="1"/>
  <c r="W286" i="36" s="1"/>
  <c r="X286" i="36" s="1"/>
  <c r="Y286" i="36" s="1"/>
  <c r="I228" i="35"/>
  <c r="I184" i="35"/>
  <c r="C264" i="35"/>
  <c r="D264" i="35" s="1"/>
  <c r="E264" i="35" s="1"/>
  <c r="F264" i="35" s="1"/>
  <c r="G264" i="35" s="1"/>
  <c r="H264" i="35" s="1"/>
  <c r="I264" i="35" s="1"/>
  <c r="J264" i="35" s="1"/>
  <c r="K264" i="35" s="1"/>
  <c r="L264" i="35" s="1"/>
  <c r="M264" i="35" s="1"/>
  <c r="N264" i="35" s="1"/>
  <c r="O264" i="35" s="1"/>
  <c r="P264" i="35" s="1"/>
  <c r="Q264" i="35" s="1"/>
  <c r="R264" i="35" s="1"/>
  <c r="S264" i="35" s="1"/>
  <c r="T264" i="35" s="1"/>
  <c r="U264" i="35" s="1"/>
  <c r="V264" i="35" s="1"/>
  <c r="W264" i="35" s="1"/>
  <c r="X264" i="35" s="1"/>
  <c r="Y264" i="35" s="1"/>
  <c r="C265" i="35" s="1"/>
  <c r="D265" i="35" s="1"/>
  <c r="E265" i="35" s="1"/>
  <c r="F265" i="35" s="1"/>
  <c r="G265" i="35" s="1"/>
  <c r="H265" i="35" s="1"/>
  <c r="I265" i="35" s="1"/>
  <c r="J265" i="35" s="1"/>
  <c r="K265" i="35" s="1"/>
  <c r="L265" i="35" s="1"/>
  <c r="M265" i="35" s="1"/>
  <c r="N265" i="35" s="1"/>
  <c r="O265" i="35" s="1"/>
  <c r="P265" i="35" s="1"/>
  <c r="Q265" i="35" s="1"/>
  <c r="R265" i="35" s="1"/>
  <c r="S265" i="35" s="1"/>
  <c r="T265" i="35" s="1"/>
  <c r="U265" i="35" s="1"/>
  <c r="V265" i="35" s="1"/>
  <c r="W265" i="35" s="1"/>
  <c r="X265" i="35" s="1"/>
  <c r="Y265" i="35" s="1"/>
  <c r="C266" i="35" s="1"/>
  <c r="D266" i="35" s="1"/>
  <c r="E266" i="35" s="1"/>
  <c r="F266" i="35" s="1"/>
  <c r="G266" i="35" s="1"/>
  <c r="H266" i="35" s="1"/>
  <c r="I266" i="35" s="1"/>
  <c r="J266" i="35" s="1"/>
  <c r="K266" i="35" s="1"/>
  <c r="L266" i="35" s="1"/>
  <c r="M266" i="35" s="1"/>
  <c r="N266" i="35" s="1"/>
  <c r="O266" i="35" s="1"/>
  <c r="P266" i="35" s="1"/>
  <c r="Q266" i="35" s="1"/>
  <c r="R266" i="35" s="1"/>
  <c r="S266" i="35" s="1"/>
  <c r="T266" i="35" s="1"/>
  <c r="U266" i="35" s="1"/>
  <c r="V266" i="35" s="1"/>
  <c r="W266" i="35" s="1"/>
  <c r="X266" i="35" s="1"/>
  <c r="Y266" i="35" s="1"/>
  <c r="C267" i="35" s="1"/>
  <c r="D267" i="35" s="1"/>
  <c r="E267" i="35" s="1"/>
  <c r="F267" i="35" s="1"/>
  <c r="G267" i="35" s="1"/>
  <c r="H267" i="35" s="1"/>
  <c r="I267" i="35" s="1"/>
  <c r="J267" i="35" s="1"/>
  <c r="K267" i="35" s="1"/>
  <c r="L267" i="35" s="1"/>
  <c r="M267" i="35" s="1"/>
  <c r="N267" i="35" s="1"/>
  <c r="O267" i="35" s="1"/>
  <c r="P267" i="35" s="1"/>
  <c r="Q267" i="35" s="1"/>
  <c r="R267" i="35" s="1"/>
  <c r="S267" i="35" s="1"/>
  <c r="T267" i="35" s="1"/>
  <c r="U267" i="35" s="1"/>
  <c r="V267" i="35" s="1"/>
  <c r="W267" i="35" s="1"/>
  <c r="X267" i="35" s="1"/>
  <c r="Y267" i="35" s="1"/>
  <c r="C268" i="35" s="1"/>
  <c r="D268" i="35" s="1"/>
  <c r="E268" i="35" s="1"/>
  <c r="F268" i="35" s="1"/>
  <c r="G268" i="35" s="1"/>
  <c r="H268" i="35" s="1"/>
  <c r="I268" i="35" s="1"/>
  <c r="J268" i="35" s="1"/>
  <c r="K268" i="35" s="1"/>
  <c r="L268" i="35" s="1"/>
  <c r="M268" i="35" s="1"/>
  <c r="N268" i="35" s="1"/>
  <c r="O268" i="35" s="1"/>
  <c r="P268" i="35" s="1"/>
  <c r="Q268" i="35" s="1"/>
  <c r="R268" i="35" s="1"/>
  <c r="S268" i="35" s="1"/>
  <c r="T268" i="35" s="1"/>
  <c r="U268" i="35" s="1"/>
  <c r="V268" i="35" s="1"/>
  <c r="W268" i="35" s="1"/>
  <c r="X268" i="35" s="1"/>
  <c r="Y268" i="35" s="1"/>
  <c r="C269" i="35" s="1"/>
  <c r="D269" i="35" s="1"/>
  <c r="E269" i="35" s="1"/>
  <c r="F269" i="35" s="1"/>
  <c r="G269" i="35" s="1"/>
  <c r="H269" i="35" s="1"/>
  <c r="I269" i="35" s="1"/>
  <c r="J269" i="35" s="1"/>
  <c r="K269" i="35" s="1"/>
  <c r="L269" i="35" s="1"/>
  <c r="M269" i="35" s="1"/>
  <c r="N269" i="35" s="1"/>
  <c r="O269" i="35" s="1"/>
  <c r="P269" i="35" s="1"/>
  <c r="Q269" i="35" s="1"/>
  <c r="R269" i="35" s="1"/>
  <c r="S269" i="35" s="1"/>
  <c r="T269" i="35" s="1"/>
  <c r="U269" i="35" s="1"/>
  <c r="V269" i="35" s="1"/>
  <c r="W269" i="35" s="1"/>
  <c r="X269" i="35" s="1"/>
  <c r="Y269" i="35" s="1"/>
  <c r="C270" i="35" s="1"/>
  <c r="D270" i="35" s="1"/>
  <c r="E270" i="35" s="1"/>
  <c r="F270" i="35" s="1"/>
  <c r="G270" i="35" s="1"/>
  <c r="H270" i="35" s="1"/>
  <c r="I270" i="35" s="1"/>
  <c r="J270" i="35" s="1"/>
  <c r="K270" i="35" s="1"/>
  <c r="L270" i="35" s="1"/>
  <c r="M270" i="35" s="1"/>
  <c r="N270" i="35" s="1"/>
  <c r="O270" i="35" s="1"/>
  <c r="P270" i="35" s="1"/>
  <c r="Q270" i="35" s="1"/>
  <c r="R270" i="35" s="1"/>
  <c r="S270" i="35" s="1"/>
  <c r="T270" i="35" s="1"/>
  <c r="U270" i="35" s="1"/>
  <c r="V270" i="35" s="1"/>
  <c r="W270" i="35" s="1"/>
  <c r="X270" i="35" s="1"/>
  <c r="Y270" i="35" s="1"/>
  <c r="C271" i="35" s="1"/>
  <c r="D271" i="35" s="1"/>
  <c r="E271" i="35" s="1"/>
  <c r="F271" i="35" s="1"/>
  <c r="G271" i="35" s="1"/>
  <c r="H271" i="35" s="1"/>
  <c r="I271" i="35" s="1"/>
  <c r="J271" i="35" s="1"/>
  <c r="K271" i="35" s="1"/>
  <c r="L271" i="35" s="1"/>
  <c r="M271" i="35" s="1"/>
  <c r="N271" i="35" s="1"/>
  <c r="O271" i="35" s="1"/>
  <c r="P271" i="35" s="1"/>
  <c r="Q271" i="35" s="1"/>
  <c r="R271" i="35" s="1"/>
  <c r="S271" i="35" s="1"/>
  <c r="T271" i="35" s="1"/>
  <c r="U271" i="35" s="1"/>
  <c r="V271" i="35" s="1"/>
  <c r="W271" i="35" s="1"/>
  <c r="X271" i="35" s="1"/>
  <c r="Y271" i="35" s="1"/>
  <c r="C272" i="35" s="1"/>
  <c r="D272" i="35" s="1"/>
  <c r="E272" i="35" s="1"/>
  <c r="F272" i="35" s="1"/>
  <c r="G272" i="35" s="1"/>
  <c r="H272" i="35" s="1"/>
  <c r="I272" i="35" s="1"/>
  <c r="J272" i="35" s="1"/>
  <c r="K272" i="35" s="1"/>
  <c r="L272" i="35" s="1"/>
  <c r="M272" i="35" s="1"/>
  <c r="N272" i="35" s="1"/>
  <c r="O272" i="35" s="1"/>
  <c r="P272" i="35" s="1"/>
  <c r="Q272" i="35" s="1"/>
  <c r="R272" i="35" s="1"/>
  <c r="S272" i="35" s="1"/>
  <c r="T272" i="35" s="1"/>
  <c r="U272" i="35" s="1"/>
  <c r="V272" i="35" s="1"/>
  <c r="W272" i="35" s="1"/>
  <c r="X272" i="35" s="1"/>
  <c r="Y272" i="35" s="1"/>
  <c r="C273" i="35" s="1"/>
  <c r="D273" i="35" s="1"/>
  <c r="E273" i="35" s="1"/>
  <c r="F273" i="35" s="1"/>
  <c r="G273" i="35" s="1"/>
  <c r="H273" i="35" s="1"/>
  <c r="I273" i="35" s="1"/>
  <c r="J273" i="35" s="1"/>
  <c r="K273" i="35" s="1"/>
  <c r="L273" i="35" s="1"/>
  <c r="M273" i="35" s="1"/>
  <c r="N273" i="35" s="1"/>
  <c r="O273" i="35" s="1"/>
  <c r="P273" i="35" s="1"/>
  <c r="Q273" i="35" s="1"/>
  <c r="R273" i="35" s="1"/>
  <c r="S273" i="35" s="1"/>
  <c r="T273" i="35" s="1"/>
  <c r="U273" i="35" s="1"/>
  <c r="V273" i="35" s="1"/>
  <c r="W273" i="35" s="1"/>
  <c r="X273" i="35" s="1"/>
  <c r="Y273" i="35" s="1"/>
  <c r="C274" i="35" s="1"/>
  <c r="D274" i="35" s="1"/>
  <c r="E274" i="35" s="1"/>
  <c r="F274" i="35" s="1"/>
  <c r="G274" i="35" s="1"/>
  <c r="H274" i="35" s="1"/>
  <c r="I274" i="35" s="1"/>
  <c r="J274" i="35" s="1"/>
  <c r="K274" i="35" s="1"/>
  <c r="L274" i="35" s="1"/>
  <c r="M274" i="35" s="1"/>
  <c r="N274" i="35" s="1"/>
  <c r="O274" i="35" s="1"/>
  <c r="P274" i="35" s="1"/>
  <c r="Q274" i="35" s="1"/>
  <c r="R274" i="35" s="1"/>
  <c r="S274" i="35" s="1"/>
  <c r="T274" i="35" s="1"/>
  <c r="U274" i="35" s="1"/>
  <c r="V274" i="35" s="1"/>
  <c r="W274" i="35" s="1"/>
  <c r="X274" i="35" s="1"/>
  <c r="Y274" i="35" s="1"/>
  <c r="C275" i="35" s="1"/>
  <c r="D275" i="35" s="1"/>
  <c r="E275" i="35" s="1"/>
  <c r="F275" i="35" s="1"/>
  <c r="G275" i="35" s="1"/>
  <c r="H275" i="35" s="1"/>
  <c r="I275" i="35" s="1"/>
  <c r="J275" i="35" s="1"/>
  <c r="K275" i="35" s="1"/>
  <c r="L275" i="35" s="1"/>
  <c r="M275" i="35" s="1"/>
  <c r="N275" i="35" s="1"/>
  <c r="O275" i="35" s="1"/>
  <c r="P275" i="35" s="1"/>
  <c r="Q275" i="35" s="1"/>
  <c r="R275" i="35" s="1"/>
  <c r="S275" i="35" s="1"/>
  <c r="T275" i="35" s="1"/>
  <c r="U275" i="35" s="1"/>
  <c r="V275" i="35" s="1"/>
  <c r="W275" i="35" s="1"/>
  <c r="X275" i="35" s="1"/>
  <c r="Y275" i="35" s="1"/>
  <c r="C276" i="35" s="1"/>
  <c r="D276" i="35" s="1"/>
  <c r="E276" i="35" s="1"/>
  <c r="F276" i="35" s="1"/>
  <c r="G276" i="35" s="1"/>
  <c r="H276" i="35" s="1"/>
  <c r="I276" i="35" s="1"/>
  <c r="J276" i="35" s="1"/>
  <c r="K276" i="35" s="1"/>
  <c r="L276" i="35" s="1"/>
  <c r="M276" i="35" s="1"/>
  <c r="N276" i="35" s="1"/>
  <c r="O276" i="35" s="1"/>
  <c r="P276" i="35" s="1"/>
  <c r="Q276" i="35" s="1"/>
  <c r="R276" i="35" s="1"/>
  <c r="S276" i="35" s="1"/>
  <c r="T276" i="35" s="1"/>
  <c r="U276" i="35" s="1"/>
  <c r="V276" i="35" s="1"/>
  <c r="W276" i="35" s="1"/>
  <c r="X276" i="35" s="1"/>
  <c r="Y276" i="35" s="1"/>
  <c r="C277" i="35" s="1"/>
  <c r="D277" i="35" s="1"/>
  <c r="E277" i="35" s="1"/>
  <c r="F277" i="35" s="1"/>
  <c r="G277" i="35" s="1"/>
  <c r="H277" i="35" s="1"/>
  <c r="I277" i="35" s="1"/>
  <c r="J277" i="35" s="1"/>
  <c r="K277" i="35" s="1"/>
  <c r="L277" i="35" s="1"/>
  <c r="M277" i="35" s="1"/>
  <c r="N277" i="35" s="1"/>
  <c r="O277" i="35" s="1"/>
  <c r="P277" i="35" s="1"/>
  <c r="Q277" i="35" s="1"/>
  <c r="R277" i="35" s="1"/>
  <c r="S277" i="35" s="1"/>
  <c r="T277" i="35" s="1"/>
  <c r="U277" i="35" s="1"/>
  <c r="V277" i="35" s="1"/>
  <c r="W277" i="35" s="1"/>
  <c r="X277" i="35" s="1"/>
  <c r="Y277" i="35" s="1"/>
  <c r="C278" i="35" s="1"/>
  <c r="D278" i="35" s="1"/>
  <c r="E278" i="35" s="1"/>
  <c r="F278" i="35" s="1"/>
  <c r="G278" i="35" s="1"/>
  <c r="H278" i="35" s="1"/>
  <c r="I278" i="35" s="1"/>
  <c r="J278" i="35" s="1"/>
  <c r="K278" i="35" s="1"/>
  <c r="L278" i="35" s="1"/>
  <c r="M278" i="35" s="1"/>
  <c r="N278" i="35" s="1"/>
  <c r="O278" i="35" s="1"/>
  <c r="P278" i="35" s="1"/>
  <c r="Q278" i="35" s="1"/>
  <c r="R278" i="35" s="1"/>
  <c r="S278" i="35" s="1"/>
  <c r="T278" i="35" s="1"/>
  <c r="U278" i="35" s="1"/>
  <c r="V278" i="35" s="1"/>
  <c r="W278" i="35" s="1"/>
  <c r="X278" i="35" s="1"/>
  <c r="Y278" i="35" s="1"/>
  <c r="C279" i="35" s="1"/>
  <c r="D279" i="35" s="1"/>
  <c r="E279" i="35" s="1"/>
  <c r="F279" i="35" s="1"/>
  <c r="G279" i="35" s="1"/>
  <c r="H279" i="35" s="1"/>
  <c r="I279" i="35" s="1"/>
  <c r="J279" i="35" s="1"/>
  <c r="K279" i="35" s="1"/>
  <c r="L279" i="35" s="1"/>
  <c r="M279" i="35" s="1"/>
  <c r="N279" i="35" s="1"/>
  <c r="O279" i="35" s="1"/>
  <c r="P279" i="35" s="1"/>
  <c r="Q279" i="35" s="1"/>
  <c r="R279" i="35" s="1"/>
  <c r="S279" i="35" s="1"/>
  <c r="T279" i="35" s="1"/>
  <c r="U279" i="35" s="1"/>
  <c r="V279" i="35" s="1"/>
  <c r="W279" i="35" s="1"/>
  <c r="X279" i="35" s="1"/>
  <c r="Y279" i="35" s="1"/>
  <c r="C280" i="35" s="1"/>
  <c r="D280" i="35" s="1"/>
  <c r="E280" i="35" s="1"/>
  <c r="F280" i="35" s="1"/>
  <c r="G280" i="35" s="1"/>
  <c r="H280" i="35" s="1"/>
  <c r="I280" i="35" s="1"/>
  <c r="J280" i="35" s="1"/>
  <c r="K280" i="35" s="1"/>
  <c r="L280" i="35" s="1"/>
  <c r="M280" i="35" s="1"/>
  <c r="N280" i="35" s="1"/>
  <c r="O280" i="35" s="1"/>
  <c r="P280" i="35" s="1"/>
  <c r="Q280" i="35" s="1"/>
  <c r="R280" i="35" s="1"/>
  <c r="S280" i="35" s="1"/>
  <c r="T280" i="35" s="1"/>
  <c r="U280" i="35" s="1"/>
  <c r="V280" i="35" s="1"/>
  <c r="W280" i="35" s="1"/>
  <c r="X280" i="35" s="1"/>
  <c r="Y280" i="35" s="1"/>
  <c r="C281" i="35" s="1"/>
  <c r="D281" i="35" s="1"/>
  <c r="E281" i="35" s="1"/>
  <c r="F281" i="35" s="1"/>
  <c r="G281" i="35" s="1"/>
  <c r="H281" i="35" s="1"/>
  <c r="I281" i="35" s="1"/>
  <c r="J281" i="35" s="1"/>
  <c r="K281" i="35" s="1"/>
  <c r="L281" i="35" s="1"/>
  <c r="M281" i="35" s="1"/>
  <c r="N281" i="35" s="1"/>
  <c r="O281" i="35" s="1"/>
  <c r="P281" i="35" s="1"/>
  <c r="Q281" i="35" s="1"/>
  <c r="R281" i="35" s="1"/>
  <c r="S281" i="35" s="1"/>
  <c r="T281" i="35" s="1"/>
  <c r="U281" i="35" s="1"/>
  <c r="V281" i="35" s="1"/>
  <c r="W281" i="35" s="1"/>
  <c r="X281" i="35" s="1"/>
  <c r="Y281" i="35" s="1"/>
  <c r="C282" i="35" s="1"/>
  <c r="D282" i="35" s="1"/>
  <c r="E282" i="35" s="1"/>
  <c r="F282" i="35" s="1"/>
  <c r="G282" i="35" s="1"/>
  <c r="H282" i="35" s="1"/>
  <c r="I282" i="35" s="1"/>
  <c r="J282" i="35" s="1"/>
  <c r="K282" i="35" s="1"/>
  <c r="L282" i="35" s="1"/>
  <c r="M282" i="35" s="1"/>
  <c r="N282" i="35" s="1"/>
  <c r="O282" i="35" s="1"/>
  <c r="P282" i="35" s="1"/>
  <c r="Q282" i="35" s="1"/>
  <c r="R282" i="35" s="1"/>
  <c r="S282" i="35" s="1"/>
  <c r="T282" i="35" s="1"/>
  <c r="U282" i="35" s="1"/>
  <c r="V282" i="35" s="1"/>
  <c r="W282" i="35" s="1"/>
  <c r="X282" i="35" s="1"/>
  <c r="Y282" i="35" s="1"/>
  <c r="C283" i="35" s="1"/>
  <c r="D283" i="35" s="1"/>
  <c r="E283" i="35" s="1"/>
  <c r="F283" i="35" s="1"/>
  <c r="G283" i="35" s="1"/>
  <c r="H283" i="35" s="1"/>
  <c r="I283" i="35" s="1"/>
  <c r="J283" i="35" s="1"/>
  <c r="K283" i="35" s="1"/>
  <c r="L283" i="35" s="1"/>
  <c r="M283" i="35" s="1"/>
  <c r="N283" i="35" s="1"/>
  <c r="O283" i="35" s="1"/>
  <c r="P283" i="35" s="1"/>
  <c r="Q283" i="35" s="1"/>
  <c r="R283" i="35" s="1"/>
  <c r="S283" i="35" s="1"/>
  <c r="T283" i="35" s="1"/>
  <c r="U283" i="35" s="1"/>
  <c r="V283" i="35" s="1"/>
  <c r="W283" i="35" s="1"/>
  <c r="X283" i="35" s="1"/>
  <c r="Y283" i="35" s="1"/>
  <c r="C284" i="35" s="1"/>
  <c r="D284" i="35" s="1"/>
  <c r="E284" i="35" s="1"/>
  <c r="F284" i="35" s="1"/>
  <c r="G284" i="35" s="1"/>
  <c r="H284" i="35" s="1"/>
  <c r="I284" i="35" s="1"/>
  <c r="J284" i="35" s="1"/>
  <c r="K284" i="35" s="1"/>
  <c r="L284" i="35" s="1"/>
  <c r="M284" i="35" s="1"/>
  <c r="N284" i="35" s="1"/>
  <c r="O284" i="35" s="1"/>
  <c r="P284" i="35" s="1"/>
  <c r="Q284" i="35" s="1"/>
  <c r="R284" i="35" s="1"/>
  <c r="S284" i="35" s="1"/>
  <c r="T284" i="35" s="1"/>
  <c r="U284" i="35" s="1"/>
  <c r="V284" i="35" s="1"/>
  <c r="W284" i="35" s="1"/>
  <c r="X284" i="35" s="1"/>
  <c r="Y284" i="35" s="1"/>
  <c r="C285" i="35" s="1"/>
  <c r="D285" i="35" s="1"/>
  <c r="E285" i="35" s="1"/>
  <c r="F285" i="35" s="1"/>
  <c r="G285" i="35" s="1"/>
  <c r="H285" i="35" s="1"/>
  <c r="I285" i="35" s="1"/>
  <c r="J285" i="35" s="1"/>
  <c r="K285" i="35" s="1"/>
  <c r="L285" i="35" s="1"/>
  <c r="M285" i="35" s="1"/>
  <c r="N285" i="35" s="1"/>
  <c r="O285" i="35" s="1"/>
  <c r="P285" i="35" s="1"/>
  <c r="Q285" i="35" s="1"/>
  <c r="R285" i="35" s="1"/>
  <c r="S285" i="35" s="1"/>
  <c r="T285" i="35" s="1"/>
  <c r="U285" i="35" s="1"/>
  <c r="V285" i="35" s="1"/>
  <c r="W285" i="35" s="1"/>
  <c r="X285" i="35" s="1"/>
  <c r="Y285" i="35" s="1"/>
  <c r="C286" i="35" s="1"/>
  <c r="D286" i="35" s="1"/>
  <c r="E286" i="35" s="1"/>
  <c r="F286" i="35" s="1"/>
  <c r="G286" i="35" s="1"/>
  <c r="H286" i="35" s="1"/>
  <c r="I286" i="35" s="1"/>
  <c r="J286" i="35" s="1"/>
  <c r="K286" i="35" s="1"/>
  <c r="L286" i="35" s="1"/>
  <c r="M286" i="35" s="1"/>
  <c r="N286" i="35" s="1"/>
  <c r="O286" i="35" s="1"/>
  <c r="P286" i="35" s="1"/>
  <c r="Q286" i="35" s="1"/>
  <c r="R286" i="35" s="1"/>
  <c r="S286" i="35" s="1"/>
  <c r="T286" i="35" s="1"/>
  <c r="U286" i="35" s="1"/>
  <c r="V286" i="35" s="1"/>
  <c r="W286" i="35" s="1"/>
  <c r="X286" i="35" s="1"/>
  <c r="Y286" i="35" s="1"/>
  <c r="I184" i="34"/>
  <c r="C263" i="34"/>
  <c r="D263" i="34" s="1"/>
  <c r="E263" i="34" s="1"/>
  <c r="F263" i="34" s="1"/>
  <c r="G263" i="34" s="1"/>
  <c r="H263" i="34" s="1"/>
  <c r="I263" i="34" s="1"/>
  <c r="J263" i="34" s="1"/>
  <c r="K263" i="34" s="1"/>
  <c r="L263" i="34" s="1"/>
  <c r="M263" i="34" s="1"/>
  <c r="N263" i="34" s="1"/>
  <c r="O263" i="34" s="1"/>
  <c r="P263" i="34" s="1"/>
  <c r="Q263" i="34" s="1"/>
  <c r="R263" i="34" s="1"/>
  <c r="S263" i="34" s="1"/>
  <c r="T263" i="34" s="1"/>
  <c r="U263" i="34" s="1"/>
  <c r="V263" i="34" s="1"/>
  <c r="W263" i="34" s="1"/>
  <c r="X263" i="34" s="1"/>
  <c r="Y263" i="34" s="1"/>
  <c r="C264" i="34" s="1"/>
  <c r="D264" i="34" s="1"/>
  <c r="E264" i="34" s="1"/>
  <c r="F264" i="34" s="1"/>
  <c r="G264" i="34" s="1"/>
  <c r="H264" i="34" s="1"/>
  <c r="I264" i="34" s="1"/>
  <c r="J264" i="34" s="1"/>
  <c r="K264" i="34" s="1"/>
  <c r="L264" i="34" s="1"/>
  <c r="M264" i="34" s="1"/>
  <c r="N264" i="34" s="1"/>
  <c r="O264" i="34" s="1"/>
  <c r="P264" i="34" s="1"/>
  <c r="Q264" i="34" s="1"/>
  <c r="R264" i="34" s="1"/>
  <c r="S264" i="34" s="1"/>
  <c r="T264" i="34" s="1"/>
  <c r="U264" i="34" s="1"/>
  <c r="V264" i="34" s="1"/>
  <c r="W264" i="34" s="1"/>
  <c r="X264" i="34" s="1"/>
  <c r="Y264" i="34" s="1"/>
  <c r="C265" i="34" s="1"/>
  <c r="D265" i="34" s="1"/>
  <c r="E265" i="34" s="1"/>
  <c r="F265" i="34" s="1"/>
  <c r="G265" i="34" s="1"/>
  <c r="H265" i="34" s="1"/>
  <c r="I265" i="34" s="1"/>
  <c r="J265" i="34" s="1"/>
  <c r="K265" i="34" s="1"/>
  <c r="L265" i="34" s="1"/>
  <c r="M265" i="34" s="1"/>
  <c r="N265" i="34" s="1"/>
  <c r="O265" i="34" s="1"/>
  <c r="P265" i="34" s="1"/>
  <c r="Q265" i="34" s="1"/>
  <c r="R265" i="34" s="1"/>
  <c r="S265" i="34" s="1"/>
  <c r="T265" i="34" s="1"/>
  <c r="U265" i="34" s="1"/>
  <c r="V265" i="34" s="1"/>
  <c r="W265" i="34" s="1"/>
  <c r="X265" i="34" s="1"/>
  <c r="Y265" i="34" s="1"/>
  <c r="C266" i="34" s="1"/>
  <c r="D266" i="34" s="1"/>
  <c r="E266" i="34" s="1"/>
  <c r="F266" i="34" s="1"/>
  <c r="G266" i="34" s="1"/>
  <c r="H266" i="34" s="1"/>
  <c r="I266" i="34" s="1"/>
  <c r="J266" i="34" s="1"/>
  <c r="K266" i="34" s="1"/>
  <c r="L266" i="34" s="1"/>
  <c r="M266" i="34" s="1"/>
  <c r="N266" i="34" s="1"/>
  <c r="O266" i="34" s="1"/>
  <c r="P266" i="34" s="1"/>
  <c r="Q266" i="34" s="1"/>
  <c r="R266" i="34" s="1"/>
  <c r="S266" i="34" s="1"/>
  <c r="T266" i="34" s="1"/>
  <c r="U266" i="34" s="1"/>
  <c r="V266" i="34" s="1"/>
  <c r="W266" i="34" s="1"/>
  <c r="X266" i="34" s="1"/>
  <c r="Y266" i="34" s="1"/>
  <c r="C267" i="34" s="1"/>
  <c r="D267" i="34" s="1"/>
  <c r="E267" i="34" s="1"/>
  <c r="F267" i="34" s="1"/>
  <c r="G267" i="34" s="1"/>
  <c r="H267" i="34" s="1"/>
  <c r="I267" i="34" s="1"/>
  <c r="J267" i="34" s="1"/>
  <c r="K267" i="34" s="1"/>
  <c r="L267" i="34" s="1"/>
  <c r="M267" i="34" s="1"/>
  <c r="N267" i="34" s="1"/>
  <c r="O267" i="34" s="1"/>
  <c r="P267" i="34" s="1"/>
  <c r="Q267" i="34" s="1"/>
  <c r="R267" i="34" s="1"/>
  <c r="S267" i="34" s="1"/>
  <c r="T267" i="34" s="1"/>
  <c r="U267" i="34" s="1"/>
  <c r="V267" i="34" s="1"/>
  <c r="W267" i="34" s="1"/>
  <c r="X267" i="34" s="1"/>
  <c r="Y267" i="34" s="1"/>
  <c r="C268" i="34" s="1"/>
  <c r="D268" i="34" s="1"/>
  <c r="E268" i="34" s="1"/>
  <c r="F268" i="34" s="1"/>
  <c r="G268" i="34" s="1"/>
  <c r="H268" i="34" s="1"/>
  <c r="I268" i="34" s="1"/>
  <c r="J268" i="34" s="1"/>
  <c r="K268" i="34" s="1"/>
  <c r="L268" i="34" s="1"/>
  <c r="M268" i="34" s="1"/>
  <c r="N268" i="34" s="1"/>
  <c r="O268" i="34" s="1"/>
  <c r="P268" i="34" s="1"/>
  <c r="Q268" i="34" s="1"/>
  <c r="R268" i="34" s="1"/>
  <c r="S268" i="34" s="1"/>
  <c r="T268" i="34" s="1"/>
  <c r="U268" i="34" s="1"/>
  <c r="V268" i="34" s="1"/>
  <c r="W268" i="34" s="1"/>
  <c r="X268" i="34" s="1"/>
  <c r="Y268" i="34" s="1"/>
  <c r="C269" i="34" s="1"/>
  <c r="D269" i="34" s="1"/>
  <c r="E269" i="34" s="1"/>
  <c r="F269" i="34" s="1"/>
  <c r="G269" i="34" s="1"/>
  <c r="H269" i="34" s="1"/>
  <c r="I269" i="34" s="1"/>
  <c r="J269" i="34" s="1"/>
  <c r="K269" i="34" s="1"/>
  <c r="L269" i="34" s="1"/>
  <c r="M269" i="34" s="1"/>
  <c r="N269" i="34" s="1"/>
  <c r="O269" i="34" s="1"/>
  <c r="P269" i="34" s="1"/>
  <c r="Q269" i="34" s="1"/>
  <c r="R269" i="34" s="1"/>
  <c r="S269" i="34" s="1"/>
  <c r="T269" i="34" s="1"/>
  <c r="U269" i="34" s="1"/>
  <c r="V269" i="34" s="1"/>
  <c r="W269" i="34" s="1"/>
  <c r="X269" i="34" s="1"/>
  <c r="Y269" i="34" s="1"/>
  <c r="C270" i="34" s="1"/>
  <c r="D270" i="34" s="1"/>
  <c r="E270" i="34" s="1"/>
  <c r="F270" i="34" s="1"/>
  <c r="G270" i="34" s="1"/>
  <c r="H270" i="34" s="1"/>
  <c r="I270" i="34" s="1"/>
  <c r="J270" i="34" s="1"/>
  <c r="K270" i="34" s="1"/>
  <c r="L270" i="34" s="1"/>
  <c r="M270" i="34" s="1"/>
  <c r="N270" i="34" s="1"/>
  <c r="O270" i="34" s="1"/>
  <c r="P270" i="34" s="1"/>
  <c r="Q270" i="34" s="1"/>
  <c r="R270" i="34" s="1"/>
  <c r="S270" i="34" s="1"/>
  <c r="T270" i="34" s="1"/>
  <c r="U270" i="34" s="1"/>
  <c r="V270" i="34" s="1"/>
  <c r="W270" i="34" s="1"/>
  <c r="X270" i="34" s="1"/>
  <c r="Y270" i="34" s="1"/>
  <c r="C271" i="34" s="1"/>
  <c r="D271" i="34" s="1"/>
  <c r="E271" i="34" s="1"/>
  <c r="F271" i="34" s="1"/>
  <c r="G271" i="34" s="1"/>
  <c r="H271" i="34" s="1"/>
  <c r="I271" i="34" s="1"/>
  <c r="J271" i="34" s="1"/>
  <c r="K271" i="34" s="1"/>
  <c r="L271" i="34" s="1"/>
  <c r="M271" i="34" s="1"/>
  <c r="N271" i="34" s="1"/>
  <c r="O271" i="34" s="1"/>
  <c r="P271" i="34" s="1"/>
  <c r="Q271" i="34" s="1"/>
  <c r="R271" i="34" s="1"/>
  <c r="S271" i="34" s="1"/>
  <c r="T271" i="34" s="1"/>
  <c r="U271" i="34" s="1"/>
  <c r="V271" i="34" s="1"/>
  <c r="W271" i="34" s="1"/>
  <c r="X271" i="34" s="1"/>
  <c r="Y271" i="34" s="1"/>
  <c r="C272" i="34" s="1"/>
  <c r="D272" i="34" s="1"/>
  <c r="E272" i="34" s="1"/>
  <c r="F272" i="34" s="1"/>
  <c r="G272" i="34" s="1"/>
  <c r="H272" i="34" s="1"/>
  <c r="I272" i="34" s="1"/>
  <c r="J272" i="34" s="1"/>
  <c r="K272" i="34" s="1"/>
  <c r="L272" i="34" s="1"/>
  <c r="M272" i="34" s="1"/>
  <c r="N272" i="34" s="1"/>
  <c r="O272" i="34" s="1"/>
  <c r="P272" i="34" s="1"/>
  <c r="Q272" i="34" s="1"/>
  <c r="R272" i="34" s="1"/>
  <c r="S272" i="34" s="1"/>
  <c r="T272" i="34" s="1"/>
  <c r="U272" i="34" s="1"/>
  <c r="V272" i="34" s="1"/>
  <c r="W272" i="34" s="1"/>
  <c r="X272" i="34" s="1"/>
  <c r="Y272" i="34" s="1"/>
  <c r="C273" i="34" s="1"/>
  <c r="D273" i="34" s="1"/>
  <c r="E273" i="34" s="1"/>
  <c r="F273" i="34" s="1"/>
  <c r="G273" i="34" s="1"/>
  <c r="H273" i="34" s="1"/>
  <c r="I273" i="34" s="1"/>
  <c r="J273" i="34" s="1"/>
  <c r="K273" i="34" s="1"/>
  <c r="L273" i="34" s="1"/>
  <c r="M273" i="34" s="1"/>
  <c r="N273" i="34" s="1"/>
  <c r="O273" i="34" s="1"/>
  <c r="P273" i="34" s="1"/>
  <c r="Q273" i="34" s="1"/>
  <c r="R273" i="34" s="1"/>
  <c r="S273" i="34" s="1"/>
  <c r="T273" i="34" s="1"/>
  <c r="U273" i="34" s="1"/>
  <c r="V273" i="34" s="1"/>
  <c r="W273" i="34" s="1"/>
  <c r="X273" i="34" s="1"/>
  <c r="Y273" i="34" s="1"/>
  <c r="C274" i="34" s="1"/>
  <c r="D274" i="34" s="1"/>
  <c r="E274" i="34" s="1"/>
  <c r="F274" i="34" s="1"/>
  <c r="G274" i="34" s="1"/>
  <c r="H274" i="34" s="1"/>
  <c r="I274" i="34" s="1"/>
  <c r="J274" i="34" s="1"/>
  <c r="K274" i="34" s="1"/>
  <c r="L274" i="34" s="1"/>
  <c r="M274" i="34" s="1"/>
  <c r="N274" i="34" s="1"/>
  <c r="O274" i="34" s="1"/>
  <c r="P274" i="34" s="1"/>
  <c r="Q274" i="34" s="1"/>
  <c r="R274" i="34" s="1"/>
  <c r="S274" i="34" s="1"/>
  <c r="T274" i="34" s="1"/>
  <c r="U274" i="34" s="1"/>
  <c r="V274" i="34" s="1"/>
  <c r="W274" i="34" s="1"/>
  <c r="X274" i="34" s="1"/>
  <c r="Y274" i="34" s="1"/>
  <c r="C275" i="34" s="1"/>
  <c r="D275" i="34" s="1"/>
  <c r="E275" i="34" s="1"/>
  <c r="F275" i="34" s="1"/>
  <c r="G275" i="34" s="1"/>
  <c r="H275" i="34" s="1"/>
  <c r="I275" i="34" s="1"/>
  <c r="J275" i="34" s="1"/>
  <c r="K275" i="34" s="1"/>
  <c r="L275" i="34" s="1"/>
  <c r="M275" i="34" s="1"/>
  <c r="N275" i="34" s="1"/>
  <c r="O275" i="34" s="1"/>
  <c r="P275" i="34" s="1"/>
  <c r="Q275" i="34" s="1"/>
  <c r="R275" i="34" s="1"/>
  <c r="S275" i="34" s="1"/>
  <c r="T275" i="34" s="1"/>
  <c r="U275" i="34" s="1"/>
  <c r="V275" i="34" s="1"/>
  <c r="W275" i="34" s="1"/>
  <c r="X275" i="34" s="1"/>
  <c r="Y275" i="34" s="1"/>
  <c r="C276" i="34" s="1"/>
  <c r="D276" i="34" s="1"/>
  <c r="E276" i="34" s="1"/>
  <c r="F276" i="34" s="1"/>
  <c r="G276" i="34" s="1"/>
  <c r="H276" i="34" s="1"/>
  <c r="I276" i="34" s="1"/>
  <c r="J276" i="34" s="1"/>
  <c r="K276" i="34" s="1"/>
  <c r="L276" i="34" s="1"/>
  <c r="M276" i="34" s="1"/>
  <c r="N276" i="34" s="1"/>
  <c r="O276" i="34" s="1"/>
  <c r="P276" i="34" s="1"/>
  <c r="Q276" i="34" s="1"/>
  <c r="R276" i="34" s="1"/>
  <c r="S276" i="34" s="1"/>
  <c r="T276" i="34" s="1"/>
  <c r="U276" i="34" s="1"/>
  <c r="V276" i="34" s="1"/>
  <c r="W276" i="34" s="1"/>
  <c r="X276" i="34" s="1"/>
  <c r="Y276" i="34" s="1"/>
  <c r="C277" i="34" s="1"/>
  <c r="D277" i="34" s="1"/>
  <c r="E277" i="34" s="1"/>
  <c r="F277" i="34" s="1"/>
  <c r="G277" i="34" s="1"/>
  <c r="H277" i="34" s="1"/>
  <c r="I277" i="34" s="1"/>
  <c r="J277" i="34" s="1"/>
  <c r="K277" i="34" s="1"/>
  <c r="L277" i="34" s="1"/>
  <c r="M277" i="34" s="1"/>
  <c r="N277" i="34" s="1"/>
  <c r="O277" i="34" s="1"/>
  <c r="P277" i="34" s="1"/>
  <c r="Q277" i="34" s="1"/>
  <c r="R277" i="34" s="1"/>
  <c r="S277" i="34" s="1"/>
  <c r="T277" i="34" s="1"/>
  <c r="U277" i="34" s="1"/>
  <c r="V277" i="34" s="1"/>
  <c r="W277" i="34" s="1"/>
  <c r="X277" i="34" s="1"/>
  <c r="Y277" i="34" s="1"/>
  <c r="C278" i="34" s="1"/>
  <c r="D278" i="34" s="1"/>
  <c r="E278" i="34" s="1"/>
  <c r="F278" i="34" s="1"/>
  <c r="G278" i="34" s="1"/>
  <c r="H278" i="34" s="1"/>
  <c r="I278" i="34" s="1"/>
  <c r="J278" i="34" s="1"/>
  <c r="K278" i="34" s="1"/>
  <c r="L278" i="34" s="1"/>
  <c r="M278" i="34" s="1"/>
  <c r="N278" i="34" s="1"/>
  <c r="O278" i="34" s="1"/>
  <c r="P278" i="34" s="1"/>
  <c r="Q278" i="34" s="1"/>
  <c r="R278" i="34" s="1"/>
  <c r="S278" i="34" s="1"/>
  <c r="T278" i="34" s="1"/>
  <c r="U278" i="34" s="1"/>
  <c r="V278" i="34" s="1"/>
  <c r="W278" i="34" s="1"/>
  <c r="X278" i="34" s="1"/>
  <c r="Y278" i="34" s="1"/>
  <c r="C279" i="34" s="1"/>
  <c r="D279" i="34" s="1"/>
  <c r="E279" i="34" s="1"/>
  <c r="F279" i="34" s="1"/>
  <c r="G279" i="34" s="1"/>
  <c r="H279" i="34" s="1"/>
  <c r="I279" i="34" s="1"/>
  <c r="J279" i="34" s="1"/>
  <c r="K279" i="34" s="1"/>
  <c r="L279" i="34" s="1"/>
  <c r="M279" i="34" s="1"/>
  <c r="N279" i="34" s="1"/>
  <c r="O279" i="34" s="1"/>
  <c r="P279" i="34" s="1"/>
  <c r="Q279" i="34" s="1"/>
  <c r="R279" i="34" s="1"/>
  <c r="S279" i="34" s="1"/>
  <c r="T279" i="34" s="1"/>
  <c r="U279" i="34" s="1"/>
  <c r="V279" i="34" s="1"/>
  <c r="W279" i="34" s="1"/>
  <c r="X279" i="34" s="1"/>
  <c r="Y279" i="34" s="1"/>
  <c r="C280" i="34" s="1"/>
  <c r="D280" i="34" s="1"/>
  <c r="E280" i="34" s="1"/>
  <c r="F280" i="34" s="1"/>
  <c r="G280" i="34" s="1"/>
  <c r="H280" i="34" s="1"/>
  <c r="I280" i="34" s="1"/>
  <c r="J280" i="34" s="1"/>
  <c r="K280" i="34" s="1"/>
  <c r="L280" i="34" s="1"/>
  <c r="M280" i="34" s="1"/>
  <c r="N280" i="34" s="1"/>
  <c r="O280" i="34" s="1"/>
  <c r="P280" i="34" s="1"/>
  <c r="Q280" i="34" s="1"/>
  <c r="R280" i="34" s="1"/>
  <c r="S280" i="34" s="1"/>
  <c r="T280" i="34" s="1"/>
  <c r="U280" i="34" s="1"/>
  <c r="V280" i="34" s="1"/>
  <c r="W280" i="34" s="1"/>
  <c r="X280" i="34" s="1"/>
  <c r="Y280" i="34" s="1"/>
  <c r="C281" i="34" s="1"/>
  <c r="D281" i="34" s="1"/>
  <c r="E281" i="34" s="1"/>
  <c r="F281" i="34" s="1"/>
  <c r="G281" i="34" s="1"/>
  <c r="H281" i="34" s="1"/>
  <c r="I281" i="34" s="1"/>
  <c r="J281" i="34" s="1"/>
  <c r="K281" i="34" s="1"/>
  <c r="L281" i="34" s="1"/>
  <c r="M281" i="34" s="1"/>
  <c r="N281" i="34" s="1"/>
  <c r="O281" i="34" s="1"/>
  <c r="P281" i="34" s="1"/>
  <c r="Q281" i="34" s="1"/>
  <c r="R281" i="34" s="1"/>
  <c r="S281" i="34" s="1"/>
  <c r="T281" i="34" s="1"/>
  <c r="U281" i="34" s="1"/>
  <c r="V281" i="34" s="1"/>
  <c r="W281" i="34" s="1"/>
  <c r="X281" i="34" s="1"/>
  <c r="Y281" i="34" s="1"/>
  <c r="C282" i="34" s="1"/>
  <c r="D282" i="34" s="1"/>
  <c r="E282" i="34" s="1"/>
  <c r="F282" i="34" s="1"/>
  <c r="G282" i="34" s="1"/>
  <c r="H282" i="34" s="1"/>
  <c r="I282" i="34" s="1"/>
  <c r="J282" i="34" s="1"/>
  <c r="K282" i="34" s="1"/>
  <c r="L282" i="34" s="1"/>
  <c r="M282" i="34" s="1"/>
  <c r="N282" i="34" s="1"/>
  <c r="O282" i="34" s="1"/>
  <c r="P282" i="34" s="1"/>
  <c r="Q282" i="34" s="1"/>
  <c r="R282" i="34" s="1"/>
  <c r="S282" i="34" s="1"/>
  <c r="T282" i="34" s="1"/>
  <c r="U282" i="34" s="1"/>
  <c r="V282" i="34" s="1"/>
  <c r="W282" i="34" s="1"/>
  <c r="X282" i="34" s="1"/>
  <c r="Y282" i="34" s="1"/>
  <c r="C283" i="34" s="1"/>
  <c r="D283" i="34" s="1"/>
  <c r="E283" i="34" s="1"/>
  <c r="F283" i="34" s="1"/>
  <c r="G283" i="34" s="1"/>
  <c r="H283" i="34" s="1"/>
  <c r="I283" i="34" s="1"/>
  <c r="J283" i="34" s="1"/>
  <c r="K283" i="34" s="1"/>
  <c r="L283" i="34" s="1"/>
  <c r="M283" i="34" s="1"/>
  <c r="N283" i="34" s="1"/>
  <c r="O283" i="34" s="1"/>
  <c r="P283" i="34" s="1"/>
  <c r="Q283" i="34" s="1"/>
  <c r="R283" i="34" s="1"/>
  <c r="S283" i="34" s="1"/>
  <c r="T283" i="34" s="1"/>
  <c r="U283" i="34" s="1"/>
  <c r="V283" i="34" s="1"/>
  <c r="W283" i="34" s="1"/>
  <c r="X283" i="34" s="1"/>
  <c r="Y283" i="34" s="1"/>
  <c r="C284" i="34" s="1"/>
  <c r="D284" i="34" s="1"/>
  <c r="E284" i="34" s="1"/>
  <c r="F284" i="34" s="1"/>
  <c r="G284" i="34" s="1"/>
  <c r="H284" i="34" s="1"/>
  <c r="I284" i="34" s="1"/>
  <c r="J284" i="34" s="1"/>
  <c r="K284" i="34" s="1"/>
  <c r="L284" i="34" s="1"/>
  <c r="M284" i="34" s="1"/>
  <c r="N284" i="34" s="1"/>
  <c r="O284" i="34" s="1"/>
  <c r="P284" i="34" s="1"/>
  <c r="Q284" i="34" s="1"/>
  <c r="R284" i="34" s="1"/>
  <c r="S284" i="34" s="1"/>
  <c r="T284" i="34" s="1"/>
  <c r="U284" i="34" s="1"/>
  <c r="V284" i="34" s="1"/>
  <c r="W284" i="34" s="1"/>
  <c r="X284" i="34" s="1"/>
  <c r="Y284" i="34" s="1"/>
  <c r="C285" i="34" s="1"/>
  <c r="D285" i="34" s="1"/>
  <c r="E285" i="34" s="1"/>
  <c r="F285" i="34" s="1"/>
  <c r="G285" i="34" s="1"/>
  <c r="H285" i="34" s="1"/>
  <c r="I285" i="34" s="1"/>
  <c r="J285" i="34" s="1"/>
  <c r="K285" i="34" s="1"/>
  <c r="L285" i="34" s="1"/>
  <c r="M285" i="34" s="1"/>
  <c r="N285" i="34" s="1"/>
  <c r="O285" i="34" s="1"/>
  <c r="P285" i="34" s="1"/>
  <c r="Q285" i="34" s="1"/>
  <c r="R285" i="34" s="1"/>
  <c r="S285" i="34" s="1"/>
  <c r="T285" i="34" s="1"/>
  <c r="U285" i="34" s="1"/>
  <c r="V285" i="34" s="1"/>
  <c r="W285" i="34" s="1"/>
  <c r="X285" i="34" s="1"/>
  <c r="Y285" i="34" s="1"/>
  <c r="C286" i="34" s="1"/>
  <c r="D286" i="34" s="1"/>
  <c r="E286" i="34" s="1"/>
  <c r="F286" i="34" s="1"/>
  <c r="G286" i="34" s="1"/>
  <c r="H286" i="34" s="1"/>
  <c r="I286" i="34" s="1"/>
  <c r="J286" i="34" s="1"/>
  <c r="K286" i="34" s="1"/>
  <c r="L286" i="34" s="1"/>
  <c r="M286" i="34" s="1"/>
  <c r="N286" i="34" s="1"/>
  <c r="O286" i="34" s="1"/>
  <c r="P286" i="34" s="1"/>
  <c r="Q286" i="34" s="1"/>
  <c r="R286" i="34" s="1"/>
  <c r="S286" i="34" s="1"/>
  <c r="T286" i="34" s="1"/>
  <c r="U286" i="34" s="1"/>
  <c r="V286" i="34" s="1"/>
  <c r="W286" i="34" s="1"/>
  <c r="X286" i="34" s="1"/>
  <c r="Y286" i="34" s="1"/>
  <c r="I228" i="34"/>
  <c r="I228" i="51"/>
  <c r="I184" i="51"/>
  <c r="C262" i="51"/>
  <c r="D262" i="51" s="1"/>
  <c r="E262" i="51" s="1"/>
  <c r="F262" i="51" s="1"/>
  <c r="G262" i="51" s="1"/>
  <c r="H262" i="51" s="1"/>
  <c r="I262" i="51" s="1"/>
  <c r="J262" i="51" s="1"/>
  <c r="K262" i="51" s="1"/>
  <c r="L262" i="51" s="1"/>
  <c r="M262" i="51" s="1"/>
  <c r="N262" i="51" s="1"/>
  <c r="O262" i="51" s="1"/>
  <c r="P262" i="51" s="1"/>
  <c r="Q262" i="51" s="1"/>
  <c r="R262" i="51" s="1"/>
  <c r="S262" i="51" s="1"/>
  <c r="T262" i="51" s="1"/>
  <c r="U262" i="51" s="1"/>
  <c r="V262" i="51" s="1"/>
  <c r="W262" i="51" s="1"/>
  <c r="X262" i="51" s="1"/>
  <c r="Y262" i="51" s="1"/>
  <c r="C263" i="51" s="1"/>
  <c r="D263" i="51" s="1"/>
  <c r="E263" i="51" s="1"/>
  <c r="F263" i="51" s="1"/>
  <c r="G263" i="51" s="1"/>
  <c r="H263" i="51" s="1"/>
  <c r="I263" i="51" s="1"/>
  <c r="J263" i="51" s="1"/>
  <c r="K263" i="51" s="1"/>
  <c r="L263" i="51" s="1"/>
  <c r="M263" i="51" s="1"/>
  <c r="N263" i="51" s="1"/>
  <c r="O263" i="51" s="1"/>
  <c r="P263" i="51" s="1"/>
  <c r="Q263" i="51" s="1"/>
  <c r="R263" i="51" s="1"/>
  <c r="S263" i="51" s="1"/>
  <c r="T263" i="51" s="1"/>
  <c r="U263" i="51" s="1"/>
  <c r="V263" i="51" s="1"/>
  <c r="W263" i="51" s="1"/>
  <c r="X263" i="51" s="1"/>
  <c r="Y263" i="51" s="1"/>
  <c r="C264" i="51" s="1"/>
  <c r="D264" i="51" s="1"/>
  <c r="E264" i="51" s="1"/>
  <c r="F264" i="51" s="1"/>
  <c r="G264" i="51" s="1"/>
  <c r="H264" i="51" s="1"/>
  <c r="I264" i="51" s="1"/>
  <c r="J264" i="51" s="1"/>
  <c r="K264" i="51" s="1"/>
  <c r="L264" i="51" s="1"/>
  <c r="M264" i="51" s="1"/>
  <c r="N264" i="51" s="1"/>
  <c r="O264" i="51" s="1"/>
  <c r="P264" i="51" s="1"/>
  <c r="Q264" i="51" s="1"/>
  <c r="R264" i="51" s="1"/>
  <c r="S264" i="51" s="1"/>
  <c r="T264" i="51" s="1"/>
  <c r="U264" i="51" s="1"/>
  <c r="V264" i="51" s="1"/>
  <c r="W264" i="51" s="1"/>
  <c r="X264" i="51" s="1"/>
  <c r="Y264" i="51" s="1"/>
  <c r="C265" i="51" s="1"/>
  <c r="D265" i="51" s="1"/>
  <c r="E265" i="51" s="1"/>
  <c r="F265" i="51" s="1"/>
  <c r="G265" i="51" s="1"/>
  <c r="H265" i="51" s="1"/>
  <c r="I265" i="51" s="1"/>
  <c r="J265" i="51" s="1"/>
  <c r="K265" i="51" s="1"/>
  <c r="L265" i="51" s="1"/>
  <c r="M265" i="51" s="1"/>
  <c r="N265" i="51" s="1"/>
  <c r="O265" i="51" s="1"/>
  <c r="P265" i="51" s="1"/>
  <c r="Q265" i="51" s="1"/>
  <c r="R265" i="51" s="1"/>
  <c r="S265" i="51" s="1"/>
  <c r="T265" i="51" s="1"/>
  <c r="U265" i="51" s="1"/>
  <c r="V265" i="51" s="1"/>
  <c r="W265" i="51" s="1"/>
  <c r="X265" i="51" s="1"/>
  <c r="Y265" i="51" s="1"/>
  <c r="C266" i="51" s="1"/>
  <c r="D266" i="51" s="1"/>
  <c r="E266" i="51" s="1"/>
  <c r="F266" i="51" s="1"/>
  <c r="G266" i="51" s="1"/>
  <c r="H266" i="51" s="1"/>
  <c r="I266" i="51" s="1"/>
  <c r="J266" i="51" s="1"/>
  <c r="K266" i="51" s="1"/>
  <c r="L266" i="51" s="1"/>
  <c r="M266" i="51" s="1"/>
  <c r="N266" i="51" s="1"/>
  <c r="O266" i="51" s="1"/>
  <c r="P266" i="51" s="1"/>
  <c r="Q266" i="51" s="1"/>
  <c r="R266" i="51" s="1"/>
  <c r="S266" i="51" s="1"/>
  <c r="T266" i="51" s="1"/>
  <c r="U266" i="51" s="1"/>
  <c r="V266" i="51" s="1"/>
  <c r="W266" i="51" s="1"/>
  <c r="X266" i="51" s="1"/>
  <c r="Y266" i="51" s="1"/>
  <c r="C267" i="51" s="1"/>
  <c r="D267" i="51" s="1"/>
  <c r="E267" i="51" s="1"/>
  <c r="F267" i="51" s="1"/>
  <c r="G267" i="51" s="1"/>
  <c r="H267" i="51" s="1"/>
  <c r="I267" i="51" s="1"/>
  <c r="J267" i="51" s="1"/>
  <c r="K267" i="51" s="1"/>
  <c r="L267" i="51" s="1"/>
  <c r="M267" i="51" s="1"/>
  <c r="N267" i="51" s="1"/>
  <c r="O267" i="51" s="1"/>
  <c r="P267" i="51" s="1"/>
  <c r="Q267" i="51" s="1"/>
  <c r="R267" i="51" s="1"/>
  <c r="S267" i="51" s="1"/>
  <c r="T267" i="51" s="1"/>
  <c r="U267" i="51" s="1"/>
  <c r="V267" i="51" s="1"/>
  <c r="W267" i="51" s="1"/>
  <c r="X267" i="51" s="1"/>
  <c r="Y267" i="51" s="1"/>
  <c r="C268" i="51" s="1"/>
  <c r="D268" i="51" s="1"/>
  <c r="E268" i="51" s="1"/>
  <c r="F268" i="51" s="1"/>
  <c r="G268" i="51" s="1"/>
  <c r="H268" i="51" s="1"/>
  <c r="I268" i="51" s="1"/>
  <c r="J268" i="51" s="1"/>
  <c r="K268" i="51" s="1"/>
  <c r="L268" i="51" s="1"/>
  <c r="M268" i="51" s="1"/>
  <c r="N268" i="51" s="1"/>
  <c r="O268" i="51" s="1"/>
  <c r="P268" i="51" s="1"/>
  <c r="Q268" i="51" s="1"/>
  <c r="R268" i="51" s="1"/>
  <c r="S268" i="51" s="1"/>
  <c r="T268" i="51" s="1"/>
  <c r="U268" i="51" s="1"/>
  <c r="V268" i="51" s="1"/>
  <c r="W268" i="51" s="1"/>
  <c r="X268" i="51" s="1"/>
  <c r="Y268" i="51" s="1"/>
  <c r="C269" i="51" s="1"/>
  <c r="D269" i="51" s="1"/>
  <c r="E269" i="51" s="1"/>
  <c r="F269" i="51" s="1"/>
  <c r="G269" i="51" s="1"/>
  <c r="H269" i="51" s="1"/>
  <c r="I269" i="51" s="1"/>
  <c r="J269" i="51" s="1"/>
  <c r="K269" i="51" s="1"/>
  <c r="L269" i="51" s="1"/>
  <c r="M269" i="51" s="1"/>
  <c r="N269" i="51" s="1"/>
  <c r="O269" i="51" s="1"/>
  <c r="P269" i="51" s="1"/>
  <c r="Q269" i="51" s="1"/>
  <c r="R269" i="51" s="1"/>
  <c r="S269" i="51" s="1"/>
  <c r="T269" i="51" s="1"/>
  <c r="U269" i="51" s="1"/>
  <c r="V269" i="51" s="1"/>
  <c r="W269" i="51" s="1"/>
  <c r="X269" i="51" s="1"/>
  <c r="Y269" i="51" s="1"/>
  <c r="C270" i="51" s="1"/>
  <c r="D270" i="51" s="1"/>
  <c r="E270" i="51" s="1"/>
  <c r="F270" i="51" s="1"/>
  <c r="G270" i="51" s="1"/>
  <c r="H270" i="51" s="1"/>
  <c r="I270" i="51" s="1"/>
  <c r="J270" i="51" s="1"/>
  <c r="K270" i="51" s="1"/>
  <c r="L270" i="51" s="1"/>
  <c r="M270" i="51" s="1"/>
  <c r="N270" i="51" s="1"/>
  <c r="O270" i="51" s="1"/>
  <c r="P270" i="51" s="1"/>
  <c r="Q270" i="51" s="1"/>
  <c r="R270" i="51" s="1"/>
  <c r="S270" i="51" s="1"/>
  <c r="T270" i="51" s="1"/>
  <c r="U270" i="51" s="1"/>
  <c r="V270" i="51" s="1"/>
  <c r="W270" i="51" s="1"/>
  <c r="X270" i="51" s="1"/>
  <c r="Y270" i="51" s="1"/>
  <c r="C271" i="51" s="1"/>
  <c r="D271" i="51" s="1"/>
  <c r="E271" i="51" s="1"/>
  <c r="F271" i="51" s="1"/>
  <c r="G271" i="51" s="1"/>
  <c r="H271" i="51" s="1"/>
  <c r="I271" i="51" s="1"/>
  <c r="J271" i="51" s="1"/>
  <c r="K271" i="51" s="1"/>
  <c r="L271" i="51" s="1"/>
  <c r="M271" i="51" s="1"/>
  <c r="N271" i="51" s="1"/>
  <c r="O271" i="51" s="1"/>
  <c r="P271" i="51" s="1"/>
  <c r="Q271" i="51" s="1"/>
  <c r="R271" i="51" s="1"/>
  <c r="S271" i="51" s="1"/>
  <c r="T271" i="51" s="1"/>
  <c r="U271" i="51" s="1"/>
  <c r="V271" i="51" s="1"/>
  <c r="W271" i="51" s="1"/>
  <c r="X271" i="51" s="1"/>
  <c r="Y271" i="51" s="1"/>
  <c r="C272" i="51" s="1"/>
  <c r="D272" i="51" s="1"/>
  <c r="E272" i="51" s="1"/>
  <c r="F272" i="51" s="1"/>
  <c r="G272" i="51" s="1"/>
  <c r="H272" i="51" s="1"/>
  <c r="I272" i="51" s="1"/>
  <c r="J272" i="51" s="1"/>
  <c r="K272" i="51" s="1"/>
  <c r="L272" i="51" s="1"/>
  <c r="M272" i="51" s="1"/>
  <c r="N272" i="51" s="1"/>
  <c r="O272" i="51" s="1"/>
  <c r="P272" i="51" s="1"/>
  <c r="Q272" i="51" s="1"/>
  <c r="R272" i="51" s="1"/>
  <c r="S272" i="51" s="1"/>
  <c r="T272" i="51" s="1"/>
  <c r="U272" i="51" s="1"/>
  <c r="V272" i="51" s="1"/>
  <c r="W272" i="51" s="1"/>
  <c r="X272" i="51" s="1"/>
  <c r="Y272" i="51" s="1"/>
  <c r="C273" i="51" s="1"/>
  <c r="D273" i="51" s="1"/>
  <c r="E273" i="51" s="1"/>
  <c r="F273" i="51" s="1"/>
  <c r="G273" i="51" s="1"/>
  <c r="H273" i="51" s="1"/>
  <c r="I273" i="51" s="1"/>
  <c r="J273" i="51" s="1"/>
  <c r="K273" i="51" s="1"/>
  <c r="L273" i="51" s="1"/>
  <c r="M273" i="51" s="1"/>
  <c r="N273" i="51" s="1"/>
  <c r="O273" i="51" s="1"/>
  <c r="P273" i="51" s="1"/>
  <c r="Q273" i="51" s="1"/>
  <c r="R273" i="51" s="1"/>
  <c r="S273" i="51" s="1"/>
  <c r="T273" i="51" s="1"/>
  <c r="U273" i="51" s="1"/>
  <c r="V273" i="51" s="1"/>
  <c r="W273" i="51" s="1"/>
  <c r="X273" i="51" s="1"/>
  <c r="Y273" i="51" s="1"/>
  <c r="C274" i="51" s="1"/>
  <c r="D274" i="51" s="1"/>
  <c r="E274" i="51" s="1"/>
  <c r="F274" i="51" s="1"/>
  <c r="G274" i="51" s="1"/>
  <c r="H274" i="51" s="1"/>
  <c r="I274" i="51" s="1"/>
  <c r="J274" i="51" s="1"/>
  <c r="K274" i="51" s="1"/>
  <c r="L274" i="51" s="1"/>
  <c r="M274" i="51" s="1"/>
  <c r="N274" i="51" s="1"/>
  <c r="O274" i="51" s="1"/>
  <c r="P274" i="51" s="1"/>
  <c r="Q274" i="51" s="1"/>
  <c r="R274" i="51" s="1"/>
  <c r="S274" i="51" s="1"/>
  <c r="T274" i="51" s="1"/>
  <c r="U274" i="51" s="1"/>
  <c r="V274" i="51" s="1"/>
  <c r="W274" i="51" s="1"/>
  <c r="X274" i="51" s="1"/>
  <c r="Y274" i="51" s="1"/>
  <c r="C275" i="51" s="1"/>
  <c r="D275" i="51" s="1"/>
  <c r="E275" i="51" s="1"/>
  <c r="F275" i="51" s="1"/>
  <c r="G275" i="51" s="1"/>
  <c r="H275" i="51" s="1"/>
  <c r="I275" i="51" s="1"/>
  <c r="J275" i="51" s="1"/>
  <c r="K275" i="51" s="1"/>
  <c r="L275" i="51" s="1"/>
  <c r="M275" i="51" s="1"/>
  <c r="N275" i="51" s="1"/>
  <c r="O275" i="51" s="1"/>
  <c r="P275" i="51" s="1"/>
  <c r="Q275" i="51" s="1"/>
  <c r="R275" i="51" s="1"/>
  <c r="S275" i="51" s="1"/>
  <c r="T275" i="51" s="1"/>
  <c r="U275" i="51" s="1"/>
  <c r="V275" i="51" s="1"/>
  <c r="W275" i="51" s="1"/>
  <c r="X275" i="51" s="1"/>
  <c r="Y275" i="51" s="1"/>
  <c r="C276" i="51" s="1"/>
  <c r="D276" i="51" s="1"/>
  <c r="E276" i="51" s="1"/>
  <c r="F276" i="51" s="1"/>
  <c r="G276" i="51" s="1"/>
  <c r="H276" i="51" s="1"/>
  <c r="I276" i="51" s="1"/>
  <c r="J276" i="51" s="1"/>
  <c r="K276" i="51" s="1"/>
  <c r="L276" i="51" s="1"/>
  <c r="M276" i="51" s="1"/>
  <c r="N276" i="51" s="1"/>
  <c r="O276" i="51" s="1"/>
  <c r="P276" i="51" s="1"/>
  <c r="Q276" i="51" s="1"/>
  <c r="R276" i="51" s="1"/>
  <c r="S276" i="51" s="1"/>
  <c r="T276" i="51" s="1"/>
  <c r="U276" i="51" s="1"/>
  <c r="V276" i="51" s="1"/>
  <c r="W276" i="51" s="1"/>
  <c r="X276" i="51" s="1"/>
  <c r="Y276" i="51" s="1"/>
  <c r="C277" i="51" s="1"/>
  <c r="D277" i="51" s="1"/>
  <c r="E277" i="51" s="1"/>
  <c r="F277" i="51" s="1"/>
  <c r="G277" i="51" s="1"/>
  <c r="H277" i="51" s="1"/>
  <c r="I277" i="51" s="1"/>
  <c r="J277" i="51" s="1"/>
  <c r="K277" i="51" s="1"/>
  <c r="L277" i="51" s="1"/>
  <c r="M277" i="51" s="1"/>
  <c r="N277" i="51" s="1"/>
  <c r="O277" i="51" s="1"/>
  <c r="P277" i="51" s="1"/>
  <c r="Q277" i="51" s="1"/>
  <c r="R277" i="51" s="1"/>
  <c r="S277" i="51" s="1"/>
  <c r="T277" i="51" s="1"/>
  <c r="U277" i="51" s="1"/>
  <c r="V277" i="51" s="1"/>
  <c r="W277" i="51" s="1"/>
  <c r="X277" i="51" s="1"/>
  <c r="Y277" i="51" s="1"/>
  <c r="C278" i="51" s="1"/>
  <c r="D278" i="51" s="1"/>
  <c r="E278" i="51" s="1"/>
  <c r="F278" i="51" s="1"/>
  <c r="G278" i="51" s="1"/>
  <c r="H278" i="51" s="1"/>
  <c r="I278" i="51" s="1"/>
  <c r="J278" i="51" s="1"/>
  <c r="K278" i="51" s="1"/>
  <c r="L278" i="51" s="1"/>
  <c r="M278" i="51" s="1"/>
  <c r="N278" i="51" s="1"/>
  <c r="O278" i="51" s="1"/>
  <c r="P278" i="51" s="1"/>
  <c r="Q278" i="51" s="1"/>
  <c r="R278" i="51" s="1"/>
  <c r="S278" i="51" s="1"/>
  <c r="T278" i="51" s="1"/>
  <c r="U278" i="51" s="1"/>
  <c r="V278" i="51" s="1"/>
  <c r="W278" i="51" s="1"/>
  <c r="X278" i="51" s="1"/>
  <c r="Y278" i="51" s="1"/>
  <c r="C279" i="51" s="1"/>
  <c r="D279" i="51" s="1"/>
  <c r="E279" i="51" s="1"/>
  <c r="F279" i="51" s="1"/>
  <c r="G279" i="51" s="1"/>
  <c r="H279" i="51" s="1"/>
  <c r="I279" i="51" s="1"/>
  <c r="J279" i="51" s="1"/>
  <c r="K279" i="51" s="1"/>
  <c r="L279" i="51" s="1"/>
  <c r="M279" i="51" s="1"/>
  <c r="N279" i="51" s="1"/>
  <c r="O279" i="51" s="1"/>
  <c r="P279" i="51" s="1"/>
  <c r="Q279" i="51" s="1"/>
  <c r="R279" i="51" s="1"/>
  <c r="S279" i="51" s="1"/>
  <c r="T279" i="51" s="1"/>
  <c r="U279" i="51" s="1"/>
  <c r="V279" i="51" s="1"/>
  <c r="W279" i="51" s="1"/>
  <c r="X279" i="51" s="1"/>
  <c r="Y279" i="51" s="1"/>
  <c r="C280" i="51" s="1"/>
  <c r="D280" i="51" s="1"/>
  <c r="E280" i="51" s="1"/>
  <c r="F280" i="51" s="1"/>
  <c r="G280" i="51" s="1"/>
  <c r="H280" i="51" s="1"/>
  <c r="I280" i="51" s="1"/>
  <c r="J280" i="51" s="1"/>
  <c r="K280" i="51" s="1"/>
  <c r="L280" i="51" s="1"/>
  <c r="M280" i="51" s="1"/>
  <c r="N280" i="51" s="1"/>
  <c r="O280" i="51" s="1"/>
  <c r="P280" i="51" s="1"/>
  <c r="Q280" i="51" s="1"/>
  <c r="R280" i="51" s="1"/>
  <c r="S280" i="51" s="1"/>
  <c r="T280" i="51" s="1"/>
  <c r="U280" i="51" s="1"/>
  <c r="V280" i="51" s="1"/>
  <c r="W280" i="51" s="1"/>
  <c r="X280" i="51" s="1"/>
  <c r="Y280" i="51" s="1"/>
  <c r="C281" i="51" s="1"/>
  <c r="D281" i="51" s="1"/>
  <c r="E281" i="51" s="1"/>
  <c r="F281" i="51" s="1"/>
  <c r="G281" i="51" s="1"/>
  <c r="H281" i="51" s="1"/>
  <c r="I281" i="51" s="1"/>
  <c r="J281" i="51" s="1"/>
  <c r="K281" i="51" s="1"/>
  <c r="L281" i="51" s="1"/>
  <c r="M281" i="51" s="1"/>
  <c r="N281" i="51" s="1"/>
  <c r="O281" i="51" s="1"/>
  <c r="P281" i="51" s="1"/>
  <c r="Q281" i="51" s="1"/>
  <c r="R281" i="51" s="1"/>
  <c r="S281" i="51" s="1"/>
  <c r="T281" i="51" s="1"/>
  <c r="U281" i="51" s="1"/>
  <c r="V281" i="51" s="1"/>
  <c r="W281" i="51" s="1"/>
  <c r="X281" i="51" s="1"/>
  <c r="Y281" i="51" s="1"/>
  <c r="C282" i="51" s="1"/>
  <c r="D282" i="51" s="1"/>
  <c r="E282" i="51" s="1"/>
  <c r="F282" i="51" s="1"/>
  <c r="G282" i="51" s="1"/>
  <c r="H282" i="51" s="1"/>
  <c r="I282" i="51" s="1"/>
  <c r="J282" i="51" s="1"/>
  <c r="K282" i="51" s="1"/>
  <c r="L282" i="51" s="1"/>
  <c r="M282" i="51" s="1"/>
  <c r="N282" i="51" s="1"/>
  <c r="O282" i="51" s="1"/>
  <c r="P282" i="51" s="1"/>
  <c r="Q282" i="51" s="1"/>
  <c r="R282" i="51" s="1"/>
  <c r="S282" i="51" s="1"/>
  <c r="T282" i="51" s="1"/>
  <c r="U282" i="51" s="1"/>
  <c r="V282" i="51" s="1"/>
  <c r="W282" i="51" s="1"/>
  <c r="X282" i="51" s="1"/>
  <c r="Y282" i="51" s="1"/>
  <c r="C283" i="51" s="1"/>
  <c r="D283" i="51" s="1"/>
  <c r="E283" i="51" s="1"/>
  <c r="F283" i="51" s="1"/>
  <c r="G283" i="51" s="1"/>
  <c r="H283" i="51" s="1"/>
  <c r="I283" i="51" s="1"/>
  <c r="J283" i="51" s="1"/>
  <c r="K283" i="51" s="1"/>
  <c r="L283" i="51" s="1"/>
  <c r="M283" i="51" s="1"/>
  <c r="N283" i="51" s="1"/>
  <c r="O283" i="51" s="1"/>
  <c r="P283" i="51" s="1"/>
  <c r="Q283" i="51" s="1"/>
  <c r="R283" i="51" s="1"/>
  <c r="S283" i="51" s="1"/>
  <c r="T283" i="51" s="1"/>
  <c r="U283" i="51" s="1"/>
  <c r="V283" i="51" s="1"/>
  <c r="W283" i="51" s="1"/>
  <c r="X283" i="51" s="1"/>
  <c r="Y283" i="51" s="1"/>
  <c r="C284" i="51" s="1"/>
  <c r="D284" i="51" s="1"/>
  <c r="E284" i="51" s="1"/>
  <c r="F284" i="51" s="1"/>
  <c r="G284" i="51" s="1"/>
  <c r="H284" i="51" s="1"/>
  <c r="I284" i="51" s="1"/>
  <c r="J284" i="51" s="1"/>
  <c r="K284" i="51" s="1"/>
  <c r="L284" i="51" s="1"/>
  <c r="M284" i="51" s="1"/>
  <c r="N284" i="51" s="1"/>
  <c r="O284" i="51" s="1"/>
  <c r="P284" i="51" s="1"/>
  <c r="Q284" i="51" s="1"/>
  <c r="R284" i="51" s="1"/>
  <c r="S284" i="51" s="1"/>
  <c r="T284" i="51" s="1"/>
  <c r="U284" i="51" s="1"/>
  <c r="V284" i="51" s="1"/>
  <c r="W284" i="51" s="1"/>
  <c r="X284" i="51" s="1"/>
  <c r="Y284" i="51" s="1"/>
  <c r="C285" i="51" s="1"/>
  <c r="D285" i="51" s="1"/>
  <c r="E285" i="51" s="1"/>
  <c r="F285" i="51" s="1"/>
  <c r="G285" i="51" s="1"/>
  <c r="H285" i="51" s="1"/>
  <c r="I285" i="51" s="1"/>
  <c r="J285" i="51" s="1"/>
  <c r="K285" i="51" s="1"/>
  <c r="L285" i="51" s="1"/>
  <c r="M285" i="51" s="1"/>
  <c r="N285" i="51" s="1"/>
  <c r="O285" i="51" s="1"/>
  <c r="P285" i="51" s="1"/>
  <c r="Q285" i="51" s="1"/>
  <c r="R285" i="51" s="1"/>
  <c r="S285" i="51" s="1"/>
  <c r="T285" i="51" s="1"/>
  <c r="U285" i="51" s="1"/>
  <c r="V285" i="51" s="1"/>
  <c r="W285" i="51" s="1"/>
  <c r="X285" i="51" s="1"/>
  <c r="Y285" i="51" s="1"/>
  <c r="C286" i="51" s="1"/>
  <c r="D286" i="51" s="1"/>
  <c r="E286" i="51" s="1"/>
  <c r="F286" i="51" s="1"/>
  <c r="G286" i="51" s="1"/>
  <c r="H286" i="51" s="1"/>
  <c r="I286" i="51" s="1"/>
  <c r="J286" i="51" s="1"/>
  <c r="K286" i="51" s="1"/>
  <c r="L286" i="51" s="1"/>
  <c r="M286" i="51" s="1"/>
  <c r="N286" i="51" s="1"/>
  <c r="O286" i="51" s="1"/>
  <c r="P286" i="51" s="1"/>
  <c r="Q286" i="51" s="1"/>
  <c r="R286" i="51" s="1"/>
  <c r="S286" i="51" s="1"/>
  <c r="T286" i="51" s="1"/>
  <c r="U286" i="51" s="1"/>
  <c r="V286" i="51" s="1"/>
  <c r="W286" i="51" s="1"/>
  <c r="X286" i="51" s="1"/>
  <c r="Y286" i="51" s="1"/>
  <c r="I184" i="33"/>
  <c r="I228" i="33"/>
  <c r="C261" i="33"/>
  <c r="D261" i="33" s="1"/>
  <c r="E261" i="33" s="1"/>
  <c r="F261" i="33" s="1"/>
  <c r="G261" i="33" s="1"/>
  <c r="H261" i="33" s="1"/>
  <c r="I261" i="33" s="1"/>
  <c r="J261" i="33" s="1"/>
  <c r="K261" i="33" s="1"/>
  <c r="L261" i="33" s="1"/>
  <c r="M261" i="33" s="1"/>
  <c r="N261" i="33" s="1"/>
  <c r="O261" i="33" s="1"/>
  <c r="P261" i="33" s="1"/>
  <c r="Q261" i="33" s="1"/>
  <c r="R261" i="33" s="1"/>
  <c r="S261" i="33" s="1"/>
  <c r="T261" i="33" s="1"/>
  <c r="U261" i="33" s="1"/>
  <c r="V261" i="33" s="1"/>
  <c r="W261" i="33" s="1"/>
  <c r="X261" i="33" s="1"/>
  <c r="Y261" i="33" s="1"/>
  <c r="C262" i="33" s="1"/>
  <c r="D262" i="33" s="1"/>
  <c r="E262" i="33" s="1"/>
  <c r="F262" i="33" s="1"/>
  <c r="G262" i="33" s="1"/>
  <c r="H262" i="33" s="1"/>
  <c r="I262" i="33" s="1"/>
  <c r="J262" i="33" s="1"/>
  <c r="K262" i="33" s="1"/>
  <c r="L262" i="33" s="1"/>
  <c r="M262" i="33" s="1"/>
  <c r="N262" i="33" s="1"/>
  <c r="O262" i="33" s="1"/>
  <c r="P262" i="33" s="1"/>
  <c r="Q262" i="33" s="1"/>
  <c r="R262" i="33" s="1"/>
  <c r="S262" i="33" s="1"/>
  <c r="T262" i="33" s="1"/>
  <c r="U262" i="33" s="1"/>
  <c r="V262" i="33" s="1"/>
  <c r="W262" i="33" s="1"/>
  <c r="X262" i="33" s="1"/>
  <c r="Y262" i="33" s="1"/>
  <c r="C263" i="33" s="1"/>
  <c r="D263" i="33" s="1"/>
  <c r="E263" i="33" s="1"/>
  <c r="F263" i="33" s="1"/>
  <c r="G263" i="33" s="1"/>
  <c r="H263" i="33" s="1"/>
  <c r="I263" i="33" s="1"/>
  <c r="J263" i="33" s="1"/>
  <c r="K263" i="33" s="1"/>
  <c r="L263" i="33" s="1"/>
  <c r="M263" i="33" s="1"/>
  <c r="N263" i="33" s="1"/>
  <c r="O263" i="33" s="1"/>
  <c r="P263" i="33" s="1"/>
  <c r="Q263" i="33" s="1"/>
  <c r="R263" i="33" s="1"/>
  <c r="S263" i="33" s="1"/>
  <c r="T263" i="33" s="1"/>
  <c r="U263" i="33" s="1"/>
  <c r="V263" i="33" s="1"/>
  <c r="W263" i="33" s="1"/>
  <c r="X263" i="33" s="1"/>
  <c r="Y263" i="33" s="1"/>
  <c r="C264" i="33" s="1"/>
  <c r="D264" i="33" s="1"/>
  <c r="E264" i="33" s="1"/>
  <c r="F264" i="33" s="1"/>
  <c r="G264" i="33" s="1"/>
  <c r="H264" i="33" s="1"/>
  <c r="I264" i="33" s="1"/>
  <c r="J264" i="33" s="1"/>
  <c r="K264" i="33" s="1"/>
  <c r="L264" i="33" s="1"/>
  <c r="M264" i="33" s="1"/>
  <c r="N264" i="33" s="1"/>
  <c r="O264" i="33" s="1"/>
  <c r="P264" i="33" s="1"/>
  <c r="Q264" i="33" s="1"/>
  <c r="R264" i="33" s="1"/>
  <c r="S264" i="33" s="1"/>
  <c r="T264" i="33" s="1"/>
  <c r="U264" i="33" s="1"/>
  <c r="V264" i="33" s="1"/>
  <c r="W264" i="33" s="1"/>
  <c r="X264" i="33" s="1"/>
  <c r="Y264" i="33" s="1"/>
  <c r="C265" i="33" s="1"/>
  <c r="D265" i="33" s="1"/>
  <c r="E265" i="33" s="1"/>
  <c r="F265" i="33" s="1"/>
  <c r="G265" i="33" s="1"/>
  <c r="H265" i="33" s="1"/>
  <c r="I265" i="33" s="1"/>
  <c r="J265" i="33" s="1"/>
  <c r="K265" i="33" s="1"/>
  <c r="L265" i="33" s="1"/>
  <c r="M265" i="33" s="1"/>
  <c r="N265" i="33" s="1"/>
  <c r="O265" i="33" s="1"/>
  <c r="P265" i="33" s="1"/>
  <c r="Q265" i="33" s="1"/>
  <c r="R265" i="33" s="1"/>
  <c r="S265" i="33" s="1"/>
  <c r="T265" i="33" s="1"/>
  <c r="U265" i="33" s="1"/>
  <c r="V265" i="33" s="1"/>
  <c r="W265" i="33" s="1"/>
  <c r="X265" i="33" s="1"/>
  <c r="Y265" i="33" s="1"/>
  <c r="C266" i="33" s="1"/>
  <c r="D266" i="33" s="1"/>
  <c r="E266" i="33" s="1"/>
  <c r="F266" i="33" s="1"/>
  <c r="G266" i="33" s="1"/>
  <c r="H266" i="33" s="1"/>
  <c r="I266" i="33" s="1"/>
  <c r="J266" i="33" s="1"/>
  <c r="K266" i="33" s="1"/>
  <c r="L266" i="33" s="1"/>
  <c r="M266" i="33" s="1"/>
  <c r="N266" i="33" s="1"/>
  <c r="O266" i="33" s="1"/>
  <c r="P266" i="33" s="1"/>
  <c r="Q266" i="33" s="1"/>
  <c r="R266" i="33" s="1"/>
  <c r="S266" i="33" s="1"/>
  <c r="T266" i="33" s="1"/>
  <c r="U266" i="33" s="1"/>
  <c r="V266" i="33" s="1"/>
  <c r="W266" i="33" s="1"/>
  <c r="X266" i="33" s="1"/>
  <c r="Y266" i="33" s="1"/>
  <c r="C267" i="33" s="1"/>
  <c r="D267" i="33" s="1"/>
  <c r="E267" i="33" s="1"/>
  <c r="F267" i="33" s="1"/>
  <c r="G267" i="33" s="1"/>
  <c r="H267" i="33" s="1"/>
  <c r="I267" i="33" s="1"/>
  <c r="J267" i="33" s="1"/>
  <c r="K267" i="33" s="1"/>
  <c r="L267" i="33" s="1"/>
  <c r="M267" i="33" s="1"/>
  <c r="N267" i="33" s="1"/>
  <c r="O267" i="33" s="1"/>
  <c r="P267" i="33" s="1"/>
  <c r="Q267" i="33" s="1"/>
  <c r="R267" i="33" s="1"/>
  <c r="S267" i="33" s="1"/>
  <c r="T267" i="33" s="1"/>
  <c r="U267" i="33" s="1"/>
  <c r="V267" i="33" s="1"/>
  <c r="W267" i="33" s="1"/>
  <c r="X267" i="33" s="1"/>
  <c r="Y267" i="33" s="1"/>
  <c r="C268" i="33" s="1"/>
  <c r="D268" i="33" s="1"/>
  <c r="E268" i="33" s="1"/>
  <c r="F268" i="33" s="1"/>
  <c r="G268" i="33" s="1"/>
  <c r="H268" i="33" s="1"/>
  <c r="I268" i="33" s="1"/>
  <c r="J268" i="33" s="1"/>
  <c r="K268" i="33" s="1"/>
  <c r="L268" i="33" s="1"/>
  <c r="M268" i="33" s="1"/>
  <c r="N268" i="33" s="1"/>
  <c r="O268" i="33" s="1"/>
  <c r="P268" i="33" s="1"/>
  <c r="Q268" i="33" s="1"/>
  <c r="R268" i="33" s="1"/>
  <c r="S268" i="33" s="1"/>
  <c r="T268" i="33" s="1"/>
  <c r="U268" i="33" s="1"/>
  <c r="V268" i="33" s="1"/>
  <c r="W268" i="33" s="1"/>
  <c r="X268" i="33" s="1"/>
  <c r="Y268" i="33" s="1"/>
  <c r="C269" i="33" s="1"/>
  <c r="D269" i="33" s="1"/>
  <c r="E269" i="33" s="1"/>
  <c r="F269" i="33" s="1"/>
  <c r="G269" i="33" s="1"/>
  <c r="H269" i="33" s="1"/>
  <c r="I269" i="33" s="1"/>
  <c r="J269" i="33" s="1"/>
  <c r="K269" i="33" s="1"/>
  <c r="L269" i="33" s="1"/>
  <c r="M269" i="33" s="1"/>
  <c r="N269" i="33" s="1"/>
  <c r="O269" i="33" s="1"/>
  <c r="P269" i="33" s="1"/>
  <c r="Q269" i="33" s="1"/>
  <c r="R269" i="33" s="1"/>
  <c r="S269" i="33" s="1"/>
  <c r="T269" i="33" s="1"/>
  <c r="U269" i="33" s="1"/>
  <c r="V269" i="33" s="1"/>
  <c r="W269" i="33" s="1"/>
  <c r="X269" i="33" s="1"/>
  <c r="Y269" i="33" s="1"/>
  <c r="C270" i="33" s="1"/>
  <c r="D270" i="33" s="1"/>
  <c r="E270" i="33" s="1"/>
  <c r="F270" i="33" s="1"/>
  <c r="G270" i="33" s="1"/>
  <c r="H270" i="33" s="1"/>
  <c r="I270" i="33" s="1"/>
  <c r="J270" i="33" s="1"/>
  <c r="K270" i="33" s="1"/>
  <c r="L270" i="33" s="1"/>
  <c r="M270" i="33" s="1"/>
  <c r="N270" i="33" s="1"/>
  <c r="O270" i="33" s="1"/>
  <c r="P270" i="33" s="1"/>
  <c r="Q270" i="33" s="1"/>
  <c r="R270" i="33" s="1"/>
  <c r="S270" i="33" s="1"/>
  <c r="T270" i="33" s="1"/>
  <c r="U270" i="33" s="1"/>
  <c r="V270" i="33" s="1"/>
  <c r="W270" i="33" s="1"/>
  <c r="X270" i="33" s="1"/>
  <c r="Y270" i="33" s="1"/>
  <c r="C271" i="33" s="1"/>
  <c r="D271" i="33" s="1"/>
  <c r="E271" i="33" s="1"/>
  <c r="F271" i="33" s="1"/>
  <c r="G271" i="33" s="1"/>
  <c r="H271" i="33" s="1"/>
  <c r="I271" i="33" s="1"/>
  <c r="J271" i="33" s="1"/>
  <c r="K271" i="33" s="1"/>
  <c r="L271" i="33" s="1"/>
  <c r="M271" i="33" s="1"/>
  <c r="N271" i="33" s="1"/>
  <c r="O271" i="33" s="1"/>
  <c r="P271" i="33" s="1"/>
  <c r="Q271" i="33" s="1"/>
  <c r="R271" i="33" s="1"/>
  <c r="S271" i="33" s="1"/>
  <c r="T271" i="33" s="1"/>
  <c r="U271" i="33" s="1"/>
  <c r="V271" i="33" s="1"/>
  <c r="W271" i="33" s="1"/>
  <c r="X271" i="33" s="1"/>
  <c r="Y271" i="33" s="1"/>
  <c r="C272" i="33" s="1"/>
  <c r="D272" i="33" s="1"/>
  <c r="E272" i="33" s="1"/>
  <c r="F272" i="33" s="1"/>
  <c r="G272" i="33" s="1"/>
  <c r="H272" i="33" s="1"/>
  <c r="I272" i="33" s="1"/>
  <c r="J272" i="33" s="1"/>
  <c r="K272" i="33" s="1"/>
  <c r="L272" i="33" s="1"/>
  <c r="M272" i="33" s="1"/>
  <c r="N272" i="33" s="1"/>
  <c r="O272" i="33" s="1"/>
  <c r="P272" i="33" s="1"/>
  <c r="Q272" i="33" s="1"/>
  <c r="R272" i="33" s="1"/>
  <c r="S272" i="33" s="1"/>
  <c r="T272" i="33" s="1"/>
  <c r="U272" i="33" s="1"/>
  <c r="V272" i="33" s="1"/>
  <c r="W272" i="33" s="1"/>
  <c r="X272" i="33" s="1"/>
  <c r="Y272" i="33" s="1"/>
  <c r="C273" i="33" s="1"/>
  <c r="D273" i="33" s="1"/>
  <c r="E273" i="33" s="1"/>
  <c r="F273" i="33" s="1"/>
  <c r="G273" i="33" s="1"/>
  <c r="H273" i="33" s="1"/>
  <c r="I273" i="33" s="1"/>
  <c r="J273" i="33" s="1"/>
  <c r="K273" i="33" s="1"/>
  <c r="L273" i="33" s="1"/>
  <c r="M273" i="33" s="1"/>
  <c r="N273" i="33" s="1"/>
  <c r="O273" i="33" s="1"/>
  <c r="P273" i="33" s="1"/>
  <c r="Q273" i="33" s="1"/>
  <c r="R273" i="33" s="1"/>
  <c r="S273" i="33" s="1"/>
  <c r="T273" i="33" s="1"/>
  <c r="U273" i="33" s="1"/>
  <c r="V273" i="33" s="1"/>
  <c r="W273" i="33" s="1"/>
  <c r="X273" i="33" s="1"/>
  <c r="Y273" i="33" s="1"/>
  <c r="C274" i="33" s="1"/>
  <c r="D274" i="33" s="1"/>
  <c r="E274" i="33" s="1"/>
  <c r="F274" i="33" s="1"/>
  <c r="G274" i="33" s="1"/>
  <c r="H274" i="33" s="1"/>
  <c r="I274" i="33" s="1"/>
  <c r="J274" i="33" s="1"/>
  <c r="K274" i="33" s="1"/>
  <c r="L274" i="33" s="1"/>
  <c r="M274" i="33" s="1"/>
  <c r="N274" i="33" s="1"/>
  <c r="O274" i="33" s="1"/>
  <c r="P274" i="33" s="1"/>
  <c r="Q274" i="33" s="1"/>
  <c r="R274" i="33" s="1"/>
  <c r="S274" i="33" s="1"/>
  <c r="T274" i="33" s="1"/>
  <c r="U274" i="33" s="1"/>
  <c r="V274" i="33" s="1"/>
  <c r="W274" i="33" s="1"/>
  <c r="X274" i="33" s="1"/>
  <c r="Y274" i="33" s="1"/>
  <c r="C275" i="33" s="1"/>
  <c r="D275" i="33" s="1"/>
  <c r="E275" i="33" s="1"/>
  <c r="F275" i="33" s="1"/>
  <c r="G275" i="33" s="1"/>
  <c r="H275" i="33" s="1"/>
  <c r="I275" i="33" s="1"/>
  <c r="J275" i="33" s="1"/>
  <c r="K275" i="33" s="1"/>
  <c r="L275" i="33" s="1"/>
  <c r="M275" i="33" s="1"/>
  <c r="N275" i="33" s="1"/>
  <c r="O275" i="33" s="1"/>
  <c r="P275" i="33" s="1"/>
  <c r="Q275" i="33" s="1"/>
  <c r="R275" i="33" s="1"/>
  <c r="S275" i="33" s="1"/>
  <c r="T275" i="33" s="1"/>
  <c r="U275" i="33" s="1"/>
  <c r="V275" i="33" s="1"/>
  <c r="W275" i="33" s="1"/>
  <c r="X275" i="33" s="1"/>
  <c r="Y275" i="33" s="1"/>
  <c r="C276" i="33" s="1"/>
  <c r="D276" i="33" s="1"/>
  <c r="E276" i="33" s="1"/>
  <c r="F276" i="33" s="1"/>
  <c r="G276" i="33" s="1"/>
  <c r="H276" i="33" s="1"/>
  <c r="I276" i="33" s="1"/>
  <c r="J276" i="33" s="1"/>
  <c r="K276" i="33" s="1"/>
  <c r="L276" i="33" s="1"/>
  <c r="M276" i="33" s="1"/>
  <c r="N276" i="33" s="1"/>
  <c r="O276" i="33" s="1"/>
  <c r="P276" i="33" s="1"/>
  <c r="Q276" i="33" s="1"/>
  <c r="R276" i="33" s="1"/>
  <c r="S276" i="33" s="1"/>
  <c r="T276" i="33" s="1"/>
  <c r="U276" i="33" s="1"/>
  <c r="V276" i="33" s="1"/>
  <c r="W276" i="33" s="1"/>
  <c r="X276" i="33" s="1"/>
  <c r="Y276" i="33" s="1"/>
  <c r="C277" i="33" s="1"/>
  <c r="D277" i="33" s="1"/>
  <c r="E277" i="33" s="1"/>
  <c r="F277" i="33" s="1"/>
  <c r="G277" i="33" s="1"/>
  <c r="H277" i="33" s="1"/>
  <c r="I277" i="33" s="1"/>
  <c r="J277" i="33" s="1"/>
  <c r="K277" i="33" s="1"/>
  <c r="L277" i="33" s="1"/>
  <c r="M277" i="33" s="1"/>
  <c r="N277" i="33" s="1"/>
  <c r="O277" i="33" s="1"/>
  <c r="P277" i="33" s="1"/>
  <c r="Q277" i="33" s="1"/>
  <c r="R277" i="33" s="1"/>
  <c r="S277" i="33" s="1"/>
  <c r="T277" i="33" s="1"/>
  <c r="U277" i="33" s="1"/>
  <c r="V277" i="33" s="1"/>
  <c r="W277" i="33" s="1"/>
  <c r="X277" i="33" s="1"/>
  <c r="Y277" i="33" s="1"/>
  <c r="C278" i="33" s="1"/>
  <c r="D278" i="33" s="1"/>
  <c r="E278" i="33" s="1"/>
  <c r="F278" i="33" s="1"/>
  <c r="G278" i="33" s="1"/>
  <c r="H278" i="33" s="1"/>
  <c r="I278" i="33" s="1"/>
  <c r="J278" i="33" s="1"/>
  <c r="K278" i="33" s="1"/>
  <c r="L278" i="33" s="1"/>
  <c r="M278" i="33" s="1"/>
  <c r="N278" i="33" s="1"/>
  <c r="O278" i="33" s="1"/>
  <c r="P278" i="33" s="1"/>
  <c r="Q278" i="33" s="1"/>
  <c r="R278" i="33" s="1"/>
  <c r="S278" i="33" s="1"/>
  <c r="T278" i="33" s="1"/>
  <c r="U278" i="33" s="1"/>
  <c r="V278" i="33" s="1"/>
  <c r="W278" i="33" s="1"/>
  <c r="X278" i="33" s="1"/>
  <c r="Y278" i="33" s="1"/>
  <c r="C279" i="33" s="1"/>
  <c r="D279" i="33" s="1"/>
  <c r="E279" i="33" s="1"/>
  <c r="F279" i="33" s="1"/>
  <c r="G279" i="33" s="1"/>
  <c r="H279" i="33" s="1"/>
  <c r="I279" i="33" s="1"/>
  <c r="J279" i="33" s="1"/>
  <c r="K279" i="33" s="1"/>
  <c r="L279" i="33" s="1"/>
  <c r="M279" i="33" s="1"/>
  <c r="N279" i="33" s="1"/>
  <c r="O279" i="33" s="1"/>
  <c r="P279" i="33" s="1"/>
  <c r="Q279" i="33" s="1"/>
  <c r="R279" i="33" s="1"/>
  <c r="S279" i="33" s="1"/>
  <c r="T279" i="33" s="1"/>
  <c r="U279" i="33" s="1"/>
  <c r="V279" i="33" s="1"/>
  <c r="W279" i="33" s="1"/>
  <c r="X279" i="33" s="1"/>
  <c r="Y279" i="33" s="1"/>
  <c r="C280" i="33" s="1"/>
  <c r="D280" i="33" s="1"/>
  <c r="E280" i="33" s="1"/>
  <c r="F280" i="33" s="1"/>
  <c r="G280" i="33" s="1"/>
  <c r="H280" i="33" s="1"/>
  <c r="I280" i="33" s="1"/>
  <c r="J280" i="33" s="1"/>
  <c r="K280" i="33" s="1"/>
  <c r="L280" i="33" s="1"/>
  <c r="M280" i="33" s="1"/>
  <c r="N280" i="33" s="1"/>
  <c r="O280" i="33" s="1"/>
  <c r="P280" i="33" s="1"/>
  <c r="Q280" i="33" s="1"/>
  <c r="R280" i="33" s="1"/>
  <c r="S280" i="33" s="1"/>
  <c r="T280" i="33" s="1"/>
  <c r="U280" i="33" s="1"/>
  <c r="V280" i="33" s="1"/>
  <c r="W280" i="33" s="1"/>
  <c r="X280" i="33" s="1"/>
  <c r="Y280" i="33" s="1"/>
  <c r="C281" i="33" s="1"/>
  <c r="D281" i="33" s="1"/>
  <c r="E281" i="33" s="1"/>
  <c r="F281" i="33" s="1"/>
  <c r="G281" i="33" s="1"/>
  <c r="H281" i="33" s="1"/>
  <c r="I281" i="33" s="1"/>
  <c r="J281" i="33" s="1"/>
  <c r="K281" i="33" s="1"/>
  <c r="L281" i="33" s="1"/>
  <c r="M281" i="33" s="1"/>
  <c r="N281" i="33" s="1"/>
  <c r="O281" i="33" s="1"/>
  <c r="P281" i="33" s="1"/>
  <c r="Q281" i="33" s="1"/>
  <c r="R281" i="33" s="1"/>
  <c r="S281" i="33" s="1"/>
  <c r="T281" i="33" s="1"/>
  <c r="U281" i="33" s="1"/>
  <c r="V281" i="33" s="1"/>
  <c r="W281" i="33" s="1"/>
  <c r="X281" i="33" s="1"/>
  <c r="Y281" i="33" s="1"/>
  <c r="C282" i="33" s="1"/>
  <c r="D282" i="33" s="1"/>
  <c r="E282" i="33" s="1"/>
  <c r="F282" i="33" s="1"/>
  <c r="G282" i="33" s="1"/>
  <c r="H282" i="33" s="1"/>
  <c r="I282" i="33" s="1"/>
  <c r="J282" i="33" s="1"/>
  <c r="K282" i="33" s="1"/>
  <c r="L282" i="33" s="1"/>
  <c r="M282" i="33" s="1"/>
  <c r="N282" i="33" s="1"/>
  <c r="O282" i="33" s="1"/>
  <c r="P282" i="33" s="1"/>
  <c r="Q282" i="33" s="1"/>
  <c r="R282" i="33" s="1"/>
  <c r="S282" i="33" s="1"/>
  <c r="T282" i="33" s="1"/>
  <c r="U282" i="33" s="1"/>
  <c r="V282" i="33" s="1"/>
  <c r="W282" i="33" s="1"/>
  <c r="X282" i="33" s="1"/>
  <c r="Y282" i="33" s="1"/>
  <c r="C283" i="33" s="1"/>
  <c r="D283" i="33" s="1"/>
  <c r="E283" i="33" s="1"/>
  <c r="F283" i="33" s="1"/>
  <c r="G283" i="33" s="1"/>
  <c r="H283" i="33" s="1"/>
  <c r="I283" i="33" s="1"/>
  <c r="J283" i="33" s="1"/>
  <c r="K283" i="33" s="1"/>
  <c r="L283" i="33" s="1"/>
  <c r="M283" i="33" s="1"/>
  <c r="N283" i="33" s="1"/>
  <c r="O283" i="33" s="1"/>
  <c r="P283" i="33" s="1"/>
  <c r="Q283" i="33" s="1"/>
  <c r="R283" i="33" s="1"/>
  <c r="S283" i="33" s="1"/>
  <c r="T283" i="33" s="1"/>
  <c r="U283" i="33" s="1"/>
  <c r="V283" i="33" s="1"/>
  <c r="W283" i="33" s="1"/>
  <c r="X283" i="33" s="1"/>
  <c r="Y283" i="33" s="1"/>
  <c r="C284" i="33" s="1"/>
  <c r="D284" i="33" s="1"/>
  <c r="E284" i="33" s="1"/>
  <c r="F284" i="33" s="1"/>
  <c r="G284" i="33" s="1"/>
  <c r="H284" i="33" s="1"/>
  <c r="I284" i="33" s="1"/>
  <c r="J284" i="33" s="1"/>
  <c r="K284" i="33" s="1"/>
  <c r="L284" i="33" s="1"/>
  <c r="M284" i="33" s="1"/>
  <c r="N284" i="33" s="1"/>
  <c r="O284" i="33" s="1"/>
  <c r="P284" i="33" s="1"/>
  <c r="Q284" i="33" s="1"/>
  <c r="R284" i="33" s="1"/>
  <c r="S284" i="33" s="1"/>
  <c r="T284" i="33" s="1"/>
  <c r="U284" i="33" s="1"/>
  <c r="V284" i="33" s="1"/>
  <c r="W284" i="33" s="1"/>
  <c r="X284" i="33" s="1"/>
  <c r="Y284" i="33" s="1"/>
  <c r="C285" i="33" s="1"/>
  <c r="D285" i="33" s="1"/>
  <c r="E285" i="33" s="1"/>
  <c r="F285" i="33" s="1"/>
  <c r="G285" i="33" s="1"/>
  <c r="H285" i="33" s="1"/>
  <c r="I285" i="33" s="1"/>
  <c r="J285" i="33" s="1"/>
  <c r="K285" i="33" s="1"/>
  <c r="L285" i="33" s="1"/>
  <c r="M285" i="33" s="1"/>
  <c r="N285" i="33" s="1"/>
  <c r="O285" i="33" s="1"/>
  <c r="P285" i="33" s="1"/>
  <c r="Q285" i="33" s="1"/>
  <c r="R285" i="33" s="1"/>
  <c r="S285" i="33" s="1"/>
  <c r="T285" i="33" s="1"/>
  <c r="U285" i="33" s="1"/>
  <c r="V285" i="33" s="1"/>
  <c r="W285" i="33" s="1"/>
  <c r="X285" i="33" s="1"/>
  <c r="Y285" i="33" s="1"/>
  <c r="C286" i="33" s="1"/>
  <c r="D286" i="33" s="1"/>
  <c r="E286" i="33" s="1"/>
  <c r="F286" i="33" s="1"/>
  <c r="G286" i="33" s="1"/>
  <c r="H286" i="33" s="1"/>
  <c r="I286" i="33" s="1"/>
  <c r="J286" i="33" s="1"/>
  <c r="K286" i="33" s="1"/>
  <c r="L286" i="33" s="1"/>
  <c r="M286" i="33" s="1"/>
  <c r="N286" i="33" s="1"/>
  <c r="O286" i="33" s="1"/>
  <c r="P286" i="33" s="1"/>
  <c r="Q286" i="33" s="1"/>
  <c r="R286" i="33" s="1"/>
  <c r="S286" i="33" s="1"/>
  <c r="T286" i="33" s="1"/>
  <c r="U286" i="33" s="1"/>
  <c r="V286" i="33" s="1"/>
  <c r="W286" i="33" s="1"/>
  <c r="X286" i="33" s="1"/>
  <c r="Y286" i="33" s="1"/>
  <c r="C260" i="32"/>
  <c r="D260" i="32" s="1"/>
  <c r="E260" i="32" s="1"/>
  <c r="F260" i="32" s="1"/>
  <c r="G260" i="32" s="1"/>
  <c r="H260" i="32" s="1"/>
  <c r="I260" i="32" s="1"/>
  <c r="J260" i="32" s="1"/>
  <c r="K260" i="32" s="1"/>
  <c r="L260" i="32" s="1"/>
  <c r="M260" i="32" s="1"/>
  <c r="N260" i="32" s="1"/>
  <c r="O260" i="32" s="1"/>
  <c r="P260" i="32" s="1"/>
  <c r="Q260" i="32" s="1"/>
  <c r="R260" i="32" s="1"/>
  <c r="S260" i="32" s="1"/>
  <c r="T260" i="32" s="1"/>
  <c r="U260" i="32" s="1"/>
  <c r="V260" i="32" s="1"/>
  <c r="W260" i="32" s="1"/>
  <c r="X260" i="32" s="1"/>
  <c r="Y260" i="32" s="1"/>
  <c r="C261" i="32" s="1"/>
  <c r="D261" i="32" s="1"/>
  <c r="E261" i="32" s="1"/>
  <c r="F261" i="32" s="1"/>
  <c r="G261" i="32" s="1"/>
  <c r="H261" i="32" s="1"/>
  <c r="I261" i="32" s="1"/>
  <c r="J261" i="32" s="1"/>
  <c r="K261" i="32" s="1"/>
  <c r="L261" i="32" s="1"/>
  <c r="M261" i="32" s="1"/>
  <c r="N261" i="32" s="1"/>
  <c r="O261" i="32" s="1"/>
  <c r="P261" i="32" s="1"/>
  <c r="Q261" i="32" s="1"/>
  <c r="R261" i="32" s="1"/>
  <c r="S261" i="32" s="1"/>
  <c r="T261" i="32" s="1"/>
  <c r="U261" i="32" s="1"/>
  <c r="V261" i="32" s="1"/>
  <c r="W261" i="32" s="1"/>
  <c r="X261" i="32" s="1"/>
  <c r="Y261" i="32" s="1"/>
  <c r="C262" i="32" s="1"/>
  <c r="D262" i="32" s="1"/>
  <c r="E262" i="32" s="1"/>
  <c r="F262" i="32" s="1"/>
  <c r="G262" i="32" s="1"/>
  <c r="H262" i="32" s="1"/>
  <c r="I262" i="32" s="1"/>
  <c r="J262" i="32" s="1"/>
  <c r="K262" i="32" s="1"/>
  <c r="L262" i="32" s="1"/>
  <c r="M262" i="32" s="1"/>
  <c r="N262" i="32" s="1"/>
  <c r="O262" i="32" s="1"/>
  <c r="P262" i="32" s="1"/>
  <c r="Q262" i="32" s="1"/>
  <c r="R262" i="32" s="1"/>
  <c r="S262" i="32" s="1"/>
  <c r="T262" i="32" s="1"/>
  <c r="U262" i="32" s="1"/>
  <c r="V262" i="32" s="1"/>
  <c r="W262" i="32" s="1"/>
  <c r="X262" i="32" s="1"/>
  <c r="Y262" i="32" s="1"/>
  <c r="C263" i="32" s="1"/>
  <c r="D263" i="32" s="1"/>
  <c r="E263" i="32" s="1"/>
  <c r="F263" i="32" s="1"/>
  <c r="G263" i="32" s="1"/>
  <c r="H263" i="32" s="1"/>
  <c r="I263" i="32" s="1"/>
  <c r="J263" i="32" s="1"/>
  <c r="K263" i="32" s="1"/>
  <c r="L263" i="32" s="1"/>
  <c r="M263" i="32" s="1"/>
  <c r="N263" i="32" s="1"/>
  <c r="O263" i="32" s="1"/>
  <c r="P263" i="32" s="1"/>
  <c r="Q263" i="32" s="1"/>
  <c r="R263" i="32" s="1"/>
  <c r="S263" i="32" s="1"/>
  <c r="T263" i="32" s="1"/>
  <c r="U263" i="32" s="1"/>
  <c r="V263" i="32" s="1"/>
  <c r="W263" i="32" s="1"/>
  <c r="X263" i="32" s="1"/>
  <c r="Y263" i="32" s="1"/>
  <c r="C264" i="32" s="1"/>
  <c r="D264" i="32" s="1"/>
  <c r="E264" i="32" s="1"/>
  <c r="F264" i="32" s="1"/>
  <c r="G264" i="32" s="1"/>
  <c r="H264" i="32" s="1"/>
  <c r="I264" i="32" s="1"/>
  <c r="J264" i="32" s="1"/>
  <c r="K264" i="32" s="1"/>
  <c r="L264" i="32" s="1"/>
  <c r="M264" i="32" s="1"/>
  <c r="N264" i="32" s="1"/>
  <c r="O264" i="32" s="1"/>
  <c r="P264" i="32" s="1"/>
  <c r="Q264" i="32" s="1"/>
  <c r="R264" i="32" s="1"/>
  <c r="S264" i="32" s="1"/>
  <c r="T264" i="32" s="1"/>
  <c r="U264" i="32" s="1"/>
  <c r="V264" i="32" s="1"/>
  <c r="W264" i="32" s="1"/>
  <c r="X264" i="32" s="1"/>
  <c r="Y264" i="32" s="1"/>
  <c r="C265" i="32" s="1"/>
  <c r="D265" i="32" s="1"/>
  <c r="E265" i="32" s="1"/>
  <c r="F265" i="32" s="1"/>
  <c r="G265" i="32" s="1"/>
  <c r="H265" i="32" s="1"/>
  <c r="I265" i="32" s="1"/>
  <c r="J265" i="32" s="1"/>
  <c r="K265" i="32" s="1"/>
  <c r="L265" i="32" s="1"/>
  <c r="M265" i="32" s="1"/>
  <c r="N265" i="32" s="1"/>
  <c r="O265" i="32" s="1"/>
  <c r="P265" i="32" s="1"/>
  <c r="Q265" i="32" s="1"/>
  <c r="R265" i="32" s="1"/>
  <c r="S265" i="32" s="1"/>
  <c r="T265" i="32" s="1"/>
  <c r="U265" i="32" s="1"/>
  <c r="V265" i="32" s="1"/>
  <c r="W265" i="32" s="1"/>
  <c r="X265" i="32" s="1"/>
  <c r="Y265" i="32" s="1"/>
  <c r="C266" i="32" s="1"/>
  <c r="D266" i="32" s="1"/>
  <c r="E266" i="32" s="1"/>
  <c r="F266" i="32" s="1"/>
  <c r="G266" i="32" s="1"/>
  <c r="H266" i="32" s="1"/>
  <c r="I266" i="32" s="1"/>
  <c r="J266" i="32" s="1"/>
  <c r="K266" i="32" s="1"/>
  <c r="L266" i="32" s="1"/>
  <c r="M266" i="32" s="1"/>
  <c r="N266" i="32" s="1"/>
  <c r="O266" i="32" s="1"/>
  <c r="P266" i="32" s="1"/>
  <c r="Q266" i="32" s="1"/>
  <c r="R266" i="32" s="1"/>
  <c r="S266" i="32" s="1"/>
  <c r="T266" i="32" s="1"/>
  <c r="U266" i="32" s="1"/>
  <c r="V266" i="32" s="1"/>
  <c r="W266" i="32" s="1"/>
  <c r="X266" i="32" s="1"/>
  <c r="Y266" i="32" s="1"/>
  <c r="C267" i="32" s="1"/>
  <c r="D267" i="32" s="1"/>
  <c r="E267" i="32" s="1"/>
  <c r="F267" i="32" s="1"/>
  <c r="G267" i="32" s="1"/>
  <c r="H267" i="32" s="1"/>
  <c r="I267" i="32" s="1"/>
  <c r="J267" i="32" s="1"/>
  <c r="K267" i="32" s="1"/>
  <c r="L267" i="32" s="1"/>
  <c r="M267" i="32" s="1"/>
  <c r="N267" i="32" s="1"/>
  <c r="O267" i="32" s="1"/>
  <c r="P267" i="32" s="1"/>
  <c r="Q267" i="32" s="1"/>
  <c r="R267" i="32" s="1"/>
  <c r="S267" i="32" s="1"/>
  <c r="T267" i="32" s="1"/>
  <c r="U267" i="32" s="1"/>
  <c r="V267" i="32" s="1"/>
  <c r="W267" i="32" s="1"/>
  <c r="X267" i="32" s="1"/>
  <c r="Y267" i="32" s="1"/>
  <c r="C268" i="32" s="1"/>
  <c r="D268" i="32" s="1"/>
  <c r="E268" i="32" s="1"/>
  <c r="F268" i="32" s="1"/>
  <c r="G268" i="32" s="1"/>
  <c r="H268" i="32" s="1"/>
  <c r="I268" i="32" s="1"/>
  <c r="J268" i="32" s="1"/>
  <c r="K268" i="32" s="1"/>
  <c r="L268" i="32" s="1"/>
  <c r="M268" i="32" s="1"/>
  <c r="N268" i="32" s="1"/>
  <c r="O268" i="32" s="1"/>
  <c r="P268" i="32" s="1"/>
  <c r="Q268" i="32" s="1"/>
  <c r="R268" i="32" s="1"/>
  <c r="S268" i="32" s="1"/>
  <c r="T268" i="32" s="1"/>
  <c r="U268" i="32" s="1"/>
  <c r="V268" i="32" s="1"/>
  <c r="W268" i="32" s="1"/>
  <c r="X268" i="32" s="1"/>
  <c r="Y268" i="32" s="1"/>
  <c r="C269" i="32" s="1"/>
  <c r="D269" i="32" s="1"/>
  <c r="E269" i="32" s="1"/>
  <c r="F269" i="32" s="1"/>
  <c r="G269" i="32" s="1"/>
  <c r="H269" i="32" s="1"/>
  <c r="I269" i="32" s="1"/>
  <c r="J269" i="32" s="1"/>
  <c r="K269" i="32" s="1"/>
  <c r="L269" i="32" s="1"/>
  <c r="M269" i="32" s="1"/>
  <c r="N269" i="32" s="1"/>
  <c r="O269" i="32" s="1"/>
  <c r="P269" i="32" s="1"/>
  <c r="Q269" i="32" s="1"/>
  <c r="R269" i="32" s="1"/>
  <c r="S269" i="32" s="1"/>
  <c r="T269" i="32" s="1"/>
  <c r="U269" i="32" s="1"/>
  <c r="V269" i="32" s="1"/>
  <c r="W269" i="32" s="1"/>
  <c r="X269" i="32" s="1"/>
  <c r="Y269" i="32" s="1"/>
  <c r="C270" i="32" s="1"/>
  <c r="D270" i="32" s="1"/>
  <c r="E270" i="32" s="1"/>
  <c r="F270" i="32" s="1"/>
  <c r="G270" i="32" s="1"/>
  <c r="H270" i="32" s="1"/>
  <c r="I270" i="32" s="1"/>
  <c r="J270" i="32" s="1"/>
  <c r="K270" i="32" s="1"/>
  <c r="L270" i="32" s="1"/>
  <c r="M270" i="32" s="1"/>
  <c r="N270" i="32" s="1"/>
  <c r="O270" i="32" s="1"/>
  <c r="P270" i="32" s="1"/>
  <c r="Q270" i="32" s="1"/>
  <c r="R270" i="32" s="1"/>
  <c r="S270" i="32" s="1"/>
  <c r="T270" i="32" s="1"/>
  <c r="U270" i="32" s="1"/>
  <c r="V270" i="32" s="1"/>
  <c r="W270" i="32" s="1"/>
  <c r="X270" i="32" s="1"/>
  <c r="Y270" i="32" s="1"/>
  <c r="C271" i="32" s="1"/>
  <c r="D271" i="32" s="1"/>
  <c r="E271" i="32" s="1"/>
  <c r="F271" i="32" s="1"/>
  <c r="G271" i="32" s="1"/>
  <c r="H271" i="32" s="1"/>
  <c r="I271" i="32" s="1"/>
  <c r="J271" i="32" s="1"/>
  <c r="K271" i="32" s="1"/>
  <c r="L271" i="32" s="1"/>
  <c r="M271" i="32" s="1"/>
  <c r="N271" i="32" s="1"/>
  <c r="O271" i="32" s="1"/>
  <c r="P271" i="32" s="1"/>
  <c r="Q271" i="32" s="1"/>
  <c r="R271" i="32" s="1"/>
  <c r="S271" i="32" s="1"/>
  <c r="T271" i="32" s="1"/>
  <c r="U271" i="32" s="1"/>
  <c r="V271" i="32" s="1"/>
  <c r="W271" i="32" s="1"/>
  <c r="X271" i="32" s="1"/>
  <c r="Y271" i="32" s="1"/>
  <c r="C272" i="32" s="1"/>
  <c r="D272" i="32" s="1"/>
  <c r="E272" i="32" s="1"/>
  <c r="F272" i="32" s="1"/>
  <c r="G272" i="32" s="1"/>
  <c r="H272" i="32" s="1"/>
  <c r="I272" i="32" s="1"/>
  <c r="J272" i="32" s="1"/>
  <c r="K272" i="32" s="1"/>
  <c r="L272" i="32" s="1"/>
  <c r="M272" i="32" s="1"/>
  <c r="N272" i="32" s="1"/>
  <c r="O272" i="32" s="1"/>
  <c r="P272" i="32" s="1"/>
  <c r="Q272" i="32" s="1"/>
  <c r="R272" i="32" s="1"/>
  <c r="S272" i="32" s="1"/>
  <c r="T272" i="32" s="1"/>
  <c r="U272" i="32" s="1"/>
  <c r="V272" i="32" s="1"/>
  <c r="W272" i="32" s="1"/>
  <c r="X272" i="32" s="1"/>
  <c r="Y272" i="32" s="1"/>
  <c r="C273" i="32" s="1"/>
  <c r="D273" i="32" s="1"/>
  <c r="E273" i="32" s="1"/>
  <c r="F273" i="32" s="1"/>
  <c r="G273" i="32" s="1"/>
  <c r="H273" i="32" s="1"/>
  <c r="I273" i="32" s="1"/>
  <c r="J273" i="32" s="1"/>
  <c r="K273" i="32" s="1"/>
  <c r="L273" i="32" s="1"/>
  <c r="M273" i="32" s="1"/>
  <c r="N273" i="32" s="1"/>
  <c r="O273" i="32" s="1"/>
  <c r="P273" i="32" s="1"/>
  <c r="Q273" i="32" s="1"/>
  <c r="R273" i="32" s="1"/>
  <c r="S273" i="32" s="1"/>
  <c r="T273" i="32" s="1"/>
  <c r="U273" i="32" s="1"/>
  <c r="V273" i="32" s="1"/>
  <c r="W273" i="32" s="1"/>
  <c r="X273" i="32" s="1"/>
  <c r="Y273" i="32" s="1"/>
  <c r="C274" i="32" s="1"/>
  <c r="D274" i="32" s="1"/>
  <c r="E274" i="32" s="1"/>
  <c r="F274" i="32" s="1"/>
  <c r="G274" i="32" s="1"/>
  <c r="H274" i="32" s="1"/>
  <c r="I274" i="32" s="1"/>
  <c r="J274" i="32" s="1"/>
  <c r="K274" i="32" s="1"/>
  <c r="L274" i="32" s="1"/>
  <c r="M274" i="32" s="1"/>
  <c r="N274" i="32" s="1"/>
  <c r="O274" i="32" s="1"/>
  <c r="P274" i="32" s="1"/>
  <c r="Q274" i="32" s="1"/>
  <c r="R274" i="32" s="1"/>
  <c r="S274" i="32" s="1"/>
  <c r="T274" i="32" s="1"/>
  <c r="U274" i="32" s="1"/>
  <c r="V274" i="32" s="1"/>
  <c r="W274" i="32" s="1"/>
  <c r="X274" i="32" s="1"/>
  <c r="Y274" i="32" s="1"/>
  <c r="C275" i="32" s="1"/>
  <c r="D275" i="32" s="1"/>
  <c r="E275" i="32" s="1"/>
  <c r="F275" i="32" s="1"/>
  <c r="G275" i="32" s="1"/>
  <c r="H275" i="32" s="1"/>
  <c r="I275" i="32" s="1"/>
  <c r="J275" i="32" s="1"/>
  <c r="K275" i="32" s="1"/>
  <c r="L275" i="32" s="1"/>
  <c r="M275" i="32" s="1"/>
  <c r="N275" i="32" s="1"/>
  <c r="O275" i="32" s="1"/>
  <c r="P275" i="32" s="1"/>
  <c r="Q275" i="32" s="1"/>
  <c r="R275" i="32" s="1"/>
  <c r="S275" i="32" s="1"/>
  <c r="T275" i="32" s="1"/>
  <c r="U275" i="32" s="1"/>
  <c r="V275" i="32" s="1"/>
  <c r="W275" i="32" s="1"/>
  <c r="X275" i="32" s="1"/>
  <c r="Y275" i="32" s="1"/>
  <c r="C276" i="32" s="1"/>
  <c r="D276" i="32" s="1"/>
  <c r="E276" i="32" s="1"/>
  <c r="F276" i="32" s="1"/>
  <c r="G276" i="32" s="1"/>
  <c r="H276" i="32" s="1"/>
  <c r="I276" i="32" s="1"/>
  <c r="J276" i="32" s="1"/>
  <c r="K276" i="32" s="1"/>
  <c r="L276" i="32" s="1"/>
  <c r="M276" i="32" s="1"/>
  <c r="N276" i="32" s="1"/>
  <c r="O276" i="32" s="1"/>
  <c r="P276" i="32" s="1"/>
  <c r="Q276" i="32" s="1"/>
  <c r="R276" i="32" s="1"/>
  <c r="S276" i="32" s="1"/>
  <c r="T276" i="32" s="1"/>
  <c r="U276" i="32" s="1"/>
  <c r="V276" i="32" s="1"/>
  <c r="W276" i="32" s="1"/>
  <c r="X276" i="32" s="1"/>
  <c r="Y276" i="32" s="1"/>
  <c r="C277" i="32" s="1"/>
  <c r="D277" i="32" s="1"/>
  <c r="E277" i="32" s="1"/>
  <c r="F277" i="32" s="1"/>
  <c r="G277" i="32" s="1"/>
  <c r="H277" i="32" s="1"/>
  <c r="I277" i="32" s="1"/>
  <c r="J277" i="32" s="1"/>
  <c r="K277" i="32" s="1"/>
  <c r="L277" i="32" s="1"/>
  <c r="M277" i="32" s="1"/>
  <c r="N277" i="32" s="1"/>
  <c r="O277" i="32" s="1"/>
  <c r="P277" i="32" s="1"/>
  <c r="Q277" i="32" s="1"/>
  <c r="R277" i="32" s="1"/>
  <c r="S277" i="32" s="1"/>
  <c r="T277" i="32" s="1"/>
  <c r="U277" i="32" s="1"/>
  <c r="V277" i="32" s="1"/>
  <c r="W277" i="32" s="1"/>
  <c r="X277" i="32" s="1"/>
  <c r="Y277" i="32" s="1"/>
  <c r="C278" i="32" s="1"/>
  <c r="D278" i="32" s="1"/>
  <c r="E278" i="32" s="1"/>
  <c r="F278" i="32" s="1"/>
  <c r="G278" i="32" s="1"/>
  <c r="H278" i="32" s="1"/>
  <c r="I278" i="32" s="1"/>
  <c r="J278" i="32" s="1"/>
  <c r="K278" i="32" s="1"/>
  <c r="L278" i="32" s="1"/>
  <c r="M278" i="32" s="1"/>
  <c r="N278" i="32" s="1"/>
  <c r="O278" i="32" s="1"/>
  <c r="P278" i="32" s="1"/>
  <c r="Q278" i="32" s="1"/>
  <c r="R278" i="32" s="1"/>
  <c r="S278" i="32" s="1"/>
  <c r="T278" i="32" s="1"/>
  <c r="U278" i="32" s="1"/>
  <c r="V278" i="32" s="1"/>
  <c r="W278" i="32" s="1"/>
  <c r="X278" i="32" s="1"/>
  <c r="Y278" i="32" s="1"/>
  <c r="C279" i="32" s="1"/>
  <c r="D279" i="32" s="1"/>
  <c r="E279" i="32" s="1"/>
  <c r="F279" i="32" s="1"/>
  <c r="G279" i="32" s="1"/>
  <c r="H279" i="32" s="1"/>
  <c r="I279" i="32" s="1"/>
  <c r="J279" i="32" s="1"/>
  <c r="K279" i="32" s="1"/>
  <c r="L279" i="32" s="1"/>
  <c r="M279" i="32" s="1"/>
  <c r="N279" i="32" s="1"/>
  <c r="O279" i="32" s="1"/>
  <c r="P279" i="32" s="1"/>
  <c r="Q279" i="32" s="1"/>
  <c r="R279" i="32" s="1"/>
  <c r="S279" i="32" s="1"/>
  <c r="T279" i="32" s="1"/>
  <c r="U279" i="32" s="1"/>
  <c r="V279" i="32" s="1"/>
  <c r="W279" i="32" s="1"/>
  <c r="X279" i="32" s="1"/>
  <c r="Y279" i="32" s="1"/>
  <c r="C280" i="32" s="1"/>
  <c r="D280" i="32" s="1"/>
  <c r="E280" i="32" s="1"/>
  <c r="F280" i="32" s="1"/>
  <c r="G280" i="32" s="1"/>
  <c r="H280" i="32" s="1"/>
  <c r="I280" i="32" s="1"/>
  <c r="J280" i="32" s="1"/>
  <c r="K280" i="32" s="1"/>
  <c r="L280" i="32" s="1"/>
  <c r="M280" i="32" s="1"/>
  <c r="N280" i="32" s="1"/>
  <c r="O280" i="32" s="1"/>
  <c r="P280" i="32" s="1"/>
  <c r="Q280" i="32" s="1"/>
  <c r="R280" i="32" s="1"/>
  <c r="S280" i="32" s="1"/>
  <c r="T280" i="32" s="1"/>
  <c r="U280" i="32" s="1"/>
  <c r="V280" i="32" s="1"/>
  <c r="W280" i="32" s="1"/>
  <c r="X280" i="32" s="1"/>
  <c r="Y280" i="32" s="1"/>
  <c r="C281" i="32" s="1"/>
  <c r="D281" i="32" s="1"/>
  <c r="E281" i="32" s="1"/>
  <c r="F281" i="32" s="1"/>
  <c r="G281" i="32" s="1"/>
  <c r="H281" i="32" s="1"/>
  <c r="I281" i="32" s="1"/>
  <c r="J281" i="32" s="1"/>
  <c r="K281" i="32" s="1"/>
  <c r="L281" i="32" s="1"/>
  <c r="M281" i="32" s="1"/>
  <c r="N281" i="32" s="1"/>
  <c r="O281" i="32" s="1"/>
  <c r="P281" i="32" s="1"/>
  <c r="Q281" i="32" s="1"/>
  <c r="R281" i="32" s="1"/>
  <c r="S281" i="32" s="1"/>
  <c r="T281" i="32" s="1"/>
  <c r="U281" i="32" s="1"/>
  <c r="V281" i="32" s="1"/>
  <c r="W281" i="32" s="1"/>
  <c r="X281" i="32" s="1"/>
  <c r="Y281" i="32" s="1"/>
  <c r="C282" i="32" s="1"/>
  <c r="D282" i="32" s="1"/>
  <c r="E282" i="32" s="1"/>
  <c r="F282" i="32" s="1"/>
  <c r="G282" i="32" s="1"/>
  <c r="H282" i="32" s="1"/>
  <c r="I282" i="32" s="1"/>
  <c r="J282" i="32" s="1"/>
  <c r="K282" i="32" s="1"/>
  <c r="L282" i="32" s="1"/>
  <c r="M282" i="32" s="1"/>
  <c r="N282" i="32" s="1"/>
  <c r="O282" i="32" s="1"/>
  <c r="P282" i="32" s="1"/>
  <c r="Q282" i="32" s="1"/>
  <c r="R282" i="32" s="1"/>
  <c r="S282" i="32" s="1"/>
  <c r="T282" i="32" s="1"/>
  <c r="U282" i="32" s="1"/>
  <c r="V282" i="32" s="1"/>
  <c r="W282" i="32" s="1"/>
  <c r="X282" i="32" s="1"/>
  <c r="Y282" i="32" s="1"/>
  <c r="C283" i="32" s="1"/>
  <c r="D283" i="32" s="1"/>
  <c r="E283" i="32" s="1"/>
  <c r="F283" i="32" s="1"/>
  <c r="G283" i="32" s="1"/>
  <c r="H283" i="32" s="1"/>
  <c r="I283" i="32" s="1"/>
  <c r="J283" i="32" s="1"/>
  <c r="K283" i="32" s="1"/>
  <c r="L283" i="32" s="1"/>
  <c r="M283" i="32" s="1"/>
  <c r="N283" i="32" s="1"/>
  <c r="O283" i="32" s="1"/>
  <c r="P283" i="32" s="1"/>
  <c r="Q283" i="32" s="1"/>
  <c r="R283" i="32" s="1"/>
  <c r="S283" i="32" s="1"/>
  <c r="T283" i="32" s="1"/>
  <c r="U283" i="32" s="1"/>
  <c r="V283" i="32" s="1"/>
  <c r="W283" i="32" s="1"/>
  <c r="X283" i="32" s="1"/>
  <c r="Y283" i="32" s="1"/>
  <c r="C284" i="32" s="1"/>
  <c r="D284" i="32" s="1"/>
  <c r="E284" i="32" s="1"/>
  <c r="F284" i="32" s="1"/>
  <c r="G284" i="32" s="1"/>
  <c r="H284" i="32" s="1"/>
  <c r="I284" i="32" s="1"/>
  <c r="J284" i="32" s="1"/>
  <c r="K284" i="32" s="1"/>
  <c r="L284" i="32" s="1"/>
  <c r="M284" i="32" s="1"/>
  <c r="N284" i="32" s="1"/>
  <c r="O284" i="32" s="1"/>
  <c r="P284" i="32" s="1"/>
  <c r="Q284" i="32" s="1"/>
  <c r="R284" i="32" s="1"/>
  <c r="S284" i="32" s="1"/>
  <c r="T284" i="32" s="1"/>
  <c r="U284" i="32" s="1"/>
  <c r="V284" i="32" s="1"/>
  <c r="W284" i="32" s="1"/>
  <c r="X284" i="32" s="1"/>
  <c r="Y284" i="32" s="1"/>
  <c r="C285" i="32" s="1"/>
  <c r="D285" i="32" s="1"/>
  <c r="E285" i="32" s="1"/>
  <c r="F285" i="32" s="1"/>
  <c r="G285" i="32" s="1"/>
  <c r="H285" i="32" s="1"/>
  <c r="I285" i="32" s="1"/>
  <c r="J285" i="32" s="1"/>
  <c r="K285" i="32" s="1"/>
  <c r="L285" i="32" s="1"/>
  <c r="M285" i="32" s="1"/>
  <c r="N285" i="32" s="1"/>
  <c r="O285" i="32" s="1"/>
  <c r="P285" i="32" s="1"/>
  <c r="Q285" i="32" s="1"/>
  <c r="R285" i="32" s="1"/>
  <c r="S285" i="32" s="1"/>
  <c r="T285" i="32" s="1"/>
  <c r="U285" i="32" s="1"/>
  <c r="V285" i="32" s="1"/>
  <c r="W285" i="32" s="1"/>
  <c r="X285" i="32" s="1"/>
  <c r="Y285" i="32" s="1"/>
  <c r="C286" i="32" s="1"/>
  <c r="D286" i="32" s="1"/>
  <c r="E286" i="32" s="1"/>
  <c r="F286" i="32" s="1"/>
  <c r="G286" i="32" s="1"/>
  <c r="H286" i="32" s="1"/>
  <c r="I286" i="32" s="1"/>
  <c r="J286" i="32" s="1"/>
  <c r="K286" i="32" s="1"/>
  <c r="L286" i="32" s="1"/>
  <c r="M286" i="32" s="1"/>
  <c r="N286" i="32" s="1"/>
  <c r="O286" i="32" s="1"/>
  <c r="P286" i="32" s="1"/>
  <c r="Q286" i="32" s="1"/>
  <c r="R286" i="32" s="1"/>
  <c r="S286" i="32" s="1"/>
  <c r="T286" i="32" s="1"/>
  <c r="U286" i="32" s="1"/>
  <c r="V286" i="32" s="1"/>
  <c r="W286" i="32" s="1"/>
  <c r="X286" i="32" s="1"/>
  <c r="Y286" i="32" s="1"/>
  <c r="I184" i="32"/>
  <c r="I228" i="32"/>
  <c r="I228" i="31"/>
  <c r="I184" i="31"/>
  <c r="C259" i="31"/>
  <c r="D259" i="31" s="1"/>
  <c r="E259" i="31" s="1"/>
  <c r="F259" i="31" s="1"/>
  <c r="G259" i="31" s="1"/>
  <c r="H259" i="31" s="1"/>
  <c r="I259" i="31" s="1"/>
  <c r="J259" i="31" s="1"/>
  <c r="K259" i="31" s="1"/>
  <c r="L259" i="31" s="1"/>
  <c r="M259" i="31" s="1"/>
  <c r="N259" i="31" s="1"/>
  <c r="O259" i="31" s="1"/>
  <c r="P259" i="31" s="1"/>
  <c r="Q259" i="31" s="1"/>
  <c r="R259" i="31" s="1"/>
  <c r="S259" i="31" s="1"/>
  <c r="T259" i="31" s="1"/>
  <c r="U259" i="31" s="1"/>
  <c r="V259" i="31" s="1"/>
  <c r="W259" i="31" s="1"/>
  <c r="X259" i="31" s="1"/>
  <c r="Y259" i="31" s="1"/>
  <c r="C260" i="31" s="1"/>
  <c r="D260" i="31" s="1"/>
  <c r="E260" i="31" s="1"/>
  <c r="F260" i="31" s="1"/>
  <c r="G260" i="31" s="1"/>
  <c r="H260" i="31" s="1"/>
  <c r="I260" i="31" s="1"/>
  <c r="J260" i="31" s="1"/>
  <c r="K260" i="31" s="1"/>
  <c r="L260" i="31" s="1"/>
  <c r="M260" i="31" s="1"/>
  <c r="N260" i="31" s="1"/>
  <c r="O260" i="31" s="1"/>
  <c r="P260" i="31" s="1"/>
  <c r="Q260" i="31" s="1"/>
  <c r="R260" i="31" s="1"/>
  <c r="S260" i="31" s="1"/>
  <c r="T260" i="31" s="1"/>
  <c r="U260" i="31" s="1"/>
  <c r="V260" i="31" s="1"/>
  <c r="W260" i="31" s="1"/>
  <c r="X260" i="31" s="1"/>
  <c r="Y260" i="31" s="1"/>
  <c r="C261" i="31" s="1"/>
  <c r="D261" i="31" s="1"/>
  <c r="E261" i="31" s="1"/>
  <c r="F261" i="31" s="1"/>
  <c r="G261" i="31" s="1"/>
  <c r="H261" i="31" s="1"/>
  <c r="I261" i="31" s="1"/>
  <c r="J261" i="31" s="1"/>
  <c r="K261" i="31" s="1"/>
  <c r="L261" i="31" s="1"/>
  <c r="M261" i="31" s="1"/>
  <c r="N261" i="31" s="1"/>
  <c r="O261" i="31" s="1"/>
  <c r="P261" i="31" s="1"/>
  <c r="Q261" i="31" s="1"/>
  <c r="R261" i="31" s="1"/>
  <c r="S261" i="31" s="1"/>
  <c r="T261" i="31" s="1"/>
  <c r="U261" i="31" s="1"/>
  <c r="V261" i="31" s="1"/>
  <c r="W261" i="31" s="1"/>
  <c r="X261" i="31" s="1"/>
  <c r="Y261" i="31" s="1"/>
  <c r="C262" i="31" s="1"/>
  <c r="D262" i="31" s="1"/>
  <c r="E262" i="31" s="1"/>
  <c r="F262" i="31" s="1"/>
  <c r="G262" i="31" s="1"/>
  <c r="H262" i="31" s="1"/>
  <c r="I262" i="31" s="1"/>
  <c r="J262" i="31" s="1"/>
  <c r="K262" i="31" s="1"/>
  <c r="L262" i="31" s="1"/>
  <c r="M262" i="31" s="1"/>
  <c r="N262" i="31" s="1"/>
  <c r="O262" i="31" s="1"/>
  <c r="P262" i="31" s="1"/>
  <c r="Q262" i="31" s="1"/>
  <c r="R262" i="31" s="1"/>
  <c r="S262" i="31" s="1"/>
  <c r="T262" i="31" s="1"/>
  <c r="U262" i="31" s="1"/>
  <c r="V262" i="31" s="1"/>
  <c r="W262" i="31" s="1"/>
  <c r="X262" i="31" s="1"/>
  <c r="Y262" i="31" s="1"/>
  <c r="C263" i="31" s="1"/>
  <c r="D263" i="31" s="1"/>
  <c r="E263" i="31" s="1"/>
  <c r="F263" i="31" s="1"/>
  <c r="G263" i="31" s="1"/>
  <c r="H263" i="31" s="1"/>
  <c r="I263" i="31" s="1"/>
  <c r="J263" i="31" s="1"/>
  <c r="K263" i="31" s="1"/>
  <c r="L263" i="31" s="1"/>
  <c r="M263" i="31" s="1"/>
  <c r="N263" i="31" s="1"/>
  <c r="O263" i="31" s="1"/>
  <c r="P263" i="31" s="1"/>
  <c r="Q263" i="31" s="1"/>
  <c r="R263" i="31" s="1"/>
  <c r="S263" i="31" s="1"/>
  <c r="T263" i="31" s="1"/>
  <c r="U263" i="31" s="1"/>
  <c r="V263" i="31" s="1"/>
  <c r="W263" i="31" s="1"/>
  <c r="X263" i="31" s="1"/>
  <c r="Y263" i="31" s="1"/>
  <c r="C264" i="31" s="1"/>
  <c r="D264" i="31" s="1"/>
  <c r="E264" i="31" s="1"/>
  <c r="F264" i="31" s="1"/>
  <c r="G264" i="31" s="1"/>
  <c r="H264" i="31" s="1"/>
  <c r="I264" i="31" s="1"/>
  <c r="J264" i="31" s="1"/>
  <c r="K264" i="31" s="1"/>
  <c r="L264" i="31" s="1"/>
  <c r="M264" i="31" s="1"/>
  <c r="N264" i="31" s="1"/>
  <c r="O264" i="31" s="1"/>
  <c r="P264" i="31" s="1"/>
  <c r="Q264" i="31" s="1"/>
  <c r="R264" i="31" s="1"/>
  <c r="S264" i="31" s="1"/>
  <c r="T264" i="31" s="1"/>
  <c r="U264" i="31" s="1"/>
  <c r="V264" i="31" s="1"/>
  <c r="W264" i="31" s="1"/>
  <c r="X264" i="31" s="1"/>
  <c r="Y264" i="31" s="1"/>
  <c r="C265" i="31" s="1"/>
  <c r="D265" i="31" s="1"/>
  <c r="E265" i="31" s="1"/>
  <c r="F265" i="31" s="1"/>
  <c r="G265" i="31" s="1"/>
  <c r="H265" i="31" s="1"/>
  <c r="I265" i="31" s="1"/>
  <c r="J265" i="31" s="1"/>
  <c r="K265" i="31" s="1"/>
  <c r="L265" i="31" s="1"/>
  <c r="M265" i="31" s="1"/>
  <c r="N265" i="31" s="1"/>
  <c r="O265" i="31" s="1"/>
  <c r="P265" i="31" s="1"/>
  <c r="Q265" i="31" s="1"/>
  <c r="R265" i="31" s="1"/>
  <c r="S265" i="31" s="1"/>
  <c r="T265" i="31" s="1"/>
  <c r="U265" i="31" s="1"/>
  <c r="V265" i="31" s="1"/>
  <c r="W265" i="31" s="1"/>
  <c r="X265" i="31" s="1"/>
  <c r="Y265" i="31" s="1"/>
  <c r="C266" i="31" s="1"/>
  <c r="D266" i="31" s="1"/>
  <c r="E266" i="31" s="1"/>
  <c r="F266" i="31" s="1"/>
  <c r="G266" i="31" s="1"/>
  <c r="H266" i="31" s="1"/>
  <c r="I266" i="31" s="1"/>
  <c r="J266" i="31" s="1"/>
  <c r="K266" i="31" s="1"/>
  <c r="L266" i="31" s="1"/>
  <c r="M266" i="31" s="1"/>
  <c r="N266" i="31" s="1"/>
  <c r="O266" i="31" s="1"/>
  <c r="P266" i="31" s="1"/>
  <c r="Q266" i="31" s="1"/>
  <c r="R266" i="31" s="1"/>
  <c r="S266" i="31" s="1"/>
  <c r="T266" i="31" s="1"/>
  <c r="U266" i="31" s="1"/>
  <c r="V266" i="31" s="1"/>
  <c r="W266" i="31" s="1"/>
  <c r="X266" i="31" s="1"/>
  <c r="Y266" i="31" s="1"/>
  <c r="C267" i="31" s="1"/>
  <c r="D267" i="31" s="1"/>
  <c r="E267" i="31" s="1"/>
  <c r="F267" i="31" s="1"/>
  <c r="G267" i="31" s="1"/>
  <c r="H267" i="31" s="1"/>
  <c r="I267" i="31" s="1"/>
  <c r="J267" i="31" s="1"/>
  <c r="K267" i="31" s="1"/>
  <c r="L267" i="31" s="1"/>
  <c r="M267" i="31" s="1"/>
  <c r="N267" i="31" s="1"/>
  <c r="O267" i="31" s="1"/>
  <c r="P267" i="31" s="1"/>
  <c r="Q267" i="31" s="1"/>
  <c r="R267" i="31" s="1"/>
  <c r="S267" i="31" s="1"/>
  <c r="T267" i="31" s="1"/>
  <c r="U267" i="31" s="1"/>
  <c r="V267" i="31" s="1"/>
  <c r="W267" i="31" s="1"/>
  <c r="X267" i="31" s="1"/>
  <c r="Y267" i="31" s="1"/>
  <c r="C268" i="31" s="1"/>
  <c r="D268" i="31" s="1"/>
  <c r="E268" i="31" s="1"/>
  <c r="F268" i="31" s="1"/>
  <c r="G268" i="31" s="1"/>
  <c r="H268" i="31" s="1"/>
  <c r="I268" i="31" s="1"/>
  <c r="J268" i="31" s="1"/>
  <c r="K268" i="31" s="1"/>
  <c r="L268" i="31" s="1"/>
  <c r="M268" i="31" s="1"/>
  <c r="N268" i="31" s="1"/>
  <c r="O268" i="31" s="1"/>
  <c r="P268" i="31" s="1"/>
  <c r="Q268" i="31" s="1"/>
  <c r="R268" i="31" s="1"/>
  <c r="S268" i="31" s="1"/>
  <c r="T268" i="31" s="1"/>
  <c r="U268" i="31" s="1"/>
  <c r="V268" i="31" s="1"/>
  <c r="W268" i="31" s="1"/>
  <c r="X268" i="31" s="1"/>
  <c r="Y268" i="31" s="1"/>
  <c r="C269" i="31" s="1"/>
  <c r="D269" i="31" s="1"/>
  <c r="E269" i="31" s="1"/>
  <c r="F269" i="31" s="1"/>
  <c r="G269" i="31" s="1"/>
  <c r="H269" i="31" s="1"/>
  <c r="I269" i="31" s="1"/>
  <c r="J269" i="31" s="1"/>
  <c r="K269" i="31" s="1"/>
  <c r="L269" i="31" s="1"/>
  <c r="M269" i="31" s="1"/>
  <c r="N269" i="31" s="1"/>
  <c r="O269" i="31" s="1"/>
  <c r="P269" i="31" s="1"/>
  <c r="Q269" i="31" s="1"/>
  <c r="R269" i="31" s="1"/>
  <c r="S269" i="31" s="1"/>
  <c r="T269" i="31" s="1"/>
  <c r="U269" i="31" s="1"/>
  <c r="V269" i="31" s="1"/>
  <c r="W269" i="31" s="1"/>
  <c r="X269" i="31" s="1"/>
  <c r="Y269" i="31" s="1"/>
  <c r="C270" i="31" s="1"/>
  <c r="D270" i="31" s="1"/>
  <c r="E270" i="31" s="1"/>
  <c r="F270" i="31" s="1"/>
  <c r="G270" i="31" s="1"/>
  <c r="H270" i="31" s="1"/>
  <c r="I270" i="31" s="1"/>
  <c r="J270" i="31" s="1"/>
  <c r="K270" i="31" s="1"/>
  <c r="L270" i="31" s="1"/>
  <c r="M270" i="31" s="1"/>
  <c r="N270" i="31" s="1"/>
  <c r="O270" i="31" s="1"/>
  <c r="P270" i="31" s="1"/>
  <c r="Q270" i="31" s="1"/>
  <c r="R270" i="31" s="1"/>
  <c r="S270" i="31" s="1"/>
  <c r="T270" i="31" s="1"/>
  <c r="U270" i="31" s="1"/>
  <c r="V270" i="31" s="1"/>
  <c r="W270" i="31" s="1"/>
  <c r="X270" i="31" s="1"/>
  <c r="Y270" i="31" s="1"/>
  <c r="C271" i="31" s="1"/>
  <c r="D271" i="31" s="1"/>
  <c r="E271" i="31" s="1"/>
  <c r="F271" i="31" s="1"/>
  <c r="G271" i="31" s="1"/>
  <c r="H271" i="31" s="1"/>
  <c r="I271" i="31" s="1"/>
  <c r="J271" i="31" s="1"/>
  <c r="K271" i="31" s="1"/>
  <c r="L271" i="31" s="1"/>
  <c r="M271" i="31" s="1"/>
  <c r="N271" i="31" s="1"/>
  <c r="O271" i="31" s="1"/>
  <c r="P271" i="31" s="1"/>
  <c r="Q271" i="31" s="1"/>
  <c r="R271" i="31" s="1"/>
  <c r="S271" i="31" s="1"/>
  <c r="T271" i="31" s="1"/>
  <c r="U271" i="31" s="1"/>
  <c r="V271" i="31" s="1"/>
  <c r="W271" i="31" s="1"/>
  <c r="X271" i="31" s="1"/>
  <c r="Y271" i="31" s="1"/>
  <c r="C272" i="31" s="1"/>
  <c r="D272" i="31" s="1"/>
  <c r="E272" i="31" s="1"/>
  <c r="F272" i="31" s="1"/>
  <c r="G272" i="31" s="1"/>
  <c r="H272" i="31" s="1"/>
  <c r="I272" i="31" s="1"/>
  <c r="J272" i="31" s="1"/>
  <c r="K272" i="31" s="1"/>
  <c r="L272" i="31" s="1"/>
  <c r="M272" i="31" s="1"/>
  <c r="N272" i="31" s="1"/>
  <c r="O272" i="31" s="1"/>
  <c r="P272" i="31" s="1"/>
  <c r="Q272" i="31" s="1"/>
  <c r="R272" i="31" s="1"/>
  <c r="S272" i="31" s="1"/>
  <c r="T272" i="31" s="1"/>
  <c r="U272" i="31" s="1"/>
  <c r="V272" i="31" s="1"/>
  <c r="W272" i="31" s="1"/>
  <c r="X272" i="31" s="1"/>
  <c r="Y272" i="31" s="1"/>
  <c r="C273" i="31" s="1"/>
  <c r="D273" i="31" s="1"/>
  <c r="E273" i="31" s="1"/>
  <c r="F273" i="31" s="1"/>
  <c r="G273" i="31" s="1"/>
  <c r="H273" i="31" s="1"/>
  <c r="I273" i="31" s="1"/>
  <c r="J273" i="31" s="1"/>
  <c r="K273" i="31" s="1"/>
  <c r="L273" i="31" s="1"/>
  <c r="M273" i="31" s="1"/>
  <c r="N273" i="31" s="1"/>
  <c r="O273" i="31" s="1"/>
  <c r="P273" i="31" s="1"/>
  <c r="Q273" i="31" s="1"/>
  <c r="R273" i="31" s="1"/>
  <c r="S273" i="31" s="1"/>
  <c r="T273" i="31" s="1"/>
  <c r="U273" i="31" s="1"/>
  <c r="V273" i="31" s="1"/>
  <c r="W273" i="31" s="1"/>
  <c r="X273" i="31" s="1"/>
  <c r="Y273" i="31" s="1"/>
  <c r="C274" i="31" s="1"/>
  <c r="D274" i="31" s="1"/>
  <c r="E274" i="31" s="1"/>
  <c r="F274" i="31" s="1"/>
  <c r="G274" i="31" s="1"/>
  <c r="H274" i="31" s="1"/>
  <c r="I274" i="31" s="1"/>
  <c r="J274" i="31" s="1"/>
  <c r="K274" i="31" s="1"/>
  <c r="L274" i="31" s="1"/>
  <c r="M274" i="31" s="1"/>
  <c r="N274" i="31" s="1"/>
  <c r="O274" i="31" s="1"/>
  <c r="P274" i="31" s="1"/>
  <c r="Q274" i="31" s="1"/>
  <c r="R274" i="31" s="1"/>
  <c r="S274" i="31" s="1"/>
  <c r="T274" i="31" s="1"/>
  <c r="U274" i="31" s="1"/>
  <c r="V274" i="31" s="1"/>
  <c r="W274" i="31" s="1"/>
  <c r="X274" i="31" s="1"/>
  <c r="Y274" i="31" s="1"/>
  <c r="C275" i="31" s="1"/>
  <c r="D275" i="31" s="1"/>
  <c r="E275" i="31" s="1"/>
  <c r="F275" i="31" s="1"/>
  <c r="G275" i="31" s="1"/>
  <c r="H275" i="31" s="1"/>
  <c r="I275" i="31" s="1"/>
  <c r="J275" i="31" s="1"/>
  <c r="K275" i="31" s="1"/>
  <c r="L275" i="31" s="1"/>
  <c r="M275" i="31" s="1"/>
  <c r="N275" i="31" s="1"/>
  <c r="O275" i="31" s="1"/>
  <c r="P275" i="31" s="1"/>
  <c r="Q275" i="31" s="1"/>
  <c r="R275" i="31" s="1"/>
  <c r="S275" i="31" s="1"/>
  <c r="T275" i="31" s="1"/>
  <c r="U275" i="31" s="1"/>
  <c r="V275" i="31" s="1"/>
  <c r="W275" i="31" s="1"/>
  <c r="X275" i="31" s="1"/>
  <c r="Y275" i="31" s="1"/>
  <c r="C276" i="31" s="1"/>
  <c r="D276" i="31" s="1"/>
  <c r="E276" i="31" s="1"/>
  <c r="F276" i="31" s="1"/>
  <c r="G276" i="31" s="1"/>
  <c r="H276" i="31" s="1"/>
  <c r="I276" i="31" s="1"/>
  <c r="J276" i="31" s="1"/>
  <c r="K276" i="31" s="1"/>
  <c r="L276" i="31" s="1"/>
  <c r="M276" i="31" s="1"/>
  <c r="N276" i="31" s="1"/>
  <c r="O276" i="31" s="1"/>
  <c r="P276" i="31" s="1"/>
  <c r="Q276" i="31" s="1"/>
  <c r="R276" i="31" s="1"/>
  <c r="S276" i="31" s="1"/>
  <c r="T276" i="31" s="1"/>
  <c r="U276" i="31" s="1"/>
  <c r="V276" i="31" s="1"/>
  <c r="W276" i="31" s="1"/>
  <c r="X276" i="31" s="1"/>
  <c r="Y276" i="31" s="1"/>
  <c r="C277" i="31" s="1"/>
  <c r="D277" i="31" s="1"/>
  <c r="E277" i="31" s="1"/>
  <c r="F277" i="31" s="1"/>
  <c r="G277" i="31" s="1"/>
  <c r="H277" i="31" s="1"/>
  <c r="I277" i="31" s="1"/>
  <c r="J277" i="31" s="1"/>
  <c r="K277" i="31" s="1"/>
  <c r="L277" i="31" s="1"/>
  <c r="M277" i="31" s="1"/>
  <c r="N277" i="31" s="1"/>
  <c r="O277" i="31" s="1"/>
  <c r="P277" i="31" s="1"/>
  <c r="Q277" i="31" s="1"/>
  <c r="R277" i="31" s="1"/>
  <c r="S277" i="31" s="1"/>
  <c r="T277" i="31" s="1"/>
  <c r="U277" i="31" s="1"/>
  <c r="V277" i="31" s="1"/>
  <c r="W277" i="31" s="1"/>
  <c r="X277" i="31" s="1"/>
  <c r="Y277" i="31" s="1"/>
  <c r="C278" i="31" s="1"/>
  <c r="D278" i="31" s="1"/>
  <c r="E278" i="31" s="1"/>
  <c r="F278" i="31" s="1"/>
  <c r="G278" i="31" s="1"/>
  <c r="H278" i="31" s="1"/>
  <c r="I278" i="31" s="1"/>
  <c r="J278" i="31" s="1"/>
  <c r="K278" i="31" s="1"/>
  <c r="L278" i="31" s="1"/>
  <c r="M278" i="31" s="1"/>
  <c r="N278" i="31" s="1"/>
  <c r="O278" i="31" s="1"/>
  <c r="P278" i="31" s="1"/>
  <c r="Q278" i="31" s="1"/>
  <c r="R278" i="31" s="1"/>
  <c r="S278" i="31" s="1"/>
  <c r="T278" i="31" s="1"/>
  <c r="U278" i="31" s="1"/>
  <c r="V278" i="31" s="1"/>
  <c r="W278" i="31" s="1"/>
  <c r="X278" i="31" s="1"/>
  <c r="Y278" i="31" s="1"/>
  <c r="C279" i="31" s="1"/>
  <c r="D279" i="31" s="1"/>
  <c r="E279" i="31" s="1"/>
  <c r="F279" i="31" s="1"/>
  <c r="G279" i="31" s="1"/>
  <c r="H279" i="31" s="1"/>
  <c r="I279" i="31" s="1"/>
  <c r="J279" i="31" s="1"/>
  <c r="K279" i="31" s="1"/>
  <c r="L279" i="31" s="1"/>
  <c r="M279" i="31" s="1"/>
  <c r="N279" i="31" s="1"/>
  <c r="O279" i="31" s="1"/>
  <c r="P279" i="31" s="1"/>
  <c r="Q279" i="31" s="1"/>
  <c r="R279" i="31" s="1"/>
  <c r="S279" i="31" s="1"/>
  <c r="T279" i="31" s="1"/>
  <c r="U279" i="31" s="1"/>
  <c r="V279" i="31" s="1"/>
  <c r="W279" i="31" s="1"/>
  <c r="X279" i="31" s="1"/>
  <c r="Y279" i="31" s="1"/>
  <c r="C280" i="31" s="1"/>
  <c r="D280" i="31" s="1"/>
  <c r="E280" i="31" s="1"/>
  <c r="F280" i="31" s="1"/>
  <c r="G280" i="31" s="1"/>
  <c r="H280" i="31" s="1"/>
  <c r="I280" i="31" s="1"/>
  <c r="J280" i="31" s="1"/>
  <c r="K280" i="31" s="1"/>
  <c r="L280" i="31" s="1"/>
  <c r="M280" i="31" s="1"/>
  <c r="N280" i="31" s="1"/>
  <c r="O280" i="31" s="1"/>
  <c r="P280" i="31" s="1"/>
  <c r="Q280" i="31" s="1"/>
  <c r="R280" i="31" s="1"/>
  <c r="S280" i="31" s="1"/>
  <c r="T280" i="31" s="1"/>
  <c r="U280" i="31" s="1"/>
  <c r="V280" i="31" s="1"/>
  <c r="W280" i="31" s="1"/>
  <c r="X280" i="31" s="1"/>
  <c r="Y280" i="31" s="1"/>
  <c r="C281" i="31" s="1"/>
  <c r="D281" i="31" s="1"/>
  <c r="E281" i="31" s="1"/>
  <c r="F281" i="31" s="1"/>
  <c r="G281" i="31" s="1"/>
  <c r="H281" i="31" s="1"/>
  <c r="I281" i="31" s="1"/>
  <c r="J281" i="31" s="1"/>
  <c r="K281" i="31" s="1"/>
  <c r="L281" i="31" s="1"/>
  <c r="M281" i="31" s="1"/>
  <c r="N281" i="31" s="1"/>
  <c r="O281" i="31" s="1"/>
  <c r="P281" i="31" s="1"/>
  <c r="Q281" i="31" s="1"/>
  <c r="R281" i="31" s="1"/>
  <c r="S281" i="31" s="1"/>
  <c r="T281" i="31" s="1"/>
  <c r="U281" i="31" s="1"/>
  <c r="V281" i="31" s="1"/>
  <c r="W281" i="31" s="1"/>
  <c r="X281" i="31" s="1"/>
  <c r="Y281" i="31" s="1"/>
  <c r="C282" i="31" s="1"/>
  <c r="D282" i="31" s="1"/>
  <c r="E282" i="31" s="1"/>
  <c r="F282" i="31" s="1"/>
  <c r="G282" i="31" s="1"/>
  <c r="H282" i="31" s="1"/>
  <c r="I282" i="31" s="1"/>
  <c r="J282" i="31" s="1"/>
  <c r="K282" i="31" s="1"/>
  <c r="L282" i="31" s="1"/>
  <c r="M282" i="31" s="1"/>
  <c r="N282" i="31" s="1"/>
  <c r="O282" i="31" s="1"/>
  <c r="P282" i="31" s="1"/>
  <c r="Q282" i="31" s="1"/>
  <c r="R282" i="31" s="1"/>
  <c r="S282" i="31" s="1"/>
  <c r="T282" i="31" s="1"/>
  <c r="U282" i="31" s="1"/>
  <c r="V282" i="31" s="1"/>
  <c r="W282" i="31" s="1"/>
  <c r="X282" i="31" s="1"/>
  <c r="Y282" i="31" s="1"/>
  <c r="C283" i="31" s="1"/>
  <c r="D283" i="31" s="1"/>
  <c r="E283" i="31" s="1"/>
  <c r="F283" i="31" s="1"/>
  <c r="G283" i="31" s="1"/>
  <c r="H283" i="31" s="1"/>
  <c r="I283" i="31" s="1"/>
  <c r="J283" i="31" s="1"/>
  <c r="K283" i="31" s="1"/>
  <c r="L283" i="31" s="1"/>
  <c r="M283" i="31" s="1"/>
  <c r="N283" i="31" s="1"/>
  <c r="O283" i="31" s="1"/>
  <c r="P283" i="31" s="1"/>
  <c r="Q283" i="31" s="1"/>
  <c r="R283" i="31" s="1"/>
  <c r="S283" i="31" s="1"/>
  <c r="T283" i="31" s="1"/>
  <c r="U283" i="31" s="1"/>
  <c r="V283" i="31" s="1"/>
  <c r="W283" i="31" s="1"/>
  <c r="X283" i="31" s="1"/>
  <c r="Y283" i="31" s="1"/>
  <c r="C284" i="31" s="1"/>
  <c r="D284" i="31" s="1"/>
  <c r="E284" i="31" s="1"/>
  <c r="F284" i="31" s="1"/>
  <c r="G284" i="31" s="1"/>
  <c r="H284" i="31" s="1"/>
  <c r="I284" i="31" s="1"/>
  <c r="J284" i="31" s="1"/>
  <c r="K284" i="31" s="1"/>
  <c r="L284" i="31" s="1"/>
  <c r="M284" i="31" s="1"/>
  <c r="N284" i="31" s="1"/>
  <c r="O284" i="31" s="1"/>
  <c r="P284" i="31" s="1"/>
  <c r="Q284" i="31" s="1"/>
  <c r="R284" i="31" s="1"/>
  <c r="S284" i="31" s="1"/>
  <c r="T284" i="31" s="1"/>
  <c r="U284" i="31" s="1"/>
  <c r="V284" i="31" s="1"/>
  <c r="W284" i="31" s="1"/>
  <c r="X284" i="31" s="1"/>
  <c r="Y284" i="31" s="1"/>
  <c r="C285" i="31" s="1"/>
  <c r="D285" i="31" s="1"/>
  <c r="E285" i="31" s="1"/>
  <c r="F285" i="31" s="1"/>
  <c r="G285" i="31" s="1"/>
  <c r="H285" i="31" s="1"/>
  <c r="I285" i="31" s="1"/>
  <c r="J285" i="31" s="1"/>
  <c r="K285" i="31" s="1"/>
  <c r="L285" i="31" s="1"/>
  <c r="M285" i="31" s="1"/>
  <c r="N285" i="31" s="1"/>
  <c r="O285" i="31" s="1"/>
  <c r="P285" i="31" s="1"/>
  <c r="Q285" i="31" s="1"/>
  <c r="R285" i="31" s="1"/>
  <c r="S285" i="31" s="1"/>
  <c r="T285" i="31" s="1"/>
  <c r="U285" i="31" s="1"/>
  <c r="V285" i="31" s="1"/>
  <c r="W285" i="31" s="1"/>
  <c r="X285" i="31" s="1"/>
  <c r="Y285" i="31" s="1"/>
  <c r="C286" i="31" s="1"/>
  <c r="D286" i="31" s="1"/>
  <c r="E286" i="31" s="1"/>
  <c r="F286" i="31" s="1"/>
  <c r="G286" i="31" s="1"/>
  <c r="H286" i="31" s="1"/>
  <c r="I286" i="31" s="1"/>
  <c r="J286" i="31" s="1"/>
  <c r="K286" i="31" s="1"/>
  <c r="L286" i="31" s="1"/>
  <c r="M286" i="31" s="1"/>
  <c r="N286" i="31" s="1"/>
  <c r="O286" i="31" s="1"/>
  <c r="P286" i="31" s="1"/>
  <c r="Q286" i="31" s="1"/>
  <c r="R286" i="31" s="1"/>
  <c r="S286" i="31" s="1"/>
  <c r="T286" i="31" s="1"/>
  <c r="U286" i="31" s="1"/>
  <c r="V286" i="31" s="1"/>
  <c r="W286" i="31" s="1"/>
  <c r="X286" i="31" s="1"/>
  <c r="Y286" i="31" s="1"/>
  <c r="E258" i="30" l="1"/>
  <c r="A15" i="11" s="1"/>
  <c r="A16" i="25"/>
  <c r="F258" i="30" l="1"/>
  <c r="A17" i="25" l="1"/>
  <c r="G258" i="30"/>
  <c r="A16" i="11"/>
  <c r="A17" i="11" l="1"/>
  <c r="A18" i="25"/>
  <c r="C98" i="31" s="1"/>
  <c r="H258" i="30"/>
  <c r="D143" i="18"/>
  <c r="C100" i="31" l="1"/>
  <c r="C101" i="31"/>
  <c r="C99" i="31"/>
  <c r="C54" i="31"/>
  <c r="C197" i="31"/>
  <c r="A18" i="11"/>
  <c r="D197" i="31" s="1"/>
  <c r="A19" i="25"/>
  <c r="D100" i="31" s="1"/>
  <c r="I258" i="30"/>
  <c r="C196" i="31"/>
  <c r="D113" i="31"/>
  <c r="D151" i="18"/>
  <c r="D200" i="18"/>
  <c r="D155" i="18"/>
  <c r="D167" i="18"/>
  <c r="D147" i="18"/>
  <c r="D152" i="18"/>
  <c r="D159" i="18" l="1"/>
  <c r="D163" i="18"/>
  <c r="D225" i="18"/>
  <c r="E197" i="31"/>
  <c r="Y201" i="31" s="1"/>
  <c r="A19" i="11"/>
  <c r="J258" i="30"/>
  <c r="A20" i="25"/>
  <c r="D196" i="31"/>
  <c r="D101" i="31"/>
  <c r="D98" i="31"/>
  <c r="D99" i="31"/>
  <c r="D102" i="31" s="1"/>
  <c r="D114" i="31"/>
  <c r="D115" i="31"/>
  <c r="D116" i="31"/>
  <c r="C113" i="31"/>
  <c r="C114" i="31"/>
  <c r="C115" i="31"/>
  <c r="C116" i="31"/>
  <c r="E115" i="31"/>
  <c r="A16" i="1"/>
  <c r="A12" i="68" s="1"/>
  <c r="A17" i="1"/>
  <c r="A13" i="68" s="1"/>
  <c r="A18" i="1"/>
  <c r="A14" i="68" s="1"/>
  <c r="A19" i="1"/>
  <c r="A15" i="68" s="1"/>
  <c r="A20" i="1"/>
  <c r="A16" i="68" s="1"/>
  <c r="A21" i="1"/>
  <c r="A17" i="68" s="1"/>
  <c r="C198" i="31"/>
  <c r="C102" i="31"/>
  <c r="D198" i="31"/>
  <c r="X202" i="31" s="1"/>
  <c r="W201" i="31"/>
  <c r="D201" i="31"/>
  <c r="X201" i="31"/>
  <c r="E201" i="31"/>
  <c r="W200" i="31"/>
  <c r="D200" i="31"/>
  <c r="X200" i="31"/>
  <c r="D211" i="18"/>
  <c r="D148" i="18"/>
  <c r="D203" i="18"/>
  <c r="D156" i="18"/>
  <c r="D212" i="18"/>
  <c r="D199" i="18"/>
  <c r="D144" i="18"/>
  <c r="D209" i="18"/>
  <c r="D207" i="18"/>
  <c r="D204" i="18"/>
  <c r="D208" i="18"/>
  <c r="D164" i="18" l="1"/>
  <c r="D160" i="18"/>
  <c r="F101" i="31"/>
  <c r="E55" i="31"/>
  <c r="E114" i="31"/>
  <c r="F100" i="31"/>
  <c r="K258" i="30"/>
  <c r="A21" i="25"/>
  <c r="F114" i="31" s="1"/>
  <c r="A20" i="11"/>
  <c r="E113" i="31"/>
  <c r="F113" i="31"/>
  <c r="C222" i="31"/>
  <c r="W220" i="31" s="1"/>
  <c r="C178" i="31"/>
  <c r="E101" i="31"/>
  <c r="E98" i="31"/>
  <c r="E100" i="31"/>
  <c r="E99" i="31"/>
  <c r="E116" i="31"/>
  <c r="F116" i="31"/>
  <c r="D11" i="31"/>
  <c r="E11" i="31" s="1"/>
  <c r="F99" i="31"/>
  <c r="E196" i="31"/>
  <c r="D215" i="18"/>
  <c r="D216" i="18"/>
  <c r="D237" i="18"/>
  <c r="D221" i="18"/>
  <c r="D222" i="18"/>
  <c r="C212" i="31"/>
  <c r="W217" i="31" s="1"/>
  <c r="D212" i="31"/>
  <c r="D8" i="31"/>
  <c r="C117" i="31"/>
  <c r="C209" i="31" s="1"/>
  <c r="W216" i="31" s="1"/>
  <c r="E117" i="31"/>
  <c r="D117" i="31"/>
  <c r="D209" i="31" s="1"/>
  <c r="W202" i="31"/>
  <c r="D202" i="31"/>
  <c r="D206" i="31"/>
  <c r="X215" i="31" s="1"/>
  <c r="C206" i="31"/>
  <c r="W215" i="31" s="1"/>
  <c r="D205" i="18"/>
  <c r="D153" i="18"/>
  <c r="D158" i="18"/>
  <c r="D157" i="18"/>
  <c r="D149" i="18"/>
  <c r="D150" i="18"/>
  <c r="D154" i="18"/>
  <c r="D201" i="18"/>
  <c r="D213" i="18"/>
  <c r="D175" i="18"/>
  <c r="D202" i="18"/>
  <c r="D145" i="18"/>
  <c r="D214" i="18"/>
  <c r="D206" i="18"/>
  <c r="D165" i="18" l="1"/>
  <c r="D217" i="18"/>
  <c r="D162" i="18"/>
  <c r="D161" i="18"/>
  <c r="D223" i="18"/>
  <c r="E102" i="31"/>
  <c r="L258" i="30"/>
  <c r="A10" i="5"/>
  <c r="D178" i="31"/>
  <c r="D189" i="31"/>
  <c r="D222" i="31"/>
  <c r="X220" i="31" s="1"/>
  <c r="D186" i="31"/>
  <c r="D190" i="31"/>
  <c r="A190" i="31" s="1"/>
  <c r="F197" i="31"/>
  <c r="D187" i="31"/>
  <c r="D191" i="31"/>
  <c r="D10" i="31"/>
  <c r="E10" i="31" s="1"/>
  <c r="F196" i="31"/>
  <c r="D188" i="31"/>
  <c r="A188" i="31" s="1"/>
  <c r="E198" i="31"/>
  <c r="E209" i="31" s="1"/>
  <c r="E200" i="31"/>
  <c r="Y200" i="31"/>
  <c r="F98" i="31"/>
  <c r="F115" i="31"/>
  <c r="F117" i="31" s="1"/>
  <c r="X216" i="31"/>
  <c r="D216" i="31"/>
  <c r="D217" i="31"/>
  <c r="D215" i="31"/>
  <c r="X217" i="31"/>
  <c r="D210" i="18"/>
  <c r="D146" i="18"/>
  <c r="D166" i="18" l="1"/>
  <c r="D258" i="18"/>
  <c r="D224" i="18"/>
  <c r="D218" i="18"/>
  <c r="F209" i="31"/>
  <c r="Y216" i="31"/>
  <c r="E216" i="31"/>
  <c r="F102" i="31"/>
  <c r="A191" i="31"/>
  <c r="D192" i="31"/>
  <c r="A186" i="31"/>
  <c r="Y202" i="31"/>
  <c r="E202" i="31"/>
  <c r="E206" i="31"/>
  <c r="E212" i="31"/>
  <c r="A187" i="31"/>
  <c r="M258" i="30"/>
  <c r="A11" i="5"/>
  <c r="Z200" i="31"/>
  <c r="F200" i="31"/>
  <c r="F198" i="31"/>
  <c r="F201" i="31"/>
  <c r="Z201" i="31"/>
  <c r="C201" i="31" s="1"/>
  <c r="A189" i="31"/>
  <c r="E56" i="31"/>
  <c r="E57" i="31"/>
  <c r="C55" i="31"/>
  <c r="D183" i="18"/>
  <c r="D179" i="18"/>
  <c r="D173" i="18"/>
  <c r="Z202" i="31" l="1"/>
  <c r="F212" i="31"/>
  <c r="F206" i="31"/>
  <c r="F202" i="31"/>
  <c r="Y215" i="31"/>
  <c r="E215" i="31"/>
  <c r="N258" i="30"/>
  <c r="A12" i="5"/>
  <c r="W190" i="31"/>
  <c r="X191" i="31"/>
  <c r="W187" i="31"/>
  <c r="X187" i="31"/>
  <c r="X186" i="31"/>
  <c r="X190" i="31"/>
  <c r="W186" i="31"/>
  <c r="W189" i="31"/>
  <c r="W191" i="31"/>
  <c r="X188" i="31"/>
  <c r="W188" i="31"/>
  <c r="X189" i="31"/>
  <c r="C202" i="31"/>
  <c r="E186" i="31"/>
  <c r="E189" i="31"/>
  <c r="E188" i="31"/>
  <c r="E191" i="31"/>
  <c r="E187" i="31"/>
  <c r="E190" i="31"/>
  <c r="Y217" i="31"/>
  <c r="E217" i="31"/>
  <c r="Z216" i="31"/>
  <c r="C216" i="31" s="1"/>
  <c r="F216" i="31"/>
  <c r="D187" i="18"/>
  <c r="C56" i="31"/>
  <c r="C57" i="31"/>
  <c r="D55" i="31"/>
  <c r="D174" i="18"/>
  <c r="D181" i="18"/>
  <c r="D177" i="18"/>
  <c r="Z217" i="31" l="1"/>
  <c r="C217" i="31" s="1"/>
  <c r="F217" i="31"/>
  <c r="E192" i="31"/>
  <c r="O258" i="30"/>
  <c r="A13" i="5"/>
  <c r="Z215" i="31"/>
  <c r="F215" i="31"/>
  <c r="C215" i="31" s="1"/>
  <c r="D191" i="18"/>
  <c r="D185" i="18"/>
  <c r="D233" i="18"/>
  <c r="D245" i="18"/>
  <c r="D56" i="31"/>
  <c r="D57" i="31"/>
  <c r="F55" i="31"/>
  <c r="D178" i="18"/>
  <c r="D176" i="18"/>
  <c r="D182" i="18"/>
  <c r="P258" i="30" l="1"/>
  <c r="A14" i="5"/>
  <c r="D186" i="18"/>
  <c r="D231" i="18"/>
  <c r="D243" i="18"/>
  <c r="F56" i="31"/>
  <c r="F57" i="31"/>
  <c r="E152" i="31"/>
  <c r="E162" i="31" s="1"/>
  <c r="Y171" i="31" s="1"/>
  <c r="C152" i="31"/>
  <c r="C162" i="31" s="1"/>
  <c r="W171" i="31" s="1"/>
  <c r="D152" i="31"/>
  <c r="D162" i="31" s="1"/>
  <c r="X171" i="31" s="1"/>
  <c r="F152" i="31"/>
  <c r="F162" i="31" s="1"/>
  <c r="C134" i="31"/>
  <c r="F134" i="31"/>
  <c r="E134" i="31"/>
  <c r="D134" i="31"/>
  <c r="E73" i="31"/>
  <c r="C73" i="31"/>
  <c r="F129" i="31"/>
  <c r="D129" i="31"/>
  <c r="F54" i="31"/>
  <c r="D170" i="18"/>
  <c r="D184" i="18"/>
  <c r="D180" i="18"/>
  <c r="Q258" i="30" l="1"/>
  <c r="A15" i="5"/>
  <c r="D171" i="18"/>
  <c r="D194" i="18"/>
  <c r="D188" i="18"/>
  <c r="D240" i="18"/>
  <c r="D228" i="18"/>
  <c r="F73" i="31"/>
  <c r="F79" i="31" s="1"/>
  <c r="D244" i="18"/>
  <c r="D232" i="18"/>
  <c r="D168" i="31"/>
  <c r="E168" i="31"/>
  <c r="Y173" i="31" s="1"/>
  <c r="F171" i="31"/>
  <c r="E79" i="31"/>
  <c r="D171" i="31"/>
  <c r="E171" i="31"/>
  <c r="Z171" i="31"/>
  <c r="R258" i="30" l="1"/>
  <c r="A16" i="5"/>
  <c r="D229" i="18"/>
  <c r="D189" i="18"/>
  <c r="D190" i="18"/>
  <c r="D241" i="18"/>
  <c r="D259" i="18"/>
  <c r="D260" i="18" s="1"/>
  <c r="D219" i="18"/>
  <c r="D197" i="18"/>
  <c r="D195" i="18"/>
  <c r="D246" i="18"/>
  <c r="D234" i="18"/>
  <c r="C171" i="31"/>
  <c r="E173" i="31"/>
  <c r="S258" i="30" l="1"/>
  <c r="A17" i="5"/>
  <c r="D235" i="18"/>
  <c r="D236" i="18"/>
  <c r="D247" i="18"/>
  <c r="D248" i="18"/>
  <c r="D54" i="31"/>
  <c r="F168" i="31"/>
  <c r="C168" i="31"/>
  <c r="W173" i="31" s="1"/>
  <c r="X173" i="31"/>
  <c r="D73" i="31"/>
  <c r="D79" i="31" s="1"/>
  <c r="C129" i="31"/>
  <c r="E129" i="31"/>
  <c r="E54" i="31"/>
  <c r="D168" i="18"/>
  <c r="D169" i="18"/>
  <c r="T258" i="30" l="1"/>
  <c r="A18" i="5"/>
  <c r="D172" i="18"/>
  <c r="D192" i="18"/>
  <c r="D193" i="18"/>
  <c r="D239" i="18"/>
  <c r="D242" i="18" s="1"/>
  <c r="D227" i="18"/>
  <c r="D230" i="18" s="1"/>
  <c r="D238" i="18"/>
  <c r="D226" i="18"/>
  <c r="D173" i="31"/>
  <c r="F173" i="31"/>
  <c r="Z173" i="31"/>
  <c r="E133" i="31"/>
  <c r="C133" i="31"/>
  <c r="F133" i="31"/>
  <c r="D133" i="31"/>
  <c r="F108" i="31"/>
  <c r="C108" i="31"/>
  <c r="E108" i="31"/>
  <c r="D108" i="31"/>
  <c r="E87" i="31"/>
  <c r="C87" i="31"/>
  <c r="C93" i="31" s="1"/>
  <c r="D138" i="31"/>
  <c r="D139" i="31"/>
  <c r="D140" i="31"/>
  <c r="D141" i="31"/>
  <c r="D142" i="31"/>
  <c r="D143" i="31"/>
  <c r="D144" i="31"/>
  <c r="E165" i="31"/>
  <c r="Y172" i="31" s="1"/>
  <c r="D165" i="31"/>
  <c r="E132" i="31"/>
  <c r="D132" i="31"/>
  <c r="F58" i="31"/>
  <c r="C58" i="31"/>
  <c r="F165" i="31"/>
  <c r="Z172" i="31" s="1"/>
  <c r="F132" i="31"/>
  <c r="C132" i="31"/>
  <c r="G224" i="31"/>
  <c r="AA222" i="31" s="1"/>
  <c r="G180" i="31"/>
  <c r="AA178" i="31" s="1"/>
  <c r="C165" i="31"/>
  <c r="X172" i="31"/>
  <c r="F87" i="31"/>
  <c r="E123" i="31"/>
  <c r="D123" i="31"/>
  <c r="C123" i="31"/>
  <c r="F123" i="31"/>
  <c r="D72" i="31"/>
  <c r="C72" i="31"/>
  <c r="C78" i="31" s="1"/>
  <c r="F72" i="31"/>
  <c r="E131" i="31"/>
  <c r="C131" i="31"/>
  <c r="E72" i="31"/>
  <c r="A141" i="31"/>
  <c r="D9" i="31"/>
  <c r="E9" i="31" s="1"/>
  <c r="D131" i="31"/>
  <c r="F131" i="31"/>
  <c r="W157" i="31"/>
  <c r="F224" i="31"/>
  <c r="Z222" i="31" s="1"/>
  <c r="F180" i="31"/>
  <c r="Z178" i="31" s="1"/>
  <c r="E151" i="31"/>
  <c r="F151" i="31"/>
  <c r="Z156" i="31" s="1"/>
  <c r="Z157" i="31"/>
  <c r="F157" i="31"/>
  <c r="D157" i="31"/>
  <c r="X157" i="31"/>
  <c r="E157" i="31"/>
  <c r="Y157" i="31"/>
  <c r="D64" i="31"/>
  <c r="D87" i="31"/>
  <c r="C79" i="31"/>
  <c r="C64" i="31"/>
  <c r="E64" i="31"/>
  <c r="F64" i="31"/>
  <c r="E224" i="31"/>
  <c r="Y222" i="31" s="1"/>
  <c r="E180" i="31"/>
  <c r="Y178" i="31" s="1"/>
  <c r="D151" i="31"/>
  <c r="X156" i="31" s="1"/>
  <c r="C151" i="31"/>
  <c r="W156" i="31" s="1"/>
  <c r="D107" i="31"/>
  <c r="E107" i="31"/>
  <c r="F107" i="31"/>
  <c r="C107" i="31"/>
  <c r="F86" i="31"/>
  <c r="C86" i="31"/>
  <c r="D180" i="31"/>
  <c r="X178" i="31" s="1"/>
  <c r="D224" i="31"/>
  <c r="X222" i="31" s="1"/>
  <c r="E149" i="31"/>
  <c r="F149" i="31"/>
  <c r="E122" i="31"/>
  <c r="D122" i="31"/>
  <c r="C122" i="31"/>
  <c r="F122" i="31"/>
  <c r="F71" i="31"/>
  <c r="C71" i="31"/>
  <c r="C77" i="31" s="1"/>
  <c r="E71" i="31"/>
  <c r="D71" i="31"/>
  <c r="G223" i="31"/>
  <c r="AA221" i="31" s="1"/>
  <c r="G179" i="31"/>
  <c r="D149" i="31"/>
  <c r="X154" i="31" s="1"/>
  <c r="C149" i="31"/>
  <c r="D86" i="31"/>
  <c r="D63" i="31"/>
  <c r="E63" i="31"/>
  <c r="E86" i="31"/>
  <c r="F63" i="31"/>
  <c r="C63" i="31"/>
  <c r="F179" i="31"/>
  <c r="Z177" i="31" s="1"/>
  <c r="F223" i="31"/>
  <c r="Z221" i="31" s="1"/>
  <c r="C106" i="31"/>
  <c r="D106" i="31"/>
  <c r="F106" i="31"/>
  <c r="E106" i="31"/>
  <c r="E85" i="31"/>
  <c r="C85" i="31"/>
  <c r="C91" i="31" s="1"/>
  <c r="F85" i="31"/>
  <c r="F150" i="31"/>
  <c r="E150" i="31"/>
  <c r="D85" i="31"/>
  <c r="E223" i="31"/>
  <c r="E179" i="31"/>
  <c r="D121" i="31"/>
  <c r="E121" i="31"/>
  <c r="F121" i="31"/>
  <c r="C121" i="31"/>
  <c r="D14" i="31"/>
  <c r="D13" i="31"/>
  <c r="E13" i="31" s="1"/>
  <c r="D70" i="31"/>
  <c r="C70" i="31"/>
  <c r="E70" i="31"/>
  <c r="F70" i="31"/>
  <c r="F40" i="31"/>
  <c r="F41" i="31"/>
  <c r="F42" i="31"/>
  <c r="C40" i="31"/>
  <c r="C41" i="31"/>
  <c r="C42" i="31"/>
  <c r="D179" i="31"/>
  <c r="X177" i="31" s="1"/>
  <c r="D223" i="31"/>
  <c r="X221" i="31" s="1"/>
  <c r="D150" i="31"/>
  <c r="X155" i="31" s="1"/>
  <c r="C150" i="31"/>
  <c r="E62" i="31"/>
  <c r="F62" i="31"/>
  <c r="D62" i="31"/>
  <c r="C62" i="31"/>
  <c r="D12" i="31"/>
  <c r="D7" i="31"/>
  <c r="D261" i="18"/>
  <c r="U258" i="30" l="1"/>
  <c r="A19" i="5"/>
  <c r="Y177" i="31"/>
  <c r="D220" i="18"/>
  <c r="D196" i="18"/>
  <c r="D198" i="18"/>
  <c r="Y154" i="31"/>
  <c r="D145" i="31"/>
  <c r="E138" i="31" s="1"/>
  <c r="C173" i="31"/>
  <c r="F76" i="31"/>
  <c r="F93" i="31"/>
  <c r="E78" i="31"/>
  <c r="D91" i="31"/>
  <c r="A143" i="31"/>
  <c r="A139" i="31"/>
  <c r="A144" i="31"/>
  <c r="A140" i="31"/>
  <c r="A142" i="31"/>
  <c r="A138" i="31"/>
  <c r="W139" i="31" s="1"/>
  <c r="E154" i="31"/>
  <c r="F154" i="31"/>
  <c r="F156" i="31"/>
  <c r="Z154" i="31"/>
  <c r="D92" i="31"/>
  <c r="D93" i="31"/>
  <c r="E7" i="31"/>
  <c r="D76" i="31"/>
  <c r="D77" i="31"/>
  <c r="E77" i="31"/>
  <c r="E76" i="31"/>
  <c r="F78" i="31"/>
  <c r="F77" i="31"/>
  <c r="D154" i="31"/>
  <c r="E91" i="31"/>
  <c r="D155" i="31"/>
  <c r="Y156" i="31"/>
  <c r="E155" i="31"/>
  <c r="Y221" i="31"/>
  <c r="F91" i="31"/>
  <c r="W154" i="31"/>
  <c r="C154" i="31" s="1"/>
  <c r="AA177" i="31"/>
  <c r="F92" i="31"/>
  <c r="X139" i="31"/>
  <c r="D78" i="31"/>
  <c r="E93" i="31"/>
  <c r="E172" i="31"/>
  <c r="Y155" i="31"/>
  <c r="C92" i="31"/>
  <c r="E92" i="31"/>
  <c r="E156" i="31"/>
  <c r="D156" i="31"/>
  <c r="D172" i="31"/>
  <c r="F172" i="31"/>
  <c r="C43" i="31"/>
  <c r="F65" i="31"/>
  <c r="F43" i="31"/>
  <c r="C156" i="31"/>
  <c r="W172" i="31"/>
  <c r="H224" i="31" l="1"/>
  <c r="AB222" i="31" s="1"/>
  <c r="H180" i="31"/>
  <c r="AB178" i="31" s="1"/>
  <c r="V258" i="30"/>
  <c r="A20" i="5"/>
  <c r="X138" i="31"/>
  <c r="X144" i="31"/>
  <c r="E144" i="31"/>
  <c r="W144" i="31"/>
  <c r="E143" i="31"/>
  <c r="E142" i="31"/>
  <c r="E139" i="31"/>
  <c r="E141" i="31"/>
  <c r="W138" i="31"/>
  <c r="E140" i="31"/>
  <c r="F49" i="31"/>
  <c r="C172" i="31"/>
  <c r="X140" i="31"/>
  <c r="X142" i="31"/>
  <c r="W141" i="31"/>
  <c r="W140" i="31"/>
  <c r="X143" i="31"/>
  <c r="W142" i="31"/>
  <c r="W143" i="31"/>
  <c r="X141" i="31"/>
  <c r="F181" i="31" l="1"/>
  <c r="Z179" i="31" s="1"/>
  <c r="E181" i="31"/>
  <c r="Y179" i="31" s="1"/>
  <c r="W258" i="30"/>
  <c r="A21" i="5"/>
  <c r="E225" i="31"/>
  <c r="Y223" i="31" s="1"/>
  <c r="E145" i="31"/>
  <c r="F46" i="31"/>
  <c r="E12" i="31"/>
  <c r="E8" i="31"/>
  <c r="E14" i="31"/>
  <c r="D15" i="31"/>
  <c r="X176" i="31"/>
  <c r="W176" i="31"/>
  <c r="C223" i="31"/>
  <c r="W221" i="31" s="1"/>
  <c r="C179" i="31"/>
  <c r="W177" i="31" s="1"/>
  <c r="F48" i="31"/>
  <c r="F47" i="31"/>
  <c r="E40" i="31"/>
  <c r="E41" i="31"/>
  <c r="E42" i="31"/>
  <c r="F155" i="31"/>
  <c r="Z155" i="31"/>
  <c r="F130" i="31"/>
  <c r="F237" i="31"/>
  <c r="D256" i="18"/>
  <c r="X258" i="30" l="1"/>
  <c r="A22" i="5"/>
  <c r="E43" i="31"/>
  <c r="E49" i="31" s="1"/>
  <c r="F230" i="31"/>
  <c r="F120" i="31"/>
  <c r="C105" i="31"/>
  <c r="F84" i="31"/>
  <c r="C84" i="31"/>
  <c r="F61" i="31"/>
  <c r="F105" i="31"/>
  <c r="D105" i="31"/>
  <c r="E105" i="31"/>
  <c r="E128" i="31"/>
  <c r="E230" i="31"/>
  <c r="E46" i="31"/>
  <c r="D84" i="31"/>
  <c r="C130" i="31"/>
  <c r="E130" i="31"/>
  <c r="E48" i="31"/>
  <c r="D40" i="31"/>
  <c r="D41" i="31"/>
  <c r="D42" i="31"/>
  <c r="E47" i="31"/>
  <c r="E237" i="31"/>
  <c r="D251" i="18"/>
  <c r="D255" i="18"/>
  <c r="D252" i="18"/>
  <c r="Y258" i="30" l="1"/>
  <c r="A23" i="5"/>
  <c r="F90" i="31"/>
  <c r="D90" i="31"/>
  <c r="D43" i="31"/>
  <c r="D49" i="31" s="1"/>
  <c r="A7" i="22"/>
  <c r="A8" i="22"/>
  <c r="A9" i="22"/>
  <c r="A10" i="22"/>
  <c r="E120" i="31"/>
  <c r="C120" i="31"/>
  <c r="E58" i="31"/>
  <c r="E65" i="31" s="1"/>
  <c r="E61" i="31"/>
  <c r="E84" i="31"/>
  <c r="E90" i="31" s="1"/>
  <c r="D120" i="31"/>
  <c r="D46" i="31"/>
  <c r="D48" i="31"/>
  <c r="D47" i="31"/>
  <c r="C49" i="31"/>
  <c r="D128" i="31"/>
  <c r="D237" i="31"/>
  <c r="D230" i="31"/>
  <c r="D58" i="31"/>
  <c r="D65" i="31" s="1"/>
  <c r="D61" i="31"/>
  <c r="C237" i="31"/>
  <c r="C46" i="31"/>
  <c r="C48" i="31"/>
  <c r="C47" i="31"/>
  <c r="C230" i="31"/>
  <c r="C128" i="31"/>
  <c r="C65" i="31"/>
  <c r="C76" i="31"/>
  <c r="C90" i="31"/>
  <c r="C61" i="31"/>
  <c r="W155" i="31"/>
  <c r="C155" i="31" s="1"/>
  <c r="F128" i="31"/>
  <c r="D130" i="31"/>
  <c r="A19" i="6"/>
  <c r="A15" i="6"/>
  <c r="A17" i="6"/>
  <c r="A10" i="64"/>
  <c r="A16" i="64"/>
  <c r="A15" i="64"/>
  <c r="A14" i="64"/>
  <c r="A13" i="64"/>
  <c r="A12" i="64"/>
  <c r="A18" i="64"/>
  <c r="A20" i="64"/>
  <c r="A22" i="64"/>
  <c r="A16" i="6"/>
  <c r="A18" i="6"/>
  <c r="A20" i="6"/>
  <c r="A11" i="64"/>
  <c r="A17" i="64"/>
  <c r="A19" i="64"/>
  <c r="A21" i="64"/>
  <c r="A23" i="64"/>
  <c r="A24" i="64"/>
  <c r="C157" i="31"/>
  <c r="C200" i="31"/>
  <c r="D254" i="18"/>
  <c r="D253" i="18"/>
  <c r="D250" i="18"/>
  <c r="D249" i="18"/>
  <c r="C259" i="30" l="1"/>
  <c r="A24" i="5"/>
  <c r="D231" i="31"/>
  <c r="F231" i="31"/>
  <c r="D238" i="31"/>
  <c r="F238" i="31"/>
  <c r="E231" i="31"/>
  <c r="C231" i="31"/>
  <c r="E238" i="31"/>
  <c r="C238" i="31"/>
  <c r="D270" i="18"/>
  <c r="D266" i="18"/>
  <c r="D264" i="18"/>
  <c r="D267" i="18"/>
  <c r="D265" i="18"/>
  <c r="D269" i="18"/>
  <c r="D263" i="18"/>
  <c r="D268" i="18"/>
  <c r="A21" i="11" l="1"/>
  <c r="A22" i="25"/>
  <c r="D259" i="30"/>
  <c r="A21" i="6"/>
  <c r="A22" i="1"/>
  <c r="A23" i="1" l="1"/>
  <c r="A18" i="68" s="1"/>
  <c r="E259" i="30"/>
  <c r="A23" i="25"/>
  <c r="A22" i="11"/>
  <c r="A22" i="6"/>
  <c r="A24" i="25" l="1"/>
  <c r="A24" i="1"/>
  <c r="A19" i="68" s="1"/>
  <c r="F259" i="30"/>
  <c r="A23" i="11"/>
  <c r="A23" i="6"/>
  <c r="A24" i="11" l="1"/>
  <c r="A25" i="25"/>
  <c r="A25" i="1"/>
  <c r="A20" i="68" s="1"/>
  <c r="G259" i="30"/>
  <c r="A24" i="6"/>
  <c r="A26" i="25" l="1"/>
  <c r="H259" i="30"/>
  <c r="A25" i="11"/>
  <c r="A26" i="1"/>
  <c r="A21" i="68" s="1"/>
  <c r="A11" i="22"/>
  <c r="A25" i="6"/>
  <c r="C41" i="32" l="1"/>
  <c r="C47" i="32" s="1"/>
  <c r="C133" i="32"/>
  <c r="C130" i="32"/>
  <c r="C197" i="32"/>
  <c r="S201" i="32" s="1"/>
  <c r="C42" i="32"/>
  <c r="C48" i="32" s="1"/>
  <c r="C40" i="32"/>
  <c r="C151" i="32"/>
  <c r="S156" i="32" s="1"/>
  <c r="C152" i="32"/>
  <c r="C129" i="32"/>
  <c r="C134" i="32"/>
  <c r="C150" i="32"/>
  <c r="S155" i="32" s="1"/>
  <c r="C128" i="32"/>
  <c r="C132" i="32"/>
  <c r="C196" i="32"/>
  <c r="C149" i="32"/>
  <c r="S154" i="32" s="1"/>
  <c r="C131" i="32"/>
  <c r="A26" i="11"/>
  <c r="D196" i="32" s="1"/>
  <c r="A27" i="25"/>
  <c r="D115" i="32" s="1"/>
  <c r="A27" i="1"/>
  <c r="A22" i="68" s="1"/>
  <c r="I259" i="30"/>
  <c r="A26" i="6"/>
  <c r="A12" i="22"/>
  <c r="D231" i="32"/>
  <c r="C231" i="32"/>
  <c r="C238" i="32"/>
  <c r="D238" i="32"/>
  <c r="C116" i="32"/>
  <c r="C56" i="32"/>
  <c r="D116" i="32"/>
  <c r="D230" i="32"/>
  <c r="C100" i="32"/>
  <c r="C98" i="32"/>
  <c r="D100" i="32"/>
  <c r="C230" i="32"/>
  <c r="C113" i="32"/>
  <c r="D98" i="32"/>
  <c r="C99" i="32"/>
  <c r="C237" i="32"/>
  <c r="D56" i="32"/>
  <c r="C115" i="32"/>
  <c r="C114" i="32"/>
  <c r="D237" i="32"/>
  <c r="D99" i="32"/>
  <c r="C57" i="32"/>
  <c r="D101" i="32"/>
  <c r="D114" i="32"/>
  <c r="C54" i="32"/>
  <c r="D57" i="32"/>
  <c r="D54" i="32"/>
  <c r="C55" i="32"/>
  <c r="D55" i="32"/>
  <c r="C101" i="32"/>
  <c r="D113" i="32"/>
  <c r="E199" i="18"/>
  <c r="E147" i="18"/>
  <c r="E178" i="18"/>
  <c r="E203" i="18"/>
  <c r="E208" i="18"/>
  <c r="E264" i="18"/>
  <c r="E250" i="18"/>
  <c r="E143" i="18"/>
  <c r="E144" i="18"/>
  <c r="E167" i="18"/>
  <c r="E168" i="18"/>
  <c r="E156" i="18"/>
  <c r="E211" i="18"/>
  <c r="E177" i="18"/>
  <c r="E151" i="18"/>
  <c r="E152" i="18"/>
  <c r="E207" i="18"/>
  <c r="E173" i="18"/>
  <c r="E155" i="18"/>
  <c r="E200" i="18"/>
  <c r="E204" i="18"/>
  <c r="E174" i="18"/>
  <c r="E148" i="18"/>
  <c r="E212" i="18"/>
  <c r="E263" i="18"/>
  <c r="E249" i="18"/>
  <c r="E267" i="18"/>
  <c r="E253" i="18"/>
  <c r="E268" i="18"/>
  <c r="E254" i="18"/>
  <c r="E181" i="18"/>
  <c r="E182" i="18"/>
  <c r="E160" i="18" l="1"/>
  <c r="E186" i="18"/>
  <c r="E222" i="18"/>
  <c r="E216" i="18"/>
  <c r="E185" i="18"/>
  <c r="E192" i="18"/>
  <c r="E238" i="18"/>
  <c r="E226" i="18"/>
  <c r="E237" i="18"/>
  <c r="E225" i="18"/>
  <c r="E191" i="18"/>
  <c r="E164" i="18"/>
  <c r="E163" i="18"/>
  <c r="E221" i="18"/>
  <c r="E159" i="18"/>
  <c r="E215" i="18"/>
  <c r="D73" i="32"/>
  <c r="D79" i="32" s="1"/>
  <c r="D87" i="32"/>
  <c r="D64" i="32"/>
  <c r="C73" i="32"/>
  <c r="C79" i="32" s="1"/>
  <c r="C64" i="32"/>
  <c r="C87" i="32"/>
  <c r="C93" i="32" s="1"/>
  <c r="D123" i="32"/>
  <c r="A27" i="11"/>
  <c r="E196" i="32" s="1"/>
  <c r="A28" i="25"/>
  <c r="A28" i="1"/>
  <c r="A23" i="68" s="1"/>
  <c r="J259" i="30"/>
  <c r="A13" i="22"/>
  <c r="A27" i="6"/>
  <c r="E41" i="32"/>
  <c r="E47" i="32" s="1"/>
  <c r="D41" i="32"/>
  <c r="D47" i="32" s="1"/>
  <c r="D150" i="32"/>
  <c r="E129" i="32"/>
  <c r="D151" i="32"/>
  <c r="E130" i="32"/>
  <c r="D197" i="32"/>
  <c r="D132" i="32"/>
  <c r="E42" i="32"/>
  <c r="E48" i="32" s="1"/>
  <c r="D106" i="32"/>
  <c r="D71" i="32"/>
  <c r="D85" i="32"/>
  <c r="D62" i="32"/>
  <c r="D121" i="32"/>
  <c r="D117" i="32"/>
  <c r="D120" i="32"/>
  <c r="C108" i="32"/>
  <c r="C71" i="32"/>
  <c r="C77" i="32" s="1"/>
  <c r="C85" i="32"/>
  <c r="C91" i="32" s="1"/>
  <c r="C62" i="32"/>
  <c r="C122" i="32"/>
  <c r="D107" i="32"/>
  <c r="C107" i="32"/>
  <c r="C63" i="32"/>
  <c r="C72" i="32"/>
  <c r="C78" i="32" s="1"/>
  <c r="C86" i="32"/>
  <c r="C92" i="32" s="1"/>
  <c r="C123" i="32"/>
  <c r="E131" i="32"/>
  <c r="E40" i="32"/>
  <c r="S200" i="32"/>
  <c r="C198" i="32"/>
  <c r="E152" i="32"/>
  <c r="E128" i="32"/>
  <c r="D129" i="32"/>
  <c r="C162" i="32"/>
  <c r="S171" i="32" s="1"/>
  <c r="C168" i="32"/>
  <c r="S173" i="32" s="1"/>
  <c r="S157" i="32"/>
  <c r="C165" i="32"/>
  <c r="S172" i="32" s="1"/>
  <c r="E149" i="32"/>
  <c r="C43" i="32"/>
  <c r="C49" i="32" s="1"/>
  <c r="C46" i="32"/>
  <c r="D130" i="32"/>
  <c r="E132" i="32"/>
  <c r="D108" i="32"/>
  <c r="D58" i="32"/>
  <c r="D65" i="32" s="1"/>
  <c r="D84" i="32"/>
  <c r="D90" i="32" s="1"/>
  <c r="D61" i="32"/>
  <c r="D70" i="32"/>
  <c r="C70" i="32"/>
  <c r="C76" i="32" s="1"/>
  <c r="C58" i="32"/>
  <c r="C65" i="32" s="1"/>
  <c r="C84" i="32"/>
  <c r="C90" i="32" s="1"/>
  <c r="C61" i="32"/>
  <c r="D102" i="32"/>
  <c r="D206" i="32" s="1"/>
  <c r="D105" i="32"/>
  <c r="C102" i="32"/>
  <c r="C105" i="32"/>
  <c r="D122" i="32"/>
  <c r="E197" i="32"/>
  <c r="D134" i="32"/>
  <c r="E133" i="32"/>
  <c r="D133" i="32"/>
  <c r="D128" i="32"/>
  <c r="D152" i="32"/>
  <c r="E134" i="32"/>
  <c r="E151" i="32"/>
  <c r="C121" i="32"/>
  <c r="D86" i="32"/>
  <c r="D72" i="32"/>
  <c r="D78" i="32" s="1"/>
  <c r="D63" i="32"/>
  <c r="C106" i="32"/>
  <c r="C117" i="32"/>
  <c r="C120" i="32"/>
  <c r="D200" i="32"/>
  <c r="D198" i="32"/>
  <c r="T200" i="32"/>
  <c r="D149" i="32"/>
  <c r="E150" i="32"/>
  <c r="U155" i="32" s="1"/>
  <c r="D131" i="32"/>
  <c r="D40" i="32"/>
  <c r="D42" i="32"/>
  <c r="D48" i="32" s="1"/>
  <c r="U156" i="32" l="1"/>
  <c r="E156" i="32"/>
  <c r="U154" i="32"/>
  <c r="E154" i="32"/>
  <c r="D93" i="32"/>
  <c r="E244" i="18"/>
  <c r="E232" i="18"/>
  <c r="D162" i="32"/>
  <c r="D168" i="32"/>
  <c r="D157" i="32"/>
  <c r="D165" i="32"/>
  <c r="T157" i="32"/>
  <c r="D76" i="32"/>
  <c r="E43" i="32"/>
  <c r="E49" i="32" s="1"/>
  <c r="E46" i="32"/>
  <c r="D201" i="32"/>
  <c r="T201" i="32"/>
  <c r="E55" i="32"/>
  <c r="F55" i="32"/>
  <c r="E230" i="32"/>
  <c r="E113" i="32"/>
  <c r="F56" i="32"/>
  <c r="E54" i="32"/>
  <c r="E100" i="32"/>
  <c r="F54" i="32"/>
  <c r="E115" i="32"/>
  <c r="E57" i="32"/>
  <c r="D11" i="32"/>
  <c r="E11" i="32" s="1"/>
  <c r="E237" i="32"/>
  <c r="E98" i="32"/>
  <c r="E101" i="32"/>
  <c r="F99" i="32"/>
  <c r="F230" i="32"/>
  <c r="E114" i="32"/>
  <c r="E56" i="32"/>
  <c r="E116" i="32"/>
  <c r="D12" i="32"/>
  <c r="E12" i="32" s="1"/>
  <c r="E99" i="32"/>
  <c r="E243" i="18"/>
  <c r="E231" i="18"/>
  <c r="D92" i="32"/>
  <c r="E157" i="32"/>
  <c r="U157" i="32"/>
  <c r="E165" i="32"/>
  <c r="D91" i="32"/>
  <c r="E155" i="32"/>
  <c r="D155" i="32"/>
  <c r="T155" i="32"/>
  <c r="E238" i="32"/>
  <c r="E231" i="32"/>
  <c r="U200" i="32"/>
  <c r="E200" i="32"/>
  <c r="E198" i="32"/>
  <c r="U201" i="32"/>
  <c r="E201" i="32"/>
  <c r="T154" i="32"/>
  <c r="D154" i="32"/>
  <c r="D43" i="32"/>
  <c r="D49" i="32" s="1"/>
  <c r="D46" i="32"/>
  <c r="D212" i="32"/>
  <c r="D202" i="32"/>
  <c r="T202" i="32"/>
  <c r="S202" i="32"/>
  <c r="C212" i="32"/>
  <c r="S217" i="32" s="1"/>
  <c r="C206" i="32"/>
  <c r="S215" i="32" s="1"/>
  <c r="C209" i="32"/>
  <c r="S216" i="32" s="1"/>
  <c r="D209" i="32"/>
  <c r="D77" i="32"/>
  <c r="T156" i="32"/>
  <c r="D156" i="32"/>
  <c r="K259" i="30"/>
  <c r="A28" i="11"/>
  <c r="A29" i="25"/>
  <c r="D13" i="32" s="1"/>
  <c r="E13" i="32" s="1"/>
  <c r="A29" i="1"/>
  <c r="A24" i="68" s="1"/>
  <c r="D8" i="32" s="1"/>
  <c r="E8" i="32" s="1"/>
  <c r="A14" i="22"/>
  <c r="F231" i="32" s="1"/>
  <c r="A28" i="6"/>
  <c r="D215" i="32"/>
  <c r="T215" i="32"/>
  <c r="E265" i="18"/>
  <c r="E251" i="18"/>
  <c r="E183" i="18"/>
  <c r="E145" i="18"/>
  <c r="E180" i="18"/>
  <c r="E150" i="18"/>
  <c r="E175" i="18"/>
  <c r="E201" i="18"/>
  <c r="E153" i="18"/>
  <c r="E157" i="18"/>
  <c r="E179" i="18"/>
  <c r="E170" i="18"/>
  <c r="E266" i="18"/>
  <c r="E252" i="18"/>
  <c r="E169" i="18"/>
  <c r="E209" i="18"/>
  <c r="E269" i="18"/>
  <c r="E255" i="18"/>
  <c r="E205" i="18"/>
  <c r="E149" i="18"/>
  <c r="E176" i="18"/>
  <c r="E213" i="18"/>
  <c r="E161" i="18" l="1"/>
  <c r="E223" i="18"/>
  <c r="E193" i="18"/>
  <c r="E239" i="18"/>
  <c r="E227" i="18"/>
  <c r="E171" i="18"/>
  <c r="E172" i="18"/>
  <c r="E217" i="18"/>
  <c r="E187" i="18"/>
  <c r="E165" i="18"/>
  <c r="E123" i="32"/>
  <c r="F71" i="32"/>
  <c r="F77" i="32" s="1"/>
  <c r="F85" i="32"/>
  <c r="F91" i="32" s="1"/>
  <c r="F62" i="32"/>
  <c r="D188" i="32"/>
  <c r="D143" i="32"/>
  <c r="D186" i="32"/>
  <c r="D187" i="32"/>
  <c r="F40" i="32"/>
  <c r="D141" i="32"/>
  <c r="F133" i="32"/>
  <c r="F149" i="32"/>
  <c r="F42" i="32"/>
  <c r="F48" i="32" s="1"/>
  <c r="F41" i="32"/>
  <c r="F47" i="32" s="1"/>
  <c r="D10" i="32"/>
  <c r="E10" i="32" s="1"/>
  <c r="F130" i="32"/>
  <c r="D139" i="32"/>
  <c r="D7" i="32"/>
  <c r="D190" i="32"/>
  <c r="F151" i="32"/>
  <c r="F131" i="32"/>
  <c r="F132" i="32"/>
  <c r="F150" i="32"/>
  <c r="F134" i="32"/>
  <c r="D191" i="32"/>
  <c r="D138" i="32"/>
  <c r="D144" i="32"/>
  <c r="D140" i="32"/>
  <c r="F128" i="32"/>
  <c r="F152" i="32"/>
  <c r="F129" i="32"/>
  <c r="D189" i="32"/>
  <c r="D142" i="32"/>
  <c r="D9" i="32"/>
  <c r="E9" i="32" s="1"/>
  <c r="F238" i="32"/>
  <c r="U172" i="32"/>
  <c r="E172" i="32"/>
  <c r="E106" i="32"/>
  <c r="F100" i="32"/>
  <c r="E121" i="32"/>
  <c r="F101" i="32"/>
  <c r="E122" i="32"/>
  <c r="E58" i="32"/>
  <c r="E65" i="32" s="1"/>
  <c r="E70" i="32"/>
  <c r="E76" i="32" s="1"/>
  <c r="E84" i="32"/>
  <c r="E90" i="32" s="1"/>
  <c r="E61" i="32"/>
  <c r="F113" i="32"/>
  <c r="T171" i="32"/>
  <c r="D171" i="32"/>
  <c r="L259" i="30"/>
  <c r="A40" i="5"/>
  <c r="A40" i="64"/>
  <c r="T217" i="32"/>
  <c r="D217" i="32"/>
  <c r="E202" i="32"/>
  <c r="E212" i="32"/>
  <c r="U202" i="32"/>
  <c r="F84" i="32"/>
  <c r="F90" i="32" s="1"/>
  <c r="F61" i="32"/>
  <c r="F57" i="32"/>
  <c r="F58" i="32" s="1"/>
  <c r="F65" i="32" s="1"/>
  <c r="E86" i="32"/>
  <c r="E92" i="32" s="1"/>
  <c r="E72" i="32"/>
  <c r="E78" i="32" s="1"/>
  <c r="E63" i="32"/>
  <c r="D14" i="32"/>
  <c r="E108" i="32"/>
  <c r="F115" i="32"/>
  <c r="E107" i="32"/>
  <c r="E117" i="32"/>
  <c r="E168" i="32" s="1"/>
  <c r="E120" i="32"/>
  <c r="E62" i="32"/>
  <c r="E71" i="32"/>
  <c r="E77" i="32" s="1"/>
  <c r="E85" i="32"/>
  <c r="E91" i="32" s="1"/>
  <c r="D216" i="32"/>
  <c r="T216" i="32"/>
  <c r="F106" i="32"/>
  <c r="F72" i="32"/>
  <c r="F78" i="32" s="1"/>
  <c r="F86" i="32"/>
  <c r="F92" i="32" s="1"/>
  <c r="F63" i="32"/>
  <c r="T172" i="32"/>
  <c r="D172" i="32"/>
  <c r="F237" i="32"/>
  <c r="F114" i="32"/>
  <c r="F116" i="32"/>
  <c r="E102" i="32"/>
  <c r="E162" i="32" s="1"/>
  <c r="E105" i="32"/>
  <c r="E73" i="32"/>
  <c r="E79" i="32" s="1"/>
  <c r="E87" i="32"/>
  <c r="E93" i="32" s="1"/>
  <c r="E64" i="32"/>
  <c r="T173" i="32"/>
  <c r="D173" i="32"/>
  <c r="E154" i="18"/>
  <c r="E202" i="18"/>
  <c r="E184" i="18"/>
  <c r="E270" i="18"/>
  <c r="E256" i="18"/>
  <c r="E261" i="18"/>
  <c r="E158" i="18"/>
  <c r="E210" i="18"/>
  <c r="E206" i="18"/>
  <c r="E214" i="18"/>
  <c r="E224" i="18" l="1"/>
  <c r="E188" i="18"/>
  <c r="E194" i="18"/>
  <c r="E218" i="18"/>
  <c r="E240" i="18"/>
  <c r="E241" i="18" s="1"/>
  <c r="E162" i="18"/>
  <c r="U171" i="32"/>
  <c r="E171" i="32"/>
  <c r="U217" i="32"/>
  <c r="E217" i="32"/>
  <c r="M259" i="30"/>
  <c r="A41" i="5"/>
  <c r="A41" i="64"/>
  <c r="A144" i="32"/>
  <c r="V155" i="32"/>
  <c r="C155" i="32" s="1"/>
  <c r="F155" i="32"/>
  <c r="A190" i="32"/>
  <c r="D192" i="32"/>
  <c r="E190" i="32" s="1"/>
  <c r="A186" i="32"/>
  <c r="F123" i="32"/>
  <c r="F121" i="32"/>
  <c r="F122" i="32"/>
  <c r="F108" i="32"/>
  <c r="F165" i="32"/>
  <c r="V157" i="32"/>
  <c r="C157" i="32" s="1"/>
  <c r="F157" i="32"/>
  <c r="A138" i="32"/>
  <c r="D145" i="32"/>
  <c r="E138" i="32" s="1"/>
  <c r="E7" i="32"/>
  <c r="A141" i="32"/>
  <c r="E143" i="32"/>
  <c r="A143" i="32"/>
  <c r="E206" i="32"/>
  <c r="A142" i="32"/>
  <c r="E142" i="32"/>
  <c r="A191" i="32"/>
  <c r="E191" i="32"/>
  <c r="A139" i="32"/>
  <c r="E139" i="32"/>
  <c r="F43" i="32"/>
  <c r="F49" i="32" s="1"/>
  <c r="F46" i="32"/>
  <c r="E188" i="32"/>
  <c r="A188" i="32"/>
  <c r="E173" i="32"/>
  <c r="U173" i="32"/>
  <c r="D15" i="32"/>
  <c r="E14" i="32"/>
  <c r="F73" i="32"/>
  <c r="F79" i="32" s="1"/>
  <c r="F87" i="32"/>
  <c r="F93" i="32" s="1"/>
  <c r="F64" i="32"/>
  <c r="E209" i="32"/>
  <c r="F117" i="32"/>
  <c r="F168" i="32" s="1"/>
  <c r="F120" i="32"/>
  <c r="F107" i="32"/>
  <c r="A189" i="32"/>
  <c r="E189" i="32"/>
  <c r="A140" i="32"/>
  <c r="E140" i="32"/>
  <c r="F156" i="32"/>
  <c r="C156" i="32" s="1"/>
  <c r="V156" i="32"/>
  <c r="F154" i="32"/>
  <c r="C154" i="32" s="1"/>
  <c r="V154" i="32"/>
  <c r="E187" i="32"/>
  <c r="A187" i="32"/>
  <c r="E233" i="18"/>
  <c r="E245" i="18"/>
  <c r="E242" i="18"/>
  <c r="V173" i="32" l="1"/>
  <c r="F173" i="32"/>
  <c r="C173" i="32"/>
  <c r="V189" i="32"/>
  <c r="U191" i="32"/>
  <c r="U190" i="32"/>
  <c r="U189" i="32"/>
  <c r="V186" i="32"/>
  <c r="V187" i="32"/>
  <c r="V191" i="32"/>
  <c r="V190" i="32"/>
  <c r="U187" i="32"/>
  <c r="U186" i="32"/>
  <c r="V188" i="32"/>
  <c r="U188" i="32"/>
  <c r="E216" i="32"/>
  <c r="U216" i="32"/>
  <c r="V172" i="32"/>
  <c r="F172" i="32"/>
  <c r="E144" i="32"/>
  <c r="N259" i="30"/>
  <c r="A42" i="5"/>
  <c r="A42" i="64"/>
  <c r="E195" i="18"/>
  <c r="E219" i="18"/>
  <c r="E196" i="18"/>
  <c r="E220" i="18"/>
  <c r="E215" i="32"/>
  <c r="U215" i="32"/>
  <c r="E141" i="32"/>
  <c r="E145" i="32" s="1"/>
  <c r="V141" i="32"/>
  <c r="V142" i="32"/>
  <c r="V138" i="32"/>
  <c r="U141" i="32"/>
  <c r="U142" i="32"/>
  <c r="U138" i="32"/>
  <c r="V139" i="32"/>
  <c r="V140" i="32"/>
  <c r="V143" i="32"/>
  <c r="U140" i="32"/>
  <c r="V144" i="32"/>
  <c r="U143" i="32"/>
  <c r="U144" i="32"/>
  <c r="E190" i="18"/>
  <c r="E234" i="18"/>
  <c r="E189" i="18"/>
  <c r="E246" i="18"/>
  <c r="E259" i="18"/>
  <c r="U139" i="32"/>
  <c r="E186" i="32"/>
  <c r="E192" i="32" s="1"/>
  <c r="C172" i="32" l="1"/>
  <c r="E248" i="18"/>
  <c r="E247" i="18"/>
  <c r="E236" i="18"/>
  <c r="E235" i="18"/>
  <c r="A43" i="5"/>
  <c r="O259" i="30"/>
  <c r="A43" i="64"/>
  <c r="P259" i="30" l="1"/>
  <c r="A44" i="5"/>
  <c r="A44" i="64"/>
  <c r="Q259" i="30" l="1"/>
  <c r="A45" i="5"/>
  <c r="A45" i="64"/>
  <c r="R259" i="30" l="1"/>
  <c r="A46" i="5"/>
  <c r="A46" i="64"/>
  <c r="A47" i="64" l="1"/>
  <c r="A47" i="5"/>
  <c r="S259" i="30"/>
  <c r="A48" i="64" l="1"/>
  <c r="A48" i="5"/>
  <c r="T259" i="30"/>
  <c r="U259" i="30" l="1"/>
  <c r="A49" i="5"/>
  <c r="A49" i="64"/>
  <c r="A50" i="64" l="1"/>
  <c r="V259" i="30"/>
  <c r="A50" i="5"/>
  <c r="W259" i="30" l="1"/>
  <c r="A51" i="5"/>
  <c r="A51" i="64"/>
  <c r="A52" i="5" l="1"/>
  <c r="X259" i="30"/>
  <c r="A52" i="64"/>
  <c r="Y259" i="30" l="1"/>
  <c r="A53" i="5"/>
  <c r="A53" i="64"/>
  <c r="A54" i="64" l="1"/>
  <c r="A54" i="5"/>
  <c r="C260" i="30"/>
  <c r="A29" i="11" l="1"/>
  <c r="D260" i="30"/>
  <c r="A29" i="6"/>
  <c r="A30" i="1"/>
  <c r="A30" i="25"/>
  <c r="A31" i="1" l="1"/>
  <c r="A25" i="68" s="1"/>
  <c r="A30" i="11"/>
  <c r="E260" i="30"/>
  <c r="A30" i="6"/>
  <c r="A31" i="25"/>
  <c r="A31" i="11" l="1"/>
  <c r="A32" i="1"/>
  <c r="A26" i="68" s="1"/>
  <c r="F260" i="30"/>
  <c r="A31" i="6"/>
  <c r="A32" i="25"/>
  <c r="G260" i="30" l="1"/>
  <c r="A33" i="1"/>
  <c r="A27" i="68" s="1"/>
  <c r="A33" i="25"/>
  <c r="A32" i="11"/>
  <c r="A32" i="6"/>
  <c r="A33" i="11" l="1"/>
  <c r="A34" i="25"/>
  <c r="A33" i="6"/>
  <c r="H260" i="30"/>
  <c r="A34" i="1"/>
  <c r="A28" i="68" s="1"/>
  <c r="A34" i="11" l="1"/>
  <c r="D150" i="33" s="1"/>
  <c r="A35" i="1"/>
  <c r="A29" i="68" s="1"/>
  <c r="I260" i="30"/>
  <c r="A34" i="6"/>
  <c r="A35" i="25"/>
  <c r="D57" i="33" s="1"/>
  <c r="C55" i="33"/>
  <c r="C54" i="33"/>
  <c r="C237" i="33"/>
  <c r="C57" i="33"/>
  <c r="D55" i="33"/>
  <c r="C56" i="33"/>
  <c r="C230" i="33"/>
  <c r="D237" i="33"/>
  <c r="C113" i="33"/>
  <c r="D54" i="33"/>
  <c r="D230" i="33"/>
  <c r="C115" i="33"/>
  <c r="C133" i="33"/>
  <c r="D128" i="33"/>
  <c r="C42" i="33"/>
  <c r="C48" i="33" s="1"/>
  <c r="D151" i="33"/>
  <c r="D42" i="33"/>
  <c r="C41" i="33"/>
  <c r="C47" i="33" s="1"/>
  <c r="C151" i="33"/>
  <c r="S156" i="33" s="1"/>
  <c r="D40" i="33"/>
  <c r="D130" i="33"/>
  <c r="C149" i="33"/>
  <c r="S154" i="33" s="1"/>
  <c r="D152" i="33"/>
  <c r="C40" i="33"/>
  <c r="C128" i="33"/>
  <c r="D41" i="33"/>
  <c r="D47" i="33" s="1"/>
  <c r="C129" i="33"/>
  <c r="C152" i="33"/>
  <c r="D132" i="33"/>
  <c r="C131" i="33"/>
  <c r="D134" i="33"/>
  <c r="C134" i="33"/>
  <c r="D149" i="33"/>
  <c r="D131" i="33"/>
  <c r="C130" i="33"/>
  <c r="D133" i="33"/>
  <c r="C132" i="33"/>
  <c r="C150" i="33"/>
  <c r="S155" i="33" s="1"/>
  <c r="D129" i="33"/>
  <c r="F182" i="18"/>
  <c r="F177" i="18"/>
  <c r="F199" i="18"/>
  <c r="F181" i="18"/>
  <c r="F249" i="18"/>
  <c r="F173" i="18"/>
  <c r="F253" i="18"/>
  <c r="F168" i="18"/>
  <c r="F207" i="18"/>
  <c r="F167" i="18"/>
  <c r="F174" i="18"/>
  <c r="F254" i="18"/>
  <c r="F250" i="18"/>
  <c r="F191" i="18" l="1"/>
  <c r="F237" i="18"/>
  <c r="F185" i="18"/>
  <c r="C46" i="33"/>
  <c r="C43" i="33"/>
  <c r="C49" i="33" s="1"/>
  <c r="D62" i="33"/>
  <c r="D85" i="33"/>
  <c r="V54" i="33"/>
  <c r="C58" i="33"/>
  <c r="C65" i="33" s="1"/>
  <c r="C61" i="33"/>
  <c r="C84" i="33"/>
  <c r="C90" i="33" s="1"/>
  <c r="D48" i="33"/>
  <c r="V114" i="33"/>
  <c r="V121" i="33" s="1"/>
  <c r="C122" i="33"/>
  <c r="D84" i="33"/>
  <c r="D90" i="33" s="1"/>
  <c r="D61" i="33"/>
  <c r="W54" i="33"/>
  <c r="C85" i="33"/>
  <c r="C91" i="33" s="1"/>
  <c r="C62" i="33"/>
  <c r="A36" i="25"/>
  <c r="A35" i="11"/>
  <c r="A36" i="1"/>
  <c r="A30" i="68" s="1"/>
  <c r="A35" i="6"/>
  <c r="J260" i="30"/>
  <c r="D154" i="33"/>
  <c r="T154" i="33"/>
  <c r="C165" i="33"/>
  <c r="S172" i="33" s="1"/>
  <c r="S157" i="33"/>
  <c r="T157" i="33"/>
  <c r="D165" i="33"/>
  <c r="D157" i="33"/>
  <c r="D156" i="33"/>
  <c r="T156" i="33"/>
  <c r="C64" i="33"/>
  <c r="C87" i="33"/>
  <c r="C93" i="33" s="1"/>
  <c r="V57" i="33"/>
  <c r="V64" i="33" s="1"/>
  <c r="D56" i="33"/>
  <c r="D46" i="33"/>
  <c r="D43" i="33"/>
  <c r="D49" i="33" s="1"/>
  <c r="C120" i="33"/>
  <c r="C63" i="33"/>
  <c r="V55" i="33"/>
  <c r="C86" i="33"/>
  <c r="C92" i="33" s="1"/>
  <c r="D64" i="33"/>
  <c r="W57" i="33"/>
  <c r="W64" i="33" s="1"/>
  <c r="D87" i="33"/>
  <c r="D93" i="33" s="1"/>
  <c r="D155" i="33"/>
  <c r="T155" i="33"/>
  <c r="F178" i="18"/>
  <c r="F186" i="18" l="1"/>
  <c r="F192" i="18"/>
  <c r="T172" i="33"/>
  <c r="D172" i="33"/>
  <c r="D58" i="33"/>
  <c r="D65" i="33" s="1"/>
  <c r="D86" i="33"/>
  <c r="D92" i="33" s="1"/>
  <c r="W55" i="33"/>
  <c r="W62" i="33" s="1"/>
  <c r="D63" i="33"/>
  <c r="E129" i="33"/>
  <c r="E150" i="33"/>
  <c r="E128" i="33"/>
  <c r="E151" i="33"/>
  <c r="E132" i="33"/>
  <c r="E152" i="33"/>
  <c r="E40" i="33"/>
  <c r="E130" i="33"/>
  <c r="E42" i="33"/>
  <c r="E48" i="33" s="1"/>
  <c r="E134" i="33"/>
  <c r="E41" i="33"/>
  <c r="E47" i="33" s="1"/>
  <c r="E149" i="33"/>
  <c r="E131" i="33"/>
  <c r="E133" i="33"/>
  <c r="F152" i="33"/>
  <c r="F132" i="33"/>
  <c r="W61" i="33"/>
  <c r="W58" i="33"/>
  <c r="A36" i="11"/>
  <c r="D142" i="33" s="1"/>
  <c r="A37" i="1"/>
  <c r="A31" i="68" s="1"/>
  <c r="A36" i="6"/>
  <c r="K260" i="30"/>
  <c r="A37" i="25"/>
  <c r="D11" i="33" s="1"/>
  <c r="E11" i="33" s="1"/>
  <c r="E230" i="33"/>
  <c r="E56" i="33"/>
  <c r="E54" i="33"/>
  <c r="D12" i="33"/>
  <c r="E12" i="33" s="1"/>
  <c r="D14" i="33"/>
  <c r="E14" i="33" s="1"/>
  <c r="E57" i="33"/>
  <c r="F230" i="33"/>
  <c r="E237" i="33"/>
  <c r="F56" i="33"/>
  <c r="F54" i="33"/>
  <c r="V58" i="33"/>
  <c r="V65" i="33" s="1"/>
  <c r="V61" i="33"/>
  <c r="V62" i="33"/>
  <c r="V85" i="33"/>
  <c r="V91" i="33" s="1"/>
  <c r="D91" i="33"/>
  <c r="F251" i="18"/>
  <c r="F180" i="18"/>
  <c r="F179" i="18"/>
  <c r="F183" i="18"/>
  <c r="F170" i="18"/>
  <c r="F169" i="18"/>
  <c r="F252" i="18"/>
  <c r="F255" i="18"/>
  <c r="F172" i="18" l="1"/>
  <c r="F171" i="18"/>
  <c r="F133" i="33"/>
  <c r="F130" i="33"/>
  <c r="D139" i="33"/>
  <c r="D9" i="33"/>
  <c r="E9" i="33" s="1"/>
  <c r="U157" i="33"/>
  <c r="E157" i="33"/>
  <c r="E165" i="33"/>
  <c r="E84" i="33"/>
  <c r="E90" i="33" s="1"/>
  <c r="E61" i="33"/>
  <c r="A55" i="5"/>
  <c r="L260" i="30"/>
  <c r="A55" i="64"/>
  <c r="W65" i="33"/>
  <c r="F131" i="33"/>
  <c r="D7" i="33"/>
  <c r="E154" i="33"/>
  <c r="U154" i="33"/>
  <c r="D144" i="33"/>
  <c r="D138" i="33"/>
  <c r="F128" i="33"/>
  <c r="F61" i="33"/>
  <c r="F84" i="33"/>
  <c r="F90" i="33" s="1"/>
  <c r="X57" i="33"/>
  <c r="X64" i="33" s="1"/>
  <c r="E87" i="33"/>
  <c r="E93" i="33" s="1"/>
  <c r="E64" i="33"/>
  <c r="E86" i="33"/>
  <c r="E92" i="33" s="1"/>
  <c r="E63" i="33"/>
  <c r="X55" i="33"/>
  <c r="X62" i="33" s="1"/>
  <c r="V157" i="33"/>
  <c r="C157" i="33" s="1"/>
  <c r="F165" i="33"/>
  <c r="F157" i="33"/>
  <c r="D140" i="33"/>
  <c r="F134" i="33"/>
  <c r="E156" i="33"/>
  <c r="U156" i="33"/>
  <c r="U155" i="33"/>
  <c r="E155" i="33"/>
  <c r="F86" i="33"/>
  <c r="F92" i="33" s="1"/>
  <c r="F63" i="33"/>
  <c r="Y55" i="33"/>
  <c r="Y62" i="33" s="1"/>
  <c r="F40" i="33"/>
  <c r="F46" i="33" s="1"/>
  <c r="E43" i="33"/>
  <c r="E49" i="33" s="1"/>
  <c r="E46" i="33"/>
  <c r="F261" i="18"/>
  <c r="V172" i="33" l="1"/>
  <c r="F172" i="33"/>
  <c r="E7" i="33"/>
  <c r="M260" i="30"/>
  <c r="A56" i="64"/>
  <c r="A56" i="5"/>
  <c r="U172" i="33"/>
  <c r="E172" i="33"/>
  <c r="N260" i="30" l="1"/>
  <c r="A57" i="5"/>
  <c r="A57" i="64"/>
  <c r="C172" i="33"/>
  <c r="A58" i="5" l="1"/>
  <c r="A58" i="64"/>
  <c r="O260" i="30"/>
  <c r="A59" i="64" l="1"/>
  <c r="A59" i="5"/>
  <c r="P260" i="30"/>
  <c r="A60" i="5" l="1"/>
  <c r="A60" i="64"/>
  <c r="Q260" i="30"/>
  <c r="A61" i="64" l="1"/>
  <c r="R260" i="30"/>
  <c r="A61" i="5"/>
  <c r="A62" i="64" l="1"/>
  <c r="S260" i="30"/>
  <c r="A62" i="5"/>
  <c r="A63" i="64" l="1"/>
  <c r="T260" i="30"/>
  <c r="A63" i="5"/>
  <c r="A64" i="5" l="1"/>
  <c r="U260" i="30"/>
  <c r="A64" i="64"/>
  <c r="A65" i="64" l="1"/>
  <c r="V260" i="30"/>
  <c r="A65" i="5"/>
  <c r="A66" i="5" l="1"/>
  <c r="W260" i="30"/>
  <c r="A66" i="64"/>
  <c r="A67" i="64" l="1"/>
  <c r="X260" i="30"/>
  <c r="A67" i="5"/>
  <c r="A68" i="5" l="1"/>
  <c r="Y260" i="30"/>
  <c r="A68" i="64"/>
  <c r="C261" i="30" l="1"/>
  <c r="A69" i="5"/>
  <c r="A69" i="64"/>
  <c r="A37" i="6" l="1"/>
  <c r="A37" i="11"/>
  <c r="A38" i="1"/>
  <c r="A38" i="25"/>
  <c r="D261" i="30"/>
  <c r="A38" i="6" l="1"/>
  <c r="A39" i="25"/>
  <c r="E261" i="30"/>
  <c r="A38" i="11"/>
  <c r="A39" i="1"/>
  <c r="A32" i="68" s="1"/>
  <c r="A39" i="6" l="1"/>
  <c r="A40" i="1"/>
  <c r="A33" i="68" s="1"/>
  <c r="A40" i="25"/>
  <c r="F261" i="30"/>
  <c r="A39" i="11"/>
  <c r="A40" i="11" l="1"/>
  <c r="A41" i="1"/>
  <c r="A34" i="68" s="1"/>
  <c r="A41" i="25"/>
  <c r="G261" i="30"/>
  <c r="A40" i="6"/>
  <c r="A42" i="1" l="1"/>
  <c r="A35" i="68" s="1"/>
  <c r="A42" i="25"/>
  <c r="H261" i="30"/>
  <c r="A41" i="11"/>
  <c r="A41" i="6"/>
  <c r="A15" i="22"/>
  <c r="A43" i="1" l="1"/>
  <c r="A36" i="68" s="1"/>
  <c r="A42" i="11"/>
  <c r="I261" i="30"/>
  <c r="A16" i="22"/>
  <c r="D231" i="51" s="1"/>
  <c r="A42" i="6"/>
  <c r="A43" i="25"/>
  <c r="C238" i="51"/>
  <c r="C231" i="51"/>
  <c r="A43" i="11" l="1"/>
  <c r="A17" i="22"/>
  <c r="A44" i="1"/>
  <c r="A37" i="68" s="1"/>
  <c r="A43" i="6"/>
  <c r="A44" i="25"/>
  <c r="J261" i="30"/>
  <c r="D238" i="51"/>
  <c r="A18" i="22" l="1"/>
  <c r="F238" i="51" s="1"/>
  <c r="K261" i="30"/>
  <c r="A45" i="25"/>
  <c r="A44" i="6"/>
  <c r="A45" i="1"/>
  <c r="A38" i="68" s="1"/>
  <c r="A44" i="11"/>
  <c r="F231" i="51"/>
  <c r="E231" i="51"/>
  <c r="E238" i="51"/>
  <c r="A70" i="64" l="1"/>
  <c r="L261" i="30"/>
  <c r="A70" i="5"/>
  <c r="A71" i="64" l="1"/>
  <c r="M261" i="30"/>
  <c r="A71" i="5"/>
  <c r="A72" i="5" l="1"/>
  <c r="A72" i="64"/>
  <c r="N261" i="30"/>
  <c r="A73" i="5" l="1"/>
  <c r="A73" i="64"/>
  <c r="O261" i="30"/>
  <c r="A74" i="5" l="1"/>
  <c r="A74" i="64"/>
  <c r="P261" i="30"/>
  <c r="A75" i="64" l="1"/>
  <c r="Q261" i="30"/>
  <c r="A75" i="5"/>
  <c r="A76" i="64" l="1"/>
  <c r="R261" i="30"/>
  <c r="A76" i="5"/>
  <c r="A77" i="64" l="1"/>
  <c r="S261" i="30"/>
  <c r="A77" i="5"/>
  <c r="A78" i="64" l="1"/>
  <c r="T261" i="30"/>
  <c r="A78" i="5"/>
  <c r="U261" i="30" l="1"/>
  <c r="A79" i="5"/>
  <c r="A79" i="64"/>
  <c r="A80" i="5" l="1"/>
  <c r="A80" i="64"/>
  <c r="V261" i="30"/>
  <c r="A81" i="5" l="1"/>
  <c r="W261" i="30"/>
  <c r="A81" i="64"/>
  <c r="A82" i="5" l="1"/>
  <c r="A82" i="64"/>
  <c r="X261" i="30"/>
  <c r="Y261" i="30" l="1"/>
  <c r="A83" i="64"/>
  <c r="A83" i="5"/>
  <c r="C262" i="30" l="1"/>
  <c r="A84" i="5"/>
  <c r="A84" i="64"/>
  <c r="D262" i="30" l="1"/>
  <c r="A45" i="6"/>
  <c r="A46" i="25"/>
  <c r="A46" i="1"/>
  <c r="A45" i="11"/>
  <c r="E262" i="30" l="1"/>
  <c r="A47" i="1"/>
  <c r="A39" i="68" s="1"/>
  <c r="A47" i="25"/>
  <c r="A46" i="11"/>
  <c r="A46" i="6"/>
  <c r="A48" i="25" l="1"/>
  <c r="A47" i="11"/>
  <c r="F262" i="30"/>
  <c r="A48" i="1"/>
  <c r="A40" i="68" s="1"/>
  <c r="A47" i="6"/>
  <c r="A49" i="25" l="1"/>
  <c r="A48" i="11"/>
  <c r="A48" i="6"/>
  <c r="A49" i="1"/>
  <c r="A41" i="68" s="1"/>
  <c r="G262" i="30"/>
  <c r="A49" i="11" l="1"/>
  <c r="A49" i="6"/>
  <c r="A50" i="25"/>
  <c r="H262" i="30"/>
  <c r="A50" i="1"/>
  <c r="A42" i="68" s="1"/>
  <c r="A50" i="6" l="1"/>
  <c r="A50" i="11"/>
  <c r="A51" i="25"/>
  <c r="A51" i="1"/>
  <c r="A43" i="68" s="1"/>
  <c r="I262" i="30"/>
  <c r="A52" i="25" l="1"/>
  <c r="A52" i="1"/>
  <c r="A44" i="68" s="1"/>
  <c r="J262" i="30"/>
  <c r="A51" i="11"/>
  <c r="A51" i="6"/>
  <c r="A52" i="6" l="1"/>
  <c r="K262" i="30"/>
  <c r="A53" i="25"/>
  <c r="A52" i="11"/>
  <c r="A53" i="1"/>
  <c r="A45" i="68" s="1"/>
  <c r="A85" i="5" l="1"/>
  <c r="A85" i="64"/>
  <c r="L262" i="30"/>
  <c r="A86" i="5" l="1"/>
  <c r="A86" i="64"/>
  <c r="M262" i="30"/>
  <c r="A87" i="5" l="1"/>
  <c r="A87" i="64"/>
  <c r="N262" i="30"/>
  <c r="A88" i="5" l="1"/>
  <c r="O262" i="30"/>
  <c r="A88" i="64"/>
  <c r="A89" i="64" l="1"/>
  <c r="P262" i="30"/>
  <c r="A89" i="5"/>
  <c r="A90" i="64" l="1"/>
  <c r="Q262" i="30"/>
  <c r="A90" i="5"/>
  <c r="A91" i="64" l="1"/>
  <c r="R262" i="30"/>
  <c r="A91" i="5"/>
  <c r="A92" i="64" l="1"/>
  <c r="S262" i="30"/>
  <c r="A92" i="5"/>
  <c r="A93" i="64" l="1"/>
  <c r="T262" i="30"/>
  <c r="A93" i="5"/>
  <c r="U262" i="30" l="1"/>
  <c r="A94" i="5"/>
  <c r="A94" i="64"/>
  <c r="A95" i="64" l="1"/>
  <c r="A95" i="5"/>
  <c r="V262" i="30"/>
  <c r="A96" i="5" l="1"/>
  <c r="A96" i="64"/>
  <c r="W262" i="30"/>
  <c r="A97" i="5" l="1"/>
  <c r="A97" i="64"/>
  <c r="X262" i="30"/>
  <c r="A98" i="5" l="1"/>
  <c r="Y262" i="30"/>
  <c r="A98" i="64"/>
  <c r="A99" i="5" l="1"/>
  <c r="A99" i="64"/>
  <c r="C263" i="30"/>
  <c r="D263" i="30" l="1"/>
  <c r="A53" i="11"/>
  <c r="A54" i="1"/>
  <c r="A54" i="25"/>
  <c r="A53" i="6"/>
  <c r="A54" i="6" l="1"/>
  <c r="A54" i="11"/>
  <c r="A55" i="25"/>
  <c r="A55" i="1"/>
  <c r="A46" i="68" s="1"/>
  <c r="E263" i="30"/>
  <c r="A56" i="25" l="1"/>
  <c r="A56" i="1"/>
  <c r="A47" i="68" s="1"/>
  <c r="A55" i="11"/>
  <c r="F263" i="30"/>
  <c r="A55" i="6"/>
  <c r="A57" i="25" l="1"/>
  <c r="A57" i="1"/>
  <c r="A48" i="68" s="1"/>
  <c r="G263" i="30"/>
  <c r="A56" i="11"/>
  <c r="A56" i="6"/>
  <c r="A19" i="22" l="1"/>
  <c r="A57" i="11"/>
  <c r="A58" i="25"/>
  <c r="A58" i="1"/>
  <c r="A49" i="68" s="1"/>
  <c r="A57" i="6"/>
  <c r="H263" i="30"/>
  <c r="A20" i="22" l="1"/>
  <c r="I263" i="30"/>
  <c r="A59" i="1"/>
  <c r="A50" i="68" s="1"/>
  <c r="A58" i="11"/>
  <c r="A59" i="25"/>
  <c r="A58" i="6"/>
  <c r="A60" i="25" l="1"/>
  <c r="A59" i="6"/>
  <c r="A21" i="22"/>
  <c r="A60" i="1"/>
  <c r="A51" i="68" s="1"/>
  <c r="J263" i="30"/>
  <c r="A59" i="11"/>
  <c r="A61" i="1" l="1"/>
  <c r="A52" i="68" s="1"/>
  <c r="A60" i="6"/>
  <c r="A22" i="22"/>
  <c r="A61" i="25"/>
  <c r="A60" i="11"/>
  <c r="K263" i="30"/>
  <c r="L263" i="30" l="1"/>
  <c r="A100" i="5"/>
  <c r="A100" i="64"/>
  <c r="M263" i="30" l="1"/>
  <c r="A101" i="5"/>
  <c r="A101" i="64"/>
  <c r="A102" i="64" l="1"/>
  <c r="N263" i="30"/>
  <c r="A102" i="5"/>
  <c r="A103" i="64" l="1"/>
  <c r="A103" i="5"/>
  <c r="O263" i="30"/>
  <c r="A104" i="64" l="1"/>
  <c r="A104" i="5"/>
  <c r="P263" i="30"/>
  <c r="A105" i="64" l="1"/>
  <c r="A105" i="5"/>
  <c r="Q263" i="30"/>
  <c r="A106" i="64" l="1"/>
  <c r="A106" i="5"/>
  <c r="R263" i="30"/>
  <c r="A107" i="64" l="1"/>
  <c r="S263" i="30"/>
  <c r="A107" i="5"/>
  <c r="A108" i="64" l="1"/>
  <c r="T263" i="30"/>
  <c r="A108" i="5"/>
  <c r="A109" i="5" l="1"/>
  <c r="A109" i="64"/>
  <c r="U263" i="30"/>
  <c r="A110" i="5" l="1"/>
  <c r="V263" i="30"/>
  <c r="A110" i="64"/>
  <c r="A111" i="5" l="1"/>
  <c r="A111" i="64"/>
  <c r="W263" i="30"/>
  <c r="A112" i="5" l="1"/>
  <c r="X263" i="30"/>
  <c r="A112" i="64"/>
  <c r="Y263" i="30" l="1"/>
  <c r="A113" i="5"/>
  <c r="A113" i="64"/>
  <c r="C264" i="30" l="1"/>
  <c r="A114" i="64"/>
  <c r="A114" i="5"/>
  <c r="A61" i="11" l="1"/>
  <c r="A62" i="1"/>
  <c r="A61" i="6"/>
  <c r="A62" i="25"/>
  <c r="D264" i="30"/>
  <c r="A63" i="1" l="1"/>
  <c r="A53" i="68" s="1"/>
  <c r="A62" i="6"/>
  <c r="E264" i="30"/>
  <c r="A63" i="25"/>
  <c r="A62" i="11"/>
  <c r="A64" i="1" l="1"/>
  <c r="A54" i="68" s="1"/>
  <c r="A64" i="25"/>
  <c r="F264" i="30"/>
  <c r="A63" i="6"/>
  <c r="A63" i="11"/>
  <c r="A65" i="1" l="1"/>
  <c r="A55" i="68" s="1"/>
  <c r="A64" i="6"/>
  <c r="A65" i="25"/>
  <c r="A64" i="11"/>
  <c r="G264" i="30"/>
  <c r="A65" i="11" l="1"/>
  <c r="H264" i="30"/>
  <c r="A65" i="6"/>
  <c r="A66" i="1"/>
  <c r="A56" i="68" s="1"/>
  <c r="A66" i="25"/>
  <c r="A66" i="11" l="1"/>
  <c r="A66" i="6"/>
  <c r="I264" i="30"/>
  <c r="A67" i="1"/>
  <c r="A57" i="68" s="1"/>
  <c r="A67" i="25"/>
  <c r="A67" i="11" l="1"/>
  <c r="J264" i="30"/>
  <c r="A68" i="1"/>
  <c r="A58" i="68" s="1"/>
  <c r="A68" i="25"/>
  <c r="A67" i="6"/>
  <c r="A68" i="11" l="1"/>
  <c r="A68" i="6"/>
  <c r="A69" i="1"/>
  <c r="A59" i="68" s="1"/>
  <c r="A69" i="25"/>
  <c r="K264" i="30"/>
  <c r="A115" i="5" l="1"/>
  <c r="A115" i="64"/>
  <c r="L264" i="30"/>
  <c r="A116" i="64" l="1"/>
  <c r="A116" i="5"/>
  <c r="M264" i="30"/>
  <c r="A117" i="5" l="1"/>
  <c r="A117" i="64"/>
  <c r="N264" i="30"/>
  <c r="A118" i="5" l="1"/>
  <c r="O264" i="30"/>
  <c r="A118" i="64"/>
  <c r="P264" i="30" l="1"/>
  <c r="A119" i="64"/>
  <c r="A119" i="5"/>
  <c r="A120" i="64" l="1"/>
  <c r="Q264" i="30"/>
  <c r="A120" i="5"/>
  <c r="A121" i="64" l="1"/>
  <c r="R264" i="30"/>
  <c r="A121" i="5"/>
  <c r="A122" i="64" l="1"/>
  <c r="S264" i="30"/>
  <c r="A122" i="5"/>
  <c r="A123" i="64" l="1"/>
  <c r="T264" i="30"/>
  <c r="A123" i="5"/>
  <c r="A124" i="5" l="1"/>
  <c r="U264" i="30"/>
  <c r="A124" i="64"/>
  <c r="A125" i="5" l="1"/>
  <c r="V264" i="30"/>
  <c r="A125" i="64"/>
  <c r="A126" i="5" l="1"/>
  <c r="A126" i="64"/>
  <c r="W264" i="30"/>
  <c r="A127" i="5" l="1"/>
  <c r="X264" i="30"/>
  <c r="A127" i="64"/>
  <c r="A128" i="5" l="1"/>
  <c r="A128" i="64"/>
  <c r="Y264" i="30"/>
  <c r="A129" i="5" l="1"/>
  <c r="C265" i="30"/>
  <c r="A129" i="64"/>
  <c r="A69" i="6" l="1"/>
  <c r="A69" i="11"/>
  <c r="A70" i="25"/>
  <c r="A70" i="1"/>
  <c r="D265" i="30"/>
  <c r="A70" i="11" l="1"/>
  <c r="A71" i="1"/>
  <c r="A60" i="68" s="1"/>
  <c r="E265" i="30"/>
  <c r="A70" i="6"/>
  <c r="A71" i="25"/>
  <c r="A72" i="25" l="1"/>
  <c r="F265" i="30"/>
  <c r="A71" i="6"/>
  <c r="A71" i="11"/>
  <c r="A72" i="1"/>
  <c r="A61" i="68" s="1"/>
  <c r="A73" i="25" l="1"/>
  <c r="A72" i="11"/>
  <c r="G265" i="30"/>
  <c r="A72" i="6"/>
  <c r="A73" i="1"/>
  <c r="A62" i="68" s="1"/>
  <c r="A23" i="22" l="1"/>
  <c r="A73" i="11"/>
  <c r="A74" i="1"/>
  <c r="A63" i="68" s="1"/>
  <c r="A73" i="6"/>
  <c r="A74" i="25"/>
  <c r="H265" i="30"/>
  <c r="I265" i="30" l="1"/>
  <c r="A75" i="25"/>
  <c r="A74" i="6"/>
  <c r="A24" i="22"/>
  <c r="A75" i="1"/>
  <c r="A64" i="68" s="1"/>
  <c r="A74" i="11"/>
  <c r="A25" i="22" l="1"/>
  <c r="A75" i="11"/>
  <c r="J265" i="30"/>
  <c r="A76" i="1"/>
  <c r="A65" i="68" s="1"/>
  <c r="A75" i="6"/>
  <c r="A76" i="25"/>
  <c r="A26" i="22" l="1"/>
  <c r="A77" i="25"/>
  <c r="A76" i="11"/>
  <c r="A77" i="1"/>
  <c r="A66" i="68" s="1"/>
  <c r="K265" i="30"/>
  <c r="A76" i="6"/>
  <c r="A25" i="5" l="1"/>
  <c r="A25" i="64"/>
  <c r="L265" i="30"/>
  <c r="A26" i="64" l="1"/>
  <c r="M265" i="30"/>
  <c r="A26" i="5"/>
  <c r="C223" i="37"/>
  <c r="W221" i="37" s="1"/>
  <c r="C179" i="37"/>
  <c r="W177" i="37" s="1"/>
  <c r="D179" i="37"/>
  <c r="X177" i="37" s="1"/>
  <c r="D223" i="37"/>
  <c r="X221" i="37" s="1"/>
  <c r="A27" i="5" l="1"/>
  <c r="A27" i="64"/>
  <c r="N265" i="30"/>
  <c r="A28" i="64" l="1"/>
  <c r="O265" i="30"/>
  <c r="A28" i="5"/>
  <c r="F179" i="37" s="1"/>
  <c r="Z177" i="37" s="1"/>
  <c r="E179" i="37"/>
  <c r="Y177" i="37" s="1"/>
  <c r="E223" i="37"/>
  <c r="Y221" i="37" s="1"/>
  <c r="F223" i="37"/>
  <c r="Z221" i="37" s="1"/>
  <c r="A29" i="5" l="1"/>
  <c r="A29" i="64"/>
  <c r="P265" i="30"/>
  <c r="A30" i="5" l="1"/>
  <c r="D224" i="37" s="1"/>
  <c r="X222" i="37" s="1"/>
  <c r="A30" i="64"/>
  <c r="Q265" i="30"/>
  <c r="G179" i="37"/>
  <c r="AA177" i="37" s="1"/>
  <c r="D180" i="37"/>
  <c r="X178" i="37" s="1"/>
  <c r="G223" i="37"/>
  <c r="AA221" i="37" s="1"/>
  <c r="A31" i="5" l="1"/>
  <c r="A31" i="64"/>
  <c r="R265" i="30"/>
  <c r="A32" i="64" l="1"/>
  <c r="A32" i="5"/>
  <c r="F180" i="37" s="1"/>
  <c r="Z178" i="37" s="1"/>
  <c r="S265" i="30"/>
  <c r="E180" i="37"/>
  <c r="Y178" i="37" s="1"/>
  <c r="F224" i="37"/>
  <c r="Z222" i="37" s="1"/>
  <c r="E224" i="37"/>
  <c r="Y222" i="37" s="1"/>
  <c r="A33" i="5" l="1"/>
  <c r="A33" i="64"/>
  <c r="T265" i="30"/>
  <c r="A34" i="64" l="1"/>
  <c r="U265" i="30"/>
  <c r="A34" i="5"/>
  <c r="H224" i="37" s="1"/>
  <c r="AB222" i="37" s="1"/>
  <c r="G180" i="37"/>
  <c r="AA178" i="37" s="1"/>
  <c r="G224" i="37"/>
  <c r="AA222" i="37" s="1"/>
  <c r="H180" i="37"/>
  <c r="AB178" i="37" s="1"/>
  <c r="V265" i="30" l="1"/>
  <c r="A35" i="64"/>
  <c r="A35" i="5"/>
  <c r="A36" i="5" l="1"/>
  <c r="A36" i="64"/>
  <c r="W265" i="30"/>
  <c r="A37" i="64" l="1"/>
  <c r="X265" i="30"/>
  <c r="A37" i="5"/>
  <c r="A38" i="5" l="1"/>
  <c r="Y265" i="30"/>
  <c r="A38" i="64"/>
  <c r="A39" i="5" l="1"/>
  <c r="A39" i="64"/>
  <c r="C266" i="30"/>
  <c r="A77" i="11" l="1"/>
  <c r="D266" i="30"/>
  <c r="A78" i="1"/>
  <c r="A77" i="6"/>
  <c r="A78" i="25"/>
  <c r="A79" i="1" l="1"/>
  <c r="A67" i="68" s="1"/>
  <c r="E266" i="30"/>
  <c r="A78" i="6"/>
  <c r="A78" i="11"/>
  <c r="A79" i="25"/>
  <c r="A80" i="25" l="1"/>
  <c r="A79" i="6"/>
  <c r="F266" i="30"/>
  <c r="A80" i="1"/>
  <c r="A68" i="68" s="1"/>
  <c r="A79" i="11"/>
  <c r="A81" i="25" l="1"/>
  <c r="A80" i="6"/>
  <c r="A80" i="11"/>
  <c r="G266" i="30"/>
  <c r="A81" i="1"/>
  <c r="A69" i="68" s="1"/>
  <c r="A27" i="22" l="1"/>
  <c r="H266" i="30"/>
  <c r="A82" i="25"/>
  <c r="A82" i="1"/>
  <c r="A70" i="68" s="1"/>
  <c r="A81" i="11"/>
  <c r="A81" i="6"/>
  <c r="A82" i="6" l="1"/>
  <c r="A82" i="11"/>
  <c r="A83" i="1"/>
  <c r="A71" i="68" s="1"/>
  <c r="I266" i="30"/>
  <c r="A28" i="22"/>
  <c r="A83" i="25"/>
  <c r="A84" i="1" l="1"/>
  <c r="A72" i="68" s="1"/>
  <c r="A29" i="22"/>
  <c r="A83" i="11"/>
  <c r="A84" i="25"/>
  <c r="J266" i="30"/>
  <c r="A83" i="6"/>
  <c r="A84" i="6" l="1"/>
  <c r="K266" i="30"/>
  <c r="A85" i="25"/>
  <c r="A84" i="11"/>
  <c r="A30" i="22"/>
  <c r="A85" i="1"/>
  <c r="A73" i="68" s="1"/>
  <c r="L266" i="30" l="1"/>
  <c r="A145" i="64"/>
  <c r="A145" i="5"/>
  <c r="A146" i="64" l="1"/>
  <c r="A146" i="5"/>
  <c r="M266" i="30"/>
  <c r="A147" i="5" l="1"/>
  <c r="N266" i="30"/>
  <c r="A147" i="64"/>
  <c r="O266" i="30" l="1"/>
  <c r="A148" i="64"/>
  <c r="A148" i="5"/>
  <c r="A149" i="64" l="1"/>
  <c r="P266" i="30"/>
  <c r="A149" i="5"/>
  <c r="A150" i="64" l="1"/>
  <c r="Q266" i="30"/>
  <c r="A150" i="5"/>
  <c r="A151" i="64" l="1"/>
  <c r="R266" i="30"/>
  <c r="A151" i="5"/>
  <c r="A152" i="64" l="1"/>
  <c r="S266" i="30"/>
  <c r="A152" i="5"/>
  <c r="A153" i="64" l="1"/>
  <c r="T266" i="30"/>
  <c r="A153" i="5"/>
  <c r="A154" i="5" l="1"/>
  <c r="U266" i="30"/>
  <c r="A154" i="64"/>
  <c r="A155" i="5" l="1"/>
  <c r="A155" i="64"/>
  <c r="V266" i="30"/>
  <c r="A156" i="5" l="1"/>
  <c r="W266" i="30"/>
  <c r="A156" i="64"/>
  <c r="A157" i="5" l="1"/>
  <c r="A157" i="64"/>
  <c r="X266" i="30"/>
  <c r="Y266" i="30" l="1"/>
  <c r="A158" i="5"/>
  <c r="A158" i="64"/>
  <c r="C267" i="30" l="1"/>
  <c r="A159" i="5"/>
  <c r="A159" i="64"/>
  <c r="A85" i="6" l="1"/>
  <c r="A86" i="1"/>
  <c r="D267" i="30"/>
  <c r="A85" i="11"/>
  <c r="A86" i="25"/>
  <c r="E267" i="30" l="1"/>
  <c r="A86" i="6"/>
  <c r="A87" i="1"/>
  <c r="A74" i="68" s="1"/>
  <c r="A86" i="11"/>
  <c r="A87" i="25"/>
  <c r="A88" i="25" l="1"/>
  <c r="A87" i="6"/>
  <c r="A87" i="11"/>
  <c r="F267" i="30"/>
  <c r="A88" i="1"/>
  <c r="A75" i="68" s="1"/>
  <c r="A89" i="25" l="1"/>
  <c r="G267" i="30"/>
  <c r="A88" i="11"/>
  <c r="A88" i="6"/>
  <c r="A89" i="1"/>
  <c r="A76" i="68" s="1"/>
  <c r="A31" i="22" l="1"/>
  <c r="H267" i="30"/>
  <c r="A89" i="6"/>
  <c r="A90" i="25"/>
  <c r="A89" i="11"/>
  <c r="A90" i="1"/>
  <c r="A77" i="68" s="1"/>
  <c r="A90" i="6" l="1"/>
  <c r="A91" i="25"/>
  <c r="A32" i="22"/>
  <c r="A91" i="1"/>
  <c r="A78" i="68" s="1"/>
  <c r="A90" i="11"/>
  <c r="I267" i="30"/>
  <c r="A33" i="22" l="1"/>
  <c r="A92" i="25"/>
  <c r="A91" i="11"/>
  <c r="A91" i="6"/>
  <c r="A92" i="1"/>
  <c r="A79" i="68" s="1"/>
  <c r="J267" i="30"/>
  <c r="A34" i="22" l="1"/>
  <c r="A92" i="11"/>
  <c r="A92" i="6"/>
  <c r="A93" i="25"/>
  <c r="K267" i="30"/>
  <c r="A93" i="1"/>
  <c r="A80" i="68" s="1"/>
  <c r="A130" i="5" l="1"/>
  <c r="L267" i="30"/>
  <c r="A130" i="64"/>
  <c r="M267" i="30" l="1"/>
  <c r="A131" i="5"/>
  <c r="A131" i="64"/>
  <c r="A132" i="5" l="1"/>
  <c r="N267" i="30"/>
  <c r="A132" i="64"/>
  <c r="O267" i="30" l="1"/>
  <c r="A133" i="5"/>
  <c r="A133" i="64"/>
  <c r="A134" i="64" l="1"/>
  <c r="P267" i="30"/>
  <c r="A134" i="5"/>
  <c r="A135" i="64" l="1"/>
  <c r="Q267" i="30"/>
  <c r="A135" i="5"/>
  <c r="A136" i="64" l="1"/>
  <c r="R267" i="30"/>
  <c r="A136" i="5"/>
  <c r="A137" i="64" l="1"/>
  <c r="S267" i="30"/>
  <c r="A137" i="5"/>
  <c r="A138" i="64" l="1"/>
  <c r="T267" i="30"/>
  <c r="A138" i="5"/>
  <c r="A139" i="5" l="1"/>
  <c r="A139" i="64"/>
  <c r="U267" i="30"/>
  <c r="A140" i="5" l="1"/>
  <c r="V267" i="30"/>
  <c r="A140" i="64"/>
  <c r="A141" i="5" l="1"/>
  <c r="A141" i="64"/>
  <c r="W267" i="30"/>
  <c r="A142" i="5" l="1"/>
  <c r="A142" i="64"/>
  <c r="X267" i="30"/>
  <c r="Y267" i="30" l="1"/>
  <c r="A143" i="64"/>
  <c r="A143" i="5"/>
  <c r="A144" i="64" l="1"/>
  <c r="C268" i="30"/>
  <c r="A144" i="5"/>
  <c r="A93" i="11" l="1"/>
  <c r="A94" i="25"/>
  <c r="A93" i="6"/>
  <c r="D268" i="30"/>
  <c r="A94" i="1"/>
  <c r="A94" i="11" l="1"/>
  <c r="A94" i="6"/>
  <c r="E268" i="30"/>
  <c r="A95" i="1"/>
  <c r="A81" i="68" s="1"/>
  <c r="A95" i="25"/>
  <c r="A95" i="11" l="1"/>
  <c r="A96" i="25"/>
  <c r="F268" i="30"/>
  <c r="A96" i="1"/>
  <c r="A82" i="68" s="1"/>
  <c r="A95" i="6"/>
  <c r="A97" i="25" l="1"/>
  <c r="A97" i="1"/>
  <c r="A83" i="68" s="1"/>
  <c r="G268" i="30"/>
  <c r="A96" i="6"/>
  <c r="A96" i="11"/>
  <c r="A97" i="6" l="1"/>
  <c r="A97" i="11"/>
  <c r="A98" i="1"/>
  <c r="A84" i="68" s="1"/>
  <c r="H268" i="30"/>
  <c r="A98" i="25"/>
  <c r="A98" i="6" l="1"/>
  <c r="I268" i="30"/>
  <c r="A99" i="1"/>
  <c r="A85" i="68" s="1"/>
  <c r="A98" i="11"/>
  <c r="A99" i="25"/>
  <c r="A99" i="6" l="1"/>
  <c r="J268" i="30"/>
  <c r="A99" i="11"/>
  <c r="A100" i="25"/>
  <c r="A100" i="1"/>
  <c r="A86" i="68" s="1"/>
  <c r="A100" i="6" l="1"/>
  <c r="A100" i="11"/>
  <c r="A101" i="25"/>
  <c r="A101" i="1"/>
  <c r="A87" i="68" s="1"/>
  <c r="K268" i="30"/>
  <c r="A160" i="64" l="1"/>
  <c r="A160" i="5"/>
  <c r="L268" i="30"/>
  <c r="A161" i="5" l="1"/>
  <c r="A161" i="64"/>
  <c r="M268" i="30"/>
  <c r="A162" i="5" l="1"/>
  <c r="A162" i="64"/>
  <c r="N268" i="30"/>
  <c r="A163" i="5" l="1"/>
  <c r="A163" i="64"/>
  <c r="O268" i="30"/>
  <c r="A164" i="64" l="1"/>
  <c r="P268" i="30"/>
  <c r="A164" i="5"/>
  <c r="A165" i="64" l="1"/>
  <c r="A165" i="5"/>
  <c r="Q268" i="30"/>
  <c r="A166" i="64" l="1"/>
  <c r="R268" i="30"/>
  <c r="A166" i="5"/>
  <c r="A167" i="64" l="1"/>
  <c r="S268" i="30"/>
  <c r="A167" i="5"/>
  <c r="A168" i="64" l="1"/>
  <c r="T268" i="30"/>
  <c r="A168" i="5"/>
  <c r="A169" i="5" l="1"/>
  <c r="A169" i="64"/>
  <c r="U268" i="30"/>
  <c r="A170" i="5" l="1"/>
  <c r="V268" i="30"/>
  <c r="A170" i="64"/>
  <c r="A171" i="5" l="1"/>
  <c r="W268" i="30"/>
  <c r="A171" i="64"/>
  <c r="A172" i="5" l="1"/>
  <c r="A172" i="64"/>
  <c r="X268" i="30"/>
  <c r="A173" i="5" l="1"/>
  <c r="Y268" i="30"/>
  <c r="A173" i="64"/>
  <c r="A174" i="5" l="1"/>
  <c r="C269" i="30"/>
  <c r="A174" i="64"/>
  <c r="A102" i="1" l="1"/>
  <c r="A101" i="6"/>
  <c r="A101" i="11"/>
  <c r="D269" i="30"/>
  <c r="A102" i="25"/>
  <c r="A102" i="6" l="1"/>
  <c r="A103" i="1"/>
  <c r="A88" i="68" s="1"/>
  <c r="A103" i="25"/>
  <c r="A102" i="11"/>
  <c r="E269" i="30"/>
  <c r="A104" i="1" l="1"/>
  <c r="A89" i="68" s="1"/>
  <c r="A104" i="25"/>
  <c r="A103" i="11"/>
  <c r="F269" i="30"/>
  <c r="A103" i="6"/>
  <c r="A105" i="25" l="1"/>
  <c r="G269" i="30"/>
  <c r="A104" i="11"/>
  <c r="A104" i="6"/>
  <c r="A105" i="1"/>
  <c r="A90" i="68" s="1"/>
  <c r="A105" i="6" l="1"/>
  <c r="A106" i="25"/>
  <c r="A106" i="1"/>
  <c r="A91" i="68" s="1"/>
  <c r="A105" i="11"/>
  <c r="H269" i="30"/>
  <c r="A106" i="6" l="1"/>
  <c r="A107" i="1"/>
  <c r="A92" i="68" s="1"/>
  <c r="I269" i="30"/>
  <c r="A106" i="11"/>
  <c r="A107" i="25"/>
  <c r="A107" i="6" l="1"/>
  <c r="A107" i="11"/>
  <c r="J269" i="30"/>
  <c r="A108" i="1"/>
  <c r="A93" i="68" s="1"/>
  <c r="A108" i="25"/>
  <c r="A108" i="6" l="1"/>
  <c r="A109" i="25"/>
  <c r="K269" i="30"/>
  <c r="A109" i="1"/>
  <c r="A94" i="68" s="1"/>
  <c r="A108" i="11"/>
  <c r="L269" i="30" l="1"/>
  <c r="A175" i="5"/>
  <c r="A175" i="64"/>
  <c r="A176" i="5" l="1"/>
  <c r="A176" i="64"/>
  <c r="M269" i="30"/>
  <c r="A177" i="64" l="1"/>
  <c r="A177" i="5"/>
  <c r="N269" i="30"/>
  <c r="A178" i="64" l="1"/>
  <c r="A178" i="5"/>
  <c r="O269" i="30"/>
  <c r="A179" i="64" l="1"/>
  <c r="P269" i="30"/>
  <c r="A179" i="5"/>
  <c r="A180" i="64" l="1"/>
  <c r="Q269" i="30"/>
  <c r="A180" i="5"/>
  <c r="R269" i="30" l="1"/>
  <c r="A181" i="64"/>
  <c r="A181" i="5"/>
  <c r="A182" i="64" l="1"/>
  <c r="S269" i="30"/>
  <c r="A182" i="5"/>
  <c r="T269" i="30" l="1"/>
  <c r="A183" i="64"/>
  <c r="A183" i="5"/>
  <c r="A184" i="5" l="1"/>
  <c r="U269" i="30"/>
  <c r="A184" i="64"/>
  <c r="A185" i="5" l="1"/>
  <c r="A185" i="64"/>
  <c r="V269" i="30"/>
  <c r="A186" i="5" l="1"/>
  <c r="W269" i="30"/>
  <c r="A186" i="64"/>
  <c r="A187" i="5" l="1"/>
  <c r="X269" i="30"/>
  <c r="A187" i="64"/>
  <c r="A188" i="5" l="1"/>
  <c r="A188" i="64"/>
  <c r="Y269" i="30"/>
  <c r="A189" i="5" l="1"/>
  <c r="C270" i="30"/>
  <c r="A189" i="64"/>
  <c r="A109" i="11" l="1"/>
  <c r="A109" i="6"/>
  <c r="A110" i="25"/>
  <c r="A110" i="1"/>
  <c r="D270" i="30"/>
  <c r="A110" i="6" l="1"/>
  <c r="A111" i="1"/>
  <c r="A95" i="68" s="1"/>
  <c r="E270" i="30"/>
  <c r="A110" i="11"/>
  <c r="A111" i="25"/>
  <c r="A112" i="25" l="1"/>
  <c r="A111" i="11"/>
  <c r="F270" i="30"/>
  <c r="A111" i="6"/>
  <c r="A112" i="1"/>
  <c r="A96" i="68" s="1"/>
  <c r="A113" i="25" l="1"/>
  <c r="A112" i="11"/>
  <c r="A112" i="6"/>
  <c r="G270" i="30"/>
  <c r="A113" i="1"/>
  <c r="A97" i="68" s="1"/>
  <c r="A35" i="22" l="1"/>
  <c r="A114" i="25"/>
  <c r="A113" i="6"/>
  <c r="A114" i="1"/>
  <c r="A98" i="68" s="1"/>
  <c r="H270" i="30"/>
  <c r="A113" i="11"/>
  <c r="A114" i="6" l="1"/>
  <c r="A115" i="25"/>
  <c r="A36" i="22"/>
  <c r="A114" i="11"/>
  <c r="I270" i="30"/>
  <c r="A115" i="1"/>
  <c r="A99" i="68" s="1"/>
  <c r="A37" i="22" l="1"/>
  <c r="J270" i="30"/>
  <c r="A115" i="11"/>
  <c r="A116" i="25"/>
  <c r="A115" i="6"/>
  <c r="A116" i="1"/>
  <c r="A100" i="68" s="1"/>
  <c r="A117" i="25" l="1"/>
  <c r="K270" i="30"/>
  <c r="A116" i="11"/>
  <c r="A38" i="22"/>
  <c r="A117" i="1"/>
  <c r="A101" i="68" s="1"/>
  <c r="A116" i="6"/>
  <c r="A190" i="5" l="1"/>
  <c r="A190" i="64"/>
  <c r="L270" i="30"/>
  <c r="A191" i="5" l="1"/>
  <c r="M270" i="30"/>
  <c r="A191" i="64"/>
  <c r="A192" i="5" l="1"/>
  <c r="A192" i="64"/>
  <c r="N270" i="30"/>
  <c r="A193" i="5" l="1"/>
  <c r="O270" i="30"/>
  <c r="A193" i="64"/>
  <c r="A194" i="64" l="1"/>
  <c r="A194" i="5"/>
  <c r="P270" i="30"/>
  <c r="A195" i="64" l="1"/>
  <c r="Q270" i="30"/>
  <c r="A195" i="5"/>
  <c r="A196" i="64" l="1"/>
  <c r="R270" i="30"/>
  <c r="A196" i="5"/>
  <c r="A197" i="64" l="1"/>
  <c r="S270" i="30"/>
  <c r="A197" i="5"/>
  <c r="A198" i="64" l="1"/>
  <c r="T270" i="30"/>
  <c r="A198" i="5"/>
  <c r="U270" i="30" l="1"/>
  <c r="A199" i="5"/>
  <c r="A199" i="64"/>
  <c r="A200" i="5" l="1"/>
  <c r="V270" i="30"/>
  <c r="A200" i="64"/>
  <c r="A201" i="5" l="1"/>
  <c r="W270" i="30"/>
  <c r="A201" i="64"/>
  <c r="A202" i="5" l="1"/>
  <c r="X270" i="30"/>
  <c r="A202" i="64"/>
  <c r="Y270" i="30" l="1"/>
  <c r="A203" i="64"/>
  <c r="A203" i="5"/>
  <c r="A204" i="5" l="1"/>
  <c r="A204" i="64"/>
  <c r="C271" i="30"/>
  <c r="A117" i="6" l="1"/>
  <c r="A118" i="1"/>
  <c r="D271" i="30"/>
  <c r="A117" i="11"/>
  <c r="A118" i="25"/>
  <c r="E271" i="30" l="1"/>
  <c r="A119" i="1"/>
  <c r="A102" i="68" s="1"/>
  <c r="A118" i="6"/>
  <c r="A118" i="11"/>
  <c r="A119" i="25"/>
  <c r="A120" i="25" l="1"/>
  <c r="F271" i="30"/>
  <c r="A119" i="11"/>
  <c r="A120" i="1"/>
  <c r="A103" i="68" s="1"/>
  <c r="A119" i="6"/>
  <c r="A121" i="25" l="1"/>
  <c r="A121" i="1"/>
  <c r="A104" i="68" s="1"/>
  <c r="G271" i="30"/>
  <c r="A120" i="6"/>
  <c r="A120" i="11"/>
  <c r="A39" i="22" l="1"/>
  <c r="H271" i="30"/>
  <c r="A122" i="1"/>
  <c r="A105" i="68" s="1"/>
  <c r="A122" i="25"/>
  <c r="A121" i="11"/>
  <c r="A121" i="6"/>
  <c r="A122" i="6" l="1"/>
  <c r="I271" i="30"/>
  <c r="A122" i="11"/>
  <c r="A123" i="1"/>
  <c r="A106" i="68" s="1"/>
  <c r="A123" i="25"/>
  <c r="A40" i="22"/>
  <c r="J271" i="30" l="1"/>
  <c r="A124" i="25"/>
  <c r="A123" i="6"/>
  <c r="A124" i="1"/>
  <c r="A107" i="68" s="1"/>
  <c r="A123" i="11"/>
  <c r="A41" i="22"/>
  <c r="A42" i="22" l="1"/>
  <c r="A124" i="11"/>
  <c r="K271" i="30"/>
  <c r="A124" i="6"/>
  <c r="A125" i="25"/>
  <c r="A125" i="1"/>
  <c r="A108" i="68" s="1"/>
  <c r="A280" i="5" l="1"/>
  <c r="L271" i="30"/>
  <c r="A280" i="64"/>
  <c r="M271" i="30" l="1"/>
  <c r="A281" i="5"/>
  <c r="A281" i="64"/>
  <c r="N271" i="30" l="1"/>
  <c r="A282" i="5"/>
  <c r="A282" i="64"/>
  <c r="A283" i="5" l="1"/>
  <c r="O271" i="30"/>
  <c r="A283" i="64"/>
  <c r="A284" i="64" l="1"/>
  <c r="P271" i="30"/>
  <c r="A284" i="5"/>
  <c r="A285" i="64" l="1"/>
  <c r="Q271" i="30"/>
  <c r="A285" i="5"/>
  <c r="A286" i="64" l="1"/>
  <c r="R271" i="30"/>
  <c r="A286" i="5"/>
  <c r="A287" i="64" l="1"/>
  <c r="S271" i="30"/>
  <c r="A287" i="5"/>
  <c r="A288" i="64" l="1"/>
  <c r="T271" i="30"/>
  <c r="A288" i="5"/>
  <c r="A289" i="5" l="1"/>
  <c r="U271" i="30"/>
  <c r="A289" i="64"/>
  <c r="A290" i="64" l="1"/>
  <c r="A290" i="5"/>
  <c r="V271" i="30"/>
  <c r="A291" i="5" l="1"/>
  <c r="A291" i="64"/>
  <c r="W271" i="30"/>
  <c r="A292" i="5" l="1"/>
  <c r="A292" i="64"/>
  <c r="X271" i="30"/>
  <c r="Y271" i="30" l="1"/>
  <c r="A293" i="5"/>
  <c r="A293" i="64"/>
  <c r="C272" i="30" l="1"/>
  <c r="A294" i="5"/>
  <c r="A294" i="64"/>
  <c r="A126" i="1" l="1"/>
  <c r="A125" i="6"/>
  <c r="A125" i="11"/>
  <c r="A126" i="25"/>
  <c r="D272" i="30"/>
  <c r="A126" i="11" l="1"/>
  <c r="A126" i="6"/>
  <c r="E272" i="30"/>
  <c r="A127" i="25"/>
  <c r="A127" i="1"/>
  <c r="A109" i="68" s="1"/>
  <c r="A128" i="25" l="1"/>
  <c r="A128" i="1"/>
  <c r="A110" i="68" s="1"/>
  <c r="A127" i="11"/>
  <c r="F272" i="30"/>
  <c r="A127" i="6"/>
  <c r="A129" i="25" l="1"/>
  <c r="A128" i="11"/>
  <c r="A128" i="6"/>
  <c r="G272" i="30"/>
  <c r="A129" i="1"/>
  <c r="A111" i="68" s="1"/>
  <c r="A129" i="6" l="1"/>
  <c r="A130" i="25"/>
  <c r="A130" i="1"/>
  <c r="A112" i="68" s="1"/>
  <c r="H272" i="30"/>
  <c r="A129" i="11"/>
  <c r="A130" i="6" l="1"/>
  <c r="I272" i="30"/>
  <c r="A131" i="1"/>
  <c r="A113" i="68" s="1"/>
  <c r="A131" i="25"/>
  <c r="A130" i="11"/>
  <c r="A131" i="6" l="1"/>
  <c r="J272" i="30"/>
  <c r="A132" i="25"/>
  <c r="A131" i="11"/>
  <c r="A132" i="1"/>
  <c r="A114" i="68" s="1"/>
  <c r="A132" i="6" l="1"/>
  <c r="K272" i="30"/>
  <c r="A132" i="11"/>
  <c r="A133" i="25"/>
  <c r="A133" i="1"/>
  <c r="A115" i="68" s="1"/>
  <c r="L272" i="30" l="1"/>
  <c r="A385" i="64"/>
  <c r="A385" i="5"/>
  <c r="A386" i="5" l="1"/>
  <c r="A386" i="64"/>
  <c r="M272" i="30"/>
  <c r="A387" i="64" l="1"/>
  <c r="A387" i="5"/>
  <c r="N272" i="30"/>
  <c r="A388" i="5" l="1"/>
  <c r="A388" i="64"/>
  <c r="O272" i="30"/>
  <c r="A389" i="64" l="1"/>
  <c r="P272" i="30"/>
  <c r="A389" i="5"/>
  <c r="A390" i="64" l="1"/>
  <c r="Q272" i="30"/>
  <c r="A390" i="5"/>
  <c r="A391" i="64" l="1"/>
  <c r="R272" i="30"/>
  <c r="A391" i="5"/>
  <c r="A392" i="64" l="1"/>
  <c r="S272" i="30"/>
  <c r="A392" i="5"/>
  <c r="A393" i="64" l="1"/>
  <c r="T272" i="30"/>
  <c r="A393" i="5"/>
  <c r="A394" i="5" l="1"/>
  <c r="A394" i="64"/>
  <c r="U272" i="30"/>
  <c r="A395" i="5" l="1"/>
  <c r="V272" i="30"/>
  <c r="A395" i="64"/>
  <c r="A396" i="64" l="1"/>
  <c r="A396" i="5"/>
  <c r="W272" i="30"/>
  <c r="A397" i="64" l="1"/>
  <c r="A397" i="5"/>
  <c r="X272" i="30"/>
  <c r="A398" i="5" l="1"/>
  <c r="Y272" i="30"/>
  <c r="A398" i="64"/>
  <c r="A399" i="5" l="1"/>
  <c r="C273" i="30"/>
  <c r="A399" i="64"/>
  <c r="D273" i="30" l="1"/>
  <c r="A133" i="6"/>
  <c r="A133" i="11"/>
  <c r="A134" i="1"/>
  <c r="A134" i="25"/>
  <c r="A134" i="6" l="1"/>
  <c r="A135" i="1"/>
  <c r="A116" i="68" s="1"/>
  <c r="A135" i="25"/>
  <c r="E273" i="30"/>
  <c r="A134" i="11"/>
  <c r="A136" i="25" l="1"/>
  <c r="A135" i="11"/>
  <c r="A136" i="1"/>
  <c r="A117" i="68" s="1"/>
  <c r="F273" i="30"/>
  <c r="A135" i="6"/>
  <c r="A137" i="25" l="1"/>
  <c r="A136" i="11"/>
  <c r="A136" i="6"/>
  <c r="A137" i="1"/>
  <c r="A118" i="68" s="1"/>
  <c r="G273" i="30"/>
  <c r="A137" i="6" l="1"/>
  <c r="A138" i="1"/>
  <c r="A119" i="68" s="1"/>
  <c r="H273" i="30"/>
  <c r="A138" i="25"/>
  <c r="A137" i="11"/>
  <c r="A138" i="6" l="1"/>
  <c r="A139" i="1"/>
  <c r="A120" i="68" s="1"/>
  <c r="I273" i="30"/>
  <c r="A138" i="11"/>
  <c r="A139" i="25"/>
  <c r="A139" i="6" l="1"/>
  <c r="A140" i="25"/>
  <c r="A140" i="1"/>
  <c r="A121" i="68" s="1"/>
  <c r="A139" i="11"/>
  <c r="J273" i="30"/>
  <c r="K273" i="30" l="1"/>
  <c r="A140" i="6"/>
  <c r="A141" i="1"/>
  <c r="A122" i="68" s="1"/>
  <c r="A141" i="25"/>
  <c r="A140" i="11"/>
  <c r="A205" i="5" l="1"/>
  <c r="A205" i="64"/>
  <c r="L273" i="30"/>
  <c r="M273" i="30" l="1"/>
  <c r="A206" i="64"/>
  <c r="A206" i="5"/>
  <c r="N273" i="30" l="1"/>
  <c r="A207" i="64"/>
  <c r="A207" i="5"/>
  <c r="A208" i="5" l="1"/>
  <c r="A208" i="64"/>
  <c r="O273" i="30"/>
  <c r="A209" i="64" l="1"/>
  <c r="P273" i="30"/>
  <c r="A209" i="5"/>
  <c r="A210" i="64" l="1"/>
  <c r="Q273" i="30"/>
  <c r="A210" i="5"/>
  <c r="A211" i="64" l="1"/>
  <c r="R273" i="30"/>
  <c r="A211" i="5"/>
  <c r="S273" i="30" l="1"/>
  <c r="A212" i="5"/>
  <c r="A212" i="64"/>
  <c r="A213" i="64" l="1"/>
  <c r="T273" i="30"/>
  <c r="A213" i="5"/>
  <c r="A214" i="5" l="1"/>
  <c r="U273" i="30"/>
  <c r="A214" i="64"/>
  <c r="A215" i="5" l="1"/>
  <c r="A215" i="64"/>
  <c r="V273" i="30"/>
  <c r="A216" i="5" l="1"/>
  <c r="A216" i="64"/>
  <c r="W273" i="30"/>
  <c r="A217" i="5" l="1"/>
  <c r="A217" i="64"/>
  <c r="X273" i="30"/>
  <c r="A218" i="5" l="1"/>
  <c r="A218" i="64"/>
  <c r="Y273" i="30"/>
  <c r="A219" i="5" l="1"/>
  <c r="C274" i="30"/>
  <c r="A219" i="64"/>
  <c r="A142" i="1" l="1"/>
  <c r="A141" i="6"/>
  <c r="D274" i="30"/>
  <c r="A142" i="25"/>
  <c r="A141" i="11"/>
  <c r="A142" i="11" l="1"/>
  <c r="A142" i="6"/>
  <c r="A143" i="25"/>
  <c r="E274" i="30"/>
  <c r="A143" i="1"/>
  <c r="A123" i="68" s="1"/>
  <c r="A144" i="25" l="1"/>
  <c r="F274" i="30"/>
  <c r="A143" i="6"/>
  <c r="A144" i="1"/>
  <c r="A124" i="68" s="1"/>
  <c r="A143" i="11"/>
  <c r="A145" i="1" l="1"/>
  <c r="A125" i="68" s="1"/>
  <c r="A144" i="11"/>
  <c r="A145" i="25"/>
  <c r="A144" i="6"/>
  <c r="G274" i="30"/>
  <c r="A43" i="22" l="1"/>
  <c r="A146" i="25"/>
  <c r="A145" i="6"/>
  <c r="A146" i="1"/>
  <c r="A126" i="68" s="1"/>
  <c r="H274" i="30"/>
  <c r="A145" i="11"/>
  <c r="A146" i="6" l="1"/>
  <c r="I274" i="30"/>
  <c r="A147" i="1"/>
  <c r="A127" i="68" s="1"/>
  <c r="A147" i="25"/>
  <c r="A146" i="11"/>
  <c r="A44" i="22"/>
  <c r="A45" i="22" l="1"/>
  <c r="A148" i="25"/>
  <c r="A147" i="6"/>
  <c r="J274" i="30"/>
  <c r="A147" i="11"/>
  <c r="A148" i="1"/>
  <c r="A128" i="68" s="1"/>
  <c r="A148" i="11" l="1"/>
  <c r="A46" i="22"/>
  <c r="K274" i="30"/>
  <c r="A148" i="6"/>
  <c r="A149" i="25"/>
  <c r="A149" i="1"/>
  <c r="A129" i="68" s="1"/>
  <c r="A220" i="5" l="1"/>
  <c r="L274" i="30"/>
  <c r="A220" i="64"/>
  <c r="A221" i="5" l="1"/>
  <c r="M274" i="30"/>
  <c r="A221" i="64"/>
  <c r="A222" i="5" l="1"/>
  <c r="N274" i="30"/>
  <c r="A222" i="64"/>
  <c r="O274" i="30" l="1"/>
  <c r="A223" i="5"/>
  <c r="A223" i="64"/>
  <c r="A224" i="64" l="1"/>
  <c r="P274" i="30"/>
  <c r="A224" i="5"/>
  <c r="A225" i="64" l="1"/>
  <c r="A225" i="5"/>
  <c r="Q274" i="30"/>
  <c r="A226" i="64" l="1"/>
  <c r="R274" i="30"/>
  <c r="A226" i="5"/>
  <c r="A227" i="64" l="1"/>
  <c r="S274" i="30"/>
  <c r="A227" i="5"/>
  <c r="A228" i="64" l="1"/>
  <c r="T274" i="30"/>
  <c r="A228" i="5"/>
  <c r="A229" i="5" l="1"/>
  <c r="A229" i="64"/>
  <c r="U274" i="30"/>
  <c r="A230" i="5" l="1"/>
  <c r="V274" i="30"/>
  <c r="A230" i="64"/>
  <c r="A231" i="5" l="1"/>
  <c r="A231" i="64"/>
  <c r="W274" i="30"/>
  <c r="A232" i="5" l="1"/>
  <c r="X274" i="30"/>
  <c r="A232" i="64"/>
  <c r="Y274" i="30" l="1"/>
  <c r="A233" i="5"/>
  <c r="A233" i="64"/>
  <c r="C275" i="30" l="1"/>
  <c r="A234" i="64"/>
  <c r="A234" i="5"/>
  <c r="A149" i="6" l="1"/>
  <c r="A149" i="11"/>
  <c r="D275" i="30"/>
  <c r="A150" i="25"/>
  <c r="A150" i="1"/>
  <c r="A150" i="11" l="1"/>
  <c r="A151" i="1"/>
  <c r="A130" i="68" s="1"/>
  <c r="E275" i="30"/>
  <c r="A150" i="6"/>
  <c r="A151" i="25"/>
  <c r="A152" i="1" l="1"/>
  <c r="A131" i="68" s="1"/>
  <c r="A151" i="11"/>
  <c r="A152" i="25"/>
  <c r="A151" i="6"/>
  <c r="F275" i="30"/>
  <c r="A153" i="25" l="1"/>
  <c r="A152" i="11"/>
  <c r="A153" i="1"/>
  <c r="A132" i="68" s="1"/>
  <c r="G275" i="30"/>
  <c r="A152" i="6"/>
  <c r="A47" i="22" l="1"/>
  <c r="A153" i="11"/>
  <c r="A153" i="6"/>
  <c r="A154" i="1"/>
  <c r="A133" i="68" s="1"/>
  <c r="H275" i="30"/>
  <c r="A154" i="25"/>
  <c r="A154" i="6" l="1"/>
  <c r="A155" i="25"/>
  <c r="A155" i="1"/>
  <c r="A134" i="68" s="1"/>
  <c r="A48" i="22"/>
  <c r="I275" i="30"/>
  <c r="A154" i="11"/>
  <c r="A155" i="11" l="1"/>
  <c r="A155" i="6"/>
  <c r="A156" i="1"/>
  <c r="A135" i="68" s="1"/>
  <c r="A49" i="22"/>
  <c r="A156" i="25"/>
  <c r="J275" i="30"/>
  <c r="A50" i="22" l="1"/>
  <c r="A156" i="6"/>
  <c r="A157" i="25"/>
  <c r="A157" i="1"/>
  <c r="A136" i="68" s="1"/>
  <c r="K275" i="30"/>
  <c r="A156" i="11"/>
  <c r="L275" i="30" l="1"/>
  <c r="A235" i="5"/>
  <c r="A235" i="64"/>
  <c r="M275" i="30" l="1"/>
  <c r="A236" i="5"/>
  <c r="A236" i="64"/>
  <c r="N275" i="30" l="1"/>
  <c r="A237" i="5"/>
  <c r="A237" i="64"/>
  <c r="O275" i="30" l="1"/>
  <c r="A238" i="64"/>
  <c r="A238" i="5"/>
  <c r="A239" i="64" l="1"/>
  <c r="P275" i="30"/>
  <c r="A239" i="5"/>
  <c r="A240" i="64" l="1"/>
  <c r="Q275" i="30"/>
  <c r="A240" i="5"/>
  <c r="A241" i="64" l="1"/>
  <c r="R275" i="30"/>
  <c r="A241" i="5"/>
  <c r="A242" i="64" l="1"/>
  <c r="S275" i="30"/>
  <c r="A242" i="5"/>
  <c r="A243" i="64" l="1"/>
  <c r="T275" i="30"/>
  <c r="A243" i="5"/>
  <c r="A244" i="5" l="1"/>
  <c r="U275" i="30"/>
  <c r="A244" i="64"/>
  <c r="A245" i="5" l="1"/>
  <c r="A245" i="64"/>
  <c r="V275" i="30"/>
  <c r="W275" i="30" l="1"/>
  <c r="A246" i="5"/>
  <c r="A246" i="64"/>
  <c r="A247" i="5" l="1"/>
  <c r="A247" i="64"/>
  <c r="X275" i="30"/>
  <c r="Y275" i="30" l="1"/>
  <c r="A248" i="64"/>
  <c r="A248" i="5"/>
  <c r="C276" i="30" l="1"/>
  <c r="A249" i="64"/>
  <c r="A249" i="5"/>
  <c r="D276" i="30" l="1"/>
  <c r="A158" i="1"/>
  <c r="A157" i="11"/>
  <c r="A157" i="6"/>
  <c r="A158" i="25"/>
  <c r="E276" i="30" l="1"/>
  <c r="A158" i="6"/>
  <c r="A159" i="1"/>
  <c r="A137" i="68" s="1"/>
  <c r="A158" i="11"/>
  <c r="A159" i="25"/>
  <c r="A160" i="25" l="1"/>
  <c r="A159" i="6"/>
  <c r="A159" i="11"/>
  <c r="F276" i="30"/>
  <c r="A160" i="1"/>
  <c r="A138" i="68" s="1"/>
  <c r="A161" i="25" l="1"/>
  <c r="A161" i="1"/>
  <c r="A139" i="68" s="1"/>
  <c r="G276" i="30"/>
  <c r="A160" i="6"/>
  <c r="A160" i="11"/>
  <c r="A51" i="22" l="1"/>
  <c r="A161" i="11"/>
  <c r="A162" i="25"/>
  <c r="A162" i="1"/>
  <c r="A140" i="68" s="1"/>
  <c r="H276" i="30"/>
  <c r="A161" i="6"/>
  <c r="A162" i="11" l="1"/>
  <c r="A52" i="22"/>
  <c r="I276" i="30"/>
  <c r="A163" i="25"/>
  <c r="A162" i="6"/>
  <c r="A163" i="1"/>
  <c r="A141" i="68" s="1"/>
  <c r="A53" i="22" l="1"/>
  <c r="A164" i="25"/>
  <c r="J276" i="30"/>
  <c r="A164" i="1"/>
  <c r="A142" i="68" s="1"/>
  <c r="A163" i="11"/>
  <c r="A163" i="6"/>
  <c r="A54" i="22" l="1"/>
  <c r="A164" i="11"/>
  <c r="A164" i="6"/>
  <c r="A165" i="1"/>
  <c r="A143" i="68" s="1"/>
  <c r="K276" i="30"/>
  <c r="A165" i="25"/>
  <c r="A250" i="5" l="1"/>
  <c r="L276" i="30"/>
  <c r="A250" i="64"/>
  <c r="M276" i="30" l="1"/>
  <c r="A251" i="5"/>
  <c r="A251" i="64"/>
  <c r="N276" i="30" l="1"/>
  <c r="A252" i="5"/>
  <c r="A252" i="64"/>
  <c r="O276" i="30" l="1"/>
  <c r="A253" i="64"/>
  <c r="A253" i="5"/>
  <c r="A254" i="64" l="1"/>
  <c r="P276" i="30"/>
  <c r="A254" i="5"/>
  <c r="A255" i="64" l="1"/>
  <c r="Q276" i="30"/>
  <c r="A255" i="5"/>
  <c r="A256" i="64" l="1"/>
  <c r="R276" i="30"/>
  <c r="A256" i="5"/>
  <c r="A257" i="64" l="1"/>
  <c r="S276" i="30"/>
  <c r="A257" i="5"/>
  <c r="A258" i="64" l="1"/>
  <c r="T276" i="30"/>
  <c r="A258" i="5"/>
  <c r="U276" i="30" l="1"/>
  <c r="A259" i="5"/>
  <c r="A259" i="64"/>
  <c r="A260" i="5" l="1"/>
  <c r="V276" i="30"/>
  <c r="A260" i="64"/>
  <c r="A261" i="5" l="1"/>
  <c r="W276" i="30"/>
  <c r="A261" i="64"/>
  <c r="X276" i="30" l="1"/>
  <c r="A262" i="5"/>
  <c r="A262" i="64"/>
  <c r="Y276" i="30" l="1"/>
  <c r="A263" i="5"/>
  <c r="A263" i="64"/>
  <c r="C277" i="30" l="1"/>
  <c r="A264" i="64"/>
  <c r="A264" i="5"/>
  <c r="A165" i="6" l="1"/>
  <c r="A166" i="1"/>
  <c r="A166" i="25"/>
  <c r="A165" i="11"/>
  <c r="D277" i="30"/>
  <c r="A166" i="11" l="1"/>
  <c r="E277" i="30"/>
  <c r="A167" i="1"/>
  <c r="A144" i="68" s="1"/>
  <c r="A166" i="6"/>
  <c r="A167" i="25"/>
  <c r="A168" i="25" l="1"/>
  <c r="A167" i="11"/>
  <c r="A167" i="6"/>
  <c r="F277" i="30"/>
  <c r="A168" i="1"/>
  <c r="A145" i="68" s="1"/>
  <c r="A169" i="25" l="1"/>
  <c r="A168" i="6"/>
  <c r="G277" i="30"/>
  <c r="A168" i="11"/>
  <c r="A169" i="1"/>
  <c r="A146" i="68" s="1"/>
  <c r="A169" i="6" l="1"/>
  <c r="A169" i="11"/>
  <c r="A170" i="1"/>
  <c r="A147" i="68" s="1"/>
  <c r="H277" i="30"/>
  <c r="A170" i="25"/>
  <c r="A170" i="6" l="1"/>
  <c r="I277" i="30"/>
  <c r="A170" i="11"/>
  <c r="A171" i="1"/>
  <c r="A148" i="68" s="1"/>
  <c r="A171" i="25"/>
  <c r="J277" i="30" l="1"/>
  <c r="A172" i="25"/>
  <c r="A172" i="1"/>
  <c r="A149" i="68" s="1"/>
  <c r="A171" i="11"/>
  <c r="A171" i="6"/>
  <c r="A172" i="6" l="1"/>
  <c r="K277" i="30"/>
  <c r="A173" i="25"/>
  <c r="A172" i="11"/>
  <c r="A173" i="1"/>
  <c r="A150" i="68" s="1"/>
  <c r="A265" i="64" l="1"/>
  <c r="A265" i="5"/>
  <c r="L277" i="30"/>
  <c r="A266" i="5" l="1"/>
  <c r="A266" i="64"/>
  <c r="M277" i="30"/>
  <c r="A267" i="5" l="1"/>
  <c r="A267" i="64"/>
  <c r="N277" i="30"/>
  <c r="O277" i="30" l="1"/>
  <c r="A268" i="64"/>
  <c r="A268" i="5"/>
  <c r="A269" i="64" l="1"/>
  <c r="P277" i="30"/>
  <c r="A269" i="5"/>
  <c r="A275" i="64" l="1"/>
  <c r="Q277" i="30"/>
  <c r="A275" i="5"/>
  <c r="A276" i="64" l="1"/>
  <c r="R277" i="30"/>
  <c r="A276" i="5"/>
  <c r="A277" i="64" l="1"/>
  <c r="A277" i="5"/>
  <c r="S277" i="30"/>
  <c r="A278" i="64" l="1"/>
  <c r="T277" i="30"/>
  <c r="A278" i="5"/>
  <c r="U277" i="30" l="1"/>
  <c r="A279" i="5"/>
  <c r="A279" i="64"/>
  <c r="A270" i="5" l="1"/>
  <c r="A270" i="64"/>
  <c r="V277" i="30"/>
  <c r="A271" i="5" l="1"/>
  <c r="W277" i="30"/>
  <c r="A271" i="64"/>
  <c r="A272" i="5" l="1"/>
  <c r="X277" i="30"/>
  <c r="A272" i="64"/>
  <c r="A273" i="5" l="1"/>
  <c r="Y277" i="30"/>
  <c r="A273" i="64"/>
  <c r="A274" i="5" l="1"/>
  <c r="A274" i="64"/>
  <c r="C278" i="30"/>
  <c r="A173" i="6" l="1"/>
  <c r="A174" i="1"/>
  <c r="A173" i="11"/>
  <c r="A174" i="25"/>
  <c r="D278" i="30"/>
  <c r="E278" i="30" l="1"/>
  <c r="A174" i="6"/>
  <c r="A175" i="25"/>
  <c r="A175" i="1"/>
  <c r="A151" i="68" s="1"/>
  <c r="A174" i="11"/>
  <c r="A176" i="25" l="1"/>
  <c r="F278" i="30"/>
  <c r="A175" i="11"/>
  <c r="A176" i="1"/>
  <c r="A152" i="68" s="1"/>
  <c r="A175" i="6"/>
  <c r="G278" i="30" l="1"/>
  <c r="A176" i="6"/>
  <c r="A177" i="25"/>
  <c r="A176" i="11"/>
  <c r="A177" i="1"/>
  <c r="A153" i="68" s="1"/>
  <c r="A55" i="22" l="1"/>
  <c r="A177" i="11"/>
  <c r="A178" i="25"/>
  <c r="A178" i="1"/>
  <c r="A154" i="68" s="1"/>
  <c r="A177" i="6"/>
  <c r="H278" i="30"/>
  <c r="I278" i="30" l="1"/>
  <c r="A178" i="11"/>
  <c r="A179" i="1"/>
  <c r="A155" i="68" s="1"/>
  <c r="A178" i="6"/>
  <c r="A56" i="22"/>
  <c r="A179" i="25"/>
  <c r="A57" i="22" l="1"/>
  <c r="J278" i="30"/>
  <c r="A179" i="11"/>
  <c r="A180" i="25"/>
  <c r="A180" i="1"/>
  <c r="A156" i="68" s="1"/>
  <c r="A179" i="6"/>
  <c r="A58" i="22" l="1"/>
  <c r="A181" i="25"/>
  <c r="K278" i="30"/>
  <c r="A181" i="1"/>
  <c r="A157" i="68" s="1"/>
  <c r="A180" i="11"/>
  <c r="A180" i="6"/>
  <c r="L278" i="30" l="1"/>
  <c r="A310" i="5"/>
  <c r="A310" i="64"/>
  <c r="A311" i="5" l="1"/>
  <c r="M278" i="30"/>
  <c r="A311" i="64"/>
  <c r="A312" i="5" l="1"/>
  <c r="N278" i="30"/>
  <c r="A312" i="64"/>
  <c r="O278" i="30" l="1"/>
  <c r="A313" i="5"/>
  <c r="A313" i="64"/>
  <c r="A314" i="64" l="1"/>
  <c r="P278" i="30"/>
  <c r="A314" i="5"/>
  <c r="A315" i="64" l="1"/>
  <c r="Q278" i="30"/>
  <c r="A315" i="5"/>
  <c r="A316" i="64" l="1"/>
  <c r="R278" i="30"/>
  <c r="A316" i="5"/>
  <c r="A317" i="64" l="1"/>
  <c r="S278" i="30"/>
  <c r="A317" i="5"/>
  <c r="A318" i="64" l="1"/>
  <c r="T278" i="30"/>
  <c r="A318" i="5"/>
  <c r="U278" i="30" l="1"/>
  <c r="A319" i="5"/>
  <c r="A319" i="64"/>
  <c r="A320" i="5" l="1"/>
  <c r="V278" i="30"/>
  <c r="A320" i="64"/>
  <c r="A321" i="5" l="1"/>
  <c r="A321" i="64"/>
  <c r="W278" i="30"/>
  <c r="A322" i="64" l="1"/>
  <c r="A322" i="5"/>
  <c r="X278" i="30"/>
  <c r="Y278" i="30" l="1"/>
  <c r="A323" i="64"/>
  <c r="A323" i="5"/>
  <c r="C279" i="30" l="1"/>
  <c r="A324" i="64"/>
  <c r="A324" i="5"/>
  <c r="A181" i="6" l="1"/>
  <c r="A182" i="1"/>
  <c r="A182" i="25"/>
  <c r="A181" i="11"/>
  <c r="D279" i="30"/>
  <c r="A183" i="1" l="1"/>
  <c r="A158" i="68" s="1"/>
  <c r="A182" i="11"/>
  <c r="A182" i="6"/>
  <c r="A183" i="25"/>
  <c r="E279" i="30"/>
  <c r="A184" i="1" l="1"/>
  <c r="A159" i="68" s="1"/>
  <c r="F279" i="30"/>
  <c r="A183" i="6"/>
  <c r="A183" i="11"/>
  <c r="A184" i="25"/>
  <c r="A185" i="25" l="1"/>
  <c r="A184" i="11"/>
  <c r="G279" i="30"/>
  <c r="A185" i="1"/>
  <c r="A160" i="68" s="1"/>
  <c r="A184" i="6"/>
  <c r="A185" i="11" l="1"/>
  <c r="A185" i="6"/>
  <c r="H279" i="30"/>
  <c r="A186" i="1"/>
  <c r="A161" i="68" s="1"/>
  <c r="A186" i="25"/>
  <c r="A186" i="6" l="1"/>
  <c r="A186" i="11"/>
  <c r="A187" i="1"/>
  <c r="A162" i="68" s="1"/>
  <c r="A187" i="25"/>
  <c r="I279" i="30"/>
  <c r="A187" i="6" l="1"/>
  <c r="A187" i="11"/>
  <c r="J279" i="30"/>
  <c r="A188" i="1"/>
  <c r="A163" i="68" s="1"/>
  <c r="A188" i="25"/>
  <c r="A188" i="6" l="1"/>
  <c r="A188" i="11"/>
  <c r="K279" i="30"/>
  <c r="A189" i="25"/>
  <c r="A189" i="1"/>
  <c r="A164" i="68" s="1"/>
  <c r="A325" i="5" l="1"/>
  <c r="A325" i="64"/>
  <c r="L279" i="30"/>
  <c r="A326" i="5" l="1"/>
  <c r="A326" i="64"/>
  <c r="M279" i="30"/>
  <c r="A327" i="5" l="1"/>
  <c r="A327" i="64"/>
  <c r="N279" i="30"/>
  <c r="A328" i="5" l="1"/>
  <c r="A328" i="64"/>
  <c r="O279" i="30"/>
  <c r="A329" i="64" l="1"/>
  <c r="P279" i="30"/>
  <c r="A329" i="5"/>
  <c r="A330" i="64" l="1"/>
  <c r="Q279" i="30"/>
  <c r="A330" i="5"/>
  <c r="A331" i="64" l="1"/>
  <c r="R279" i="30"/>
  <c r="A331" i="5"/>
  <c r="A332" i="64" l="1"/>
  <c r="A332" i="5"/>
  <c r="S279" i="30"/>
  <c r="A333" i="64" l="1"/>
  <c r="T279" i="30"/>
  <c r="A333" i="5"/>
  <c r="U279" i="30" l="1"/>
  <c r="A334" i="5"/>
  <c r="A334" i="64"/>
  <c r="V279" i="30" l="1"/>
  <c r="A335" i="5"/>
  <c r="A335" i="64"/>
  <c r="A336" i="5" l="1"/>
  <c r="W279" i="30"/>
  <c r="A336" i="64"/>
  <c r="X279" i="30" l="1"/>
  <c r="A337" i="5"/>
  <c r="A337" i="64"/>
  <c r="A338" i="5" l="1"/>
  <c r="A338" i="64"/>
  <c r="Y279" i="30"/>
  <c r="A339" i="5" l="1"/>
  <c r="C280" i="30"/>
  <c r="A339" i="64"/>
  <c r="A190" i="1" l="1"/>
  <c r="A189" i="6"/>
  <c r="A190" i="25"/>
  <c r="D280" i="30"/>
  <c r="A189" i="11"/>
  <c r="A191" i="1" l="1"/>
  <c r="A165" i="68" s="1"/>
  <c r="A190" i="6"/>
  <c r="E280" i="30"/>
  <c r="A191" i="25"/>
  <c r="A190" i="11"/>
  <c r="A192" i="25" l="1"/>
  <c r="F280" i="30"/>
  <c r="A191" i="11"/>
  <c r="A191" i="6"/>
  <c r="A192" i="1"/>
  <c r="A166" i="68" s="1"/>
  <c r="A193" i="25" l="1"/>
  <c r="G280" i="30"/>
  <c r="A192" i="6"/>
  <c r="A192" i="11"/>
  <c r="A193" i="1"/>
  <c r="A167" i="68" s="1"/>
  <c r="A59" i="22" l="1"/>
  <c r="A193" i="11"/>
  <c r="A194" i="25"/>
  <c r="A194" i="1"/>
  <c r="A168" i="68" s="1"/>
  <c r="H280" i="30"/>
  <c r="A193" i="6"/>
  <c r="I280" i="30" l="1"/>
  <c r="A195" i="25"/>
  <c r="A194" i="6"/>
  <c r="A194" i="11"/>
  <c r="A195" i="1"/>
  <c r="A169" i="68" s="1"/>
  <c r="A60" i="22"/>
  <c r="A61" i="22" l="1"/>
  <c r="A196" i="25"/>
  <c r="J280" i="30"/>
  <c r="A196" i="1"/>
  <c r="A170" i="68" s="1"/>
  <c r="A195" i="6"/>
  <c r="A195" i="11"/>
  <c r="A62" i="22" l="1"/>
  <c r="A197" i="25"/>
  <c r="A196" i="11"/>
  <c r="K280" i="30"/>
  <c r="A197" i="1"/>
  <c r="A171" i="68" s="1"/>
  <c r="A196" i="6"/>
  <c r="A295" i="5" l="1"/>
  <c r="L280" i="30"/>
  <c r="A295" i="64"/>
  <c r="M280" i="30" l="1"/>
  <c r="A296" i="5"/>
  <c r="A296" i="64"/>
  <c r="N280" i="30" l="1"/>
  <c r="A297" i="5"/>
  <c r="A297" i="64"/>
  <c r="O280" i="30" l="1"/>
  <c r="A298" i="5"/>
  <c r="A298" i="64"/>
  <c r="A299" i="64" l="1"/>
  <c r="P280" i="30"/>
  <c r="A299" i="5"/>
  <c r="A300" i="64" l="1"/>
  <c r="Q280" i="30"/>
  <c r="A300" i="5"/>
  <c r="A301" i="64" l="1"/>
  <c r="A301" i="5"/>
  <c r="R280" i="30"/>
  <c r="A302" i="64" l="1"/>
  <c r="S280" i="30"/>
  <c r="A302" i="5"/>
  <c r="A303" i="64" l="1"/>
  <c r="T280" i="30"/>
  <c r="A303" i="5"/>
  <c r="A304" i="5" l="1"/>
  <c r="U280" i="30"/>
  <c r="A304" i="64"/>
  <c r="A305" i="64" l="1"/>
  <c r="A305" i="5"/>
  <c r="V280" i="30"/>
  <c r="A306" i="5" l="1"/>
  <c r="W280" i="30"/>
  <c r="A306" i="64"/>
  <c r="A307" i="5" l="1"/>
  <c r="X280" i="30"/>
  <c r="A307" i="64"/>
  <c r="Y280" i="30" l="1"/>
  <c r="A308" i="5"/>
  <c r="A308" i="64"/>
  <c r="C281" i="30" l="1"/>
  <c r="A309" i="64"/>
  <c r="A309" i="5"/>
  <c r="D281" i="30" l="1"/>
  <c r="A197" i="6"/>
  <c r="A198" i="1"/>
  <c r="A198" i="25"/>
  <c r="A197" i="11"/>
  <c r="E281" i="30" l="1"/>
  <c r="A199" i="1"/>
  <c r="A172" i="68" s="1"/>
  <c r="A198" i="6"/>
  <c r="A199" i="25"/>
  <c r="A198" i="11"/>
  <c r="A200" i="25" l="1"/>
  <c r="F281" i="30"/>
  <c r="A199" i="11"/>
  <c r="A199" i="6"/>
  <c r="A200" i="1"/>
  <c r="A173" i="68" s="1"/>
  <c r="A201" i="25" l="1"/>
  <c r="A201" i="1"/>
  <c r="A174" i="68" s="1"/>
  <c r="G281" i="30"/>
  <c r="A200" i="11"/>
  <c r="A200" i="6"/>
  <c r="A63" i="22" l="1"/>
  <c r="A201" i="11"/>
  <c r="A202" i="25"/>
  <c r="A202" i="1"/>
  <c r="A175" i="68" s="1"/>
  <c r="H281" i="30"/>
  <c r="A201" i="6"/>
  <c r="I281" i="30" l="1"/>
  <c r="A203" i="25"/>
  <c r="A203" i="1"/>
  <c r="A176" i="68" s="1"/>
  <c r="A64" i="22"/>
  <c r="A202" i="6"/>
  <c r="A202" i="11"/>
  <c r="A204" i="25" l="1"/>
  <c r="A203" i="6"/>
  <c r="J281" i="30"/>
  <c r="A204" i="1"/>
  <c r="A177" i="68" s="1"/>
  <c r="A65" i="22"/>
  <c r="A203" i="11"/>
  <c r="A66" i="22" l="1"/>
  <c r="A205" i="25"/>
  <c r="A205" i="1"/>
  <c r="A178" i="68" s="1"/>
  <c r="A204" i="6"/>
  <c r="K281" i="30"/>
  <c r="A204" i="11"/>
  <c r="L281" i="30" l="1"/>
  <c r="A340" i="5"/>
  <c r="A340" i="64"/>
  <c r="A341" i="5" l="1"/>
  <c r="A341" i="64"/>
  <c r="M281" i="30"/>
  <c r="N281" i="30" l="1"/>
  <c r="A342" i="5"/>
  <c r="A342" i="64"/>
  <c r="O281" i="30" l="1"/>
  <c r="A343" i="5"/>
  <c r="A343" i="64"/>
  <c r="A344" i="64" l="1"/>
  <c r="A344" i="5"/>
  <c r="P281" i="30"/>
  <c r="A345" i="64" l="1"/>
  <c r="Q281" i="30"/>
  <c r="A345" i="5"/>
  <c r="A346" i="64" l="1"/>
  <c r="R281" i="30"/>
  <c r="A346" i="5"/>
  <c r="A347" i="64" l="1"/>
  <c r="S281" i="30"/>
  <c r="A347" i="5"/>
  <c r="A348" i="64" l="1"/>
  <c r="T281" i="30"/>
  <c r="A348" i="5"/>
  <c r="U281" i="30" l="1"/>
  <c r="A349" i="5"/>
  <c r="A349" i="64"/>
  <c r="A350" i="5" l="1"/>
  <c r="A350" i="64"/>
  <c r="V281" i="30"/>
  <c r="A351" i="5" l="1"/>
  <c r="A351" i="64"/>
  <c r="W281" i="30"/>
  <c r="X281" i="30" l="1"/>
  <c r="A352" i="5"/>
  <c r="A352" i="64"/>
  <c r="Y281" i="30" l="1"/>
  <c r="A353" i="5"/>
  <c r="A353" i="64"/>
  <c r="C282" i="30" l="1"/>
  <c r="A354" i="5"/>
  <c r="A354" i="64"/>
  <c r="A206" i="1" l="1"/>
  <c r="D282" i="30"/>
  <c r="A205" i="6"/>
  <c r="A206" i="25"/>
  <c r="A205" i="11"/>
  <c r="E282" i="30" l="1"/>
  <c r="A206" i="6"/>
  <c r="A206" i="11"/>
  <c r="A207" i="25"/>
  <c r="A207" i="1"/>
  <c r="A179" i="68" s="1"/>
  <c r="A208" i="25" l="1"/>
  <c r="A207" i="11"/>
  <c r="A207" i="6"/>
  <c r="A208" i="1"/>
  <c r="A180" i="68" s="1"/>
  <c r="F282" i="30"/>
  <c r="A209" i="25" l="1"/>
  <c r="A208" i="11"/>
  <c r="A208" i="6"/>
  <c r="A209" i="1"/>
  <c r="A181" i="68" s="1"/>
  <c r="G282" i="30"/>
  <c r="A67" i="22" l="1"/>
  <c r="A209" i="11"/>
  <c r="A210" i="25"/>
  <c r="A210" i="1"/>
  <c r="A182" i="68" s="1"/>
  <c r="H282" i="30"/>
  <c r="A209" i="6"/>
  <c r="A210" i="6" l="1"/>
  <c r="I282" i="30"/>
  <c r="A211" i="1"/>
  <c r="A183" i="68" s="1"/>
  <c r="A210" i="11"/>
  <c r="A211" i="25"/>
  <c r="A68" i="22"/>
  <c r="A69" i="22" l="1"/>
  <c r="A211" i="11"/>
  <c r="J282" i="30"/>
  <c r="A211" i="6"/>
  <c r="A212" i="1"/>
  <c r="A184" i="68" s="1"/>
  <c r="A212" i="25"/>
  <c r="K282" i="30" l="1"/>
  <c r="A212" i="6"/>
  <c r="A212" i="11"/>
  <c r="A213" i="1"/>
  <c r="A185" i="68" s="1"/>
  <c r="A213" i="25"/>
  <c r="A70" i="22"/>
  <c r="L282" i="30" l="1"/>
  <c r="A355" i="64"/>
  <c r="A355" i="5"/>
  <c r="M282" i="30" l="1"/>
  <c r="A356" i="5"/>
  <c r="A356" i="64"/>
  <c r="N282" i="30" l="1"/>
  <c r="A357" i="5"/>
  <c r="A357" i="64"/>
  <c r="O282" i="30" l="1"/>
  <c r="A358" i="5"/>
  <c r="A358" i="64"/>
  <c r="A359" i="64" l="1"/>
  <c r="P282" i="30"/>
  <c r="A359" i="5"/>
  <c r="A360" i="64" l="1"/>
  <c r="A360" i="5"/>
  <c r="Q282" i="30"/>
  <c r="A361" i="64" l="1"/>
  <c r="R282" i="30"/>
  <c r="A361" i="5"/>
  <c r="S282" i="30" l="1"/>
  <c r="A362" i="5"/>
  <c r="A362" i="64"/>
  <c r="T282" i="30" l="1"/>
  <c r="A363" i="5"/>
  <c r="A363" i="64"/>
  <c r="A364" i="5" l="1"/>
  <c r="A364" i="64"/>
  <c r="U282" i="30"/>
  <c r="A365" i="64" l="1"/>
  <c r="V282" i="30"/>
  <c r="A365" i="5"/>
  <c r="A366" i="5" l="1"/>
  <c r="A366" i="64"/>
  <c r="W282" i="30"/>
  <c r="A367" i="5" l="1"/>
  <c r="A367" i="64"/>
  <c r="X282" i="30"/>
  <c r="Y282" i="30" l="1"/>
  <c r="A368" i="5"/>
  <c r="A368" i="64"/>
  <c r="C283" i="30" l="1"/>
  <c r="A369" i="5"/>
  <c r="A369" i="64"/>
  <c r="D283" i="30" l="1"/>
  <c r="A213" i="11"/>
  <c r="A213" i="6"/>
  <c r="A214" i="25"/>
  <c r="A214" i="1"/>
  <c r="A215" i="1" l="1"/>
  <c r="A186" i="68" s="1"/>
  <c r="A214" i="11"/>
  <c r="A214" i="6"/>
  <c r="E283" i="30"/>
  <c r="A215" i="25"/>
  <c r="A216" i="25" l="1"/>
  <c r="F283" i="30"/>
  <c r="A215" i="6"/>
  <c r="A216" i="1"/>
  <c r="A187" i="68" s="1"/>
  <c r="A215" i="11"/>
  <c r="A217" i="25" l="1"/>
  <c r="A217" i="1"/>
  <c r="A188" i="68" s="1"/>
  <c r="G283" i="30"/>
  <c r="A216" i="6"/>
  <c r="A216" i="11"/>
  <c r="H283" i="30" l="1"/>
  <c r="A218" i="1"/>
  <c r="A189" i="68" s="1"/>
  <c r="A217" i="11"/>
  <c r="A218" i="25"/>
  <c r="A217" i="6"/>
  <c r="I283" i="30" l="1"/>
  <c r="A219" i="1"/>
  <c r="A190" i="68" s="1"/>
  <c r="A219" i="25"/>
  <c r="A218" i="6"/>
  <c r="A218" i="11"/>
  <c r="A219" i="6" l="1"/>
  <c r="A220" i="25"/>
  <c r="A220" i="1"/>
  <c r="A191" i="68" s="1"/>
  <c r="A219" i="11"/>
  <c r="J283" i="30"/>
  <c r="A220" i="11" l="1"/>
  <c r="A220" i="6"/>
  <c r="A221" i="1"/>
  <c r="A192" i="68" s="1"/>
  <c r="K283" i="30"/>
  <c r="A221" i="25"/>
  <c r="A370" i="5" l="1"/>
  <c r="A370" i="64"/>
  <c r="L283" i="30"/>
  <c r="A371" i="64" l="1"/>
  <c r="M283" i="30"/>
  <c r="A371" i="5"/>
  <c r="A372" i="5" l="1"/>
  <c r="A372" i="64"/>
  <c r="N283" i="30"/>
  <c r="O283" i="30" l="1"/>
  <c r="A373" i="64"/>
  <c r="A373" i="5"/>
  <c r="A374" i="64" l="1"/>
  <c r="P283" i="30"/>
  <c r="A374" i="5"/>
  <c r="Q283" i="30" l="1"/>
  <c r="A375" i="5"/>
  <c r="A375" i="64"/>
  <c r="R283" i="30" l="1"/>
  <c r="A376" i="64"/>
  <c r="A376" i="5"/>
  <c r="A377" i="64" l="1"/>
  <c r="A377" i="5"/>
  <c r="S283" i="30"/>
  <c r="A378" i="64" l="1"/>
  <c r="T283" i="30"/>
  <c r="A378" i="5"/>
  <c r="A379" i="5" l="1"/>
  <c r="U283" i="30"/>
  <c r="A379" i="64"/>
  <c r="A380" i="5" l="1"/>
  <c r="A380" i="64"/>
  <c r="V283" i="30"/>
  <c r="A381" i="64" l="1"/>
  <c r="W283" i="30"/>
  <c r="A381" i="5"/>
  <c r="A382" i="5" l="1"/>
  <c r="X283" i="30"/>
  <c r="A382" i="64"/>
  <c r="A383" i="5" l="1"/>
  <c r="A383" i="64"/>
  <c r="Y283" i="30"/>
  <c r="A384" i="5" l="1"/>
  <c r="A384" i="64"/>
  <c r="C284" i="30"/>
  <c r="A221" i="6" l="1"/>
  <c r="A222" i="1"/>
  <c r="A222" i="25"/>
  <c r="A221" i="11"/>
  <c r="D284" i="30"/>
  <c r="A222" i="6" l="1"/>
  <c r="A222" i="11"/>
  <c r="A223" i="1"/>
  <c r="A193" i="68" s="1"/>
  <c r="E284" i="30"/>
  <c r="A223" i="25"/>
  <c r="A224" i="25" l="1"/>
  <c r="A224" i="1"/>
  <c r="A194" i="68" s="1"/>
  <c r="A223" i="11"/>
  <c r="F284" i="30"/>
  <c r="A223" i="6"/>
  <c r="A225" i="25" l="1"/>
  <c r="G284" i="30"/>
  <c r="A224" i="6"/>
  <c r="A225" i="1"/>
  <c r="A195" i="68" s="1"/>
  <c r="A224" i="11"/>
  <c r="A225" i="6" l="1"/>
  <c r="H284" i="30"/>
  <c r="A226" i="1"/>
  <c r="A196" i="68" s="1"/>
  <c r="A226" i="25"/>
  <c r="A225" i="11"/>
  <c r="A226" i="6" l="1"/>
  <c r="A227" i="1"/>
  <c r="A197" i="68" s="1"/>
  <c r="I284" i="30"/>
  <c r="A226" i="11"/>
  <c r="A227" i="25"/>
  <c r="A227" i="6" l="1"/>
  <c r="A227" i="11"/>
  <c r="A228" i="1"/>
  <c r="A198" i="68" s="1"/>
  <c r="J284" i="30"/>
  <c r="A228" i="25"/>
  <c r="A228" i="6" l="1"/>
  <c r="A228" i="11"/>
  <c r="A229" i="1"/>
  <c r="A199" i="68" s="1"/>
  <c r="A229" i="25"/>
  <c r="K284" i="30"/>
  <c r="A400" i="5" l="1"/>
  <c r="L284" i="30"/>
  <c r="A400" i="64"/>
  <c r="A401" i="5" l="1"/>
  <c r="A401" i="64"/>
  <c r="M284" i="30"/>
  <c r="A402" i="5" l="1"/>
  <c r="A402" i="64"/>
  <c r="N284" i="30"/>
  <c r="A403" i="5" l="1"/>
  <c r="A403" i="64"/>
  <c r="O284" i="30"/>
  <c r="A404" i="64" l="1"/>
  <c r="A404" i="5"/>
  <c r="P284" i="30"/>
  <c r="A405" i="64" l="1"/>
  <c r="Q284" i="30"/>
  <c r="A405" i="5"/>
  <c r="R284" i="30" l="1"/>
  <c r="A406" i="5"/>
  <c r="A406" i="64"/>
  <c r="F238" i="48"/>
  <c r="F231" i="35"/>
  <c r="F231" i="55"/>
  <c r="C238" i="44"/>
  <c r="E238" i="50"/>
  <c r="C231" i="56"/>
  <c r="D231" i="48"/>
  <c r="E238" i="35"/>
  <c r="F238" i="55"/>
  <c r="E231" i="48"/>
  <c r="F238" i="35"/>
  <c r="F231" i="56"/>
  <c r="C238" i="43"/>
  <c r="C231" i="37"/>
  <c r="D238" i="43"/>
  <c r="D231" i="44"/>
  <c r="F238" i="52"/>
  <c r="E231" i="44"/>
  <c r="F231" i="53"/>
  <c r="C231" i="54"/>
  <c r="D238" i="39"/>
  <c r="C238" i="54"/>
  <c r="E231" i="56"/>
  <c r="F231" i="43"/>
  <c r="D238" i="52"/>
  <c r="E238" i="56"/>
  <c r="C231" i="44"/>
  <c r="D231" i="37"/>
  <c r="E238" i="43"/>
  <c r="C238" i="50"/>
  <c r="E231" i="53"/>
  <c r="F231" i="39"/>
  <c r="D238" i="50"/>
  <c r="E238" i="55"/>
  <c r="D231" i="54"/>
  <c r="E238" i="39"/>
  <c r="E231" i="54"/>
  <c r="F238" i="39"/>
  <c r="C238" i="48"/>
  <c r="E238" i="54"/>
  <c r="D238" i="48"/>
  <c r="D231" i="50"/>
  <c r="F238" i="56"/>
  <c r="E231" i="39"/>
  <c r="C238" i="37"/>
  <c r="C231" i="48"/>
  <c r="D238" i="35"/>
  <c r="D231" i="56"/>
  <c r="F238" i="53"/>
  <c r="F231" i="48"/>
  <c r="D238" i="56"/>
  <c r="C231" i="50"/>
  <c r="E238" i="48"/>
  <c r="C238" i="55"/>
  <c r="E231" i="37"/>
  <c r="F238" i="43"/>
  <c r="F231" i="44"/>
  <c r="C238" i="35"/>
  <c r="D238" i="55"/>
  <c r="D238" i="37"/>
  <c r="D231" i="38"/>
  <c r="E238" i="44"/>
  <c r="C238" i="52"/>
  <c r="E231" i="38"/>
  <c r="F238" i="44"/>
  <c r="D238" i="54"/>
  <c r="D231" i="35"/>
  <c r="D231" i="55"/>
  <c r="E231" i="35"/>
  <c r="E231" i="55"/>
  <c r="D238" i="53"/>
  <c r="C231" i="43"/>
  <c r="D231" i="52"/>
  <c r="E238" i="37"/>
  <c r="F231" i="54"/>
  <c r="C231" i="35"/>
  <c r="C231" i="55"/>
  <c r="F238" i="54"/>
  <c r="F238" i="38"/>
  <c r="F231" i="50"/>
  <c r="C238" i="39"/>
  <c r="C231" i="52"/>
  <c r="D231" i="43"/>
  <c r="F238" i="50"/>
  <c r="C238" i="56"/>
  <c r="E231" i="43"/>
  <c r="F231" i="52"/>
  <c r="C238" i="38"/>
  <c r="C231" i="53"/>
  <c r="D238" i="38"/>
  <c r="D231" i="39"/>
  <c r="C238" i="53"/>
  <c r="E231" i="50"/>
  <c r="F231" i="37"/>
  <c r="E238" i="53"/>
  <c r="C231" i="38"/>
  <c r="D238" i="44"/>
  <c r="E231" i="52"/>
  <c r="F238" i="37"/>
  <c r="F231" i="38"/>
  <c r="E238" i="52"/>
  <c r="C231" i="39"/>
  <c r="D231" i="53"/>
  <c r="E238" i="38"/>
  <c r="A407" i="64" l="1"/>
  <c r="A407" i="5"/>
  <c r="S284" i="30"/>
  <c r="A408" i="64" l="1"/>
  <c r="A408" i="5"/>
  <c r="T284" i="30"/>
  <c r="A409" i="5" l="1"/>
  <c r="A409" i="64"/>
  <c r="U284" i="30"/>
  <c r="A410" i="5" l="1"/>
  <c r="V284" i="30"/>
  <c r="A410" i="64"/>
  <c r="A411" i="64" l="1"/>
  <c r="A411" i="5"/>
  <c r="W284" i="30"/>
  <c r="A412" i="5" l="1"/>
  <c r="A412" i="64"/>
  <c r="X284" i="30"/>
  <c r="A413" i="5" l="1"/>
  <c r="A413" i="64"/>
  <c r="Y284" i="30"/>
  <c r="A414" i="5" l="1"/>
  <c r="A414" i="64"/>
  <c r="C285" i="30"/>
  <c r="A230" i="1" l="1"/>
  <c r="A229" i="6"/>
  <c r="A230" i="25"/>
  <c r="A229" i="11"/>
  <c r="D285" i="30"/>
  <c r="E285" i="30" l="1"/>
  <c r="A230" i="6"/>
  <c r="A231" i="1"/>
  <c r="A200" i="68" s="1"/>
  <c r="A230" i="11"/>
  <c r="A231" i="25"/>
  <c r="A232" i="25" l="1"/>
  <c r="F285" i="30"/>
  <c r="A231" i="11"/>
  <c r="A232" i="1"/>
  <c r="A201" i="68" s="1"/>
  <c r="A231" i="6"/>
  <c r="A233" i="25" l="1"/>
  <c r="G285" i="30"/>
  <c r="A232" i="11"/>
  <c r="A232" i="6"/>
  <c r="A233" i="1"/>
  <c r="A202" i="68" s="1"/>
  <c r="A71" i="22" l="1"/>
  <c r="A233" i="11"/>
  <c r="A234" i="25"/>
  <c r="A234" i="1"/>
  <c r="A203" i="68" s="1"/>
  <c r="H285" i="30"/>
  <c r="A233" i="6"/>
  <c r="D12" i="35"/>
  <c r="E12" i="35" s="1"/>
  <c r="D12" i="58"/>
  <c r="E12" i="58" s="1"/>
  <c r="D12" i="51"/>
  <c r="D12" i="56"/>
  <c r="E12" i="56" s="1"/>
  <c r="D12" i="34"/>
  <c r="E12" i="34" s="1"/>
  <c r="D12" i="44"/>
  <c r="E12" i="44" s="1"/>
  <c r="D12" i="61"/>
  <c r="E12" i="61" s="1"/>
  <c r="D12" i="39"/>
  <c r="E12" i="39" s="1"/>
  <c r="D12" i="62"/>
  <c r="E12" i="62" s="1"/>
  <c r="D12" i="47"/>
  <c r="E12" i="47" s="1"/>
  <c r="D12" i="38"/>
  <c r="E12" i="38" s="1"/>
  <c r="D12" i="53"/>
  <c r="E12" i="53" s="1"/>
  <c r="D12" i="57"/>
  <c r="E12" i="57" s="1"/>
  <c r="D12" i="42"/>
  <c r="E12" i="42" s="1"/>
  <c r="D12" i="52"/>
  <c r="E12" i="52" s="1"/>
  <c r="D12" i="50"/>
  <c r="E12" i="50" s="1"/>
  <c r="D12" i="37"/>
  <c r="E12" i="37" s="1"/>
  <c r="D12" i="46"/>
  <c r="E12" i="46" s="1"/>
  <c r="D12" i="55"/>
  <c r="E12" i="55" s="1"/>
  <c r="D12" i="36"/>
  <c r="E12" i="36" s="1"/>
  <c r="D12" i="54"/>
  <c r="E12" i="54" s="1"/>
  <c r="D12" i="41"/>
  <c r="E12" i="41" s="1"/>
  <c r="D12" i="48"/>
  <c r="E12" i="48" s="1"/>
  <c r="D12" i="43"/>
  <c r="E12" i="43" s="1"/>
  <c r="A234" i="6" l="1"/>
  <c r="A234" i="11"/>
  <c r="I285" i="30"/>
  <c r="A72" i="22"/>
  <c r="A235" i="1"/>
  <c r="A204" i="68" s="1"/>
  <c r="A235" i="25"/>
  <c r="D231" i="59"/>
  <c r="D238" i="59"/>
  <c r="E12" i="51"/>
  <c r="A73" i="22" l="1"/>
  <c r="A236" i="25"/>
  <c r="J285" i="30"/>
  <c r="A236" i="1"/>
  <c r="A205" i="68" s="1"/>
  <c r="A235" i="6"/>
  <c r="A235" i="11"/>
  <c r="A74" i="22" l="1"/>
  <c r="A237" i="25"/>
  <c r="D12" i="59" s="1"/>
  <c r="E12" i="59" s="1"/>
  <c r="K285" i="30"/>
  <c r="A237" i="1"/>
  <c r="A206" i="68" s="1"/>
  <c r="A236" i="6"/>
  <c r="A236" i="11"/>
  <c r="E238" i="62"/>
  <c r="C238" i="33"/>
  <c r="C231" i="61"/>
  <c r="F238" i="60"/>
  <c r="E238" i="41"/>
  <c r="E238" i="60"/>
  <c r="F231" i="62"/>
  <c r="F231" i="58"/>
  <c r="D238" i="46"/>
  <c r="C231" i="34"/>
  <c r="C238" i="34"/>
  <c r="F231" i="34"/>
  <c r="F238" i="36"/>
  <c r="C231" i="57"/>
  <c r="C231" i="41"/>
  <c r="E231" i="41"/>
  <c r="D231" i="58"/>
  <c r="F238" i="57"/>
  <c r="D238" i="61"/>
  <c r="C231" i="60"/>
  <c r="C231" i="42"/>
  <c r="F231" i="60"/>
  <c r="E238" i="58"/>
  <c r="D238" i="41"/>
  <c r="C231" i="58"/>
  <c r="D231" i="42"/>
  <c r="E238" i="61"/>
  <c r="D238" i="33"/>
  <c r="D231" i="61"/>
  <c r="E231" i="61"/>
  <c r="F238" i="41"/>
  <c r="D231" i="47"/>
  <c r="D238" i="58"/>
  <c r="F231" i="36"/>
  <c r="E231" i="60"/>
  <c r="D238" i="34"/>
  <c r="E238" i="34"/>
  <c r="E231" i="47"/>
  <c r="E238" i="47"/>
  <c r="F231" i="59"/>
  <c r="C238" i="36"/>
  <c r="E231" i="58"/>
  <c r="D238" i="42"/>
  <c r="F238" i="34"/>
  <c r="D231" i="60"/>
  <c r="E238" i="36"/>
  <c r="D231" i="33"/>
  <c r="E231" i="42"/>
  <c r="D231" i="41"/>
  <c r="D231" i="34"/>
  <c r="F231" i="47"/>
  <c r="F231" i="46"/>
  <c r="E238" i="57"/>
  <c r="C231" i="33"/>
  <c r="C238" i="47"/>
  <c r="F238" i="58"/>
  <c r="E238" i="33"/>
  <c r="C238" i="58"/>
  <c r="C238" i="61"/>
  <c r="F231" i="33"/>
  <c r="D238" i="47"/>
  <c r="F238" i="42"/>
  <c r="D238" i="57"/>
  <c r="D238" i="36"/>
  <c r="C231" i="62"/>
  <c r="E238" i="46"/>
  <c r="C238" i="57"/>
  <c r="C238" i="60"/>
  <c r="F238" i="46"/>
  <c r="F231" i="61"/>
  <c r="D238" i="62"/>
  <c r="E238" i="59"/>
  <c r="D231" i="46"/>
  <c r="C238" i="46"/>
  <c r="C231" i="36"/>
  <c r="E231" i="36"/>
  <c r="E231" i="34"/>
  <c r="F238" i="47"/>
  <c r="C231" i="47"/>
  <c r="E231" i="46"/>
  <c r="E231" i="62"/>
  <c r="E231" i="33"/>
  <c r="E231" i="59"/>
  <c r="F238" i="33"/>
  <c r="E231" i="57"/>
  <c r="F231" i="42"/>
  <c r="F238" i="62"/>
  <c r="D238" i="60"/>
  <c r="D231" i="57"/>
  <c r="D231" i="36"/>
  <c r="F238" i="59"/>
  <c r="D231" i="62"/>
  <c r="E238" i="42"/>
  <c r="C238" i="42"/>
  <c r="F231" i="41"/>
  <c r="F238" i="61"/>
  <c r="C231" i="46"/>
  <c r="C238" i="41"/>
  <c r="F231" i="57"/>
  <c r="C238" i="62"/>
  <c r="A415" i="64" l="1"/>
  <c r="L285" i="30"/>
  <c r="A415" i="5"/>
  <c r="A416" i="64" l="1"/>
  <c r="A416" i="5"/>
  <c r="M285" i="30"/>
  <c r="A417" i="5" l="1"/>
  <c r="A417" i="64"/>
  <c r="N285" i="30"/>
  <c r="F150" i="48"/>
  <c r="F152" i="48"/>
  <c r="F149" i="48"/>
  <c r="F151" i="48"/>
  <c r="F41" i="48"/>
  <c r="F128" i="48"/>
  <c r="E128" i="48"/>
  <c r="F133" i="48"/>
  <c r="F130" i="48"/>
  <c r="F40" i="48"/>
  <c r="F129" i="48"/>
  <c r="F131" i="48"/>
  <c r="F134" i="48"/>
  <c r="F42" i="48"/>
  <c r="F132" i="48"/>
  <c r="F55" i="48"/>
  <c r="F99" i="48"/>
  <c r="F100" i="48"/>
  <c r="F114" i="48"/>
  <c r="F56" i="48"/>
  <c r="F116" i="48"/>
  <c r="F57" i="48"/>
  <c r="F101" i="48"/>
  <c r="F98" i="48"/>
  <c r="F54" i="48"/>
  <c r="F113" i="48"/>
  <c r="F115" i="48"/>
  <c r="D186" i="48"/>
  <c r="C222" i="61"/>
  <c r="C178" i="61"/>
  <c r="C222" i="42"/>
  <c r="D222" i="35"/>
  <c r="C178" i="62"/>
  <c r="C222" i="47"/>
  <c r="D178" i="35"/>
  <c r="D178" i="38"/>
  <c r="D178" i="42"/>
  <c r="D178" i="39"/>
  <c r="D222" i="57"/>
  <c r="D178" i="34"/>
  <c r="D178" i="54"/>
  <c r="D222" i="61"/>
  <c r="D222" i="50"/>
  <c r="C222" i="35"/>
  <c r="D178" i="62"/>
  <c r="D178" i="56"/>
  <c r="C178" i="35"/>
  <c r="C222" i="43"/>
  <c r="D178" i="46"/>
  <c r="C178" i="39"/>
  <c r="C178" i="56"/>
  <c r="C222" i="55"/>
  <c r="D222" i="46"/>
  <c r="D178" i="57"/>
  <c r="D222" i="37"/>
  <c r="C178" i="36"/>
  <c r="C178" i="48"/>
  <c r="D178" i="48" s="1"/>
  <c r="D178" i="37"/>
  <c r="D222" i="36"/>
  <c r="D222" i="32"/>
  <c r="X220" i="32" s="1"/>
  <c r="C222" i="48"/>
  <c r="D222" i="48" s="1"/>
  <c r="D178" i="43"/>
  <c r="C222" i="54"/>
  <c r="C178" i="32"/>
  <c r="D178" i="53"/>
  <c r="C178" i="54"/>
  <c r="C178" i="46"/>
  <c r="D222" i="44"/>
  <c r="C178" i="59"/>
  <c r="C178" i="53"/>
  <c r="D222" i="39"/>
  <c r="C222" i="51"/>
  <c r="C178" i="42"/>
  <c r="C222" i="33"/>
  <c r="C222" i="57"/>
  <c r="C178" i="44"/>
  <c r="C178" i="37"/>
  <c r="C178" i="55"/>
  <c r="C222" i="46"/>
  <c r="D222" i="62"/>
  <c r="D178" i="61"/>
  <c r="C222" i="39"/>
  <c r="D178" i="47"/>
  <c r="C222" i="56"/>
  <c r="C222" i="37"/>
  <c r="C222" i="62"/>
  <c r="D222" i="41"/>
  <c r="D222" i="56"/>
  <c r="D222" i="55"/>
  <c r="D178" i="41"/>
  <c r="C178" i="47"/>
  <c r="C178" i="38"/>
  <c r="C178" i="58"/>
  <c r="C178" i="57"/>
  <c r="C178" i="41"/>
  <c r="D222" i="58"/>
  <c r="D222" i="53"/>
  <c r="D178" i="33"/>
  <c r="X176" i="33" s="1"/>
  <c r="D178" i="32"/>
  <c r="X176" i="32" s="1"/>
  <c r="D178" i="51"/>
  <c r="D222" i="33"/>
  <c r="D178" i="50"/>
  <c r="D222" i="34"/>
  <c r="C222" i="58"/>
  <c r="C222" i="34"/>
  <c r="D178" i="52"/>
  <c r="C222" i="36"/>
  <c r="D178" i="36"/>
  <c r="C222" i="53"/>
  <c r="C222" i="44"/>
  <c r="C178" i="43"/>
  <c r="C178" i="51"/>
  <c r="C222" i="59"/>
  <c r="D222" i="54"/>
  <c r="D222" i="51"/>
  <c r="C178" i="33"/>
  <c r="W176" i="33" s="1"/>
  <c r="D178" i="58"/>
  <c r="D222" i="38"/>
  <c r="D222" i="42"/>
  <c r="D178" i="59"/>
  <c r="D222" i="43"/>
  <c r="D222" i="47"/>
  <c r="C178" i="52"/>
  <c r="C178" i="50"/>
  <c r="C222" i="32"/>
  <c r="W220" i="32" s="1"/>
  <c r="C222" i="38"/>
  <c r="D178" i="55"/>
  <c r="C222" i="41"/>
  <c r="D178" i="44"/>
  <c r="C222" i="52"/>
  <c r="D222" i="52"/>
  <c r="C222" i="50"/>
  <c r="D222" i="59"/>
  <c r="C178" i="34"/>
  <c r="D8" i="35"/>
  <c r="E8" i="35" s="1"/>
  <c r="D8" i="55"/>
  <c r="E8" i="55" s="1"/>
  <c r="D8" i="62"/>
  <c r="E8" i="62" s="1"/>
  <c r="D8" i="48"/>
  <c r="E8" i="48" s="1"/>
  <c r="D8" i="37"/>
  <c r="E8" i="37" s="1"/>
  <c r="D8" i="54"/>
  <c r="E8" i="54" s="1"/>
  <c r="D8" i="50"/>
  <c r="E8" i="50" s="1"/>
  <c r="D8" i="56"/>
  <c r="E8" i="56" s="1"/>
  <c r="D8" i="44"/>
  <c r="E8" i="44" s="1"/>
  <c r="D8" i="34"/>
  <c r="E8" i="34" s="1"/>
  <c r="D8" i="61"/>
  <c r="E8" i="61" s="1"/>
  <c r="D8" i="46"/>
  <c r="D8" i="43"/>
  <c r="E8" i="43" s="1"/>
  <c r="D8" i="53"/>
  <c r="E8" i="53" s="1"/>
  <c r="D8" i="41"/>
  <c r="E8" i="41" s="1"/>
  <c r="D8" i="38"/>
  <c r="E8" i="38" s="1"/>
  <c r="D8" i="52"/>
  <c r="E8" i="52" s="1"/>
  <c r="D8" i="33"/>
  <c r="E8" i="33" s="1"/>
  <c r="D8" i="36"/>
  <c r="E8" i="36" s="1"/>
  <c r="D8" i="57"/>
  <c r="E8" i="57" s="1"/>
  <c r="D8" i="42"/>
  <c r="E8" i="42" s="1"/>
  <c r="D8" i="58"/>
  <c r="E8" i="58" s="1"/>
  <c r="D8" i="47"/>
  <c r="E8" i="47" s="1"/>
  <c r="D8" i="39"/>
  <c r="E8" i="39" s="1"/>
  <c r="D8" i="59"/>
  <c r="E8" i="59" s="1"/>
  <c r="D8" i="51"/>
  <c r="E8" i="46"/>
  <c r="F197" i="44"/>
  <c r="C196" i="48"/>
  <c r="C197" i="47"/>
  <c r="S201" i="47" s="1"/>
  <c r="F196" i="44"/>
  <c r="F196" i="54"/>
  <c r="F197" i="61"/>
  <c r="F197" i="32"/>
  <c r="F197" i="56"/>
  <c r="C196" i="62"/>
  <c r="F197" i="55"/>
  <c r="F197" i="35"/>
  <c r="C197" i="53"/>
  <c r="S201" i="53" s="1"/>
  <c r="F197" i="57"/>
  <c r="C196" i="53"/>
  <c r="C197" i="41"/>
  <c r="S201" i="41" s="1"/>
  <c r="X176" i="48"/>
  <c r="C196" i="38"/>
  <c r="F197" i="34"/>
  <c r="F197" i="39"/>
  <c r="F196" i="33"/>
  <c r="C196" i="57"/>
  <c r="F196" i="41"/>
  <c r="C197" i="57"/>
  <c r="S201" i="57" s="1"/>
  <c r="F196" i="59"/>
  <c r="C197" i="51"/>
  <c r="S201" i="51" s="1"/>
  <c r="F197" i="50"/>
  <c r="C197" i="46"/>
  <c r="S201" i="46" s="1"/>
  <c r="C196" i="51"/>
  <c r="F196" i="62"/>
  <c r="F196" i="55"/>
  <c r="C196" i="43"/>
  <c r="C197" i="42"/>
  <c r="S201" i="42" s="1"/>
  <c r="F196" i="50"/>
  <c r="F197" i="42"/>
  <c r="C197" i="56"/>
  <c r="S201" i="56" s="1"/>
  <c r="F196" i="46"/>
  <c r="C196" i="42"/>
  <c r="F196" i="56"/>
  <c r="C197" i="36"/>
  <c r="S201" i="36" s="1"/>
  <c r="F197" i="52"/>
  <c r="F197" i="58"/>
  <c r="C196" i="54"/>
  <c r="F196" i="39"/>
  <c r="F196" i="36"/>
  <c r="F197" i="41"/>
  <c r="F197" i="37"/>
  <c r="F196" i="57"/>
  <c r="C197" i="37"/>
  <c r="S201" i="37" s="1"/>
  <c r="F196" i="58"/>
  <c r="C197" i="33"/>
  <c r="S201" i="33" s="1"/>
  <c r="C197" i="62"/>
  <c r="F196" i="32"/>
  <c r="F197" i="51"/>
  <c r="C197" i="61"/>
  <c r="S201" i="61" s="1"/>
  <c r="C196" i="47"/>
  <c r="C196" i="58"/>
  <c r="F196" i="35"/>
  <c r="F197" i="47"/>
  <c r="C196" i="34"/>
  <c r="F197" i="43"/>
  <c r="F197" i="33"/>
  <c r="F197" i="53"/>
  <c r="C197" i="52"/>
  <c r="S201" i="52" s="1"/>
  <c r="F196" i="52"/>
  <c r="C196" i="37"/>
  <c r="D196" i="35"/>
  <c r="D196" i="52"/>
  <c r="D197" i="36"/>
  <c r="D196" i="57"/>
  <c r="D196" i="39"/>
  <c r="D196" i="51"/>
  <c r="D196" i="48"/>
  <c r="C196" i="55"/>
  <c r="F196" i="34"/>
  <c r="F197" i="38"/>
  <c r="C197" i="55"/>
  <c r="S201" i="55" s="1"/>
  <c r="C196" i="56"/>
  <c r="D196" i="61"/>
  <c r="D196" i="38"/>
  <c r="F197" i="54"/>
  <c r="F196" i="43"/>
  <c r="C197" i="58"/>
  <c r="S201" i="58" s="1"/>
  <c r="D197" i="35"/>
  <c r="D196" i="47"/>
  <c r="D197" i="50"/>
  <c r="D196" i="34"/>
  <c r="D197" i="59"/>
  <c r="T201" i="59" s="1"/>
  <c r="D197" i="58"/>
  <c r="D197" i="51"/>
  <c r="C196" i="35"/>
  <c r="F196" i="61"/>
  <c r="C197" i="48"/>
  <c r="S201" i="48" s="1"/>
  <c r="C197" i="35"/>
  <c r="S201" i="35" s="1"/>
  <c r="C196" i="36"/>
  <c r="D196" i="42"/>
  <c r="D196" i="58"/>
  <c r="C196" i="44"/>
  <c r="C196" i="33"/>
  <c r="F196" i="47"/>
  <c r="C197" i="44"/>
  <c r="S201" i="44" s="1"/>
  <c r="C196" i="46"/>
  <c r="C197" i="54"/>
  <c r="S201" i="54" s="1"/>
  <c r="D197" i="41"/>
  <c r="D197" i="55"/>
  <c r="D197" i="54"/>
  <c r="D196" i="46"/>
  <c r="D197" i="37"/>
  <c r="D196" i="56"/>
  <c r="D197" i="38"/>
  <c r="D197" i="53"/>
  <c r="F196" i="51"/>
  <c r="C196" i="61"/>
  <c r="C196" i="50"/>
  <c r="F196" i="38"/>
  <c r="D197" i="42"/>
  <c r="C197" i="50"/>
  <c r="S201" i="50" s="1"/>
  <c r="C196" i="52"/>
  <c r="F197" i="62"/>
  <c r="F197" i="59"/>
  <c r="C197" i="34"/>
  <c r="S201" i="34" s="1"/>
  <c r="D196" i="55"/>
  <c r="D196" i="33"/>
  <c r="D196" i="62"/>
  <c r="D197" i="62"/>
  <c r="D197" i="46"/>
  <c r="D196" i="53"/>
  <c r="F196" i="53"/>
  <c r="C197" i="39"/>
  <c r="S201" i="39" s="1"/>
  <c r="C196" i="41"/>
  <c r="F196" i="37"/>
  <c r="F197" i="36"/>
  <c r="C197" i="43"/>
  <c r="S201" i="43" s="1"/>
  <c r="D197" i="48"/>
  <c r="D197" i="61"/>
  <c r="F196" i="42"/>
  <c r="F197" i="46"/>
  <c r="C197" i="38"/>
  <c r="S201" i="38" s="1"/>
  <c r="C196" i="39"/>
  <c r="D196" i="59"/>
  <c r="D197" i="43"/>
  <c r="D196" i="43"/>
  <c r="D196" i="44"/>
  <c r="D196" i="36"/>
  <c r="D196" i="37"/>
  <c r="D196" i="50"/>
  <c r="D197" i="34"/>
  <c r="D196" i="41"/>
  <c r="D197" i="33"/>
  <c r="E197" i="50"/>
  <c r="E197" i="58"/>
  <c r="E196" i="50"/>
  <c r="E196" i="52"/>
  <c r="E196" i="57"/>
  <c r="E197" i="51"/>
  <c r="E197" i="41"/>
  <c r="E196" i="36"/>
  <c r="E196" i="42"/>
  <c r="E196" i="54"/>
  <c r="E196" i="59"/>
  <c r="E197" i="44"/>
  <c r="E196" i="38"/>
  <c r="E196" i="44"/>
  <c r="E196" i="46"/>
  <c r="E197" i="38"/>
  <c r="E197" i="47"/>
  <c r="E196" i="33"/>
  <c r="E196" i="37"/>
  <c r="E196" i="48"/>
  <c r="F196" i="48" s="1"/>
  <c r="E196" i="55"/>
  <c r="E197" i="59"/>
  <c r="E196" i="34"/>
  <c r="E196" i="39"/>
  <c r="E197" i="54"/>
  <c r="E197" i="61"/>
  <c r="U201" i="61" s="1"/>
  <c r="D197" i="39"/>
  <c r="D197" i="57"/>
  <c r="D197" i="56"/>
  <c r="D197" i="52"/>
  <c r="D196" i="54"/>
  <c r="D197" i="47"/>
  <c r="D197" i="44"/>
  <c r="E196" i="53"/>
  <c r="E196" i="62"/>
  <c r="E197" i="56"/>
  <c r="E197" i="55"/>
  <c r="E197" i="62"/>
  <c r="E196" i="35"/>
  <c r="E197" i="39"/>
  <c r="E197" i="48"/>
  <c r="F197" i="48" s="1"/>
  <c r="V201" i="48" s="1"/>
  <c r="E197" i="57"/>
  <c r="E196" i="41"/>
  <c r="E197" i="34"/>
  <c r="E197" i="42"/>
  <c r="E197" i="52"/>
  <c r="E196" i="51"/>
  <c r="E196" i="43"/>
  <c r="E197" i="36"/>
  <c r="E197" i="35"/>
  <c r="E197" i="43"/>
  <c r="E197" i="53"/>
  <c r="E196" i="56"/>
  <c r="E196" i="61"/>
  <c r="E197" i="37"/>
  <c r="E197" i="46"/>
  <c r="E196" i="47"/>
  <c r="E196" i="58"/>
  <c r="E197" i="33"/>
  <c r="D10" i="42"/>
  <c r="E10" i="42" s="1"/>
  <c r="X220" i="34"/>
  <c r="X220" i="57"/>
  <c r="D191" i="43"/>
  <c r="D190" i="58"/>
  <c r="D191" i="47"/>
  <c r="D188" i="59"/>
  <c r="D189" i="38"/>
  <c r="D10" i="43"/>
  <c r="E10" i="43" s="1"/>
  <c r="W220" i="51"/>
  <c r="W220" i="58"/>
  <c r="D190" i="62"/>
  <c r="D189" i="51"/>
  <c r="D10" i="53"/>
  <c r="E10" i="53" s="1"/>
  <c r="X220" i="43"/>
  <c r="D191" i="48"/>
  <c r="D187" i="52"/>
  <c r="D190" i="47"/>
  <c r="D186" i="59"/>
  <c r="D187" i="35"/>
  <c r="D191" i="59"/>
  <c r="D10" i="57"/>
  <c r="E10" i="57" s="1"/>
  <c r="X220" i="48"/>
  <c r="D187" i="36"/>
  <c r="D191" i="52"/>
  <c r="D190" i="39"/>
  <c r="D186" i="33"/>
  <c r="D189" i="37"/>
  <c r="D191" i="46"/>
  <c r="D10" i="61"/>
  <c r="E10" i="61" s="1"/>
  <c r="X220" i="54"/>
  <c r="D189" i="53"/>
  <c r="W220" i="34"/>
  <c r="D188" i="61"/>
  <c r="D188" i="55"/>
  <c r="D190" i="54"/>
  <c r="D187" i="46"/>
  <c r="D10" i="62"/>
  <c r="E10" i="62" s="1"/>
  <c r="W220" i="53"/>
  <c r="X220" i="42"/>
  <c r="D188" i="36"/>
  <c r="D190" i="35"/>
  <c r="D187" i="47"/>
  <c r="D186" i="38"/>
  <c r="D187" i="33"/>
  <c r="X220" i="62"/>
  <c r="D188" i="57"/>
  <c r="W220" i="43"/>
  <c r="D188" i="48"/>
  <c r="D188" i="54"/>
  <c r="D191" i="58"/>
  <c r="D189" i="34"/>
  <c r="D10" i="37"/>
  <c r="E10" i="37" s="1"/>
  <c r="W220" i="61"/>
  <c r="X220" i="53"/>
  <c r="D191" i="53"/>
  <c r="D186" i="58"/>
  <c r="D189" i="42"/>
  <c r="D190" i="50"/>
  <c r="D187" i="59"/>
  <c r="D10" i="44"/>
  <c r="E10" i="44" s="1"/>
  <c r="D10" i="38"/>
  <c r="E10" i="38" s="1"/>
  <c r="D190" i="52"/>
  <c r="W220" i="54"/>
  <c r="D186" i="62"/>
  <c r="D190" i="46"/>
  <c r="D188" i="44"/>
  <c r="D10" i="47"/>
  <c r="E10" i="47" s="1"/>
  <c r="X220" i="38"/>
  <c r="X220" i="61"/>
  <c r="D189" i="57"/>
  <c r="D188" i="51"/>
  <c r="D191" i="62"/>
  <c r="D191" i="56"/>
  <c r="D10" i="48"/>
  <c r="E10" i="48" s="1"/>
  <c r="W220" i="37"/>
  <c r="W220" i="62"/>
  <c r="D186" i="53"/>
  <c r="D189" i="44"/>
  <c r="D189" i="61"/>
  <c r="D190" i="55"/>
  <c r="D189" i="41"/>
  <c r="D10" i="54"/>
  <c r="E10" i="54" s="1"/>
  <c r="W220" i="42"/>
  <c r="X220" i="51"/>
  <c r="D190" i="53"/>
  <c r="D188" i="37"/>
  <c r="D191" i="39"/>
  <c r="D188" i="33"/>
  <c r="D189" i="55"/>
  <c r="D10" i="58"/>
  <c r="E10" i="58" s="1"/>
  <c r="W220" i="47"/>
  <c r="X220" i="37"/>
  <c r="D188" i="43"/>
  <c r="D186" i="35"/>
  <c r="D187" i="39"/>
  <c r="D186" i="41"/>
  <c r="D191" i="33"/>
  <c r="X220" i="58"/>
  <c r="D190" i="43"/>
  <c r="W220" i="38"/>
  <c r="D186" i="47"/>
  <c r="D190" i="56"/>
  <c r="D191" i="35"/>
  <c r="D189" i="50"/>
  <c r="D10" i="51"/>
  <c r="E10" i="51" s="1"/>
  <c r="W220" i="57"/>
  <c r="X220" i="47"/>
  <c r="D189" i="36"/>
  <c r="D186" i="39"/>
  <c r="D187" i="62"/>
  <c r="D186" i="34"/>
  <c r="D187" i="56"/>
  <c r="D10" i="34"/>
  <c r="E10" i="34" s="1"/>
  <c r="D186" i="52"/>
  <c r="W220" i="48"/>
  <c r="D188" i="42"/>
  <c r="D188" i="50"/>
  <c r="D187" i="58"/>
  <c r="D189" i="54"/>
  <c r="D189" i="59"/>
  <c r="D188" i="46"/>
  <c r="D191" i="42"/>
  <c r="D188" i="58"/>
  <c r="D189" i="43"/>
  <c r="X220" i="55"/>
  <c r="D10" i="50"/>
  <c r="E10" i="50" s="1"/>
  <c r="D187" i="54"/>
  <c r="D187" i="51"/>
  <c r="D188" i="34"/>
  <c r="D188" i="62"/>
  <c r="W220" i="36"/>
  <c r="W220" i="39"/>
  <c r="D10" i="52"/>
  <c r="E10" i="52" s="1"/>
  <c r="D187" i="38"/>
  <c r="D186" i="54"/>
  <c r="D188" i="38"/>
  <c r="D188" i="47"/>
  <c r="W220" i="41"/>
  <c r="D186" i="57"/>
  <c r="D191" i="41"/>
  <c r="D190" i="41"/>
  <c r="D189" i="39"/>
  <c r="D186" i="37"/>
  <c r="D190" i="48"/>
  <c r="W220" i="46"/>
  <c r="W220" i="50"/>
  <c r="D191" i="55"/>
  <c r="D186" i="55"/>
  <c r="D187" i="61"/>
  <c r="D190" i="37"/>
  <c r="D190" i="36"/>
  <c r="X220" i="35"/>
  <c r="W220" i="44"/>
  <c r="D10" i="56"/>
  <c r="E10" i="56" s="1"/>
  <c r="D189" i="46"/>
  <c r="D189" i="35"/>
  <c r="D186" i="56"/>
  <c r="D190" i="61"/>
  <c r="D187" i="57"/>
  <c r="D187" i="43"/>
  <c r="D10" i="33"/>
  <c r="D191" i="50"/>
  <c r="D186" i="44"/>
  <c r="W220" i="35"/>
  <c r="D10" i="46"/>
  <c r="E10" i="46" s="1"/>
  <c r="D189" i="56"/>
  <c r="D186" i="50"/>
  <c r="D187" i="42"/>
  <c r="D191" i="44"/>
  <c r="D188" i="53"/>
  <c r="X220" i="39"/>
  <c r="X220" i="36"/>
  <c r="D186" i="42"/>
  <c r="D190" i="57"/>
  <c r="D187" i="41"/>
  <c r="D191" i="54"/>
  <c r="D189" i="58"/>
  <c r="D186" i="46"/>
  <c r="D190" i="42"/>
  <c r="W220" i="52"/>
  <c r="D188" i="52"/>
  <c r="D10" i="36"/>
  <c r="E10" i="36" s="1"/>
  <c r="D191" i="38"/>
  <c r="D190" i="34"/>
  <c r="D189" i="62"/>
  <c r="D186" i="51"/>
  <c r="D189" i="48"/>
  <c r="X220" i="50"/>
  <c r="X220" i="46"/>
  <c r="D10" i="55"/>
  <c r="E10" i="55" s="1"/>
  <c r="D191" i="51"/>
  <c r="D187" i="44"/>
  <c r="D186" i="43"/>
  <c r="X220" i="44"/>
  <c r="W220" i="55"/>
  <c r="D10" i="39"/>
  <c r="E10" i="39" s="1"/>
  <c r="D187" i="50"/>
  <c r="D187" i="37"/>
  <c r="D188" i="41"/>
  <c r="D188" i="39"/>
  <c r="D187" i="53"/>
  <c r="X220" i="59"/>
  <c r="X220" i="56"/>
  <c r="D187" i="34"/>
  <c r="D191" i="37"/>
  <c r="D190" i="33"/>
  <c r="D186" i="61"/>
  <c r="D191" i="36"/>
  <c r="X220" i="52"/>
  <c r="D187" i="55"/>
  <c r="D188" i="56"/>
  <c r="D191" i="61"/>
  <c r="D188" i="35"/>
  <c r="D186" i="36"/>
  <c r="W220" i="56"/>
  <c r="W220" i="59"/>
  <c r="D10" i="35"/>
  <c r="E10" i="35" s="1"/>
  <c r="D189" i="33"/>
  <c r="D190" i="38"/>
  <c r="D189" i="47"/>
  <c r="D190" i="51"/>
  <c r="D191" i="57"/>
  <c r="D187" i="48"/>
  <c r="X220" i="41"/>
  <c r="D10" i="59"/>
  <c r="E10" i="59" s="1"/>
  <c r="D191" i="34"/>
  <c r="D190" i="44"/>
  <c r="D190" i="59"/>
  <c r="D189" i="52"/>
  <c r="D10" i="41"/>
  <c r="E10" i="41" s="1"/>
  <c r="D130" i="47"/>
  <c r="C152" i="47"/>
  <c r="E134" i="42"/>
  <c r="E152" i="35"/>
  <c r="C134" i="61"/>
  <c r="D129" i="52"/>
  <c r="E129" i="46"/>
  <c r="D143" i="52"/>
  <c r="D142" i="35"/>
  <c r="D132" i="48"/>
  <c r="C132" i="58"/>
  <c r="D9" i="42"/>
  <c r="E9" i="42" s="1"/>
  <c r="C133" i="46"/>
  <c r="D133" i="59"/>
  <c r="D138" i="39"/>
  <c r="D141" i="53"/>
  <c r="D144" i="62"/>
  <c r="F132" i="42"/>
  <c r="E131" i="56"/>
  <c r="D131" i="34"/>
  <c r="E151" i="48"/>
  <c r="C151" i="39"/>
  <c r="D149" i="35"/>
  <c r="F150" i="47"/>
  <c r="F131" i="34"/>
  <c r="F151" i="46"/>
  <c r="F150" i="54"/>
  <c r="F41" i="38"/>
  <c r="C42" i="51"/>
  <c r="D7" i="36"/>
  <c r="F41" i="44"/>
  <c r="C42" i="38"/>
  <c r="C48" i="38" s="1"/>
  <c r="C150" i="50"/>
  <c r="S155" i="50" s="1"/>
  <c r="D7" i="50"/>
  <c r="E42" i="41"/>
  <c r="E41" i="41"/>
  <c r="F130" i="50"/>
  <c r="C130" i="54"/>
  <c r="D42" i="42"/>
  <c r="E128" i="52"/>
  <c r="E130" i="61"/>
  <c r="D42" i="57"/>
  <c r="C128" i="61"/>
  <c r="D128" i="34"/>
  <c r="F128" i="42"/>
  <c r="E152" i="54"/>
  <c r="F152" i="34"/>
  <c r="F134" i="47"/>
  <c r="D134" i="61"/>
  <c r="W176" i="41"/>
  <c r="C152" i="54"/>
  <c r="C134" i="34"/>
  <c r="E134" i="46"/>
  <c r="F129" i="57"/>
  <c r="C129" i="37"/>
  <c r="E129" i="38"/>
  <c r="C133" i="50"/>
  <c r="D133" i="62"/>
  <c r="D138" i="44"/>
  <c r="D141" i="57"/>
  <c r="E132" i="35"/>
  <c r="F132" i="46"/>
  <c r="C131" i="47"/>
  <c r="E133" i="53"/>
  <c r="D133" i="51"/>
  <c r="D141" i="61"/>
  <c r="D140" i="47"/>
  <c r="D143" i="58"/>
  <c r="D132" i="47"/>
  <c r="C132" i="62"/>
  <c r="D9" i="41"/>
  <c r="E9" i="41" s="1"/>
  <c r="F131" i="55"/>
  <c r="C151" i="56"/>
  <c r="S156" i="56" s="1"/>
  <c r="E150" i="46"/>
  <c r="E151" i="51"/>
  <c r="D151" i="59"/>
  <c r="E149" i="50"/>
  <c r="U154" i="50" s="1"/>
  <c r="D149" i="52"/>
  <c r="E40" i="59"/>
  <c r="F41" i="56"/>
  <c r="C42" i="50"/>
  <c r="C48" i="50" s="1"/>
  <c r="D150" i="54"/>
  <c r="F40" i="36"/>
  <c r="F41" i="62"/>
  <c r="C42" i="56"/>
  <c r="C150" i="38"/>
  <c r="S155" i="38" s="1"/>
  <c r="E41" i="51"/>
  <c r="E40" i="51"/>
  <c r="E128" i="61"/>
  <c r="D41" i="34"/>
  <c r="D42" i="61"/>
  <c r="E130" i="35"/>
  <c r="D41" i="47"/>
  <c r="C128" i="34"/>
  <c r="D130" i="41"/>
  <c r="C128" i="53"/>
  <c r="D130" i="61"/>
  <c r="C152" i="62"/>
  <c r="C134" i="42"/>
  <c r="E134" i="57"/>
  <c r="D129" i="37"/>
  <c r="E152" i="50"/>
  <c r="D152" i="62"/>
  <c r="F134" i="43"/>
  <c r="D134" i="54"/>
  <c r="E129" i="47"/>
  <c r="F133" i="39"/>
  <c r="D141" i="41"/>
  <c r="D139" i="43"/>
  <c r="D142" i="55"/>
  <c r="E132" i="57"/>
  <c r="C132" i="34"/>
  <c r="C131" i="50"/>
  <c r="E133" i="55"/>
  <c r="D133" i="35"/>
  <c r="D143" i="61"/>
  <c r="D140" i="50"/>
  <c r="D132" i="50"/>
  <c r="D9" i="43"/>
  <c r="E9" i="43" s="1"/>
  <c r="F131" i="57"/>
  <c r="C151" i="41"/>
  <c r="S156" i="41" s="1"/>
  <c r="E149" i="62"/>
  <c r="D149" i="42"/>
  <c r="E150" i="48"/>
  <c r="E151" i="35"/>
  <c r="D151" i="62"/>
  <c r="E149" i="53"/>
  <c r="U154" i="53" s="1"/>
  <c r="D149" i="62"/>
  <c r="E150" i="55"/>
  <c r="F42" i="50"/>
  <c r="C41" i="52"/>
  <c r="C47" i="52" s="1"/>
  <c r="C150" i="47"/>
  <c r="S155" i="47" s="1"/>
  <c r="F42" i="36"/>
  <c r="C41" i="37"/>
  <c r="C47" i="37" s="1"/>
  <c r="C150" i="55"/>
  <c r="S155" i="55" s="1"/>
  <c r="D7" i="44"/>
  <c r="E41" i="39"/>
  <c r="F130" i="43"/>
  <c r="E40" i="39"/>
  <c r="F130" i="44"/>
  <c r="C130" i="48"/>
  <c r="D41" i="41"/>
  <c r="E128" i="46"/>
  <c r="E130" i="57"/>
  <c r="D41" i="55"/>
  <c r="C128" i="56"/>
  <c r="D130" i="62"/>
  <c r="F128" i="37"/>
  <c r="C152" i="35"/>
  <c r="F134" i="61"/>
  <c r="F129" i="43"/>
  <c r="W176" i="56"/>
  <c r="D152" i="36"/>
  <c r="C134" i="48"/>
  <c r="D129" i="38"/>
  <c r="C129" i="53"/>
  <c r="E129" i="34"/>
  <c r="C133" i="44"/>
  <c r="D133" i="58"/>
  <c r="D138" i="38"/>
  <c r="D141" i="50"/>
  <c r="F132" i="41"/>
  <c r="E131" i="55"/>
  <c r="D131" i="37"/>
  <c r="F133" i="41"/>
  <c r="D142" i="41"/>
  <c r="D139" i="44"/>
  <c r="D142" i="57"/>
  <c r="E132" i="56"/>
  <c r="C132" i="37"/>
  <c r="C131" i="48"/>
  <c r="D131" i="62"/>
  <c r="F151" i="42"/>
  <c r="E149" i="36"/>
  <c r="D149" i="36"/>
  <c r="F150" i="55"/>
  <c r="F131" i="41"/>
  <c r="F151" i="54"/>
  <c r="C151" i="46"/>
  <c r="S156" i="46" s="1"/>
  <c r="D149" i="43"/>
  <c r="F41" i="41"/>
  <c r="C42" i="35"/>
  <c r="C48" i="35" s="1"/>
  <c r="D7" i="43"/>
  <c r="F41" i="47"/>
  <c r="C42" i="41"/>
  <c r="C48" i="41" s="1"/>
  <c r="D150" i="52"/>
  <c r="X176" i="44"/>
  <c r="E40" i="52"/>
  <c r="X176" i="41"/>
  <c r="E42" i="50"/>
  <c r="E128" i="37"/>
  <c r="E130" i="48"/>
  <c r="D40" i="53"/>
  <c r="C130" i="42"/>
  <c r="D42" i="38"/>
  <c r="D128" i="42"/>
  <c r="F128" i="52"/>
  <c r="D130" i="37"/>
  <c r="C152" i="37"/>
  <c r="F152" i="52"/>
  <c r="E134" i="51"/>
  <c r="F129" i="46"/>
  <c r="W176" i="58"/>
  <c r="D152" i="58"/>
  <c r="F134" i="58"/>
  <c r="F129" i="35"/>
  <c r="W176" i="47"/>
  <c r="E129" i="61"/>
  <c r="E133" i="41"/>
  <c r="F133" i="55"/>
  <c r="D139" i="51"/>
  <c r="D143" i="43"/>
  <c r="D132" i="38"/>
  <c r="C132" i="48"/>
  <c r="D9" i="51"/>
  <c r="C133" i="36"/>
  <c r="D133" i="50"/>
  <c r="D141" i="46"/>
  <c r="D141" i="38"/>
  <c r="D144" i="50"/>
  <c r="F132" i="51"/>
  <c r="E131" i="46"/>
  <c r="D131" i="46"/>
  <c r="E151" i="58"/>
  <c r="C151" i="54"/>
  <c r="S156" i="54" s="1"/>
  <c r="D149" i="48"/>
  <c r="F150" i="37"/>
  <c r="D131" i="57"/>
  <c r="F151" i="36"/>
  <c r="D151" i="54"/>
  <c r="F149" i="54"/>
  <c r="F150" i="43"/>
  <c r="F42" i="35"/>
  <c r="F40" i="62"/>
  <c r="C41" i="56"/>
  <c r="D150" i="35"/>
  <c r="F42" i="41"/>
  <c r="C40" i="36"/>
  <c r="C41" i="62"/>
  <c r="D7" i="39"/>
  <c r="E40" i="38"/>
  <c r="F130" i="38"/>
  <c r="E42" i="37"/>
  <c r="F130" i="39"/>
  <c r="C130" i="43"/>
  <c r="D40" i="39"/>
  <c r="E128" i="41"/>
  <c r="E130" i="53"/>
  <c r="D40" i="54"/>
  <c r="F128" i="34"/>
  <c r="D128" i="43"/>
  <c r="F128" i="53"/>
  <c r="E152" i="62"/>
  <c r="F152" i="43"/>
  <c r="F134" i="57"/>
  <c r="F129" i="38"/>
  <c r="W176" i="52"/>
  <c r="F152" i="37"/>
  <c r="F134" i="52"/>
  <c r="W176" i="39"/>
  <c r="E129" i="55"/>
  <c r="E133" i="34"/>
  <c r="F133" i="47"/>
  <c r="D140" i="56"/>
  <c r="D139" i="54"/>
  <c r="D143" i="33"/>
  <c r="C132" i="41"/>
  <c r="C131" i="57"/>
  <c r="E133" i="61"/>
  <c r="D133" i="42"/>
  <c r="D142" i="34"/>
  <c r="D140" i="59"/>
  <c r="D144" i="39"/>
  <c r="D132" i="57"/>
  <c r="E131" i="38"/>
  <c r="D9" i="52"/>
  <c r="E9" i="52" s="1"/>
  <c r="D151" i="55"/>
  <c r="F149" i="37"/>
  <c r="C149" i="38"/>
  <c r="S154" i="38" s="1"/>
  <c r="E150" i="56"/>
  <c r="E151" i="42"/>
  <c r="C151" i="53"/>
  <c r="S156" i="53" s="1"/>
  <c r="E149" i="59"/>
  <c r="E150" i="61"/>
  <c r="F42" i="53"/>
  <c r="C40" i="47"/>
  <c r="F41" i="51"/>
  <c r="F42" i="58"/>
  <c r="C40" i="54"/>
  <c r="C150" i="34"/>
  <c r="S155" i="34" s="1"/>
  <c r="E40" i="57"/>
  <c r="X176" i="57"/>
  <c r="E42" i="55"/>
  <c r="E128" i="53"/>
  <c r="E130" i="62"/>
  <c r="D40" i="58"/>
  <c r="C130" i="57"/>
  <c r="D41" i="58"/>
  <c r="D151" i="48"/>
  <c r="D128" i="36"/>
  <c r="F128" i="44"/>
  <c r="C152" i="51"/>
  <c r="F152" i="46"/>
  <c r="F134" i="59"/>
  <c r="F129" i="41"/>
  <c r="W176" i="54"/>
  <c r="D152" i="34"/>
  <c r="C134" i="46"/>
  <c r="E134" i="58"/>
  <c r="D129" i="36"/>
  <c r="C129" i="50"/>
  <c r="C133" i="42"/>
  <c r="D133" i="56"/>
  <c r="D138" i="35"/>
  <c r="D141" i="47"/>
  <c r="D144" i="58"/>
  <c r="F132" i="38"/>
  <c r="E131" i="53"/>
  <c r="D131" i="35"/>
  <c r="F133" i="58"/>
  <c r="D142" i="51"/>
  <c r="D140" i="36"/>
  <c r="D143" i="48"/>
  <c r="D132" i="39"/>
  <c r="C132" i="55"/>
  <c r="D9" i="34"/>
  <c r="E9" i="34" s="1"/>
  <c r="F131" i="47"/>
  <c r="F151" i="59"/>
  <c r="E149" i="54"/>
  <c r="D149" i="37"/>
  <c r="E150" i="38"/>
  <c r="F131" i="58"/>
  <c r="D151" i="41"/>
  <c r="F150" i="38"/>
  <c r="F41" i="34"/>
  <c r="C40" i="55"/>
  <c r="C150" i="41"/>
  <c r="S155" i="41" s="1"/>
  <c r="F41" i="39"/>
  <c r="C42" i="34"/>
  <c r="C48" i="34" s="1"/>
  <c r="C40" i="61"/>
  <c r="D7" i="35"/>
  <c r="E42" i="36"/>
  <c r="F130" i="34"/>
  <c r="E41" i="36"/>
  <c r="F130" i="35"/>
  <c r="C130" i="38"/>
  <c r="D42" i="37"/>
  <c r="E128" i="36"/>
  <c r="E130" i="47"/>
  <c r="D42" i="52"/>
  <c r="C128" i="46"/>
  <c r="D130" i="54"/>
  <c r="C151" i="48"/>
  <c r="E152" i="38"/>
  <c r="D152" i="53"/>
  <c r="F134" i="51"/>
  <c r="D134" i="47"/>
  <c r="D129" i="59"/>
  <c r="C152" i="38"/>
  <c r="F152" i="53"/>
  <c r="F129" i="42"/>
  <c r="W176" i="55"/>
  <c r="C129" i="36"/>
  <c r="E133" i="48"/>
  <c r="F133" i="61"/>
  <c r="D138" i="61"/>
  <c r="D140" i="42"/>
  <c r="D143" i="54"/>
  <c r="D132" i="46"/>
  <c r="C132" i="56"/>
  <c r="D9" i="39"/>
  <c r="E9" i="39" s="1"/>
  <c r="C133" i="43"/>
  <c r="D133" i="57"/>
  <c r="D138" i="36"/>
  <c r="D141" i="48"/>
  <c r="D144" i="59"/>
  <c r="F132" i="39"/>
  <c r="E131" i="54"/>
  <c r="E151" i="46"/>
  <c r="C151" i="52"/>
  <c r="S156" i="52" s="1"/>
  <c r="F149" i="53"/>
  <c r="C149" i="58"/>
  <c r="S154" i="58" s="1"/>
  <c r="D131" i="44"/>
  <c r="E151" i="57"/>
  <c r="U156" i="57" s="1"/>
  <c r="D151" i="52"/>
  <c r="F149" i="41"/>
  <c r="F150" i="33"/>
  <c r="F41" i="33"/>
  <c r="F42" i="57"/>
  <c r="C40" i="53"/>
  <c r="C150" i="43"/>
  <c r="S155" i="43" s="1"/>
  <c r="F41" i="37"/>
  <c r="F47" i="37" s="1"/>
  <c r="C40" i="38"/>
  <c r="C150" i="53"/>
  <c r="S155" i="53" s="1"/>
  <c r="D7" i="47"/>
  <c r="E40" i="41"/>
  <c r="F130" i="46"/>
  <c r="E42" i="39"/>
  <c r="F130" i="47"/>
  <c r="E130" i="38"/>
  <c r="D41" i="48"/>
  <c r="C130" i="51"/>
  <c r="D40" i="36"/>
  <c r="D128" i="51"/>
  <c r="F128" i="41"/>
  <c r="D128" i="52"/>
  <c r="F128" i="59"/>
  <c r="E152" i="41"/>
  <c r="F134" i="35"/>
  <c r="D129" i="61"/>
  <c r="F152" i="55"/>
  <c r="F129" i="44"/>
  <c r="C129" i="38"/>
  <c r="D140" i="61"/>
  <c r="E132" i="42"/>
  <c r="D152" i="35"/>
  <c r="C134" i="47"/>
  <c r="E134" i="61"/>
  <c r="D129" i="42"/>
  <c r="E152" i="55"/>
  <c r="F152" i="35"/>
  <c r="D134" i="58"/>
  <c r="W176" i="37"/>
  <c r="E129" i="53"/>
  <c r="F133" i="44"/>
  <c r="D138" i="56"/>
  <c r="D139" i="50"/>
  <c r="E132" i="61"/>
  <c r="C132" i="38"/>
  <c r="C131" i="55"/>
  <c r="E133" i="59"/>
  <c r="D133" i="39"/>
  <c r="D140" i="34"/>
  <c r="D140" i="57"/>
  <c r="D144" i="36"/>
  <c r="D132" i="55"/>
  <c r="E131" i="36"/>
  <c r="D9" i="48"/>
  <c r="E9" i="48" s="1"/>
  <c r="F131" i="61"/>
  <c r="D151" i="51"/>
  <c r="F149" i="55"/>
  <c r="C149" i="52"/>
  <c r="S154" i="52" s="1"/>
  <c r="D131" i="47"/>
  <c r="E151" i="59"/>
  <c r="D151" i="44"/>
  <c r="F149" i="43"/>
  <c r="F150" i="34"/>
  <c r="F40" i="51"/>
  <c r="F41" i="58"/>
  <c r="C42" i="53"/>
  <c r="C48" i="53" s="1"/>
  <c r="D150" i="57"/>
  <c r="F40" i="38"/>
  <c r="C41" i="51"/>
  <c r="C42" i="58"/>
  <c r="C48" i="58" s="1"/>
  <c r="E42" i="56"/>
  <c r="E48" i="56" s="1"/>
  <c r="E41" i="35"/>
  <c r="E42" i="62"/>
  <c r="E40" i="35"/>
  <c r="E41" i="62"/>
  <c r="C130" i="34"/>
  <c r="D41" i="36"/>
  <c r="E130" i="42"/>
  <c r="D41" i="50"/>
  <c r="C128" i="41"/>
  <c r="D130" i="48"/>
  <c r="E152" i="34"/>
  <c r="D152" i="47"/>
  <c r="D134" i="42"/>
  <c r="D129" i="55"/>
  <c r="C152" i="34"/>
  <c r="F152" i="47"/>
  <c r="F129" i="37"/>
  <c r="W176" i="50"/>
  <c r="C129" i="52"/>
  <c r="E133" i="62"/>
  <c r="D133" i="43"/>
  <c r="D143" i="34"/>
  <c r="D144" i="42"/>
  <c r="E131" i="59"/>
  <c r="E133" i="51"/>
  <c r="F133" i="46"/>
  <c r="D139" i="56"/>
  <c r="D139" i="53"/>
  <c r="D142" i="62"/>
  <c r="C132" i="42"/>
  <c r="C131" i="54"/>
  <c r="F131" i="35"/>
  <c r="F151" i="47"/>
  <c r="E149" i="41"/>
  <c r="U154" i="41" s="1"/>
  <c r="C149" i="42"/>
  <c r="S154" i="42" s="1"/>
  <c r="D131" i="38"/>
  <c r="E151" i="53"/>
  <c r="D151" i="35"/>
  <c r="F149" i="36"/>
  <c r="F150" i="46"/>
  <c r="F41" i="36"/>
  <c r="F42" i="62"/>
  <c r="C40" i="57"/>
  <c r="E41" i="56"/>
  <c r="E47" i="56" s="1"/>
  <c r="F41" i="42"/>
  <c r="C42" i="36"/>
  <c r="C48" i="36" s="1"/>
  <c r="C150" i="58"/>
  <c r="S155" i="58" s="1"/>
  <c r="D7" i="42"/>
  <c r="E42" i="38"/>
  <c r="F130" i="41"/>
  <c r="E41" i="38"/>
  <c r="F130" i="42"/>
  <c r="C130" i="46"/>
  <c r="D42" i="39"/>
  <c r="E128" i="43"/>
  <c r="E130" i="55"/>
  <c r="D42" i="54"/>
  <c r="C128" i="54"/>
  <c r="F128" i="35"/>
  <c r="E152" i="36"/>
  <c r="D152" i="50"/>
  <c r="C134" i="62"/>
  <c r="D134" i="44"/>
  <c r="D129" i="57"/>
  <c r="C152" i="36"/>
  <c r="F152" i="50"/>
  <c r="F134" i="62"/>
  <c r="F129" i="39"/>
  <c r="W176" i="53"/>
  <c r="C129" i="34"/>
  <c r="E133" i="46"/>
  <c r="F133" i="59"/>
  <c r="D143" i="51"/>
  <c r="D140" i="38"/>
  <c r="D143" i="50"/>
  <c r="D132" i="43"/>
  <c r="C132" i="54"/>
  <c r="D9" i="37"/>
  <c r="E9" i="37" s="1"/>
  <c r="C133" i="41"/>
  <c r="D133" i="55"/>
  <c r="D141" i="44"/>
  <c r="D144" i="57"/>
  <c r="F132" i="37"/>
  <c r="E131" i="52"/>
  <c r="D9" i="62"/>
  <c r="E9" i="62" s="1"/>
  <c r="E151" i="43"/>
  <c r="D151" i="39"/>
  <c r="F149" i="50"/>
  <c r="D149" i="34"/>
  <c r="T154" i="34" s="1"/>
  <c r="D131" i="42"/>
  <c r="E151" i="55"/>
  <c r="C151" i="35"/>
  <c r="S156" i="35" s="1"/>
  <c r="F149" i="38"/>
  <c r="C149" i="39"/>
  <c r="E42" i="59"/>
  <c r="E48" i="59" s="1"/>
  <c r="F40" i="57"/>
  <c r="C42" i="57"/>
  <c r="C48" i="57" s="1"/>
  <c r="F40" i="43"/>
  <c r="C42" i="43"/>
  <c r="C48" i="43" s="1"/>
  <c r="C150" i="42"/>
  <c r="S155" i="42" s="1"/>
  <c r="E42" i="46"/>
  <c r="F130" i="62"/>
  <c r="E41" i="46"/>
  <c r="D41" i="56"/>
  <c r="E130" i="36"/>
  <c r="D42" i="47"/>
  <c r="D42" i="56"/>
  <c r="D41" i="35"/>
  <c r="D42" i="62"/>
  <c r="F128" i="38"/>
  <c r="D128" i="48"/>
  <c r="F128" i="57"/>
  <c r="C152" i="55"/>
  <c r="C134" i="35"/>
  <c r="E134" i="50"/>
  <c r="F129" i="62"/>
  <c r="E152" i="42"/>
  <c r="D152" i="56"/>
  <c r="F134" i="36"/>
  <c r="D134" i="46"/>
  <c r="D129" i="58"/>
  <c r="E129" i="39"/>
  <c r="E129" i="54"/>
  <c r="F133" i="51"/>
  <c r="D142" i="37"/>
  <c r="D142" i="44"/>
  <c r="E132" i="50"/>
  <c r="C131" i="42"/>
  <c r="E133" i="47"/>
  <c r="D144" i="51"/>
  <c r="D140" i="39"/>
  <c r="D143" i="53"/>
  <c r="D132" i="42"/>
  <c r="C132" i="57"/>
  <c r="D9" i="36"/>
  <c r="E9" i="36" s="1"/>
  <c r="F131" i="50"/>
  <c r="F151" i="61"/>
  <c r="E149" i="56"/>
  <c r="U154" i="56" s="1"/>
  <c r="C149" i="56"/>
  <c r="S154" i="56" s="1"/>
  <c r="E150" i="41"/>
  <c r="U155" i="41" s="1"/>
  <c r="C151" i="38"/>
  <c r="S156" i="38" s="1"/>
  <c r="E149" i="44"/>
  <c r="D149" i="59"/>
  <c r="E150" i="47"/>
  <c r="U155" i="47" s="1"/>
  <c r="F42" i="47"/>
  <c r="C40" i="42"/>
  <c r="D150" i="38"/>
  <c r="F40" i="41"/>
  <c r="C41" i="35"/>
  <c r="C47" i="35" s="1"/>
  <c r="C42" i="61"/>
  <c r="C48" i="61" s="1"/>
  <c r="D7" i="57"/>
  <c r="E42" i="43"/>
  <c r="F130" i="56"/>
  <c r="E41" i="43"/>
  <c r="F130" i="57"/>
  <c r="C130" i="61"/>
  <c r="D42" i="44"/>
  <c r="E128" i="58"/>
  <c r="D41" i="51"/>
  <c r="D128" i="41"/>
  <c r="F128" i="50"/>
  <c r="E152" i="52"/>
  <c r="F134" i="44"/>
  <c r="D134" i="59"/>
  <c r="W176" i="38"/>
  <c r="D152" i="38"/>
  <c r="F134" i="38"/>
  <c r="D134" i="48"/>
  <c r="E129" i="42"/>
  <c r="E129" i="56"/>
  <c r="F133" i="35"/>
  <c r="D144" i="37"/>
  <c r="D139" i="36"/>
  <c r="D142" i="48"/>
  <c r="E132" i="53"/>
  <c r="F132" i="62"/>
  <c r="C131" i="44"/>
  <c r="E133" i="50"/>
  <c r="F133" i="62"/>
  <c r="D139" i="61"/>
  <c r="D140" i="43"/>
  <c r="D143" i="55"/>
  <c r="D132" i="44"/>
  <c r="D9" i="58"/>
  <c r="E9" i="58" s="1"/>
  <c r="E151" i="38"/>
  <c r="C151" i="43"/>
  <c r="S156" i="43" s="1"/>
  <c r="F149" i="44"/>
  <c r="C149" i="61"/>
  <c r="S154" i="61" s="1"/>
  <c r="E150" i="62"/>
  <c r="E151" i="50"/>
  <c r="C151" i="37"/>
  <c r="S156" i="37" s="1"/>
  <c r="F149" i="34"/>
  <c r="C149" i="34"/>
  <c r="F41" i="59"/>
  <c r="F42" i="55"/>
  <c r="C40" i="50"/>
  <c r="C150" i="62"/>
  <c r="R155" i="62" s="1"/>
  <c r="F41" i="35"/>
  <c r="F47" i="35" s="1"/>
  <c r="F42" i="61"/>
  <c r="F48" i="61" s="1"/>
  <c r="C40" i="56"/>
  <c r="D150" i="46"/>
  <c r="E42" i="58"/>
  <c r="E48" i="58" s="1"/>
  <c r="E128" i="59"/>
  <c r="D42" i="51"/>
  <c r="D40" i="61"/>
  <c r="E130" i="51"/>
  <c r="D42" i="46"/>
  <c r="C128" i="52"/>
  <c r="D130" i="58"/>
  <c r="F128" i="51"/>
  <c r="E152" i="43"/>
  <c r="D152" i="57"/>
  <c r="F134" i="37"/>
  <c r="D134" i="53"/>
  <c r="C152" i="43"/>
  <c r="F152" i="57"/>
  <c r="E134" i="36"/>
  <c r="F129" i="47"/>
  <c r="W176" i="59"/>
  <c r="C129" i="41"/>
  <c r="E133" i="54"/>
  <c r="D133" i="34"/>
  <c r="D142" i="61"/>
  <c r="D140" i="48"/>
  <c r="D143" i="59"/>
  <c r="D132" i="52"/>
  <c r="C132" i="61"/>
  <c r="D9" i="44"/>
  <c r="E9" i="44" s="1"/>
  <c r="C133" i="48"/>
  <c r="D133" i="61"/>
  <c r="D138" i="43"/>
  <c r="D141" i="55"/>
  <c r="F132" i="44"/>
  <c r="E131" i="58"/>
  <c r="D131" i="36"/>
  <c r="E151" i="52"/>
  <c r="C151" i="34"/>
  <c r="S156" i="34" s="1"/>
  <c r="F149" i="57"/>
  <c r="D149" i="39"/>
  <c r="T154" i="39" s="1"/>
  <c r="D131" i="50"/>
  <c r="E151" i="61"/>
  <c r="D151" i="36"/>
  <c r="F149" i="46"/>
  <c r="F150" i="36"/>
  <c r="F42" i="51"/>
  <c r="C41" i="54"/>
  <c r="C47" i="54" s="1"/>
  <c r="C150" i="46"/>
  <c r="S155" i="46" s="1"/>
  <c r="F42" i="38"/>
  <c r="C40" i="34"/>
  <c r="D7" i="51"/>
  <c r="E40" i="36"/>
  <c r="E42" i="35"/>
  <c r="F130" i="51"/>
  <c r="C130" i="36"/>
  <c r="D40" i="37"/>
  <c r="E128" i="34"/>
  <c r="E130" i="44"/>
  <c r="D40" i="52"/>
  <c r="C128" i="43"/>
  <c r="D130" i="52"/>
  <c r="C128" i="62"/>
  <c r="E152" i="46"/>
  <c r="D152" i="59"/>
  <c r="F134" i="39"/>
  <c r="D134" i="55"/>
  <c r="W176" i="34"/>
  <c r="C152" i="46"/>
  <c r="F152" i="59"/>
  <c r="E134" i="38"/>
  <c r="F129" i="50"/>
  <c r="W176" i="61"/>
  <c r="C129" i="43"/>
  <c r="E133" i="56"/>
  <c r="D133" i="36"/>
  <c r="D144" i="61"/>
  <c r="D140" i="53"/>
  <c r="D143" i="62"/>
  <c r="D132" i="54"/>
  <c r="E131" i="51"/>
  <c r="D9" i="47"/>
  <c r="E9" i="47" s="1"/>
  <c r="F133" i="38"/>
  <c r="D140" i="41"/>
  <c r="D139" i="42"/>
  <c r="D142" i="54"/>
  <c r="E132" i="54"/>
  <c r="C132" i="35"/>
  <c r="C131" i="46"/>
  <c r="F151" i="39"/>
  <c r="E149" i="34"/>
  <c r="D149" i="50"/>
  <c r="F150" i="53"/>
  <c r="F131" i="38"/>
  <c r="F151" i="52"/>
  <c r="D151" i="50"/>
  <c r="D149" i="53"/>
  <c r="F150" i="58"/>
  <c r="F42" i="39"/>
  <c r="C40" i="35"/>
  <c r="C41" i="61"/>
  <c r="C47" i="61" s="1"/>
  <c r="D7" i="41"/>
  <c r="F42" i="46"/>
  <c r="C40" i="41"/>
  <c r="C150" i="36"/>
  <c r="S155" i="36" s="1"/>
  <c r="D7" i="55"/>
  <c r="E40" i="43"/>
  <c r="F130" i="54"/>
  <c r="E42" i="42"/>
  <c r="F130" i="55"/>
  <c r="C130" i="58"/>
  <c r="D42" i="58"/>
  <c r="C150" i="48"/>
  <c r="D128" i="38"/>
  <c r="F128" i="47"/>
  <c r="E152" i="58"/>
  <c r="F152" i="38"/>
  <c r="F134" i="53"/>
  <c r="F129" i="34"/>
  <c r="W176" i="46"/>
  <c r="C152" i="58"/>
  <c r="C134" i="38"/>
  <c r="E134" i="52"/>
  <c r="F129" i="61"/>
  <c r="C129" i="42"/>
  <c r="C129" i="56"/>
  <c r="C133" i="35"/>
  <c r="D133" i="48"/>
  <c r="D140" i="46"/>
  <c r="D141" i="36"/>
  <c r="D144" i="48"/>
  <c r="E131" i="44"/>
  <c r="D9" i="59"/>
  <c r="E9" i="59" s="1"/>
  <c r="D141" i="37"/>
  <c r="D142" i="43"/>
  <c r="E132" i="46"/>
  <c r="F132" i="59"/>
  <c r="C131" i="38"/>
  <c r="D131" i="54"/>
  <c r="F151" i="51"/>
  <c r="D151" i="42"/>
  <c r="C149" i="43"/>
  <c r="S154" i="43" s="1"/>
  <c r="F150" i="44"/>
  <c r="F151" i="43"/>
  <c r="D151" i="34"/>
  <c r="F150" i="52"/>
  <c r="F42" i="37"/>
  <c r="C40" i="51"/>
  <c r="C41" i="58"/>
  <c r="C47" i="58" s="1"/>
  <c r="D7" i="34"/>
  <c r="F42" i="43"/>
  <c r="C41" i="44"/>
  <c r="C47" i="44" s="1"/>
  <c r="D150" i="39"/>
  <c r="X176" i="35"/>
  <c r="E41" i="47"/>
  <c r="E40" i="47"/>
  <c r="D40" i="59"/>
  <c r="E130" i="58"/>
  <c r="D42" i="55"/>
  <c r="C130" i="53"/>
  <c r="D41" i="42"/>
  <c r="D128" i="53"/>
  <c r="C128" i="37"/>
  <c r="F129" i="56"/>
  <c r="D152" i="48"/>
  <c r="D134" i="38"/>
  <c r="E129" i="51"/>
  <c r="C133" i="57"/>
  <c r="D138" i="55"/>
  <c r="D143" i="57"/>
  <c r="F132" i="54"/>
  <c r="C131" i="35"/>
  <c r="E133" i="39"/>
  <c r="F133" i="54"/>
  <c r="D138" i="51"/>
  <c r="D143" i="42"/>
  <c r="D132" i="35"/>
  <c r="C132" i="50"/>
  <c r="C131" i="61"/>
  <c r="F131" i="42"/>
  <c r="F151" i="55"/>
  <c r="F149" i="35"/>
  <c r="C149" i="47"/>
  <c r="S154" i="47" s="1"/>
  <c r="E150" i="54"/>
  <c r="E151" i="39"/>
  <c r="U156" i="39" s="1"/>
  <c r="C151" i="55"/>
  <c r="S156" i="55" s="1"/>
  <c r="E149" i="57"/>
  <c r="C149" i="51"/>
  <c r="S154" i="51" s="1"/>
  <c r="E150" i="59"/>
  <c r="F40" i="53"/>
  <c r="C41" i="46"/>
  <c r="C47" i="46" s="1"/>
  <c r="C150" i="51"/>
  <c r="S155" i="51" s="1"/>
  <c r="F42" i="33"/>
  <c r="F40" i="58"/>
  <c r="C41" i="53"/>
  <c r="C47" i="53" s="1"/>
  <c r="D150" i="43"/>
  <c r="X176" i="58"/>
  <c r="E41" i="55"/>
  <c r="X176" i="55"/>
  <c r="E40" i="55"/>
  <c r="E128" i="50"/>
  <c r="D41" i="57"/>
  <c r="C130" i="55"/>
  <c r="D40" i="43"/>
  <c r="D128" i="55"/>
  <c r="C128" i="39"/>
  <c r="D130" i="50"/>
  <c r="C134" i="39"/>
  <c r="E134" i="55"/>
  <c r="D129" i="35"/>
  <c r="E152" i="47"/>
  <c r="F134" i="41"/>
  <c r="D134" i="52"/>
  <c r="D129" i="62"/>
  <c r="E129" i="44"/>
  <c r="E133" i="43"/>
  <c r="F133" i="57"/>
  <c r="D141" i="51"/>
  <c r="D140" i="35"/>
  <c r="D143" i="47"/>
  <c r="D132" i="41"/>
  <c r="E131" i="39"/>
  <c r="D9" i="55"/>
  <c r="E9" i="55" s="1"/>
  <c r="C133" i="58"/>
  <c r="D144" i="52"/>
  <c r="D138" i="57"/>
  <c r="D142" i="36"/>
  <c r="E132" i="41"/>
  <c r="F132" i="55"/>
  <c r="C131" i="34"/>
  <c r="D131" i="48"/>
  <c r="C151" i="50"/>
  <c r="S156" i="50" s="1"/>
  <c r="D149" i="41"/>
  <c r="F150" i="39"/>
  <c r="D131" i="59"/>
  <c r="F151" i="38"/>
  <c r="C151" i="57"/>
  <c r="F149" i="56"/>
  <c r="E150" i="51"/>
  <c r="F42" i="42"/>
  <c r="C40" i="37"/>
  <c r="D150" i="58"/>
  <c r="D7" i="48"/>
  <c r="C40" i="43"/>
  <c r="D150" i="61"/>
  <c r="D7" i="61"/>
  <c r="E40" i="46"/>
  <c r="E42" i="44"/>
  <c r="F130" i="61"/>
  <c r="E130" i="34"/>
  <c r="D40" i="47"/>
  <c r="E128" i="62"/>
  <c r="D42" i="34"/>
  <c r="D48" i="34" s="1"/>
  <c r="D40" i="62"/>
  <c r="F128" i="36"/>
  <c r="D128" i="46"/>
  <c r="F128" i="55"/>
  <c r="E152" i="56"/>
  <c r="F152" i="36"/>
  <c r="F134" i="50"/>
  <c r="F129" i="33"/>
  <c r="W176" i="43"/>
  <c r="C152" i="56"/>
  <c r="C134" i="36"/>
  <c r="E134" i="48"/>
  <c r="F129" i="59"/>
  <c r="C129" i="39"/>
  <c r="C129" i="54"/>
  <c r="C133" i="51"/>
  <c r="D133" i="46"/>
  <c r="D138" i="46"/>
  <c r="D141" i="33"/>
  <c r="D144" i="44"/>
  <c r="D132" i="62"/>
  <c r="E131" i="42"/>
  <c r="D9" i="57"/>
  <c r="E9" i="57" s="1"/>
  <c r="C133" i="61"/>
  <c r="D139" i="37"/>
  <c r="D138" i="59"/>
  <c r="D142" i="39"/>
  <c r="E132" i="43"/>
  <c r="F132" i="57"/>
  <c r="C131" i="36"/>
  <c r="D131" i="52"/>
  <c r="E151" i="62"/>
  <c r="D151" i="46"/>
  <c r="C149" i="53"/>
  <c r="S154" i="53" s="1"/>
  <c r="F150" i="42"/>
  <c r="D131" i="61"/>
  <c r="F151" i="41"/>
  <c r="C151" i="44"/>
  <c r="F149" i="58"/>
  <c r="F40" i="37"/>
  <c r="C42" i="37"/>
  <c r="C48" i="37" s="1"/>
  <c r="D150" i="55"/>
  <c r="D7" i="52"/>
  <c r="F41" i="50"/>
  <c r="C40" i="52"/>
  <c r="C150" i="54"/>
  <c r="S155" i="54" s="1"/>
  <c r="X176" i="54"/>
  <c r="E40" i="54"/>
  <c r="X176" i="50"/>
  <c r="E42" i="53"/>
  <c r="E48" i="53" s="1"/>
  <c r="E128" i="44"/>
  <c r="E130" i="56"/>
  <c r="D40" i="55"/>
  <c r="C130" i="50"/>
  <c r="D42" i="41"/>
  <c r="D128" i="50"/>
  <c r="F128" i="58"/>
  <c r="C128" i="35"/>
  <c r="D130" i="44"/>
  <c r="D152" i="42"/>
  <c r="C134" i="55"/>
  <c r="D134" i="37"/>
  <c r="D129" i="50"/>
  <c r="E152" i="61"/>
  <c r="F152" i="42"/>
  <c r="F134" i="56"/>
  <c r="F129" i="51"/>
  <c r="W176" i="44"/>
  <c r="E129" i="59"/>
  <c r="E133" i="38"/>
  <c r="F133" i="53"/>
  <c r="D144" i="56"/>
  <c r="D139" i="59"/>
  <c r="D143" i="39"/>
  <c r="D132" i="36"/>
  <c r="C132" i="46"/>
  <c r="C131" i="62"/>
  <c r="C133" i="34"/>
  <c r="D133" i="47"/>
  <c r="D139" i="46"/>
  <c r="D141" i="35"/>
  <c r="D144" i="47"/>
  <c r="D132" i="61"/>
  <c r="E131" i="43"/>
  <c r="D9" i="56"/>
  <c r="E9" i="56" s="1"/>
  <c r="E151" i="36"/>
  <c r="D151" i="47"/>
  <c r="F149" i="42"/>
  <c r="D149" i="54"/>
  <c r="T154" i="54" s="1"/>
  <c r="E151" i="47"/>
  <c r="D151" i="43"/>
  <c r="F149" i="33"/>
  <c r="D149" i="58"/>
  <c r="D150" i="48"/>
  <c r="F40" i="55"/>
  <c r="C41" i="48"/>
  <c r="C47" i="48" s="1"/>
  <c r="D150" i="34"/>
  <c r="F42" i="34"/>
  <c r="F48" i="34" s="1"/>
  <c r="F40" i="61"/>
  <c r="C41" i="55"/>
  <c r="C47" i="55" s="1"/>
  <c r="D7" i="37"/>
  <c r="E41" i="37"/>
  <c r="E47" i="37" s="1"/>
  <c r="F130" i="36"/>
  <c r="E40" i="37"/>
  <c r="F130" i="37"/>
  <c r="C130" i="41"/>
  <c r="D41" i="38"/>
  <c r="E128" i="38"/>
  <c r="E130" i="50"/>
  <c r="D41" i="53"/>
  <c r="C128" i="48"/>
  <c r="D130" i="56"/>
  <c r="C149" i="48"/>
  <c r="D152" i="44"/>
  <c r="C134" i="57"/>
  <c r="D134" i="39"/>
  <c r="D129" i="53"/>
  <c r="C152" i="52"/>
  <c r="C134" i="52"/>
  <c r="E134" i="62"/>
  <c r="D129" i="41"/>
  <c r="C129" i="55"/>
  <c r="E129" i="36"/>
  <c r="C133" i="47"/>
  <c r="D138" i="42"/>
  <c r="D141" i="54"/>
  <c r="E132" i="51"/>
  <c r="F132" i="43"/>
  <c r="E131" i="57"/>
  <c r="D131" i="39"/>
  <c r="F133" i="43"/>
  <c r="D144" i="41"/>
  <c r="D139" i="48"/>
  <c r="D142" i="59"/>
  <c r="E132" i="58"/>
  <c r="C132" i="39"/>
  <c r="D9" i="38"/>
  <c r="E9" i="38" s="1"/>
  <c r="F131" i="53"/>
  <c r="C151" i="61"/>
  <c r="S156" i="61" s="1"/>
  <c r="E149" i="58"/>
  <c r="U154" i="58" s="1"/>
  <c r="C149" i="46"/>
  <c r="S154" i="46" s="1"/>
  <c r="E150" i="43"/>
  <c r="F131" i="62"/>
  <c r="C151" i="51"/>
  <c r="S156" i="51" s="1"/>
  <c r="E149" i="47"/>
  <c r="D149" i="46"/>
  <c r="E150" i="50"/>
  <c r="C42" i="42"/>
  <c r="C48" i="42" s="1"/>
  <c r="C150" i="61"/>
  <c r="S155" i="61" s="1"/>
  <c r="F40" i="59"/>
  <c r="F41" i="55"/>
  <c r="C42" i="48"/>
  <c r="C48" i="48" s="1"/>
  <c r="D150" i="41"/>
  <c r="X176" i="47"/>
  <c r="E42" i="52"/>
  <c r="X176" i="43"/>
  <c r="E41" i="52"/>
  <c r="E47" i="52" s="1"/>
  <c r="E128" i="39"/>
  <c r="E130" i="52"/>
  <c r="D42" i="53"/>
  <c r="D48" i="53" s="1"/>
  <c r="C130" i="44"/>
  <c r="D41" i="39"/>
  <c r="D128" i="44"/>
  <c r="D130" i="38"/>
  <c r="C128" i="50"/>
  <c r="D130" i="59"/>
  <c r="D152" i="37"/>
  <c r="C134" i="50"/>
  <c r="D134" i="51"/>
  <c r="D129" i="44"/>
  <c r="E152" i="57"/>
  <c r="C134" i="43"/>
  <c r="E134" i="56"/>
  <c r="D129" i="34"/>
  <c r="C129" i="47"/>
  <c r="C129" i="61"/>
  <c r="C133" i="39"/>
  <c r="D133" i="54"/>
  <c r="D144" i="46"/>
  <c r="D141" i="43"/>
  <c r="D144" i="55"/>
  <c r="F132" i="36"/>
  <c r="E131" i="50"/>
  <c r="D131" i="51"/>
  <c r="F133" i="36"/>
  <c r="D138" i="41"/>
  <c r="D139" i="38"/>
  <c r="D142" i="50"/>
  <c r="E132" i="52"/>
  <c r="C132" i="51"/>
  <c r="C131" i="43"/>
  <c r="D131" i="58"/>
  <c r="F151" i="37"/>
  <c r="D149" i="57"/>
  <c r="F150" i="50"/>
  <c r="F131" i="36"/>
  <c r="D151" i="58"/>
  <c r="C149" i="41"/>
  <c r="S154" i="41" s="1"/>
  <c r="F150" i="56"/>
  <c r="F40" i="39"/>
  <c r="C41" i="34"/>
  <c r="C47" i="34" s="1"/>
  <c r="D7" i="38"/>
  <c r="F40" i="46"/>
  <c r="C41" i="39"/>
  <c r="C47" i="39" s="1"/>
  <c r="C150" i="44"/>
  <c r="S155" i="44" s="1"/>
  <c r="D7" i="53"/>
  <c r="E41" i="42"/>
  <c r="F130" i="52"/>
  <c r="E40" i="42"/>
  <c r="F130" i="53"/>
  <c r="C130" i="56"/>
  <c r="D41" i="43"/>
  <c r="E128" i="54"/>
  <c r="D42" i="43"/>
  <c r="D128" i="57"/>
  <c r="C128" i="42"/>
  <c r="D130" i="53"/>
  <c r="D152" i="39"/>
  <c r="C134" i="53"/>
  <c r="D134" i="35"/>
  <c r="D129" i="47"/>
  <c r="E152" i="59"/>
  <c r="F152" i="39"/>
  <c r="F134" i="54"/>
  <c r="D134" i="62"/>
  <c r="W176" i="42"/>
  <c r="E129" i="57"/>
  <c r="E133" i="36"/>
  <c r="F133" i="50"/>
  <c r="D142" i="56"/>
  <c r="D139" i="57"/>
  <c r="D143" i="36"/>
  <c r="D132" i="34"/>
  <c r="C132" i="43"/>
  <c r="C133" i="52"/>
  <c r="D138" i="52"/>
  <c r="D138" i="47"/>
  <c r="D141" i="58"/>
  <c r="E132" i="34"/>
  <c r="F132" i="47"/>
  <c r="D131" i="41"/>
  <c r="E151" i="54"/>
  <c r="F149" i="59"/>
  <c r="F150" i="51"/>
  <c r="D131" i="53"/>
  <c r="F151" i="33"/>
  <c r="E149" i="42"/>
  <c r="U154" i="42" s="1"/>
  <c r="C149" i="37"/>
  <c r="S154" i="37" s="1"/>
  <c r="E150" i="44"/>
  <c r="F40" i="47"/>
  <c r="C41" i="41"/>
  <c r="C47" i="41" s="1"/>
  <c r="D150" i="36"/>
  <c r="F40" i="54"/>
  <c r="C41" i="47"/>
  <c r="C47" i="47" s="1"/>
  <c r="D150" i="56"/>
  <c r="X176" i="42"/>
  <c r="E41" i="50"/>
  <c r="X176" i="38"/>
  <c r="E40" i="50"/>
  <c r="E128" i="35"/>
  <c r="E130" i="46"/>
  <c r="D41" i="52"/>
  <c r="D47" i="52" s="1"/>
  <c r="C130" i="39"/>
  <c r="D40" i="38"/>
  <c r="D128" i="39"/>
  <c r="D128" i="58"/>
  <c r="D130" i="35"/>
  <c r="C152" i="44"/>
  <c r="F152" i="58"/>
  <c r="E134" i="39"/>
  <c r="F129" i="54"/>
  <c r="E152" i="51"/>
  <c r="D152" i="46"/>
  <c r="C134" i="58"/>
  <c r="D134" i="36"/>
  <c r="D129" i="48"/>
  <c r="C129" i="62"/>
  <c r="E129" i="43"/>
  <c r="C133" i="55"/>
  <c r="D141" i="52"/>
  <c r="D138" i="53"/>
  <c r="D141" i="62"/>
  <c r="E132" i="39"/>
  <c r="F132" i="52"/>
  <c r="C131" i="51"/>
  <c r="E133" i="37"/>
  <c r="F133" i="52"/>
  <c r="D143" i="56"/>
  <c r="D139" i="58"/>
  <c r="D143" i="38"/>
  <c r="D132" i="51"/>
  <c r="C132" i="47"/>
  <c r="C131" i="58"/>
  <c r="F131" i="39"/>
  <c r="F151" i="53"/>
  <c r="E149" i="46"/>
  <c r="D149" i="56"/>
  <c r="F131" i="52"/>
  <c r="F151" i="62"/>
  <c r="E149" i="35"/>
  <c r="C149" i="36"/>
  <c r="S154" i="36" s="1"/>
  <c r="E150" i="37"/>
  <c r="F40" i="44"/>
  <c r="C41" i="38"/>
  <c r="C47" i="38" s="1"/>
  <c r="D150" i="53"/>
  <c r="D7" i="54"/>
  <c r="F40" i="52"/>
  <c r="C42" i="52"/>
  <c r="C48" i="52" s="1"/>
  <c r="C150" i="52"/>
  <c r="S155" i="52" s="1"/>
  <c r="X176" i="56"/>
  <c r="E42" i="54"/>
  <c r="X176" i="53"/>
  <c r="E41" i="54"/>
  <c r="E47" i="54" s="1"/>
  <c r="E128" i="47"/>
  <c r="D42" i="35"/>
  <c r="D48" i="35" s="1"/>
  <c r="D41" i="59"/>
  <c r="E130" i="39"/>
  <c r="D42" i="48"/>
  <c r="C128" i="38"/>
  <c r="D130" i="46"/>
  <c r="C128" i="57"/>
  <c r="D152" i="55"/>
  <c r="D134" i="50"/>
  <c r="C152" i="41"/>
  <c r="E134" i="34"/>
  <c r="W176" i="57"/>
  <c r="E133" i="52"/>
  <c r="D140" i="44"/>
  <c r="F152" i="41"/>
  <c r="F134" i="55"/>
  <c r="F129" i="36"/>
  <c r="W176" i="48"/>
  <c r="C152" i="61"/>
  <c r="C134" i="41"/>
  <c r="E134" i="54"/>
  <c r="C129" i="44"/>
  <c r="C129" i="58"/>
  <c r="C133" i="37"/>
  <c r="D133" i="52"/>
  <c r="D142" i="46"/>
  <c r="D141" i="39"/>
  <c r="D144" i="53"/>
  <c r="F132" i="34"/>
  <c r="E131" i="47"/>
  <c r="D9" i="61"/>
  <c r="E9" i="61" s="1"/>
  <c r="F133" i="34"/>
  <c r="D143" i="37"/>
  <c r="D139" i="35"/>
  <c r="D142" i="47"/>
  <c r="E132" i="48"/>
  <c r="F132" i="61"/>
  <c r="C131" i="41"/>
  <c r="D131" i="56"/>
  <c r="F151" i="35"/>
  <c r="E149" i="48"/>
  <c r="C149" i="55"/>
  <c r="S154" i="55" s="1"/>
  <c r="E150" i="34"/>
  <c r="F131" i="54"/>
  <c r="D151" i="61"/>
  <c r="E149" i="37"/>
  <c r="D149" i="55"/>
  <c r="E150" i="39"/>
  <c r="U155" i="39" s="1"/>
  <c r="F42" i="44"/>
  <c r="C40" i="39"/>
  <c r="D150" i="50"/>
  <c r="D7" i="56"/>
  <c r="F42" i="52"/>
  <c r="C40" i="46"/>
  <c r="C150" i="37"/>
  <c r="S155" i="37" s="1"/>
  <c r="X176" i="37"/>
  <c r="E40" i="48"/>
  <c r="X176" i="34"/>
  <c r="E42" i="47"/>
  <c r="D42" i="59"/>
  <c r="D48" i="59" s="1"/>
  <c r="E130" i="41"/>
  <c r="D40" i="50"/>
  <c r="C130" i="35"/>
  <c r="D42" i="36"/>
  <c r="D48" i="36" s="1"/>
  <c r="D128" i="35"/>
  <c r="F128" i="43"/>
  <c r="D128" i="54"/>
  <c r="F128" i="61"/>
  <c r="C152" i="39"/>
  <c r="F152" i="54"/>
  <c r="E134" i="35"/>
  <c r="D152" i="41"/>
  <c r="C134" i="54"/>
  <c r="D129" i="43"/>
  <c r="C129" i="57"/>
  <c r="E129" i="58"/>
  <c r="F133" i="37"/>
  <c r="D139" i="41"/>
  <c r="D139" i="39"/>
  <c r="D142" i="53"/>
  <c r="E132" i="55"/>
  <c r="C132" i="52"/>
  <c r="D9" i="35"/>
  <c r="E9" i="35" s="1"/>
  <c r="C133" i="38"/>
  <c r="D133" i="53"/>
  <c r="D143" i="46"/>
  <c r="D141" i="42"/>
  <c r="D144" i="54"/>
  <c r="F132" i="35"/>
  <c r="E131" i="48"/>
  <c r="E151" i="41"/>
  <c r="D151" i="37"/>
  <c r="F149" i="47"/>
  <c r="F150" i="59"/>
  <c r="F131" i="46"/>
  <c r="F151" i="58"/>
  <c r="C151" i="36"/>
  <c r="S156" i="36" s="1"/>
  <c r="C149" i="57"/>
  <c r="S154" i="57" s="1"/>
  <c r="E150" i="53"/>
  <c r="F40" i="50"/>
  <c r="C41" i="43"/>
  <c r="C47" i="43" s="1"/>
  <c r="D150" i="42"/>
  <c r="F42" i="59"/>
  <c r="F40" i="56"/>
  <c r="C41" i="50"/>
  <c r="C47" i="50" s="1"/>
  <c r="C150" i="56"/>
  <c r="S155" i="56" s="1"/>
  <c r="X176" i="52"/>
  <c r="E41" i="53"/>
  <c r="E47" i="53" s="1"/>
  <c r="X176" i="46"/>
  <c r="E40" i="53"/>
  <c r="E128" i="42"/>
  <c r="E130" i="54"/>
  <c r="D41" i="54"/>
  <c r="C130" i="47"/>
  <c r="D40" i="41"/>
  <c r="D128" i="47"/>
  <c r="F128" i="56"/>
  <c r="C128" i="51"/>
  <c r="D130" i="42"/>
  <c r="C152" i="42"/>
  <c r="F152" i="56"/>
  <c r="E134" i="37"/>
  <c r="F129" i="52"/>
  <c r="W176" i="62"/>
  <c r="D152" i="43"/>
  <c r="C134" i="56"/>
  <c r="D134" i="34"/>
  <c r="D129" i="46"/>
  <c r="E129" i="41"/>
  <c r="C133" i="53"/>
  <c r="D139" i="52"/>
  <c r="D138" i="48"/>
  <c r="D141" i="59"/>
  <c r="E132" i="37"/>
  <c r="E131" i="61"/>
  <c r="E133" i="35"/>
  <c r="D141" i="56"/>
  <c r="D139" i="55"/>
  <c r="D143" i="35"/>
  <c r="E132" i="62"/>
  <c r="C132" i="44"/>
  <c r="C131" i="56"/>
  <c r="F131" i="37"/>
  <c r="F151" i="50"/>
  <c r="E149" i="43"/>
  <c r="D149" i="61"/>
  <c r="F150" i="61"/>
  <c r="E149" i="51"/>
  <c r="C149" i="50"/>
  <c r="S154" i="50" s="1"/>
  <c r="E150" i="35"/>
  <c r="F41" i="43"/>
  <c r="C40" i="44"/>
  <c r="C150" i="39"/>
  <c r="S155" i="39" s="1"/>
  <c r="E41" i="59"/>
  <c r="E47" i="59" s="1"/>
  <c r="F42" i="56"/>
  <c r="F48" i="56" s="1"/>
  <c r="C41" i="57"/>
  <c r="C47" i="57" s="1"/>
  <c r="C150" i="35"/>
  <c r="S155" i="35" s="1"/>
  <c r="E40" i="34"/>
  <c r="E41" i="61"/>
  <c r="E42" i="51"/>
  <c r="E40" i="61"/>
  <c r="D40" i="56"/>
  <c r="D40" i="35"/>
  <c r="D41" i="62"/>
  <c r="D47" i="62" s="1"/>
  <c r="E130" i="37"/>
  <c r="D40" i="48"/>
  <c r="C128" i="36"/>
  <c r="D130" i="43"/>
  <c r="C128" i="55"/>
  <c r="E152" i="48"/>
  <c r="D152" i="61"/>
  <c r="F134" i="42"/>
  <c r="D134" i="57"/>
  <c r="W176" i="36"/>
  <c r="C152" i="48"/>
  <c r="F152" i="61"/>
  <c r="E134" i="41"/>
  <c r="F129" i="53"/>
  <c r="C129" i="51"/>
  <c r="C129" i="46"/>
  <c r="E133" i="58"/>
  <c r="D133" i="38"/>
  <c r="D139" i="34"/>
  <c r="D140" i="55"/>
  <c r="D144" i="35"/>
  <c r="D132" i="56"/>
  <c r="E131" i="35"/>
  <c r="D9" i="50"/>
  <c r="E9" i="50" s="1"/>
  <c r="C133" i="54"/>
  <c r="D140" i="52"/>
  <c r="D138" i="50"/>
  <c r="E132" i="36"/>
  <c r="F132" i="50"/>
  <c r="E131" i="62"/>
  <c r="D131" i="43"/>
  <c r="E151" i="56"/>
  <c r="C151" i="58"/>
  <c r="S156" i="58" s="1"/>
  <c r="F149" i="61"/>
  <c r="F150" i="35"/>
  <c r="D131" i="55"/>
  <c r="F151" i="34"/>
  <c r="D151" i="57"/>
  <c r="F149" i="52"/>
  <c r="F150" i="41"/>
  <c r="F40" i="35"/>
  <c r="F41" i="61"/>
  <c r="C42" i="55"/>
  <c r="C48" i="55" s="1"/>
  <c r="F42" i="54"/>
  <c r="C40" i="48"/>
  <c r="C150" i="57"/>
  <c r="S155" i="57" s="1"/>
  <c r="E41" i="58"/>
  <c r="E47" i="58" s="1"/>
  <c r="X176" i="61"/>
  <c r="E40" i="58"/>
  <c r="E128" i="57"/>
  <c r="D40" i="51"/>
  <c r="C130" i="62"/>
  <c r="D40" i="46"/>
  <c r="D128" i="61"/>
  <c r="D130" i="36"/>
  <c r="C128" i="47"/>
  <c r="D130" i="57"/>
  <c r="C152" i="57"/>
  <c r="C134" i="37"/>
  <c r="E134" i="53"/>
  <c r="D129" i="51"/>
  <c r="E152" i="44"/>
  <c r="F152" i="44"/>
  <c r="E134" i="43"/>
  <c r="F129" i="55"/>
  <c r="C129" i="35"/>
  <c r="C129" i="48"/>
  <c r="D133" i="41"/>
  <c r="D141" i="34"/>
  <c r="D140" i="58"/>
  <c r="D144" i="38"/>
  <c r="D132" i="58"/>
  <c r="E131" i="37"/>
  <c r="D9" i="53"/>
  <c r="E9" i="53" s="1"/>
  <c r="C133" i="56"/>
  <c r="D142" i="52"/>
  <c r="D138" i="54"/>
  <c r="E132" i="38"/>
  <c r="F132" i="53"/>
  <c r="C131" i="52"/>
  <c r="F131" i="51"/>
  <c r="F151" i="44"/>
  <c r="E149" i="38"/>
  <c r="D149" i="47"/>
  <c r="F150" i="57"/>
  <c r="F131" i="43"/>
  <c r="F151" i="56"/>
  <c r="C151" i="42"/>
  <c r="S156" i="42" s="1"/>
  <c r="C149" i="35"/>
  <c r="S154" i="35" s="1"/>
  <c r="F150" i="62"/>
  <c r="F40" i="42"/>
  <c r="C41" i="36"/>
  <c r="C47" i="36" s="1"/>
  <c r="C42" i="62"/>
  <c r="C48" i="62" s="1"/>
  <c r="D7" i="46"/>
  <c r="C41" i="42"/>
  <c r="C47" i="42" s="1"/>
  <c r="D150" i="59"/>
  <c r="D7" i="59"/>
  <c r="E41" i="44"/>
  <c r="E47" i="44" s="1"/>
  <c r="F130" i="58"/>
  <c r="E40" i="44"/>
  <c r="F130" i="59"/>
  <c r="D41" i="46"/>
  <c r="D47" i="46" s="1"/>
  <c r="D40" i="34"/>
  <c r="D41" i="61"/>
  <c r="D47" i="61" s="1"/>
  <c r="F128" i="54"/>
  <c r="D128" i="62"/>
  <c r="D130" i="39"/>
  <c r="C152" i="50"/>
  <c r="F152" i="62"/>
  <c r="E134" i="44"/>
  <c r="F129" i="58"/>
  <c r="E152" i="37"/>
  <c r="D152" i="52"/>
  <c r="D134" i="41"/>
  <c r="D129" i="54"/>
  <c r="E129" i="35"/>
  <c r="E129" i="48"/>
  <c r="D138" i="37"/>
  <c r="D138" i="58"/>
  <c r="D142" i="38"/>
  <c r="E132" i="44"/>
  <c r="F132" i="56"/>
  <c r="C131" i="37"/>
  <c r="E133" i="42"/>
  <c r="F133" i="56"/>
  <c r="D140" i="51"/>
  <c r="D143" i="44"/>
  <c r="D132" i="37"/>
  <c r="C132" i="53"/>
  <c r="F131" i="44"/>
  <c r="F151" i="57"/>
  <c r="E149" i="52"/>
  <c r="U154" i="52" s="1"/>
  <c r="C149" i="44"/>
  <c r="S154" i="44" s="1"/>
  <c r="E150" i="36"/>
  <c r="F131" i="56"/>
  <c r="D151" i="56"/>
  <c r="E149" i="39"/>
  <c r="D149" i="44"/>
  <c r="E150" i="42"/>
  <c r="U155" i="42" s="1"/>
  <c r="F41" i="46"/>
  <c r="F47" i="46" s="1"/>
  <c r="C42" i="39"/>
  <c r="C48" i="39" s="1"/>
  <c r="D150" i="44"/>
  <c r="D7" i="58"/>
  <c r="F41" i="53"/>
  <c r="F47" i="53" s="1"/>
  <c r="C42" i="46"/>
  <c r="C48" i="46" s="1"/>
  <c r="D150" i="51"/>
  <c r="X176" i="39"/>
  <c r="E42" i="48"/>
  <c r="X176" i="36"/>
  <c r="E41" i="48"/>
  <c r="E128" i="51"/>
  <c r="E130" i="43"/>
  <c r="D42" i="50"/>
  <c r="C130" i="37"/>
  <c r="D41" i="37"/>
  <c r="D47" i="37" s="1"/>
  <c r="D128" i="37"/>
  <c r="F128" i="46"/>
  <c r="D128" i="56"/>
  <c r="D130" i="51"/>
  <c r="C152" i="53"/>
  <c r="C134" i="51"/>
  <c r="E134" i="47"/>
  <c r="E152" i="39"/>
  <c r="D152" i="54"/>
  <c r="F134" i="34"/>
  <c r="D134" i="43"/>
  <c r="D129" i="56"/>
  <c r="E129" i="37"/>
  <c r="E129" i="52"/>
  <c r="C133" i="62"/>
  <c r="D140" i="37"/>
  <c r="D142" i="42"/>
  <c r="E132" i="47"/>
  <c r="F132" i="58"/>
  <c r="C131" i="39"/>
  <c r="E133" i="44"/>
  <c r="D133" i="44"/>
  <c r="D144" i="34"/>
  <c r="D140" i="62"/>
  <c r="D144" i="43"/>
  <c r="D132" i="59"/>
  <c r="E131" i="41"/>
  <c r="D9" i="54"/>
  <c r="E9" i="54" s="1"/>
  <c r="E151" i="34"/>
  <c r="D151" i="53"/>
  <c r="F149" i="39"/>
  <c r="D149" i="51"/>
  <c r="E150" i="58"/>
  <c r="E151" i="44"/>
  <c r="U156" i="44" s="1"/>
  <c r="C151" i="47"/>
  <c r="S156" i="47" s="1"/>
  <c r="E149" i="61"/>
  <c r="C149" i="54"/>
  <c r="D150" i="62"/>
  <c r="F41" i="54"/>
  <c r="F47" i="54" s="1"/>
  <c r="C42" i="47"/>
  <c r="C48" i="47" s="1"/>
  <c r="D150" i="47"/>
  <c r="F40" i="34"/>
  <c r="C42" i="54"/>
  <c r="C48" i="54" s="1"/>
  <c r="X176" i="62"/>
  <c r="E42" i="57"/>
  <c r="E48" i="57" s="1"/>
  <c r="X176" i="59"/>
  <c r="E41" i="57"/>
  <c r="E47" i="57" s="1"/>
  <c r="E128" i="55"/>
  <c r="D40" i="44"/>
  <c r="E128" i="56"/>
  <c r="D41" i="44"/>
  <c r="D47" i="44" s="1"/>
  <c r="D128" i="59"/>
  <c r="D130" i="34"/>
  <c r="C128" i="44"/>
  <c r="D130" i="55"/>
  <c r="D152" i="51"/>
  <c r="C134" i="44"/>
  <c r="E134" i="59"/>
  <c r="D129" i="39"/>
  <c r="E152" i="53"/>
  <c r="F152" i="51"/>
  <c r="F134" i="46"/>
  <c r="D134" i="56"/>
  <c r="W176" i="35"/>
  <c r="E129" i="50"/>
  <c r="E129" i="62"/>
  <c r="F133" i="42"/>
  <c r="D143" i="41"/>
  <c r="D139" i="47"/>
  <c r="D142" i="58"/>
  <c r="E132" i="59"/>
  <c r="C132" i="36"/>
  <c r="C131" i="53"/>
  <c r="E133" i="57"/>
  <c r="D133" i="37"/>
  <c r="D138" i="34"/>
  <c r="D140" i="54"/>
  <c r="D132" i="53"/>
  <c r="E131" i="34"/>
  <c r="D9" i="46"/>
  <c r="E9" i="46" s="1"/>
  <c r="F131" i="59"/>
  <c r="D151" i="38"/>
  <c r="F149" i="51"/>
  <c r="C149" i="62"/>
  <c r="R154" i="62" s="1"/>
  <c r="E150" i="52"/>
  <c r="U155" i="52" s="1"/>
  <c r="E151" i="37"/>
  <c r="C151" i="62"/>
  <c r="R156" i="62" s="1"/>
  <c r="E149" i="55"/>
  <c r="D149" i="38"/>
  <c r="E150" i="57"/>
  <c r="F41" i="52"/>
  <c r="F47" i="52" s="1"/>
  <c r="C42" i="44"/>
  <c r="C48" i="44" s="1"/>
  <c r="D150" i="37"/>
  <c r="F41" i="57"/>
  <c r="C40" i="58"/>
  <c r="E40" i="56"/>
  <c r="E42" i="34"/>
  <c r="E48" i="34" s="1"/>
  <c r="E40" i="62"/>
  <c r="E41" i="34"/>
  <c r="E42" i="61"/>
  <c r="E48" i="61" s="1"/>
  <c r="C130" i="52"/>
  <c r="D40" i="42"/>
  <c r="E130" i="59"/>
  <c r="D40" i="57"/>
  <c r="C128" i="58"/>
  <c r="F128" i="39"/>
  <c r="F98" i="32"/>
  <c r="F99" i="34"/>
  <c r="C101" i="53"/>
  <c r="F99" i="43"/>
  <c r="F99" i="35"/>
  <c r="C101" i="47"/>
  <c r="C99" i="37"/>
  <c r="F100" i="34"/>
  <c r="C100" i="55"/>
  <c r="C98" i="47"/>
  <c r="F101" i="47"/>
  <c r="C100" i="33"/>
  <c r="F98" i="58"/>
  <c r="F100" i="59"/>
  <c r="F99" i="53"/>
  <c r="C99" i="39"/>
  <c r="F99" i="59"/>
  <c r="C100" i="56"/>
  <c r="C98" i="43"/>
  <c r="F101" i="57"/>
  <c r="F101" i="38"/>
  <c r="C101" i="35"/>
  <c r="F101" i="53"/>
  <c r="C98" i="52"/>
  <c r="C98" i="61"/>
  <c r="F101" i="37"/>
  <c r="C100" i="37"/>
  <c r="F98" i="34"/>
  <c r="C101" i="56"/>
  <c r="C99" i="43"/>
  <c r="F100" i="33"/>
  <c r="F99" i="54"/>
  <c r="C101" i="50"/>
  <c r="F101" i="51"/>
  <c r="C100" i="38"/>
  <c r="F98" i="46"/>
  <c r="F101" i="41"/>
  <c r="F100" i="61"/>
  <c r="C99" i="56"/>
  <c r="C100" i="42"/>
  <c r="C98" i="51"/>
  <c r="C99" i="61"/>
  <c r="F99" i="37"/>
  <c r="C101" i="38"/>
  <c r="C98" i="54"/>
  <c r="F101" i="35"/>
  <c r="C100" i="44"/>
  <c r="C98" i="35"/>
  <c r="F98" i="42"/>
  <c r="C99" i="52"/>
  <c r="F99" i="50"/>
  <c r="F100" i="37"/>
  <c r="F98" i="62"/>
  <c r="F101" i="44"/>
  <c r="C101" i="34"/>
  <c r="C99" i="55"/>
  <c r="C101" i="42"/>
  <c r="C99" i="51"/>
  <c r="F100" i="43"/>
  <c r="C100" i="52"/>
  <c r="C98" i="36"/>
  <c r="F98" i="39"/>
  <c r="F100" i="62"/>
  <c r="C99" i="57"/>
  <c r="F98" i="56"/>
  <c r="C101" i="46"/>
  <c r="C99" i="33"/>
  <c r="F100" i="54"/>
  <c r="F99" i="33"/>
  <c r="C100" i="36"/>
  <c r="F101" i="36"/>
  <c r="F99" i="62"/>
  <c r="D100" i="37"/>
  <c r="D101" i="59"/>
  <c r="D99" i="61"/>
  <c r="D100" i="36"/>
  <c r="D100" i="62"/>
  <c r="C98" i="50"/>
  <c r="C99" i="46"/>
  <c r="F99" i="58"/>
  <c r="C99" i="44"/>
  <c r="C101" i="33"/>
  <c r="F101" i="50"/>
  <c r="F100" i="55"/>
  <c r="C99" i="58"/>
  <c r="F101" i="61"/>
  <c r="C98" i="44"/>
  <c r="C101" i="39"/>
  <c r="F99" i="36"/>
  <c r="F100" i="52"/>
  <c r="C99" i="34"/>
  <c r="C101" i="48"/>
  <c r="F98" i="53"/>
  <c r="F100" i="53"/>
  <c r="C101" i="37"/>
  <c r="C98" i="33"/>
  <c r="F100" i="44"/>
  <c r="F100" i="50"/>
  <c r="F101" i="58"/>
  <c r="C98" i="34"/>
  <c r="C100" i="48"/>
  <c r="C99" i="50"/>
  <c r="C101" i="57"/>
  <c r="F100" i="42"/>
  <c r="F99" i="44"/>
  <c r="C99" i="53"/>
  <c r="F98" i="37"/>
  <c r="C98" i="37"/>
  <c r="C100" i="47"/>
  <c r="F101" i="55"/>
  <c r="C98" i="42"/>
  <c r="C100" i="61"/>
  <c r="C99" i="38"/>
  <c r="F99" i="46"/>
  <c r="C101" i="62"/>
  <c r="C98" i="58"/>
  <c r="F98" i="57"/>
  <c r="C100" i="54"/>
  <c r="F98" i="33"/>
  <c r="D99" i="53"/>
  <c r="D101" i="42"/>
  <c r="D99" i="51"/>
  <c r="D99" i="52"/>
  <c r="C99" i="62"/>
  <c r="C100" i="53"/>
  <c r="F98" i="35"/>
  <c r="F101" i="59"/>
  <c r="F99" i="39"/>
  <c r="F99" i="38"/>
  <c r="F98" i="52"/>
  <c r="C99" i="48"/>
  <c r="F100" i="51"/>
  <c r="D101" i="43"/>
  <c r="D99" i="34"/>
  <c r="D100" i="56"/>
  <c r="D98" i="48"/>
  <c r="D98" i="44"/>
  <c r="C100" i="57"/>
  <c r="C101" i="58"/>
  <c r="F99" i="57"/>
  <c r="F99" i="61"/>
  <c r="C98" i="48"/>
  <c r="F101" i="56"/>
  <c r="F101" i="39"/>
  <c r="C98" i="53"/>
  <c r="C101" i="36"/>
  <c r="F99" i="42"/>
  <c r="C100" i="35"/>
  <c r="F100" i="35"/>
  <c r="F101" i="46"/>
  <c r="F98" i="41"/>
  <c r="C100" i="41"/>
  <c r="C98" i="55"/>
  <c r="C101" i="51"/>
  <c r="F98" i="43"/>
  <c r="C100" i="51"/>
  <c r="C100" i="46"/>
  <c r="F101" i="54"/>
  <c r="C100" i="50"/>
  <c r="F99" i="52"/>
  <c r="F100" i="36"/>
  <c r="C99" i="41"/>
  <c r="C101" i="54"/>
  <c r="F98" i="38"/>
  <c r="C100" i="62"/>
  <c r="F101" i="43"/>
  <c r="F101" i="62"/>
  <c r="F108" i="62" s="1"/>
  <c r="C98" i="46"/>
  <c r="C100" i="58"/>
  <c r="F99" i="55"/>
  <c r="C99" i="42"/>
  <c r="C101" i="61"/>
  <c r="F99" i="47"/>
  <c r="C99" i="47"/>
  <c r="C101" i="55"/>
  <c r="F100" i="41"/>
  <c r="C101" i="43"/>
  <c r="F100" i="58"/>
  <c r="C98" i="41"/>
  <c r="F101" i="34"/>
  <c r="D100" i="55"/>
  <c r="D98" i="47"/>
  <c r="D100" i="38"/>
  <c r="D101" i="39"/>
  <c r="D101" i="58"/>
  <c r="F100" i="38"/>
  <c r="C98" i="38"/>
  <c r="F100" i="57"/>
  <c r="C98" i="39"/>
  <c r="C99" i="54"/>
  <c r="F100" i="47"/>
  <c r="F101" i="52"/>
  <c r="C100" i="43"/>
  <c r="C98" i="57"/>
  <c r="C98" i="56"/>
  <c r="F99" i="51"/>
  <c r="D100" i="35"/>
  <c r="D99" i="50"/>
  <c r="D99" i="42"/>
  <c r="D101" i="61"/>
  <c r="F100" i="46"/>
  <c r="C101" i="52"/>
  <c r="F99" i="56"/>
  <c r="F98" i="54"/>
  <c r="F101" i="42"/>
  <c r="C101" i="44"/>
  <c r="D99" i="33"/>
  <c r="D98" i="46"/>
  <c r="D99" i="59"/>
  <c r="D98" i="37"/>
  <c r="D100" i="47"/>
  <c r="D98" i="58"/>
  <c r="D99" i="46"/>
  <c r="D100" i="41"/>
  <c r="D101" i="46"/>
  <c r="F114" i="53"/>
  <c r="C116" i="42"/>
  <c r="C114" i="51"/>
  <c r="D115" i="55"/>
  <c r="D113" i="47"/>
  <c r="E100" i="53"/>
  <c r="E98" i="43"/>
  <c r="E100" i="51"/>
  <c r="D101" i="38"/>
  <c r="D98" i="59"/>
  <c r="D100" i="53"/>
  <c r="D98" i="43"/>
  <c r="D99" i="57"/>
  <c r="D101" i="52"/>
  <c r="D100" i="59"/>
  <c r="D98" i="61"/>
  <c r="D100" i="43"/>
  <c r="D98" i="34"/>
  <c r="D99" i="39"/>
  <c r="D99" i="58"/>
  <c r="D101" i="62"/>
  <c r="D100" i="58"/>
  <c r="E114" i="43"/>
  <c r="F116" i="34"/>
  <c r="F113" i="55"/>
  <c r="C115" i="47"/>
  <c r="C113" i="37"/>
  <c r="E98" i="53"/>
  <c r="E100" i="42"/>
  <c r="E98" i="51"/>
  <c r="D98" i="39"/>
  <c r="D101" i="44"/>
  <c r="E114" i="53"/>
  <c r="F116" i="43"/>
  <c r="F114" i="34"/>
  <c r="C115" i="55"/>
  <c r="C113" i="47"/>
  <c r="D115" i="37"/>
  <c r="E101" i="37"/>
  <c r="E100" i="61"/>
  <c r="E98" i="42"/>
  <c r="D100" i="61"/>
  <c r="D98" i="42"/>
  <c r="D100" i="34"/>
  <c r="D98" i="35"/>
  <c r="D100" i="42"/>
  <c r="D98" i="51"/>
  <c r="D99" i="55"/>
  <c r="D100" i="46"/>
  <c r="D101" i="33"/>
  <c r="D100" i="52"/>
  <c r="D101" i="54"/>
  <c r="D99" i="62"/>
  <c r="D100" i="57"/>
  <c r="F116" i="53"/>
  <c r="F114" i="43"/>
  <c r="C116" i="51"/>
  <c r="C113" i="55"/>
  <c r="D115" i="47"/>
  <c r="D113" i="37"/>
  <c r="E100" i="43"/>
  <c r="E98" i="34"/>
  <c r="E99" i="56"/>
  <c r="F100" i="39"/>
  <c r="F98" i="36"/>
  <c r="F100" i="56"/>
  <c r="F98" i="50"/>
  <c r="C101" i="41"/>
  <c r="C100" i="39"/>
  <c r="D101" i="57"/>
  <c r="D98" i="38"/>
  <c r="D100" i="48"/>
  <c r="D98" i="55"/>
  <c r="D101" i="34"/>
  <c r="F99" i="41"/>
  <c r="C99" i="36"/>
  <c r="F101" i="33"/>
  <c r="C100" i="34"/>
  <c r="C99" i="35"/>
  <c r="D101" i="41"/>
  <c r="D100" i="54"/>
  <c r="D98" i="56"/>
  <c r="D101" i="51"/>
  <c r="D99" i="43"/>
  <c r="D101" i="53"/>
  <c r="E114" i="42"/>
  <c r="D101" i="35"/>
  <c r="D98" i="33"/>
  <c r="D99" i="36"/>
  <c r="E114" i="34"/>
  <c r="F115" i="55"/>
  <c r="F113" i="47"/>
  <c r="C115" i="37"/>
  <c r="D114" i="53"/>
  <c r="E101" i="55"/>
  <c r="E99" i="47"/>
  <c r="E101" i="38"/>
  <c r="E98" i="59"/>
  <c r="D100" i="51"/>
  <c r="D101" i="55"/>
  <c r="D99" i="47"/>
  <c r="D99" i="41"/>
  <c r="D99" i="56"/>
  <c r="D101" i="47"/>
  <c r="D99" i="37"/>
  <c r="D101" i="50"/>
  <c r="D99" i="44"/>
  <c r="D100" i="50"/>
  <c r="D98" i="52"/>
  <c r="D99" i="54"/>
  <c r="E113" i="37"/>
  <c r="C116" i="61"/>
  <c r="C114" i="42"/>
  <c r="D116" i="34"/>
  <c r="D113" i="55"/>
  <c r="E99" i="55"/>
  <c r="E101" i="48"/>
  <c r="E99" i="38"/>
  <c r="D100" i="33"/>
  <c r="D101" i="36"/>
  <c r="D99" i="35"/>
  <c r="D100" i="39"/>
  <c r="E113" i="47"/>
  <c r="F115" i="37"/>
  <c r="C114" i="61"/>
  <c r="D116" i="43"/>
  <c r="D114" i="34"/>
  <c r="E100" i="34"/>
  <c r="E101" i="56"/>
  <c r="E99" i="48"/>
  <c r="D101" i="56"/>
  <c r="D99" i="48"/>
  <c r="D101" i="37"/>
  <c r="D98" i="54"/>
  <c r="D100" i="44"/>
  <c r="D101" i="48"/>
  <c r="D99" i="38"/>
  <c r="D98" i="53"/>
  <c r="D98" i="36"/>
  <c r="D98" i="62"/>
  <c r="D98" i="41"/>
  <c r="D98" i="57"/>
  <c r="D98" i="50"/>
  <c r="E113" i="55"/>
  <c r="F115" i="47"/>
  <c r="F113" i="37"/>
  <c r="D116" i="53"/>
  <c r="D114" i="43"/>
  <c r="E101" i="47"/>
  <c r="E99" i="37"/>
  <c r="E100" i="59"/>
  <c r="E98" i="61"/>
  <c r="E116" i="55"/>
  <c r="F116" i="59"/>
  <c r="C116" i="41"/>
  <c r="D115" i="54"/>
  <c r="E115" i="34"/>
  <c r="F114" i="44"/>
  <c r="C113" i="43"/>
  <c r="E115" i="42"/>
  <c r="E98" i="57"/>
  <c r="E101" i="46"/>
  <c r="E99" i="62"/>
  <c r="D113" i="57"/>
  <c r="D116" i="46"/>
  <c r="C115" i="35"/>
  <c r="F114" i="36"/>
  <c r="F116" i="46"/>
  <c r="E115" i="39"/>
  <c r="E99" i="33"/>
  <c r="E101" i="41"/>
  <c r="E99" i="57"/>
  <c r="D113" i="62"/>
  <c r="D116" i="33"/>
  <c r="C114" i="50"/>
  <c r="F113" i="35"/>
  <c r="F115" i="44"/>
  <c r="E113" i="62"/>
  <c r="E116" i="33"/>
  <c r="F114" i="59"/>
  <c r="C114" i="41"/>
  <c r="D113" i="54"/>
  <c r="E113" i="34"/>
  <c r="C116" i="43"/>
  <c r="D115" i="43"/>
  <c r="E116" i="34"/>
  <c r="E113" i="46"/>
  <c r="C116" i="58"/>
  <c r="D116" i="42"/>
  <c r="E115" i="53"/>
  <c r="F115" i="34"/>
  <c r="C114" i="34"/>
  <c r="D113" i="43"/>
  <c r="E98" i="50"/>
  <c r="E101" i="36"/>
  <c r="E99" i="44"/>
  <c r="E101" i="62"/>
  <c r="D114" i="54"/>
  <c r="C113" i="44"/>
  <c r="C116" i="35"/>
  <c r="F114" i="46"/>
  <c r="E113" i="50"/>
  <c r="E116" i="36"/>
  <c r="E98" i="35"/>
  <c r="E100" i="44"/>
  <c r="E98" i="54"/>
  <c r="E101" i="50"/>
  <c r="D114" i="52"/>
  <c r="D116" i="58"/>
  <c r="C115" i="50"/>
  <c r="F114" i="33"/>
  <c r="F116" i="41"/>
  <c r="E114" i="52"/>
  <c r="E116" i="58"/>
  <c r="F114" i="42"/>
  <c r="C113" i="54"/>
  <c r="D113" i="36"/>
  <c r="F116" i="44"/>
  <c r="C115" i="53"/>
  <c r="D114" i="62"/>
  <c r="E113" i="51"/>
  <c r="F114" i="56"/>
  <c r="C116" i="47"/>
  <c r="C114" i="37"/>
  <c r="D115" i="59"/>
  <c r="D113" i="61"/>
  <c r="E100" i="38"/>
  <c r="E99" i="53"/>
  <c r="E114" i="48"/>
  <c r="F116" i="38"/>
  <c r="F113" i="59"/>
  <c r="C115" i="61"/>
  <c r="C113" i="42"/>
  <c r="D115" i="51"/>
  <c r="E101" i="51"/>
  <c r="E98" i="56"/>
  <c r="E100" i="47"/>
  <c r="E98" i="37"/>
  <c r="E114" i="51"/>
  <c r="F113" i="46"/>
  <c r="D116" i="59"/>
  <c r="E116" i="35"/>
  <c r="F115" i="53"/>
  <c r="C114" i="53"/>
  <c r="E98" i="39"/>
  <c r="E100" i="57"/>
  <c r="E99" i="35"/>
  <c r="E101" i="44"/>
  <c r="D114" i="46"/>
  <c r="C113" i="35"/>
  <c r="C115" i="62"/>
  <c r="F114" i="54"/>
  <c r="E113" i="39"/>
  <c r="E115" i="57"/>
  <c r="E98" i="44"/>
  <c r="E100" i="62"/>
  <c r="E99" i="39"/>
  <c r="E101" i="57"/>
  <c r="D114" i="41"/>
  <c r="D116" i="52"/>
  <c r="C115" i="39"/>
  <c r="F113" i="62"/>
  <c r="F116" i="33"/>
  <c r="E114" i="41"/>
  <c r="E116" i="52"/>
  <c r="F113" i="54"/>
  <c r="C113" i="36"/>
  <c r="E116" i="44"/>
  <c r="C115" i="34"/>
  <c r="D114" i="35"/>
  <c r="E116" i="53"/>
  <c r="F114" i="51"/>
  <c r="C113" i="46"/>
  <c r="E116" i="62"/>
  <c r="F116" i="35"/>
  <c r="C115" i="43"/>
  <c r="D114" i="44"/>
  <c r="E116" i="56"/>
  <c r="E100" i="50"/>
  <c r="E98" i="58"/>
  <c r="E101" i="35"/>
  <c r="D115" i="50"/>
  <c r="C114" i="35"/>
  <c r="C116" i="62"/>
  <c r="F115" i="50"/>
  <c r="E114" i="36"/>
  <c r="E116" i="54"/>
  <c r="E99" i="58"/>
  <c r="E98" i="36"/>
  <c r="E100" i="54"/>
  <c r="D115" i="35"/>
  <c r="C113" i="50"/>
  <c r="C116" i="39"/>
  <c r="F114" i="52"/>
  <c r="F116" i="58"/>
  <c r="E115" i="35"/>
  <c r="E113" i="54"/>
  <c r="F113" i="36"/>
  <c r="D116" i="61"/>
  <c r="F115" i="43"/>
  <c r="C114" i="43"/>
  <c r="D113" i="53"/>
  <c r="E116" i="43"/>
  <c r="E113" i="61"/>
  <c r="F115" i="42"/>
  <c r="F113" i="51"/>
  <c r="C114" i="55"/>
  <c r="D116" i="48"/>
  <c r="D114" i="38"/>
  <c r="E101" i="59"/>
  <c r="E99" i="61"/>
  <c r="E101" i="43"/>
  <c r="E99" i="34"/>
  <c r="E113" i="59"/>
  <c r="F115" i="61"/>
  <c r="F113" i="42"/>
  <c r="C115" i="51"/>
  <c r="D116" i="56"/>
  <c r="D114" i="48"/>
  <c r="E101" i="61"/>
  <c r="E99" i="42"/>
  <c r="E101" i="34"/>
  <c r="E98" i="55"/>
  <c r="F114" i="61"/>
  <c r="C114" i="33"/>
  <c r="D113" i="46"/>
  <c r="F116" i="62"/>
  <c r="F123" i="62" s="1"/>
  <c r="C116" i="34"/>
  <c r="D115" i="34"/>
  <c r="E116" i="48"/>
  <c r="E100" i="39"/>
  <c r="E98" i="52"/>
  <c r="E100" i="58"/>
  <c r="D115" i="39"/>
  <c r="C113" i="62"/>
  <c r="C116" i="44"/>
  <c r="F115" i="39"/>
  <c r="E113" i="57"/>
  <c r="E116" i="46"/>
  <c r="E100" i="35"/>
  <c r="E98" i="46"/>
  <c r="E101" i="39"/>
  <c r="D114" i="58"/>
  <c r="C113" i="39"/>
  <c r="C115" i="57"/>
  <c r="F114" i="41"/>
  <c r="F116" i="52"/>
  <c r="E114" i="58"/>
  <c r="E113" i="36"/>
  <c r="C116" i="52"/>
  <c r="D116" i="51"/>
  <c r="E115" i="43"/>
  <c r="F114" i="62"/>
  <c r="C113" i="53"/>
  <c r="D113" i="34"/>
  <c r="F115" i="36"/>
  <c r="C114" i="52"/>
  <c r="D114" i="51"/>
  <c r="E113" i="43"/>
  <c r="C116" i="53"/>
  <c r="D115" i="53"/>
  <c r="E116" i="38"/>
  <c r="E99" i="54"/>
  <c r="E98" i="41"/>
  <c r="E100" i="52"/>
  <c r="D113" i="50"/>
  <c r="D116" i="36"/>
  <c r="C114" i="62"/>
  <c r="F113" i="39"/>
  <c r="F116" i="36"/>
  <c r="E114" i="54"/>
  <c r="E99" i="41"/>
  <c r="E101" i="52"/>
  <c r="E100" i="36"/>
  <c r="D113" i="44"/>
  <c r="D115" i="62"/>
  <c r="C114" i="39"/>
  <c r="C116" i="57"/>
  <c r="F115" i="35"/>
  <c r="E113" i="44"/>
  <c r="E115" i="62"/>
  <c r="F116" i="61"/>
  <c r="C116" i="33"/>
  <c r="D115" i="46"/>
  <c r="E114" i="62"/>
  <c r="F114" i="35"/>
  <c r="C113" i="34"/>
  <c r="E115" i="55"/>
  <c r="E114" i="38"/>
  <c r="F115" i="59"/>
  <c r="F113" i="61"/>
  <c r="C115" i="42"/>
  <c r="C113" i="51"/>
  <c r="D114" i="56"/>
  <c r="E101" i="42"/>
  <c r="E99" i="51"/>
  <c r="E100" i="55"/>
  <c r="E98" i="47"/>
  <c r="E113" i="42"/>
  <c r="F115" i="51"/>
  <c r="C116" i="55"/>
  <c r="C114" i="47"/>
  <c r="D116" i="38"/>
  <c r="D113" i="59"/>
  <c r="E99" i="59"/>
  <c r="E101" i="53"/>
  <c r="E99" i="43"/>
  <c r="F115" i="54"/>
  <c r="C115" i="36"/>
  <c r="D114" i="61"/>
  <c r="F113" i="43"/>
  <c r="D116" i="35"/>
  <c r="E115" i="59"/>
  <c r="E99" i="46"/>
  <c r="E98" i="33"/>
  <c r="E100" i="41"/>
  <c r="D113" i="39"/>
  <c r="D115" i="57"/>
  <c r="C114" i="44"/>
  <c r="F113" i="50"/>
  <c r="F115" i="57"/>
  <c r="E114" i="46"/>
  <c r="E99" i="52"/>
  <c r="E101" i="58"/>
  <c r="E100" i="46"/>
  <c r="D113" i="35"/>
  <c r="D115" i="44"/>
  <c r="C113" i="57"/>
  <c r="C116" i="50"/>
  <c r="F114" i="58"/>
  <c r="E113" i="35"/>
  <c r="E115" i="44"/>
  <c r="F116" i="51"/>
  <c r="C115" i="46"/>
  <c r="D114" i="59"/>
  <c r="E114" i="35"/>
  <c r="F113" i="53"/>
  <c r="D116" i="44"/>
  <c r="E115" i="47"/>
  <c r="F116" i="42"/>
  <c r="C115" i="54"/>
  <c r="D115" i="36"/>
  <c r="E114" i="44"/>
  <c r="D116" i="62"/>
  <c r="E115" i="61"/>
  <c r="E99" i="36"/>
  <c r="E101" i="54"/>
  <c r="E100" i="33"/>
  <c r="D114" i="36"/>
  <c r="D116" i="54"/>
  <c r="C115" i="44"/>
  <c r="F113" i="57"/>
  <c r="F116" i="54"/>
  <c r="E115" i="50"/>
  <c r="E98" i="62"/>
  <c r="E101" i="33"/>
  <c r="E99" i="50"/>
  <c r="D114" i="33"/>
  <c r="D116" i="41"/>
  <c r="C114" i="57"/>
  <c r="F113" i="44"/>
  <c r="F115" i="62"/>
  <c r="F122" i="62" s="1"/>
  <c r="E114" i="33"/>
  <c r="E116" i="41"/>
  <c r="F115" i="46"/>
  <c r="C114" i="58"/>
  <c r="D114" i="42"/>
  <c r="E113" i="53"/>
  <c r="F113" i="34"/>
  <c r="E115" i="37"/>
  <c r="E114" i="56"/>
  <c r="F114" i="38"/>
  <c r="C113" i="61"/>
  <c r="D115" i="42"/>
  <c r="D113" i="51"/>
  <c r="E100" i="56"/>
  <c r="E98" i="48"/>
  <c r="E100" i="37"/>
  <c r="E115" i="51"/>
  <c r="F116" i="56"/>
  <c r="C116" i="37"/>
  <c r="D115" i="61"/>
  <c r="D113" i="42"/>
  <c r="E100" i="48"/>
  <c r="E98" i="38"/>
  <c r="E116" i="42"/>
  <c r="D113" i="48"/>
  <c r="C114" i="56"/>
  <c r="F116" i="39"/>
  <c r="D113" i="52"/>
  <c r="C114" i="36"/>
  <c r="F114" i="55"/>
  <c r="E115" i="41"/>
  <c r="C113" i="56"/>
  <c r="F114" i="57"/>
  <c r="E116" i="50"/>
  <c r="C113" i="41"/>
  <c r="F113" i="58"/>
  <c r="E114" i="47"/>
  <c r="E115" i="54"/>
  <c r="E114" i="59"/>
  <c r="C114" i="38"/>
  <c r="F115" i="56"/>
  <c r="E116" i="57"/>
  <c r="D116" i="47"/>
  <c r="F113" i="33"/>
  <c r="E113" i="52"/>
  <c r="C115" i="56"/>
  <c r="D114" i="47"/>
  <c r="F115" i="52"/>
  <c r="C113" i="48"/>
  <c r="F115" i="38"/>
  <c r="E116" i="39"/>
  <c r="F113" i="52"/>
  <c r="E114" i="37"/>
  <c r="D113" i="56"/>
  <c r="C115" i="38"/>
  <c r="F116" i="50"/>
  <c r="D113" i="58"/>
  <c r="C114" i="46"/>
  <c r="F115" i="33"/>
  <c r="E115" i="52"/>
  <c r="E116" i="59"/>
  <c r="D114" i="39"/>
  <c r="C115" i="48"/>
  <c r="F116" i="57"/>
  <c r="D113" i="33"/>
  <c r="C113" i="52"/>
  <c r="F114" i="37"/>
  <c r="E114" i="55"/>
  <c r="D115" i="56"/>
  <c r="F113" i="38"/>
  <c r="E114" i="39"/>
  <c r="D115" i="52"/>
  <c r="C116" i="36"/>
  <c r="F116" i="55"/>
  <c r="D114" i="50"/>
  <c r="F114" i="39"/>
  <c r="D116" i="55"/>
  <c r="E113" i="58"/>
  <c r="E115" i="46"/>
  <c r="D116" i="39"/>
  <c r="E115" i="38"/>
  <c r="D115" i="58"/>
  <c r="C116" i="46"/>
  <c r="E113" i="33"/>
  <c r="D115" i="38"/>
  <c r="C116" i="48"/>
  <c r="E113" i="56"/>
  <c r="D115" i="33"/>
  <c r="C115" i="52"/>
  <c r="F116" i="37"/>
  <c r="D115" i="48"/>
  <c r="C116" i="56"/>
  <c r="E114" i="50"/>
  <c r="D114" i="37"/>
  <c r="C114" i="54"/>
  <c r="F115" i="41"/>
  <c r="E115" i="58"/>
  <c r="E113" i="38"/>
  <c r="E116" i="37"/>
  <c r="E115" i="36"/>
  <c r="E116" i="61"/>
  <c r="D114" i="57"/>
  <c r="C116" i="38"/>
  <c r="E113" i="48"/>
  <c r="D114" i="55"/>
  <c r="C115" i="41"/>
  <c r="F115" i="58"/>
  <c r="E116" i="47"/>
  <c r="D116" i="50"/>
  <c r="F113" i="56"/>
  <c r="E114" i="57"/>
  <c r="D116" i="37"/>
  <c r="C116" i="54"/>
  <c r="E113" i="41"/>
  <c r="E114" i="61"/>
  <c r="E116" i="51"/>
  <c r="D116" i="57"/>
  <c r="F114" i="50"/>
  <c r="E115" i="56"/>
  <c r="D115" i="41"/>
  <c r="C115" i="58"/>
  <c r="F116" i="47"/>
  <c r="D113" i="38"/>
  <c r="C114" i="48"/>
  <c r="D113" i="41"/>
  <c r="C113" i="58"/>
  <c r="F114" i="47"/>
  <c r="E115" i="33"/>
  <c r="C113" i="38"/>
  <c r="E115" i="48"/>
  <c r="F113" i="41"/>
  <c r="E55" i="33"/>
  <c r="E56" i="54"/>
  <c r="E55" i="58"/>
  <c r="C55" i="47"/>
  <c r="C56" i="58"/>
  <c r="D56" i="53"/>
  <c r="D56" i="51"/>
  <c r="F55" i="44"/>
  <c r="F57" i="55"/>
  <c r="F57" i="36"/>
  <c r="C54" i="47"/>
  <c r="F54" i="59"/>
  <c r="E54" i="42"/>
  <c r="D14" i="55"/>
  <c r="D11" i="34"/>
  <c r="E11" i="34" s="1"/>
  <c r="D13" i="44"/>
  <c r="E13" i="44" s="1"/>
  <c r="D11" i="57"/>
  <c r="E11" i="57" s="1"/>
  <c r="F237" i="53"/>
  <c r="F230" i="37"/>
  <c r="E237" i="57"/>
  <c r="C237" i="44"/>
  <c r="E237" i="42"/>
  <c r="C237" i="38"/>
  <c r="E55" i="51"/>
  <c r="E57" i="44"/>
  <c r="E57" i="41"/>
  <c r="C56" i="61"/>
  <c r="C55" i="58"/>
  <c r="D55" i="62"/>
  <c r="D55" i="34"/>
  <c r="D57" i="46"/>
  <c r="F56" i="56"/>
  <c r="F56" i="37"/>
  <c r="D54" i="59"/>
  <c r="D54" i="43"/>
  <c r="E54" i="54"/>
  <c r="D14" i="46"/>
  <c r="F237" i="57"/>
  <c r="E230" i="41"/>
  <c r="E230" i="58"/>
  <c r="D237" i="53"/>
  <c r="C230" i="44"/>
  <c r="D237" i="48"/>
  <c r="C230" i="38"/>
  <c r="E56" i="58"/>
  <c r="E56" i="61"/>
  <c r="C55" i="61"/>
  <c r="C57" i="48"/>
  <c r="C57" i="34"/>
  <c r="D56" i="56"/>
  <c r="D57" i="43"/>
  <c r="F56" i="54"/>
  <c r="F56" i="35"/>
  <c r="F54" i="46"/>
  <c r="D54" i="57"/>
  <c r="D54" i="41"/>
  <c r="E54" i="53"/>
  <c r="D14" i="43"/>
  <c r="F237" i="61"/>
  <c r="E230" i="34"/>
  <c r="E230" i="62"/>
  <c r="D237" i="50"/>
  <c r="E237" i="48"/>
  <c r="C237" i="57"/>
  <c r="E56" i="34"/>
  <c r="E55" i="34"/>
  <c r="E57" i="46"/>
  <c r="C57" i="44"/>
  <c r="C56" i="43"/>
  <c r="D56" i="54"/>
  <c r="D56" i="35"/>
  <c r="F55" i="47"/>
  <c r="F57" i="57"/>
  <c r="F57" i="38"/>
  <c r="C54" i="50"/>
  <c r="C54" i="52"/>
  <c r="D13" i="43"/>
  <c r="E13" i="43" s="1"/>
  <c r="D11" i="56"/>
  <c r="E11" i="56" s="1"/>
  <c r="F237" i="58"/>
  <c r="F230" i="56"/>
  <c r="E230" i="43"/>
  <c r="D230" i="41"/>
  <c r="C237" i="58"/>
  <c r="D237" i="58"/>
  <c r="C237" i="61"/>
  <c r="E56" i="46"/>
  <c r="E56" i="37"/>
  <c r="C55" i="37"/>
  <c r="C57" i="61"/>
  <c r="C57" i="38"/>
  <c r="D56" i="42"/>
  <c r="F55" i="62"/>
  <c r="F55" i="34"/>
  <c r="F57" i="46"/>
  <c r="C54" i="55"/>
  <c r="C54" i="38"/>
  <c r="E54" i="61"/>
  <c r="D13" i="33"/>
  <c r="D11" i="43"/>
  <c r="E11" i="43" s="1"/>
  <c r="D13" i="55"/>
  <c r="E13" i="55" s="1"/>
  <c r="F237" i="34"/>
  <c r="F230" i="38"/>
  <c r="F230" i="53"/>
  <c r="D237" i="46"/>
  <c r="C230" i="42"/>
  <c r="D230" i="42"/>
  <c r="C230" i="34"/>
  <c r="E56" i="48"/>
  <c r="E55" i="56"/>
  <c r="C57" i="53"/>
  <c r="C57" i="52"/>
  <c r="D55" i="43"/>
  <c r="D57" i="54"/>
  <c r="F57" i="35"/>
  <c r="F56" i="47"/>
  <c r="F54" i="56"/>
  <c r="F54" i="39"/>
  <c r="D54" i="53"/>
  <c r="D14" i="51"/>
  <c r="D14" i="56"/>
  <c r="D11" i="35"/>
  <c r="E11" i="35" s="1"/>
  <c r="F230" i="46"/>
  <c r="E237" i="44"/>
  <c r="D230" i="38"/>
  <c r="E237" i="35"/>
  <c r="D230" i="51"/>
  <c r="C230" i="54"/>
  <c r="E57" i="37"/>
  <c r="E56" i="42"/>
  <c r="C55" i="48"/>
  <c r="D55" i="42"/>
  <c r="D57" i="62"/>
  <c r="D57" i="34"/>
  <c r="F56" i="46"/>
  <c r="F55" i="56"/>
  <c r="F54" i="36"/>
  <c r="D54" i="50"/>
  <c r="E54" i="37"/>
  <c r="D14" i="50"/>
  <c r="D13" i="39"/>
  <c r="E13" i="39" s="1"/>
  <c r="D11" i="53"/>
  <c r="E11" i="53" s="1"/>
  <c r="F237" i="44"/>
  <c r="F237" i="56"/>
  <c r="E237" i="46"/>
  <c r="C237" i="37"/>
  <c r="D230" i="59"/>
  <c r="E55" i="37"/>
  <c r="E57" i="50"/>
  <c r="E57" i="36"/>
  <c r="C56" i="47"/>
  <c r="C56" i="34"/>
  <c r="D55" i="57"/>
  <c r="D55" i="38"/>
  <c r="D57" i="52"/>
  <c r="F56" i="42"/>
  <c r="F54" i="53"/>
  <c r="F54" i="35"/>
  <c r="D54" i="48"/>
  <c r="E54" i="58"/>
  <c r="D14" i="52"/>
  <c r="F230" i="34"/>
  <c r="E230" i="61"/>
  <c r="E237" i="37"/>
  <c r="D237" i="59"/>
  <c r="C230" i="53"/>
  <c r="D237" i="54"/>
  <c r="C230" i="48"/>
  <c r="E56" i="36"/>
  <c r="E55" i="41"/>
  <c r="E57" i="53"/>
  <c r="C57" i="42"/>
  <c r="C56" i="41"/>
  <c r="D56" i="34"/>
  <c r="D55" i="46"/>
  <c r="D57" i="56"/>
  <c r="F57" i="37"/>
  <c r="F56" i="50"/>
  <c r="F54" i="58"/>
  <c r="F54" i="42"/>
  <c r="D54" i="54"/>
  <c r="D14" i="35"/>
  <c r="D14" i="58"/>
  <c r="D11" i="37"/>
  <c r="E11" i="37" s="1"/>
  <c r="F230" i="61"/>
  <c r="F237" i="35"/>
  <c r="E237" i="50"/>
  <c r="D230" i="43"/>
  <c r="E237" i="38"/>
  <c r="D230" i="37"/>
  <c r="C230" i="56"/>
  <c r="E56" i="56"/>
  <c r="E56" i="62"/>
  <c r="C56" i="51"/>
  <c r="C55" i="41"/>
  <c r="D55" i="35"/>
  <c r="D57" i="47"/>
  <c r="D56" i="57"/>
  <c r="F56" i="38"/>
  <c r="F55" i="52"/>
  <c r="D54" i="42"/>
  <c r="C54" i="54"/>
  <c r="E54" i="36"/>
  <c r="D13" i="48"/>
  <c r="E13" i="48" s="1"/>
  <c r="F230" i="36"/>
  <c r="E230" i="37"/>
  <c r="E230" i="52"/>
  <c r="D230" i="61"/>
  <c r="C230" i="36"/>
  <c r="D230" i="36"/>
  <c r="E56" i="41"/>
  <c r="E56" i="51"/>
  <c r="C55" i="51"/>
  <c r="C57" i="47"/>
  <c r="C56" i="46"/>
  <c r="D56" i="38"/>
  <c r="D55" i="52"/>
  <c r="F57" i="42"/>
  <c r="F56" i="62"/>
  <c r="C54" i="51"/>
  <c r="F54" i="47"/>
  <c r="D54" i="58"/>
  <c r="D14" i="39"/>
  <c r="D14" i="62"/>
  <c r="D11" i="42"/>
  <c r="E11" i="42" s="1"/>
  <c r="F237" i="43"/>
  <c r="E237" i="55"/>
  <c r="D230" i="52"/>
  <c r="E237" i="62"/>
  <c r="C237" i="48"/>
  <c r="E55" i="47"/>
  <c r="E57" i="57"/>
  <c r="E56" i="57"/>
  <c r="C56" i="55"/>
  <c r="C55" i="54"/>
  <c r="D56" i="36"/>
  <c r="D55" i="48"/>
  <c r="D57" i="58"/>
  <c r="F57" i="39"/>
  <c r="F56" i="61"/>
  <c r="F54" i="44"/>
  <c r="E54" i="44"/>
  <c r="D14" i="57"/>
  <c r="D11" i="36"/>
  <c r="E11" i="36" s="1"/>
  <c r="D13" i="47"/>
  <c r="E13" i="47" s="1"/>
  <c r="D11" i="59"/>
  <c r="E11" i="59" s="1"/>
  <c r="F237" i="55"/>
  <c r="F230" i="39"/>
  <c r="C237" i="50"/>
  <c r="E237" i="47"/>
  <c r="C237" i="43"/>
  <c r="E55" i="57"/>
  <c r="E55" i="52"/>
  <c r="C57" i="51"/>
  <c r="C56" i="52"/>
  <c r="D56" i="43"/>
  <c r="D55" i="54"/>
  <c r="F55" i="35"/>
  <c r="F57" i="47"/>
  <c r="F56" i="57"/>
  <c r="C54" i="37"/>
  <c r="F54" i="61"/>
  <c r="E54" i="51"/>
  <c r="D14" i="44"/>
  <c r="D13" i="35"/>
  <c r="E13" i="35" s="1"/>
  <c r="D11" i="47"/>
  <c r="E11" i="47" s="1"/>
  <c r="F237" i="37"/>
  <c r="F237" i="52"/>
  <c r="E237" i="34"/>
  <c r="D230" i="56"/>
  <c r="D237" i="52"/>
  <c r="C230" i="43"/>
  <c r="E57" i="35"/>
  <c r="E56" i="44"/>
  <c r="C55" i="35"/>
  <c r="C57" i="50"/>
  <c r="C56" i="56"/>
  <c r="D56" i="52"/>
  <c r="F55" i="42"/>
  <c r="F57" i="62"/>
  <c r="F57" i="34"/>
  <c r="C54" i="44"/>
  <c r="F54" i="57"/>
  <c r="E54" i="39"/>
  <c r="D14" i="53"/>
  <c r="D13" i="42"/>
  <c r="E13" i="42" s="1"/>
  <c r="D11" i="55"/>
  <c r="E11" i="55" s="1"/>
  <c r="F237" i="50"/>
  <c r="F230" i="51"/>
  <c r="E237" i="61"/>
  <c r="C237" i="39"/>
  <c r="E237" i="36"/>
  <c r="C237" i="35"/>
  <c r="E55" i="44"/>
  <c r="E57" i="55"/>
  <c r="E56" i="59"/>
  <c r="C56" i="50"/>
  <c r="C56" i="36"/>
  <c r="D55" i="59"/>
  <c r="D55" i="41"/>
  <c r="D57" i="53"/>
  <c r="F57" i="51"/>
  <c r="F56" i="44"/>
  <c r="F54" i="54"/>
  <c r="F54" i="37"/>
  <c r="D54" i="52"/>
  <c r="D14" i="54"/>
  <c r="D11" i="51"/>
  <c r="F230" i="41"/>
  <c r="E230" i="57"/>
  <c r="E237" i="39"/>
  <c r="D230" i="35"/>
  <c r="C230" i="55"/>
  <c r="D237" i="56"/>
  <c r="C230" i="52"/>
  <c r="E56" i="50"/>
  <c r="C55" i="57"/>
  <c r="C55" i="46"/>
  <c r="D55" i="39"/>
  <c r="D57" i="61"/>
  <c r="F55" i="37"/>
  <c r="F57" i="50"/>
  <c r="F56" i="59"/>
  <c r="C54" i="39"/>
  <c r="F54" i="62"/>
  <c r="E54" i="35"/>
  <c r="D14" i="47"/>
  <c r="D13" i="37"/>
  <c r="E13" i="37" s="1"/>
  <c r="D11" i="50"/>
  <c r="E11" i="50" s="1"/>
  <c r="F237" i="39"/>
  <c r="E237" i="41"/>
  <c r="E237" i="56"/>
  <c r="C230" i="41"/>
  <c r="E55" i="50"/>
  <c r="E57" i="59"/>
  <c r="E57" i="34"/>
  <c r="C56" i="62"/>
  <c r="C55" i="53"/>
  <c r="D55" i="47"/>
  <c r="D57" i="57"/>
  <c r="D57" i="38"/>
  <c r="F56" i="52"/>
  <c r="F54" i="41"/>
  <c r="D54" i="62"/>
  <c r="D54" i="36"/>
  <c r="E54" i="48"/>
  <c r="D14" i="38"/>
  <c r="F237" i="41"/>
  <c r="E230" i="55"/>
  <c r="E230" i="42"/>
  <c r="D237" i="39"/>
  <c r="C230" i="51"/>
  <c r="D237" i="35"/>
  <c r="C230" i="57"/>
  <c r="E56" i="38"/>
  <c r="E56" i="35"/>
  <c r="C55" i="44"/>
  <c r="C57" i="57"/>
  <c r="C57" i="36"/>
  <c r="D56" i="58"/>
  <c r="D56" i="39"/>
  <c r="F55" i="61"/>
  <c r="F55" i="33"/>
  <c r="F57" i="43"/>
  <c r="C54" i="36"/>
  <c r="E54" i="50"/>
  <c r="D14" i="61"/>
  <c r="D11" i="41"/>
  <c r="E11" i="41" s="1"/>
  <c r="D13" i="53"/>
  <c r="E13" i="53" s="1"/>
  <c r="F237" i="33"/>
  <c r="F230" i="35"/>
  <c r="F230" i="50"/>
  <c r="D237" i="41"/>
  <c r="C237" i="55"/>
  <c r="E237" i="58"/>
  <c r="C237" i="52"/>
  <c r="E55" i="62"/>
  <c r="E55" i="46"/>
  <c r="E57" i="56"/>
  <c r="C56" i="57"/>
  <c r="C55" i="56"/>
  <c r="D55" i="61"/>
  <c r="D56" i="37"/>
  <c r="F55" i="50"/>
  <c r="F57" i="59"/>
  <c r="F57" i="41"/>
  <c r="C54" i="61"/>
  <c r="C54" i="34"/>
  <c r="E54" i="47"/>
  <c r="D14" i="59"/>
  <c r="D11" i="38"/>
  <c r="E11" i="38" s="1"/>
  <c r="D13" i="50"/>
  <c r="E13" i="50" s="1"/>
  <c r="D11" i="61"/>
  <c r="E11" i="61" s="1"/>
  <c r="F237" i="59"/>
  <c r="F230" i="44"/>
  <c r="D237" i="34"/>
  <c r="C237" i="53"/>
  <c r="D230" i="44"/>
  <c r="E57" i="39"/>
  <c r="E56" i="39"/>
  <c r="C56" i="37"/>
  <c r="C55" i="36"/>
  <c r="D55" i="50"/>
  <c r="D57" i="59"/>
  <c r="D57" i="41"/>
  <c r="F56" i="53"/>
  <c r="F56" i="51"/>
  <c r="F54" i="43"/>
  <c r="D54" i="55"/>
  <c r="D54" i="56"/>
  <c r="D14" i="37"/>
  <c r="D11" i="39"/>
  <c r="E11" i="39" s="1"/>
  <c r="F230" i="57"/>
  <c r="F237" i="38"/>
  <c r="E237" i="53"/>
  <c r="D230" i="48"/>
  <c r="E237" i="43"/>
  <c r="D230" i="39"/>
  <c r="E55" i="39"/>
  <c r="E57" i="61"/>
  <c r="E57" i="43"/>
  <c r="C56" i="44"/>
  <c r="C55" i="43"/>
  <c r="D55" i="55"/>
  <c r="D55" i="36"/>
  <c r="D57" i="48"/>
  <c r="F56" i="58"/>
  <c r="F56" i="39"/>
  <c r="F54" i="52"/>
  <c r="F54" i="51"/>
  <c r="D54" i="46"/>
  <c r="E54" i="56"/>
  <c r="D14" i="48"/>
  <c r="E230" i="46"/>
  <c r="E237" i="51"/>
  <c r="D237" i="55"/>
  <c r="E237" i="54"/>
  <c r="D230" i="53"/>
  <c r="E55" i="42"/>
  <c r="E57" i="62"/>
  <c r="C56" i="38"/>
  <c r="D57" i="37"/>
  <c r="D56" i="50"/>
  <c r="F55" i="59"/>
  <c r="F55" i="41"/>
  <c r="F57" i="53"/>
  <c r="D54" i="51"/>
  <c r="C54" i="46"/>
  <c r="E54" i="57"/>
  <c r="D13" i="38"/>
  <c r="E13" i="38" s="1"/>
  <c r="D11" i="52"/>
  <c r="E11" i="52" s="1"/>
  <c r="D13" i="61"/>
  <c r="E13" i="61" s="1"/>
  <c r="F237" i="47"/>
  <c r="F230" i="52"/>
  <c r="E230" i="35"/>
  <c r="C237" i="47"/>
  <c r="D237" i="47"/>
  <c r="C237" i="41"/>
  <c r="E55" i="36"/>
  <c r="E57" i="48"/>
  <c r="C57" i="37"/>
  <c r="C56" i="54"/>
  <c r="D56" i="48"/>
  <c r="D55" i="58"/>
  <c r="F55" i="39"/>
  <c r="F57" i="61"/>
  <c r="F57" i="33"/>
  <c r="C54" i="42"/>
  <c r="F54" i="55"/>
  <c r="E54" i="43"/>
  <c r="D13" i="56"/>
  <c r="E13" i="56" s="1"/>
  <c r="D14" i="34"/>
  <c r="F230" i="62"/>
  <c r="E230" i="50"/>
  <c r="D237" i="51"/>
  <c r="C230" i="62"/>
  <c r="D230" i="62"/>
  <c r="C230" i="46"/>
  <c r="E56" i="43"/>
  <c r="C55" i="39"/>
  <c r="C57" i="62"/>
  <c r="C57" i="41"/>
  <c r="D57" i="51"/>
  <c r="D56" i="44"/>
  <c r="F55" i="55"/>
  <c r="F55" i="36"/>
  <c r="C54" i="57"/>
  <c r="C54" i="41"/>
  <c r="E54" i="62"/>
  <c r="D13" i="34"/>
  <c r="E13" i="34" s="1"/>
  <c r="D11" i="46"/>
  <c r="E11" i="46" s="1"/>
  <c r="D13" i="57"/>
  <c r="E13" i="57" s="1"/>
  <c r="F237" i="36"/>
  <c r="F230" i="43"/>
  <c r="F230" i="55"/>
  <c r="D237" i="61"/>
  <c r="C237" i="36"/>
  <c r="D237" i="36"/>
  <c r="C237" i="56"/>
  <c r="E57" i="42"/>
  <c r="E56" i="47"/>
  <c r="C56" i="35"/>
  <c r="C55" i="34"/>
  <c r="C57" i="54"/>
  <c r="D57" i="39"/>
  <c r="D56" i="61"/>
  <c r="F55" i="43"/>
  <c r="F57" i="54"/>
  <c r="D54" i="35"/>
  <c r="C54" i="48"/>
  <c r="E54" i="59"/>
  <c r="D13" i="41"/>
  <c r="E13" i="41" s="1"/>
  <c r="D11" i="54"/>
  <c r="E11" i="54" s="1"/>
  <c r="F237" i="62"/>
  <c r="F230" i="54"/>
  <c r="E230" i="38"/>
  <c r="D230" i="34"/>
  <c r="C237" i="62"/>
  <c r="D237" i="62"/>
  <c r="C237" i="46"/>
  <c r="E55" i="61"/>
  <c r="E55" i="48"/>
  <c r="E57" i="58"/>
  <c r="C57" i="39"/>
  <c r="C56" i="48"/>
  <c r="D56" i="41"/>
  <c r="D55" i="53"/>
  <c r="F55" i="51"/>
  <c r="F57" i="44"/>
  <c r="F56" i="55"/>
  <c r="C54" i="35"/>
  <c r="F54" i="50"/>
  <c r="D14" i="42"/>
  <c r="D13" i="51"/>
  <c r="E13" i="51" s="1"/>
  <c r="D11" i="44"/>
  <c r="E11" i="44" s="1"/>
  <c r="F237" i="51"/>
  <c r="E237" i="59"/>
  <c r="D230" i="54"/>
  <c r="E237" i="52"/>
  <c r="D230" i="50"/>
  <c r="E55" i="35"/>
  <c r="E57" i="47"/>
  <c r="E57" i="38"/>
  <c r="C56" i="39"/>
  <c r="C55" i="38"/>
  <c r="D55" i="51"/>
  <c r="D57" i="44"/>
  <c r="D56" i="55"/>
  <c r="F56" i="36"/>
  <c r="F57" i="58"/>
  <c r="D54" i="39"/>
  <c r="C54" i="53"/>
  <c r="E54" i="34"/>
  <c r="D13" i="46"/>
  <c r="E13" i="46" s="1"/>
  <c r="D11" i="58"/>
  <c r="E11" i="58" s="1"/>
  <c r="E230" i="51"/>
  <c r="E230" i="48"/>
  <c r="D230" i="46"/>
  <c r="C230" i="39"/>
  <c r="D237" i="43"/>
  <c r="C230" i="35"/>
  <c r="E56" i="53"/>
  <c r="E55" i="53"/>
  <c r="C55" i="50"/>
  <c r="C57" i="43"/>
  <c r="C57" i="58"/>
  <c r="D57" i="42"/>
  <c r="D56" i="62"/>
  <c r="F56" i="34"/>
  <c r="F55" i="46"/>
  <c r="F57" i="56"/>
  <c r="D54" i="37"/>
  <c r="D54" i="38"/>
  <c r="E54" i="52"/>
  <c r="D13" i="62"/>
  <c r="E13" i="62" s="1"/>
  <c r="D14" i="41"/>
  <c r="F237" i="46"/>
  <c r="E230" i="59"/>
  <c r="E230" i="47"/>
  <c r="D237" i="44"/>
  <c r="C230" i="37"/>
  <c r="D237" i="38"/>
  <c r="E57" i="51"/>
  <c r="E56" i="55"/>
  <c r="C55" i="55"/>
  <c r="C57" i="56"/>
  <c r="D55" i="37"/>
  <c r="D57" i="50"/>
  <c r="D56" i="59"/>
  <c r="F56" i="41"/>
  <c r="F55" i="53"/>
  <c r="D54" i="44"/>
  <c r="C54" i="56"/>
  <c r="E54" i="38"/>
  <c r="D13" i="52"/>
  <c r="E13" i="52" s="1"/>
  <c r="D11" i="62"/>
  <c r="E11" i="62" s="1"/>
  <c r="F230" i="42"/>
  <c r="E230" i="39"/>
  <c r="E230" i="54"/>
  <c r="D230" i="57"/>
  <c r="C230" i="50"/>
  <c r="C237" i="54"/>
  <c r="E55" i="59"/>
  <c r="E55" i="38"/>
  <c r="E57" i="52"/>
  <c r="C56" i="42"/>
  <c r="C55" i="52"/>
  <c r="D55" i="44"/>
  <c r="D57" i="55"/>
  <c r="D57" i="36"/>
  <c r="F55" i="58"/>
  <c r="F54" i="38"/>
  <c r="D54" i="61"/>
  <c r="D54" i="34"/>
  <c r="E54" i="46"/>
  <c r="D13" i="58"/>
  <c r="E13" i="58" s="1"/>
  <c r="D14" i="36"/>
  <c r="F230" i="58"/>
  <c r="E230" i="53"/>
  <c r="E230" i="36"/>
  <c r="D237" i="37"/>
  <c r="C230" i="58"/>
  <c r="D230" i="58"/>
  <c r="C230" i="61"/>
  <c r="E56" i="52"/>
  <c r="E55" i="54"/>
  <c r="C55" i="42"/>
  <c r="C57" i="55"/>
  <c r="C57" i="46"/>
  <c r="D57" i="35"/>
  <c r="D56" i="47"/>
  <c r="F55" i="57"/>
  <c r="F55" i="38"/>
  <c r="F57" i="52"/>
  <c r="C54" i="43"/>
  <c r="E54" i="55"/>
  <c r="D13" i="36"/>
  <c r="E13" i="36" s="1"/>
  <c r="D11" i="48"/>
  <c r="E11" i="48" s="1"/>
  <c r="D13" i="59"/>
  <c r="E13" i="59" s="1"/>
  <c r="F237" i="42"/>
  <c r="F230" i="59"/>
  <c r="D237" i="57"/>
  <c r="C237" i="42"/>
  <c r="D237" i="42"/>
  <c r="C237" i="34"/>
  <c r="E55" i="55"/>
  <c r="E55" i="43"/>
  <c r="E57" i="54"/>
  <c r="C57" i="35"/>
  <c r="C56" i="53"/>
  <c r="D56" i="46"/>
  <c r="D55" i="56"/>
  <c r="F56" i="43"/>
  <c r="F55" i="54"/>
  <c r="F54" i="34"/>
  <c r="D54" i="47"/>
  <c r="C54" i="58"/>
  <c r="E54" i="41"/>
  <c r="D13" i="54"/>
  <c r="E13" i="54" s="1"/>
  <c r="F230" i="47"/>
  <c r="E230" i="44"/>
  <c r="E230" i="56"/>
  <c r="C230" i="47"/>
  <c r="D230" i="47"/>
  <c r="F237" i="54"/>
  <c r="C237" i="51"/>
  <c r="D230" i="55"/>
  <c r="F98" i="51"/>
  <c r="F98" i="44"/>
  <c r="F98" i="47"/>
  <c r="F98" i="61"/>
  <c r="F98" i="55"/>
  <c r="F98" i="59"/>
  <c r="O285" i="30" l="1"/>
  <c r="A418" i="64"/>
  <c r="A418" i="5"/>
  <c r="F73" i="62"/>
  <c r="F64" i="62"/>
  <c r="F121" i="62"/>
  <c r="F106" i="62"/>
  <c r="F63" i="62"/>
  <c r="F120" i="62"/>
  <c r="F107" i="62"/>
  <c r="F48" i="52"/>
  <c r="F165" i="62"/>
  <c r="W176" i="32"/>
  <c r="C47" i="62"/>
  <c r="D48" i="62"/>
  <c r="D295" i="67"/>
  <c r="Y98" i="55"/>
  <c r="Y55" i="43"/>
  <c r="V54" i="43"/>
  <c r="Y57" i="52"/>
  <c r="V57" i="55"/>
  <c r="V55" i="42"/>
  <c r="X55" i="55"/>
  <c r="W57" i="42"/>
  <c r="V57" i="43"/>
  <c r="F230" i="48"/>
  <c r="Y55" i="55"/>
  <c r="X57" i="42"/>
  <c r="X55" i="43"/>
  <c r="Y57" i="33"/>
  <c r="Y54" i="52"/>
  <c r="X57" i="43"/>
  <c r="C304" i="67"/>
  <c r="Y54" i="33"/>
  <c r="E295" i="67"/>
  <c r="X55" i="52"/>
  <c r="W57" i="55"/>
  <c r="X57" i="52"/>
  <c r="W55" i="55"/>
  <c r="F295" i="67"/>
  <c r="D304" i="67"/>
  <c r="Y57" i="43"/>
  <c r="X57" i="55"/>
  <c r="W55" i="52"/>
  <c r="W55" i="43"/>
  <c r="E304" i="67"/>
  <c r="Y57" i="42"/>
  <c r="Y87" i="42" s="1"/>
  <c r="V57" i="42"/>
  <c r="Y55" i="42"/>
  <c r="W57" i="52"/>
  <c r="X55" i="42"/>
  <c r="X62" i="42" s="1"/>
  <c r="W55" i="42"/>
  <c r="X54" i="33"/>
  <c r="X114" i="33"/>
  <c r="W114" i="33"/>
  <c r="Y116" i="55"/>
  <c r="W114" i="52"/>
  <c r="X114" i="52"/>
  <c r="Y113" i="52"/>
  <c r="Y114" i="52"/>
  <c r="Y113" i="33"/>
  <c r="W113" i="52"/>
  <c r="X116" i="42"/>
  <c r="X87" i="42" s="1"/>
  <c r="W114" i="42"/>
  <c r="X101" i="33"/>
  <c r="X99" i="33"/>
  <c r="X98" i="33"/>
  <c r="Y113" i="43"/>
  <c r="V114" i="42"/>
  <c r="V121" i="42" s="1"/>
  <c r="X114" i="55"/>
  <c r="X114" i="43"/>
  <c r="V116" i="52"/>
  <c r="V123" i="52" s="1"/>
  <c r="Y113" i="42"/>
  <c r="X101" i="43"/>
  <c r="Y114" i="43"/>
  <c r="Y55" i="52"/>
  <c r="C295" i="67"/>
  <c r="V55" i="52"/>
  <c r="F304" i="67"/>
  <c r="V55" i="55"/>
  <c r="V57" i="52"/>
  <c r="V55" i="43"/>
  <c r="F237" i="48"/>
  <c r="W57" i="43"/>
  <c r="W64" i="43" s="1"/>
  <c r="Y57" i="55"/>
  <c r="V114" i="52"/>
  <c r="V121" i="52" s="1"/>
  <c r="W116" i="55"/>
  <c r="Y114" i="33"/>
  <c r="Y121" i="33" s="1"/>
  <c r="Y116" i="42"/>
  <c r="V116" i="55"/>
  <c r="V123" i="55" s="1"/>
  <c r="X113" i="42"/>
  <c r="X99" i="55"/>
  <c r="X101" i="42"/>
  <c r="V116" i="33"/>
  <c r="X101" i="52"/>
  <c r="X108" i="52" s="1"/>
  <c r="X99" i="52"/>
  <c r="X71" i="52" s="1"/>
  <c r="X113" i="43"/>
  <c r="Y116" i="52"/>
  <c r="V113" i="33"/>
  <c r="X98" i="55"/>
  <c r="Y114" i="42"/>
  <c r="X116" i="43"/>
  <c r="W116" i="52"/>
  <c r="W87" i="52" s="1"/>
  <c r="W116" i="42"/>
  <c r="W87" i="42" s="1"/>
  <c r="W114" i="43"/>
  <c r="X116" i="33"/>
  <c r="X116" i="55"/>
  <c r="W116" i="43"/>
  <c r="W99" i="33"/>
  <c r="W101" i="55"/>
  <c r="Y114" i="55"/>
  <c r="Y101" i="33"/>
  <c r="Y73" i="33" s="1"/>
  <c r="X99" i="43"/>
  <c r="W99" i="52"/>
  <c r="W98" i="42"/>
  <c r="W102" i="42" s="1"/>
  <c r="V114" i="55"/>
  <c r="V121" i="55" s="1"/>
  <c r="Y116" i="43"/>
  <c r="W101" i="52"/>
  <c r="W114" i="55"/>
  <c r="V116" i="42"/>
  <c r="V123" i="42" s="1"/>
  <c r="V101" i="52"/>
  <c r="V108" i="52" s="1"/>
  <c r="V99" i="43"/>
  <c r="V106" i="43" s="1"/>
  <c r="Y101" i="43"/>
  <c r="W101" i="43"/>
  <c r="Y98" i="33"/>
  <c r="Y99" i="43"/>
  <c r="V101" i="42"/>
  <c r="V108" i="42" s="1"/>
  <c r="V99" i="42"/>
  <c r="V106" i="42" s="1"/>
  <c r="Y99" i="33"/>
  <c r="V99" i="33"/>
  <c r="F73" i="48"/>
  <c r="V114" i="43"/>
  <c r="V121" i="43" s="1"/>
  <c r="X116" i="52"/>
  <c r="Y116" i="33"/>
  <c r="V116" i="43"/>
  <c r="V123" i="43" s="1"/>
  <c r="W116" i="33"/>
  <c r="W123" i="33" s="1"/>
  <c r="X114" i="42"/>
  <c r="X101" i="55"/>
  <c r="W98" i="33"/>
  <c r="W101" i="33"/>
  <c r="W73" i="33" s="1"/>
  <c r="W99" i="42"/>
  <c r="X99" i="42"/>
  <c r="W99" i="43"/>
  <c r="W106" i="43" s="1"/>
  <c r="Y101" i="42"/>
  <c r="Y101" i="52"/>
  <c r="W99" i="55"/>
  <c r="V101" i="43"/>
  <c r="V108" i="43" s="1"/>
  <c r="V101" i="55"/>
  <c r="V108" i="55" s="1"/>
  <c r="W101" i="42"/>
  <c r="Y101" i="55"/>
  <c r="Y99" i="42"/>
  <c r="Y71" i="42" s="1"/>
  <c r="Y99" i="52"/>
  <c r="Y99" i="55"/>
  <c r="V101" i="33"/>
  <c r="V99" i="52"/>
  <c r="V106" i="52" s="1"/>
  <c r="V99" i="55"/>
  <c r="V106" i="55" s="1"/>
  <c r="F87" i="48"/>
  <c r="F84" i="48"/>
  <c r="F70" i="48"/>
  <c r="F58" i="48"/>
  <c r="F165" i="48"/>
  <c r="F117" i="48"/>
  <c r="F168" i="48" s="1"/>
  <c r="F43" i="48"/>
  <c r="F86" i="48"/>
  <c r="F72" i="48"/>
  <c r="V113" i="52"/>
  <c r="Y108" i="33"/>
  <c r="F102" i="48"/>
  <c r="F162" i="48" s="1"/>
  <c r="E47" i="48"/>
  <c r="W98" i="52"/>
  <c r="E48" i="48"/>
  <c r="X113" i="33"/>
  <c r="W113" i="43"/>
  <c r="Y123" i="55"/>
  <c r="Y98" i="43"/>
  <c r="V98" i="55"/>
  <c r="V105" i="55" s="1"/>
  <c r="V98" i="33"/>
  <c r="V105" i="33" s="1"/>
  <c r="X54" i="52"/>
  <c r="X108" i="42"/>
  <c r="X113" i="52"/>
  <c r="X117" i="52" s="1"/>
  <c r="X106" i="42"/>
  <c r="W54" i="42"/>
  <c r="V113" i="42"/>
  <c r="V120" i="42" s="1"/>
  <c r="W54" i="52"/>
  <c r="W58" i="52" s="1"/>
  <c r="W113" i="33"/>
  <c r="W84" i="33" s="1"/>
  <c r="F48" i="38"/>
  <c r="F48" i="51"/>
  <c r="D47" i="56"/>
  <c r="E47" i="62"/>
  <c r="F48" i="41"/>
  <c r="F48" i="35"/>
  <c r="D48" i="38"/>
  <c r="F48" i="59"/>
  <c r="D48" i="41"/>
  <c r="E48" i="35"/>
  <c r="D47" i="54"/>
  <c r="D48" i="43"/>
  <c r="E48" i="38"/>
  <c r="E47" i="34"/>
  <c r="D48" i="50"/>
  <c r="F47" i="61"/>
  <c r="E47" i="61"/>
  <c r="E48" i="50"/>
  <c r="F48" i="50"/>
  <c r="F47" i="57"/>
  <c r="D48" i="48"/>
  <c r="D48" i="58"/>
  <c r="F47" i="43"/>
  <c r="W113" i="42"/>
  <c r="W117" i="42" s="1"/>
  <c r="X54" i="55"/>
  <c r="D47" i="53"/>
  <c r="F48" i="43"/>
  <c r="E48" i="43"/>
  <c r="D48" i="56"/>
  <c r="Y108" i="52"/>
  <c r="Y98" i="52"/>
  <c r="Y70" i="52" s="1"/>
  <c r="F47" i="55"/>
  <c r="Y87" i="52"/>
  <c r="Y64" i="52"/>
  <c r="Y73" i="52"/>
  <c r="X64" i="52"/>
  <c r="X87" i="52"/>
  <c r="Y84" i="52"/>
  <c r="W62" i="52"/>
  <c r="Y62" i="42"/>
  <c r="Y85" i="42"/>
  <c r="W64" i="52"/>
  <c r="W73" i="52"/>
  <c r="X85" i="42"/>
  <c r="X71" i="42"/>
  <c r="X117" i="42"/>
  <c r="W102" i="52"/>
  <c r="E7" i="54"/>
  <c r="E7" i="37"/>
  <c r="E7" i="34"/>
  <c r="E7" i="55"/>
  <c r="E7" i="41"/>
  <c r="E7" i="57"/>
  <c r="E7" i="42"/>
  <c r="E7" i="47"/>
  <c r="E7" i="35"/>
  <c r="E7" i="43"/>
  <c r="E7" i="44"/>
  <c r="E7" i="50"/>
  <c r="E7" i="36"/>
  <c r="Y54" i="42"/>
  <c r="V54" i="52"/>
  <c r="Y61" i="52" s="1"/>
  <c r="X54" i="42"/>
  <c r="Y123" i="52"/>
  <c r="Y121" i="42"/>
  <c r="X121" i="42"/>
  <c r="X98" i="42"/>
  <c r="Y98" i="42"/>
  <c r="X62" i="52"/>
  <c r="X85" i="52"/>
  <c r="V85" i="42"/>
  <c r="V91" i="42" s="1"/>
  <c r="V62" i="42"/>
  <c r="W64" i="42"/>
  <c r="W73" i="42"/>
  <c r="X64" i="42"/>
  <c r="X73" i="42"/>
  <c r="Y71" i="52"/>
  <c r="V62" i="52"/>
  <c r="V71" i="52"/>
  <c r="V77" i="52" s="1"/>
  <c r="V85" i="52"/>
  <c r="V91" i="52" s="1"/>
  <c r="V64" i="52"/>
  <c r="V73" i="52"/>
  <c r="V79" i="52" s="1"/>
  <c r="V120" i="52"/>
  <c r="Y120" i="52"/>
  <c r="W120" i="52"/>
  <c r="Y120" i="42"/>
  <c r="Y117" i="42"/>
  <c r="E7" i="58"/>
  <c r="E7" i="59"/>
  <c r="E7" i="46"/>
  <c r="E7" i="56"/>
  <c r="E7" i="53"/>
  <c r="E7" i="38"/>
  <c r="E7" i="52"/>
  <c r="E7" i="61"/>
  <c r="E7" i="48"/>
  <c r="E7" i="39"/>
  <c r="V54" i="42"/>
  <c r="W121" i="52"/>
  <c r="X121" i="52"/>
  <c r="X98" i="52"/>
  <c r="V98" i="42"/>
  <c r="W105" i="42" s="1"/>
  <c r="V98" i="52"/>
  <c r="V61" i="43"/>
  <c r="V58" i="43"/>
  <c r="V65" i="43" s="1"/>
  <c r="V87" i="55"/>
  <c r="V93" i="55" s="1"/>
  <c r="V64" i="55"/>
  <c r="W64" i="55"/>
  <c r="W73" i="55"/>
  <c r="W87" i="55"/>
  <c r="X85" i="43"/>
  <c r="X62" i="43"/>
  <c r="X71" i="43"/>
  <c r="Y64" i="33"/>
  <c r="Y87" i="33"/>
  <c r="X87" i="43"/>
  <c r="X64" i="43"/>
  <c r="X73" i="43"/>
  <c r="Y84" i="33"/>
  <c r="Y70" i="33"/>
  <c r="Y61" i="33"/>
  <c r="Y58" i="33"/>
  <c r="Y65" i="33" s="1"/>
  <c r="X87" i="55"/>
  <c r="X64" i="55"/>
  <c r="X73" i="55"/>
  <c r="W62" i="43"/>
  <c r="W71" i="43"/>
  <c r="W85" i="43"/>
  <c r="Y64" i="55"/>
  <c r="Y73" i="55"/>
  <c r="W121" i="33"/>
  <c r="W85" i="33"/>
  <c r="W91" i="33" s="1"/>
  <c r="X120" i="33"/>
  <c r="X117" i="33"/>
  <c r="W120" i="33"/>
  <c r="V123" i="33"/>
  <c r="V87" i="33"/>
  <c r="V93" i="33" s="1"/>
  <c r="X117" i="43"/>
  <c r="V120" i="33"/>
  <c r="V117" i="33"/>
  <c r="V84" i="33"/>
  <c r="V90" i="33" s="1"/>
  <c r="W87" i="33"/>
  <c r="W70" i="33"/>
  <c r="V108" i="33"/>
  <c r="V73" i="33"/>
  <c r="V79" i="33" s="1"/>
  <c r="Y54" i="55"/>
  <c r="Y54" i="43"/>
  <c r="V54" i="55"/>
  <c r="Y123" i="33"/>
  <c r="W98" i="55"/>
  <c r="Y123" i="43"/>
  <c r="W98" i="43"/>
  <c r="Y108" i="43"/>
  <c r="V98" i="43"/>
  <c r="Y105" i="55"/>
  <c r="Y102" i="55"/>
  <c r="Y62" i="43"/>
  <c r="Y71" i="43"/>
  <c r="Y85" i="43"/>
  <c r="X85" i="55"/>
  <c r="X71" i="55"/>
  <c r="V87" i="43"/>
  <c r="V93" i="43" s="1"/>
  <c r="V64" i="43"/>
  <c r="V73" i="43"/>
  <c r="V79" i="43" s="1"/>
  <c r="W62" i="55"/>
  <c r="W71" i="55"/>
  <c r="W85" i="55"/>
  <c r="Y71" i="55"/>
  <c r="Y85" i="55"/>
  <c r="Y64" i="43"/>
  <c r="Y73" i="43"/>
  <c r="Y87" i="43"/>
  <c r="V85" i="43"/>
  <c r="V91" i="43" s="1"/>
  <c r="V62" i="43"/>
  <c r="V71" i="43"/>
  <c r="V77" i="43" s="1"/>
  <c r="W73" i="43"/>
  <c r="X84" i="33"/>
  <c r="X61" i="33"/>
  <c r="X70" i="33"/>
  <c r="X58" i="33"/>
  <c r="X65" i="33" s="1"/>
  <c r="X121" i="33"/>
  <c r="X85" i="33"/>
  <c r="X91" i="33" s="1"/>
  <c r="Y117" i="33"/>
  <c r="Y120" i="33"/>
  <c r="X108" i="33"/>
  <c r="X73" i="33"/>
  <c r="X106" i="33"/>
  <c r="X71" i="33"/>
  <c r="X102" i="33"/>
  <c r="Y117" i="43"/>
  <c r="X123" i="33"/>
  <c r="X87" i="33"/>
  <c r="W106" i="33"/>
  <c r="W71" i="33"/>
  <c r="V102" i="55"/>
  <c r="V102" i="33"/>
  <c r="Y106" i="33"/>
  <c r="Y71" i="33"/>
  <c r="V106" i="33"/>
  <c r="V71" i="33"/>
  <c r="V77" i="33" s="1"/>
  <c r="X54" i="43"/>
  <c r="W54" i="55"/>
  <c r="W54" i="43"/>
  <c r="V113" i="43"/>
  <c r="X123" i="55"/>
  <c r="X113" i="55"/>
  <c r="W113" i="55"/>
  <c r="V113" i="55"/>
  <c r="Y113" i="55"/>
  <c r="X98" i="43"/>
  <c r="Y106" i="43"/>
  <c r="F102" i="55"/>
  <c r="F105" i="55"/>
  <c r="C58" i="58"/>
  <c r="C65" i="58" s="1"/>
  <c r="C70" i="58"/>
  <c r="C76" i="58" s="1"/>
  <c r="C84" i="58"/>
  <c r="C61" i="58"/>
  <c r="F72" i="43"/>
  <c r="F86" i="43"/>
  <c r="F63" i="43"/>
  <c r="C73" i="35"/>
  <c r="C87" i="35"/>
  <c r="C93" i="35" s="1"/>
  <c r="C64" i="35"/>
  <c r="E70" i="55"/>
  <c r="E58" i="55"/>
  <c r="E84" i="55"/>
  <c r="E61" i="55"/>
  <c r="F71" i="38"/>
  <c r="F85" i="38"/>
  <c r="F62" i="38"/>
  <c r="C73" i="46"/>
  <c r="C79" i="46" s="1"/>
  <c r="C87" i="46"/>
  <c r="C64" i="46"/>
  <c r="C71" i="42"/>
  <c r="C77" i="42" s="1"/>
  <c r="C85" i="42"/>
  <c r="C91" i="42" s="1"/>
  <c r="C62" i="42"/>
  <c r="E63" i="52"/>
  <c r="E86" i="52"/>
  <c r="E72" i="52"/>
  <c r="D15" i="36"/>
  <c r="E14" i="36"/>
  <c r="D70" i="61"/>
  <c r="D84" i="61"/>
  <c r="D58" i="61"/>
  <c r="D61" i="61"/>
  <c r="D73" i="36"/>
  <c r="D87" i="36"/>
  <c r="D64" i="36"/>
  <c r="E58" i="38"/>
  <c r="E70" i="38"/>
  <c r="E61" i="38"/>
  <c r="E84" i="38"/>
  <c r="F102" i="59"/>
  <c r="F105" i="59"/>
  <c r="F102" i="61"/>
  <c r="F105" i="61"/>
  <c r="F102" i="44"/>
  <c r="F162" i="44" s="1"/>
  <c r="F105" i="44"/>
  <c r="E58" i="41"/>
  <c r="E70" i="41"/>
  <c r="E84" i="41"/>
  <c r="E61" i="41"/>
  <c r="D58" i="47"/>
  <c r="D70" i="47"/>
  <c r="D61" i="47"/>
  <c r="D84" i="47"/>
  <c r="F71" i="54"/>
  <c r="F85" i="54"/>
  <c r="F62" i="54"/>
  <c r="D85" i="56"/>
  <c r="D71" i="56"/>
  <c r="D62" i="56"/>
  <c r="C63" i="53"/>
  <c r="C86" i="53"/>
  <c r="C92" i="53" s="1"/>
  <c r="C72" i="53"/>
  <c r="C78" i="53" s="1"/>
  <c r="E73" i="54"/>
  <c r="E87" i="54"/>
  <c r="E64" i="54"/>
  <c r="E85" i="55"/>
  <c r="E62" i="55"/>
  <c r="E71" i="55"/>
  <c r="C58" i="43"/>
  <c r="C65" i="43" s="1"/>
  <c r="C70" i="43"/>
  <c r="C76" i="43" s="1"/>
  <c r="C84" i="43"/>
  <c r="C61" i="43"/>
  <c r="F73" i="52"/>
  <c r="F87" i="52"/>
  <c r="F64" i="52"/>
  <c r="F71" i="57"/>
  <c r="F62" i="57"/>
  <c r="F85" i="57"/>
  <c r="D73" i="35"/>
  <c r="D87" i="35"/>
  <c r="D64" i="35"/>
  <c r="C73" i="55"/>
  <c r="C79" i="55" s="1"/>
  <c r="C87" i="55"/>
  <c r="C93" i="55" s="1"/>
  <c r="C64" i="55"/>
  <c r="E71" i="54"/>
  <c r="E85" i="54"/>
  <c r="E62" i="54"/>
  <c r="D58" i="34"/>
  <c r="D84" i="34"/>
  <c r="D70" i="34"/>
  <c r="D61" i="34"/>
  <c r="F70" i="38"/>
  <c r="F84" i="38"/>
  <c r="F58" i="38"/>
  <c r="F61" i="38"/>
  <c r="D73" i="55"/>
  <c r="D87" i="55"/>
  <c r="D64" i="55"/>
  <c r="C85" i="52"/>
  <c r="C91" i="52" s="1"/>
  <c r="C71" i="52"/>
  <c r="C77" i="52" s="1"/>
  <c r="C62" i="52"/>
  <c r="E73" i="52"/>
  <c r="E87" i="52"/>
  <c r="E64" i="52"/>
  <c r="E71" i="59"/>
  <c r="E77" i="59" s="1"/>
  <c r="E85" i="59"/>
  <c r="E91" i="59" s="1"/>
  <c r="E62" i="59"/>
  <c r="C58" i="56"/>
  <c r="C84" i="56"/>
  <c r="C70" i="56"/>
  <c r="C61" i="56"/>
  <c r="F85" i="53"/>
  <c r="F71" i="53"/>
  <c r="F62" i="53"/>
  <c r="D86" i="59"/>
  <c r="D72" i="59"/>
  <c r="D63" i="59"/>
  <c r="D85" i="37"/>
  <c r="D71" i="37"/>
  <c r="D62" i="37"/>
  <c r="C71" i="55"/>
  <c r="C77" i="55" s="1"/>
  <c r="C85" i="55"/>
  <c r="C91" i="55" s="1"/>
  <c r="C62" i="55"/>
  <c r="E73" i="51"/>
  <c r="E87" i="51"/>
  <c r="E64" i="51"/>
  <c r="D15" i="41"/>
  <c r="E14" i="41"/>
  <c r="E58" i="52"/>
  <c r="E61" i="52"/>
  <c r="E70" i="52"/>
  <c r="E84" i="52"/>
  <c r="D58" i="37"/>
  <c r="D70" i="37"/>
  <c r="D84" i="37"/>
  <c r="D61" i="37"/>
  <c r="F71" i="46"/>
  <c r="F85" i="46"/>
  <c r="F62" i="46"/>
  <c r="D72" i="62"/>
  <c r="D86" i="62"/>
  <c r="D63" i="62"/>
  <c r="C73" i="58"/>
  <c r="C79" i="58" s="1"/>
  <c r="C87" i="58"/>
  <c r="C93" i="58" s="1"/>
  <c r="C64" i="58"/>
  <c r="C85" i="50"/>
  <c r="C91" i="50" s="1"/>
  <c r="C71" i="50"/>
  <c r="C77" i="50" s="1"/>
  <c r="C62" i="50"/>
  <c r="E86" i="53"/>
  <c r="E92" i="53" s="1"/>
  <c r="E72" i="53"/>
  <c r="E78" i="53" s="1"/>
  <c r="E63" i="53"/>
  <c r="C58" i="53"/>
  <c r="C65" i="53" s="1"/>
  <c r="C70" i="53"/>
  <c r="C84" i="53"/>
  <c r="C61" i="53"/>
  <c r="F73" i="58"/>
  <c r="F87" i="58"/>
  <c r="F64" i="58"/>
  <c r="F72" i="36"/>
  <c r="F86" i="36"/>
  <c r="F63" i="36"/>
  <c r="D73" i="44"/>
  <c r="D87" i="44"/>
  <c r="D64" i="44"/>
  <c r="C71" i="38"/>
  <c r="C77" i="38" s="1"/>
  <c r="C85" i="38"/>
  <c r="C91" i="38" s="1"/>
  <c r="C62" i="38"/>
  <c r="E87" i="38"/>
  <c r="E73" i="38"/>
  <c r="E64" i="38"/>
  <c r="E71" i="35"/>
  <c r="E85" i="35"/>
  <c r="E62" i="35"/>
  <c r="C58" i="35"/>
  <c r="C65" i="35" s="1"/>
  <c r="C70" i="35"/>
  <c r="C76" i="35" s="1"/>
  <c r="C84" i="35"/>
  <c r="C61" i="35"/>
  <c r="F73" i="44"/>
  <c r="F87" i="44"/>
  <c r="F64" i="44"/>
  <c r="D71" i="53"/>
  <c r="D85" i="53"/>
  <c r="D62" i="53"/>
  <c r="C72" i="48"/>
  <c r="C86" i="48"/>
  <c r="C92" i="48" s="1"/>
  <c r="C63" i="48"/>
  <c r="E73" i="58"/>
  <c r="E87" i="58"/>
  <c r="E64" i="58"/>
  <c r="E85" i="61"/>
  <c r="E71" i="61"/>
  <c r="E62" i="61"/>
  <c r="E70" i="59"/>
  <c r="E76" i="59" s="1"/>
  <c r="E84" i="59"/>
  <c r="E90" i="59" s="1"/>
  <c r="E58" i="59"/>
  <c r="E65" i="59" s="1"/>
  <c r="E61" i="59"/>
  <c r="D58" i="35"/>
  <c r="D84" i="35"/>
  <c r="D70" i="35"/>
  <c r="D76" i="35" s="1"/>
  <c r="D61" i="35"/>
  <c r="F85" i="43"/>
  <c r="F71" i="43"/>
  <c r="F62" i="43"/>
  <c r="D73" i="39"/>
  <c r="D87" i="39"/>
  <c r="D64" i="39"/>
  <c r="C71" i="34"/>
  <c r="C77" i="34" s="1"/>
  <c r="C85" i="34"/>
  <c r="C62" i="34"/>
  <c r="E72" i="47"/>
  <c r="E86" i="47"/>
  <c r="E63" i="47"/>
  <c r="E70" i="62"/>
  <c r="E84" i="62"/>
  <c r="E58" i="62"/>
  <c r="C58" i="57"/>
  <c r="C70" i="57"/>
  <c r="C76" i="57" s="1"/>
  <c r="C84" i="57"/>
  <c r="C90" i="57" s="1"/>
  <c r="C61" i="57"/>
  <c r="F71" i="36"/>
  <c r="F85" i="36"/>
  <c r="F62" i="36"/>
  <c r="D72" i="44"/>
  <c r="D86" i="44"/>
  <c r="D63" i="44"/>
  <c r="C73" i="41"/>
  <c r="C87" i="41"/>
  <c r="C93" i="41" s="1"/>
  <c r="C64" i="41"/>
  <c r="C71" i="39"/>
  <c r="C85" i="39"/>
  <c r="C91" i="39" s="1"/>
  <c r="C62" i="39"/>
  <c r="E72" i="43"/>
  <c r="E86" i="43"/>
  <c r="E63" i="43"/>
  <c r="F58" i="55"/>
  <c r="F70" i="55"/>
  <c r="F84" i="55"/>
  <c r="F61" i="55"/>
  <c r="F73" i="33"/>
  <c r="F87" i="33"/>
  <c r="F93" i="33" s="1"/>
  <c r="F64" i="33"/>
  <c r="F85" i="39"/>
  <c r="F71" i="39"/>
  <c r="F62" i="39"/>
  <c r="D72" i="48"/>
  <c r="D78" i="48" s="1"/>
  <c r="D86" i="48"/>
  <c r="D92" i="48" s="1"/>
  <c r="D63" i="48"/>
  <c r="C73" i="37"/>
  <c r="C79" i="37" s="1"/>
  <c r="C87" i="37"/>
  <c r="C93" i="37" s="1"/>
  <c r="C64" i="37"/>
  <c r="E71" i="36"/>
  <c r="E62" i="36"/>
  <c r="E85" i="36"/>
  <c r="C58" i="46"/>
  <c r="C65" i="46" s="1"/>
  <c r="C70" i="46"/>
  <c r="C84" i="46"/>
  <c r="C61" i="46"/>
  <c r="F87" i="53"/>
  <c r="F73" i="53"/>
  <c r="F64" i="53"/>
  <c r="F71" i="59"/>
  <c r="F85" i="59"/>
  <c r="F62" i="59"/>
  <c r="D73" i="37"/>
  <c r="D79" i="37" s="1"/>
  <c r="D87" i="37"/>
  <c r="D93" i="37" s="1"/>
  <c r="D64" i="37"/>
  <c r="E71" i="42"/>
  <c r="E85" i="42"/>
  <c r="E62" i="42"/>
  <c r="E14" i="48"/>
  <c r="D15" i="48"/>
  <c r="D58" i="46"/>
  <c r="D70" i="46"/>
  <c r="D61" i="46"/>
  <c r="D84" i="46"/>
  <c r="D90" i="46" s="1"/>
  <c r="F70" i="52"/>
  <c r="F61" i="52"/>
  <c r="F58" i="52"/>
  <c r="F84" i="52"/>
  <c r="F86" i="58"/>
  <c r="F72" i="58"/>
  <c r="F63" i="58"/>
  <c r="D71" i="36"/>
  <c r="D85" i="36"/>
  <c r="D62" i="36"/>
  <c r="C85" i="43"/>
  <c r="C91" i="43" s="1"/>
  <c r="C71" i="43"/>
  <c r="C77" i="43" s="1"/>
  <c r="C62" i="43"/>
  <c r="E87" i="43"/>
  <c r="E64" i="43"/>
  <c r="E73" i="43"/>
  <c r="E85" i="39"/>
  <c r="E71" i="39"/>
  <c r="E62" i="39"/>
  <c r="D70" i="56"/>
  <c r="D84" i="56"/>
  <c r="D58" i="56"/>
  <c r="D61" i="56"/>
  <c r="F58" i="43"/>
  <c r="F70" i="43"/>
  <c r="F84" i="43"/>
  <c r="F61" i="43"/>
  <c r="F86" i="53"/>
  <c r="F72" i="53"/>
  <c r="F63" i="53"/>
  <c r="D73" i="59"/>
  <c r="D87" i="59"/>
  <c r="D64" i="59"/>
  <c r="C85" i="36"/>
  <c r="C91" i="36" s="1"/>
  <c r="C71" i="36"/>
  <c r="C77" i="36" s="1"/>
  <c r="C62" i="36"/>
  <c r="E72" i="39"/>
  <c r="E86" i="39"/>
  <c r="E63" i="39"/>
  <c r="D15" i="59"/>
  <c r="E14" i="59"/>
  <c r="C58" i="34"/>
  <c r="C65" i="34" s="1"/>
  <c r="C70" i="34"/>
  <c r="C76" i="34" s="1"/>
  <c r="C84" i="34"/>
  <c r="C61" i="34"/>
  <c r="F73" i="41"/>
  <c r="F87" i="41"/>
  <c r="F93" i="41" s="1"/>
  <c r="F64" i="41"/>
  <c r="F71" i="50"/>
  <c r="F85" i="50"/>
  <c r="F62" i="50"/>
  <c r="D85" i="61"/>
  <c r="D71" i="61"/>
  <c r="D62" i="61"/>
  <c r="C72" i="57"/>
  <c r="C86" i="57"/>
  <c r="C92" i="57" s="1"/>
  <c r="C63" i="57"/>
  <c r="E71" i="46"/>
  <c r="E62" i="46"/>
  <c r="E85" i="46"/>
  <c r="F102" i="47"/>
  <c r="F105" i="47"/>
  <c r="F102" i="51"/>
  <c r="F162" i="51" s="1"/>
  <c r="F105" i="51"/>
  <c r="F58" i="34"/>
  <c r="F70" i="34"/>
  <c r="F84" i="34"/>
  <c r="F61" i="34"/>
  <c r="D72" i="46"/>
  <c r="D86" i="46"/>
  <c r="D63" i="46"/>
  <c r="E71" i="43"/>
  <c r="E62" i="43"/>
  <c r="E85" i="43"/>
  <c r="D72" i="47"/>
  <c r="D63" i="47"/>
  <c r="D86" i="47"/>
  <c r="E70" i="46"/>
  <c r="E61" i="46"/>
  <c r="E58" i="46"/>
  <c r="E65" i="46" s="1"/>
  <c r="E84" i="46"/>
  <c r="F85" i="58"/>
  <c r="F71" i="58"/>
  <c r="F62" i="58"/>
  <c r="D71" i="44"/>
  <c r="D85" i="44"/>
  <c r="D62" i="44"/>
  <c r="C72" i="42"/>
  <c r="C86" i="42"/>
  <c r="C92" i="42" s="1"/>
  <c r="C63" i="42"/>
  <c r="E85" i="38"/>
  <c r="E62" i="38"/>
  <c r="E71" i="38"/>
  <c r="D58" i="44"/>
  <c r="D70" i="44"/>
  <c r="D84" i="44"/>
  <c r="D61" i="44"/>
  <c r="F72" i="41"/>
  <c r="F86" i="41"/>
  <c r="F63" i="41"/>
  <c r="D73" i="50"/>
  <c r="D87" i="50"/>
  <c r="D64" i="50"/>
  <c r="C73" i="56"/>
  <c r="C87" i="56"/>
  <c r="C64" i="56"/>
  <c r="E72" i="55"/>
  <c r="E86" i="55"/>
  <c r="E63" i="55"/>
  <c r="D84" i="38"/>
  <c r="D70" i="38"/>
  <c r="D58" i="38"/>
  <c r="D61" i="38"/>
  <c r="F87" i="56"/>
  <c r="F73" i="56"/>
  <c r="F64" i="56"/>
  <c r="F72" i="34"/>
  <c r="F86" i="34"/>
  <c r="F63" i="34"/>
  <c r="D73" i="42"/>
  <c r="D87" i="42"/>
  <c r="D64" i="42"/>
  <c r="C73" i="43"/>
  <c r="C87" i="43"/>
  <c r="C93" i="43" s="1"/>
  <c r="C64" i="43"/>
  <c r="E85" i="53"/>
  <c r="E62" i="53"/>
  <c r="E71" i="53"/>
  <c r="E58" i="34"/>
  <c r="E70" i="34"/>
  <c r="E84" i="34"/>
  <c r="E61" i="34"/>
  <c r="D84" i="39"/>
  <c r="D58" i="39"/>
  <c r="D61" i="39"/>
  <c r="D70" i="39"/>
  <c r="D72" i="55"/>
  <c r="D86" i="55"/>
  <c r="D63" i="55"/>
  <c r="D71" i="51"/>
  <c r="D85" i="51"/>
  <c r="D62" i="51"/>
  <c r="C72" i="39"/>
  <c r="C78" i="39" s="1"/>
  <c r="C86" i="39"/>
  <c r="C92" i="39" s="1"/>
  <c r="C63" i="39"/>
  <c r="E73" i="47"/>
  <c r="E87" i="47"/>
  <c r="E64" i="47"/>
  <c r="E14" i="42"/>
  <c r="D15" i="42"/>
  <c r="F58" i="50"/>
  <c r="F61" i="50"/>
  <c r="F70" i="50"/>
  <c r="F84" i="50"/>
  <c r="F72" i="55"/>
  <c r="F86" i="55"/>
  <c r="F63" i="55"/>
  <c r="F71" i="51"/>
  <c r="F62" i="51"/>
  <c r="F85" i="51"/>
  <c r="D72" i="41"/>
  <c r="D86" i="41"/>
  <c r="D63" i="41"/>
  <c r="C73" i="39"/>
  <c r="C79" i="39" s="1"/>
  <c r="C87" i="39"/>
  <c r="C64" i="39"/>
  <c r="E62" i="48"/>
  <c r="C58" i="48"/>
  <c r="C65" i="48" s="1"/>
  <c r="C70" i="48"/>
  <c r="C76" i="48" s="1"/>
  <c r="C84" i="48"/>
  <c r="C90" i="48" s="1"/>
  <c r="C61" i="48"/>
  <c r="F73" i="54"/>
  <c r="F87" i="54"/>
  <c r="F64" i="54"/>
  <c r="D72" i="61"/>
  <c r="D63" i="61"/>
  <c r="D86" i="61"/>
  <c r="C73" i="54"/>
  <c r="C79" i="54" s="1"/>
  <c r="C87" i="54"/>
  <c r="C93" i="54" s="1"/>
  <c r="C64" i="54"/>
  <c r="C72" i="35"/>
  <c r="C63" i="35"/>
  <c r="C86" i="35"/>
  <c r="E73" i="42"/>
  <c r="E87" i="42"/>
  <c r="E64" i="42"/>
  <c r="C58" i="41"/>
  <c r="C65" i="41" s="1"/>
  <c r="C70" i="41"/>
  <c r="C76" i="41" s="1"/>
  <c r="C84" i="41"/>
  <c r="C61" i="41"/>
  <c r="F71" i="55"/>
  <c r="F85" i="55"/>
  <c r="F62" i="55"/>
  <c r="D73" i="51"/>
  <c r="D87" i="51"/>
  <c r="D64" i="51"/>
  <c r="C73" i="62"/>
  <c r="C79" i="62" s="1"/>
  <c r="C87" i="62"/>
  <c r="C93" i="62" s="1"/>
  <c r="C64" i="62"/>
  <c r="D15" i="34"/>
  <c r="E14" i="34"/>
  <c r="E70" i="43"/>
  <c r="E58" i="43"/>
  <c r="E65" i="43" s="1"/>
  <c r="E61" i="43"/>
  <c r="E84" i="43"/>
  <c r="E90" i="43" s="1"/>
  <c r="C58" i="42"/>
  <c r="C70" i="42"/>
  <c r="C76" i="42" s="1"/>
  <c r="C84" i="42"/>
  <c r="C61" i="42"/>
  <c r="F73" i="61"/>
  <c r="F87" i="61"/>
  <c r="F64" i="61"/>
  <c r="D85" i="58"/>
  <c r="D71" i="58"/>
  <c r="D62" i="58"/>
  <c r="C72" i="54"/>
  <c r="C78" i="54" s="1"/>
  <c r="C86" i="54"/>
  <c r="C92" i="54" s="1"/>
  <c r="C63" i="54"/>
  <c r="E73" i="48"/>
  <c r="E87" i="48"/>
  <c r="E64" i="48"/>
  <c r="E58" i="57"/>
  <c r="E70" i="57"/>
  <c r="E84" i="57"/>
  <c r="E61" i="57"/>
  <c r="D58" i="51"/>
  <c r="D70" i="51"/>
  <c r="D84" i="51"/>
  <c r="D61" i="51"/>
  <c r="F71" i="41"/>
  <c r="F62" i="41"/>
  <c r="F85" i="41"/>
  <c r="D72" i="50"/>
  <c r="D86" i="50"/>
  <c r="D63" i="50"/>
  <c r="C72" i="38"/>
  <c r="C78" i="38" s="1"/>
  <c r="C63" i="38"/>
  <c r="C86" i="38"/>
  <c r="C92" i="38" s="1"/>
  <c r="E73" i="62"/>
  <c r="E64" i="62"/>
  <c r="E87" i="62"/>
  <c r="E58" i="56"/>
  <c r="E65" i="56" s="1"/>
  <c r="E70" i="56"/>
  <c r="E76" i="56" s="1"/>
  <c r="E84" i="56"/>
  <c r="E90" i="56" s="1"/>
  <c r="E61" i="56"/>
  <c r="F58" i="51"/>
  <c r="F70" i="51"/>
  <c r="F84" i="51"/>
  <c r="F61" i="51"/>
  <c r="F72" i="39"/>
  <c r="F78" i="39" s="1"/>
  <c r="F63" i="39"/>
  <c r="F86" i="39"/>
  <c r="D73" i="48"/>
  <c r="D87" i="48"/>
  <c r="D64" i="48"/>
  <c r="D71" i="55"/>
  <c r="D85" i="55"/>
  <c r="D62" i="55"/>
  <c r="C72" i="44"/>
  <c r="C78" i="44" s="1"/>
  <c r="C86" i="44"/>
  <c r="C92" i="44" s="1"/>
  <c r="C63" i="44"/>
  <c r="E73" i="61"/>
  <c r="E64" i="61"/>
  <c r="E87" i="61"/>
  <c r="E14" i="37"/>
  <c r="D15" i="37"/>
  <c r="D70" i="55"/>
  <c r="D84" i="55"/>
  <c r="D58" i="55"/>
  <c r="D61" i="55"/>
  <c r="F72" i="51"/>
  <c r="F86" i="51"/>
  <c r="F63" i="51"/>
  <c r="D73" i="41"/>
  <c r="D87" i="41"/>
  <c r="D64" i="41"/>
  <c r="D71" i="50"/>
  <c r="D62" i="50"/>
  <c r="D85" i="50"/>
  <c r="C72" i="37"/>
  <c r="C78" i="37" s="1"/>
  <c r="C86" i="37"/>
  <c r="C63" i="37"/>
  <c r="E73" i="39"/>
  <c r="E87" i="39"/>
  <c r="E93" i="39" s="1"/>
  <c r="E64" i="39"/>
  <c r="E58" i="47"/>
  <c r="E70" i="47"/>
  <c r="E84" i="47"/>
  <c r="E61" i="47"/>
  <c r="C58" i="61"/>
  <c r="C70" i="61"/>
  <c r="C76" i="61" s="1"/>
  <c r="C84" i="61"/>
  <c r="C90" i="61" s="1"/>
  <c r="C61" i="61"/>
  <c r="F73" i="59"/>
  <c r="F64" i="59"/>
  <c r="F87" i="59"/>
  <c r="D72" i="37"/>
  <c r="D86" i="37"/>
  <c r="D63" i="37"/>
  <c r="C71" i="56"/>
  <c r="C85" i="56"/>
  <c r="C62" i="56"/>
  <c r="E73" i="56"/>
  <c r="E79" i="56" s="1"/>
  <c r="E87" i="56"/>
  <c r="E64" i="56"/>
  <c r="E71" i="62"/>
  <c r="E85" i="62"/>
  <c r="E14" i="61"/>
  <c r="D15" i="61"/>
  <c r="C58" i="36"/>
  <c r="C84" i="36"/>
  <c r="C90" i="36" s="1"/>
  <c r="C70" i="36"/>
  <c r="C76" i="36" s="1"/>
  <c r="C61" i="36"/>
  <c r="F87" i="43"/>
  <c r="F93" i="43" s="1"/>
  <c r="F64" i="43"/>
  <c r="F73" i="43"/>
  <c r="F71" i="61"/>
  <c r="F85" i="61"/>
  <c r="F62" i="61"/>
  <c r="D72" i="58"/>
  <c r="D63" i="58"/>
  <c r="D86" i="58"/>
  <c r="C73" i="57"/>
  <c r="C79" i="57" s="1"/>
  <c r="C87" i="57"/>
  <c r="C93" i="57" s="1"/>
  <c r="C64" i="57"/>
  <c r="E72" i="35"/>
  <c r="E86" i="35"/>
  <c r="E63" i="35"/>
  <c r="D58" i="36"/>
  <c r="D70" i="36"/>
  <c r="D61" i="36"/>
  <c r="D84" i="36"/>
  <c r="F58" i="41"/>
  <c r="F84" i="41"/>
  <c r="F70" i="41"/>
  <c r="F61" i="41"/>
  <c r="F72" i="52"/>
  <c r="F86" i="52"/>
  <c r="F63" i="52"/>
  <c r="D73" i="57"/>
  <c r="D87" i="57"/>
  <c r="D64" i="57"/>
  <c r="C85" i="53"/>
  <c r="C91" i="53" s="1"/>
  <c r="C71" i="53"/>
  <c r="C77" i="53" s="1"/>
  <c r="C62" i="53"/>
  <c r="E73" i="34"/>
  <c r="E87" i="34"/>
  <c r="E64" i="34"/>
  <c r="E71" i="50"/>
  <c r="E77" i="50" s="1"/>
  <c r="E62" i="50"/>
  <c r="E85" i="50"/>
  <c r="E91" i="50" s="1"/>
  <c r="E70" i="35"/>
  <c r="E84" i="35"/>
  <c r="E58" i="35"/>
  <c r="E61" i="35"/>
  <c r="C58" i="39"/>
  <c r="C65" i="39" s="1"/>
  <c r="C70" i="39"/>
  <c r="C84" i="39"/>
  <c r="C90" i="39" s="1"/>
  <c r="C61" i="39"/>
  <c r="F87" i="50"/>
  <c r="F64" i="50"/>
  <c r="F73" i="50"/>
  <c r="D73" i="61"/>
  <c r="D64" i="61"/>
  <c r="D87" i="61"/>
  <c r="C71" i="46"/>
  <c r="C85" i="46"/>
  <c r="C91" i="46" s="1"/>
  <c r="C62" i="46"/>
  <c r="E72" i="50"/>
  <c r="E63" i="50"/>
  <c r="E86" i="50"/>
  <c r="E14" i="54"/>
  <c r="D15" i="54"/>
  <c r="D58" i="52"/>
  <c r="D70" i="52"/>
  <c r="D84" i="52"/>
  <c r="D61" i="52"/>
  <c r="F58" i="54"/>
  <c r="F84" i="54"/>
  <c r="F70" i="54"/>
  <c r="F61" i="54"/>
  <c r="F73" i="51"/>
  <c r="F87" i="51"/>
  <c r="F64" i="51"/>
  <c r="D71" i="41"/>
  <c r="D85" i="41"/>
  <c r="D62" i="41"/>
  <c r="C72" i="36"/>
  <c r="C63" i="36"/>
  <c r="C86" i="36"/>
  <c r="C92" i="36" s="1"/>
  <c r="E86" i="59"/>
  <c r="E92" i="59" s="1"/>
  <c r="E63" i="59"/>
  <c r="E72" i="59"/>
  <c r="E85" i="44"/>
  <c r="E62" i="44"/>
  <c r="E71" i="44"/>
  <c r="E58" i="39"/>
  <c r="E61" i="39"/>
  <c r="E70" i="39"/>
  <c r="E84" i="39"/>
  <c r="C58" i="44"/>
  <c r="C65" i="44" s="1"/>
  <c r="C70" i="44"/>
  <c r="C84" i="44"/>
  <c r="C90" i="44" s="1"/>
  <c r="C61" i="44"/>
  <c r="F87" i="62"/>
  <c r="F93" i="62" s="1"/>
  <c r="C72" i="56"/>
  <c r="C63" i="56"/>
  <c r="C86" i="56"/>
  <c r="C85" i="35"/>
  <c r="C91" i="35" s="1"/>
  <c r="C71" i="35"/>
  <c r="C77" i="35" s="1"/>
  <c r="C62" i="35"/>
  <c r="E73" i="35"/>
  <c r="E79" i="35" s="1"/>
  <c r="E64" i="35"/>
  <c r="E87" i="35"/>
  <c r="E70" i="51"/>
  <c r="E84" i="51"/>
  <c r="E58" i="51"/>
  <c r="E61" i="51"/>
  <c r="C58" i="37"/>
  <c r="C65" i="37" s="1"/>
  <c r="C70" i="37"/>
  <c r="C76" i="37" s="1"/>
  <c r="C84" i="37"/>
  <c r="C90" i="37" s="1"/>
  <c r="C61" i="37"/>
  <c r="F87" i="47"/>
  <c r="F64" i="47"/>
  <c r="F73" i="47"/>
  <c r="D71" i="54"/>
  <c r="D85" i="54"/>
  <c r="D62" i="54"/>
  <c r="E58" i="50"/>
  <c r="E70" i="50"/>
  <c r="E84" i="50"/>
  <c r="E61" i="50"/>
  <c r="F71" i="33"/>
  <c r="F85" i="33"/>
  <c r="F91" i="33" s="1"/>
  <c r="F62" i="33"/>
  <c r="F58" i="33"/>
  <c r="F65" i="33" s="1"/>
  <c r="D72" i="39"/>
  <c r="D63" i="39"/>
  <c r="D86" i="39"/>
  <c r="C73" i="36"/>
  <c r="C79" i="36" s="1"/>
  <c r="C87" i="36"/>
  <c r="C93" i="36" s="1"/>
  <c r="C64" i="36"/>
  <c r="C85" i="44"/>
  <c r="C91" i="44" s="1"/>
  <c r="C71" i="44"/>
  <c r="C77" i="44" s="1"/>
  <c r="C62" i="44"/>
  <c r="E72" i="38"/>
  <c r="E86" i="38"/>
  <c r="E63" i="38"/>
  <c r="E14" i="38"/>
  <c r="D15" i="38"/>
  <c r="E58" i="48"/>
  <c r="E70" i="48"/>
  <c r="E61" i="48"/>
  <c r="E84" i="48"/>
  <c r="D58" i="62"/>
  <c r="D70" i="62"/>
  <c r="D84" i="62"/>
  <c r="D73" i="38"/>
  <c r="D87" i="38"/>
  <c r="D64" i="38"/>
  <c r="D85" i="47"/>
  <c r="D62" i="47"/>
  <c r="D71" i="47"/>
  <c r="C72" i="62"/>
  <c r="C78" i="62" s="1"/>
  <c r="C86" i="62"/>
  <c r="C92" i="62" s="1"/>
  <c r="C63" i="62"/>
  <c r="E73" i="59"/>
  <c r="E79" i="59" s="1"/>
  <c r="E64" i="59"/>
  <c r="E87" i="59"/>
  <c r="E93" i="59" s="1"/>
  <c r="D15" i="47"/>
  <c r="E14" i="47"/>
  <c r="F70" i="62"/>
  <c r="F58" i="62"/>
  <c r="F84" i="62"/>
  <c r="F72" i="59"/>
  <c r="F86" i="59"/>
  <c r="F63" i="59"/>
  <c r="F71" i="37"/>
  <c r="F85" i="37"/>
  <c r="F62" i="37"/>
  <c r="D71" i="39"/>
  <c r="D85" i="39"/>
  <c r="D91" i="39" s="1"/>
  <c r="D62" i="39"/>
  <c r="C85" i="57"/>
  <c r="C91" i="57" s="1"/>
  <c r="C71" i="57"/>
  <c r="C77" i="57" s="1"/>
  <c r="C62" i="57"/>
  <c r="E11" i="51"/>
  <c r="F58" i="37"/>
  <c r="F61" i="37"/>
  <c r="F84" i="37"/>
  <c r="F70" i="37"/>
  <c r="F72" i="44"/>
  <c r="F78" i="44" s="1"/>
  <c r="F63" i="44"/>
  <c r="F86" i="44"/>
  <c r="D64" i="53"/>
  <c r="D73" i="53"/>
  <c r="D87" i="53"/>
  <c r="D85" i="59"/>
  <c r="D71" i="59"/>
  <c r="D62" i="59"/>
  <c r="C72" i="50"/>
  <c r="C78" i="50" s="1"/>
  <c r="C86" i="50"/>
  <c r="C63" i="50"/>
  <c r="E73" i="55"/>
  <c r="E87" i="55"/>
  <c r="E93" i="55" s="1"/>
  <c r="E64" i="55"/>
  <c r="D15" i="53"/>
  <c r="E14" i="53"/>
  <c r="F58" i="57"/>
  <c r="F65" i="57" s="1"/>
  <c r="F70" i="57"/>
  <c r="F84" i="57"/>
  <c r="F61" i="57"/>
  <c r="F73" i="34"/>
  <c r="F87" i="34"/>
  <c r="F64" i="34"/>
  <c r="F71" i="42"/>
  <c r="F77" i="42" s="1"/>
  <c r="F62" i="42"/>
  <c r="F85" i="42"/>
  <c r="D72" i="52"/>
  <c r="D86" i="52"/>
  <c r="D63" i="52"/>
  <c r="C73" i="50"/>
  <c r="C79" i="50" s="1"/>
  <c r="C87" i="50"/>
  <c r="C93" i="50" s="1"/>
  <c r="C64" i="50"/>
  <c r="E72" i="44"/>
  <c r="E63" i="44"/>
  <c r="E86" i="44"/>
  <c r="E92" i="44" s="1"/>
  <c r="E14" i="44"/>
  <c r="D15" i="44"/>
  <c r="F58" i="61"/>
  <c r="F61" i="61"/>
  <c r="F70" i="61"/>
  <c r="F84" i="61"/>
  <c r="F72" i="57"/>
  <c r="F63" i="57"/>
  <c r="F86" i="57"/>
  <c r="F85" i="35"/>
  <c r="F62" i="35"/>
  <c r="F71" i="35"/>
  <c r="D72" i="43"/>
  <c r="D86" i="43"/>
  <c r="D63" i="43"/>
  <c r="C73" i="51"/>
  <c r="C79" i="51" s="1"/>
  <c r="C87" i="51"/>
  <c r="C93" i="51" s="1"/>
  <c r="C64" i="51"/>
  <c r="E71" i="52"/>
  <c r="E77" i="52" s="1"/>
  <c r="E85" i="52"/>
  <c r="E91" i="52" s="1"/>
  <c r="E62" i="52"/>
  <c r="E70" i="44"/>
  <c r="E61" i="44"/>
  <c r="E58" i="44"/>
  <c r="E84" i="44"/>
  <c r="F73" i="39"/>
  <c r="F79" i="39" s="1"/>
  <c r="F87" i="39"/>
  <c r="F64" i="39"/>
  <c r="D62" i="48"/>
  <c r="C71" i="54"/>
  <c r="C77" i="54" s="1"/>
  <c r="C85" i="54"/>
  <c r="C91" i="54" s="1"/>
  <c r="C62" i="54"/>
  <c r="E72" i="57"/>
  <c r="E78" i="57" s="1"/>
  <c r="E86" i="57"/>
  <c r="E92" i="57" s="1"/>
  <c r="E63" i="57"/>
  <c r="E71" i="47"/>
  <c r="E85" i="47"/>
  <c r="E62" i="47"/>
  <c r="E14" i="62"/>
  <c r="D15" i="62"/>
  <c r="D70" i="58"/>
  <c r="D76" i="58" s="1"/>
  <c r="D84" i="58"/>
  <c r="D90" i="58" s="1"/>
  <c r="D58" i="58"/>
  <c r="D61" i="58"/>
  <c r="C58" i="51"/>
  <c r="C65" i="51" s="1"/>
  <c r="C70" i="51"/>
  <c r="C76" i="51" s="1"/>
  <c r="C84" i="51"/>
  <c r="C61" i="51"/>
  <c r="F73" i="42"/>
  <c r="F87" i="42"/>
  <c r="F64" i="42"/>
  <c r="D71" i="52"/>
  <c r="D85" i="52"/>
  <c r="D91" i="52" s="1"/>
  <c r="D62" i="52"/>
  <c r="C72" i="46"/>
  <c r="C78" i="46" s="1"/>
  <c r="C86" i="46"/>
  <c r="C92" i="46" s="1"/>
  <c r="C63" i="46"/>
  <c r="C71" i="51"/>
  <c r="C77" i="51" s="1"/>
  <c r="C85" i="51"/>
  <c r="C91" i="51" s="1"/>
  <c r="C62" i="51"/>
  <c r="E72" i="41"/>
  <c r="E63" i="41"/>
  <c r="E86" i="41"/>
  <c r="E58" i="36"/>
  <c r="E70" i="36"/>
  <c r="E61" i="36"/>
  <c r="E84" i="36"/>
  <c r="E90" i="36" s="1"/>
  <c r="D58" i="42"/>
  <c r="D84" i="42"/>
  <c r="D90" i="42" s="1"/>
  <c r="D70" i="42"/>
  <c r="D61" i="42"/>
  <c r="F71" i="52"/>
  <c r="F62" i="52"/>
  <c r="F85" i="52"/>
  <c r="F91" i="52" s="1"/>
  <c r="D72" i="57"/>
  <c r="D86" i="57"/>
  <c r="D92" i="57" s="1"/>
  <c r="D63" i="57"/>
  <c r="D85" i="35"/>
  <c r="D71" i="35"/>
  <c r="D62" i="35"/>
  <c r="C72" i="51"/>
  <c r="C78" i="51" s="1"/>
  <c r="C63" i="51"/>
  <c r="C86" i="51"/>
  <c r="C92" i="51" s="1"/>
  <c r="E72" i="56"/>
  <c r="E78" i="56" s="1"/>
  <c r="E86" i="56"/>
  <c r="E92" i="56" s="1"/>
  <c r="E63" i="56"/>
  <c r="E14" i="35"/>
  <c r="D15" i="35"/>
  <c r="F58" i="42"/>
  <c r="F70" i="42"/>
  <c r="F84" i="42"/>
  <c r="F61" i="42"/>
  <c r="F72" i="50"/>
  <c r="F86" i="50"/>
  <c r="F63" i="50"/>
  <c r="D73" i="56"/>
  <c r="D87" i="56"/>
  <c r="D64" i="56"/>
  <c r="D72" i="34"/>
  <c r="D86" i="34"/>
  <c r="D63" i="34"/>
  <c r="C73" i="42"/>
  <c r="C79" i="42" s="1"/>
  <c r="C87" i="42"/>
  <c r="C93" i="42" s="1"/>
  <c r="C64" i="42"/>
  <c r="E85" i="41"/>
  <c r="E71" i="41"/>
  <c r="E62" i="41"/>
  <c r="E58" i="58"/>
  <c r="E65" i="58" s="1"/>
  <c r="E70" i="58"/>
  <c r="E76" i="58" s="1"/>
  <c r="E61" i="58"/>
  <c r="E84" i="58"/>
  <c r="E90" i="58" s="1"/>
  <c r="F58" i="35"/>
  <c r="F70" i="35"/>
  <c r="F84" i="35"/>
  <c r="F61" i="35"/>
  <c r="F72" i="42"/>
  <c r="F78" i="42" s="1"/>
  <c r="F86" i="42"/>
  <c r="F63" i="42"/>
  <c r="D73" i="52"/>
  <c r="D87" i="52"/>
  <c r="D64" i="52"/>
  <c r="D71" i="57"/>
  <c r="D85" i="57"/>
  <c r="D62" i="57"/>
  <c r="C72" i="47"/>
  <c r="C78" i="47" s="1"/>
  <c r="C86" i="47"/>
  <c r="C92" i="47" s="1"/>
  <c r="C63" i="47"/>
  <c r="E73" i="50"/>
  <c r="E87" i="50"/>
  <c r="E64" i="50"/>
  <c r="E70" i="37"/>
  <c r="E76" i="37" s="1"/>
  <c r="E58" i="37"/>
  <c r="E61" i="37"/>
  <c r="E84" i="37"/>
  <c r="F58" i="36"/>
  <c r="F84" i="36"/>
  <c r="F70" i="36"/>
  <c r="F61" i="36"/>
  <c r="F63" i="46"/>
  <c r="F86" i="46"/>
  <c r="F92" i="46" s="1"/>
  <c r="F72" i="46"/>
  <c r="D73" i="62"/>
  <c r="D87" i="62"/>
  <c r="D64" i="62"/>
  <c r="C62" i="48"/>
  <c r="E72" i="42"/>
  <c r="E78" i="42" s="1"/>
  <c r="E86" i="42"/>
  <c r="E92" i="42" s="1"/>
  <c r="E63" i="42"/>
  <c r="E14" i="56"/>
  <c r="D15" i="56"/>
  <c r="D58" i="53"/>
  <c r="D84" i="53"/>
  <c r="D70" i="53"/>
  <c r="D76" i="53" s="1"/>
  <c r="D61" i="53"/>
  <c r="F58" i="56"/>
  <c r="F61" i="56"/>
  <c r="F70" i="56"/>
  <c r="F84" i="56"/>
  <c r="F73" i="35"/>
  <c r="F79" i="35" s="1"/>
  <c r="F87" i="35"/>
  <c r="F93" i="35" s="1"/>
  <c r="F64" i="35"/>
  <c r="D85" i="43"/>
  <c r="D71" i="43"/>
  <c r="D62" i="43"/>
  <c r="C73" i="53"/>
  <c r="C79" i="53" s="1"/>
  <c r="C87" i="53"/>
  <c r="C64" i="53"/>
  <c r="E71" i="56"/>
  <c r="E77" i="56" s="1"/>
  <c r="E85" i="56"/>
  <c r="E91" i="56" s="1"/>
  <c r="E62" i="56"/>
  <c r="E58" i="61"/>
  <c r="E84" i="61"/>
  <c r="E70" i="61"/>
  <c r="E61" i="61"/>
  <c r="C58" i="55"/>
  <c r="C70" i="55"/>
  <c r="C84" i="55"/>
  <c r="C90" i="55" s="1"/>
  <c r="C61" i="55"/>
  <c r="F71" i="34"/>
  <c r="F85" i="34"/>
  <c r="F62" i="34"/>
  <c r="D72" i="42"/>
  <c r="D86" i="42"/>
  <c r="D92" i="42" s="1"/>
  <c r="D63" i="42"/>
  <c r="C73" i="38"/>
  <c r="C79" i="38" s="1"/>
  <c r="C87" i="38"/>
  <c r="C64" i="38"/>
  <c r="C71" i="37"/>
  <c r="C85" i="37"/>
  <c r="C91" i="37" s="1"/>
  <c r="C62" i="37"/>
  <c r="E72" i="46"/>
  <c r="E78" i="46" s="1"/>
  <c r="E86" i="46"/>
  <c r="E92" i="46" s="1"/>
  <c r="E63" i="46"/>
  <c r="C58" i="52"/>
  <c r="C65" i="52" s="1"/>
  <c r="C70" i="52"/>
  <c r="C76" i="52" s="1"/>
  <c r="C84" i="52"/>
  <c r="C90" i="52" s="1"/>
  <c r="C61" i="52"/>
  <c r="F73" i="38"/>
  <c r="F64" i="38"/>
  <c r="F87" i="38"/>
  <c r="F71" i="47"/>
  <c r="F85" i="47"/>
  <c r="F62" i="47"/>
  <c r="D63" i="54"/>
  <c r="D86" i="54"/>
  <c r="D72" i="54"/>
  <c r="C73" i="44"/>
  <c r="C79" i="44" s="1"/>
  <c r="C87" i="44"/>
  <c r="C93" i="44" s="1"/>
  <c r="C64" i="44"/>
  <c r="E71" i="34"/>
  <c r="E85" i="34"/>
  <c r="E62" i="34"/>
  <c r="D15" i="43"/>
  <c r="E14" i="43"/>
  <c r="D58" i="41"/>
  <c r="D70" i="41"/>
  <c r="D76" i="41" s="1"/>
  <c r="D84" i="41"/>
  <c r="D61" i="41"/>
  <c r="F58" i="46"/>
  <c r="F65" i="46" s="1"/>
  <c r="F84" i="46"/>
  <c r="F70" i="46"/>
  <c r="F61" i="46"/>
  <c r="F72" i="54"/>
  <c r="F86" i="54"/>
  <c r="F92" i="54" s="1"/>
  <c r="F63" i="54"/>
  <c r="D72" i="56"/>
  <c r="D63" i="56"/>
  <c r="D86" i="56"/>
  <c r="C73" i="48"/>
  <c r="C79" i="48" s="1"/>
  <c r="C87" i="48"/>
  <c r="C93" i="48" s="1"/>
  <c r="C64" i="48"/>
  <c r="E86" i="61"/>
  <c r="E63" i="61"/>
  <c r="E72" i="61"/>
  <c r="E58" i="54"/>
  <c r="E70" i="54"/>
  <c r="E61" i="54"/>
  <c r="E84" i="54"/>
  <c r="D84" i="59"/>
  <c r="D90" i="59" s="1"/>
  <c r="D70" i="59"/>
  <c r="D76" i="59" s="1"/>
  <c r="D58" i="59"/>
  <c r="D61" i="59"/>
  <c r="F72" i="37"/>
  <c r="F78" i="37" s="1"/>
  <c r="F63" i="37"/>
  <c r="F86" i="37"/>
  <c r="D73" i="46"/>
  <c r="D87" i="46"/>
  <c r="D93" i="46" s="1"/>
  <c r="D64" i="46"/>
  <c r="D71" i="62"/>
  <c r="D85" i="62"/>
  <c r="C72" i="61"/>
  <c r="C63" i="61"/>
  <c r="C86" i="61"/>
  <c r="C92" i="61" s="1"/>
  <c r="E73" i="44"/>
  <c r="E79" i="44" s="1"/>
  <c r="E87" i="44"/>
  <c r="E64" i="44"/>
  <c r="E58" i="42"/>
  <c r="E70" i="42"/>
  <c r="E84" i="42"/>
  <c r="E61" i="42"/>
  <c r="C58" i="47"/>
  <c r="C65" i="47" s="1"/>
  <c r="C70" i="47"/>
  <c r="C76" i="47" s="1"/>
  <c r="C84" i="47"/>
  <c r="C61" i="47"/>
  <c r="F73" i="55"/>
  <c r="F87" i="55"/>
  <c r="F93" i="55" s="1"/>
  <c r="F64" i="55"/>
  <c r="D72" i="51"/>
  <c r="D78" i="51" s="1"/>
  <c r="D86" i="51"/>
  <c r="D63" i="51"/>
  <c r="C72" i="58"/>
  <c r="C78" i="58" s="1"/>
  <c r="C86" i="58"/>
  <c r="C92" i="58" s="1"/>
  <c r="C63" i="58"/>
  <c r="C85" i="47"/>
  <c r="C91" i="47" s="1"/>
  <c r="C71" i="47"/>
  <c r="C77" i="47" s="1"/>
  <c r="C62" i="47"/>
  <c r="E72" i="54"/>
  <c r="E63" i="54"/>
  <c r="E86" i="54"/>
  <c r="E92" i="54" s="1"/>
  <c r="F117" i="41"/>
  <c r="F168" i="41" s="1"/>
  <c r="F120" i="41"/>
  <c r="C117" i="38"/>
  <c r="C168" i="38" s="1"/>
  <c r="C120" i="38"/>
  <c r="F121" i="47"/>
  <c r="D117" i="41"/>
  <c r="D120" i="41"/>
  <c r="C121" i="48"/>
  <c r="F123" i="47"/>
  <c r="D122" i="41"/>
  <c r="F121" i="50"/>
  <c r="E123" i="51"/>
  <c r="E117" i="41"/>
  <c r="E168" i="41" s="1"/>
  <c r="E120" i="41"/>
  <c r="D123" i="37"/>
  <c r="F117" i="56"/>
  <c r="F168" i="56" s="1"/>
  <c r="F120" i="56"/>
  <c r="E123" i="47"/>
  <c r="C122" i="41"/>
  <c r="E117" i="48"/>
  <c r="E120" i="48"/>
  <c r="D121" i="57"/>
  <c r="E122" i="36"/>
  <c r="E117" i="38"/>
  <c r="E168" i="38" s="1"/>
  <c r="E120" i="38"/>
  <c r="F122" i="41"/>
  <c r="D121" i="37"/>
  <c r="C123" i="56"/>
  <c r="F123" i="37"/>
  <c r="D122" i="33"/>
  <c r="C123" i="48"/>
  <c r="E117" i="33"/>
  <c r="E168" i="33" s="1"/>
  <c r="E120" i="33"/>
  <c r="D122" i="58"/>
  <c r="E122" i="46"/>
  <c r="D123" i="55"/>
  <c r="D121" i="50"/>
  <c r="C123" i="36"/>
  <c r="E121" i="39"/>
  <c r="D122" i="56"/>
  <c r="F121" i="37"/>
  <c r="D117" i="33"/>
  <c r="D120" i="33"/>
  <c r="C122" i="48"/>
  <c r="E123" i="59"/>
  <c r="F122" i="33"/>
  <c r="D117" i="58"/>
  <c r="D168" i="58" s="1"/>
  <c r="D120" i="58"/>
  <c r="C122" i="38"/>
  <c r="E121" i="37"/>
  <c r="E123" i="39"/>
  <c r="C117" i="48"/>
  <c r="C168" i="48" s="1"/>
  <c r="S173" i="48" s="1"/>
  <c r="C120" i="48"/>
  <c r="D121" i="47"/>
  <c r="E117" i="52"/>
  <c r="E168" i="52" s="1"/>
  <c r="E120" i="52"/>
  <c r="D123" i="47"/>
  <c r="F122" i="56"/>
  <c r="E121" i="59"/>
  <c r="E121" i="47"/>
  <c r="C117" i="41"/>
  <c r="C168" i="41" s="1"/>
  <c r="S173" i="41" s="1"/>
  <c r="C120" i="41"/>
  <c r="F121" i="57"/>
  <c r="E122" i="41"/>
  <c r="C121" i="36"/>
  <c r="F123" i="39"/>
  <c r="D117" i="48"/>
  <c r="D168" i="48" s="1"/>
  <c r="D120" i="48"/>
  <c r="E107" i="48"/>
  <c r="D122" i="61"/>
  <c r="C123" i="37"/>
  <c r="F123" i="56"/>
  <c r="E107" i="37"/>
  <c r="E107" i="56"/>
  <c r="D122" i="42"/>
  <c r="E122" i="37"/>
  <c r="F117" i="34"/>
  <c r="F168" i="34" s="1"/>
  <c r="F120" i="34"/>
  <c r="D121" i="42"/>
  <c r="F122" i="46"/>
  <c r="E121" i="33"/>
  <c r="F117" i="44"/>
  <c r="F168" i="44" s="1"/>
  <c r="F120" i="44"/>
  <c r="D123" i="41"/>
  <c r="E106" i="50"/>
  <c r="E102" i="62"/>
  <c r="E162" i="62" s="1"/>
  <c r="F123" i="54"/>
  <c r="C122" i="44"/>
  <c r="D121" i="36"/>
  <c r="E108" i="54"/>
  <c r="E122" i="61"/>
  <c r="D122" i="36"/>
  <c r="F123" i="42"/>
  <c r="D123" i="44"/>
  <c r="E121" i="35"/>
  <c r="C122" i="46"/>
  <c r="E122" i="44"/>
  <c r="F121" i="58"/>
  <c r="C117" i="57"/>
  <c r="C168" i="57" s="1"/>
  <c r="S173" i="57" s="1"/>
  <c r="C120" i="57"/>
  <c r="D117" i="35"/>
  <c r="D120" i="35"/>
  <c r="E108" i="58"/>
  <c r="E121" i="46"/>
  <c r="F117" i="50"/>
  <c r="F120" i="50"/>
  <c r="D122" i="57"/>
  <c r="E107" i="41"/>
  <c r="E106" i="46"/>
  <c r="D123" i="35"/>
  <c r="C122" i="36"/>
  <c r="E106" i="43"/>
  <c r="E106" i="59"/>
  <c r="D123" i="38"/>
  <c r="C123" i="55"/>
  <c r="E117" i="42"/>
  <c r="E168" i="42" s="1"/>
  <c r="E120" i="42"/>
  <c r="E107" i="55"/>
  <c r="E108" i="42"/>
  <c r="C117" i="51"/>
  <c r="C120" i="51"/>
  <c r="F117" i="61"/>
  <c r="F168" i="61" s="1"/>
  <c r="F120" i="61"/>
  <c r="E121" i="38"/>
  <c r="C117" i="34"/>
  <c r="C168" i="34" s="1"/>
  <c r="S173" i="34" s="1"/>
  <c r="C120" i="34"/>
  <c r="E121" i="62"/>
  <c r="C123" i="33"/>
  <c r="E122" i="62"/>
  <c r="F122" i="35"/>
  <c r="C121" i="39"/>
  <c r="D117" i="44"/>
  <c r="D168" i="44" s="1"/>
  <c r="D120" i="44"/>
  <c r="E108" i="52"/>
  <c r="E121" i="54"/>
  <c r="F117" i="39"/>
  <c r="F168" i="39" s="1"/>
  <c r="F120" i="39"/>
  <c r="D123" i="36"/>
  <c r="E107" i="52"/>
  <c r="E106" i="54"/>
  <c r="D122" i="53"/>
  <c r="E117" i="43"/>
  <c r="E168" i="43" s="1"/>
  <c r="E120" i="43"/>
  <c r="C121" i="52"/>
  <c r="D117" i="34"/>
  <c r="D168" i="34" s="1"/>
  <c r="D120" i="34"/>
  <c r="D123" i="51"/>
  <c r="E117" i="36"/>
  <c r="E168" i="36" s="1"/>
  <c r="E120" i="36"/>
  <c r="F123" i="52"/>
  <c r="C122" i="57"/>
  <c r="D121" i="58"/>
  <c r="E102" i="46"/>
  <c r="E162" i="46" s="1"/>
  <c r="E105" i="46"/>
  <c r="E123" i="46"/>
  <c r="F122" i="39"/>
  <c r="C117" i="62"/>
  <c r="C168" i="62" s="1"/>
  <c r="S173" i="62" s="1"/>
  <c r="C120" i="62"/>
  <c r="E107" i="58"/>
  <c r="E107" i="39"/>
  <c r="D122" i="34"/>
  <c r="C121" i="33"/>
  <c r="C117" i="33"/>
  <c r="C168" i="33" s="1"/>
  <c r="E102" i="55"/>
  <c r="E162" i="55" s="1"/>
  <c r="E105" i="55"/>
  <c r="E106" i="42"/>
  <c r="D121" i="48"/>
  <c r="C122" i="51"/>
  <c r="F122" i="61"/>
  <c r="E106" i="34"/>
  <c r="E106" i="61"/>
  <c r="D121" i="38"/>
  <c r="C121" i="55"/>
  <c r="F122" i="42"/>
  <c r="E123" i="43"/>
  <c r="C121" i="43"/>
  <c r="F117" i="36"/>
  <c r="F168" i="36" s="1"/>
  <c r="F120" i="36"/>
  <c r="E122" i="35"/>
  <c r="F121" i="52"/>
  <c r="C117" i="50"/>
  <c r="C168" i="50" s="1"/>
  <c r="S173" i="50" s="1"/>
  <c r="C120" i="50"/>
  <c r="E107" i="54"/>
  <c r="E106" i="58"/>
  <c r="E121" i="36"/>
  <c r="C123" i="62"/>
  <c r="D122" i="50"/>
  <c r="E102" i="58"/>
  <c r="E162" i="58" s="1"/>
  <c r="E105" i="58"/>
  <c r="E123" i="56"/>
  <c r="C122" i="43"/>
  <c r="E123" i="62"/>
  <c r="F121" i="51"/>
  <c r="D121" i="35"/>
  <c r="C117" i="36"/>
  <c r="C168" i="36" s="1"/>
  <c r="S173" i="36" s="1"/>
  <c r="C120" i="36"/>
  <c r="E123" i="52"/>
  <c r="F123" i="33"/>
  <c r="C122" i="39"/>
  <c r="D121" i="41"/>
  <c r="E106" i="39"/>
  <c r="E102" i="44"/>
  <c r="E162" i="44" s="1"/>
  <c r="E105" i="44"/>
  <c r="E117" i="39"/>
  <c r="E168" i="39" s="1"/>
  <c r="E120" i="39"/>
  <c r="C122" i="62"/>
  <c r="D121" i="46"/>
  <c r="E106" i="35"/>
  <c r="E102" i="39"/>
  <c r="E162" i="39" s="1"/>
  <c r="E105" i="39"/>
  <c r="C121" i="53"/>
  <c r="E123" i="35"/>
  <c r="F117" i="46"/>
  <c r="F168" i="46" s="1"/>
  <c r="F120" i="46"/>
  <c r="E102" i="37"/>
  <c r="E105" i="37"/>
  <c r="E102" i="56"/>
  <c r="E162" i="56" s="1"/>
  <c r="E105" i="56"/>
  <c r="D122" i="51"/>
  <c r="C122" i="61"/>
  <c r="F123" i="38"/>
  <c r="E106" i="53"/>
  <c r="E107" i="38"/>
  <c r="D122" i="59"/>
  <c r="C123" i="47"/>
  <c r="E117" i="51"/>
  <c r="E168" i="51" s="1"/>
  <c r="E120" i="51"/>
  <c r="D121" i="62"/>
  <c r="F123" i="44"/>
  <c r="C117" i="54"/>
  <c r="C168" i="54" s="1"/>
  <c r="S173" i="54" s="1"/>
  <c r="C120" i="54"/>
  <c r="E123" i="58"/>
  <c r="F123" i="41"/>
  <c r="C122" i="50"/>
  <c r="D121" i="52"/>
  <c r="E102" i="54"/>
  <c r="E105" i="54"/>
  <c r="E102" i="35"/>
  <c r="E162" i="35" s="1"/>
  <c r="E105" i="35"/>
  <c r="E117" i="50"/>
  <c r="E120" i="50"/>
  <c r="C123" i="35"/>
  <c r="D121" i="54"/>
  <c r="E106" i="44"/>
  <c r="E102" i="50"/>
  <c r="E162" i="50" s="1"/>
  <c r="E105" i="50"/>
  <c r="C121" i="34"/>
  <c r="E122" i="53"/>
  <c r="C123" i="58"/>
  <c r="E123" i="34"/>
  <c r="C123" i="43"/>
  <c r="D117" i="54"/>
  <c r="D168" i="54" s="1"/>
  <c r="D120" i="54"/>
  <c r="F121" i="59"/>
  <c r="E117" i="62"/>
  <c r="E120" i="62"/>
  <c r="F117" i="35"/>
  <c r="F168" i="35" s="1"/>
  <c r="F120" i="35"/>
  <c r="D123" i="33"/>
  <c r="E106" i="57"/>
  <c r="E106" i="33"/>
  <c r="F123" i="46"/>
  <c r="C122" i="35"/>
  <c r="D117" i="57"/>
  <c r="D168" i="57" s="1"/>
  <c r="D120" i="57"/>
  <c r="E108" i="46"/>
  <c r="E122" i="42"/>
  <c r="F121" i="44"/>
  <c r="D122" i="54"/>
  <c r="F123" i="59"/>
  <c r="E102" i="61"/>
  <c r="E162" i="61" s="1"/>
  <c r="E105" i="61"/>
  <c r="E106" i="37"/>
  <c r="D121" i="43"/>
  <c r="F122" i="47"/>
  <c r="D102" i="50"/>
  <c r="D162" i="50" s="1"/>
  <c r="T171" i="50" s="1"/>
  <c r="D105" i="50"/>
  <c r="D102" i="41"/>
  <c r="D105" i="41"/>
  <c r="D102" i="36"/>
  <c r="D162" i="36" s="1"/>
  <c r="D105" i="36"/>
  <c r="D108" i="48"/>
  <c r="D102" i="54"/>
  <c r="D162" i="54" s="1"/>
  <c r="T171" i="54" s="1"/>
  <c r="D105" i="54"/>
  <c r="D108" i="37"/>
  <c r="D108" i="56"/>
  <c r="E108" i="56"/>
  <c r="D121" i="34"/>
  <c r="C121" i="61"/>
  <c r="F122" i="37"/>
  <c r="D107" i="39"/>
  <c r="D108" i="36"/>
  <c r="E106" i="38"/>
  <c r="E106" i="55"/>
  <c r="D123" i="34"/>
  <c r="C123" i="61"/>
  <c r="E117" i="37"/>
  <c r="E168" i="37" s="1"/>
  <c r="E120" i="37"/>
  <c r="D102" i="52"/>
  <c r="D162" i="52" s="1"/>
  <c r="D105" i="52"/>
  <c r="D106" i="44"/>
  <c r="D106" i="37"/>
  <c r="D106" i="56"/>
  <c r="D106" i="47"/>
  <c r="D107" i="51"/>
  <c r="E108" i="38"/>
  <c r="E108" i="55"/>
  <c r="F117" i="47"/>
  <c r="F168" i="47" s="1"/>
  <c r="F120" i="47"/>
  <c r="E121" i="34"/>
  <c r="D102" i="33"/>
  <c r="D162" i="33" s="1"/>
  <c r="D105" i="33"/>
  <c r="D70" i="33"/>
  <c r="E121" i="42"/>
  <c r="D106" i="43"/>
  <c r="D102" i="56"/>
  <c r="D162" i="56" s="1"/>
  <c r="D105" i="56"/>
  <c r="D108" i="41"/>
  <c r="C107" i="34"/>
  <c r="F106" i="41"/>
  <c r="D102" i="55"/>
  <c r="D105" i="55"/>
  <c r="D102" i="38"/>
  <c r="D162" i="38" s="1"/>
  <c r="T171" i="38" s="1"/>
  <c r="D105" i="38"/>
  <c r="C107" i="39"/>
  <c r="F102" i="50"/>
  <c r="F162" i="50" s="1"/>
  <c r="F105" i="50"/>
  <c r="F102" i="36"/>
  <c r="F105" i="36"/>
  <c r="E106" i="56"/>
  <c r="E107" i="43"/>
  <c r="D122" i="47"/>
  <c r="C123" i="51"/>
  <c r="F123" i="53"/>
  <c r="D106" i="62"/>
  <c r="D107" i="52"/>
  <c r="D107" i="46"/>
  <c r="D102" i="51"/>
  <c r="D162" i="51" s="1"/>
  <c r="D105" i="51"/>
  <c r="D102" i="35"/>
  <c r="D105" i="35"/>
  <c r="D102" i="42"/>
  <c r="D162" i="42" s="1"/>
  <c r="D105" i="42"/>
  <c r="E102" i="42"/>
  <c r="E105" i="42"/>
  <c r="D122" i="37"/>
  <c r="C122" i="55"/>
  <c r="F123" i="43"/>
  <c r="D108" i="44"/>
  <c r="E102" i="51"/>
  <c r="E162" i="51" s="1"/>
  <c r="E105" i="51"/>
  <c r="E102" i="53"/>
  <c r="E162" i="53" s="1"/>
  <c r="U171" i="53" s="1"/>
  <c r="E105" i="53"/>
  <c r="C122" i="47"/>
  <c r="F123" i="34"/>
  <c r="D107" i="58"/>
  <c r="D106" i="58"/>
  <c r="D102" i="34"/>
  <c r="D162" i="34" s="1"/>
  <c r="D105" i="34"/>
  <c r="D102" i="61"/>
  <c r="D162" i="61" s="1"/>
  <c r="D105" i="61"/>
  <c r="D108" i="52"/>
  <c r="D102" i="43"/>
  <c r="D162" i="43" s="1"/>
  <c r="D105" i="43"/>
  <c r="D102" i="59"/>
  <c r="D162" i="59" s="1"/>
  <c r="D105" i="59"/>
  <c r="E107" i="51"/>
  <c r="E107" i="53"/>
  <c r="D122" i="55"/>
  <c r="C123" i="42"/>
  <c r="D107" i="41"/>
  <c r="D102" i="58"/>
  <c r="D105" i="58"/>
  <c r="D102" i="37"/>
  <c r="D162" i="37" s="1"/>
  <c r="D105" i="37"/>
  <c r="D102" i="46"/>
  <c r="D105" i="46"/>
  <c r="C108" i="44"/>
  <c r="F102" i="54"/>
  <c r="F162" i="54" s="1"/>
  <c r="F105" i="54"/>
  <c r="C108" i="52"/>
  <c r="D106" i="42"/>
  <c r="D107" i="35"/>
  <c r="C102" i="56"/>
  <c r="C162" i="56" s="1"/>
  <c r="S171" i="56" s="1"/>
  <c r="C105" i="56"/>
  <c r="C107" i="43"/>
  <c r="C106" i="54"/>
  <c r="F107" i="57"/>
  <c r="F107" i="38"/>
  <c r="D108" i="39"/>
  <c r="D102" i="47"/>
  <c r="D162" i="47" s="1"/>
  <c r="T171" i="47" s="1"/>
  <c r="D105" i="47"/>
  <c r="F108" i="34"/>
  <c r="F107" i="58"/>
  <c r="F107" i="41"/>
  <c r="C106" i="47"/>
  <c r="C108" i="61"/>
  <c r="F106" i="55"/>
  <c r="C102" i="46"/>
  <c r="C162" i="46" s="1"/>
  <c r="S171" i="46" s="1"/>
  <c r="C105" i="46"/>
  <c r="F108" i="43"/>
  <c r="F102" i="38"/>
  <c r="F105" i="38"/>
  <c r="C106" i="41"/>
  <c r="F106" i="52"/>
  <c r="F108" i="54"/>
  <c r="C107" i="51"/>
  <c r="C108" i="51"/>
  <c r="F102" i="41"/>
  <c r="F162" i="41" s="1"/>
  <c r="F105" i="41"/>
  <c r="F107" i="35"/>
  <c r="F106" i="42"/>
  <c r="C102" i="53"/>
  <c r="C162" i="53" s="1"/>
  <c r="C105" i="53"/>
  <c r="F108" i="56"/>
  <c r="C72" i="52"/>
  <c r="C63" i="52"/>
  <c r="C86" i="52"/>
  <c r="C92" i="52" s="1"/>
  <c r="E71" i="57"/>
  <c r="E77" i="57" s="1"/>
  <c r="E85" i="57"/>
  <c r="E91" i="57" s="1"/>
  <c r="E62" i="57"/>
  <c r="E14" i="57"/>
  <c r="D15" i="57"/>
  <c r="F58" i="44"/>
  <c r="F61" i="44"/>
  <c r="F70" i="44"/>
  <c r="F84" i="44"/>
  <c r="F72" i="61"/>
  <c r="F63" i="61"/>
  <c r="F86" i="61"/>
  <c r="D73" i="58"/>
  <c r="D79" i="58" s="1"/>
  <c r="D87" i="58"/>
  <c r="D64" i="58"/>
  <c r="D72" i="36"/>
  <c r="D63" i="36"/>
  <c r="D86" i="36"/>
  <c r="D92" i="36" s="1"/>
  <c r="C72" i="55"/>
  <c r="C78" i="55" s="1"/>
  <c r="C86" i="55"/>
  <c r="C63" i="55"/>
  <c r="E73" i="57"/>
  <c r="E87" i="57"/>
  <c r="E64" i="57"/>
  <c r="D15" i="39"/>
  <c r="E14" i="39"/>
  <c r="F58" i="47"/>
  <c r="F84" i="47"/>
  <c r="F70" i="47"/>
  <c r="F76" i="47" s="1"/>
  <c r="F61" i="47"/>
  <c r="F72" i="62"/>
  <c r="F78" i="62" s="1"/>
  <c r="F86" i="62"/>
  <c r="F92" i="62" s="1"/>
  <c r="D72" i="38"/>
  <c r="D86" i="38"/>
  <c r="D63" i="38"/>
  <c r="C73" i="47"/>
  <c r="C87" i="47"/>
  <c r="C93" i="47" s="1"/>
  <c r="C64" i="47"/>
  <c r="E72" i="51"/>
  <c r="E78" i="51" s="1"/>
  <c r="E86" i="51"/>
  <c r="E63" i="51"/>
  <c r="C58" i="54"/>
  <c r="C65" i="54" s="1"/>
  <c r="C70" i="54"/>
  <c r="C76" i="54" s="1"/>
  <c r="C84" i="54"/>
  <c r="C61" i="54"/>
  <c r="F72" i="38"/>
  <c r="F86" i="38"/>
  <c r="F63" i="38"/>
  <c r="D73" i="47"/>
  <c r="D87" i="47"/>
  <c r="D64" i="47"/>
  <c r="C71" i="41"/>
  <c r="C77" i="41" s="1"/>
  <c r="C85" i="41"/>
  <c r="C91" i="41" s="1"/>
  <c r="C62" i="41"/>
  <c r="E72" i="62"/>
  <c r="E86" i="62"/>
  <c r="E92" i="62" s="1"/>
  <c r="E63" i="62"/>
  <c r="E14" i="58"/>
  <c r="D15" i="58"/>
  <c r="D70" i="54"/>
  <c r="D84" i="54"/>
  <c r="D90" i="54" s="1"/>
  <c r="D58" i="54"/>
  <c r="D61" i="54"/>
  <c r="F58" i="58"/>
  <c r="F70" i="58"/>
  <c r="F84" i="58"/>
  <c r="F61" i="58"/>
  <c r="F73" i="37"/>
  <c r="F87" i="37"/>
  <c r="F64" i="37"/>
  <c r="D85" i="46"/>
  <c r="D71" i="46"/>
  <c r="D62" i="46"/>
  <c r="C72" i="41"/>
  <c r="C78" i="41" s="1"/>
  <c r="C86" i="41"/>
  <c r="C92" i="41" s="1"/>
  <c r="C63" i="41"/>
  <c r="E73" i="53"/>
  <c r="E87" i="53"/>
  <c r="E64" i="53"/>
  <c r="E86" i="36"/>
  <c r="E63" i="36"/>
  <c r="E72" i="36"/>
  <c r="E78" i="36" s="1"/>
  <c r="E14" i="52"/>
  <c r="D15" i="52"/>
  <c r="D58" i="48"/>
  <c r="D65" i="48" s="1"/>
  <c r="D70" i="48"/>
  <c r="D76" i="48" s="1"/>
  <c r="D84" i="48"/>
  <c r="D90" i="48" s="1"/>
  <c r="D61" i="48"/>
  <c r="F70" i="53"/>
  <c r="F76" i="53" s="1"/>
  <c r="F84" i="53"/>
  <c r="F61" i="53"/>
  <c r="F58" i="53"/>
  <c r="F65" i="53" s="1"/>
  <c r="D71" i="38"/>
  <c r="D77" i="38" s="1"/>
  <c r="D85" i="38"/>
  <c r="D62" i="38"/>
  <c r="C72" i="34"/>
  <c r="C78" i="34" s="1"/>
  <c r="C86" i="34"/>
  <c r="C92" i="34" s="1"/>
  <c r="C63" i="34"/>
  <c r="E87" i="36"/>
  <c r="E93" i="36" s="1"/>
  <c r="E64" i="36"/>
  <c r="E73" i="36"/>
  <c r="E79" i="36" s="1"/>
  <c r="E71" i="37"/>
  <c r="E62" i="37"/>
  <c r="E85" i="37"/>
  <c r="E14" i="50"/>
  <c r="D15" i="50"/>
  <c r="D58" i="50"/>
  <c r="D70" i="50"/>
  <c r="D61" i="50"/>
  <c r="D84" i="50"/>
  <c r="F71" i="56"/>
  <c r="F85" i="56"/>
  <c r="F62" i="56"/>
  <c r="D73" i="34"/>
  <c r="D87" i="34"/>
  <c r="D64" i="34"/>
  <c r="D71" i="42"/>
  <c r="D62" i="42"/>
  <c r="D85" i="42"/>
  <c r="E73" i="37"/>
  <c r="E87" i="37"/>
  <c r="E64" i="37"/>
  <c r="E14" i="51"/>
  <c r="D15" i="51"/>
  <c r="F58" i="39"/>
  <c r="F65" i="39" s="1"/>
  <c r="F70" i="39"/>
  <c r="F61" i="39"/>
  <c r="F84" i="39"/>
  <c r="F72" i="47"/>
  <c r="F63" i="47"/>
  <c r="F86" i="47"/>
  <c r="F92" i="47" s="1"/>
  <c r="D73" i="54"/>
  <c r="D87" i="54"/>
  <c r="D64" i="54"/>
  <c r="C73" i="52"/>
  <c r="C79" i="52" s="1"/>
  <c r="C87" i="52"/>
  <c r="C93" i="52" s="1"/>
  <c r="C64" i="52"/>
  <c r="E72" i="48"/>
  <c r="E63" i="48"/>
  <c r="E86" i="48"/>
  <c r="E13" i="33"/>
  <c r="D15" i="33"/>
  <c r="C58" i="38"/>
  <c r="C65" i="38" s="1"/>
  <c r="C70" i="38"/>
  <c r="C84" i="38"/>
  <c r="C61" i="38"/>
  <c r="F73" i="46"/>
  <c r="F87" i="46"/>
  <c r="F64" i="46"/>
  <c r="F71" i="62"/>
  <c r="F85" i="62"/>
  <c r="C73" i="61"/>
  <c r="C87" i="61"/>
  <c r="C93" i="61" s="1"/>
  <c r="C64" i="61"/>
  <c r="E72" i="37"/>
  <c r="E86" i="37"/>
  <c r="E63" i="37"/>
  <c r="C58" i="50"/>
  <c r="C65" i="50" s="1"/>
  <c r="C70" i="50"/>
  <c r="C84" i="50"/>
  <c r="C90" i="50" s="1"/>
  <c r="C61" i="50"/>
  <c r="F73" i="57"/>
  <c r="F79" i="57" s="1"/>
  <c r="F87" i="57"/>
  <c r="F93" i="57" s="1"/>
  <c r="F64" i="57"/>
  <c r="D72" i="35"/>
  <c r="D63" i="35"/>
  <c r="D86" i="35"/>
  <c r="C72" i="43"/>
  <c r="C78" i="43" s="1"/>
  <c r="C63" i="43"/>
  <c r="C86" i="43"/>
  <c r="E73" i="46"/>
  <c r="E64" i="46"/>
  <c r="E87" i="46"/>
  <c r="E93" i="46" s="1"/>
  <c r="E72" i="34"/>
  <c r="E86" i="34"/>
  <c r="E63" i="34"/>
  <c r="E58" i="53"/>
  <c r="E70" i="53"/>
  <c r="E84" i="53"/>
  <c r="E61" i="53"/>
  <c r="D58" i="57"/>
  <c r="D65" i="57" s="1"/>
  <c r="D70" i="57"/>
  <c r="D76" i="57" s="1"/>
  <c r="D84" i="57"/>
  <c r="D90" i="57" s="1"/>
  <c r="D61" i="57"/>
  <c r="F86" i="35"/>
  <c r="F72" i="35"/>
  <c r="F78" i="35" s="1"/>
  <c r="F63" i="35"/>
  <c r="D73" i="43"/>
  <c r="D87" i="43"/>
  <c r="D93" i="43" s="1"/>
  <c r="D64" i="43"/>
  <c r="C73" i="34"/>
  <c r="C79" i="34" s="1"/>
  <c r="C87" i="34"/>
  <c r="C93" i="34" s="1"/>
  <c r="C64" i="34"/>
  <c r="C85" i="61"/>
  <c r="C91" i="61" s="1"/>
  <c r="C71" i="61"/>
  <c r="C62" i="61"/>
  <c r="E63" i="58"/>
  <c r="E72" i="58"/>
  <c r="E86" i="58"/>
  <c r="E14" i="46"/>
  <c r="D15" i="46"/>
  <c r="D70" i="43"/>
  <c r="D84" i="43"/>
  <c r="D90" i="43" s="1"/>
  <c r="D58" i="43"/>
  <c r="D61" i="43"/>
  <c r="F72" i="56"/>
  <c r="F63" i="56"/>
  <c r="F86" i="56"/>
  <c r="F92" i="56" s="1"/>
  <c r="D71" i="34"/>
  <c r="D85" i="34"/>
  <c r="D62" i="34"/>
  <c r="C71" i="58"/>
  <c r="C77" i="58" s="1"/>
  <c r="C85" i="58"/>
  <c r="C91" i="58" s="1"/>
  <c r="C62" i="58"/>
  <c r="E73" i="41"/>
  <c r="E87" i="41"/>
  <c r="E93" i="41" s="1"/>
  <c r="E64" i="41"/>
  <c r="E71" i="51"/>
  <c r="E77" i="51" s="1"/>
  <c r="E62" i="51"/>
  <c r="E85" i="51"/>
  <c r="E14" i="55"/>
  <c r="D15" i="55"/>
  <c r="F70" i="59"/>
  <c r="F76" i="59" s="1"/>
  <c r="F58" i="59"/>
  <c r="F84" i="59"/>
  <c r="F61" i="59"/>
  <c r="F73" i="36"/>
  <c r="F87" i="36"/>
  <c r="F93" i="36" s="1"/>
  <c r="F64" i="36"/>
  <c r="F71" i="44"/>
  <c r="F85" i="44"/>
  <c r="F91" i="44" s="1"/>
  <c r="F62" i="44"/>
  <c r="D72" i="53"/>
  <c r="D86" i="53"/>
  <c r="D63" i="53"/>
  <c r="E85" i="58"/>
  <c r="E71" i="58"/>
  <c r="E77" i="58" s="1"/>
  <c r="E62" i="58"/>
  <c r="E71" i="33"/>
  <c r="E85" i="33"/>
  <c r="E91" i="33" s="1"/>
  <c r="E62" i="33"/>
  <c r="E58" i="33"/>
  <c r="E65" i="33" s="1"/>
  <c r="E122" i="48"/>
  <c r="E122" i="33"/>
  <c r="C117" i="58"/>
  <c r="C168" i="58" s="1"/>
  <c r="S173" i="58" s="1"/>
  <c r="C120" i="58"/>
  <c r="D117" i="38"/>
  <c r="D168" i="38" s="1"/>
  <c r="T173" i="38" s="1"/>
  <c r="D120" i="38"/>
  <c r="C122" i="58"/>
  <c r="E122" i="56"/>
  <c r="D123" i="57"/>
  <c r="E121" i="61"/>
  <c r="C123" i="54"/>
  <c r="E121" i="57"/>
  <c r="D123" i="50"/>
  <c r="F122" i="58"/>
  <c r="D121" i="55"/>
  <c r="C123" i="38"/>
  <c r="E123" i="61"/>
  <c r="E123" i="37"/>
  <c r="E122" i="58"/>
  <c r="C121" i="54"/>
  <c r="E121" i="50"/>
  <c r="D122" i="48"/>
  <c r="C122" i="52"/>
  <c r="E117" i="56"/>
  <c r="E168" i="56" s="1"/>
  <c r="E120" i="56"/>
  <c r="D122" i="38"/>
  <c r="C123" i="46"/>
  <c r="E122" i="38"/>
  <c r="D123" i="39"/>
  <c r="E117" i="58"/>
  <c r="E168" i="58" s="1"/>
  <c r="E120" i="58"/>
  <c r="F121" i="39"/>
  <c r="F123" i="55"/>
  <c r="D122" i="52"/>
  <c r="F117" i="38"/>
  <c r="F168" i="38" s="1"/>
  <c r="F120" i="38"/>
  <c r="E121" i="55"/>
  <c r="C117" i="52"/>
  <c r="C168" i="52" s="1"/>
  <c r="S173" i="52" s="1"/>
  <c r="C120" i="52"/>
  <c r="F123" i="57"/>
  <c r="D121" i="39"/>
  <c r="E122" i="52"/>
  <c r="C121" i="46"/>
  <c r="F123" i="50"/>
  <c r="D117" i="56"/>
  <c r="D168" i="56" s="1"/>
  <c r="D120" i="56"/>
  <c r="F117" i="52"/>
  <c r="F168" i="52" s="1"/>
  <c r="F120" i="52"/>
  <c r="F122" i="38"/>
  <c r="F122" i="52"/>
  <c r="C122" i="56"/>
  <c r="F117" i="33"/>
  <c r="F120" i="33"/>
  <c r="E123" i="57"/>
  <c r="C121" i="38"/>
  <c r="E122" i="54"/>
  <c r="F117" i="58"/>
  <c r="F168" i="58" s="1"/>
  <c r="F120" i="58"/>
  <c r="E123" i="50"/>
  <c r="C117" i="56"/>
  <c r="C168" i="56" s="1"/>
  <c r="S173" i="56" s="1"/>
  <c r="C120" i="56"/>
  <c r="F121" i="55"/>
  <c r="D117" i="52"/>
  <c r="D168" i="52" s="1"/>
  <c r="D120" i="52"/>
  <c r="C121" i="56"/>
  <c r="E123" i="42"/>
  <c r="E102" i="38"/>
  <c r="E162" i="38" s="1"/>
  <c r="E105" i="38"/>
  <c r="D117" i="42"/>
  <c r="D168" i="42" s="1"/>
  <c r="D120" i="42"/>
  <c r="E122" i="51"/>
  <c r="E102" i="48"/>
  <c r="E105" i="48"/>
  <c r="D117" i="51"/>
  <c r="D168" i="51" s="1"/>
  <c r="D120" i="51"/>
  <c r="C117" i="61"/>
  <c r="C168" i="61" s="1"/>
  <c r="S173" i="61" s="1"/>
  <c r="C120" i="61"/>
  <c r="F121" i="38"/>
  <c r="E121" i="56"/>
  <c r="E117" i="53"/>
  <c r="E168" i="53" s="1"/>
  <c r="E120" i="53"/>
  <c r="C121" i="58"/>
  <c r="E123" i="41"/>
  <c r="C121" i="57"/>
  <c r="D121" i="33"/>
  <c r="E108" i="33"/>
  <c r="E73" i="33"/>
  <c r="E122" i="50"/>
  <c r="F117" i="57"/>
  <c r="F168" i="57" s="1"/>
  <c r="F120" i="57"/>
  <c r="D123" i="54"/>
  <c r="E107" i="33"/>
  <c r="E72" i="33"/>
  <c r="E106" i="36"/>
  <c r="D123" i="62"/>
  <c r="E121" i="44"/>
  <c r="C122" i="54"/>
  <c r="E122" i="47"/>
  <c r="F117" i="53"/>
  <c r="F168" i="53" s="1"/>
  <c r="F120" i="53"/>
  <c r="D121" i="59"/>
  <c r="F123" i="51"/>
  <c r="E117" i="35"/>
  <c r="E168" i="35" s="1"/>
  <c r="E120" i="35"/>
  <c r="C123" i="50"/>
  <c r="D122" i="44"/>
  <c r="E107" i="46"/>
  <c r="E106" i="52"/>
  <c r="F122" i="57"/>
  <c r="C121" i="44"/>
  <c r="D117" i="39"/>
  <c r="D168" i="39" s="1"/>
  <c r="D120" i="39"/>
  <c r="E102" i="33"/>
  <c r="E162" i="33" s="1"/>
  <c r="E105" i="33"/>
  <c r="E70" i="33"/>
  <c r="E122" i="59"/>
  <c r="F117" i="43"/>
  <c r="F120" i="43"/>
  <c r="D121" i="61"/>
  <c r="F122" i="54"/>
  <c r="E108" i="53"/>
  <c r="D117" i="59"/>
  <c r="D168" i="59" s="1"/>
  <c r="D120" i="59"/>
  <c r="C121" i="47"/>
  <c r="F122" i="51"/>
  <c r="E102" i="47"/>
  <c r="E162" i="47" s="1"/>
  <c r="E105" i="47"/>
  <c r="E106" i="51"/>
  <c r="D121" i="56"/>
  <c r="C122" i="42"/>
  <c r="F122" i="59"/>
  <c r="E122" i="55"/>
  <c r="F121" i="35"/>
  <c r="D122" i="46"/>
  <c r="F123" i="61"/>
  <c r="E117" i="44"/>
  <c r="E168" i="44" s="1"/>
  <c r="E120" i="44"/>
  <c r="C123" i="57"/>
  <c r="D122" i="62"/>
  <c r="E107" i="36"/>
  <c r="E106" i="41"/>
  <c r="F123" i="36"/>
  <c r="C121" i="62"/>
  <c r="D117" i="50"/>
  <c r="D168" i="50" s="1"/>
  <c r="D120" i="50"/>
  <c r="E102" i="41"/>
  <c r="E162" i="41" s="1"/>
  <c r="E105" i="41"/>
  <c r="E123" i="38"/>
  <c r="C123" i="53"/>
  <c r="D121" i="51"/>
  <c r="F122" i="36"/>
  <c r="C117" i="53"/>
  <c r="C168" i="53" s="1"/>
  <c r="S173" i="53" s="1"/>
  <c r="C120" i="53"/>
  <c r="E122" i="43"/>
  <c r="C123" i="52"/>
  <c r="E121" i="58"/>
  <c r="F121" i="41"/>
  <c r="C117" i="39"/>
  <c r="C168" i="39" s="1"/>
  <c r="S173" i="39" s="1"/>
  <c r="C120" i="39"/>
  <c r="E108" i="39"/>
  <c r="E107" i="35"/>
  <c r="E117" i="57"/>
  <c r="E168" i="57" s="1"/>
  <c r="E120" i="57"/>
  <c r="C123" i="44"/>
  <c r="D122" i="39"/>
  <c r="E102" i="52"/>
  <c r="E162" i="52" s="1"/>
  <c r="E105" i="52"/>
  <c r="E123" i="48"/>
  <c r="C123" i="34"/>
  <c r="D117" i="46"/>
  <c r="D168" i="46" s="1"/>
  <c r="D120" i="46"/>
  <c r="F121" i="61"/>
  <c r="E108" i="34"/>
  <c r="E108" i="61"/>
  <c r="D123" i="56"/>
  <c r="F117" i="42"/>
  <c r="F168" i="42" s="1"/>
  <c r="F120" i="42"/>
  <c r="E117" i="59"/>
  <c r="E168" i="59" s="1"/>
  <c r="E120" i="59"/>
  <c r="E108" i="43"/>
  <c r="E108" i="59"/>
  <c r="D123" i="48"/>
  <c r="F117" i="51"/>
  <c r="F168" i="51" s="1"/>
  <c r="F120" i="51"/>
  <c r="E117" i="61"/>
  <c r="E168" i="61" s="1"/>
  <c r="E120" i="61"/>
  <c r="D117" i="53"/>
  <c r="D168" i="53" s="1"/>
  <c r="D120" i="53"/>
  <c r="F122" i="43"/>
  <c r="D123" i="61"/>
  <c r="E117" i="54"/>
  <c r="E168" i="54" s="1"/>
  <c r="E120" i="54"/>
  <c r="F123" i="58"/>
  <c r="C123" i="39"/>
  <c r="D122" i="35"/>
  <c r="E102" i="36"/>
  <c r="E162" i="36" s="1"/>
  <c r="E105" i="36"/>
  <c r="E123" i="54"/>
  <c r="F122" i="50"/>
  <c r="C121" i="35"/>
  <c r="E108" i="35"/>
  <c r="E107" i="50"/>
  <c r="D121" i="44"/>
  <c r="F123" i="35"/>
  <c r="C117" i="46"/>
  <c r="C168" i="46" s="1"/>
  <c r="S173" i="46" s="1"/>
  <c r="C120" i="46"/>
  <c r="E123" i="53"/>
  <c r="C122" i="34"/>
  <c r="E123" i="44"/>
  <c r="F117" i="54"/>
  <c r="F168" i="54" s="1"/>
  <c r="F120" i="54"/>
  <c r="E121" i="41"/>
  <c r="F117" i="62"/>
  <c r="F168" i="62" s="1"/>
  <c r="D123" i="52"/>
  <c r="E108" i="57"/>
  <c r="E107" i="62"/>
  <c r="E122" i="57"/>
  <c r="F121" i="54"/>
  <c r="C117" i="35"/>
  <c r="C168" i="35" s="1"/>
  <c r="S173" i="35" s="1"/>
  <c r="C120" i="35"/>
  <c r="E108" i="44"/>
  <c r="E107" i="57"/>
  <c r="F122" i="53"/>
  <c r="D123" i="59"/>
  <c r="E121" i="51"/>
  <c r="E107" i="47"/>
  <c r="E108" i="51"/>
  <c r="C117" i="42"/>
  <c r="C168" i="42" s="1"/>
  <c r="S173" i="42" s="1"/>
  <c r="C120" i="42"/>
  <c r="F117" i="59"/>
  <c r="F168" i="59" s="1"/>
  <c r="F120" i="59"/>
  <c r="E121" i="48"/>
  <c r="D117" i="61"/>
  <c r="D168" i="61" s="1"/>
  <c r="D120" i="61"/>
  <c r="C121" i="37"/>
  <c r="F121" i="56"/>
  <c r="C122" i="53"/>
  <c r="D117" i="36"/>
  <c r="D168" i="36" s="1"/>
  <c r="D120" i="36"/>
  <c r="F121" i="42"/>
  <c r="E121" i="52"/>
  <c r="F121" i="33"/>
  <c r="D123" i="58"/>
  <c r="E108" i="50"/>
  <c r="E107" i="44"/>
  <c r="E123" i="36"/>
  <c r="F121" i="46"/>
  <c r="C117" i="44"/>
  <c r="C168" i="44" s="1"/>
  <c r="S173" i="44" s="1"/>
  <c r="C120" i="44"/>
  <c r="E108" i="62"/>
  <c r="E108" i="36"/>
  <c r="D117" i="43"/>
  <c r="D168" i="43" s="1"/>
  <c r="D120" i="43"/>
  <c r="F122" i="34"/>
  <c r="D123" i="42"/>
  <c r="E117" i="46"/>
  <c r="E168" i="46" s="1"/>
  <c r="E120" i="46"/>
  <c r="D122" i="43"/>
  <c r="E117" i="34"/>
  <c r="E168" i="34" s="1"/>
  <c r="E120" i="34"/>
  <c r="C121" i="41"/>
  <c r="E123" i="33"/>
  <c r="F122" i="44"/>
  <c r="C121" i="50"/>
  <c r="D117" i="62"/>
  <c r="D168" i="62" s="1"/>
  <c r="D120" i="62"/>
  <c r="E108" i="41"/>
  <c r="E122" i="39"/>
  <c r="F121" i="36"/>
  <c r="D123" i="46"/>
  <c r="E106" i="62"/>
  <c r="E102" i="57"/>
  <c r="E162" i="57" s="1"/>
  <c r="E105" i="57"/>
  <c r="C117" i="43"/>
  <c r="C168" i="43" s="1"/>
  <c r="S173" i="43" s="1"/>
  <c r="C120" i="43"/>
  <c r="E122" i="34"/>
  <c r="C123" i="41"/>
  <c r="E123" i="55"/>
  <c r="E107" i="59"/>
  <c r="E108" i="47"/>
  <c r="D123" i="53"/>
  <c r="F117" i="37"/>
  <c r="F168" i="37" s="1"/>
  <c r="F120" i="37"/>
  <c r="E117" i="55"/>
  <c r="E168" i="55" s="1"/>
  <c r="E120" i="55"/>
  <c r="D102" i="57"/>
  <c r="D162" i="57" s="1"/>
  <c r="D105" i="57"/>
  <c r="D102" i="62"/>
  <c r="D162" i="62" s="1"/>
  <c r="D102" i="53"/>
  <c r="D162" i="53" s="1"/>
  <c r="D105" i="53"/>
  <c r="D106" i="38"/>
  <c r="D107" i="44"/>
  <c r="D106" i="48"/>
  <c r="E106" i="48"/>
  <c r="E107" i="34"/>
  <c r="D123" i="43"/>
  <c r="E117" i="47"/>
  <c r="E168" i="47" s="1"/>
  <c r="E120" i="47"/>
  <c r="D106" i="35"/>
  <c r="D107" i="33"/>
  <c r="D72" i="33"/>
  <c r="E108" i="48"/>
  <c r="D117" i="55"/>
  <c r="D168" i="55" s="1"/>
  <c r="D120" i="55"/>
  <c r="C121" i="42"/>
  <c r="D106" i="54"/>
  <c r="D107" i="50"/>
  <c r="D108" i="50"/>
  <c r="D108" i="47"/>
  <c r="D106" i="41"/>
  <c r="D108" i="55"/>
  <c r="E102" i="59"/>
  <c r="E162" i="59" s="1"/>
  <c r="E105" i="59"/>
  <c r="E106" i="47"/>
  <c r="D121" i="53"/>
  <c r="C122" i="37"/>
  <c r="F122" i="55"/>
  <c r="D106" i="36"/>
  <c r="D108" i="35"/>
  <c r="D108" i="53"/>
  <c r="D108" i="51"/>
  <c r="D107" i="54"/>
  <c r="C106" i="35"/>
  <c r="F108" i="33"/>
  <c r="C106" i="36"/>
  <c r="D108" i="34"/>
  <c r="D107" i="48"/>
  <c r="D108" i="57"/>
  <c r="C108" i="41"/>
  <c r="F107" i="56"/>
  <c r="F107" i="39"/>
  <c r="E102" i="34"/>
  <c r="E162" i="34" s="1"/>
  <c r="E105" i="34"/>
  <c r="D117" i="37"/>
  <c r="D168" i="37" s="1"/>
  <c r="D120" i="37"/>
  <c r="C117" i="55"/>
  <c r="C168" i="55" s="1"/>
  <c r="S173" i="55" s="1"/>
  <c r="C120" i="55"/>
  <c r="F121" i="43"/>
  <c r="D107" i="57"/>
  <c r="D108" i="54"/>
  <c r="D108" i="33"/>
  <c r="D73" i="33"/>
  <c r="D106" i="55"/>
  <c r="D107" i="42"/>
  <c r="D107" i="34"/>
  <c r="D107" i="61"/>
  <c r="E107" i="61"/>
  <c r="E108" i="37"/>
  <c r="C117" i="47"/>
  <c r="C168" i="47" s="1"/>
  <c r="S173" i="47" s="1"/>
  <c r="C120" i="47"/>
  <c r="F121" i="34"/>
  <c r="E121" i="53"/>
  <c r="D102" i="39"/>
  <c r="D162" i="39" s="1"/>
  <c r="D105" i="39"/>
  <c r="E107" i="42"/>
  <c r="C117" i="37"/>
  <c r="C168" i="37" s="1"/>
  <c r="S173" i="37" s="1"/>
  <c r="C120" i="37"/>
  <c r="F117" i="55"/>
  <c r="F168" i="55" s="1"/>
  <c r="F120" i="55"/>
  <c r="E121" i="43"/>
  <c r="D108" i="62"/>
  <c r="D106" i="39"/>
  <c r="D107" i="43"/>
  <c r="D107" i="59"/>
  <c r="D106" i="57"/>
  <c r="D107" i="53"/>
  <c r="D108" i="38"/>
  <c r="E102" i="43"/>
  <c r="E162" i="43" s="1"/>
  <c r="E105" i="43"/>
  <c r="D117" i="47"/>
  <c r="D168" i="47" s="1"/>
  <c r="D120" i="47"/>
  <c r="C121" i="51"/>
  <c r="F121" i="53"/>
  <c r="D108" i="46"/>
  <c r="D106" i="46"/>
  <c r="D107" i="47"/>
  <c r="D106" i="59"/>
  <c r="D106" i="33"/>
  <c r="D71" i="33"/>
  <c r="F108" i="42"/>
  <c r="F106" i="56"/>
  <c r="F107" i="46"/>
  <c r="D108" i="61"/>
  <c r="D106" i="50"/>
  <c r="F106" i="51"/>
  <c r="C102" i="57"/>
  <c r="C162" i="57" s="1"/>
  <c r="S171" i="57" s="1"/>
  <c r="C105" i="57"/>
  <c r="F108" i="52"/>
  <c r="F107" i="47"/>
  <c r="C102" i="39"/>
  <c r="C162" i="39" s="1"/>
  <c r="S171" i="39" s="1"/>
  <c r="C105" i="39"/>
  <c r="C102" i="38"/>
  <c r="C162" i="38" s="1"/>
  <c r="C105" i="38"/>
  <c r="D108" i="58"/>
  <c r="D107" i="38"/>
  <c r="D107" i="55"/>
  <c r="C102" i="41"/>
  <c r="C162" i="41" s="1"/>
  <c r="S171" i="41" s="1"/>
  <c r="C105" i="41"/>
  <c r="C108" i="43"/>
  <c r="C108" i="55"/>
  <c r="F106" i="47"/>
  <c r="C106" i="42"/>
  <c r="C107" i="58"/>
  <c r="C107" i="62"/>
  <c r="C108" i="54"/>
  <c r="F107" i="36"/>
  <c r="C107" i="50"/>
  <c r="C107" i="46"/>
  <c r="F102" i="43"/>
  <c r="F162" i="43" s="1"/>
  <c r="F105" i="43"/>
  <c r="C102" i="55"/>
  <c r="C162" i="55" s="1"/>
  <c r="C105" i="55"/>
  <c r="C107" i="41"/>
  <c r="F108" i="46"/>
  <c r="C107" i="35"/>
  <c r="C108" i="36"/>
  <c r="F108" i="39"/>
  <c r="F106" i="61"/>
  <c r="C108" i="58"/>
  <c r="D102" i="44"/>
  <c r="D162" i="44" s="1"/>
  <c r="T171" i="44" s="1"/>
  <c r="D105" i="44"/>
  <c r="D107" i="56"/>
  <c r="D108" i="43"/>
  <c r="C106" i="48"/>
  <c r="F102" i="52"/>
  <c r="F162" i="52" s="1"/>
  <c r="F105" i="52"/>
  <c r="F106" i="39"/>
  <c r="F102" i="35"/>
  <c r="F162" i="35" s="1"/>
  <c r="F105" i="35"/>
  <c r="C106" i="62"/>
  <c r="D106" i="51"/>
  <c r="D106" i="53"/>
  <c r="F102" i="33"/>
  <c r="F162" i="33" s="1"/>
  <c r="F105" i="33"/>
  <c r="F70" i="33"/>
  <c r="F102" i="57"/>
  <c r="F162" i="57" s="1"/>
  <c r="F105" i="57"/>
  <c r="C108" i="62"/>
  <c r="C106" i="38"/>
  <c r="C102" i="42"/>
  <c r="C162" i="42" s="1"/>
  <c r="S171" i="42" s="1"/>
  <c r="C105" i="42"/>
  <c r="C107" i="47"/>
  <c r="F102" i="37"/>
  <c r="F162" i="37" s="1"/>
  <c r="F105" i="37"/>
  <c r="F106" i="44"/>
  <c r="C108" i="57"/>
  <c r="C102" i="34"/>
  <c r="C162" i="34" s="1"/>
  <c r="S171" i="34" s="1"/>
  <c r="C105" i="34"/>
  <c r="F107" i="50"/>
  <c r="C102" i="33"/>
  <c r="C162" i="33" s="1"/>
  <c r="C105" i="33"/>
  <c r="C70" i="33"/>
  <c r="C76" i="33" s="1"/>
  <c r="C108" i="48"/>
  <c r="F107" i="52"/>
  <c r="C108" i="39"/>
  <c r="F108" i="61"/>
  <c r="F107" i="55"/>
  <c r="F108" i="50"/>
  <c r="C106" i="44"/>
  <c r="C106" i="46"/>
  <c r="D107" i="62"/>
  <c r="D106" i="61"/>
  <c r="D107" i="37"/>
  <c r="F108" i="36"/>
  <c r="F106" i="33"/>
  <c r="C106" i="33"/>
  <c r="C71" i="33"/>
  <c r="C77" i="33" s="1"/>
  <c r="F102" i="56"/>
  <c r="F162" i="56" s="1"/>
  <c r="F105" i="56"/>
  <c r="C102" i="48"/>
  <c r="C162" i="48" s="1"/>
  <c r="C105" i="48"/>
  <c r="F106" i="57"/>
  <c r="C107" i="57"/>
  <c r="D102" i="48"/>
  <c r="D162" i="48" s="1"/>
  <c r="T171" i="48" s="1"/>
  <c r="D105" i="48"/>
  <c r="D106" i="34"/>
  <c r="F107" i="51"/>
  <c r="F106" i="38"/>
  <c r="F108" i="59"/>
  <c r="C107" i="53"/>
  <c r="D106" i="52"/>
  <c r="D108" i="42"/>
  <c r="C107" i="54"/>
  <c r="C102" i="58"/>
  <c r="C162" i="58" s="1"/>
  <c r="S171" i="58" s="1"/>
  <c r="C105" i="58"/>
  <c r="F106" i="46"/>
  <c r="C107" i="61"/>
  <c r="F108" i="55"/>
  <c r="C102" i="37"/>
  <c r="C162" i="37" s="1"/>
  <c r="S171" i="37" s="1"/>
  <c r="C105" i="37"/>
  <c r="C106" i="53"/>
  <c r="F107" i="42"/>
  <c r="C106" i="50"/>
  <c r="C107" i="48"/>
  <c r="F108" i="58"/>
  <c r="F107" i="44"/>
  <c r="C108" i="37"/>
  <c r="F107" i="53"/>
  <c r="F102" i="53"/>
  <c r="F162" i="53" s="1"/>
  <c r="F105" i="53"/>
  <c r="C106" i="34"/>
  <c r="F106" i="36"/>
  <c r="C102" i="44"/>
  <c r="C162" i="44" s="1"/>
  <c r="C105" i="44"/>
  <c r="C106" i="58"/>
  <c r="C108" i="33"/>
  <c r="C73" i="33"/>
  <c r="C79" i="33" s="1"/>
  <c r="F106" i="58"/>
  <c r="C102" i="50"/>
  <c r="C162" i="50" s="1"/>
  <c r="C105" i="50"/>
  <c r="D107" i="36"/>
  <c r="D108" i="59"/>
  <c r="C107" i="36"/>
  <c r="F107" i="54"/>
  <c r="C108" i="46"/>
  <c r="C106" i="57"/>
  <c r="F102" i="39"/>
  <c r="F162" i="39" s="1"/>
  <c r="F105" i="39"/>
  <c r="C107" i="52"/>
  <c r="C106" i="51"/>
  <c r="C108" i="34"/>
  <c r="F102" i="62"/>
  <c r="F162" i="62" s="1"/>
  <c r="F106" i="50"/>
  <c r="F102" i="42"/>
  <c r="F162" i="42" s="1"/>
  <c r="F105" i="42"/>
  <c r="C107" i="44"/>
  <c r="F108" i="35"/>
  <c r="C108" i="38"/>
  <c r="C106" i="61"/>
  <c r="C102" i="51"/>
  <c r="C162" i="51" s="1"/>
  <c r="S171" i="51" s="1"/>
  <c r="C105" i="51"/>
  <c r="C106" i="56"/>
  <c r="F108" i="41"/>
  <c r="C107" i="38"/>
  <c r="F106" i="54"/>
  <c r="C106" i="43"/>
  <c r="F102" i="34"/>
  <c r="F162" i="34" s="1"/>
  <c r="F105" i="34"/>
  <c r="F108" i="37"/>
  <c r="F108" i="53"/>
  <c r="F108" i="38"/>
  <c r="C102" i="43"/>
  <c r="C162" i="43" s="1"/>
  <c r="S171" i="43" s="1"/>
  <c r="C105" i="43"/>
  <c r="F106" i="59"/>
  <c r="F106" i="53"/>
  <c r="F102" i="58"/>
  <c r="F162" i="58" s="1"/>
  <c r="F105" i="58"/>
  <c r="F108" i="47"/>
  <c r="C107" i="55"/>
  <c r="C106" i="37"/>
  <c r="F106" i="35"/>
  <c r="C108" i="53"/>
  <c r="F102" i="32"/>
  <c r="F162" i="32" s="1"/>
  <c r="F105" i="32"/>
  <c r="F70" i="32"/>
  <c r="F76" i="32" s="1"/>
  <c r="D43" i="57"/>
  <c r="D46" i="57"/>
  <c r="C43" i="58"/>
  <c r="C49" i="58" s="1"/>
  <c r="C46" i="58"/>
  <c r="T155" i="37"/>
  <c r="D155" i="37"/>
  <c r="T154" i="38"/>
  <c r="D154" i="38"/>
  <c r="F154" i="51"/>
  <c r="V154" i="51"/>
  <c r="A140" i="54"/>
  <c r="A139" i="47"/>
  <c r="F165" i="51"/>
  <c r="V157" i="51"/>
  <c r="F157" i="51"/>
  <c r="D43" i="44"/>
  <c r="D46" i="44"/>
  <c r="E155" i="47"/>
  <c r="D155" i="47"/>
  <c r="T155" i="47"/>
  <c r="D154" i="54"/>
  <c r="S154" i="54"/>
  <c r="U155" i="58"/>
  <c r="E155" i="58"/>
  <c r="F154" i="39"/>
  <c r="V154" i="39"/>
  <c r="U156" i="34"/>
  <c r="E156" i="34"/>
  <c r="A144" i="43"/>
  <c r="A142" i="42"/>
  <c r="A140" i="37"/>
  <c r="E165" i="39"/>
  <c r="E157" i="39"/>
  <c r="U157" i="39"/>
  <c r="C165" i="53"/>
  <c r="S172" i="53" s="1"/>
  <c r="S157" i="53"/>
  <c r="E155" i="51"/>
  <c r="T155" i="51"/>
  <c r="D155" i="51"/>
  <c r="T155" i="44"/>
  <c r="D155" i="44"/>
  <c r="T154" i="44"/>
  <c r="D154" i="44"/>
  <c r="T156" i="56"/>
  <c r="D156" i="56"/>
  <c r="U155" i="36"/>
  <c r="E155" i="36"/>
  <c r="A140" i="51"/>
  <c r="A142" i="38"/>
  <c r="A138" i="37"/>
  <c r="D145" i="37"/>
  <c r="E140" i="37" s="1"/>
  <c r="D165" i="52"/>
  <c r="T172" i="52" s="1"/>
  <c r="T157" i="52"/>
  <c r="D157" i="52"/>
  <c r="U157" i="62"/>
  <c r="F157" i="62"/>
  <c r="D43" i="34"/>
  <c r="D46" i="34"/>
  <c r="E43" i="44"/>
  <c r="E46" i="44"/>
  <c r="D155" i="59"/>
  <c r="T155" i="59"/>
  <c r="F43" i="42"/>
  <c r="F46" i="42"/>
  <c r="F156" i="56"/>
  <c r="V156" i="56"/>
  <c r="V155" i="57"/>
  <c r="F155" i="57"/>
  <c r="U154" i="38"/>
  <c r="E154" i="38"/>
  <c r="A138" i="54"/>
  <c r="A144" i="38"/>
  <c r="A141" i="34"/>
  <c r="E165" i="44"/>
  <c r="E157" i="44"/>
  <c r="U157" i="44"/>
  <c r="C165" i="57"/>
  <c r="S172" i="57" s="1"/>
  <c r="S157" i="57"/>
  <c r="D43" i="51"/>
  <c r="D46" i="51"/>
  <c r="E43" i="58"/>
  <c r="E46" i="58"/>
  <c r="C43" i="48"/>
  <c r="C49" i="48" s="1"/>
  <c r="C46" i="48"/>
  <c r="V155" i="41"/>
  <c r="F155" i="41"/>
  <c r="E156" i="57"/>
  <c r="T156" i="57"/>
  <c r="V154" i="61"/>
  <c r="F154" i="61"/>
  <c r="U156" i="56"/>
  <c r="E156" i="56"/>
  <c r="A138" i="50"/>
  <c r="D145" i="50"/>
  <c r="E138" i="50" s="1"/>
  <c r="A144" i="35"/>
  <c r="C165" i="48"/>
  <c r="S172" i="48" s="1"/>
  <c r="S157" i="48"/>
  <c r="D165" i="61"/>
  <c r="D157" i="61"/>
  <c r="T157" i="61"/>
  <c r="D43" i="35"/>
  <c r="D46" i="35"/>
  <c r="E43" i="61"/>
  <c r="E46" i="61"/>
  <c r="F155" i="61"/>
  <c r="V155" i="61"/>
  <c r="U154" i="43"/>
  <c r="E154" i="43"/>
  <c r="A143" i="35"/>
  <c r="A141" i="56"/>
  <c r="A141" i="59"/>
  <c r="A139" i="52"/>
  <c r="C165" i="42"/>
  <c r="S157" i="42"/>
  <c r="E43" i="53"/>
  <c r="E46" i="53"/>
  <c r="F43" i="56"/>
  <c r="F46" i="56"/>
  <c r="E155" i="42"/>
  <c r="T155" i="42"/>
  <c r="D155" i="42"/>
  <c r="F43" i="50"/>
  <c r="F46" i="50"/>
  <c r="V156" i="58"/>
  <c r="F156" i="58"/>
  <c r="F155" i="59"/>
  <c r="V155" i="59"/>
  <c r="T156" i="37"/>
  <c r="D156" i="37"/>
  <c r="A141" i="42"/>
  <c r="A139" i="39"/>
  <c r="C165" i="39"/>
  <c r="S157" i="39"/>
  <c r="E43" i="48"/>
  <c r="E46" i="48"/>
  <c r="T155" i="50"/>
  <c r="D155" i="50"/>
  <c r="T154" i="55"/>
  <c r="D154" i="55"/>
  <c r="T156" i="61"/>
  <c r="D156" i="61"/>
  <c r="U155" i="34"/>
  <c r="E155" i="34"/>
  <c r="A142" i="47"/>
  <c r="A141" i="39"/>
  <c r="C165" i="61"/>
  <c r="S172" i="61" s="1"/>
  <c r="S157" i="61"/>
  <c r="F165" i="41"/>
  <c r="V157" i="41"/>
  <c r="F157" i="41"/>
  <c r="A140" i="44"/>
  <c r="C165" i="41"/>
  <c r="S172" i="41" s="1"/>
  <c r="S157" i="41"/>
  <c r="D162" i="55"/>
  <c r="T171" i="55" s="1"/>
  <c r="D165" i="55"/>
  <c r="T157" i="55"/>
  <c r="D157" i="55"/>
  <c r="U155" i="37"/>
  <c r="E155" i="37"/>
  <c r="U154" i="35"/>
  <c r="E154" i="35"/>
  <c r="U154" i="46"/>
  <c r="E154" i="46"/>
  <c r="A143" i="38"/>
  <c r="A143" i="56"/>
  <c r="A141" i="52"/>
  <c r="E157" i="51"/>
  <c r="E165" i="51"/>
  <c r="U157" i="51"/>
  <c r="C165" i="44"/>
  <c r="S172" i="44" s="1"/>
  <c r="S157" i="44"/>
  <c r="E43" i="50"/>
  <c r="E46" i="50"/>
  <c r="T155" i="56"/>
  <c r="D155" i="56"/>
  <c r="F43" i="54"/>
  <c r="F46" i="54"/>
  <c r="T155" i="36"/>
  <c r="D155" i="36"/>
  <c r="F43" i="47"/>
  <c r="F46" i="47"/>
  <c r="V156" i="33"/>
  <c r="F156" i="33"/>
  <c r="C156" i="33" s="1"/>
  <c r="V155" i="51"/>
  <c r="F155" i="51"/>
  <c r="A141" i="58"/>
  <c r="A138" i="52"/>
  <c r="D145" i="52"/>
  <c r="E141" i="52" s="1"/>
  <c r="A139" i="57"/>
  <c r="F165" i="39"/>
  <c r="V157" i="39"/>
  <c r="F157" i="39"/>
  <c r="E43" i="42"/>
  <c r="E46" i="42"/>
  <c r="F43" i="46"/>
  <c r="F46" i="46"/>
  <c r="F43" i="39"/>
  <c r="F46" i="39"/>
  <c r="V155" i="50"/>
  <c r="F155" i="50"/>
  <c r="V156" i="37"/>
  <c r="F156" i="37"/>
  <c r="A139" i="38"/>
  <c r="D145" i="55"/>
  <c r="E138" i="55" s="1"/>
  <c r="A144" i="55"/>
  <c r="A144" i="46"/>
  <c r="E165" i="57"/>
  <c r="E157" i="57"/>
  <c r="U157" i="57"/>
  <c r="D165" i="37"/>
  <c r="T172" i="37" s="1"/>
  <c r="T157" i="37"/>
  <c r="D157" i="37"/>
  <c r="E155" i="41"/>
  <c r="T155" i="41"/>
  <c r="D155" i="41"/>
  <c r="T154" i="46"/>
  <c r="D154" i="46"/>
  <c r="U155" i="43"/>
  <c r="E155" i="43"/>
  <c r="A142" i="59"/>
  <c r="A141" i="54"/>
  <c r="F43" i="61"/>
  <c r="F46" i="61"/>
  <c r="T155" i="34"/>
  <c r="D155" i="34"/>
  <c r="F43" i="55"/>
  <c r="F46" i="55"/>
  <c r="E154" i="58"/>
  <c r="T154" i="58"/>
  <c r="D154" i="58"/>
  <c r="T156" i="43"/>
  <c r="D156" i="43"/>
  <c r="F154" i="42"/>
  <c r="V154" i="42"/>
  <c r="U156" i="36"/>
  <c r="E156" i="36"/>
  <c r="A144" i="47"/>
  <c r="A139" i="46"/>
  <c r="A143" i="39"/>
  <c r="A144" i="56"/>
  <c r="E165" i="61"/>
  <c r="U157" i="61"/>
  <c r="E157" i="61"/>
  <c r="D165" i="42"/>
  <c r="T172" i="42" s="1"/>
  <c r="D157" i="42"/>
  <c r="T157" i="42"/>
  <c r="E43" i="54"/>
  <c r="E46" i="54"/>
  <c r="T155" i="55"/>
  <c r="D155" i="55"/>
  <c r="F43" i="37"/>
  <c r="F46" i="37"/>
  <c r="V154" i="58"/>
  <c r="F154" i="58"/>
  <c r="V156" i="41"/>
  <c r="F156" i="41"/>
  <c r="F155" i="42"/>
  <c r="V155" i="42"/>
  <c r="T156" i="46"/>
  <c r="D156" i="46"/>
  <c r="A142" i="39"/>
  <c r="A139" i="37"/>
  <c r="A141" i="33"/>
  <c r="A144" i="33"/>
  <c r="A142" i="33"/>
  <c r="A139" i="33"/>
  <c r="A138" i="33"/>
  <c r="A140" i="33"/>
  <c r="D145" i="33"/>
  <c r="E141" i="33" s="1"/>
  <c r="E165" i="56"/>
  <c r="E157" i="56"/>
  <c r="U157" i="56"/>
  <c r="D43" i="62"/>
  <c r="E43" i="46"/>
  <c r="E46" i="46"/>
  <c r="T155" i="61"/>
  <c r="D155" i="61"/>
  <c r="T155" i="58"/>
  <c r="D155" i="58"/>
  <c r="F154" i="56"/>
  <c r="V154" i="56"/>
  <c r="V156" i="38"/>
  <c r="F156" i="38"/>
  <c r="V155" i="39"/>
  <c r="F155" i="39"/>
  <c r="A142" i="36"/>
  <c r="A144" i="52"/>
  <c r="A140" i="35"/>
  <c r="D46" i="43"/>
  <c r="D43" i="43"/>
  <c r="F48" i="33"/>
  <c r="U155" i="59"/>
  <c r="E155" i="59"/>
  <c r="U154" i="57"/>
  <c r="E154" i="57"/>
  <c r="F156" i="55"/>
  <c r="V156" i="55"/>
  <c r="A143" i="57"/>
  <c r="E43" i="47"/>
  <c r="E46" i="47"/>
  <c r="C43" i="51"/>
  <c r="C46" i="51"/>
  <c r="F155" i="52"/>
  <c r="V155" i="52"/>
  <c r="T156" i="34"/>
  <c r="D156" i="34"/>
  <c r="F155" i="44"/>
  <c r="V155" i="44"/>
  <c r="T156" i="42"/>
  <c r="D156" i="42"/>
  <c r="A142" i="43"/>
  <c r="A141" i="37"/>
  <c r="A141" i="36"/>
  <c r="E165" i="58"/>
  <c r="U157" i="58"/>
  <c r="E157" i="58"/>
  <c r="C43" i="41"/>
  <c r="C49" i="41" s="1"/>
  <c r="C46" i="41"/>
  <c r="C43" i="35"/>
  <c r="C49" i="35" s="1"/>
  <c r="C46" i="35"/>
  <c r="V155" i="58"/>
  <c r="F155" i="58"/>
  <c r="C155" i="58" s="1"/>
  <c r="T156" i="50"/>
  <c r="D156" i="50"/>
  <c r="E154" i="50"/>
  <c r="T154" i="50"/>
  <c r="D154" i="50"/>
  <c r="F156" i="39"/>
  <c r="V156" i="39"/>
  <c r="A139" i="42"/>
  <c r="A144" i="61"/>
  <c r="C165" i="46"/>
  <c r="S157" i="46"/>
  <c r="D165" i="59"/>
  <c r="T157" i="59"/>
  <c r="D157" i="59"/>
  <c r="D43" i="37"/>
  <c r="D46" i="37"/>
  <c r="E43" i="36"/>
  <c r="E46" i="36"/>
  <c r="V154" i="46"/>
  <c r="F154" i="46"/>
  <c r="E156" i="61"/>
  <c r="U156" i="61"/>
  <c r="D145" i="43"/>
  <c r="E138" i="43" s="1"/>
  <c r="A138" i="43"/>
  <c r="A143" i="59"/>
  <c r="A142" i="61"/>
  <c r="C165" i="43"/>
  <c r="S172" i="43" s="1"/>
  <c r="S157" i="43"/>
  <c r="E165" i="43"/>
  <c r="U157" i="43"/>
  <c r="E157" i="43"/>
  <c r="D43" i="61"/>
  <c r="D46" i="61"/>
  <c r="C43" i="56"/>
  <c r="C46" i="56"/>
  <c r="C43" i="50"/>
  <c r="C49" i="50" s="1"/>
  <c r="C46" i="50"/>
  <c r="V154" i="34"/>
  <c r="F154" i="34"/>
  <c r="U156" i="50"/>
  <c r="E156" i="50"/>
  <c r="A140" i="43"/>
  <c r="A139" i="36"/>
  <c r="D165" i="38"/>
  <c r="T157" i="38"/>
  <c r="D157" i="38"/>
  <c r="E165" i="52"/>
  <c r="U157" i="52"/>
  <c r="E157" i="52"/>
  <c r="D47" i="51"/>
  <c r="T155" i="38"/>
  <c r="D155" i="38"/>
  <c r="T154" i="59"/>
  <c r="D154" i="59"/>
  <c r="A143" i="53"/>
  <c r="A144" i="51"/>
  <c r="A142" i="44"/>
  <c r="D165" i="56"/>
  <c r="T157" i="56"/>
  <c r="D157" i="56"/>
  <c r="X176" i="51"/>
  <c r="V154" i="38"/>
  <c r="F154" i="38"/>
  <c r="C154" i="38" s="1"/>
  <c r="U156" i="55"/>
  <c r="E156" i="55"/>
  <c r="E156" i="39"/>
  <c r="T156" i="39"/>
  <c r="A141" i="44"/>
  <c r="A143" i="50"/>
  <c r="E143" i="50"/>
  <c r="A143" i="51"/>
  <c r="C165" i="36"/>
  <c r="S172" i="36" s="1"/>
  <c r="S157" i="36"/>
  <c r="D165" i="50"/>
  <c r="D157" i="50"/>
  <c r="T157" i="50"/>
  <c r="V155" i="46"/>
  <c r="F155" i="46"/>
  <c r="T156" i="35"/>
  <c r="D156" i="35"/>
  <c r="A139" i="56"/>
  <c r="F162" i="47"/>
  <c r="V171" i="47" s="1"/>
  <c r="F165" i="47"/>
  <c r="F157" i="47"/>
  <c r="V157" i="47"/>
  <c r="E165" i="34"/>
  <c r="E157" i="34"/>
  <c r="U157" i="34"/>
  <c r="C47" i="51"/>
  <c r="A139" i="34"/>
  <c r="E48" i="47"/>
  <c r="F48" i="44"/>
  <c r="D47" i="59"/>
  <c r="E47" i="50"/>
  <c r="E47" i="42"/>
  <c r="E48" i="52"/>
  <c r="D47" i="38"/>
  <c r="F47" i="50"/>
  <c r="E48" i="44"/>
  <c r="F48" i="42"/>
  <c r="D47" i="57"/>
  <c r="D48" i="46"/>
  <c r="F47" i="59"/>
  <c r="D48" i="44"/>
  <c r="F48" i="47"/>
  <c r="D47" i="35"/>
  <c r="D48" i="47"/>
  <c r="D48" i="39"/>
  <c r="F48" i="62"/>
  <c r="D47" i="50"/>
  <c r="D47" i="36"/>
  <c r="E48" i="62"/>
  <c r="C102" i="36"/>
  <c r="C105" i="36"/>
  <c r="F107" i="43"/>
  <c r="C108" i="42"/>
  <c r="C106" i="55"/>
  <c r="F108" i="44"/>
  <c r="F107" i="37"/>
  <c r="C106" i="52"/>
  <c r="C102" i="35"/>
  <c r="C162" i="35" s="1"/>
  <c r="S171" i="35" s="1"/>
  <c r="C105" i="35"/>
  <c r="C102" i="54"/>
  <c r="C162" i="54" s="1"/>
  <c r="C105" i="54"/>
  <c r="F106" i="37"/>
  <c r="C107" i="42"/>
  <c r="F107" i="61"/>
  <c r="F102" i="46"/>
  <c r="F162" i="46" s="1"/>
  <c r="F105" i="46"/>
  <c r="F108" i="51"/>
  <c r="C108" i="50"/>
  <c r="F107" i="33"/>
  <c r="F72" i="33"/>
  <c r="C108" i="56"/>
  <c r="C107" i="37"/>
  <c r="C102" i="61"/>
  <c r="C162" i="61" s="1"/>
  <c r="S171" i="61" s="1"/>
  <c r="C105" i="61"/>
  <c r="C102" i="52"/>
  <c r="C162" i="52" s="1"/>
  <c r="S171" i="52" s="1"/>
  <c r="C105" i="52"/>
  <c r="C108" i="35"/>
  <c r="F108" i="57"/>
  <c r="C107" i="56"/>
  <c r="C106" i="39"/>
  <c r="F107" i="59"/>
  <c r="C107" i="33"/>
  <c r="C72" i="33"/>
  <c r="C102" i="47"/>
  <c r="C162" i="47" s="1"/>
  <c r="C105" i="47"/>
  <c r="F107" i="34"/>
  <c r="C108" i="47"/>
  <c r="F106" i="43"/>
  <c r="F106" i="34"/>
  <c r="D43" i="42"/>
  <c r="D46" i="42"/>
  <c r="E43" i="62"/>
  <c r="E43" i="56"/>
  <c r="E49" i="56" s="1"/>
  <c r="E46" i="56"/>
  <c r="U155" i="57"/>
  <c r="E155" i="57"/>
  <c r="U154" i="55"/>
  <c r="E154" i="55"/>
  <c r="U156" i="37"/>
  <c r="E156" i="37"/>
  <c r="T156" i="38"/>
  <c r="D156" i="38"/>
  <c r="A138" i="34"/>
  <c r="D145" i="34"/>
  <c r="E139" i="34" s="1"/>
  <c r="A142" i="58"/>
  <c r="E165" i="53"/>
  <c r="U157" i="53"/>
  <c r="E157" i="53"/>
  <c r="D165" i="51"/>
  <c r="D157" i="51"/>
  <c r="T157" i="51"/>
  <c r="F43" i="34"/>
  <c r="F46" i="34"/>
  <c r="S155" i="62"/>
  <c r="D155" i="62"/>
  <c r="U154" i="61"/>
  <c r="E154" i="61"/>
  <c r="T154" i="51"/>
  <c r="D154" i="51"/>
  <c r="T156" i="53"/>
  <c r="D156" i="53"/>
  <c r="D165" i="54"/>
  <c r="D157" i="54"/>
  <c r="T157" i="54"/>
  <c r="U154" i="39"/>
  <c r="E154" i="39"/>
  <c r="F156" i="57"/>
  <c r="V156" i="57"/>
  <c r="A143" i="44"/>
  <c r="D145" i="58"/>
  <c r="E138" i="58" s="1"/>
  <c r="A138" i="58"/>
  <c r="E162" i="37"/>
  <c r="E165" i="37"/>
  <c r="U157" i="37"/>
  <c r="E157" i="37"/>
  <c r="C165" i="50"/>
  <c r="S157" i="50"/>
  <c r="U155" i="62"/>
  <c r="F155" i="62"/>
  <c r="T154" i="47"/>
  <c r="D154" i="47"/>
  <c r="V156" i="44"/>
  <c r="F156" i="44"/>
  <c r="A142" i="52"/>
  <c r="E142" i="52"/>
  <c r="A140" i="58"/>
  <c r="F165" i="44"/>
  <c r="V157" i="44"/>
  <c r="F157" i="44"/>
  <c r="D43" i="46"/>
  <c r="D46" i="46"/>
  <c r="F43" i="35"/>
  <c r="F46" i="35"/>
  <c r="V154" i="52"/>
  <c r="F154" i="52"/>
  <c r="F156" i="34"/>
  <c r="V156" i="34"/>
  <c r="V155" i="35"/>
  <c r="F155" i="35"/>
  <c r="A140" i="52"/>
  <c r="E140" i="52"/>
  <c r="A140" i="55"/>
  <c r="E140" i="55"/>
  <c r="F162" i="61"/>
  <c r="F165" i="61"/>
  <c r="F157" i="61"/>
  <c r="V157" i="61"/>
  <c r="E168" i="48"/>
  <c r="E165" i="48"/>
  <c r="U157" i="48"/>
  <c r="E157" i="48"/>
  <c r="D43" i="48"/>
  <c r="D46" i="48"/>
  <c r="D46" i="56"/>
  <c r="D43" i="56"/>
  <c r="E48" i="51"/>
  <c r="E43" i="34"/>
  <c r="E46" i="34"/>
  <c r="C43" i="44"/>
  <c r="C49" i="44" s="1"/>
  <c r="C46" i="44"/>
  <c r="U155" i="35"/>
  <c r="E155" i="35"/>
  <c r="U154" i="51"/>
  <c r="E154" i="51"/>
  <c r="T154" i="61"/>
  <c r="D154" i="61"/>
  <c r="F156" i="50"/>
  <c r="V156" i="50"/>
  <c r="A139" i="55"/>
  <c r="E139" i="55"/>
  <c r="D145" i="48"/>
  <c r="E138" i="48" s="1"/>
  <c r="A138" i="48"/>
  <c r="D165" i="43"/>
  <c r="D157" i="43"/>
  <c r="T157" i="43"/>
  <c r="F165" i="56"/>
  <c r="F157" i="56"/>
  <c r="V157" i="56"/>
  <c r="D43" i="41"/>
  <c r="D46" i="41"/>
  <c r="E155" i="53"/>
  <c r="U155" i="53"/>
  <c r="V154" i="47"/>
  <c r="F154" i="47"/>
  <c r="U156" i="41"/>
  <c r="E156" i="41"/>
  <c r="D145" i="54"/>
  <c r="E138" i="54" s="1"/>
  <c r="A144" i="54"/>
  <c r="A143" i="46"/>
  <c r="A142" i="53"/>
  <c r="D162" i="41"/>
  <c r="D168" i="41"/>
  <c r="D165" i="41"/>
  <c r="T157" i="41"/>
  <c r="D157" i="41"/>
  <c r="F165" i="54"/>
  <c r="F157" i="54"/>
  <c r="V157" i="54"/>
  <c r="D43" i="50"/>
  <c r="D46" i="50"/>
  <c r="C43" i="46"/>
  <c r="C49" i="46" s="1"/>
  <c r="C46" i="46"/>
  <c r="C43" i="39"/>
  <c r="C49" i="39" s="1"/>
  <c r="C46" i="39"/>
  <c r="U154" i="37"/>
  <c r="E154" i="37"/>
  <c r="V156" i="35"/>
  <c r="F156" i="35"/>
  <c r="A139" i="35"/>
  <c r="D145" i="53"/>
  <c r="E143" i="53" s="1"/>
  <c r="A142" i="46"/>
  <c r="F43" i="52"/>
  <c r="F46" i="52"/>
  <c r="T155" i="53"/>
  <c r="D155" i="53"/>
  <c r="F43" i="44"/>
  <c r="F46" i="44"/>
  <c r="F156" i="62"/>
  <c r="U156" i="62"/>
  <c r="E154" i="56"/>
  <c r="T154" i="56"/>
  <c r="D154" i="56"/>
  <c r="F156" i="53"/>
  <c r="V156" i="53"/>
  <c r="A139" i="58"/>
  <c r="A138" i="53"/>
  <c r="D162" i="46"/>
  <c r="D165" i="46"/>
  <c r="T172" i="46" s="1"/>
  <c r="T157" i="46"/>
  <c r="D157" i="46"/>
  <c r="F165" i="58"/>
  <c r="F157" i="58"/>
  <c r="V157" i="58"/>
  <c r="D46" i="38"/>
  <c r="D43" i="38"/>
  <c r="U155" i="44"/>
  <c r="E155" i="44"/>
  <c r="F154" i="59"/>
  <c r="V154" i="59"/>
  <c r="U156" i="54"/>
  <c r="E156" i="54"/>
  <c r="A138" i="47"/>
  <c r="D145" i="47"/>
  <c r="E138" i="47" s="1"/>
  <c r="A143" i="36"/>
  <c r="A142" i="56"/>
  <c r="E165" i="59"/>
  <c r="U157" i="59"/>
  <c r="E157" i="59"/>
  <c r="D165" i="39"/>
  <c r="T172" i="39" s="1"/>
  <c r="T157" i="39"/>
  <c r="D157" i="39"/>
  <c r="F155" i="56"/>
  <c r="V155" i="56"/>
  <c r="T156" i="58"/>
  <c r="D156" i="58"/>
  <c r="T154" i="57"/>
  <c r="D154" i="57"/>
  <c r="A142" i="50"/>
  <c r="A138" i="41"/>
  <c r="D145" i="41"/>
  <c r="E139" i="41" s="1"/>
  <c r="A141" i="43"/>
  <c r="F43" i="59"/>
  <c r="F46" i="59"/>
  <c r="E155" i="50"/>
  <c r="U155" i="50"/>
  <c r="U154" i="47"/>
  <c r="E154" i="47"/>
  <c r="A139" i="48"/>
  <c r="A138" i="42"/>
  <c r="D145" i="42"/>
  <c r="E138" i="42" s="1"/>
  <c r="C165" i="52"/>
  <c r="S157" i="52"/>
  <c r="D165" i="44"/>
  <c r="T157" i="44"/>
  <c r="D157" i="44"/>
  <c r="E46" i="37"/>
  <c r="E43" i="37"/>
  <c r="V154" i="33"/>
  <c r="F154" i="33"/>
  <c r="U156" i="47"/>
  <c r="E156" i="47"/>
  <c r="T156" i="47"/>
  <c r="D156" i="47"/>
  <c r="A141" i="35"/>
  <c r="A139" i="59"/>
  <c r="F165" i="42"/>
  <c r="V157" i="42"/>
  <c r="F157" i="42"/>
  <c r="D43" i="55"/>
  <c r="D46" i="55"/>
  <c r="C43" i="52"/>
  <c r="C49" i="52" s="1"/>
  <c r="C46" i="52"/>
  <c r="D156" i="44"/>
  <c r="S156" i="44"/>
  <c r="T156" i="62"/>
  <c r="E156" i="62"/>
  <c r="D145" i="59"/>
  <c r="E138" i="59" s="1"/>
  <c r="A138" i="59"/>
  <c r="A144" i="44"/>
  <c r="A138" i="46"/>
  <c r="D145" i="46"/>
  <c r="E144" i="46" s="1"/>
  <c r="C165" i="56"/>
  <c r="S172" i="56" s="1"/>
  <c r="S157" i="56"/>
  <c r="F162" i="36"/>
  <c r="F165" i="36"/>
  <c r="F157" i="36"/>
  <c r="V157" i="36"/>
  <c r="D43" i="47"/>
  <c r="D46" i="47"/>
  <c r="C43" i="43"/>
  <c r="C49" i="43" s="1"/>
  <c r="C46" i="43"/>
  <c r="C43" i="37"/>
  <c r="C49" i="37" s="1"/>
  <c r="C46" i="37"/>
  <c r="U155" i="51"/>
  <c r="D156" i="57"/>
  <c r="S156" i="57"/>
  <c r="E154" i="41"/>
  <c r="T154" i="41"/>
  <c r="D154" i="41"/>
  <c r="D145" i="57"/>
  <c r="E138" i="57" s="1"/>
  <c r="A138" i="57"/>
  <c r="A143" i="47"/>
  <c r="A141" i="51"/>
  <c r="E165" i="47"/>
  <c r="E157" i="47"/>
  <c r="U157" i="47"/>
  <c r="E43" i="55"/>
  <c r="E46" i="55"/>
  <c r="T155" i="43"/>
  <c r="D155" i="43"/>
  <c r="F43" i="58"/>
  <c r="F46" i="58"/>
  <c r="F43" i="53"/>
  <c r="F46" i="53"/>
  <c r="U155" i="54"/>
  <c r="E155" i="54"/>
  <c r="V154" i="35"/>
  <c r="F154" i="35"/>
  <c r="A143" i="42"/>
  <c r="A138" i="51"/>
  <c r="D145" i="51"/>
  <c r="E140" i="51" s="1"/>
  <c r="D165" i="48"/>
  <c r="T157" i="48"/>
  <c r="D157" i="48"/>
  <c r="D43" i="59"/>
  <c r="D46" i="59"/>
  <c r="E155" i="39"/>
  <c r="T155" i="39"/>
  <c r="D155" i="39"/>
  <c r="V156" i="43"/>
  <c r="F156" i="43"/>
  <c r="V156" i="51"/>
  <c r="F156" i="51"/>
  <c r="A144" i="48"/>
  <c r="A140" i="46"/>
  <c r="C165" i="58"/>
  <c r="S172" i="58" s="1"/>
  <c r="S157" i="58"/>
  <c r="F162" i="38"/>
  <c r="F165" i="38"/>
  <c r="F157" i="38"/>
  <c r="V157" i="38"/>
  <c r="E43" i="43"/>
  <c r="E46" i="43"/>
  <c r="E154" i="53"/>
  <c r="T154" i="53"/>
  <c r="D154" i="53"/>
  <c r="F156" i="52"/>
  <c r="V156" i="52"/>
  <c r="F155" i="53"/>
  <c r="V155" i="53"/>
  <c r="U154" i="34"/>
  <c r="E154" i="34"/>
  <c r="A142" i="54"/>
  <c r="A140" i="41"/>
  <c r="A140" i="53"/>
  <c r="F162" i="59"/>
  <c r="F165" i="59"/>
  <c r="V157" i="59"/>
  <c r="F157" i="59"/>
  <c r="E165" i="46"/>
  <c r="E157" i="46"/>
  <c r="U157" i="46"/>
  <c r="D43" i="52"/>
  <c r="D46" i="52"/>
  <c r="E7" i="51"/>
  <c r="C43" i="34"/>
  <c r="C49" i="34" s="1"/>
  <c r="C46" i="34"/>
  <c r="F155" i="36"/>
  <c r="V155" i="36"/>
  <c r="D156" i="36"/>
  <c r="T156" i="36"/>
  <c r="F154" i="57"/>
  <c r="V154" i="57"/>
  <c r="U156" i="52"/>
  <c r="E156" i="52"/>
  <c r="A141" i="55"/>
  <c r="E141" i="55"/>
  <c r="A140" i="48"/>
  <c r="F165" i="57"/>
  <c r="F157" i="57"/>
  <c r="V157" i="57"/>
  <c r="D165" i="57"/>
  <c r="T157" i="57"/>
  <c r="D157" i="57"/>
  <c r="D48" i="51"/>
  <c r="T155" i="46"/>
  <c r="D155" i="46"/>
  <c r="D154" i="34"/>
  <c r="S154" i="34"/>
  <c r="C154" i="34" s="1"/>
  <c r="T155" i="62"/>
  <c r="E155" i="62"/>
  <c r="V154" i="44"/>
  <c r="F154" i="44"/>
  <c r="U156" i="38"/>
  <c r="E156" i="38"/>
  <c r="A143" i="55"/>
  <c r="E143" i="55"/>
  <c r="A139" i="61"/>
  <c r="A142" i="48"/>
  <c r="A144" i="37"/>
  <c r="F43" i="41"/>
  <c r="F46" i="41"/>
  <c r="C43" i="42"/>
  <c r="C49" i="42" s="1"/>
  <c r="C46" i="42"/>
  <c r="U154" i="44"/>
  <c r="E154" i="44"/>
  <c r="F156" i="61"/>
  <c r="C156" i="61" s="1"/>
  <c r="V156" i="61"/>
  <c r="A140" i="39"/>
  <c r="A142" i="37"/>
  <c r="E142" i="37"/>
  <c r="E162" i="42"/>
  <c r="E165" i="42"/>
  <c r="U157" i="42"/>
  <c r="E157" i="42"/>
  <c r="C165" i="55"/>
  <c r="S172" i="55" s="1"/>
  <c r="S157" i="55"/>
  <c r="F43" i="43"/>
  <c r="F46" i="43"/>
  <c r="F43" i="57"/>
  <c r="F46" i="57"/>
  <c r="D154" i="39"/>
  <c r="S154" i="39"/>
  <c r="F154" i="50"/>
  <c r="V154" i="50"/>
  <c r="U156" i="43"/>
  <c r="E156" i="43"/>
  <c r="A144" i="57"/>
  <c r="A140" i="38"/>
  <c r="F168" i="50"/>
  <c r="F165" i="50"/>
  <c r="V157" i="50"/>
  <c r="F157" i="50"/>
  <c r="E165" i="36"/>
  <c r="U157" i="36"/>
  <c r="E157" i="36"/>
  <c r="C43" i="57"/>
  <c r="C49" i="57" s="1"/>
  <c r="C46" i="57"/>
  <c r="F154" i="36"/>
  <c r="V154" i="36"/>
  <c r="E156" i="53"/>
  <c r="U156" i="53"/>
  <c r="V156" i="47"/>
  <c r="F156" i="47"/>
  <c r="A139" i="53"/>
  <c r="A144" i="42"/>
  <c r="A143" i="34"/>
  <c r="C165" i="34"/>
  <c r="S172" i="34" s="1"/>
  <c r="S157" i="34"/>
  <c r="D165" i="47"/>
  <c r="D157" i="47"/>
  <c r="T157" i="47"/>
  <c r="E43" i="35"/>
  <c r="E46" i="35"/>
  <c r="F43" i="38"/>
  <c r="F46" i="38"/>
  <c r="F43" i="51"/>
  <c r="F46" i="51"/>
  <c r="V154" i="43"/>
  <c r="F154" i="43"/>
  <c r="U156" i="59"/>
  <c r="E156" i="59"/>
  <c r="T156" i="51"/>
  <c r="D156" i="51"/>
  <c r="A140" i="57"/>
  <c r="A139" i="50"/>
  <c r="E165" i="55"/>
  <c r="U157" i="55"/>
  <c r="E157" i="55"/>
  <c r="D162" i="35"/>
  <c r="D168" i="35"/>
  <c r="D165" i="35"/>
  <c r="T172" i="35" s="1"/>
  <c r="D157" i="35"/>
  <c r="T157" i="35"/>
  <c r="A140" i="61"/>
  <c r="E165" i="41"/>
  <c r="U172" i="41" s="1"/>
  <c r="U157" i="41"/>
  <c r="E157" i="41"/>
  <c r="E43" i="41"/>
  <c r="E46" i="41"/>
  <c r="F48" i="54"/>
  <c r="A139" i="41"/>
  <c r="E48" i="54"/>
  <c r="D47" i="43"/>
  <c r="D47" i="39"/>
  <c r="E47" i="55"/>
  <c r="A138" i="55"/>
  <c r="D47" i="42"/>
  <c r="D48" i="55"/>
  <c r="E47" i="47"/>
  <c r="F48" i="37"/>
  <c r="D155" i="48"/>
  <c r="E48" i="42"/>
  <c r="F48" i="46"/>
  <c r="F48" i="39"/>
  <c r="F48" i="55"/>
  <c r="E47" i="43"/>
  <c r="E47" i="46"/>
  <c r="E48" i="46"/>
  <c r="D48" i="54"/>
  <c r="E47" i="38"/>
  <c r="F47" i="42"/>
  <c r="F47" i="36"/>
  <c r="E47" i="35"/>
  <c r="E48" i="39"/>
  <c r="T155" i="57"/>
  <c r="D155" i="57"/>
  <c r="V155" i="34"/>
  <c r="F155" i="34"/>
  <c r="C155" i="34" s="1"/>
  <c r="E156" i="44"/>
  <c r="T156" i="44"/>
  <c r="V154" i="55"/>
  <c r="F154" i="55"/>
  <c r="C154" i="55" s="1"/>
  <c r="D145" i="36"/>
  <c r="E142" i="36" s="1"/>
  <c r="A144" i="36"/>
  <c r="A140" i="34"/>
  <c r="E140" i="34"/>
  <c r="A138" i="56"/>
  <c r="D145" i="56"/>
  <c r="E143" i="56" s="1"/>
  <c r="F165" i="35"/>
  <c r="V157" i="35"/>
  <c r="F157" i="35"/>
  <c r="F162" i="55"/>
  <c r="F165" i="55"/>
  <c r="V157" i="55"/>
  <c r="F157" i="55"/>
  <c r="D43" i="36"/>
  <c r="D46" i="36"/>
  <c r="C43" i="38"/>
  <c r="C49" i="38" s="1"/>
  <c r="C46" i="38"/>
  <c r="V155" i="33"/>
  <c r="F155" i="33"/>
  <c r="T156" i="52"/>
  <c r="D156" i="52"/>
  <c r="F154" i="53"/>
  <c r="V154" i="53"/>
  <c r="U156" i="46"/>
  <c r="E156" i="46"/>
  <c r="A141" i="48"/>
  <c r="A140" i="42"/>
  <c r="C165" i="38"/>
  <c r="S172" i="38" s="1"/>
  <c r="S157" i="38"/>
  <c r="D165" i="53"/>
  <c r="T157" i="53"/>
  <c r="D157" i="53"/>
  <c r="V155" i="38"/>
  <c r="F155" i="38"/>
  <c r="T156" i="41"/>
  <c r="D156" i="41"/>
  <c r="U155" i="38"/>
  <c r="E155" i="38"/>
  <c r="U154" i="54"/>
  <c r="E154" i="54"/>
  <c r="A143" i="48"/>
  <c r="A142" i="51"/>
  <c r="A141" i="47"/>
  <c r="D165" i="34"/>
  <c r="T157" i="34"/>
  <c r="D157" i="34"/>
  <c r="F165" i="46"/>
  <c r="V157" i="46"/>
  <c r="F157" i="46"/>
  <c r="E156" i="48"/>
  <c r="D156" i="48"/>
  <c r="E43" i="57"/>
  <c r="E46" i="57"/>
  <c r="U155" i="56"/>
  <c r="E155" i="56"/>
  <c r="V154" i="37"/>
  <c r="F154" i="37"/>
  <c r="A140" i="59"/>
  <c r="A143" i="33"/>
  <c r="E143" i="33"/>
  <c r="A140" i="56"/>
  <c r="E168" i="62"/>
  <c r="E165" i="62"/>
  <c r="T157" i="62"/>
  <c r="E157" i="62"/>
  <c r="D46" i="54"/>
  <c r="D43" i="54"/>
  <c r="E43" i="38"/>
  <c r="E46" i="38"/>
  <c r="V154" i="54"/>
  <c r="F154" i="54"/>
  <c r="F156" i="36"/>
  <c r="V156" i="36"/>
  <c r="V155" i="37"/>
  <c r="F155" i="37"/>
  <c r="A141" i="38"/>
  <c r="E9" i="51"/>
  <c r="D162" i="58"/>
  <c r="D165" i="58"/>
  <c r="T157" i="58"/>
  <c r="D157" i="58"/>
  <c r="F165" i="52"/>
  <c r="V157" i="52"/>
  <c r="F157" i="52"/>
  <c r="D43" i="53"/>
  <c r="D46" i="53"/>
  <c r="T154" i="36"/>
  <c r="D154" i="36"/>
  <c r="F156" i="42"/>
  <c r="V156" i="42"/>
  <c r="A139" i="44"/>
  <c r="D145" i="38"/>
  <c r="E138" i="38" s="1"/>
  <c r="A138" i="38"/>
  <c r="D165" i="36"/>
  <c r="T157" i="36"/>
  <c r="D157" i="36"/>
  <c r="V157" i="48"/>
  <c r="S154" i="62"/>
  <c r="D154" i="62"/>
  <c r="S156" i="62"/>
  <c r="D156" i="62"/>
  <c r="T154" i="62"/>
  <c r="E154" i="62"/>
  <c r="A140" i="50"/>
  <c r="A139" i="43"/>
  <c r="D165" i="62"/>
  <c r="T172" i="62" s="1"/>
  <c r="S157" i="62"/>
  <c r="D157" i="62"/>
  <c r="E43" i="51"/>
  <c r="E46" i="51"/>
  <c r="E47" i="51"/>
  <c r="F43" i="36"/>
  <c r="F46" i="36"/>
  <c r="E43" i="59"/>
  <c r="E49" i="59" s="1"/>
  <c r="E46" i="59"/>
  <c r="U156" i="51"/>
  <c r="E156" i="51"/>
  <c r="A140" i="47"/>
  <c r="D145" i="44"/>
  <c r="E138" i="44" s="1"/>
  <c r="A138" i="44"/>
  <c r="C165" i="54"/>
  <c r="S172" i="54" s="1"/>
  <c r="S157" i="54"/>
  <c r="F165" i="34"/>
  <c r="F157" i="34"/>
  <c r="V157" i="34"/>
  <c r="C48" i="51"/>
  <c r="V155" i="54"/>
  <c r="F155" i="54"/>
  <c r="T154" i="35"/>
  <c r="D154" i="35"/>
  <c r="A138" i="39"/>
  <c r="D145" i="39"/>
  <c r="E138" i="39" s="1"/>
  <c r="A142" i="35"/>
  <c r="A189" i="52"/>
  <c r="A190" i="44"/>
  <c r="A187" i="48"/>
  <c r="A190" i="51"/>
  <c r="A190" i="38"/>
  <c r="A188" i="35"/>
  <c r="A188" i="56"/>
  <c r="W220" i="33"/>
  <c r="A190" i="33"/>
  <c r="A187" i="34"/>
  <c r="A188" i="39"/>
  <c r="A187" i="44"/>
  <c r="A189" i="48"/>
  <c r="A189" i="62"/>
  <c r="A191" i="38"/>
  <c r="A188" i="52"/>
  <c r="A190" i="42"/>
  <c r="A189" i="58"/>
  <c r="A187" i="41"/>
  <c r="A186" i="42"/>
  <c r="D192" i="42"/>
  <c r="E186" i="42" s="1"/>
  <c r="A191" i="44"/>
  <c r="A186" i="50"/>
  <c r="D192" i="50"/>
  <c r="E186" i="50" s="1"/>
  <c r="A191" i="50"/>
  <c r="A187" i="43"/>
  <c r="A190" i="61"/>
  <c r="A189" i="35"/>
  <c r="A190" i="37"/>
  <c r="A186" i="55"/>
  <c r="D192" i="55"/>
  <c r="E186" i="55" s="1"/>
  <c r="A186" i="37"/>
  <c r="D192" i="37"/>
  <c r="E187" i="37" s="1"/>
  <c r="A190" i="41"/>
  <c r="A188" i="38"/>
  <c r="A187" i="38"/>
  <c r="A188" i="62"/>
  <c r="A187" i="51"/>
  <c r="A188" i="58"/>
  <c r="A188" i="46"/>
  <c r="A189" i="54"/>
  <c r="A188" i="50"/>
  <c r="A186" i="34"/>
  <c r="D192" i="34"/>
  <c r="E186" i="34" s="1"/>
  <c r="A186" i="39"/>
  <c r="D192" i="39"/>
  <c r="E188" i="39" s="1"/>
  <c r="A191" i="35"/>
  <c r="D192" i="47"/>
  <c r="E186" i="47" s="1"/>
  <c r="A186" i="47"/>
  <c r="A190" i="43"/>
  <c r="A191" i="33"/>
  <c r="A187" i="39"/>
  <c r="A188" i="43"/>
  <c r="A189" i="55"/>
  <c r="A191" i="39"/>
  <c r="A190" i="53"/>
  <c r="A189" i="41"/>
  <c r="A189" i="61"/>
  <c r="D192" i="53"/>
  <c r="E186" i="53" s="1"/>
  <c r="A186" i="53"/>
  <c r="A191" i="56"/>
  <c r="A191" i="62"/>
  <c r="A189" i="57"/>
  <c r="A190" i="46"/>
  <c r="A189" i="42"/>
  <c r="A191" i="53"/>
  <c r="A189" i="34"/>
  <c r="A188" i="54"/>
  <c r="A186" i="38"/>
  <c r="D192" i="38"/>
  <c r="E190" i="38" s="1"/>
  <c r="A190" i="35"/>
  <c r="A190" i="54"/>
  <c r="A188" i="61"/>
  <c r="A189" i="53"/>
  <c r="A189" i="37"/>
  <c r="A190" i="39"/>
  <c r="A187" i="36"/>
  <c r="A187" i="35"/>
  <c r="A190" i="47"/>
  <c r="D192" i="48"/>
  <c r="E186" i="48" s="1"/>
  <c r="A191" i="48"/>
  <c r="A189" i="51"/>
  <c r="A190" i="62"/>
  <c r="A189" i="38"/>
  <c r="A191" i="47"/>
  <c r="U201" i="33"/>
  <c r="E201" i="33"/>
  <c r="E198" i="47"/>
  <c r="E212" i="47" s="1"/>
  <c r="E200" i="47"/>
  <c r="U200" i="47"/>
  <c r="U201" i="37"/>
  <c r="E201" i="37"/>
  <c r="E198" i="56"/>
  <c r="E212" i="56" s="1"/>
  <c r="E200" i="56"/>
  <c r="U200" i="56"/>
  <c r="U201" i="53"/>
  <c r="E201" i="53"/>
  <c r="U201" i="35"/>
  <c r="E201" i="35"/>
  <c r="E198" i="43"/>
  <c r="E212" i="43" s="1"/>
  <c r="E200" i="43"/>
  <c r="U200" i="43"/>
  <c r="U201" i="52"/>
  <c r="E201" i="52"/>
  <c r="U201" i="34"/>
  <c r="E201" i="34"/>
  <c r="E201" i="57"/>
  <c r="U201" i="57"/>
  <c r="U201" i="39"/>
  <c r="E201" i="39"/>
  <c r="U201" i="62"/>
  <c r="E201" i="62"/>
  <c r="U201" i="56"/>
  <c r="E201" i="56"/>
  <c r="E198" i="53"/>
  <c r="E212" i="53" s="1"/>
  <c r="E200" i="53"/>
  <c r="U200" i="53"/>
  <c r="T201" i="47"/>
  <c r="D201" i="47"/>
  <c r="T201" i="52"/>
  <c r="D201" i="52"/>
  <c r="T201" i="56"/>
  <c r="D201" i="56"/>
  <c r="T201" i="39"/>
  <c r="D201" i="39"/>
  <c r="U201" i="54"/>
  <c r="E201" i="54"/>
  <c r="E198" i="39"/>
  <c r="E212" i="39" s="1"/>
  <c r="U200" i="39"/>
  <c r="E200" i="39"/>
  <c r="U201" i="59"/>
  <c r="E201" i="59"/>
  <c r="E198" i="48"/>
  <c r="U200" i="48"/>
  <c r="E200" i="48"/>
  <c r="E198" i="33"/>
  <c r="E212" i="33" s="1"/>
  <c r="E200" i="33"/>
  <c r="U200" i="33"/>
  <c r="U201" i="38"/>
  <c r="E201" i="38"/>
  <c r="E198" i="44"/>
  <c r="E212" i="44" s="1"/>
  <c r="U200" i="44"/>
  <c r="E200" i="44"/>
  <c r="U201" i="44"/>
  <c r="E201" i="44"/>
  <c r="E198" i="54"/>
  <c r="E212" i="54" s="1"/>
  <c r="U200" i="54"/>
  <c r="E200" i="54"/>
  <c r="E198" i="36"/>
  <c r="E212" i="36" s="1"/>
  <c r="E200" i="36"/>
  <c r="U200" i="36"/>
  <c r="U201" i="51"/>
  <c r="E201" i="51"/>
  <c r="E198" i="52"/>
  <c r="E212" i="52" s="1"/>
  <c r="U200" i="52"/>
  <c r="E200" i="52"/>
  <c r="U201" i="58"/>
  <c r="E201" i="58"/>
  <c r="T201" i="33"/>
  <c r="D201" i="33"/>
  <c r="T201" i="34"/>
  <c r="D201" i="34"/>
  <c r="D198" i="37"/>
  <c r="D212" i="37" s="1"/>
  <c r="T200" i="37"/>
  <c r="D200" i="37"/>
  <c r="D198" i="44"/>
  <c r="D212" i="44" s="1"/>
  <c r="D200" i="44"/>
  <c r="T200" i="44"/>
  <c r="T201" i="43"/>
  <c r="D201" i="43"/>
  <c r="V200" i="48"/>
  <c r="F198" i="42"/>
  <c r="F212" i="42" s="1"/>
  <c r="V200" i="42"/>
  <c r="F200" i="42"/>
  <c r="T201" i="48"/>
  <c r="D201" i="48"/>
  <c r="V201" i="36"/>
  <c r="F201" i="36"/>
  <c r="C198" i="41"/>
  <c r="C212" i="41" s="1"/>
  <c r="S200" i="41"/>
  <c r="F198" i="53"/>
  <c r="F212" i="53" s="1"/>
  <c r="V200" i="53"/>
  <c r="F200" i="53"/>
  <c r="T201" i="46"/>
  <c r="D201" i="46"/>
  <c r="D198" i="62"/>
  <c r="D212" i="62" s="1"/>
  <c r="D200" i="62"/>
  <c r="T200" i="62"/>
  <c r="D198" i="55"/>
  <c r="D212" i="55" s="1"/>
  <c r="D200" i="55"/>
  <c r="T200" i="55"/>
  <c r="V201" i="59"/>
  <c r="F201" i="59"/>
  <c r="C198" i="52"/>
  <c r="C212" i="52" s="1"/>
  <c r="S200" i="52"/>
  <c r="F198" i="38"/>
  <c r="F212" i="38" s="1"/>
  <c r="V200" i="38"/>
  <c r="F200" i="38"/>
  <c r="C198" i="61"/>
  <c r="C212" i="61" s="1"/>
  <c r="S200" i="61"/>
  <c r="F198" i="51"/>
  <c r="F212" i="51" s="1"/>
  <c r="V200" i="51"/>
  <c r="F200" i="51"/>
  <c r="T201" i="38"/>
  <c r="D201" i="38"/>
  <c r="T201" i="37"/>
  <c r="D201" i="37"/>
  <c r="T201" i="54"/>
  <c r="D201" i="54"/>
  <c r="T201" i="41"/>
  <c r="D201" i="41"/>
  <c r="C198" i="46"/>
  <c r="C212" i="46" s="1"/>
  <c r="S200" i="46"/>
  <c r="F198" i="47"/>
  <c r="F212" i="47" s="1"/>
  <c r="V200" i="47"/>
  <c r="F200" i="47"/>
  <c r="S200" i="44"/>
  <c r="C198" i="44"/>
  <c r="C212" i="44" s="1"/>
  <c r="D198" i="42"/>
  <c r="D212" i="42" s="1"/>
  <c r="D200" i="42"/>
  <c r="T200" i="42"/>
  <c r="F198" i="61"/>
  <c r="F212" i="61" s="1"/>
  <c r="F200" i="61"/>
  <c r="V200" i="61"/>
  <c r="T201" i="51"/>
  <c r="D201" i="51"/>
  <c r="D201" i="50"/>
  <c r="T201" i="50"/>
  <c r="T201" i="35"/>
  <c r="D201" i="35"/>
  <c r="F201" i="54"/>
  <c r="V201" i="54"/>
  <c r="D198" i="61"/>
  <c r="D212" i="61" s="1"/>
  <c r="D200" i="61"/>
  <c r="T200" i="61"/>
  <c r="F198" i="34"/>
  <c r="F212" i="34" s="1"/>
  <c r="V200" i="34"/>
  <c r="F200" i="34"/>
  <c r="D198" i="48"/>
  <c r="D212" i="48" s="1"/>
  <c r="T200" i="48"/>
  <c r="D200" i="48"/>
  <c r="D198" i="39"/>
  <c r="D212" i="39" s="1"/>
  <c r="D200" i="39"/>
  <c r="T200" i="39"/>
  <c r="D201" i="36"/>
  <c r="T201" i="36"/>
  <c r="D198" i="35"/>
  <c r="D212" i="35" s="1"/>
  <c r="T200" i="35"/>
  <c r="D200" i="35"/>
  <c r="F198" i="52"/>
  <c r="F212" i="52" s="1"/>
  <c r="F200" i="52"/>
  <c r="V200" i="52"/>
  <c r="F201" i="53"/>
  <c r="V201" i="53"/>
  <c r="V201" i="43"/>
  <c r="F201" i="43"/>
  <c r="V201" i="47"/>
  <c r="F201" i="47"/>
  <c r="C198" i="58"/>
  <c r="C212" i="58" s="1"/>
  <c r="S200" i="58"/>
  <c r="F198" i="32"/>
  <c r="F212" i="32" s="1"/>
  <c r="V200" i="32"/>
  <c r="F200" i="32"/>
  <c r="F201" i="37"/>
  <c r="V201" i="37"/>
  <c r="F198" i="36"/>
  <c r="F212" i="36" s="1"/>
  <c r="V200" i="36"/>
  <c r="F200" i="36"/>
  <c r="C198" i="54"/>
  <c r="C212" i="54" s="1"/>
  <c r="S200" i="54"/>
  <c r="V201" i="52"/>
  <c r="F201" i="52"/>
  <c r="F198" i="56"/>
  <c r="F212" i="56" s="1"/>
  <c r="V200" i="56"/>
  <c r="F200" i="56"/>
  <c r="F198" i="46"/>
  <c r="F212" i="46" s="1"/>
  <c r="V200" i="46"/>
  <c r="F200" i="46"/>
  <c r="F201" i="42"/>
  <c r="V201" i="42"/>
  <c r="F198" i="55"/>
  <c r="F212" i="55" s="1"/>
  <c r="V200" i="55"/>
  <c r="F200" i="55"/>
  <c r="C198" i="51"/>
  <c r="C212" i="51" s="1"/>
  <c r="S200" i="51"/>
  <c r="V201" i="50"/>
  <c r="F201" i="50"/>
  <c r="F198" i="59"/>
  <c r="F212" i="59" s="1"/>
  <c r="F200" i="59"/>
  <c r="V200" i="59"/>
  <c r="C198" i="57"/>
  <c r="C212" i="57" s="1"/>
  <c r="S200" i="57"/>
  <c r="V201" i="39"/>
  <c r="F201" i="39"/>
  <c r="C198" i="38"/>
  <c r="C212" i="38" s="1"/>
  <c r="S200" i="38"/>
  <c r="V201" i="57"/>
  <c r="F201" i="57"/>
  <c r="V201" i="35"/>
  <c r="F201" i="35"/>
  <c r="C198" i="62"/>
  <c r="C212" i="62" s="1"/>
  <c r="S200" i="62"/>
  <c r="F201" i="32"/>
  <c r="C201" i="32" s="1"/>
  <c r="V201" i="32"/>
  <c r="F198" i="54"/>
  <c r="F212" i="54" s="1"/>
  <c r="V200" i="54"/>
  <c r="F200" i="54"/>
  <c r="V201" i="44"/>
  <c r="F201" i="44"/>
  <c r="E8" i="51"/>
  <c r="F47" i="58"/>
  <c r="D47" i="48"/>
  <c r="F48" i="57"/>
  <c r="D48" i="37"/>
  <c r="E48" i="55"/>
  <c r="F48" i="58"/>
  <c r="F48" i="53"/>
  <c r="E48" i="37"/>
  <c r="C47" i="56"/>
  <c r="D47" i="41"/>
  <c r="E155" i="48"/>
  <c r="D47" i="47"/>
  <c r="D48" i="61"/>
  <c r="C48" i="56"/>
  <c r="D48" i="42"/>
  <c r="A187" i="37"/>
  <c r="A187" i="59"/>
  <c r="C43" i="53"/>
  <c r="C49" i="53" s="1"/>
  <c r="C46" i="53"/>
  <c r="F47" i="33"/>
  <c r="F43" i="33"/>
  <c r="V154" i="41"/>
  <c r="F154" i="41"/>
  <c r="A144" i="59"/>
  <c r="A138" i="36"/>
  <c r="A143" i="54"/>
  <c r="A138" i="61"/>
  <c r="D145" i="61"/>
  <c r="E142" i="61" s="1"/>
  <c r="F165" i="53"/>
  <c r="V157" i="53"/>
  <c r="F157" i="53"/>
  <c r="E165" i="38"/>
  <c r="U157" i="38"/>
  <c r="E157" i="38"/>
  <c r="C43" i="61"/>
  <c r="C49" i="61" s="1"/>
  <c r="C46" i="61"/>
  <c r="C43" i="55"/>
  <c r="C49" i="55" s="1"/>
  <c r="C46" i="55"/>
  <c r="T154" i="37"/>
  <c r="D154" i="37"/>
  <c r="F156" i="59"/>
  <c r="V156" i="59"/>
  <c r="A140" i="36"/>
  <c r="A144" i="58"/>
  <c r="D145" i="35"/>
  <c r="E138" i="35" s="1"/>
  <c r="A138" i="35"/>
  <c r="C168" i="51"/>
  <c r="S173" i="51" s="1"/>
  <c r="C165" i="51"/>
  <c r="S157" i="51"/>
  <c r="C157" i="51" s="1"/>
  <c r="D46" i="58"/>
  <c r="D43" i="58"/>
  <c r="C43" i="54"/>
  <c r="C49" i="54" s="1"/>
  <c r="C46" i="54"/>
  <c r="C43" i="47"/>
  <c r="C49" i="47" s="1"/>
  <c r="C46" i="47"/>
  <c r="E155" i="61"/>
  <c r="U155" i="61"/>
  <c r="U154" i="59"/>
  <c r="E154" i="59"/>
  <c r="U156" i="42"/>
  <c r="E156" i="42"/>
  <c r="D156" i="55"/>
  <c r="T156" i="55"/>
  <c r="C156" i="55" s="1"/>
  <c r="A144" i="39"/>
  <c r="A142" i="34"/>
  <c r="A139" i="54"/>
  <c r="F165" i="37"/>
  <c r="V157" i="37"/>
  <c r="F157" i="37"/>
  <c r="F168" i="43"/>
  <c r="F165" i="43"/>
  <c r="V157" i="43"/>
  <c r="F157" i="43"/>
  <c r="D43" i="39"/>
  <c r="D46" i="39"/>
  <c r="C43" i="36"/>
  <c r="C49" i="36" s="1"/>
  <c r="C46" i="36"/>
  <c r="T155" i="35"/>
  <c r="D155" i="35"/>
  <c r="F43" i="62"/>
  <c r="V155" i="43"/>
  <c r="F155" i="43"/>
  <c r="T156" i="54"/>
  <c r="D156" i="54"/>
  <c r="U156" i="58"/>
  <c r="E156" i="58"/>
  <c r="A144" i="50"/>
  <c r="A141" i="46"/>
  <c r="A143" i="43"/>
  <c r="A139" i="51"/>
  <c r="C165" i="37"/>
  <c r="S157" i="37"/>
  <c r="E43" i="52"/>
  <c r="E49" i="52" s="1"/>
  <c r="E46" i="52"/>
  <c r="E155" i="52"/>
  <c r="T155" i="52"/>
  <c r="D155" i="52"/>
  <c r="T154" i="43"/>
  <c r="D154" i="43"/>
  <c r="V156" i="54"/>
  <c r="F156" i="54"/>
  <c r="V155" i="55"/>
  <c r="F155" i="55"/>
  <c r="U154" i="36"/>
  <c r="E154" i="36"/>
  <c r="A142" i="57"/>
  <c r="A142" i="41"/>
  <c r="A141" i="50"/>
  <c r="E141" i="50"/>
  <c r="C165" i="35"/>
  <c r="S157" i="35"/>
  <c r="E46" i="39"/>
  <c r="E43" i="39"/>
  <c r="E155" i="55"/>
  <c r="U155" i="55"/>
  <c r="U156" i="35"/>
  <c r="E156" i="35"/>
  <c r="E154" i="42"/>
  <c r="T154" i="42"/>
  <c r="D154" i="42"/>
  <c r="A143" i="61"/>
  <c r="A142" i="55"/>
  <c r="E142" i="55"/>
  <c r="A141" i="41"/>
  <c r="W176" i="51"/>
  <c r="E168" i="50"/>
  <c r="E165" i="50"/>
  <c r="U172" i="50" s="1"/>
  <c r="U157" i="50"/>
  <c r="E157" i="50"/>
  <c r="C165" i="62"/>
  <c r="R157" i="62"/>
  <c r="T155" i="54"/>
  <c r="D155" i="54"/>
  <c r="E154" i="52"/>
  <c r="T154" i="52"/>
  <c r="D154" i="52"/>
  <c r="D156" i="59"/>
  <c r="T156" i="59"/>
  <c r="U155" i="46"/>
  <c r="C155" i="46" s="1"/>
  <c r="E155" i="46"/>
  <c r="A143" i="58"/>
  <c r="A141" i="61"/>
  <c r="A141" i="57"/>
  <c r="E162" i="54"/>
  <c r="E165" i="54"/>
  <c r="E157" i="54"/>
  <c r="U157" i="54"/>
  <c r="F156" i="46"/>
  <c r="V156" i="46"/>
  <c r="V155" i="47"/>
  <c r="F155" i="47"/>
  <c r="D156" i="39"/>
  <c r="S156" i="39"/>
  <c r="A141" i="53"/>
  <c r="A143" i="52"/>
  <c r="E143" i="52"/>
  <c r="E165" i="35"/>
  <c r="U157" i="35"/>
  <c r="E157" i="35"/>
  <c r="C165" i="47"/>
  <c r="S172" i="47" s="1"/>
  <c r="S157" i="47"/>
  <c r="A190" i="59"/>
  <c r="A191" i="34"/>
  <c r="A191" i="57"/>
  <c r="A189" i="47"/>
  <c r="A189" i="33"/>
  <c r="D192" i="36"/>
  <c r="E187" i="36" s="1"/>
  <c r="A186" i="36"/>
  <c r="A191" i="61"/>
  <c r="A187" i="55"/>
  <c r="A191" i="36"/>
  <c r="A186" i="61"/>
  <c r="D192" i="61"/>
  <c r="E189" i="61" s="1"/>
  <c r="A191" i="37"/>
  <c r="A187" i="53"/>
  <c r="A188" i="41"/>
  <c r="A187" i="50"/>
  <c r="A186" i="43"/>
  <c r="D192" i="43"/>
  <c r="E188" i="43" s="1"/>
  <c r="A191" i="51"/>
  <c r="A186" i="51"/>
  <c r="D192" i="51"/>
  <c r="E186" i="51" s="1"/>
  <c r="A190" i="34"/>
  <c r="A186" i="46"/>
  <c r="D192" i="46"/>
  <c r="E187" i="46" s="1"/>
  <c r="A191" i="54"/>
  <c r="A190" i="57"/>
  <c r="A188" i="53"/>
  <c r="A187" i="42"/>
  <c r="A189" i="56"/>
  <c r="D192" i="44"/>
  <c r="E186" i="44" s="1"/>
  <c r="A186" i="44"/>
  <c r="E10" i="33"/>
  <c r="A187" i="57"/>
  <c r="A186" i="56"/>
  <c r="D192" i="56"/>
  <c r="E187" i="56" s="1"/>
  <c r="A189" i="46"/>
  <c r="A190" i="36"/>
  <c r="A187" i="61"/>
  <c r="A191" i="55"/>
  <c r="A190" i="48"/>
  <c r="A189" i="39"/>
  <c r="A191" i="41"/>
  <c r="A186" i="57"/>
  <c r="D192" i="57"/>
  <c r="E186" i="57" s="1"/>
  <c r="A188" i="47"/>
  <c r="A186" i="54"/>
  <c r="D192" i="54"/>
  <c r="E188" i="54" s="1"/>
  <c r="A188" i="34"/>
  <c r="A187" i="54"/>
  <c r="X220" i="33"/>
  <c r="A189" i="43"/>
  <c r="A191" i="42"/>
  <c r="A189" i="59"/>
  <c r="A187" i="58"/>
  <c r="A188" i="42"/>
  <c r="A186" i="52"/>
  <c r="D192" i="52"/>
  <c r="E189" i="52" s="1"/>
  <c r="A187" i="62"/>
  <c r="A189" i="36"/>
  <c r="A189" i="50"/>
  <c r="A190" i="56"/>
  <c r="A186" i="41"/>
  <c r="D192" i="41"/>
  <c r="E189" i="41" s="1"/>
  <c r="A186" i="35"/>
  <c r="D192" i="35"/>
  <c r="E188" i="35" s="1"/>
  <c r="A188" i="33"/>
  <c r="A188" i="37"/>
  <c r="A190" i="55"/>
  <c r="A189" i="44"/>
  <c r="A188" i="51"/>
  <c r="A188" i="44"/>
  <c r="D192" i="62"/>
  <c r="E186" i="62" s="1"/>
  <c r="A186" i="62"/>
  <c r="A190" i="52"/>
  <c r="A190" i="50"/>
  <c r="A186" i="58"/>
  <c r="D192" i="58"/>
  <c r="E189" i="58" s="1"/>
  <c r="A191" i="58"/>
  <c r="A188" i="48"/>
  <c r="A188" i="57"/>
  <c r="A187" i="33"/>
  <c r="A187" i="47"/>
  <c r="A188" i="36"/>
  <c r="A188" i="55"/>
  <c r="A191" i="46"/>
  <c r="A186" i="33"/>
  <c r="D192" i="33"/>
  <c r="E187" i="33" s="1"/>
  <c r="A191" i="52"/>
  <c r="A191" i="59"/>
  <c r="A186" i="59"/>
  <c r="D192" i="59"/>
  <c r="E187" i="59" s="1"/>
  <c r="A187" i="52"/>
  <c r="A188" i="59"/>
  <c r="A190" i="58"/>
  <c r="E198" i="58"/>
  <c r="E212" i="58" s="1"/>
  <c r="U200" i="58"/>
  <c r="E200" i="58"/>
  <c r="U201" i="46"/>
  <c r="E201" i="46"/>
  <c r="E198" i="61"/>
  <c r="E212" i="61" s="1"/>
  <c r="U200" i="61"/>
  <c r="E200" i="61"/>
  <c r="U201" i="43"/>
  <c r="E201" i="43"/>
  <c r="E201" i="36"/>
  <c r="U201" i="36"/>
  <c r="E198" i="51"/>
  <c r="E212" i="51" s="1"/>
  <c r="U200" i="51"/>
  <c r="E200" i="51"/>
  <c r="U201" i="42"/>
  <c r="E201" i="42"/>
  <c r="E198" i="41"/>
  <c r="E212" i="41" s="1"/>
  <c r="E200" i="41"/>
  <c r="U200" i="41"/>
  <c r="U201" i="48"/>
  <c r="E201" i="48"/>
  <c r="E198" i="35"/>
  <c r="E212" i="35" s="1"/>
  <c r="U200" i="35"/>
  <c r="E200" i="35"/>
  <c r="E201" i="55"/>
  <c r="U201" i="55"/>
  <c r="E198" i="62"/>
  <c r="E212" i="62" s="1"/>
  <c r="U200" i="62"/>
  <c r="E200" i="62"/>
  <c r="T201" i="44"/>
  <c r="D201" i="44"/>
  <c r="D198" i="54"/>
  <c r="D212" i="54" s="1"/>
  <c r="T200" i="54"/>
  <c r="D200" i="54"/>
  <c r="D201" i="57"/>
  <c r="T201" i="57"/>
  <c r="E198" i="34"/>
  <c r="E212" i="34" s="1"/>
  <c r="U200" i="34"/>
  <c r="E200" i="34"/>
  <c r="E198" i="55"/>
  <c r="E212" i="55" s="1"/>
  <c r="U200" i="55"/>
  <c r="E200" i="55"/>
  <c r="E198" i="37"/>
  <c r="E212" i="37" s="1"/>
  <c r="U200" i="37"/>
  <c r="E200" i="37"/>
  <c r="E201" i="47"/>
  <c r="U201" i="47"/>
  <c r="E198" i="46"/>
  <c r="E212" i="46" s="1"/>
  <c r="U200" i="46"/>
  <c r="E200" i="46"/>
  <c r="E198" i="38"/>
  <c r="E212" i="38" s="1"/>
  <c r="E200" i="38"/>
  <c r="U200" i="38"/>
  <c r="E198" i="59"/>
  <c r="E212" i="59" s="1"/>
  <c r="U200" i="59"/>
  <c r="E200" i="59"/>
  <c r="E198" i="42"/>
  <c r="E212" i="42" s="1"/>
  <c r="U200" i="42"/>
  <c r="E200" i="42"/>
  <c r="U201" i="41"/>
  <c r="E201" i="41"/>
  <c r="E198" i="57"/>
  <c r="E212" i="57" s="1"/>
  <c r="U200" i="57"/>
  <c r="E200" i="57"/>
  <c r="E198" i="50"/>
  <c r="E212" i="50" s="1"/>
  <c r="U200" i="50"/>
  <c r="E200" i="50"/>
  <c r="U201" i="50"/>
  <c r="E201" i="50"/>
  <c r="D198" i="41"/>
  <c r="D212" i="41" s="1"/>
  <c r="T200" i="41"/>
  <c r="D200" i="41"/>
  <c r="D198" i="50"/>
  <c r="D212" i="50" s="1"/>
  <c r="T200" i="50"/>
  <c r="D200" i="50"/>
  <c r="D198" i="36"/>
  <c r="D212" i="36" s="1"/>
  <c r="T200" i="36"/>
  <c r="D200" i="36"/>
  <c r="D198" i="43"/>
  <c r="D212" i="43" s="1"/>
  <c r="T200" i="43"/>
  <c r="D200" i="43"/>
  <c r="D198" i="59"/>
  <c r="D212" i="59" s="1"/>
  <c r="T200" i="59"/>
  <c r="C198" i="39"/>
  <c r="C212" i="39" s="1"/>
  <c r="S200" i="39"/>
  <c r="V201" i="46"/>
  <c r="F201" i="46"/>
  <c r="D201" i="61"/>
  <c r="T201" i="61"/>
  <c r="F198" i="37"/>
  <c r="F212" i="37" s="1"/>
  <c r="V200" i="37"/>
  <c r="F200" i="37"/>
  <c r="D198" i="53"/>
  <c r="D212" i="53" s="1"/>
  <c r="T200" i="53"/>
  <c r="D200" i="53"/>
  <c r="T201" i="62"/>
  <c r="D201" i="62"/>
  <c r="D198" i="33"/>
  <c r="D212" i="33" s="1"/>
  <c r="T200" i="33"/>
  <c r="D200" i="33"/>
  <c r="F201" i="62"/>
  <c r="V201" i="62"/>
  <c r="T201" i="42"/>
  <c r="D201" i="42"/>
  <c r="C198" i="50"/>
  <c r="C212" i="50" s="1"/>
  <c r="S200" i="50"/>
  <c r="D201" i="53"/>
  <c r="T201" i="53"/>
  <c r="D198" i="56"/>
  <c r="D212" i="56" s="1"/>
  <c r="T200" i="56"/>
  <c r="D200" i="56"/>
  <c r="D198" i="46"/>
  <c r="D212" i="46" s="1"/>
  <c r="T200" i="46"/>
  <c r="D200" i="46"/>
  <c r="T201" i="55"/>
  <c r="D201" i="55"/>
  <c r="C198" i="33"/>
  <c r="C212" i="33" s="1"/>
  <c r="S200" i="33"/>
  <c r="D198" i="58"/>
  <c r="D212" i="58" s="1"/>
  <c r="T200" i="58"/>
  <c r="D200" i="58"/>
  <c r="C198" i="36"/>
  <c r="C212" i="36" s="1"/>
  <c r="S200" i="36"/>
  <c r="C198" i="35"/>
  <c r="C212" i="35" s="1"/>
  <c r="S200" i="35"/>
  <c r="T201" i="58"/>
  <c r="D201" i="58"/>
  <c r="D198" i="34"/>
  <c r="D212" i="34" s="1"/>
  <c r="T200" i="34"/>
  <c r="D200" i="34"/>
  <c r="D198" i="47"/>
  <c r="D212" i="47" s="1"/>
  <c r="T200" i="47"/>
  <c r="D200" i="47"/>
  <c r="F198" i="43"/>
  <c r="F212" i="43" s="1"/>
  <c r="V200" i="43"/>
  <c r="F200" i="43"/>
  <c r="D198" i="38"/>
  <c r="D212" i="38" s="1"/>
  <c r="T200" i="38"/>
  <c r="D200" i="38"/>
  <c r="C198" i="56"/>
  <c r="C212" i="56" s="1"/>
  <c r="S200" i="56"/>
  <c r="V201" i="38"/>
  <c r="F201" i="38"/>
  <c r="C198" i="55"/>
  <c r="C212" i="55" s="1"/>
  <c r="S200" i="55"/>
  <c r="D198" i="51"/>
  <c r="D212" i="51" s="1"/>
  <c r="D200" i="51"/>
  <c r="T200" i="51"/>
  <c r="D198" i="57"/>
  <c r="D212" i="57" s="1"/>
  <c r="D200" i="57"/>
  <c r="T200" i="57"/>
  <c r="D198" i="52"/>
  <c r="D212" i="52" s="1"/>
  <c r="D200" i="52"/>
  <c r="T200" i="52"/>
  <c r="C198" i="37"/>
  <c r="C212" i="37" s="1"/>
  <c r="S200" i="37"/>
  <c r="V201" i="33"/>
  <c r="F201" i="33"/>
  <c r="C198" i="34"/>
  <c r="C212" i="34" s="1"/>
  <c r="S200" i="34"/>
  <c r="F198" i="35"/>
  <c r="F212" i="35" s="1"/>
  <c r="V200" i="35"/>
  <c r="F200" i="35"/>
  <c r="C198" i="47"/>
  <c r="C212" i="47" s="1"/>
  <c r="S200" i="47"/>
  <c r="V201" i="51"/>
  <c r="F201" i="51"/>
  <c r="S201" i="62"/>
  <c r="F198" i="58"/>
  <c r="F212" i="58" s="1"/>
  <c r="V200" i="58"/>
  <c r="F200" i="58"/>
  <c r="F198" i="57"/>
  <c r="F212" i="57" s="1"/>
  <c r="V200" i="57"/>
  <c r="F200" i="57"/>
  <c r="F201" i="41"/>
  <c r="V201" i="41"/>
  <c r="F198" i="39"/>
  <c r="F212" i="39" s="1"/>
  <c r="F200" i="39"/>
  <c r="V200" i="39"/>
  <c r="V201" i="58"/>
  <c r="F201" i="58"/>
  <c r="C198" i="42"/>
  <c r="C212" i="42" s="1"/>
  <c r="S200" i="42"/>
  <c r="F198" i="50"/>
  <c r="F212" i="50" s="1"/>
  <c r="V200" i="50"/>
  <c r="F200" i="50"/>
  <c r="C198" i="43"/>
  <c r="C212" i="43" s="1"/>
  <c r="S200" i="43"/>
  <c r="F198" i="62"/>
  <c r="F212" i="62" s="1"/>
  <c r="V200" i="62"/>
  <c r="F200" i="62"/>
  <c r="F198" i="41"/>
  <c r="F212" i="41" s="1"/>
  <c r="V200" i="41"/>
  <c r="F200" i="41"/>
  <c r="F198" i="33"/>
  <c r="F212" i="33" s="1"/>
  <c r="V200" i="33"/>
  <c r="F200" i="33"/>
  <c r="V201" i="34"/>
  <c r="F201" i="34"/>
  <c r="C198" i="53"/>
  <c r="C212" i="53" s="1"/>
  <c r="S200" i="53"/>
  <c r="F201" i="55"/>
  <c r="V201" i="55"/>
  <c r="V201" i="56"/>
  <c r="F201" i="56"/>
  <c r="F201" i="61"/>
  <c r="V201" i="61"/>
  <c r="F198" i="44"/>
  <c r="F212" i="44" s="1"/>
  <c r="V200" i="44"/>
  <c r="F200" i="44"/>
  <c r="C198" i="48"/>
  <c r="C212" i="48" s="1"/>
  <c r="S200" i="48"/>
  <c r="D48" i="52"/>
  <c r="E47" i="36"/>
  <c r="E48" i="36"/>
  <c r="F47" i="39"/>
  <c r="F47" i="34"/>
  <c r="D47" i="58"/>
  <c r="F47" i="51"/>
  <c r="E154" i="48"/>
  <c r="F47" i="47"/>
  <c r="F47" i="41"/>
  <c r="D47" i="55"/>
  <c r="E47" i="39"/>
  <c r="F48" i="36"/>
  <c r="D47" i="34"/>
  <c r="F47" i="62"/>
  <c r="F47" i="56"/>
  <c r="D48" i="57"/>
  <c r="E47" i="41"/>
  <c r="E48" i="41"/>
  <c r="F47" i="44"/>
  <c r="F47" i="38"/>
  <c r="A186" i="48"/>
  <c r="A187" i="56"/>
  <c r="A187" i="46"/>
  <c r="F77" i="39" l="1"/>
  <c r="A419" i="64"/>
  <c r="A419" i="5"/>
  <c r="P285" i="30"/>
  <c r="F79" i="41"/>
  <c r="Y108" i="42"/>
  <c r="Y73" i="42"/>
  <c r="X62" i="55"/>
  <c r="W117" i="52"/>
  <c r="X73" i="52"/>
  <c r="W108" i="42"/>
  <c r="E79" i="39"/>
  <c r="X120" i="42"/>
  <c r="D76" i="54"/>
  <c r="D93" i="47"/>
  <c r="E93" i="44"/>
  <c r="E90" i="44"/>
  <c r="F90" i="37"/>
  <c r="F65" i="37"/>
  <c r="F79" i="62"/>
  <c r="Y79" i="43"/>
  <c r="W121" i="42"/>
  <c r="W108" i="43"/>
  <c r="W117" i="43"/>
  <c r="X105" i="55"/>
  <c r="Y62" i="52"/>
  <c r="Y117" i="52"/>
  <c r="Y87" i="55"/>
  <c r="W85" i="42"/>
  <c r="V73" i="42"/>
  <c r="V79" i="42" s="1"/>
  <c r="W85" i="52"/>
  <c r="X106" i="43"/>
  <c r="Y121" i="55"/>
  <c r="W123" i="55"/>
  <c r="X123" i="42"/>
  <c r="Y106" i="52"/>
  <c r="W106" i="55"/>
  <c r="W108" i="52"/>
  <c r="W106" i="52"/>
  <c r="W123" i="42"/>
  <c r="X123" i="43"/>
  <c r="X106" i="52"/>
  <c r="X106" i="55"/>
  <c r="X108" i="43"/>
  <c r="X121" i="55"/>
  <c r="C155" i="39"/>
  <c r="F49" i="51"/>
  <c r="C154" i="44"/>
  <c r="C155" i="53"/>
  <c r="C155" i="51"/>
  <c r="E144" i="50"/>
  <c r="E140" i="50"/>
  <c r="C154" i="61"/>
  <c r="E141" i="53"/>
  <c r="E139" i="50"/>
  <c r="C154" i="50"/>
  <c r="E142" i="50"/>
  <c r="C155" i="42"/>
  <c r="C155" i="41"/>
  <c r="E141" i="57"/>
  <c r="C154" i="42"/>
  <c r="E142" i="41"/>
  <c r="C154" i="39"/>
  <c r="C155" i="36"/>
  <c r="F49" i="58"/>
  <c r="E212" i="48"/>
  <c r="F212" i="48" s="1"/>
  <c r="F198" i="48"/>
  <c r="D49" i="58"/>
  <c r="E49" i="41"/>
  <c r="F49" i="41"/>
  <c r="C155" i="56"/>
  <c r="E162" i="48"/>
  <c r="E92" i="48"/>
  <c r="D49" i="39"/>
  <c r="E139" i="54"/>
  <c r="E140" i="47"/>
  <c r="E141" i="47"/>
  <c r="E49" i="35"/>
  <c r="C156" i="43"/>
  <c r="C156" i="39"/>
  <c r="E49" i="39"/>
  <c r="E141" i="48"/>
  <c r="C154" i="52"/>
  <c r="C155" i="55"/>
  <c r="C156" i="42"/>
  <c r="C156" i="58"/>
  <c r="C155" i="47"/>
  <c r="E190" i="55"/>
  <c r="E187" i="50"/>
  <c r="E191" i="37"/>
  <c r="C200" i="32"/>
  <c r="C156" i="46"/>
  <c r="C155" i="37"/>
  <c r="C155" i="33"/>
  <c r="C154" i="33"/>
  <c r="E188" i="48"/>
  <c r="E190" i="48"/>
  <c r="C154" i="46"/>
  <c r="C156" i="53"/>
  <c r="C154" i="58"/>
  <c r="E188" i="50"/>
  <c r="C201" i="33"/>
  <c r="C156" i="35"/>
  <c r="E188" i="55"/>
  <c r="E190" i="50"/>
  <c r="E190" i="34"/>
  <c r="E140" i="56"/>
  <c r="D49" i="52"/>
  <c r="E188" i="51"/>
  <c r="E188" i="42"/>
  <c r="C156" i="57"/>
  <c r="D49" i="41"/>
  <c r="C156" i="50"/>
  <c r="E140" i="58"/>
  <c r="C155" i="61"/>
  <c r="C155" i="54"/>
  <c r="C154" i="36"/>
  <c r="E49" i="43"/>
  <c r="C156" i="34"/>
  <c r="F90" i="59"/>
  <c r="D91" i="38"/>
  <c r="E65" i="42"/>
  <c r="D91" i="43"/>
  <c r="F76" i="57"/>
  <c r="E90" i="53"/>
  <c r="E78" i="37"/>
  <c r="F92" i="38"/>
  <c r="D92" i="38"/>
  <c r="E79" i="57"/>
  <c r="D93" i="58"/>
  <c r="F65" i="44"/>
  <c r="E90" i="61"/>
  <c r="D90" i="53"/>
  <c r="F90" i="36"/>
  <c r="F65" i="35"/>
  <c r="F77" i="52"/>
  <c r="D65" i="42"/>
  <c r="D77" i="52"/>
  <c r="E65" i="35"/>
  <c r="E76" i="57"/>
  <c r="F76" i="46"/>
  <c r="F92" i="44"/>
  <c r="E92" i="38"/>
  <c r="E77" i="38"/>
  <c r="F77" i="50"/>
  <c r="E91" i="58"/>
  <c r="E65" i="37"/>
  <c r="D79" i="56"/>
  <c r="E65" i="36"/>
  <c r="E65" i="48"/>
  <c r="D92" i="39"/>
  <c r="D77" i="50"/>
  <c r="E79" i="58"/>
  <c r="D93" i="55"/>
  <c r="D92" i="54"/>
  <c r="E76" i="61"/>
  <c r="F76" i="56"/>
  <c r="F92" i="57"/>
  <c r="F65" i="59"/>
  <c r="D65" i="43"/>
  <c r="E92" i="37"/>
  <c r="D79" i="54"/>
  <c r="F90" i="39"/>
  <c r="D77" i="42"/>
  <c r="E92" i="36"/>
  <c r="D77" i="46"/>
  <c r="F79" i="37"/>
  <c r="F65" i="58"/>
  <c r="E93" i="57"/>
  <c r="F92" i="37"/>
  <c r="D65" i="59"/>
  <c r="F76" i="36"/>
  <c r="F76" i="35"/>
  <c r="D77" i="59"/>
  <c r="E93" i="35"/>
  <c r="D79" i="41"/>
  <c r="E90" i="57"/>
  <c r="F77" i="55"/>
  <c r="F77" i="59"/>
  <c r="D77" i="34"/>
  <c r="F76" i="44"/>
  <c r="E77" i="34"/>
  <c r="E90" i="37"/>
  <c r="F76" i="42"/>
  <c r="D76" i="42"/>
  <c r="E76" i="35"/>
  <c r="F92" i="53"/>
  <c r="F65" i="43"/>
  <c r="E77" i="42"/>
  <c r="W79" i="33"/>
  <c r="X79" i="33"/>
  <c r="W117" i="33"/>
  <c r="D92" i="53"/>
  <c r="F78" i="56"/>
  <c r="E79" i="37"/>
  <c r="E76" i="42"/>
  <c r="F77" i="34"/>
  <c r="D77" i="43"/>
  <c r="D93" i="62"/>
  <c r="D65" i="58"/>
  <c r="F90" i="57"/>
  <c r="E90" i="48"/>
  <c r="D77" i="55"/>
  <c r="Y105" i="43"/>
  <c r="X84" i="52"/>
  <c r="Y102" i="43"/>
  <c r="X120" i="52"/>
  <c r="W70" i="42"/>
  <c r="F76" i="61"/>
  <c r="E78" i="44"/>
  <c r="X58" i="52"/>
  <c r="E90" i="46"/>
  <c r="D93" i="35"/>
  <c r="W61" i="52"/>
  <c r="D78" i="53"/>
  <c r="E65" i="53"/>
  <c r="D93" i="54"/>
  <c r="F78" i="47"/>
  <c r="E79" i="53"/>
  <c r="F93" i="37"/>
  <c r="F76" i="58"/>
  <c r="E78" i="54"/>
  <c r="F79" i="55"/>
  <c r="D79" i="46"/>
  <c r="D78" i="54"/>
  <c r="F91" i="42"/>
  <c r="E79" i="55"/>
  <c r="D78" i="39"/>
  <c r="D91" i="50"/>
  <c r="D93" i="41"/>
  <c r="F91" i="55"/>
  <c r="F91" i="59"/>
  <c r="W70" i="52"/>
  <c r="F77" i="44"/>
  <c r="D91" i="34"/>
  <c r="D76" i="43"/>
  <c r="D91" i="42"/>
  <c r="F78" i="38"/>
  <c r="D78" i="38"/>
  <c r="F90" i="44"/>
  <c r="F78" i="54"/>
  <c r="D65" i="41"/>
  <c r="E91" i="34"/>
  <c r="E65" i="61"/>
  <c r="F65" i="56"/>
  <c r="D65" i="53"/>
  <c r="D77" i="35"/>
  <c r="D78" i="57"/>
  <c r="E78" i="38"/>
  <c r="E90" i="35"/>
  <c r="F65" i="41"/>
  <c r="E92" i="35"/>
  <c r="E76" i="43"/>
  <c r="F78" i="53"/>
  <c r="F76" i="43"/>
  <c r="E91" i="42"/>
  <c r="W120" i="42"/>
  <c r="W84" i="52"/>
  <c r="W84" i="42"/>
  <c r="F79" i="36"/>
  <c r="E92" i="58"/>
  <c r="E79" i="46"/>
  <c r="D92" i="35"/>
  <c r="F79" i="46"/>
  <c r="E93" i="37"/>
  <c r="F91" i="56"/>
  <c r="E91" i="37"/>
  <c r="D91" i="46"/>
  <c r="E78" i="62"/>
  <c r="E90" i="42"/>
  <c r="F77" i="35"/>
  <c r="D91" i="59"/>
  <c r="F79" i="43"/>
  <c r="D91" i="55"/>
  <c r="F91" i="50"/>
  <c r="F76" i="41"/>
  <c r="E90" i="34"/>
  <c r="D65" i="46"/>
  <c r="F79" i="58"/>
  <c r="E78" i="58"/>
  <c r="F77" i="56"/>
  <c r="E93" i="53"/>
  <c r="D91" i="57"/>
  <c r="D93" i="57"/>
  <c r="D65" i="36"/>
  <c r="F92" i="39"/>
  <c r="E65" i="34"/>
  <c r="X93" i="33"/>
  <c r="X58" i="55"/>
  <c r="X79" i="42"/>
  <c r="W79" i="42"/>
  <c r="X90" i="33"/>
  <c r="E76" i="34"/>
  <c r="F92" i="59"/>
  <c r="F65" i="47"/>
  <c r="E77" i="37"/>
  <c r="E92" i="51"/>
  <c r="D78" i="56"/>
  <c r="F90" i="56"/>
  <c r="D79" i="62"/>
  <c r="D77" i="57"/>
  <c r="D91" i="35"/>
  <c r="F91" i="35"/>
  <c r="F90" i="61"/>
  <c r="E90" i="39"/>
  <c r="D79" i="57"/>
  <c r="D90" i="36"/>
  <c r="E78" i="35"/>
  <c r="E77" i="43"/>
  <c r="E77" i="39"/>
  <c r="F91" i="39"/>
  <c r="F93" i="58"/>
  <c r="Y93" i="55"/>
  <c r="E65" i="44"/>
  <c r="E79" i="62"/>
  <c r="E76" i="46"/>
  <c r="E91" i="43"/>
  <c r="E91" i="51"/>
  <c r="D90" i="41"/>
  <c r="F78" i="46"/>
  <c r="E93" i="50"/>
  <c r="F92" i="42"/>
  <c r="D93" i="56"/>
  <c r="F78" i="50"/>
  <c r="E76" i="36"/>
  <c r="F76" i="37"/>
  <c r="E76" i="48"/>
  <c r="E91" i="38"/>
  <c r="E91" i="39"/>
  <c r="E93" i="58"/>
  <c r="E76" i="39"/>
  <c r="X93" i="55"/>
  <c r="D90" i="35"/>
  <c r="F93" i="38"/>
  <c r="F76" i="34"/>
  <c r="W93" i="55"/>
  <c r="C201" i="39"/>
  <c r="C154" i="56"/>
  <c r="C155" i="50"/>
  <c r="E144" i="59"/>
  <c r="C155" i="38"/>
  <c r="C155" i="52"/>
  <c r="E141" i="46"/>
  <c r="C155" i="43"/>
  <c r="C200" i="48"/>
  <c r="C201" i="56"/>
  <c r="E140" i="59"/>
  <c r="C155" i="57"/>
  <c r="C155" i="44"/>
  <c r="C157" i="47"/>
  <c r="E139" i="51"/>
  <c r="C155" i="35"/>
  <c r="C201" i="43"/>
  <c r="C200" i="42"/>
  <c r="D49" i="50"/>
  <c r="C201" i="34"/>
  <c r="E187" i="53"/>
  <c r="C201" i="54"/>
  <c r="C201" i="52"/>
  <c r="E187" i="52"/>
  <c r="E188" i="36"/>
  <c r="E189" i="37"/>
  <c r="C156" i="41"/>
  <c r="C156" i="37"/>
  <c r="C156" i="56"/>
  <c r="C154" i="51"/>
  <c r="C156" i="52"/>
  <c r="E189" i="43"/>
  <c r="C201" i="46"/>
  <c r="C201" i="36"/>
  <c r="E187" i="47"/>
  <c r="E188" i="57"/>
  <c r="E188" i="44"/>
  <c r="E188" i="47"/>
  <c r="E144" i="58"/>
  <c r="E143" i="54"/>
  <c r="E189" i="38"/>
  <c r="E189" i="34"/>
  <c r="D49" i="48"/>
  <c r="E143" i="37"/>
  <c r="E139" i="37"/>
  <c r="E189" i="47"/>
  <c r="E143" i="58"/>
  <c r="C156" i="59"/>
  <c r="C154" i="43"/>
  <c r="E140" i="36"/>
  <c r="E138" i="36"/>
  <c r="E190" i="47"/>
  <c r="E191" i="39"/>
  <c r="C154" i="35"/>
  <c r="E144" i="37"/>
  <c r="C200" i="53"/>
  <c r="E188" i="37"/>
  <c r="E188" i="34"/>
  <c r="E141" i="41"/>
  <c r="E142" i="57"/>
  <c r="E143" i="43"/>
  <c r="E142" i="34"/>
  <c r="E139" i="43"/>
  <c r="E144" i="36"/>
  <c r="E143" i="41"/>
  <c r="E141" i="37"/>
  <c r="C200" i="36"/>
  <c r="C201" i="57"/>
  <c r="C201" i="48"/>
  <c r="E191" i="42"/>
  <c r="E142" i="51"/>
  <c r="F49" i="43"/>
  <c r="C200" i="59"/>
  <c r="C201" i="35"/>
  <c r="C200" i="56"/>
  <c r="C201" i="47"/>
  <c r="E189" i="50"/>
  <c r="E187" i="55"/>
  <c r="E144" i="39"/>
  <c r="E190" i="39"/>
  <c r="E189" i="53"/>
  <c r="E189" i="55"/>
  <c r="E186" i="33"/>
  <c r="E186" i="36"/>
  <c r="C201" i="44"/>
  <c r="C201" i="50"/>
  <c r="E49" i="57"/>
  <c r="E144" i="55"/>
  <c r="E145" i="55" s="1"/>
  <c r="C201" i="42"/>
  <c r="E188" i="59"/>
  <c r="C200" i="43"/>
  <c r="C200" i="47"/>
  <c r="C200" i="55"/>
  <c r="E186" i="59"/>
  <c r="E191" i="53"/>
  <c r="C156" i="62"/>
  <c r="C156" i="36"/>
  <c r="E49" i="38"/>
  <c r="E140" i="42"/>
  <c r="E143" i="34"/>
  <c r="E142" i="48"/>
  <c r="E144" i="54"/>
  <c r="C201" i="51"/>
  <c r="C201" i="38"/>
  <c r="C201" i="59"/>
  <c r="E191" i="48"/>
  <c r="E141" i="43"/>
  <c r="C201" i="53"/>
  <c r="E143" i="48"/>
  <c r="E189" i="36"/>
  <c r="E190" i="36"/>
  <c r="E189" i="42"/>
  <c r="C157" i="62"/>
  <c r="C154" i="53"/>
  <c r="C201" i="62"/>
  <c r="C157" i="56"/>
  <c r="D79" i="55"/>
  <c r="E140" i="46"/>
  <c r="E191" i="36"/>
  <c r="C200" i="35"/>
  <c r="D92" i="51"/>
  <c r="E140" i="43"/>
  <c r="E191" i="50"/>
  <c r="E141" i="61"/>
  <c r="C201" i="37"/>
  <c r="E144" i="57"/>
  <c r="E139" i="48"/>
  <c r="E138" i="53"/>
  <c r="E139" i="58"/>
  <c r="W77" i="33"/>
  <c r="V105" i="52"/>
  <c r="V102" i="52"/>
  <c r="Y105" i="42"/>
  <c r="Y102" i="42"/>
  <c r="X84" i="42"/>
  <c r="X61" i="42"/>
  <c r="X58" i="42"/>
  <c r="X70" i="42"/>
  <c r="Y61" i="42"/>
  <c r="Y58" i="42"/>
  <c r="Y70" i="42"/>
  <c r="Y84" i="42"/>
  <c r="E189" i="44"/>
  <c r="E189" i="39"/>
  <c r="E191" i="55"/>
  <c r="E187" i="61"/>
  <c r="E187" i="42"/>
  <c r="E188" i="53"/>
  <c r="E191" i="34"/>
  <c r="E143" i="61"/>
  <c r="C157" i="37"/>
  <c r="C156" i="54"/>
  <c r="C154" i="37"/>
  <c r="E191" i="47"/>
  <c r="E140" i="57"/>
  <c r="E144" i="42"/>
  <c r="E139" i="53"/>
  <c r="E140" i="48"/>
  <c r="E140" i="53"/>
  <c r="E140" i="41"/>
  <c r="E142" i="54"/>
  <c r="E144" i="48"/>
  <c r="E143" i="42"/>
  <c r="E143" i="47"/>
  <c r="E144" i="53"/>
  <c r="C156" i="38"/>
  <c r="E49" i="48"/>
  <c r="E138" i="37"/>
  <c r="E92" i="34"/>
  <c r="F92" i="61"/>
  <c r="F78" i="61"/>
  <c r="F77" i="47"/>
  <c r="F79" i="42"/>
  <c r="E77" i="44"/>
  <c r="D76" i="36"/>
  <c r="D65" i="35"/>
  <c r="X77" i="33"/>
  <c r="Y91" i="43"/>
  <c r="Y105" i="52"/>
  <c r="X77" i="52"/>
  <c r="W105" i="52"/>
  <c r="X91" i="42"/>
  <c r="Y91" i="42"/>
  <c r="V105" i="42"/>
  <c r="V102" i="42"/>
  <c r="X105" i="52"/>
  <c r="X102" i="52"/>
  <c r="V84" i="42"/>
  <c r="V90" i="42" s="1"/>
  <c r="V61" i="42"/>
  <c r="V58" i="42"/>
  <c r="V65" i="42" s="1"/>
  <c r="V70" i="42"/>
  <c r="V76" i="42" s="1"/>
  <c r="X105" i="42"/>
  <c r="X102" i="42"/>
  <c r="V61" i="52"/>
  <c r="V58" i="52"/>
  <c r="V65" i="52" s="1"/>
  <c r="V70" i="52"/>
  <c r="V76" i="52" s="1"/>
  <c r="V84" i="52"/>
  <c r="V90" i="52" s="1"/>
  <c r="W90" i="33"/>
  <c r="Y77" i="52"/>
  <c r="X91" i="52"/>
  <c r="W91" i="42"/>
  <c r="W79" i="52"/>
  <c r="W61" i="42"/>
  <c r="Y79" i="42"/>
  <c r="W91" i="52"/>
  <c r="X70" i="52"/>
  <c r="X61" i="52"/>
  <c r="X79" i="52"/>
  <c r="Y79" i="52"/>
  <c r="Y120" i="55"/>
  <c r="Y117" i="55"/>
  <c r="W120" i="55"/>
  <c r="W117" i="55"/>
  <c r="X120" i="55"/>
  <c r="X117" i="55"/>
  <c r="V120" i="43"/>
  <c r="V117" i="43"/>
  <c r="W61" i="43"/>
  <c r="W58" i="43"/>
  <c r="W65" i="43" s="1"/>
  <c r="W70" i="43"/>
  <c r="W84" i="43"/>
  <c r="X84" i="43"/>
  <c r="X61" i="43"/>
  <c r="X58" i="43"/>
  <c r="X65" i="43" s="1"/>
  <c r="X70" i="43"/>
  <c r="Y61" i="43"/>
  <c r="Y58" i="43"/>
  <c r="Y65" i="43" s="1"/>
  <c r="Y70" i="43"/>
  <c r="Y84" i="43"/>
  <c r="E186" i="41"/>
  <c r="E186" i="43"/>
  <c r="E188" i="41"/>
  <c r="E186" i="61"/>
  <c r="E191" i="61"/>
  <c r="W91" i="43"/>
  <c r="X79" i="43"/>
  <c r="X93" i="43"/>
  <c r="Y93" i="33"/>
  <c r="X77" i="43"/>
  <c r="X91" i="43"/>
  <c r="V84" i="43"/>
  <c r="V90" i="43" s="1"/>
  <c r="X84" i="55"/>
  <c r="X105" i="43"/>
  <c r="X102" i="43"/>
  <c r="V120" i="55"/>
  <c r="V117" i="55"/>
  <c r="W61" i="55"/>
  <c r="W58" i="55"/>
  <c r="W70" i="55"/>
  <c r="W84" i="55"/>
  <c r="V105" i="43"/>
  <c r="V102" i="43"/>
  <c r="W105" i="43"/>
  <c r="W102" i="43"/>
  <c r="W105" i="55"/>
  <c r="W102" i="55"/>
  <c r="V84" i="55"/>
  <c r="V90" i="55" s="1"/>
  <c r="V61" i="55"/>
  <c r="V58" i="55"/>
  <c r="V65" i="55" s="1"/>
  <c r="V70" i="55"/>
  <c r="V76" i="55" s="1"/>
  <c r="Y61" i="55"/>
  <c r="Y58" i="55"/>
  <c r="Y70" i="55"/>
  <c r="Y84" i="55"/>
  <c r="C201" i="55"/>
  <c r="E187" i="39"/>
  <c r="E186" i="39"/>
  <c r="D49" i="56"/>
  <c r="E144" i="52"/>
  <c r="E138" i="52"/>
  <c r="E49" i="58"/>
  <c r="E78" i="34"/>
  <c r="D65" i="54"/>
  <c r="Y77" i="33"/>
  <c r="W120" i="43"/>
  <c r="Y120" i="43"/>
  <c r="W79" i="43"/>
  <c r="Y93" i="43"/>
  <c r="Y77" i="43"/>
  <c r="W93" i="33"/>
  <c r="X120" i="43"/>
  <c r="W77" i="43"/>
  <c r="Y90" i="33"/>
  <c r="Y79" i="33"/>
  <c r="V70" i="43"/>
  <c r="V76" i="43" s="1"/>
  <c r="X61" i="55"/>
  <c r="C201" i="58"/>
  <c r="C201" i="41"/>
  <c r="E190" i="52"/>
  <c r="E190" i="56"/>
  <c r="E189" i="59"/>
  <c r="E187" i="54"/>
  <c r="E186" i="54"/>
  <c r="E186" i="56"/>
  <c r="E191" i="57"/>
  <c r="C156" i="51"/>
  <c r="C154" i="41"/>
  <c r="C156" i="47"/>
  <c r="F49" i="44"/>
  <c r="C154" i="47"/>
  <c r="F78" i="33"/>
  <c r="C201" i="61"/>
  <c r="C200" i="39"/>
  <c r="V191" i="58"/>
  <c r="E189" i="56"/>
  <c r="E190" i="57"/>
  <c r="E191" i="54"/>
  <c r="E186" i="38"/>
  <c r="C154" i="57"/>
  <c r="V202" i="50"/>
  <c r="F202" i="50"/>
  <c r="F209" i="50"/>
  <c r="F206" i="50"/>
  <c r="V202" i="35"/>
  <c r="F202" i="35"/>
  <c r="F209" i="35"/>
  <c r="S202" i="48"/>
  <c r="C209" i="48"/>
  <c r="S216" i="48" s="1"/>
  <c r="S217" i="48"/>
  <c r="C206" i="48"/>
  <c r="S215" i="48" s="1"/>
  <c r="V217" i="33"/>
  <c r="V202" i="33"/>
  <c r="F202" i="33"/>
  <c r="F206" i="33"/>
  <c r="V202" i="62"/>
  <c r="F202" i="62"/>
  <c r="S202" i="43"/>
  <c r="C206" i="43"/>
  <c r="S215" i="43" s="1"/>
  <c r="S217" i="43"/>
  <c r="C209" i="43"/>
  <c r="S216" i="43" s="1"/>
  <c r="V202" i="39"/>
  <c r="F202" i="39"/>
  <c r="F209" i="39"/>
  <c r="V202" i="58"/>
  <c r="F206" i="58"/>
  <c r="F202" i="58"/>
  <c r="F209" i="58"/>
  <c r="S217" i="47"/>
  <c r="S202" i="47"/>
  <c r="C209" i="47"/>
  <c r="S216" i="47" s="1"/>
  <c r="C206" i="47"/>
  <c r="S215" i="47" s="1"/>
  <c r="D202" i="52"/>
  <c r="D206" i="52"/>
  <c r="T202" i="52"/>
  <c r="D209" i="52"/>
  <c r="T202" i="51"/>
  <c r="D202" i="51"/>
  <c r="D206" i="51"/>
  <c r="S202" i="55"/>
  <c r="S217" i="55"/>
  <c r="C206" i="55"/>
  <c r="S215" i="55" s="1"/>
  <c r="S202" i="56"/>
  <c r="C206" i="56"/>
  <c r="S215" i="56" s="1"/>
  <c r="S217" i="56"/>
  <c r="V202" i="43"/>
  <c r="F209" i="43"/>
  <c r="F202" i="43"/>
  <c r="F206" i="43"/>
  <c r="T202" i="34"/>
  <c r="D202" i="34"/>
  <c r="S217" i="35"/>
  <c r="S202" i="35"/>
  <c r="C209" i="35"/>
  <c r="S216" i="35" s="1"/>
  <c r="C206" i="35"/>
  <c r="S215" i="35" s="1"/>
  <c r="S217" i="36"/>
  <c r="S202" i="36"/>
  <c r="C209" i="36"/>
  <c r="S216" i="36" s="1"/>
  <c r="T202" i="46"/>
  <c r="D202" i="46"/>
  <c r="D209" i="46"/>
  <c r="V202" i="37"/>
  <c r="F206" i="37"/>
  <c r="F202" i="37"/>
  <c r="F209" i="37"/>
  <c r="S217" i="39"/>
  <c r="S202" i="39"/>
  <c r="C209" i="39"/>
  <c r="S216" i="39" s="1"/>
  <c r="T202" i="59"/>
  <c r="D209" i="59"/>
  <c r="T216" i="59" s="1"/>
  <c r="D206" i="59"/>
  <c r="T215" i="59" s="1"/>
  <c r="T217" i="59"/>
  <c r="T202" i="36"/>
  <c r="D202" i="36"/>
  <c r="D209" i="36"/>
  <c r="D206" i="36"/>
  <c r="T202" i="41"/>
  <c r="D202" i="41"/>
  <c r="D206" i="41"/>
  <c r="D209" i="41"/>
  <c r="U202" i="57"/>
  <c r="E202" i="57"/>
  <c r="E209" i="57"/>
  <c r="E206" i="57"/>
  <c r="E206" i="59"/>
  <c r="U202" i="59"/>
  <c r="E202" i="59"/>
  <c r="E209" i="59"/>
  <c r="E202" i="46"/>
  <c r="U202" i="46"/>
  <c r="E209" i="46"/>
  <c r="U202" i="55"/>
  <c r="E202" i="55"/>
  <c r="E206" i="55"/>
  <c r="T202" i="54"/>
  <c r="D202" i="54"/>
  <c r="D209" i="54"/>
  <c r="U202" i="41"/>
  <c r="E202" i="41"/>
  <c r="E206" i="41"/>
  <c r="U202" i="61"/>
  <c r="E202" i="61"/>
  <c r="E206" i="61"/>
  <c r="U215" i="61" s="1"/>
  <c r="U187" i="58"/>
  <c r="V188" i="58"/>
  <c r="U188" i="58"/>
  <c r="U186" i="58"/>
  <c r="V186" i="58"/>
  <c r="U189" i="58"/>
  <c r="U191" i="58"/>
  <c r="U190" i="58"/>
  <c r="V189" i="58"/>
  <c r="V190" i="58"/>
  <c r="V187" i="58"/>
  <c r="V187" i="35"/>
  <c r="V191" i="35"/>
  <c r="U189" i="35"/>
  <c r="V190" i="35"/>
  <c r="U186" i="35"/>
  <c r="V188" i="35"/>
  <c r="V186" i="35"/>
  <c r="U190" i="35"/>
  <c r="V189" i="35"/>
  <c r="U187" i="35"/>
  <c r="U188" i="35"/>
  <c r="U191" i="35"/>
  <c r="V187" i="52"/>
  <c r="U191" i="52"/>
  <c r="U189" i="52"/>
  <c r="V189" i="52"/>
  <c r="V191" i="52"/>
  <c r="V188" i="52"/>
  <c r="U190" i="52"/>
  <c r="U187" i="52"/>
  <c r="V190" i="52"/>
  <c r="U188" i="52"/>
  <c r="U186" i="52"/>
  <c r="V191" i="56"/>
  <c r="U190" i="56"/>
  <c r="U191" i="56"/>
  <c r="V187" i="56"/>
  <c r="U189" i="56"/>
  <c r="V189" i="56"/>
  <c r="V186" i="56"/>
  <c r="U186" i="56"/>
  <c r="U187" i="56"/>
  <c r="V190" i="56"/>
  <c r="U188" i="56"/>
  <c r="V188" i="56"/>
  <c r="U188" i="43"/>
  <c r="U191" i="43"/>
  <c r="U190" i="43"/>
  <c r="U186" i="43"/>
  <c r="V191" i="43"/>
  <c r="U189" i="43"/>
  <c r="V190" i="43"/>
  <c r="V188" i="43"/>
  <c r="U187" i="43"/>
  <c r="V187" i="43"/>
  <c r="V186" i="43"/>
  <c r="U172" i="35"/>
  <c r="E172" i="35"/>
  <c r="U171" i="35"/>
  <c r="E171" i="35"/>
  <c r="U173" i="54"/>
  <c r="E173" i="54"/>
  <c r="D172" i="62"/>
  <c r="S172" i="62"/>
  <c r="E171" i="50"/>
  <c r="U171" i="50"/>
  <c r="D172" i="37"/>
  <c r="S172" i="37"/>
  <c r="V172" i="43"/>
  <c r="F172" i="43"/>
  <c r="V171" i="43"/>
  <c r="F171" i="43"/>
  <c r="V173" i="37"/>
  <c r="F173" i="37"/>
  <c r="V141" i="35"/>
  <c r="V142" i="35"/>
  <c r="V143" i="35"/>
  <c r="U140" i="35"/>
  <c r="U142" i="35"/>
  <c r="V140" i="35"/>
  <c r="U143" i="35"/>
  <c r="U144" i="35"/>
  <c r="U141" i="35"/>
  <c r="V138" i="35"/>
  <c r="V144" i="35"/>
  <c r="U139" i="35"/>
  <c r="V139" i="35"/>
  <c r="U138" i="35"/>
  <c r="E172" i="38"/>
  <c r="U172" i="38"/>
  <c r="U171" i="38"/>
  <c r="E171" i="38"/>
  <c r="V173" i="53"/>
  <c r="F173" i="53"/>
  <c r="U144" i="61"/>
  <c r="U140" i="61"/>
  <c r="V139" i="61"/>
  <c r="U139" i="61"/>
  <c r="V144" i="61"/>
  <c r="U143" i="61"/>
  <c r="V141" i="61"/>
  <c r="U138" i="61"/>
  <c r="V142" i="61"/>
  <c r="U142" i="61"/>
  <c r="V138" i="61"/>
  <c r="U141" i="61"/>
  <c r="V143" i="61"/>
  <c r="V140" i="61"/>
  <c r="V141" i="36"/>
  <c r="U141" i="36"/>
  <c r="U140" i="36"/>
  <c r="U138" i="36"/>
  <c r="V140" i="36"/>
  <c r="V144" i="36"/>
  <c r="V139" i="36"/>
  <c r="U139" i="36"/>
  <c r="U143" i="36"/>
  <c r="V142" i="36"/>
  <c r="V138" i="36"/>
  <c r="U142" i="36"/>
  <c r="U144" i="36"/>
  <c r="V143" i="36"/>
  <c r="S202" i="62"/>
  <c r="S217" i="62"/>
  <c r="F202" i="55"/>
  <c r="V202" i="55"/>
  <c r="F209" i="55"/>
  <c r="V202" i="56"/>
  <c r="F202" i="56"/>
  <c r="F209" i="56"/>
  <c r="F206" i="56"/>
  <c r="S202" i="54"/>
  <c r="C206" i="54"/>
  <c r="S215" i="54" s="1"/>
  <c r="C209" i="54"/>
  <c r="S216" i="54" s="1"/>
  <c r="S217" i="54"/>
  <c r="F202" i="32"/>
  <c r="F206" i="32"/>
  <c r="V202" i="32"/>
  <c r="F209" i="32"/>
  <c r="V202" i="52"/>
  <c r="F202" i="52"/>
  <c r="F209" i="52"/>
  <c r="D202" i="39"/>
  <c r="T202" i="39"/>
  <c r="D209" i="39"/>
  <c r="F206" i="34"/>
  <c r="V202" i="34"/>
  <c r="F202" i="34"/>
  <c r="F209" i="34"/>
  <c r="V202" i="61"/>
  <c r="F209" i="61"/>
  <c r="F202" i="61"/>
  <c r="F206" i="61"/>
  <c r="D202" i="44"/>
  <c r="S202" i="44"/>
  <c r="C206" i="44"/>
  <c r="S215" i="44" s="1"/>
  <c r="C209" i="44"/>
  <c r="S216" i="44" s="1"/>
  <c r="S217" i="44"/>
  <c r="F206" i="47"/>
  <c r="V202" i="47"/>
  <c r="F209" i="47"/>
  <c r="F202" i="47"/>
  <c r="S202" i="46"/>
  <c r="C209" i="46"/>
  <c r="S216" i="46" s="1"/>
  <c r="S217" i="46"/>
  <c r="V202" i="38"/>
  <c r="F202" i="38"/>
  <c r="S202" i="52"/>
  <c r="C206" i="52"/>
  <c r="S215" i="52" s="1"/>
  <c r="C209" i="52"/>
  <c r="S216" i="52" s="1"/>
  <c r="S217" i="52"/>
  <c r="D202" i="62"/>
  <c r="T202" i="62"/>
  <c r="D209" i="62"/>
  <c r="V202" i="42"/>
  <c r="F202" i="42"/>
  <c r="F206" i="42"/>
  <c r="T202" i="37"/>
  <c r="D202" i="37"/>
  <c r="D206" i="37"/>
  <c r="E209" i="36"/>
  <c r="E202" i="36"/>
  <c r="E206" i="36"/>
  <c r="U202" i="36"/>
  <c r="U202" i="44"/>
  <c r="E202" i="44"/>
  <c r="U202" i="48"/>
  <c r="E202" i="48"/>
  <c r="E209" i="48"/>
  <c r="F209" i="48" s="1"/>
  <c r="V216" i="48" s="1"/>
  <c r="E206" i="48"/>
  <c r="F206" i="48" s="1"/>
  <c r="E202" i="53"/>
  <c r="U202" i="53"/>
  <c r="E206" i="53"/>
  <c r="E209" i="53"/>
  <c r="U202" i="56"/>
  <c r="E202" i="56"/>
  <c r="E209" i="56"/>
  <c r="U189" i="38"/>
  <c r="U190" i="38"/>
  <c r="U187" i="38"/>
  <c r="V188" i="38"/>
  <c r="V187" i="38"/>
  <c r="V191" i="38"/>
  <c r="V186" i="38"/>
  <c r="V189" i="38"/>
  <c r="U186" i="38"/>
  <c r="U191" i="38"/>
  <c r="U188" i="38"/>
  <c r="V190" i="38"/>
  <c r="V190" i="47"/>
  <c r="V191" i="47"/>
  <c r="V188" i="47"/>
  <c r="U188" i="47"/>
  <c r="V189" i="47"/>
  <c r="V187" i="47"/>
  <c r="U186" i="47"/>
  <c r="U189" i="47"/>
  <c r="U191" i="47"/>
  <c r="U190" i="47"/>
  <c r="U187" i="47"/>
  <c r="V186" i="47"/>
  <c r="U189" i="39"/>
  <c r="U188" i="39"/>
  <c r="U186" i="39"/>
  <c r="V191" i="39"/>
  <c r="U191" i="39"/>
  <c r="U190" i="39"/>
  <c r="V189" i="39"/>
  <c r="V190" i="39"/>
  <c r="V186" i="39"/>
  <c r="V188" i="39"/>
  <c r="V187" i="39"/>
  <c r="U187" i="39"/>
  <c r="V186" i="37"/>
  <c r="U191" i="37"/>
  <c r="U186" i="37"/>
  <c r="U188" i="37"/>
  <c r="V191" i="37"/>
  <c r="U189" i="37"/>
  <c r="V187" i="37"/>
  <c r="V190" i="37"/>
  <c r="U190" i="37"/>
  <c r="V189" i="37"/>
  <c r="V188" i="37"/>
  <c r="V187" i="50"/>
  <c r="U187" i="50"/>
  <c r="U188" i="50"/>
  <c r="U186" i="50"/>
  <c r="V190" i="50"/>
  <c r="V191" i="50"/>
  <c r="V186" i="50"/>
  <c r="U189" i="50"/>
  <c r="V189" i="50"/>
  <c r="U191" i="50"/>
  <c r="U190" i="50"/>
  <c r="V188" i="50"/>
  <c r="V139" i="39"/>
  <c r="V138" i="39"/>
  <c r="U141" i="39"/>
  <c r="V141" i="39"/>
  <c r="V143" i="39"/>
  <c r="U140" i="39"/>
  <c r="U138" i="39"/>
  <c r="V140" i="39"/>
  <c r="U139" i="39"/>
  <c r="U144" i="39"/>
  <c r="U143" i="39"/>
  <c r="U142" i="39"/>
  <c r="V144" i="39"/>
  <c r="V142" i="39"/>
  <c r="V173" i="34"/>
  <c r="F173" i="34"/>
  <c r="U141" i="44"/>
  <c r="V141" i="44"/>
  <c r="U138" i="44"/>
  <c r="V139" i="44"/>
  <c r="U142" i="44"/>
  <c r="V142" i="44"/>
  <c r="U139" i="44"/>
  <c r="V138" i="44"/>
  <c r="U140" i="44"/>
  <c r="V144" i="44"/>
  <c r="U143" i="44"/>
  <c r="V140" i="44"/>
  <c r="U144" i="44"/>
  <c r="T171" i="62"/>
  <c r="V172" i="48"/>
  <c r="T173" i="36"/>
  <c r="D173" i="36"/>
  <c r="U139" i="38"/>
  <c r="V139" i="38"/>
  <c r="U138" i="38"/>
  <c r="V142" i="38"/>
  <c r="U143" i="38"/>
  <c r="U142" i="38"/>
  <c r="U141" i="38"/>
  <c r="V144" i="38"/>
  <c r="V138" i="38"/>
  <c r="U144" i="38"/>
  <c r="V141" i="38"/>
  <c r="V140" i="38"/>
  <c r="U140" i="38"/>
  <c r="V143" i="38"/>
  <c r="F172" i="52"/>
  <c r="V172" i="52"/>
  <c r="V171" i="52"/>
  <c r="F171" i="52"/>
  <c r="T173" i="58"/>
  <c r="D173" i="58"/>
  <c r="U172" i="62"/>
  <c r="E172" i="62"/>
  <c r="U171" i="62"/>
  <c r="E171" i="62"/>
  <c r="V173" i="46"/>
  <c r="F173" i="46"/>
  <c r="T172" i="34"/>
  <c r="D172" i="34"/>
  <c r="T171" i="34"/>
  <c r="D171" i="34"/>
  <c r="T172" i="53"/>
  <c r="D172" i="53"/>
  <c r="E171" i="53"/>
  <c r="T171" i="53"/>
  <c r="D171" i="38"/>
  <c r="S171" i="38"/>
  <c r="V172" i="55"/>
  <c r="F172" i="55"/>
  <c r="V171" i="55"/>
  <c r="F171" i="55"/>
  <c r="V173" i="35"/>
  <c r="F173" i="35"/>
  <c r="V143" i="56"/>
  <c r="U143" i="56"/>
  <c r="V141" i="56"/>
  <c r="V139" i="56"/>
  <c r="U142" i="56"/>
  <c r="V144" i="56"/>
  <c r="U141" i="56"/>
  <c r="V142" i="56"/>
  <c r="U144" i="56"/>
  <c r="V138" i="56"/>
  <c r="V140" i="56"/>
  <c r="U140" i="56"/>
  <c r="U139" i="56"/>
  <c r="U138" i="56"/>
  <c r="U171" i="41"/>
  <c r="E171" i="41"/>
  <c r="T173" i="35"/>
  <c r="D173" i="35"/>
  <c r="U172" i="55"/>
  <c r="E172" i="55"/>
  <c r="U171" i="55"/>
  <c r="E171" i="55"/>
  <c r="T172" i="47"/>
  <c r="D172" i="47"/>
  <c r="U173" i="36"/>
  <c r="E173" i="36"/>
  <c r="V172" i="50"/>
  <c r="F172" i="50"/>
  <c r="F171" i="50"/>
  <c r="V171" i="50"/>
  <c r="D171" i="55"/>
  <c r="S171" i="55"/>
  <c r="U173" i="42"/>
  <c r="E173" i="42"/>
  <c r="T172" i="57"/>
  <c r="D172" i="57"/>
  <c r="T171" i="57"/>
  <c r="D171" i="57"/>
  <c r="V173" i="57"/>
  <c r="F173" i="57"/>
  <c r="U172" i="46"/>
  <c r="E172" i="46"/>
  <c r="U171" i="46"/>
  <c r="E171" i="46"/>
  <c r="V173" i="59"/>
  <c r="F173" i="59"/>
  <c r="V173" i="38"/>
  <c r="F173" i="38"/>
  <c r="T172" i="48"/>
  <c r="D172" i="48"/>
  <c r="V139" i="51"/>
  <c r="V138" i="51"/>
  <c r="U142" i="51"/>
  <c r="V142" i="51"/>
  <c r="U139" i="51"/>
  <c r="U144" i="51"/>
  <c r="V141" i="51"/>
  <c r="U141" i="51"/>
  <c r="V144" i="51"/>
  <c r="U143" i="51"/>
  <c r="V143" i="51"/>
  <c r="U140" i="51"/>
  <c r="V140" i="51"/>
  <c r="U138" i="51"/>
  <c r="U173" i="47"/>
  <c r="E173" i="47"/>
  <c r="V140" i="57"/>
  <c r="U140" i="57"/>
  <c r="U143" i="57"/>
  <c r="V142" i="57"/>
  <c r="U139" i="57"/>
  <c r="V139" i="57"/>
  <c r="V143" i="57"/>
  <c r="U138" i="57"/>
  <c r="U142" i="57"/>
  <c r="U141" i="57"/>
  <c r="V138" i="57"/>
  <c r="U144" i="57"/>
  <c r="V144" i="57"/>
  <c r="V141" i="57"/>
  <c r="V173" i="36"/>
  <c r="F173" i="36"/>
  <c r="V138" i="46"/>
  <c r="U139" i="46"/>
  <c r="U142" i="46"/>
  <c r="V142" i="46"/>
  <c r="V140" i="46"/>
  <c r="V143" i="46"/>
  <c r="U141" i="46"/>
  <c r="U138" i="46"/>
  <c r="V144" i="46"/>
  <c r="V141" i="46"/>
  <c r="U143" i="46"/>
  <c r="U140" i="46"/>
  <c r="U144" i="46"/>
  <c r="V139" i="46"/>
  <c r="V173" i="42"/>
  <c r="F173" i="42"/>
  <c r="T172" i="44"/>
  <c r="D172" i="44"/>
  <c r="D172" i="52"/>
  <c r="S172" i="52"/>
  <c r="U142" i="42"/>
  <c r="V142" i="42"/>
  <c r="U141" i="42"/>
  <c r="U144" i="42"/>
  <c r="V143" i="42"/>
  <c r="U138" i="42"/>
  <c r="U143" i="42"/>
  <c r="V140" i="42"/>
  <c r="V139" i="42"/>
  <c r="V138" i="42"/>
  <c r="V141" i="42"/>
  <c r="V144" i="42"/>
  <c r="U139" i="42"/>
  <c r="U140" i="42"/>
  <c r="T171" i="39"/>
  <c r="D171" i="39"/>
  <c r="U173" i="59"/>
  <c r="E173" i="59"/>
  <c r="V172" i="58"/>
  <c r="F172" i="58"/>
  <c r="V171" i="58"/>
  <c r="F171" i="58"/>
  <c r="T173" i="46"/>
  <c r="D173" i="46"/>
  <c r="V172" i="54"/>
  <c r="F172" i="54"/>
  <c r="F171" i="54"/>
  <c r="V171" i="54"/>
  <c r="T173" i="41"/>
  <c r="D173" i="41"/>
  <c r="V173" i="56"/>
  <c r="F173" i="56"/>
  <c r="T172" i="43"/>
  <c r="D172" i="43"/>
  <c r="T171" i="43"/>
  <c r="D171" i="43"/>
  <c r="E172" i="48"/>
  <c r="U172" i="48"/>
  <c r="V173" i="61"/>
  <c r="F173" i="61"/>
  <c r="V172" i="44"/>
  <c r="F172" i="44"/>
  <c r="F171" i="44"/>
  <c r="V171" i="44"/>
  <c r="D172" i="50"/>
  <c r="S172" i="50"/>
  <c r="D171" i="50"/>
  <c r="S171" i="50"/>
  <c r="U173" i="37"/>
  <c r="E173" i="37"/>
  <c r="V139" i="58"/>
  <c r="U140" i="58"/>
  <c r="V140" i="58"/>
  <c r="V141" i="58"/>
  <c r="V144" i="58"/>
  <c r="U144" i="58"/>
  <c r="V143" i="58"/>
  <c r="U138" i="58"/>
  <c r="U143" i="58"/>
  <c r="U141" i="58"/>
  <c r="V138" i="58"/>
  <c r="V142" i="58"/>
  <c r="U139" i="58"/>
  <c r="U142" i="58"/>
  <c r="T172" i="54"/>
  <c r="D172" i="54"/>
  <c r="E172" i="51"/>
  <c r="T172" i="51"/>
  <c r="T171" i="51"/>
  <c r="D171" i="51"/>
  <c r="U173" i="53"/>
  <c r="E173" i="53"/>
  <c r="V139" i="34"/>
  <c r="V140" i="34"/>
  <c r="V138" i="34"/>
  <c r="U143" i="34"/>
  <c r="U140" i="34"/>
  <c r="V144" i="34"/>
  <c r="V143" i="34"/>
  <c r="U141" i="34"/>
  <c r="V142" i="34"/>
  <c r="U144" i="34"/>
  <c r="V141" i="34"/>
  <c r="U139" i="34"/>
  <c r="U138" i="34"/>
  <c r="U142" i="34"/>
  <c r="U173" i="34"/>
  <c r="E173" i="34"/>
  <c r="V172" i="47"/>
  <c r="F172" i="47"/>
  <c r="T173" i="50"/>
  <c r="D173" i="50"/>
  <c r="T172" i="56"/>
  <c r="D172" i="56"/>
  <c r="T171" i="56"/>
  <c r="D171" i="56"/>
  <c r="U172" i="52"/>
  <c r="E172" i="52"/>
  <c r="U171" i="52"/>
  <c r="E171" i="52"/>
  <c r="U172" i="43"/>
  <c r="E172" i="43"/>
  <c r="U171" i="43"/>
  <c r="E171" i="43"/>
  <c r="T173" i="59"/>
  <c r="D173" i="59"/>
  <c r="U173" i="58"/>
  <c r="E173" i="58"/>
  <c r="C49" i="51"/>
  <c r="U172" i="56"/>
  <c r="E172" i="56"/>
  <c r="U171" i="56"/>
  <c r="E171" i="56"/>
  <c r="T171" i="42"/>
  <c r="D171" i="42"/>
  <c r="U173" i="61"/>
  <c r="E173" i="61"/>
  <c r="T171" i="37"/>
  <c r="D171" i="37"/>
  <c r="E173" i="57"/>
  <c r="U173" i="57"/>
  <c r="V173" i="39"/>
  <c r="F173" i="39"/>
  <c r="U140" i="52"/>
  <c r="V141" i="52"/>
  <c r="U141" i="52"/>
  <c r="V144" i="52"/>
  <c r="U142" i="52"/>
  <c r="U138" i="52"/>
  <c r="V143" i="52"/>
  <c r="V142" i="52"/>
  <c r="V140" i="52"/>
  <c r="V138" i="52"/>
  <c r="U144" i="52"/>
  <c r="U143" i="52"/>
  <c r="U139" i="52"/>
  <c r="V139" i="52"/>
  <c r="U173" i="51"/>
  <c r="E173" i="51"/>
  <c r="U171" i="51"/>
  <c r="E171" i="51"/>
  <c r="T173" i="55"/>
  <c r="D173" i="55"/>
  <c r="V172" i="41"/>
  <c r="F172" i="41"/>
  <c r="V171" i="41"/>
  <c r="F171" i="41"/>
  <c r="D172" i="39"/>
  <c r="S172" i="39"/>
  <c r="T172" i="61"/>
  <c r="D172" i="61"/>
  <c r="T171" i="61"/>
  <c r="D171" i="61"/>
  <c r="D171" i="48"/>
  <c r="S171" i="48"/>
  <c r="V143" i="50"/>
  <c r="U144" i="50"/>
  <c r="U140" i="50"/>
  <c r="U143" i="50"/>
  <c r="V144" i="50"/>
  <c r="U142" i="50"/>
  <c r="U141" i="50"/>
  <c r="V142" i="50"/>
  <c r="V140" i="50"/>
  <c r="U138" i="50"/>
  <c r="V139" i="50"/>
  <c r="V141" i="50"/>
  <c r="V138" i="50"/>
  <c r="U139" i="50"/>
  <c r="U172" i="44"/>
  <c r="E172" i="44"/>
  <c r="U171" i="44"/>
  <c r="E171" i="44"/>
  <c r="V144" i="54"/>
  <c r="U142" i="54"/>
  <c r="V143" i="54"/>
  <c r="V139" i="54"/>
  <c r="U141" i="54"/>
  <c r="V140" i="54"/>
  <c r="V138" i="54"/>
  <c r="U144" i="54"/>
  <c r="V142" i="54"/>
  <c r="U139" i="54"/>
  <c r="U138" i="54"/>
  <c r="U143" i="54"/>
  <c r="U140" i="54"/>
  <c r="V141" i="54"/>
  <c r="D49" i="34"/>
  <c r="V173" i="62"/>
  <c r="F173" i="62"/>
  <c r="T173" i="52"/>
  <c r="D173" i="52"/>
  <c r="V140" i="37"/>
  <c r="U140" i="37"/>
  <c r="V143" i="37"/>
  <c r="V141" i="37"/>
  <c r="U144" i="37"/>
  <c r="U141" i="37"/>
  <c r="V144" i="37"/>
  <c r="U138" i="37"/>
  <c r="V139" i="37"/>
  <c r="U142" i="37"/>
  <c r="U143" i="37"/>
  <c r="V138" i="37"/>
  <c r="U139" i="37"/>
  <c r="V142" i="37"/>
  <c r="D171" i="53"/>
  <c r="S171" i="53"/>
  <c r="U173" i="39"/>
  <c r="E173" i="39"/>
  <c r="V173" i="51"/>
  <c r="F173" i="51"/>
  <c r="S171" i="33"/>
  <c r="V171" i="33"/>
  <c r="F171" i="33"/>
  <c r="E92" i="43"/>
  <c r="C92" i="43"/>
  <c r="F79" i="61"/>
  <c r="C79" i="61"/>
  <c r="E76" i="38"/>
  <c r="C76" i="38"/>
  <c r="F78" i="52"/>
  <c r="C78" i="52"/>
  <c r="S173" i="33"/>
  <c r="F65" i="55"/>
  <c r="C65" i="55"/>
  <c r="F90" i="51"/>
  <c r="C90" i="51"/>
  <c r="D92" i="50"/>
  <c r="C92" i="50"/>
  <c r="E76" i="44"/>
  <c r="C76" i="44"/>
  <c r="D78" i="36"/>
  <c r="C78" i="36"/>
  <c r="E77" i="46"/>
  <c r="C77" i="46"/>
  <c r="F93" i="56"/>
  <c r="E93" i="56"/>
  <c r="F65" i="61"/>
  <c r="C65" i="61"/>
  <c r="F90" i="41"/>
  <c r="C90" i="41"/>
  <c r="F92" i="35"/>
  <c r="C92" i="35"/>
  <c r="D78" i="35"/>
  <c r="C78" i="35"/>
  <c r="F93" i="39"/>
  <c r="C93" i="39"/>
  <c r="D78" i="42"/>
  <c r="C78" i="42"/>
  <c r="F90" i="34"/>
  <c r="C90" i="34"/>
  <c r="F90" i="46"/>
  <c r="C90" i="46"/>
  <c r="E79" i="41"/>
  <c r="C79" i="41"/>
  <c r="E65" i="57"/>
  <c r="C65" i="57"/>
  <c r="E76" i="53"/>
  <c r="C76" i="53"/>
  <c r="F93" i="46"/>
  <c r="C93" i="46"/>
  <c r="F90" i="58"/>
  <c r="C90" i="58"/>
  <c r="C200" i="34"/>
  <c r="C200" i="37"/>
  <c r="C200" i="33"/>
  <c r="C200" i="50"/>
  <c r="E190" i="58"/>
  <c r="E191" i="59"/>
  <c r="E191" i="52"/>
  <c r="E191" i="46"/>
  <c r="E191" i="58"/>
  <c r="E186" i="58"/>
  <c r="E188" i="33"/>
  <c r="E186" i="35"/>
  <c r="E187" i="62"/>
  <c r="E186" i="52"/>
  <c r="E187" i="58"/>
  <c r="E191" i="41"/>
  <c r="E189" i="46"/>
  <c r="E187" i="57"/>
  <c r="E186" i="46"/>
  <c r="E191" i="51"/>
  <c r="E189" i="33"/>
  <c r="E190" i="59"/>
  <c r="C157" i="35"/>
  <c r="E138" i="61"/>
  <c r="C200" i="38"/>
  <c r="C200" i="57"/>
  <c r="C200" i="51"/>
  <c r="C200" i="58"/>
  <c r="C200" i="61"/>
  <c r="C200" i="41"/>
  <c r="E187" i="35"/>
  <c r="E188" i="61"/>
  <c r="E190" i="54"/>
  <c r="E190" i="35"/>
  <c r="U187" i="55"/>
  <c r="V189" i="43"/>
  <c r="E191" i="33"/>
  <c r="E190" i="43"/>
  <c r="E191" i="35"/>
  <c r="E189" i="54"/>
  <c r="E188" i="46"/>
  <c r="E188" i="58"/>
  <c r="E187" i="51"/>
  <c r="E188" i="62"/>
  <c r="E187" i="38"/>
  <c r="E188" i="38"/>
  <c r="E190" i="41"/>
  <c r="E190" i="37"/>
  <c r="E189" i="35"/>
  <c r="E190" i="61"/>
  <c r="E187" i="43"/>
  <c r="E187" i="41"/>
  <c r="E190" i="42"/>
  <c r="E188" i="52"/>
  <c r="E191" i="38"/>
  <c r="E189" i="62"/>
  <c r="E189" i="48"/>
  <c r="E187" i="44"/>
  <c r="E187" i="34"/>
  <c r="C157" i="54"/>
  <c r="F49" i="36"/>
  <c r="E139" i="44"/>
  <c r="E141" i="38"/>
  <c r="D49" i="54"/>
  <c r="E138" i="56"/>
  <c r="F49" i="57"/>
  <c r="E140" i="39"/>
  <c r="E139" i="61"/>
  <c r="C157" i="58"/>
  <c r="D49" i="59"/>
  <c r="E138" i="51"/>
  <c r="F49" i="53"/>
  <c r="E49" i="55"/>
  <c r="E141" i="51"/>
  <c r="D49" i="47"/>
  <c r="E138" i="46"/>
  <c r="D49" i="55"/>
  <c r="E139" i="59"/>
  <c r="E141" i="35"/>
  <c r="E49" i="37"/>
  <c r="F49" i="59"/>
  <c r="E138" i="41"/>
  <c r="E142" i="56"/>
  <c r="E143" i="36"/>
  <c r="D49" i="38"/>
  <c r="F49" i="52"/>
  <c r="E142" i="46"/>
  <c r="E139" i="35"/>
  <c r="E142" i="53"/>
  <c r="E145" i="53" s="1"/>
  <c r="E143" i="46"/>
  <c r="E143" i="44"/>
  <c r="C155" i="62"/>
  <c r="F49" i="34"/>
  <c r="E142" i="58"/>
  <c r="D49" i="42"/>
  <c r="C206" i="36"/>
  <c r="S215" i="36" s="1"/>
  <c r="E144" i="41"/>
  <c r="C157" i="36"/>
  <c r="E143" i="51"/>
  <c r="E141" i="44"/>
  <c r="E144" i="51"/>
  <c r="E139" i="36"/>
  <c r="E49" i="36"/>
  <c r="D49" i="37"/>
  <c r="C157" i="59"/>
  <c r="C157" i="46"/>
  <c r="E144" i="61"/>
  <c r="E139" i="42"/>
  <c r="E141" i="36"/>
  <c r="E142" i="43"/>
  <c r="E49" i="47"/>
  <c r="E140" i="35"/>
  <c r="E142" i="39"/>
  <c r="E144" i="56"/>
  <c r="E143" i="39"/>
  <c r="E139" i="46"/>
  <c r="E144" i="47"/>
  <c r="F49" i="55"/>
  <c r="F49" i="61"/>
  <c r="F49" i="39"/>
  <c r="F49" i="46"/>
  <c r="E49" i="42"/>
  <c r="E139" i="57"/>
  <c r="C157" i="44"/>
  <c r="C157" i="41"/>
  <c r="E140" i="44"/>
  <c r="F49" i="50"/>
  <c r="C157" i="42"/>
  <c r="E139" i="52"/>
  <c r="E141" i="59"/>
  <c r="E141" i="56"/>
  <c r="E143" i="35"/>
  <c r="C157" i="57"/>
  <c r="F49" i="42"/>
  <c r="E49" i="44"/>
  <c r="E142" i="42"/>
  <c r="E144" i="43"/>
  <c r="C154" i="54"/>
  <c r="D49" i="44"/>
  <c r="E139" i="47"/>
  <c r="E140" i="54"/>
  <c r="F206" i="62"/>
  <c r="C206" i="50"/>
  <c r="S215" i="50" s="1"/>
  <c r="C206" i="58"/>
  <c r="S215" i="58" s="1"/>
  <c r="D206" i="48"/>
  <c r="F76" i="33"/>
  <c r="F206" i="52"/>
  <c r="D77" i="33"/>
  <c r="D79" i="33"/>
  <c r="C209" i="55"/>
  <c r="S216" i="55" s="1"/>
  <c r="D209" i="37"/>
  <c r="D209" i="61"/>
  <c r="F209" i="42"/>
  <c r="E206" i="52"/>
  <c r="E209" i="44"/>
  <c r="D209" i="42"/>
  <c r="E206" i="38"/>
  <c r="F209" i="38"/>
  <c r="C209" i="58"/>
  <c r="S216" i="58" s="1"/>
  <c r="E77" i="33"/>
  <c r="D93" i="34"/>
  <c r="D65" i="50"/>
  <c r="C206" i="46"/>
  <c r="S215" i="46" s="1"/>
  <c r="D206" i="47"/>
  <c r="D206" i="46"/>
  <c r="D206" i="34"/>
  <c r="D206" i="35"/>
  <c r="D206" i="56"/>
  <c r="E206" i="50"/>
  <c r="E206" i="56"/>
  <c r="C209" i="50"/>
  <c r="S216" i="50" s="1"/>
  <c r="D209" i="34"/>
  <c r="C209" i="34"/>
  <c r="S216" i="34" s="1"/>
  <c r="F209" i="44"/>
  <c r="F209" i="41"/>
  <c r="E65" i="54"/>
  <c r="D79" i="52"/>
  <c r="E91" i="41"/>
  <c r="D78" i="34"/>
  <c r="E92" i="41"/>
  <c r="E78" i="41"/>
  <c r="E91" i="47"/>
  <c r="D78" i="43"/>
  <c r="D92" i="52"/>
  <c r="F93" i="34"/>
  <c r="D79" i="53"/>
  <c r="D77" i="47"/>
  <c r="D91" i="47"/>
  <c r="D93" i="38"/>
  <c r="F77" i="33"/>
  <c r="E90" i="50"/>
  <c r="E65" i="50"/>
  <c r="D91" i="54"/>
  <c r="F79" i="47"/>
  <c r="F93" i="47"/>
  <c r="E65" i="51"/>
  <c r="E76" i="51"/>
  <c r="E91" i="44"/>
  <c r="D91" i="41"/>
  <c r="F79" i="51"/>
  <c r="F76" i="54"/>
  <c r="F65" i="54"/>
  <c r="D90" i="52"/>
  <c r="D65" i="52"/>
  <c r="F79" i="50"/>
  <c r="F93" i="50"/>
  <c r="E79" i="34"/>
  <c r="F92" i="52"/>
  <c r="C77" i="56"/>
  <c r="F93" i="59"/>
  <c r="F79" i="59"/>
  <c r="E90" i="47"/>
  <c r="E65" i="47"/>
  <c r="F92" i="51"/>
  <c r="D90" i="55"/>
  <c r="E93" i="61"/>
  <c r="E79" i="61"/>
  <c r="D93" i="48"/>
  <c r="F65" i="51"/>
  <c r="F91" i="41"/>
  <c r="F77" i="41"/>
  <c r="D90" i="51"/>
  <c r="D65" i="51"/>
  <c r="E79" i="48"/>
  <c r="D91" i="58"/>
  <c r="F93" i="61"/>
  <c r="D79" i="51"/>
  <c r="E93" i="42"/>
  <c r="D92" i="61"/>
  <c r="F93" i="54"/>
  <c r="D78" i="41"/>
  <c r="F78" i="55"/>
  <c r="F76" i="50"/>
  <c r="F65" i="50"/>
  <c r="E93" i="47"/>
  <c r="D91" i="51"/>
  <c r="D78" i="55"/>
  <c r="D76" i="39"/>
  <c r="D65" i="39"/>
  <c r="E77" i="53"/>
  <c r="E91" i="53"/>
  <c r="D79" i="42"/>
  <c r="F92" i="34"/>
  <c r="D65" i="38"/>
  <c r="D90" i="38"/>
  <c r="C79" i="56"/>
  <c r="D93" i="50"/>
  <c r="F78" i="41"/>
  <c r="D90" i="44"/>
  <c r="D65" i="44"/>
  <c r="D91" i="44"/>
  <c r="F91" i="58"/>
  <c r="D92" i="46"/>
  <c r="E91" i="46"/>
  <c r="D91" i="61"/>
  <c r="E92" i="39"/>
  <c r="D93" i="59"/>
  <c r="D65" i="56"/>
  <c r="D76" i="56"/>
  <c r="E79" i="43"/>
  <c r="E93" i="43"/>
  <c r="D77" i="36"/>
  <c r="F78" i="58"/>
  <c r="F90" i="52"/>
  <c r="F76" i="55"/>
  <c r="E78" i="43"/>
  <c r="D92" i="44"/>
  <c r="F77" i="36"/>
  <c r="E92" i="47"/>
  <c r="D93" i="39"/>
  <c r="F91" i="43"/>
  <c r="E77" i="61"/>
  <c r="D77" i="53"/>
  <c r="F93" i="44"/>
  <c r="E77" i="35"/>
  <c r="E79" i="38"/>
  <c r="D93" i="44"/>
  <c r="F78" i="36"/>
  <c r="D92" i="62"/>
  <c r="F77" i="46"/>
  <c r="D90" i="37"/>
  <c r="D65" i="37"/>
  <c r="E76" i="52"/>
  <c r="E65" i="52"/>
  <c r="E93" i="51"/>
  <c r="D77" i="37"/>
  <c r="D92" i="59"/>
  <c r="F77" i="53"/>
  <c r="C90" i="56"/>
  <c r="E93" i="52"/>
  <c r="F65" i="38"/>
  <c r="F76" i="38"/>
  <c r="D76" i="34"/>
  <c r="D65" i="34"/>
  <c r="E91" i="54"/>
  <c r="F91" i="57"/>
  <c r="F77" i="57"/>
  <c r="F93" i="52"/>
  <c r="E77" i="55"/>
  <c r="E91" i="55"/>
  <c r="E93" i="54"/>
  <c r="D77" i="56"/>
  <c r="F77" i="54"/>
  <c r="D65" i="47"/>
  <c r="E90" i="41"/>
  <c r="E65" i="41"/>
  <c r="E90" i="38"/>
  <c r="D79" i="36"/>
  <c r="D65" i="61"/>
  <c r="D76" i="61"/>
  <c r="E92" i="52"/>
  <c r="F77" i="38"/>
  <c r="E90" i="55"/>
  <c r="F78" i="43"/>
  <c r="F206" i="55"/>
  <c r="V186" i="48"/>
  <c r="U188" i="48"/>
  <c r="V191" i="48"/>
  <c r="V190" i="48"/>
  <c r="V188" i="48"/>
  <c r="U186" i="48"/>
  <c r="U187" i="48"/>
  <c r="V189" i="48"/>
  <c r="V187" i="48"/>
  <c r="U191" i="48"/>
  <c r="U190" i="48"/>
  <c r="U189" i="48"/>
  <c r="V202" i="44"/>
  <c r="F202" i="44"/>
  <c r="F206" i="44"/>
  <c r="S202" i="53"/>
  <c r="S217" i="53"/>
  <c r="C209" i="53"/>
  <c r="S216" i="53" s="1"/>
  <c r="F202" i="41"/>
  <c r="V202" i="41"/>
  <c r="D202" i="42"/>
  <c r="S202" i="42"/>
  <c r="C206" i="42"/>
  <c r="S215" i="42" s="1"/>
  <c r="S217" i="42"/>
  <c r="C209" i="42"/>
  <c r="S216" i="42" s="1"/>
  <c r="V202" i="57"/>
  <c r="F202" i="57"/>
  <c r="F209" i="57"/>
  <c r="S217" i="34"/>
  <c r="S202" i="34"/>
  <c r="S217" i="37"/>
  <c r="C206" i="37"/>
  <c r="S215" i="37" s="1"/>
  <c r="S202" i="37"/>
  <c r="T202" i="57"/>
  <c r="D206" i="57"/>
  <c r="D202" i="57"/>
  <c r="D209" i="57"/>
  <c r="T202" i="38"/>
  <c r="D209" i="38"/>
  <c r="D202" i="38"/>
  <c r="D206" i="38"/>
  <c r="T202" i="47"/>
  <c r="D202" i="47"/>
  <c r="T202" i="58"/>
  <c r="D202" i="58"/>
  <c r="D206" i="58"/>
  <c r="D209" i="58"/>
  <c r="D202" i="33"/>
  <c r="S202" i="33"/>
  <c r="C206" i="33"/>
  <c r="C209" i="33"/>
  <c r="T202" i="56"/>
  <c r="D202" i="56"/>
  <c r="D209" i="56"/>
  <c r="S202" i="50"/>
  <c r="S217" i="50"/>
  <c r="T202" i="33"/>
  <c r="D206" i="33"/>
  <c r="T202" i="53"/>
  <c r="D202" i="53"/>
  <c r="D206" i="53"/>
  <c r="D209" i="53"/>
  <c r="T202" i="43"/>
  <c r="D202" i="43"/>
  <c r="D209" i="43"/>
  <c r="T202" i="50"/>
  <c r="D206" i="50"/>
  <c r="D209" i="50"/>
  <c r="D202" i="50"/>
  <c r="U202" i="50"/>
  <c r="E202" i="50"/>
  <c r="E209" i="50"/>
  <c r="E209" i="42"/>
  <c r="E206" i="42"/>
  <c r="E202" i="42"/>
  <c r="U202" i="42"/>
  <c r="E202" i="38"/>
  <c r="U202" i="38"/>
  <c r="E209" i="38"/>
  <c r="U202" i="37"/>
  <c r="E202" i="37"/>
  <c r="E206" i="37"/>
  <c r="U202" i="34"/>
  <c r="E209" i="34"/>
  <c r="E206" i="34"/>
  <c r="E202" i="34"/>
  <c r="U202" i="62"/>
  <c r="E202" i="62"/>
  <c r="E209" i="62"/>
  <c r="E206" i="62"/>
  <c r="U202" i="35"/>
  <c r="E202" i="35"/>
  <c r="E206" i="35"/>
  <c r="E209" i="35"/>
  <c r="U202" i="51"/>
  <c r="E202" i="51"/>
  <c r="E206" i="51"/>
  <c r="U202" i="58"/>
  <c r="E202" i="58"/>
  <c r="E206" i="58"/>
  <c r="E209" i="58"/>
  <c r="V191" i="59"/>
  <c r="U191" i="59"/>
  <c r="V187" i="59"/>
  <c r="U188" i="59"/>
  <c r="V189" i="59"/>
  <c r="V186" i="59"/>
  <c r="U190" i="59"/>
  <c r="U189" i="59"/>
  <c r="U187" i="59"/>
  <c r="U186" i="59"/>
  <c r="V188" i="59"/>
  <c r="V190" i="59"/>
  <c r="U191" i="33"/>
  <c r="U189" i="33"/>
  <c r="U188" i="33"/>
  <c r="V190" i="33"/>
  <c r="V189" i="33"/>
  <c r="V191" i="33"/>
  <c r="U186" i="33"/>
  <c r="V187" i="33"/>
  <c r="U187" i="33"/>
  <c r="V188" i="33"/>
  <c r="U190" i="33"/>
  <c r="V186" i="33"/>
  <c r="U187" i="62"/>
  <c r="V189" i="62"/>
  <c r="V190" i="62"/>
  <c r="U191" i="62"/>
  <c r="U190" i="62"/>
  <c r="V188" i="62"/>
  <c r="U186" i="62"/>
  <c r="U189" i="62"/>
  <c r="V187" i="62"/>
  <c r="U188" i="62"/>
  <c r="V191" i="62"/>
  <c r="V186" i="62"/>
  <c r="U191" i="41"/>
  <c r="U190" i="41"/>
  <c r="U188" i="41"/>
  <c r="V186" i="41"/>
  <c r="V187" i="41"/>
  <c r="V190" i="41"/>
  <c r="V188" i="41"/>
  <c r="U189" i="41"/>
  <c r="V189" i="41"/>
  <c r="U186" i="41"/>
  <c r="U187" i="41"/>
  <c r="V191" i="41"/>
  <c r="V186" i="54"/>
  <c r="U188" i="54"/>
  <c r="V191" i="54"/>
  <c r="U187" i="54"/>
  <c r="U186" i="54"/>
  <c r="U189" i="54"/>
  <c r="V188" i="54"/>
  <c r="V190" i="54"/>
  <c r="U191" i="54"/>
  <c r="V187" i="54"/>
  <c r="U190" i="54"/>
  <c r="V189" i="54"/>
  <c r="V187" i="57"/>
  <c r="U191" i="57"/>
  <c r="U189" i="57"/>
  <c r="V189" i="57"/>
  <c r="V191" i="57"/>
  <c r="U186" i="57"/>
  <c r="U190" i="57"/>
  <c r="U187" i="57"/>
  <c r="V186" i="57"/>
  <c r="U188" i="57"/>
  <c r="V188" i="57"/>
  <c r="V190" i="57"/>
  <c r="U187" i="44"/>
  <c r="V190" i="44"/>
  <c r="V187" i="44"/>
  <c r="V188" i="44"/>
  <c r="U189" i="44"/>
  <c r="V186" i="44"/>
  <c r="U190" i="44"/>
  <c r="U191" i="44"/>
  <c r="V191" i="44"/>
  <c r="U186" i="44"/>
  <c r="U188" i="44"/>
  <c r="V187" i="46"/>
  <c r="U191" i="46"/>
  <c r="U187" i="46"/>
  <c r="V188" i="46"/>
  <c r="V190" i="46"/>
  <c r="V189" i="46"/>
  <c r="V191" i="46"/>
  <c r="V186" i="46"/>
  <c r="U189" i="46"/>
  <c r="U190" i="46"/>
  <c r="U188" i="46"/>
  <c r="U186" i="46"/>
  <c r="V187" i="51"/>
  <c r="U188" i="51"/>
  <c r="U186" i="51"/>
  <c r="V189" i="51"/>
  <c r="V190" i="51"/>
  <c r="U187" i="51"/>
  <c r="V186" i="51"/>
  <c r="V188" i="51"/>
  <c r="U191" i="51"/>
  <c r="V191" i="51"/>
  <c r="U189" i="51"/>
  <c r="U186" i="61"/>
  <c r="V187" i="61"/>
  <c r="V186" i="61"/>
  <c r="V189" i="61"/>
  <c r="U191" i="61"/>
  <c r="V190" i="61"/>
  <c r="V191" i="61"/>
  <c r="U189" i="61"/>
  <c r="U190" i="61"/>
  <c r="U188" i="61"/>
  <c r="V188" i="61"/>
  <c r="U187" i="61"/>
  <c r="V187" i="36"/>
  <c r="V190" i="36"/>
  <c r="V188" i="36"/>
  <c r="U189" i="36"/>
  <c r="U191" i="36"/>
  <c r="V191" i="36"/>
  <c r="U186" i="36"/>
  <c r="U188" i="36"/>
  <c r="U190" i="36"/>
  <c r="U187" i="36"/>
  <c r="V186" i="36"/>
  <c r="V189" i="36"/>
  <c r="D171" i="47"/>
  <c r="S171" i="47"/>
  <c r="U173" i="35"/>
  <c r="E173" i="35"/>
  <c r="U172" i="54"/>
  <c r="E172" i="54"/>
  <c r="U171" i="54"/>
  <c r="E171" i="54"/>
  <c r="U173" i="50"/>
  <c r="E173" i="50"/>
  <c r="D172" i="35"/>
  <c r="S172" i="35"/>
  <c r="V173" i="43"/>
  <c r="F173" i="43"/>
  <c r="V172" i="37"/>
  <c r="F172" i="37"/>
  <c r="V171" i="37"/>
  <c r="F171" i="37"/>
  <c r="D172" i="51"/>
  <c r="S172" i="51"/>
  <c r="U173" i="38"/>
  <c r="E173" i="38"/>
  <c r="V172" i="53"/>
  <c r="F172" i="53"/>
  <c r="V171" i="53"/>
  <c r="F171" i="53"/>
  <c r="F49" i="33"/>
  <c r="V202" i="54"/>
  <c r="F202" i="54"/>
  <c r="F206" i="54"/>
  <c r="F209" i="54"/>
  <c r="S217" i="38"/>
  <c r="S202" i="38"/>
  <c r="C209" i="38"/>
  <c r="S216" i="38" s="1"/>
  <c r="S202" i="57"/>
  <c r="C209" i="57"/>
  <c r="S216" i="57" s="1"/>
  <c r="S217" i="57"/>
  <c r="V202" i="59"/>
  <c r="F206" i="59"/>
  <c r="F202" i="59"/>
  <c r="F209" i="59"/>
  <c r="S217" i="51"/>
  <c r="S202" i="51"/>
  <c r="C206" i="51"/>
  <c r="S215" i="51" s="1"/>
  <c r="V202" i="46"/>
  <c r="F202" i="46"/>
  <c r="F209" i="46"/>
  <c r="V202" i="36"/>
  <c r="F202" i="36"/>
  <c r="F206" i="36"/>
  <c r="F209" i="36"/>
  <c r="S202" i="58"/>
  <c r="S217" i="58"/>
  <c r="T202" i="35"/>
  <c r="D202" i="35"/>
  <c r="D209" i="35"/>
  <c r="T202" i="48"/>
  <c r="D202" i="48"/>
  <c r="T202" i="61"/>
  <c r="D202" i="61"/>
  <c r="D206" i="61"/>
  <c r="T202" i="42"/>
  <c r="D206" i="42"/>
  <c r="V202" i="51"/>
  <c r="F202" i="51"/>
  <c r="S202" i="61"/>
  <c r="S217" i="61"/>
  <c r="C206" i="61"/>
  <c r="S215" i="61" s="1"/>
  <c r="D202" i="55"/>
  <c r="T202" i="55"/>
  <c r="D206" i="55"/>
  <c r="V202" i="53"/>
  <c r="F202" i="53"/>
  <c r="F206" i="53"/>
  <c r="F209" i="53"/>
  <c r="S202" i="41"/>
  <c r="S217" i="41"/>
  <c r="C206" i="41"/>
  <c r="S215" i="41" s="1"/>
  <c r="V217" i="48"/>
  <c r="V202" i="48"/>
  <c r="V215" i="48"/>
  <c r="T202" i="44"/>
  <c r="D206" i="44"/>
  <c r="U202" i="52"/>
  <c r="E202" i="52"/>
  <c r="E209" i="52"/>
  <c r="U202" i="54"/>
  <c r="E202" i="54"/>
  <c r="E209" i="54"/>
  <c r="U202" i="33"/>
  <c r="E202" i="33"/>
  <c r="E209" i="33"/>
  <c r="E206" i="33"/>
  <c r="E202" i="39"/>
  <c r="U202" i="39"/>
  <c r="E209" i="39"/>
  <c r="E206" i="39"/>
  <c r="E202" i="43"/>
  <c r="E209" i="43"/>
  <c r="U202" i="43"/>
  <c r="E206" i="43"/>
  <c r="U202" i="47"/>
  <c r="E202" i="47"/>
  <c r="E209" i="47"/>
  <c r="E206" i="47"/>
  <c r="U189" i="53"/>
  <c r="U186" i="53"/>
  <c r="V190" i="53"/>
  <c r="U190" i="53"/>
  <c r="V187" i="53"/>
  <c r="U188" i="53"/>
  <c r="U187" i="53"/>
  <c r="U191" i="53"/>
  <c r="V188" i="53"/>
  <c r="V189" i="53"/>
  <c r="V186" i="53"/>
  <c r="V191" i="53"/>
  <c r="V187" i="34"/>
  <c r="V190" i="34"/>
  <c r="U191" i="34"/>
  <c r="U187" i="34"/>
  <c r="V188" i="34"/>
  <c r="U186" i="34"/>
  <c r="V189" i="34"/>
  <c r="U189" i="34"/>
  <c r="U188" i="34"/>
  <c r="V186" i="34"/>
  <c r="U190" i="34"/>
  <c r="V191" i="34"/>
  <c r="V190" i="55"/>
  <c r="U190" i="55"/>
  <c r="U188" i="55"/>
  <c r="U189" i="55"/>
  <c r="V191" i="55"/>
  <c r="V187" i="55"/>
  <c r="U186" i="55"/>
  <c r="V189" i="55"/>
  <c r="U191" i="55"/>
  <c r="V186" i="55"/>
  <c r="V187" i="42"/>
  <c r="U189" i="42"/>
  <c r="V186" i="42"/>
  <c r="V191" i="42"/>
  <c r="U186" i="42"/>
  <c r="U191" i="42"/>
  <c r="U187" i="42"/>
  <c r="V189" i="42"/>
  <c r="V188" i="42"/>
  <c r="V190" i="42"/>
  <c r="U190" i="42"/>
  <c r="U188" i="42"/>
  <c r="V172" i="34"/>
  <c r="F172" i="34"/>
  <c r="V171" i="34"/>
  <c r="F171" i="34"/>
  <c r="D171" i="54"/>
  <c r="S171" i="54"/>
  <c r="E49" i="51"/>
  <c r="T173" i="62"/>
  <c r="D173" i="62"/>
  <c r="V173" i="48"/>
  <c r="T172" i="36"/>
  <c r="D172" i="36"/>
  <c r="T171" i="36"/>
  <c r="V173" i="52"/>
  <c r="F173" i="52"/>
  <c r="T172" i="58"/>
  <c r="D172" i="58"/>
  <c r="T171" i="58"/>
  <c r="D171" i="58"/>
  <c r="U173" i="62"/>
  <c r="E173" i="62"/>
  <c r="F172" i="46"/>
  <c r="V172" i="46"/>
  <c r="V171" i="46"/>
  <c r="F171" i="46"/>
  <c r="T173" i="34"/>
  <c r="D173" i="34"/>
  <c r="T173" i="53"/>
  <c r="D173" i="53"/>
  <c r="D173" i="38"/>
  <c r="S173" i="38"/>
  <c r="V173" i="55"/>
  <c r="F173" i="55"/>
  <c r="F172" i="35"/>
  <c r="V172" i="35"/>
  <c r="V171" i="35"/>
  <c r="F171" i="35"/>
  <c r="V138" i="55"/>
  <c r="U143" i="55"/>
  <c r="U139" i="55"/>
  <c r="V142" i="55"/>
  <c r="U141" i="55"/>
  <c r="U138" i="55"/>
  <c r="V144" i="55"/>
  <c r="U140" i="55"/>
  <c r="U142" i="55"/>
  <c r="V141" i="55"/>
  <c r="V139" i="55"/>
  <c r="V140" i="55"/>
  <c r="U144" i="55"/>
  <c r="V143" i="55"/>
  <c r="U173" i="41"/>
  <c r="E173" i="41"/>
  <c r="T171" i="35"/>
  <c r="D171" i="35"/>
  <c r="U173" i="55"/>
  <c r="E173" i="55"/>
  <c r="T173" i="47"/>
  <c r="D173" i="47"/>
  <c r="U172" i="36"/>
  <c r="E172" i="36"/>
  <c r="U171" i="36"/>
  <c r="E171" i="36"/>
  <c r="V173" i="50"/>
  <c r="F173" i="50"/>
  <c r="U172" i="42"/>
  <c r="E172" i="42"/>
  <c r="U171" i="42"/>
  <c r="E171" i="42"/>
  <c r="T173" i="57"/>
  <c r="D173" i="57"/>
  <c r="V172" i="57"/>
  <c r="F172" i="57"/>
  <c r="V171" i="57"/>
  <c r="F171" i="57"/>
  <c r="U173" i="46"/>
  <c r="E173" i="46"/>
  <c r="V172" i="59"/>
  <c r="F172" i="59"/>
  <c r="F171" i="59"/>
  <c r="V171" i="59"/>
  <c r="V172" i="38"/>
  <c r="F172" i="38"/>
  <c r="F171" i="38"/>
  <c r="V171" i="38"/>
  <c r="T173" i="48"/>
  <c r="D173" i="48"/>
  <c r="U172" i="47"/>
  <c r="E172" i="47"/>
  <c r="F171" i="47"/>
  <c r="U171" i="47"/>
  <c r="E171" i="47"/>
  <c r="V172" i="36"/>
  <c r="F172" i="36"/>
  <c r="V171" i="36"/>
  <c r="F171" i="36"/>
  <c r="U140" i="59"/>
  <c r="U142" i="59"/>
  <c r="V140" i="59"/>
  <c r="U143" i="59"/>
  <c r="U138" i="59"/>
  <c r="U144" i="59"/>
  <c r="V143" i="59"/>
  <c r="V141" i="59"/>
  <c r="V138" i="59"/>
  <c r="V144" i="59"/>
  <c r="U141" i="59"/>
  <c r="V139" i="59"/>
  <c r="U139" i="59"/>
  <c r="V142" i="59"/>
  <c r="F172" i="42"/>
  <c r="V172" i="42"/>
  <c r="V171" i="42"/>
  <c r="F171" i="42"/>
  <c r="T173" i="44"/>
  <c r="D173" i="44"/>
  <c r="U142" i="41"/>
  <c r="V141" i="41"/>
  <c r="U138" i="41"/>
  <c r="U144" i="41"/>
  <c r="V140" i="41"/>
  <c r="V142" i="41"/>
  <c r="V144" i="41"/>
  <c r="U143" i="41"/>
  <c r="V143" i="41"/>
  <c r="V138" i="41"/>
  <c r="U140" i="41"/>
  <c r="U141" i="41"/>
  <c r="U139" i="41"/>
  <c r="V139" i="41"/>
  <c r="T173" i="39"/>
  <c r="D173" i="39"/>
  <c r="U172" i="59"/>
  <c r="E172" i="59"/>
  <c r="U171" i="59"/>
  <c r="E171" i="59"/>
  <c r="V143" i="47"/>
  <c r="V139" i="47"/>
  <c r="U144" i="47"/>
  <c r="U143" i="47"/>
  <c r="U139" i="47"/>
  <c r="V138" i="47"/>
  <c r="V142" i="47"/>
  <c r="U138" i="47"/>
  <c r="V140" i="47"/>
  <c r="U140" i="47"/>
  <c r="V141" i="47"/>
  <c r="U141" i="47"/>
  <c r="U142" i="47"/>
  <c r="V144" i="47"/>
  <c r="V173" i="58"/>
  <c r="F173" i="58"/>
  <c r="T171" i="46"/>
  <c r="D171" i="46"/>
  <c r="U142" i="53"/>
  <c r="U141" i="53"/>
  <c r="V141" i="53"/>
  <c r="U138" i="53"/>
  <c r="V143" i="53"/>
  <c r="V140" i="53"/>
  <c r="U143" i="53"/>
  <c r="U139" i="53"/>
  <c r="U144" i="53"/>
  <c r="U140" i="53"/>
  <c r="V139" i="53"/>
  <c r="V142" i="53"/>
  <c r="V138" i="53"/>
  <c r="V144" i="53"/>
  <c r="V173" i="54"/>
  <c r="F173" i="54"/>
  <c r="E172" i="41"/>
  <c r="T172" i="41"/>
  <c r="D172" i="41"/>
  <c r="T171" i="41"/>
  <c r="D171" i="41"/>
  <c r="V172" i="56"/>
  <c r="F172" i="56"/>
  <c r="V171" i="56"/>
  <c r="F171" i="56"/>
  <c r="T173" i="43"/>
  <c r="D173" i="43"/>
  <c r="U142" i="48"/>
  <c r="V142" i="48"/>
  <c r="V144" i="48"/>
  <c r="V139" i="48"/>
  <c r="U144" i="48"/>
  <c r="U140" i="48"/>
  <c r="V138" i="48"/>
  <c r="V141" i="48"/>
  <c r="U138" i="48"/>
  <c r="U143" i="48"/>
  <c r="U141" i="48"/>
  <c r="V143" i="48"/>
  <c r="U139" i="48"/>
  <c r="V140" i="48"/>
  <c r="U173" i="48"/>
  <c r="E173" i="48"/>
  <c r="F172" i="61"/>
  <c r="V172" i="61"/>
  <c r="V171" i="61"/>
  <c r="F171" i="61"/>
  <c r="F49" i="35"/>
  <c r="V173" i="44"/>
  <c r="F173" i="44"/>
  <c r="U172" i="37"/>
  <c r="E172" i="37"/>
  <c r="U171" i="37"/>
  <c r="E171" i="37"/>
  <c r="T173" i="54"/>
  <c r="D173" i="54"/>
  <c r="T173" i="51"/>
  <c r="D173" i="51"/>
  <c r="U172" i="53"/>
  <c r="E172" i="53"/>
  <c r="E78" i="33"/>
  <c r="C78" i="33"/>
  <c r="E172" i="34"/>
  <c r="U172" i="34"/>
  <c r="U171" i="34"/>
  <c r="E171" i="34"/>
  <c r="V173" i="47"/>
  <c r="F173" i="47"/>
  <c r="E172" i="50"/>
  <c r="T172" i="50"/>
  <c r="T173" i="56"/>
  <c r="D173" i="56"/>
  <c r="U173" i="52"/>
  <c r="E173" i="52"/>
  <c r="T172" i="38"/>
  <c r="D172" i="38"/>
  <c r="U173" i="43"/>
  <c r="E173" i="43"/>
  <c r="U139" i="43"/>
  <c r="V139" i="43"/>
  <c r="V141" i="43"/>
  <c r="U141" i="43"/>
  <c r="V140" i="43"/>
  <c r="U140" i="43"/>
  <c r="V142" i="43"/>
  <c r="U138" i="43"/>
  <c r="U144" i="43"/>
  <c r="V143" i="43"/>
  <c r="V138" i="43"/>
  <c r="U142" i="43"/>
  <c r="V144" i="43"/>
  <c r="U143" i="43"/>
  <c r="T172" i="59"/>
  <c r="D172" i="59"/>
  <c r="T171" i="59"/>
  <c r="D171" i="59"/>
  <c r="D172" i="46"/>
  <c r="S172" i="46"/>
  <c r="U172" i="58"/>
  <c r="E172" i="58"/>
  <c r="U171" i="58"/>
  <c r="E171" i="58"/>
  <c r="U173" i="56"/>
  <c r="E173" i="56"/>
  <c r="E138" i="33"/>
  <c r="E140" i="33"/>
  <c r="E142" i="33"/>
  <c r="E144" i="33"/>
  <c r="E139" i="33"/>
  <c r="U141" i="33"/>
  <c r="V141" i="33"/>
  <c r="U144" i="33"/>
  <c r="V140" i="33"/>
  <c r="U139" i="33"/>
  <c r="V142" i="33"/>
  <c r="V143" i="33"/>
  <c r="V139" i="33"/>
  <c r="U143" i="33"/>
  <c r="U140" i="33"/>
  <c r="U138" i="33"/>
  <c r="V138" i="33"/>
  <c r="V144" i="33"/>
  <c r="U142" i="33"/>
  <c r="D173" i="42"/>
  <c r="T173" i="42"/>
  <c r="U172" i="61"/>
  <c r="E172" i="61"/>
  <c r="U171" i="61"/>
  <c r="E171" i="61"/>
  <c r="T173" i="37"/>
  <c r="D173" i="37"/>
  <c r="U172" i="57"/>
  <c r="E172" i="57"/>
  <c r="U171" i="57"/>
  <c r="E171" i="57"/>
  <c r="F172" i="39"/>
  <c r="V172" i="39"/>
  <c r="V171" i="39"/>
  <c r="F171" i="39"/>
  <c r="F49" i="47"/>
  <c r="D171" i="44"/>
  <c r="S171" i="44"/>
  <c r="U172" i="51"/>
  <c r="T172" i="55"/>
  <c r="D172" i="55"/>
  <c r="V173" i="41"/>
  <c r="F173" i="41"/>
  <c r="D172" i="42"/>
  <c r="S172" i="42"/>
  <c r="T173" i="61"/>
  <c r="D173" i="61"/>
  <c r="U173" i="44"/>
  <c r="E173" i="44"/>
  <c r="V172" i="62"/>
  <c r="F172" i="62"/>
  <c r="V171" i="62"/>
  <c r="F171" i="62"/>
  <c r="T171" i="52"/>
  <c r="D171" i="52"/>
  <c r="U172" i="39"/>
  <c r="E172" i="39"/>
  <c r="U171" i="39"/>
  <c r="E171" i="39"/>
  <c r="V172" i="51"/>
  <c r="F172" i="51"/>
  <c r="V171" i="51"/>
  <c r="F171" i="51"/>
  <c r="V171" i="32"/>
  <c r="F171" i="32"/>
  <c r="U171" i="33"/>
  <c r="E171" i="33"/>
  <c r="F209" i="33"/>
  <c r="F168" i="33"/>
  <c r="F77" i="61"/>
  <c r="C77" i="61"/>
  <c r="E76" i="50"/>
  <c r="C76" i="50"/>
  <c r="F90" i="38"/>
  <c r="C90" i="38"/>
  <c r="F90" i="54"/>
  <c r="C90" i="54"/>
  <c r="D79" i="47"/>
  <c r="C79" i="47"/>
  <c r="E92" i="55"/>
  <c r="C92" i="55"/>
  <c r="T171" i="33"/>
  <c r="D171" i="33"/>
  <c r="D209" i="33"/>
  <c r="D168" i="33"/>
  <c r="E173" i="33" s="1"/>
  <c r="U173" i="33"/>
  <c r="F90" i="47"/>
  <c r="C90" i="47"/>
  <c r="D78" i="61"/>
  <c r="C78" i="61"/>
  <c r="F77" i="37"/>
  <c r="C77" i="37"/>
  <c r="E93" i="38"/>
  <c r="C93" i="38"/>
  <c r="E76" i="55"/>
  <c r="C76" i="55"/>
  <c r="F93" i="53"/>
  <c r="C93" i="53"/>
  <c r="F78" i="59"/>
  <c r="E78" i="59"/>
  <c r="F76" i="39"/>
  <c r="C76" i="39"/>
  <c r="F65" i="36"/>
  <c r="C65" i="36"/>
  <c r="D92" i="37"/>
  <c r="C92" i="37"/>
  <c r="F90" i="42"/>
  <c r="C90" i="42"/>
  <c r="F65" i="42"/>
  <c r="C65" i="42"/>
  <c r="D79" i="43"/>
  <c r="C79" i="43"/>
  <c r="F78" i="57"/>
  <c r="C78" i="57"/>
  <c r="D76" i="46"/>
  <c r="C76" i="46"/>
  <c r="D77" i="39"/>
  <c r="C77" i="39"/>
  <c r="F91" i="34"/>
  <c r="C91" i="34"/>
  <c r="E78" i="48"/>
  <c r="C78" i="48"/>
  <c r="F90" i="35"/>
  <c r="C90" i="35"/>
  <c r="F90" i="53"/>
  <c r="C90" i="53"/>
  <c r="F90" i="43"/>
  <c r="C90" i="43"/>
  <c r="D79" i="35"/>
  <c r="C79" i="35"/>
  <c r="V188" i="55"/>
  <c r="E191" i="43"/>
  <c r="U187" i="37"/>
  <c r="C200" i="62"/>
  <c r="C200" i="54"/>
  <c r="C200" i="44"/>
  <c r="C200" i="46"/>
  <c r="C200" i="52"/>
  <c r="E190" i="62"/>
  <c r="E189" i="51"/>
  <c r="E190" i="46"/>
  <c r="E189" i="57"/>
  <c r="E191" i="62"/>
  <c r="E191" i="56"/>
  <c r="E190" i="53"/>
  <c r="U190" i="51"/>
  <c r="E186" i="37"/>
  <c r="E191" i="44"/>
  <c r="V189" i="44"/>
  <c r="E190" i="33"/>
  <c r="E188" i="56"/>
  <c r="E190" i="51"/>
  <c r="E187" i="48"/>
  <c r="E190" i="44"/>
  <c r="V186" i="52"/>
  <c r="E142" i="35"/>
  <c r="V143" i="44"/>
  <c r="D49" i="53"/>
  <c r="C157" i="38"/>
  <c r="D49" i="36"/>
  <c r="E140" i="61"/>
  <c r="F49" i="38"/>
  <c r="C157" i="34"/>
  <c r="E140" i="38"/>
  <c r="C157" i="55"/>
  <c r="E144" i="44"/>
  <c r="C156" i="44"/>
  <c r="C157" i="52"/>
  <c r="E49" i="34"/>
  <c r="D49" i="46"/>
  <c r="C157" i="50"/>
  <c r="E138" i="34"/>
  <c r="F206" i="46"/>
  <c r="E144" i="34"/>
  <c r="E139" i="56"/>
  <c r="C162" i="36"/>
  <c r="S171" i="36" s="1"/>
  <c r="E142" i="44"/>
  <c r="C154" i="59"/>
  <c r="C49" i="56"/>
  <c r="D49" i="61"/>
  <c r="C157" i="43"/>
  <c r="E143" i="59"/>
  <c r="E143" i="57"/>
  <c r="D49" i="43"/>
  <c r="E49" i="46"/>
  <c r="F49" i="37"/>
  <c r="E49" i="54"/>
  <c r="E141" i="54"/>
  <c r="E142" i="59"/>
  <c r="E139" i="38"/>
  <c r="E141" i="58"/>
  <c r="F49" i="54"/>
  <c r="E49" i="50"/>
  <c r="E143" i="38"/>
  <c r="C157" i="61"/>
  <c r="E141" i="39"/>
  <c r="E142" i="47"/>
  <c r="C157" i="39"/>
  <c r="E139" i="39"/>
  <c r="E141" i="42"/>
  <c r="F49" i="56"/>
  <c r="E49" i="53"/>
  <c r="E49" i="61"/>
  <c r="D49" i="35"/>
  <c r="C157" i="48"/>
  <c r="E144" i="35"/>
  <c r="D49" i="51"/>
  <c r="E141" i="34"/>
  <c r="E144" i="38"/>
  <c r="C155" i="59"/>
  <c r="E142" i="38"/>
  <c r="C157" i="53"/>
  <c r="D49" i="57"/>
  <c r="F206" i="39"/>
  <c r="C206" i="34"/>
  <c r="S215" i="34" s="1"/>
  <c r="F206" i="57"/>
  <c r="F206" i="35"/>
  <c r="C206" i="38"/>
  <c r="S215" i="38" s="1"/>
  <c r="C206" i="39"/>
  <c r="S215" i="39" s="1"/>
  <c r="C206" i="57"/>
  <c r="S215" i="57" s="1"/>
  <c r="D209" i="47"/>
  <c r="C209" i="37"/>
  <c r="S216" i="37" s="1"/>
  <c r="D206" i="39"/>
  <c r="D209" i="55"/>
  <c r="D78" i="33"/>
  <c r="D206" i="62"/>
  <c r="E209" i="55"/>
  <c r="F209" i="62"/>
  <c r="E209" i="61"/>
  <c r="F209" i="51"/>
  <c r="E76" i="33"/>
  <c r="E79" i="33"/>
  <c r="C209" i="61"/>
  <c r="S216" i="61" s="1"/>
  <c r="D209" i="51"/>
  <c r="C209" i="56"/>
  <c r="S216" i="56" s="1"/>
  <c r="D79" i="34"/>
  <c r="D90" i="50"/>
  <c r="D76" i="50"/>
  <c r="C206" i="53"/>
  <c r="S215" i="53" s="1"/>
  <c r="F206" i="41"/>
  <c r="F206" i="38"/>
  <c r="D206" i="43"/>
  <c r="D76" i="33"/>
  <c r="E209" i="37"/>
  <c r="D206" i="54"/>
  <c r="E206" i="54"/>
  <c r="E209" i="51"/>
  <c r="E206" i="44"/>
  <c r="C209" i="62"/>
  <c r="S216" i="62" s="1"/>
  <c r="E206" i="46"/>
  <c r="D209" i="44"/>
  <c r="C209" i="51"/>
  <c r="S216" i="51" s="1"/>
  <c r="D209" i="48"/>
  <c r="C209" i="41"/>
  <c r="S216" i="41" s="1"/>
  <c r="E209" i="41"/>
  <c r="E90" i="54"/>
  <c r="E76" i="54"/>
  <c r="E78" i="61"/>
  <c r="E92" i="61"/>
  <c r="D92" i="56"/>
  <c r="F91" i="47"/>
  <c r="F79" i="38"/>
  <c r="E79" i="50"/>
  <c r="D93" i="52"/>
  <c r="E77" i="41"/>
  <c r="D92" i="34"/>
  <c r="F92" i="50"/>
  <c r="F93" i="42"/>
  <c r="E77" i="47"/>
  <c r="D92" i="43"/>
  <c r="D78" i="52"/>
  <c r="F79" i="34"/>
  <c r="D93" i="53"/>
  <c r="F91" i="37"/>
  <c r="D79" i="38"/>
  <c r="D77" i="54"/>
  <c r="E90" i="51"/>
  <c r="C92" i="56"/>
  <c r="C78" i="56"/>
  <c r="E65" i="39"/>
  <c r="D77" i="41"/>
  <c r="F93" i="51"/>
  <c r="D76" i="52"/>
  <c r="E92" i="50"/>
  <c r="E78" i="50"/>
  <c r="D93" i="61"/>
  <c r="D79" i="61"/>
  <c r="E93" i="34"/>
  <c r="D92" i="58"/>
  <c r="D78" i="58"/>
  <c r="F91" i="61"/>
  <c r="C91" i="56"/>
  <c r="D78" i="37"/>
  <c r="E76" i="47"/>
  <c r="F78" i="51"/>
  <c r="D65" i="55"/>
  <c r="D76" i="55"/>
  <c r="D79" i="48"/>
  <c r="F76" i="51"/>
  <c r="E93" i="62"/>
  <c r="D78" i="50"/>
  <c r="D76" i="51"/>
  <c r="E93" i="48"/>
  <c r="D77" i="58"/>
  <c r="D93" i="51"/>
  <c r="E79" i="42"/>
  <c r="F79" i="54"/>
  <c r="D92" i="41"/>
  <c r="F91" i="51"/>
  <c r="F77" i="51"/>
  <c r="F92" i="55"/>
  <c r="F90" i="50"/>
  <c r="E79" i="47"/>
  <c r="D77" i="51"/>
  <c r="D92" i="55"/>
  <c r="D90" i="39"/>
  <c r="D93" i="42"/>
  <c r="F78" i="34"/>
  <c r="F79" i="56"/>
  <c r="D76" i="38"/>
  <c r="E78" i="55"/>
  <c r="C93" i="56"/>
  <c r="D79" i="50"/>
  <c r="F92" i="41"/>
  <c r="D76" i="44"/>
  <c r="D77" i="44"/>
  <c r="F77" i="58"/>
  <c r="D92" i="47"/>
  <c r="D78" i="47"/>
  <c r="D78" i="46"/>
  <c r="F65" i="34"/>
  <c r="F206" i="51"/>
  <c r="V215" i="51" s="1"/>
  <c r="D77" i="61"/>
  <c r="E78" i="39"/>
  <c r="D79" i="59"/>
  <c r="D90" i="56"/>
  <c r="D91" i="36"/>
  <c r="F92" i="58"/>
  <c r="F65" i="52"/>
  <c r="F76" i="52"/>
  <c r="F79" i="53"/>
  <c r="E91" i="36"/>
  <c r="E77" i="36"/>
  <c r="F79" i="33"/>
  <c r="F90" i="55"/>
  <c r="D78" i="44"/>
  <c r="F91" i="36"/>
  <c r="E78" i="47"/>
  <c r="D79" i="39"/>
  <c r="F77" i="43"/>
  <c r="E91" i="61"/>
  <c r="D91" i="53"/>
  <c r="F79" i="44"/>
  <c r="E91" i="35"/>
  <c r="D79" i="44"/>
  <c r="F92" i="36"/>
  <c r="D78" i="62"/>
  <c r="F91" i="46"/>
  <c r="D76" i="37"/>
  <c r="E90" i="52"/>
  <c r="E79" i="51"/>
  <c r="D91" i="37"/>
  <c r="D78" i="59"/>
  <c r="F91" i="53"/>
  <c r="C76" i="56"/>
  <c r="C65" i="56"/>
  <c r="E79" i="52"/>
  <c r="D90" i="34"/>
  <c r="E77" i="54"/>
  <c r="F79" i="52"/>
  <c r="E79" i="54"/>
  <c r="D91" i="56"/>
  <c r="F91" i="54"/>
  <c r="D90" i="47"/>
  <c r="D76" i="47"/>
  <c r="E76" i="41"/>
  <c r="E65" i="38"/>
  <c r="D93" i="36"/>
  <c r="D90" i="61"/>
  <c r="E78" i="52"/>
  <c r="F91" i="38"/>
  <c r="E65" i="55"/>
  <c r="F92" i="43"/>
  <c r="A420" i="5" l="1"/>
  <c r="Q285" i="30"/>
  <c r="A420" i="64"/>
  <c r="E145" i="37"/>
  <c r="C172" i="55"/>
  <c r="Y102" i="33"/>
  <c r="W108" i="33"/>
  <c r="X105" i="33"/>
  <c r="V62" i="55"/>
  <c r="W102" i="33"/>
  <c r="X102" i="55"/>
  <c r="Y85" i="33"/>
  <c r="Y91" i="33" s="1"/>
  <c r="V73" i="55"/>
  <c r="Y79" i="55" s="1"/>
  <c r="Y102" i="52"/>
  <c r="Y85" i="52"/>
  <c r="Y91" i="52" s="1"/>
  <c r="X123" i="52"/>
  <c r="W71" i="42"/>
  <c r="V64" i="42"/>
  <c r="Y64" i="42"/>
  <c r="Y58" i="52"/>
  <c r="Y123" i="42"/>
  <c r="X121" i="43"/>
  <c r="W123" i="43"/>
  <c r="W121" i="43"/>
  <c r="V70" i="33"/>
  <c r="Y105" i="33"/>
  <c r="W87" i="43"/>
  <c r="W93" i="43" s="1"/>
  <c r="V85" i="55"/>
  <c r="W121" i="55"/>
  <c r="W105" i="33"/>
  <c r="Y121" i="52"/>
  <c r="V117" i="42"/>
  <c r="V117" i="52"/>
  <c r="W62" i="42"/>
  <c r="V87" i="42"/>
  <c r="W71" i="52"/>
  <c r="W77" i="52" s="1"/>
  <c r="X108" i="55"/>
  <c r="X70" i="55"/>
  <c r="W58" i="42"/>
  <c r="Y121" i="43"/>
  <c r="Y106" i="55"/>
  <c r="V71" i="55"/>
  <c r="Y62" i="55"/>
  <c r="Y108" i="55"/>
  <c r="W123" i="52"/>
  <c r="V87" i="52"/>
  <c r="V71" i="42"/>
  <c r="Y106" i="42"/>
  <c r="W106" i="42"/>
  <c r="W108" i="55"/>
  <c r="E145" i="50"/>
  <c r="E145" i="58"/>
  <c r="E192" i="53"/>
  <c r="E192" i="59"/>
  <c r="E192" i="61"/>
  <c r="C171" i="48"/>
  <c r="U171" i="48"/>
  <c r="V171" i="48"/>
  <c r="E171" i="48"/>
  <c r="C171" i="52"/>
  <c r="C173" i="39"/>
  <c r="C202" i="32"/>
  <c r="E192" i="47"/>
  <c r="E192" i="50"/>
  <c r="E192" i="39"/>
  <c r="E192" i="55"/>
  <c r="C171" i="57"/>
  <c r="C173" i="51"/>
  <c r="C173" i="37"/>
  <c r="C173" i="53"/>
  <c r="C172" i="46"/>
  <c r="C171" i="32"/>
  <c r="C172" i="42"/>
  <c r="C171" i="43"/>
  <c r="C171" i="55"/>
  <c r="C171" i="36"/>
  <c r="C172" i="56"/>
  <c r="C172" i="41"/>
  <c r="C173" i="55"/>
  <c r="C173" i="35"/>
  <c r="C172" i="44"/>
  <c r="C172" i="47"/>
  <c r="C172" i="53"/>
  <c r="C173" i="58"/>
  <c r="Y65" i="52"/>
  <c r="C171" i="54"/>
  <c r="W76" i="42"/>
  <c r="Y90" i="52"/>
  <c r="X76" i="55"/>
  <c r="X76" i="52"/>
  <c r="C172" i="58"/>
  <c r="C173" i="59"/>
  <c r="C171" i="35"/>
  <c r="E192" i="56"/>
  <c r="C172" i="54"/>
  <c r="C171" i="46"/>
  <c r="E145" i="36"/>
  <c r="E145" i="48"/>
  <c r="E192" i="36"/>
  <c r="C173" i="48"/>
  <c r="E192" i="41"/>
  <c r="E192" i="48"/>
  <c r="C173" i="61"/>
  <c r="C173" i="42"/>
  <c r="C173" i="54"/>
  <c r="E192" i="34"/>
  <c r="E192" i="37"/>
  <c r="C172" i="57"/>
  <c r="C171" i="58"/>
  <c r="C173" i="57"/>
  <c r="E145" i="39"/>
  <c r="C171" i="42"/>
  <c r="C173" i="38"/>
  <c r="C173" i="43"/>
  <c r="C172" i="43"/>
  <c r="C171" i="34"/>
  <c r="C171" i="37"/>
  <c r="C202" i="58"/>
  <c r="C171" i="50"/>
  <c r="C172" i="48"/>
  <c r="C173" i="52"/>
  <c r="C173" i="62"/>
  <c r="C171" i="56"/>
  <c r="C173" i="50"/>
  <c r="C173" i="34"/>
  <c r="C172" i="36"/>
  <c r="E192" i="54"/>
  <c r="C171" i="39"/>
  <c r="C171" i="51"/>
  <c r="C171" i="41"/>
  <c r="C173" i="36"/>
  <c r="E145" i="42"/>
  <c r="E145" i="47"/>
  <c r="E145" i="57"/>
  <c r="E192" i="33"/>
  <c r="E192" i="43"/>
  <c r="C171" i="44"/>
  <c r="C172" i="61"/>
  <c r="C171" i="59"/>
  <c r="C172" i="59"/>
  <c r="C172" i="38"/>
  <c r="C172" i="34"/>
  <c r="C173" i="46"/>
  <c r="C202" i="41"/>
  <c r="C202" i="61"/>
  <c r="C202" i="57"/>
  <c r="C202" i="38"/>
  <c r="E145" i="52"/>
  <c r="E192" i="42"/>
  <c r="Y90" i="55"/>
  <c r="W76" i="52"/>
  <c r="Y65" i="55"/>
  <c r="Y76" i="55"/>
  <c r="X65" i="52"/>
  <c r="Y76" i="52"/>
  <c r="W90" i="42"/>
  <c r="W65" i="52"/>
  <c r="Y76" i="42"/>
  <c r="X65" i="42"/>
  <c r="X90" i="42"/>
  <c r="E145" i="44"/>
  <c r="X90" i="52"/>
  <c r="W65" i="42"/>
  <c r="W90" i="52"/>
  <c r="Y90" i="42"/>
  <c r="Y65" i="42"/>
  <c r="X76" i="42"/>
  <c r="W76" i="55"/>
  <c r="X65" i="55"/>
  <c r="Y76" i="43"/>
  <c r="X90" i="43"/>
  <c r="W76" i="43"/>
  <c r="W90" i="55"/>
  <c r="W65" i="55"/>
  <c r="X90" i="55"/>
  <c r="Y90" i="43"/>
  <c r="X76" i="43"/>
  <c r="W90" i="43"/>
  <c r="E145" i="35"/>
  <c r="E145" i="59"/>
  <c r="E192" i="44"/>
  <c r="E192" i="38"/>
  <c r="E192" i="51"/>
  <c r="E192" i="57"/>
  <c r="E145" i="38"/>
  <c r="C173" i="56"/>
  <c r="C173" i="44"/>
  <c r="C173" i="47"/>
  <c r="C173" i="41"/>
  <c r="E145" i="54"/>
  <c r="E145" i="43"/>
  <c r="E192" i="62"/>
  <c r="C171" i="61"/>
  <c r="U215" i="46"/>
  <c r="E215" i="46"/>
  <c r="E215" i="54"/>
  <c r="U215" i="54"/>
  <c r="T215" i="43"/>
  <c r="D215" i="43"/>
  <c r="V215" i="41"/>
  <c r="F215" i="41"/>
  <c r="V216" i="51"/>
  <c r="F216" i="51"/>
  <c r="F216" i="62"/>
  <c r="V216" i="62"/>
  <c r="U216" i="55"/>
  <c r="E216" i="55"/>
  <c r="T216" i="55"/>
  <c r="D216" i="55"/>
  <c r="T173" i="33"/>
  <c r="D173" i="33"/>
  <c r="V216" i="33"/>
  <c r="F216" i="33"/>
  <c r="E215" i="47"/>
  <c r="U215" i="47"/>
  <c r="U217" i="43"/>
  <c r="E217" i="43"/>
  <c r="U216" i="39"/>
  <c r="E216" i="39"/>
  <c r="U217" i="39"/>
  <c r="E217" i="39"/>
  <c r="E215" i="33"/>
  <c r="U215" i="33"/>
  <c r="U216" i="33"/>
  <c r="E216" i="33"/>
  <c r="U217" i="54"/>
  <c r="E217" i="54"/>
  <c r="U217" i="52"/>
  <c r="E217" i="52"/>
  <c r="T217" i="44"/>
  <c r="D217" i="44"/>
  <c r="V215" i="53"/>
  <c r="F215" i="53"/>
  <c r="T215" i="55"/>
  <c r="D215" i="55"/>
  <c r="T215" i="42"/>
  <c r="D215" i="42"/>
  <c r="E215" i="61"/>
  <c r="T215" i="61"/>
  <c r="D215" i="61"/>
  <c r="T216" i="35"/>
  <c r="D216" i="35"/>
  <c r="V215" i="36"/>
  <c r="F215" i="36"/>
  <c r="F217" i="36"/>
  <c r="V217" i="36"/>
  <c r="V217" i="46"/>
  <c r="F217" i="46"/>
  <c r="V217" i="59"/>
  <c r="F217" i="59"/>
  <c r="V215" i="59"/>
  <c r="F215" i="59"/>
  <c r="V217" i="54"/>
  <c r="F217" i="54"/>
  <c r="F215" i="54"/>
  <c r="V215" i="54"/>
  <c r="U217" i="58"/>
  <c r="E217" i="58"/>
  <c r="E215" i="58"/>
  <c r="U215" i="58"/>
  <c r="E217" i="51"/>
  <c r="U217" i="51"/>
  <c r="U215" i="35"/>
  <c r="E215" i="35"/>
  <c r="U217" i="62"/>
  <c r="E217" i="62"/>
  <c r="U216" i="62"/>
  <c r="E216" i="62"/>
  <c r="U215" i="34"/>
  <c r="E215" i="34"/>
  <c r="U215" i="37"/>
  <c r="E215" i="37"/>
  <c r="U216" i="38"/>
  <c r="E216" i="38"/>
  <c r="U217" i="42"/>
  <c r="E217" i="42"/>
  <c r="E216" i="42"/>
  <c r="U216" i="42"/>
  <c r="E217" i="50"/>
  <c r="U217" i="50"/>
  <c r="T216" i="50"/>
  <c r="D216" i="50"/>
  <c r="T217" i="43"/>
  <c r="D217" i="43"/>
  <c r="T216" i="53"/>
  <c r="D216" i="53"/>
  <c r="T215" i="53"/>
  <c r="D215" i="53"/>
  <c r="T215" i="33"/>
  <c r="D215" i="33"/>
  <c r="D216" i="56"/>
  <c r="T216" i="56"/>
  <c r="D216" i="33"/>
  <c r="S216" i="33"/>
  <c r="S217" i="33"/>
  <c r="T215" i="58"/>
  <c r="D215" i="58"/>
  <c r="T217" i="47"/>
  <c r="D217" i="47"/>
  <c r="D217" i="38"/>
  <c r="T217" i="38"/>
  <c r="D217" i="57"/>
  <c r="T217" i="57"/>
  <c r="V217" i="57"/>
  <c r="F217" i="57"/>
  <c r="F217" i="44"/>
  <c r="V217" i="44"/>
  <c r="V216" i="41"/>
  <c r="F216" i="41"/>
  <c r="V216" i="44"/>
  <c r="F216" i="44"/>
  <c r="T216" i="34"/>
  <c r="D216" i="34"/>
  <c r="U215" i="56"/>
  <c r="E215" i="56"/>
  <c r="T215" i="56"/>
  <c r="D215" i="56"/>
  <c r="D215" i="46"/>
  <c r="T215" i="46"/>
  <c r="E215" i="38"/>
  <c r="U215" i="38"/>
  <c r="U216" i="44"/>
  <c r="E216" i="44"/>
  <c r="F216" i="42"/>
  <c r="V216" i="42"/>
  <c r="T216" i="61"/>
  <c r="D216" i="61"/>
  <c r="V215" i="62"/>
  <c r="F215" i="62"/>
  <c r="U217" i="56"/>
  <c r="E217" i="56"/>
  <c r="U216" i="53"/>
  <c r="E216" i="53"/>
  <c r="U217" i="53"/>
  <c r="E217" i="53"/>
  <c r="U215" i="48"/>
  <c r="E215" i="48"/>
  <c r="U217" i="44"/>
  <c r="E217" i="44"/>
  <c r="U215" i="36"/>
  <c r="E215" i="36"/>
  <c r="T215" i="37"/>
  <c r="D215" i="37"/>
  <c r="V217" i="42"/>
  <c r="F217" i="42"/>
  <c r="T216" i="62"/>
  <c r="D216" i="62"/>
  <c r="V217" i="38"/>
  <c r="F217" i="38"/>
  <c r="V217" i="47"/>
  <c r="F217" i="47"/>
  <c r="V215" i="47"/>
  <c r="F215" i="47"/>
  <c r="V215" i="61"/>
  <c r="F215" i="61"/>
  <c r="V217" i="61"/>
  <c r="F217" i="61"/>
  <c r="V215" i="34"/>
  <c r="F215" i="34"/>
  <c r="T216" i="39"/>
  <c r="D216" i="39"/>
  <c r="V217" i="52"/>
  <c r="F217" i="52"/>
  <c r="V216" i="32"/>
  <c r="F216" i="32"/>
  <c r="V215" i="32"/>
  <c r="F215" i="32"/>
  <c r="F215" i="56"/>
  <c r="V215" i="56"/>
  <c r="V217" i="55"/>
  <c r="F217" i="55"/>
  <c r="U217" i="61"/>
  <c r="E217" i="61"/>
  <c r="U215" i="41"/>
  <c r="E215" i="41"/>
  <c r="T217" i="54"/>
  <c r="D217" i="54"/>
  <c r="U215" i="55"/>
  <c r="E215" i="55"/>
  <c r="U216" i="46"/>
  <c r="E216" i="46"/>
  <c r="U216" i="59"/>
  <c r="E216" i="59"/>
  <c r="E215" i="57"/>
  <c r="U215" i="57"/>
  <c r="E217" i="57"/>
  <c r="U217" i="57"/>
  <c r="D216" i="41"/>
  <c r="T216" i="41"/>
  <c r="D215" i="36"/>
  <c r="T215" i="36"/>
  <c r="D217" i="36"/>
  <c r="T217" i="36"/>
  <c r="F216" i="37"/>
  <c r="V216" i="37"/>
  <c r="F215" i="37"/>
  <c r="V215" i="37"/>
  <c r="T217" i="46"/>
  <c r="D217" i="46"/>
  <c r="T217" i="34"/>
  <c r="D217" i="34"/>
  <c r="V217" i="43"/>
  <c r="F217" i="43"/>
  <c r="D217" i="51"/>
  <c r="T217" i="51"/>
  <c r="T217" i="52"/>
  <c r="D217" i="52"/>
  <c r="T215" i="52"/>
  <c r="D215" i="52"/>
  <c r="V216" i="58"/>
  <c r="F216" i="58"/>
  <c r="V217" i="39"/>
  <c r="F217" i="39"/>
  <c r="V215" i="33"/>
  <c r="F215" i="33"/>
  <c r="V216" i="35"/>
  <c r="F216" i="35"/>
  <c r="F215" i="50"/>
  <c r="V215" i="50"/>
  <c r="V217" i="50"/>
  <c r="F217" i="50"/>
  <c r="E145" i="34"/>
  <c r="E145" i="33"/>
  <c r="C172" i="51"/>
  <c r="C172" i="35"/>
  <c r="C171" i="47"/>
  <c r="C202" i="34"/>
  <c r="C202" i="53"/>
  <c r="E145" i="61"/>
  <c r="E192" i="46"/>
  <c r="E192" i="58"/>
  <c r="C172" i="39"/>
  <c r="C171" i="38"/>
  <c r="C202" i="44"/>
  <c r="C202" i="54"/>
  <c r="C202" i="62"/>
  <c r="C202" i="59"/>
  <c r="C202" i="39"/>
  <c r="C202" i="55"/>
  <c r="C202" i="47"/>
  <c r="C202" i="43"/>
  <c r="U215" i="44"/>
  <c r="E215" i="44"/>
  <c r="U216" i="37"/>
  <c r="E216" i="37"/>
  <c r="V215" i="57"/>
  <c r="F215" i="57"/>
  <c r="V215" i="39"/>
  <c r="F215" i="39"/>
  <c r="U216" i="41"/>
  <c r="E216" i="41"/>
  <c r="T216" i="48"/>
  <c r="D216" i="48"/>
  <c r="T216" i="44"/>
  <c r="D216" i="44"/>
  <c r="U216" i="51"/>
  <c r="E216" i="51"/>
  <c r="T215" i="54"/>
  <c r="D215" i="54"/>
  <c r="V215" i="38"/>
  <c r="F215" i="38"/>
  <c r="T216" i="51"/>
  <c r="D216" i="51"/>
  <c r="U216" i="61"/>
  <c r="E216" i="61"/>
  <c r="T215" i="62"/>
  <c r="T215" i="39"/>
  <c r="D215" i="39"/>
  <c r="T216" i="47"/>
  <c r="D216" i="47"/>
  <c r="F215" i="35"/>
  <c r="V215" i="35"/>
  <c r="V215" i="46"/>
  <c r="F215" i="46"/>
  <c r="T216" i="33"/>
  <c r="V173" i="33"/>
  <c r="F173" i="33"/>
  <c r="U217" i="47"/>
  <c r="E217" i="47"/>
  <c r="U216" i="47"/>
  <c r="E216" i="47"/>
  <c r="U215" i="43"/>
  <c r="E215" i="43"/>
  <c r="U216" i="43"/>
  <c r="E216" i="43"/>
  <c r="U215" i="39"/>
  <c r="E215" i="39"/>
  <c r="F217" i="33"/>
  <c r="E217" i="33"/>
  <c r="U217" i="33"/>
  <c r="E216" i="54"/>
  <c r="U216" i="54"/>
  <c r="E216" i="52"/>
  <c r="U216" i="52"/>
  <c r="T215" i="44"/>
  <c r="D215" i="44"/>
  <c r="F216" i="53"/>
  <c r="V216" i="53"/>
  <c r="V217" i="53"/>
  <c r="F217" i="53"/>
  <c r="T217" i="55"/>
  <c r="D217" i="55"/>
  <c r="V217" i="51"/>
  <c r="F217" i="51"/>
  <c r="D217" i="42"/>
  <c r="T217" i="42"/>
  <c r="T217" i="61"/>
  <c r="D217" i="61"/>
  <c r="T217" i="48"/>
  <c r="D217" i="48"/>
  <c r="D217" i="35"/>
  <c r="T217" i="35"/>
  <c r="V216" i="36"/>
  <c r="F216" i="36"/>
  <c r="V216" i="46"/>
  <c r="F216" i="46"/>
  <c r="V216" i="59"/>
  <c r="F216" i="59"/>
  <c r="V216" i="54"/>
  <c r="F216" i="54"/>
  <c r="U216" i="58"/>
  <c r="E216" i="58"/>
  <c r="F215" i="51"/>
  <c r="U215" i="51"/>
  <c r="E215" i="51"/>
  <c r="U216" i="35"/>
  <c r="E216" i="35"/>
  <c r="U217" i="35"/>
  <c r="E217" i="35"/>
  <c r="U215" i="62"/>
  <c r="E215" i="62"/>
  <c r="U216" i="34"/>
  <c r="E216" i="34"/>
  <c r="U217" i="34"/>
  <c r="E217" i="34"/>
  <c r="E217" i="37"/>
  <c r="U217" i="37"/>
  <c r="U217" i="38"/>
  <c r="E217" i="38"/>
  <c r="U215" i="42"/>
  <c r="E215" i="42"/>
  <c r="U216" i="50"/>
  <c r="E216" i="50"/>
  <c r="T215" i="50"/>
  <c r="D215" i="50"/>
  <c r="T217" i="50"/>
  <c r="D217" i="50"/>
  <c r="D216" i="43"/>
  <c r="T216" i="43"/>
  <c r="T217" i="53"/>
  <c r="D217" i="53"/>
  <c r="T217" i="33"/>
  <c r="D217" i="33"/>
  <c r="T217" i="56"/>
  <c r="D217" i="56"/>
  <c r="S215" i="33"/>
  <c r="T216" i="58"/>
  <c r="D216" i="58"/>
  <c r="T217" i="58"/>
  <c r="D217" i="58"/>
  <c r="D215" i="38"/>
  <c r="T215" i="38"/>
  <c r="T216" i="38"/>
  <c r="D216" i="38"/>
  <c r="D216" i="57"/>
  <c r="T216" i="57"/>
  <c r="T215" i="57"/>
  <c r="D215" i="57"/>
  <c r="F216" i="57"/>
  <c r="V216" i="57"/>
  <c r="V217" i="41"/>
  <c r="F217" i="41"/>
  <c r="V215" i="44"/>
  <c r="F215" i="44"/>
  <c r="V215" i="55"/>
  <c r="F215" i="55"/>
  <c r="U215" i="50"/>
  <c r="E215" i="50"/>
  <c r="T215" i="35"/>
  <c r="D215" i="35"/>
  <c r="T215" i="34"/>
  <c r="D215" i="34"/>
  <c r="T215" i="47"/>
  <c r="D215" i="47"/>
  <c r="V216" i="38"/>
  <c r="F216" i="38"/>
  <c r="T216" i="42"/>
  <c r="D216" i="42"/>
  <c r="U215" i="52"/>
  <c r="E215" i="52"/>
  <c r="T216" i="37"/>
  <c r="D216" i="37"/>
  <c r="V215" i="52"/>
  <c r="F215" i="52"/>
  <c r="T215" i="48"/>
  <c r="C215" i="48" s="1"/>
  <c r="D215" i="48"/>
  <c r="U216" i="56"/>
  <c r="E216" i="56"/>
  <c r="U215" i="53"/>
  <c r="E215" i="53"/>
  <c r="E217" i="48"/>
  <c r="U217" i="48"/>
  <c r="E216" i="48"/>
  <c r="U216" i="48"/>
  <c r="U217" i="36"/>
  <c r="E217" i="36"/>
  <c r="E216" i="36"/>
  <c r="U216" i="36"/>
  <c r="T217" i="37"/>
  <c r="D217" i="37"/>
  <c r="F215" i="42"/>
  <c r="V215" i="42"/>
  <c r="T217" i="62"/>
  <c r="D217" i="62"/>
  <c r="F216" i="47"/>
  <c r="V216" i="47"/>
  <c r="V216" i="61"/>
  <c r="F216" i="61"/>
  <c r="V216" i="34"/>
  <c r="F216" i="34"/>
  <c r="V217" i="34"/>
  <c r="F217" i="34"/>
  <c r="T217" i="39"/>
  <c r="D217" i="39"/>
  <c r="V216" i="52"/>
  <c r="F216" i="52"/>
  <c r="V217" i="32"/>
  <c r="F217" i="32"/>
  <c r="V217" i="56"/>
  <c r="F217" i="56"/>
  <c r="F216" i="56"/>
  <c r="V216" i="56"/>
  <c r="V216" i="55"/>
  <c r="F216" i="55"/>
  <c r="E217" i="41"/>
  <c r="U217" i="41"/>
  <c r="T216" i="54"/>
  <c r="D216" i="54"/>
  <c r="U217" i="55"/>
  <c r="E217" i="55"/>
  <c r="U217" i="46"/>
  <c r="E217" i="46"/>
  <c r="E217" i="59"/>
  <c r="U217" i="59"/>
  <c r="C217" i="59" s="1"/>
  <c r="U215" i="59"/>
  <c r="E215" i="59"/>
  <c r="U216" i="57"/>
  <c r="E216" i="57"/>
  <c r="D217" i="41"/>
  <c r="T217" i="41"/>
  <c r="T215" i="41"/>
  <c r="D215" i="41"/>
  <c r="T216" i="36"/>
  <c r="D216" i="36"/>
  <c r="F217" i="37"/>
  <c r="V217" i="37"/>
  <c r="T216" i="46"/>
  <c r="D216" i="46"/>
  <c r="V215" i="43"/>
  <c r="F215" i="43"/>
  <c r="V216" i="43"/>
  <c r="F216" i="43"/>
  <c r="T215" i="51"/>
  <c r="D215" i="51"/>
  <c r="T216" i="52"/>
  <c r="D216" i="52"/>
  <c r="V217" i="58"/>
  <c r="F217" i="58"/>
  <c r="V215" i="58"/>
  <c r="F215" i="58"/>
  <c r="V216" i="39"/>
  <c r="F216" i="39"/>
  <c r="V217" i="62"/>
  <c r="F217" i="62"/>
  <c r="V217" i="35"/>
  <c r="F217" i="35"/>
  <c r="V216" i="50"/>
  <c r="F216" i="50"/>
  <c r="D171" i="36"/>
  <c r="C202" i="51"/>
  <c r="C202" i="50"/>
  <c r="C202" i="33"/>
  <c r="C202" i="37"/>
  <c r="C202" i="42"/>
  <c r="E145" i="41"/>
  <c r="E145" i="46"/>
  <c r="E145" i="51"/>
  <c r="E145" i="56"/>
  <c r="E192" i="52"/>
  <c r="E192" i="35"/>
  <c r="C171" i="33"/>
  <c r="C171" i="53"/>
  <c r="C172" i="50"/>
  <c r="C172" i="52"/>
  <c r="C202" i="52"/>
  <c r="C202" i="46"/>
  <c r="C172" i="37"/>
  <c r="C172" i="62"/>
  <c r="C202" i="36"/>
  <c r="C202" i="35"/>
  <c r="C202" i="56"/>
  <c r="C202" i="48"/>
  <c r="A421" i="64" l="1"/>
  <c r="R285" i="30"/>
  <c r="A421" i="5"/>
  <c r="C217" i="46"/>
  <c r="C217" i="42"/>
  <c r="C215" i="57"/>
  <c r="V76" i="33"/>
  <c r="Y76" i="33"/>
  <c r="W76" i="33"/>
  <c r="X76" i="33"/>
  <c r="V77" i="42"/>
  <c r="X77" i="42"/>
  <c r="Y77" i="42"/>
  <c r="V91" i="55"/>
  <c r="Y91" i="55"/>
  <c r="X91" i="55"/>
  <c r="W91" i="55"/>
  <c r="V93" i="52"/>
  <c r="W93" i="52"/>
  <c r="Y93" i="52"/>
  <c r="X93" i="52"/>
  <c r="V77" i="55"/>
  <c r="W77" i="55"/>
  <c r="Y77" i="55"/>
  <c r="X77" i="55"/>
  <c r="V93" i="42"/>
  <c r="W93" i="42"/>
  <c r="X93" i="42"/>
  <c r="Y93" i="42"/>
  <c r="W77" i="42"/>
  <c r="V79" i="55"/>
  <c r="W79" i="55"/>
  <c r="X79" i="55"/>
  <c r="C217" i="39"/>
  <c r="C216" i="44"/>
  <c r="C216" i="51"/>
  <c r="C217" i="62"/>
  <c r="C217" i="32"/>
  <c r="C216" i="37"/>
  <c r="C216" i="62"/>
  <c r="C216" i="59"/>
  <c r="C215" i="61"/>
  <c r="C215" i="36"/>
  <c r="C215" i="59"/>
  <c r="C215" i="34"/>
  <c r="C215" i="32"/>
  <c r="C215" i="54"/>
  <c r="C173" i="33"/>
  <c r="C216" i="52"/>
  <c r="C215" i="38"/>
  <c r="C216" i="39"/>
  <c r="C215" i="51"/>
  <c r="C216" i="55"/>
  <c r="C215" i="33"/>
  <c r="C216" i="32"/>
  <c r="C216" i="58"/>
  <c r="C216" i="53"/>
  <c r="C215" i="37"/>
  <c r="C217" i="58"/>
  <c r="C216" i="34"/>
  <c r="C217" i="41"/>
  <c r="C216" i="47"/>
  <c r="C216" i="38"/>
  <c r="C215" i="44"/>
  <c r="C215" i="56"/>
  <c r="C217" i="37"/>
  <c r="C217" i="55"/>
  <c r="C215" i="35"/>
  <c r="C217" i="44"/>
  <c r="C217" i="56"/>
  <c r="C217" i="48"/>
  <c r="C216" i="42"/>
  <c r="C215" i="55"/>
  <c r="C216" i="50"/>
  <c r="C215" i="58"/>
  <c r="C215" i="41"/>
  <c r="C216" i="54"/>
  <c r="C215" i="46"/>
  <c r="C217" i="52"/>
  <c r="C217" i="57"/>
  <c r="C217" i="34"/>
  <c r="C216" i="36"/>
  <c r="C216" i="57"/>
  <c r="C217" i="36"/>
  <c r="C217" i="47"/>
  <c r="C217" i="54"/>
  <c r="C217" i="53"/>
  <c r="C215" i="42"/>
  <c r="C216" i="48"/>
  <c r="C215" i="52"/>
  <c r="C216" i="43"/>
  <c r="C216" i="46"/>
  <c r="C215" i="50"/>
  <c r="C217" i="33"/>
  <c r="C216" i="33"/>
  <c r="C216" i="56"/>
  <c r="C217" i="43"/>
  <c r="C216" i="35"/>
  <c r="C215" i="47"/>
  <c r="C215" i="43"/>
  <c r="C217" i="35"/>
  <c r="C216" i="61"/>
  <c r="C215" i="39"/>
  <c r="C216" i="41"/>
  <c r="C217" i="61"/>
  <c r="C217" i="38"/>
  <c r="C217" i="50"/>
  <c r="C217" i="51"/>
  <c r="C215" i="53"/>
  <c r="A422" i="64" l="1"/>
  <c r="A422" i="5"/>
  <c r="S285" i="30"/>
  <c r="C54" i="62"/>
  <c r="C98" i="62"/>
  <c r="C55" i="62"/>
  <c r="D138" i="62"/>
  <c r="F149" i="62"/>
  <c r="C40" i="62"/>
  <c r="D7" i="62"/>
  <c r="E7" i="62" s="1"/>
  <c r="F128" i="62"/>
  <c r="D139" i="62"/>
  <c r="AN70" i="67"/>
  <c r="AN92" i="67"/>
  <c r="AO93" i="67"/>
  <c r="AO71" i="67"/>
  <c r="AM93" i="67"/>
  <c r="AM71" i="67"/>
  <c r="AL70" i="67"/>
  <c r="AL92" i="67"/>
  <c r="AM70" i="67"/>
  <c r="AM92" i="67"/>
  <c r="AN71" i="67"/>
  <c r="AN93" i="67"/>
  <c r="AL71" i="67"/>
  <c r="AL93" i="67"/>
  <c r="AO70" i="67"/>
  <c r="AO92" i="67"/>
  <c r="A423" i="64" l="1"/>
  <c r="T285" i="30"/>
  <c r="A423" i="5"/>
  <c r="A139" i="62"/>
  <c r="F154" i="62"/>
  <c r="U154" i="62"/>
  <c r="C154" i="62" s="1"/>
  <c r="F105" i="62"/>
  <c r="E105" i="62"/>
  <c r="C102" i="62"/>
  <c r="D105" i="62"/>
  <c r="C105" i="62"/>
  <c r="D46" i="62"/>
  <c r="E46" i="62"/>
  <c r="C46" i="62"/>
  <c r="C43" i="62"/>
  <c r="F46" i="62"/>
  <c r="A141" i="62"/>
  <c r="A142" i="62"/>
  <c r="A140" i="62"/>
  <c r="D145" i="62"/>
  <c r="A144" i="62"/>
  <c r="A143" i="62"/>
  <c r="A138" i="62"/>
  <c r="C71" i="62"/>
  <c r="E62" i="62"/>
  <c r="C62" i="62"/>
  <c r="F62" i="62"/>
  <c r="D62" i="62"/>
  <c r="C85" i="62"/>
  <c r="C84" i="62"/>
  <c r="C70" i="62"/>
  <c r="C61" i="62"/>
  <c r="D61" i="62"/>
  <c r="F61" i="62"/>
  <c r="E61" i="62"/>
  <c r="C58" i="62"/>
  <c r="AN73" i="67"/>
  <c r="AL72" i="67"/>
  <c r="AO95" i="67"/>
  <c r="AO94" i="67"/>
  <c r="AM95" i="67"/>
  <c r="AO72" i="67"/>
  <c r="AN72" i="67"/>
  <c r="AM94" i="67"/>
  <c r="AN94" i="67"/>
  <c r="AM73" i="67"/>
  <c r="AL94" i="67"/>
  <c r="AM72" i="67"/>
  <c r="AO73" i="67"/>
  <c r="AL95" i="67"/>
  <c r="AL73" i="67"/>
  <c r="AN95" i="67"/>
  <c r="A424" i="64" l="1"/>
  <c r="U285" i="30"/>
  <c r="A424" i="5"/>
  <c r="F65" i="62"/>
  <c r="D65" i="62"/>
  <c r="C65" i="62"/>
  <c r="E65" i="62"/>
  <c r="C90" i="62"/>
  <c r="D90" i="62"/>
  <c r="F90" i="62"/>
  <c r="E90" i="62"/>
  <c r="C77" i="62"/>
  <c r="D77" i="62"/>
  <c r="E77" i="62"/>
  <c r="F77" i="62"/>
  <c r="E138" i="62"/>
  <c r="E144" i="62"/>
  <c r="E142" i="62"/>
  <c r="E143" i="62"/>
  <c r="E141" i="62"/>
  <c r="E140" i="62"/>
  <c r="C162" i="62"/>
  <c r="C206" i="62"/>
  <c r="F76" i="62"/>
  <c r="C76" i="62"/>
  <c r="D76" i="62"/>
  <c r="E76" i="62"/>
  <c r="C91" i="62"/>
  <c r="F91" i="62"/>
  <c r="E91" i="62"/>
  <c r="D91" i="62"/>
  <c r="U140" i="62"/>
  <c r="V143" i="62"/>
  <c r="U139" i="62"/>
  <c r="U143" i="62"/>
  <c r="U142" i="62"/>
  <c r="V144" i="62"/>
  <c r="V142" i="62"/>
  <c r="V140" i="62"/>
  <c r="V141" i="62"/>
  <c r="U138" i="62"/>
  <c r="V139" i="62"/>
  <c r="U144" i="62"/>
  <c r="U141" i="62"/>
  <c r="V138" i="62"/>
  <c r="C49" i="62"/>
  <c r="F49" i="62"/>
  <c r="D49" i="62"/>
  <c r="E49" i="62"/>
  <c r="E139" i="62"/>
  <c r="A425" i="5" l="1"/>
  <c r="V285" i="30"/>
  <c r="A425" i="64"/>
  <c r="S215" i="62"/>
  <c r="C215" i="62" s="1"/>
  <c r="D215" i="62"/>
  <c r="E145" i="62"/>
  <c r="D171" i="62"/>
  <c r="S171" i="62"/>
  <c r="C171" i="62" s="1"/>
  <c r="A426" i="5" l="1"/>
  <c r="A426" i="64"/>
  <c r="W285" i="30"/>
  <c r="A427" i="5" l="1"/>
  <c r="X285" i="30"/>
  <c r="A427" i="64"/>
  <c r="I181" i="38" l="1"/>
  <c r="AC179" i="38" s="1"/>
  <c r="I225" i="58"/>
  <c r="AC223" i="58" s="1"/>
  <c r="H181" i="52"/>
  <c r="AB179" i="52" s="1"/>
  <c r="G181" i="35"/>
  <c r="AA179" i="35" s="1"/>
  <c r="F225" i="46"/>
  <c r="Z223" i="46" s="1"/>
  <c r="G181" i="56"/>
  <c r="AA179" i="56" s="1"/>
  <c r="E225" i="33"/>
  <c r="Y223" i="33" s="1"/>
  <c r="E225" i="39"/>
  <c r="Y223" i="39" s="1"/>
  <c r="H224" i="50"/>
  <c r="AB222" i="50" s="1"/>
  <c r="H180" i="36"/>
  <c r="AB178" i="36" s="1"/>
  <c r="G180" i="46"/>
  <c r="AA178" i="46" s="1"/>
  <c r="F180" i="55"/>
  <c r="Z178" i="55" s="1"/>
  <c r="D180" i="32"/>
  <c r="G223" i="39"/>
  <c r="AA221" i="39" s="1"/>
  <c r="F179" i="50"/>
  <c r="Z177" i="50" s="1"/>
  <c r="E223" i="59"/>
  <c r="Y221" i="59" s="1"/>
  <c r="F180" i="36"/>
  <c r="Z178" i="36" s="1"/>
  <c r="E180" i="46"/>
  <c r="Y178" i="46" s="1"/>
  <c r="D224" i="55"/>
  <c r="X222" i="55" s="1"/>
  <c r="F179" i="33"/>
  <c r="Z177" i="33" s="1"/>
  <c r="E223" i="41"/>
  <c r="Y221" i="41" s="1"/>
  <c r="D179" i="50"/>
  <c r="X177" i="50" s="1"/>
  <c r="C179" i="35"/>
  <c r="W177" i="35" s="1"/>
  <c r="C179" i="46"/>
  <c r="W177" i="46" s="1"/>
  <c r="I181" i="54"/>
  <c r="AC179" i="54" s="1"/>
  <c r="I225" i="42"/>
  <c r="AC223" i="42" s="1"/>
  <c r="H225" i="54"/>
  <c r="AB223" i="54" s="1"/>
  <c r="H225" i="61"/>
  <c r="AB223" i="61" s="1"/>
  <c r="F181" i="37"/>
  <c r="Z179" i="37" s="1"/>
  <c r="G225" i="48"/>
  <c r="AA223" i="48" s="1"/>
  <c r="F181" i="58"/>
  <c r="Z179" i="58" s="1"/>
  <c r="E181" i="34"/>
  <c r="Y179" i="34" s="1"/>
  <c r="E181" i="42"/>
  <c r="Y179" i="42" s="1"/>
  <c r="H180" i="53"/>
  <c r="AB178" i="53" s="1"/>
  <c r="G180" i="61"/>
  <c r="AA178" i="61" s="1"/>
  <c r="F224" i="48"/>
  <c r="Z222" i="48" s="1"/>
  <c r="E224" i="58"/>
  <c r="Y222" i="58" s="1"/>
  <c r="D224" i="34"/>
  <c r="X222" i="34" s="1"/>
  <c r="G179" i="62"/>
  <c r="AA177" i="62" s="1"/>
  <c r="E223" i="57"/>
  <c r="Y221" i="57" s="1"/>
  <c r="F180" i="34"/>
  <c r="Z178" i="34" s="1"/>
  <c r="D180" i="48"/>
  <c r="X178" i="48" s="1"/>
  <c r="G223" i="58"/>
  <c r="AA221" i="58" s="1"/>
  <c r="F223" i="51"/>
  <c r="Z221" i="51" s="1"/>
  <c r="E179" i="42"/>
  <c r="Y177" i="42" s="1"/>
  <c r="D223" i="58"/>
  <c r="X221" i="58" s="1"/>
  <c r="C223" i="42"/>
  <c r="W221" i="42" s="1"/>
  <c r="C223" i="62"/>
  <c r="W221" i="62" s="1"/>
  <c r="I181" i="33"/>
  <c r="AC179" i="33" s="1"/>
  <c r="G225" i="35"/>
  <c r="AA223" i="35" s="1"/>
  <c r="F181" i="44"/>
  <c r="Z179" i="44" s="1"/>
  <c r="G225" i="56"/>
  <c r="AA223" i="56" s="1"/>
  <c r="F225" i="32"/>
  <c r="E181" i="41"/>
  <c r="Y179" i="41" s="1"/>
  <c r="E181" i="50"/>
  <c r="Y179" i="50" s="1"/>
  <c r="H180" i="59"/>
  <c r="AB178" i="59" s="1"/>
  <c r="H224" i="36"/>
  <c r="AB222" i="36" s="1"/>
  <c r="G224" i="44"/>
  <c r="AA222" i="44" s="1"/>
  <c r="F224" i="56"/>
  <c r="Z222" i="56" s="1"/>
  <c r="E180" i="32"/>
  <c r="D224" i="41"/>
  <c r="X222" i="41" s="1"/>
  <c r="G179" i="52"/>
  <c r="AA177" i="52" s="1"/>
  <c r="F224" i="35"/>
  <c r="Z222" i="35" s="1"/>
  <c r="E224" i="44"/>
  <c r="Y222" i="44" s="1"/>
  <c r="D180" i="56"/>
  <c r="X178" i="56" s="1"/>
  <c r="G179" i="32"/>
  <c r="F223" i="39"/>
  <c r="Z221" i="39" s="1"/>
  <c r="E179" i="50"/>
  <c r="Y177" i="50" s="1"/>
  <c r="C223" i="35"/>
  <c r="W221" i="35" s="1"/>
  <c r="C223" i="46"/>
  <c r="W221" i="46" s="1"/>
  <c r="I181" i="44"/>
  <c r="AC179" i="44" s="1"/>
  <c r="I225" i="38"/>
  <c r="AC223" i="38" s="1"/>
  <c r="H181" i="54"/>
  <c r="AB179" i="54" s="1"/>
  <c r="H181" i="61"/>
  <c r="AB179" i="61" s="1"/>
  <c r="G181" i="37"/>
  <c r="AA179" i="37" s="1"/>
  <c r="F225" i="48"/>
  <c r="Z223" i="48" s="1"/>
  <c r="G181" i="58"/>
  <c r="AA179" i="58" s="1"/>
  <c r="E225" i="34"/>
  <c r="Y223" i="34" s="1"/>
  <c r="E225" i="42"/>
  <c r="Y223" i="42" s="1"/>
  <c r="H224" i="53"/>
  <c r="AB222" i="53" s="1"/>
  <c r="G224" i="62"/>
  <c r="AA222" i="62" s="1"/>
  <c r="H180" i="38"/>
  <c r="AB178" i="38" s="1"/>
  <c r="G180" i="48"/>
  <c r="AA178" i="48" s="1"/>
  <c r="F180" i="57"/>
  <c r="Z178" i="57" s="1"/>
  <c r="D180" i="51"/>
  <c r="X178" i="51" s="1"/>
  <c r="G223" i="42"/>
  <c r="AA221" i="42" s="1"/>
  <c r="F179" i="53"/>
  <c r="Z177" i="53" s="1"/>
  <c r="E223" i="61"/>
  <c r="Y221" i="61" s="1"/>
  <c r="F180" i="38"/>
  <c r="Z178" i="38" s="1"/>
  <c r="E180" i="48"/>
  <c r="Y178" i="48" s="1"/>
  <c r="G223" i="43"/>
  <c r="AA221" i="43" s="1"/>
  <c r="F179" i="54"/>
  <c r="Z177" i="54" s="1"/>
  <c r="E179" i="47"/>
  <c r="Y177" i="47" s="1"/>
  <c r="D223" i="62"/>
  <c r="X221" i="62" s="1"/>
  <c r="C223" i="47"/>
  <c r="W221" i="47" s="1"/>
  <c r="C179" i="38"/>
  <c r="W177" i="38" s="1"/>
  <c r="I181" i="55"/>
  <c r="AC179" i="55" s="1"/>
  <c r="H181" i="41"/>
  <c r="AB179" i="41" s="1"/>
  <c r="H181" i="50"/>
  <c r="AB179" i="50" s="1"/>
  <c r="G225" i="59"/>
  <c r="AA223" i="59" s="1"/>
  <c r="F225" i="36"/>
  <c r="Z223" i="36" s="1"/>
  <c r="G181" i="46"/>
  <c r="AA179" i="46" s="1"/>
  <c r="F225" i="55"/>
  <c r="Z223" i="55" s="1"/>
  <c r="E225" i="32"/>
  <c r="Y223" i="32" s="1"/>
  <c r="H224" i="39"/>
  <c r="AB222" i="39" s="1"/>
  <c r="G224" i="52"/>
  <c r="AA222" i="52" s="1"/>
  <c r="G180" i="36"/>
  <c r="AA178" i="36" s="1"/>
  <c r="F180" i="44"/>
  <c r="Z178" i="44" s="1"/>
  <c r="E180" i="55"/>
  <c r="Y178" i="55" s="1"/>
  <c r="G223" i="32"/>
  <c r="AA221" i="32" s="1"/>
  <c r="F179" i="39"/>
  <c r="Z177" i="39" s="1"/>
  <c r="E223" i="50"/>
  <c r="Y221" i="50" s="1"/>
  <c r="F224" i="59"/>
  <c r="Z222" i="59" s="1"/>
  <c r="E180" i="36"/>
  <c r="Y178" i="36" s="1"/>
  <c r="D224" i="44"/>
  <c r="X222" i="44" s="1"/>
  <c r="G179" i="55"/>
  <c r="AA177" i="55" s="1"/>
  <c r="E223" i="33"/>
  <c r="Y221" i="33" s="1"/>
  <c r="D179" i="39"/>
  <c r="X177" i="39" s="1"/>
  <c r="D179" i="52"/>
  <c r="X177" i="52" s="1"/>
  <c r="C223" i="59"/>
  <c r="W221" i="59" s="1"/>
  <c r="C179" i="36"/>
  <c r="W177" i="36" s="1"/>
  <c r="I225" i="61"/>
  <c r="AC223" i="61" s="1"/>
  <c r="H225" i="43"/>
  <c r="AB223" i="43" s="1"/>
  <c r="H225" i="53"/>
  <c r="AB223" i="53" s="1"/>
  <c r="G181" i="61"/>
  <c r="AA179" i="61" s="1"/>
  <c r="G225" i="38"/>
  <c r="AA223" i="38" s="1"/>
  <c r="F181" i="48"/>
  <c r="Z179" i="48" s="1"/>
  <c r="E225" i="58"/>
  <c r="Y223" i="58" s="1"/>
  <c r="E181" i="51"/>
  <c r="Y179" i="51" s="1"/>
  <c r="H180" i="42"/>
  <c r="AB178" i="42" s="1"/>
  <c r="G180" i="53"/>
  <c r="AA178" i="53" s="1"/>
  <c r="H180" i="62"/>
  <c r="AB178" i="62" s="1"/>
  <c r="F224" i="38"/>
  <c r="Z222" i="38" s="1"/>
  <c r="E224" i="48"/>
  <c r="Y222" i="48" s="1"/>
  <c r="D224" i="43"/>
  <c r="X222" i="43" s="1"/>
  <c r="G179" i="54"/>
  <c r="AA177" i="54" s="1"/>
  <c r="E223" i="47"/>
  <c r="Y221" i="47" s="1"/>
  <c r="F224" i="57"/>
  <c r="Z222" i="57" s="1"/>
  <c r="E180" i="34"/>
  <c r="Y178" i="34" s="1"/>
  <c r="D224" i="42"/>
  <c r="X222" i="42" s="1"/>
  <c r="G179" i="53"/>
  <c r="AA177" i="53" s="1"/>
  <c r="F223" i="61"/>
  <c r="Z221" i="61" s="1"/>
  <c r="D179" i="42"/>
  <c r="X177" i="42" s="1"/>
  <c r="D179" i="54"/>
  <c r="X177" i="54" s="1"/>
  <c r="C179" i="42"/>
  <c r="W177" i="42" s="1"/>
  <c r="C179" i="58"/>
  <c r="W177" i="58" s="1"/>
  <c r="I181" i="43"/>
  <c r="AC179" i="43" s="1"/>
  <c r="H181" i="46"/>
  <c r="AB179" i="46" s="1"/>
  <c r="H181" i="55"/>
  <c r="AB179" i="55" s="1"/>
  <c r="G181" i="32"/>
  <c r="AA179" i="32" s="1"/>
  <c r="F225" i="41"/>
  <c r="Z223" i="41" s="1"/>
  <c r="G181" i="52"/>
  <c r="AA179" i="52" s="1"/>
  <c r="F225" i="59"/>
  <c r="Z223" i="59" s="1"/>
  <c r="E225" i="35"/>
  <c r="Y223" i="35" s="1"/>
  <c r="H224" i="44"/>
  <c r="AB222" i="44" s="1"/>
  <c r="G224" i="56"/>
  <c r="AA222" i="56" s="1"/>
  <c r="H180" i="33"/>
  <c r="AB178" i="33" s="1"/>
  <c r="G180" i="41"/>
  <c r="AA178" i="41" s="1"/>
  <c r="F180" i="50"/>
  <c r="Z178" i="50" s="1"/>
  <c r="E180" i="59"/>
  <c r="Y178" i="59" s="1"/>
  <c r="G223" i="35"/>
  <c r="AA221" i="35" s="1"/>
  <c r="F179" i="44"/>
  <c r="Z177" i="44" s="1"/>
  <c r="E223" i="55"/>
  <c r="Y221" i="55" s="1"/>
  <c r="F180" i="33"/>
  <c r="Z178" i="33" s="1"/>
  <c r="E180" i="41"/>
  <c r="Y178" i="41" s="1"/>
  <c r="D224" i="50"/>
  <c r="X222" i="50" s="1"/>
  <c r="G179" i="59"/>
  <c r="AA177" i="59" s="1"/>
  <c r="E223" i="36"/>
  <c r="Y221" i="36" s="1"/>
  <c r="D179" i="44"/>
  <c r="X177" i="44" s="1"/>
  <c r="D179" i="56"/>
  <c r="X177" i="56" s="1"/>
  <c r="C179" i="32"/>
  <c r="C179" i="41"/>
  <c r="W177" i="41" s="1"/>
  <c r="I225" i="41"/>
  <c r="AC223" i="41" s="1"/>
  <c r="I225" i="53"/>
  <c r="AC223" i="53" s="1"/>
  <c r="H225" i="48"/>
  <c r="AB223" i="48" s="1"/>
  <c r="H225" i="57"/>
  <c r="AB223" i="57" s="1"/>
  <c r="F181" i="51"/>
  <c r="Z179" i="51" s="1"/>
  <c r="G225" i="43"/>
  <c r="AA223" i="43" s="1"/>
  <c r="F181" i="54"/>
  <c r="Z179" i="54" s="1"/>
  <c r="E225" i="62"/>
  <c r="E181" i="37"/>
  <c r="Y179" i="37" s="1"/>
  <c r="H180" i="47"/>
  <c r="AB178" i="47" s="1"/>
  <c r="G180" i="57"/>
  <c r="AA178" i="57" s="1"/>
  <c r="G224" i="51"/>
  <c r="AA222" i="51" s="1"/>
  <c r="F224" i="43"/>
  <c r="Z222" i="43" s="1"/>
  <c r="E224" i="54"/>
  <c r="Y222" i="54" s="1"/>
  <c r="D180" i="61"/>
  <c r="X178" i="61" s="1"/>
  <c r="G179" i="38"/>
  <c r="AA177" i="38" s="1"/>
  <c r="F223" i="48"/>
  <c r="Z221" i="48" s="1"/>
  <c r="E179" i="58"/>
  <c r="Y177" i="58" s="1"/>
  <c r="E224" i="51"/>
  <c r="Y222" i="51" s="1"/>
  <c r="D180" i="43"/>
  <c r="X178" i="43" s="1"/>
  <c r="G223" i="54"/>
  <c r="AA221" i="54" s="1"/>
  <c r="F223" i="57"/>
  <c r="Z221" i="57" s="1"/>
  <c r="D179" i="47"/>
  <c r="X177" i="47" s="1"/>
  <c r="D179" i="58"/>
  <c r="X177" i="58" s="1"/>
  <c r="C179" i="47"/>
  <c r="W177" i="47" s="1"/>
  <c r="I181" i="47"/>
  <c r="AC179" i="47" s="1"/>
  <c r="G225" i="42"/>
  <c r="AA223" i="42" s="1"/>
  <c r="G225" i="62"/>
  <c r="AA223" i="62" s="1"/>
  <c r="E181" i="48"/>
  <c r="Y179" i="48" s="1"/>
  <c r="G224" i="34"/>
  <c r="AA222" i="34" s="1"/>
  <c r="G224" i="53"/>
  <c r="AA222" i="53" s="1"/>
  <c r="D224" i="48"/>
  <c r="X222" i="48" s="1"/>
  <c r="E223" i="51"/>
  <c r="Y221" i="51" s="1"/>
  <c r="E224" i="53"/>
  <c r="Y222" i="53" s="1"/>
  <c r="G179" i="57"/>
  <c r="AA177" i="57" s="1"/>
  <c r="D223" i="34"/>
  <c r="X221" i="34" s="1"/>
  <c r="C223" i="34"/>
  <c r="W221" i="34" s="1"/>
  <c r="I225" i="35"/>
  <c r="AC223" i="35" s="1"/>
  <c r="H181" i="33"/>
  <c r="AB179" i="33" s="1"/>
  <c r="H181" i="39"/>
  <c r="AB179" i="39" s="1"/>
  <c r="G225" i="50"/>
  <c r="AA223" i="50" s="1"/>
  <c r="F181" i="59"/>
  <c r="Z179" i="59" s="1"/>
  <c r="G181" i="36"/>
  <c r="AA179" i="36" s="1"/>
  <c r="F225" i="44"/>
  <c r="Z223" i="44" s="1"/>
  <c r="E181" i="56"/>
  <c r="Y179" i="56" s="1"/>
  <c r="H224" i="32"/>
  <c r="G224" i="41"/>
  <c r="AA222" i="41" s="1"/>
  <c r="H224" i="52"/>
  <c r="AB222" i="52" s="1"/>
  <c r="G224" i="59"/>
  <c r="AA222" i="59" s="1"/>
  <c r="F180" i="35"/>
  <c r="Z178" i="35" s="1"/>
  <c r="E180" i="44"/>
  <c r="Y178" i="44" s="1"/>
  <c r="D224" i="56"/>
  <c r="X222" i="56" s="1"/>
  <c r="F179" i="32"/>
  <c r="E223" i="39"/>
  <c r="Y221" i="39" s="1"/>
  <c r="F224" i="50"/>
  <c r="Z222" i="50" s="1"/>
  <c r="E224" i="59"/>
  <c r="Y222" i="59" s="1"/>
  <c r="D224" i="35"/>
  <c r="X222" i="35" s="1"/>
  <c r="G179" i="44"/>
  <c r="AA177" i="44" s="1"/>
  <c r="F223" i="55"/>
  <c r="Z221" i="55" s="1"/>
  <c r="D179" i="32"/>
  <c r="D179" i="41"/>
  <c r="X177" i="41" s="1"/>
  <c r="C223" i="50"/>
  <c r="W221" i="50" s="1"/>
  <c r="I225" i="34"/>
  <c r="AC223" i="34" s="1"/>
  <c r="I181" i="48"/>
  <c r="AC179" i="48" s="1"/>
  <c r="H225" i="34"/>
  <c r="AB223" i="34" s="1"/>
  <c r="H225" i="42"/>
  <c r="AB223" i="42" s="1"/>
  <c r="G181" i="53"/>
  <c r="AA179" i="53" s="1"/>
  <c r="F225" i="62"/>
  <c r="Z223" i="62" s="1"/>
  <c r="F181" i="38"/>
  <c r="Z179" i="38" s="1"/>
  <c r="E225" i="48"/>
  <c r="Y223" i="48" s="1"/>
  <c r="E225" i="57"/>
  <c r="Y223" i="57" s="1"/>
  <c r="H180" i="51"/>
  <c r="AB178" i="51" s="1"/>
  <c r="G180" i="42"/>
  <c r="AA178" i="42" s="1"/>
  <c r="H180" i="54"/>
  <c r="AB178" i="54" s="1"/>
  <c r="G180" i="62"/>
  <c r="AA178" i="62" s="1"/>
  <c r="E224" i="38"/>
  <c r="Y222" i="38" s="1"/>
  <c r="D180" i="47"/>
  <c r="X178" i="47" s="1"/>
  <c r="G179" i="43"/>
  <c r="AA177" i="43" s="1"/>
  <c r="F223" i="62"/>
  <c r="Z221" i="62" s="1"/>
  <c r="F224" i="47"/>
  <c r="Z222" i="47" s="1"/>
  <c r="E224" i="57"/>
  <c r="Y222" i="57" s="1"/>
  <c r="D224" i="51"/>
  <c r="X222" i="51" s="1"/>
  <c r="G179" i="42"/>
  <c r="AA177" i="42" s="1"/>
  <c r="F223" i="53"/>
  <c r="Z221" i="53" s="1"/>
  <c r="E179" i="61"/>
  <c r="Y177" i="61" s="1"/>
  <c r="D179" i="43"/>
  <c r="X177" i="43" s="1"/>
  <c r="C223" i="61"/>
  <c r="W221" i="61" s="1"/>
  <c r="C223" i="54"/>
  <c r="W221" i="54" s="1"/>
  <c r="I181" i="61"/>
  <c r="AC179" i="61" s="1"/>
  <c r="H181" i="36"/>
  <c r="AB179" i="36" s="1"/>
  <c r="H181" i="44"/>
  <c r="AB179" i="44" s="1"/>
  <c r="G225" i="55"/>
  <c r="AA223" i="55" s="1"/>
  <c r="F225" i="33"/>
  <c r="Z223" i="33" s="1"/>
  <c r="G181" i="41"/>
  <c r="AA179" i="41" s="1"/>
  <c r="F225" i="50"/>
  <c r="Z223" i="50" s="1"/>
  <c r="H224" i="35"/>
  <c r="AB222" i="35" s="1"/>
  <c r="G224" i="46"/>
  <c r="AA222" i="46" s="1"/>
  <c r="H224" i="56"/>
  <c r="AB222" i="56" s="1"/>
  <c r="G180" i="33"/>
  <c r="AA178" i="33" s="1"/>
  <c r="F180" i="39"/>
  <c r="Z178" i="39" s="1"/>
  <c r="E180" i="50"/>
  <c r="Y178" i="50" s="1"/>
  <c r="F179" i="35"/>
  <c r="Z177" i="35" s="1"/>
  <c r="E223" i="44"/>
  <c r="Y221" i="44" s="1"/>
  <c r="F224" i="55"/>
  <c r="Z222" i="55" s="1"/>
  <c r="E180" i="33"/>
  <c r="Y178" i="33" s="1"/>
  <c r="D224" i="39"/>
  <c r="X222" i="39" s="1"/>
  <c r="G179" i="50"/>
  <c r="AA177" i="50" s="1"/>
  <c r="F223" i="59"/>
  <c r="Z221" i="59" s="1"/>
  <c r="D179" i="35"/>
  <c r="X177" i="35" s="1"/>
  <c r="D179" i="46"/>
  <c r="X177" i="46" s="1"/>
  <c r="C223" i="55"/>
  <c r="W221" i="55" s="1"/>
  <c r="C179" i="33"/>
  <c r="W177" i="33" s="1"/>
  <c r="I225" i="48"/>
  <c r="AC223" i="48" s="1"/>
  <c r="I181" i="51"/>
  <c r="AC179" i="51" s="1"/>
  <c r="H225" i="38"/>
  <c r="AB223" i="38" s="1"/>
  <c r="H225" i="47"/>
  <c r="AB223" i="47" s="1"/>
  <c r="G181" i="57"/>
  <c r="AA179" i="57" s="1"/>
  <c r="G225" i="34"/>
  <c r="AA223" i="34" s="1"/>
  <c r="F181" i="43"/>
  <c r="Z179" i="43" s="1"/>
  <c r="E225" i="54"/>
  <c r="Y223" i="54" s="1"/>
  <c r="E225" i="61"/>
  <c r="Y223" i="61" s="1"/>
  <c r="G180" i="47"/>
  <c r="AA178" i="47" s="1"/>
  <c r="H180" i="58"/>
  <c r="AB178" i="58" s="1"/>
  <c r="F224" i="34"/>
  <c r="Z222" i="34" s="1"/>
  <c r="E180" i="47"/>
  <c r="Y178" i="47" s="1"/>
  <c r="D224" i="58"/>
  <c r="X222" i="58" s="1"/>
  <c r="F179" i="51"/>
  <c r="Z177" i="51" s="1"/>
  <c r="E223" i="42"/>
  <c r="Y221" i="42" s="1"/>
  <c r="F224" i="53"/>
  <c r="Z222" i="53" s="1"/>
  <c r="E224" i="61"/>
  <c r="Y222" i="61" s="1"/>
  <c r="D224" i="57"/>
  <c r="X222" i="57" s="1"/>
  <c r="F179" i="34"/>
  <c r="Z177" i="34" s="1"/>
  <c r="E223" i="54"/>
  <c r="Y221" i="54" s="1"/>
  <c r="D223" i="43"/>
  <c r="X221" i="43" s="1"/>
  <c r="D223" i="57"/>
  <c r="X221" i="57" s="1"/>
  <c r="C223" i="43"/>
  <c r="W221" i="43" s="1"/>
  <c r="I225" i="55"/>
  <c r="AC223" i="55" s="1"/>
  <c r="I181" i="53"/>
  <c r="AC179" i="53" s="1"/>
  <c r="H181" i="32"/>
  <c r="AB179" i="32" s="1"/>
  <c r="G225" i="39"/>
  <c r="AA223" i="39" s="1"/>
  <c r="F181" i="50"/>
  <c r="Z179" i="50" s="1"/>
  <c r="F225" i="35"/>
  <c r="Z223" i="35" s="1"/>
  <c r="E181" i="46"/>
  <c r="Y179" i="46" s="1"/>
  <c r="E181" i="55"/>
  <c r="Y179" i="55" s="1"/>
  <c r="G224" i="33"/>
  <c r="AA222" i="33" s="1"/>
  <c r="H224" i="41"/>
  <c r="AB222" i="41" s="1"/>
  <c r="G224" i="50"/>
  <c r="AA222" i="50" s="1"/>
  <c r="E180" i="35"/>
  <c r="Y178" i="35" s="1"/>
  <c r="D224" i="46"/>
  <c r="X222" i="46" s="1"/>
  <c r="G179" i="56"/>
  <c r="AA177" i="56" s="1"/>
  <c r="E223" i="32"/>
  <c r="F224" i="39"/>
  <c r="Z222" i="39" s="1"/>
  <c r="E224" i="50"/>
  <c r="Y222" i="50" s="1"/>
  <c r="G179" i="35"/>
  <c r="AA177" i="35" s="1"/>
  <c r="F223" i="44"/>
  <c r="Z221" i="44" s="1"/>
  <c r="E179" i="55"/>
  <c r="Y177" i="55" s="1"/>
  <c r="D179" i="33"/>
  <c r="X177" i="33" s="1"/>
  <c r="C223" i="39"/>
  <c r="W221" i="39" s="1"/>
  <c r="C223" i="52"/>
  <c r="W221" i="52" s="1"/>
  <c r="I181" i="56"/>
  <c r="AC179" i="56" s="1"/>
  <c r="I225" i="56"/>
  <c r="AC223" i="56" s="1"/>
  <c r="H181" i="58"/>
  <c r="AB179" i="58" s="1"/>
  <c r="H225" i="51"/>
  <c r="AB223" i="51" s="1"/>
  <c r="G181" i="42"/>
  <c r="AA179" i="42" s="1"/>
  <c r="F225" i="54"/>
  <c r="Z223" i="54" s="1"/>
  <c r="G181" i="62"/>
  <c r="E225" i="38"/>
  <c r="Y223" i="38" s="1"/>
  <c r="E225" i="47"/>
  <c r="Y223" i="47" s="1"/>
  <c r="H224" i="57"/>
  <c r="AB222" i="57" s="1"/>
  <c r="G180" i="51"/>
  <c r="AA178" i="51" s="1"/>
  <c r="H180" i="43"/>
  <c r="AB178" i="43" s="1"/>
  <c r="G180" i="54"/>
  <c r="AA178" i="54" s="1"/>
  <c r="F180" i="61"/>
  <c r="Z178" i="61" s="1"/>
  <c r="D180" i="57"/>
  <c r="X178" i="57" s="1"/>
  <c r="G179" i="34"/>
  <c r="AA177" i="34" s="1"/>
  <c r="F223" i="54"/>
  <c r="Z221" i="54" s="1"/>
  <c r="F180" i="43"/>
  <c r="Z178" i="43" s="1"/>
  <c r="E180" i="54"/>
  <c r="Y178" i="54" s="1"/>
  <c r="D224" i="61"/>
  <c r="X222" i="61" s="1"/>
  <c r="F179" i="38"/>
  <c r="Z177" i="38" s="1"/>
  <c r="E223" i="48"/>
  <c r="Y221" i="48" s="1"/>
  <c r="D179" i="61"/>
  <c r="X177" i="61" s="1"/>
  <c r="D223" i="42"/>
  <c r="X221" i="42" s="1"/>
  <c r="C179" i="61"/>
  <c r="W177" i="61" s="1"/>
  <c r="I181" i="46"/>
  <c r="AC179" i="46" s="1"/>
  <c r="H225" i="33"/>
  <c r="AB223" i="33" s="1"/>
  <c r="H225" i="39"/>
  <c r="AB223" i="39" s="1"/>
  <c r="G181" i="50"/>
  <c r="AA179" i="50" s="1"/>
  <c r="F181" i="36"/>
  <c r="Z179" i="36" s="1"/>
  <c r="E225" i="46"/>
  <c r="Y223" i="46" s="1"/>
  <c r="E225" i="55"/>
  <c r="Y223" i="55" s="1"/>
  <c r="H180" i="32"/>
  <c r="G180" i="39"/>
  <c r="AA178" i="39" s="1"/>
  <c r="H180" i="52"/>
  <c r="AB178" i="52" s="1"/>
  <c r="E224" i="36"/>
  <c r="Y222" i="36" s="1"/>
  <c r="D180" i="44"/>
  <c r="X178" i="44" s="1"/>
  <c r="G223" i="55"/>
  <c r="AA221" i="55" s="1"/>
  <c r="F223" i="33"/>
  <c r="Z221" i="33" s="1"/>
  <c r="E179" i="41"/>
  <c r="Y177" i="41" s="1"/>
  <c r="F180" i="52"/>
  <c r="Z178" i="52" s="1"/>
  <c r="G223" i="36"/>
  <c r="AA221" i="36" s="1"/>
  <c r="F179" i="46"/>
  <c r="Z177" i="46" s="1"/>
  <c r="E223" i="56"/>
  <c r="Y221" i="56" s="1"/>
  <c r="D223" i="33"/>
  <c r="X221" i="33" s="1"/>
  <c r="D223" i="39"/>
  <c r="X221" i="39" s="1"/>
  <c r="C179" i="50"/>
  <c r="W177" i="50" s="1"/>
  <c r="I225" i="36"/>
  <c r="AC223" i="36" s="1"/>
  <c r="H225" i="37"/>
  <c r="AB223" i="37" s="1"/>
  <c r="F225" i="58"/>
  <c r="Z223" i="58" s="1"/>
  <c r="E225" i="43"/>
  <c r="Y223" i="43" s="1"/>
  <c r="H224" i="61"/>
  <c r="AB222" i="61" s="1"/>
  <c r="H180" i="48"/>
  <c r="AB178" i="48" s="1"/>
  <c r="E224" i="34"/>
  <c r="Y222" i="34" s="1"/>
  <c r="G223" i="53"/>
  <c r="AA221" i="53" s="1"/>
  <c r="E179" i="38"/>
  <c r="Y177" i="38" s="1"/>
  <c r="E180" i="58"/>
  <c r="Y178" i="58" s="1"/>
  <c r="F179" i="62"/>
  <c r="Z177" i="62" s="1"/>
  <c r="D179" i="38"/>
  <c r="X177" i="38" s="1"/>
  <c r="I225" i="50"/>
  <c r="AC223" i="50" s="1"/>
  <c r="H181" i="62"/>
  <c r="G181" i="47"/>
  <c r="AA179" i="47" s="1"/>
  <c r="F181" i="34"/>
  <c r="Z179" i="34" s="1"/>
  <c r="E225" i="53"/>
  <c r="Y223" i="53" s="1"/>
  <c r="G180" i="58"/>
  <c r="AA178" i="58" s="1"/>
  <c r="D180" i="42"/>
  <c r="X178" i="42" s="1"/>
  <c r="F179" i="61"/>
  <c r="Z177" i="61" s="1"/>
  <c r="F180" i="48"/>
  <c r="Z178" i="48" s="1"/>
  <c r="G223" i="34"/>
  <c r="AA221" i="34" s="1"/>
  <c r="C223" i="57"/>
  <c r="W221" i="57" s="1"/>
  <c r="I181" i="36"/>
  <c r="AC179" i="36" s="1"/>
  <c r="I225" i="37"/>
  <c r="AC223" i="37" s="1"/>
  <c r="H225" i="56"/>
  <c r="AB223" i="56" s="1"/>
  <c r="G225" i="32"/>
  <c r="F181" i="39"/>
  <c r="Z179" i="39" s="1"/>
  <c r="G225" i="52"/>
  <c r="AA223" i="52" s="1"/>
  <c r="E181" i="36"/>
  <c r="Y179" i="36" s="1"/>
  <c r="E181" i="44"/>
  <c r="Y179" i="44" s="1"/>
  <c r="H180" i="55"/>
  <c r="AB178" i="55" s="1"/>
  <c r="H224" i="33"/>
  <c r="AB222" i="33" s="1"/>
  <c r="G224" i="39"/>
  <c r="AA222" i="39" s="1"/>
  <c r="F224" i="52"/>
  <c r="Z222" i="52" s="1"/>
  <c r="D224" i="36"/>
  <c r="X222" i="36" s="1"/>
  <c r="G179" i="46"/>
  <c r="AA177" i="46" s="1"/>
  <c r="F223" i="56"/>
  <c r="Z221" i="56" s="1"/>
  <c r="F224" i="32"/>
  <c r="E224" i="39"/>
  <c r="Y222" i="39" s="1"/>
  <c r="D180" i="52"/>
  <c r="X178" i="52" s="1"/>
  <c r="F223" i="35"/>
  <c r="Z221" i="35" s="1"/>
  <c r="E179" i="44"/>
  <c r="Y177" i="44" s="1"/>
  <c r="D223" i="56"/>
  <c r="X221" i="56" s="1"/>
  <c r="C223" i="32"/>
  <c r="C223" i="41"/>
  <c r="W221" i="41" s="1"/>
  <c r="C179" i="62"/>
  <c r="W177" i="62" s="1"/>
  <c r="I181" i="41"/>
  <c r="AC179" i="41" s="1"/>
  <c r="H181" i="48"/>
  <c r="AB179" i="48" s="1"/>
  <c r="H181" i="57"/>
  <c r="AB179" i="57" s="1"/>
  <c r="G181" i="51"/>
  <c r="AA179" i="51" s="1"/>
  <c r="F225" i="43"/>
  <c r="Z223" i="43" s="1"/>
  <c r="G181" i="54"/>
  <c r="AA179" i="54" s="1"/>
  <c r="F225" i="61"/>
  <c r="Z223" i="61" s="1"/>
  <c r="E225" i="37"/>
  <c r="Y223" i="37" s="1"/>
  <c r="H224" i="47"/>
  <c r="AB222" i="47" s="1"/>
  <c r="G224" i="58"/>
  <c r="AA222" i="58" s="1"/>
  <c r="H180" i="34"/>
  <c r="AB178" i="34" s="1"/>
  <c r="G180" i="43"/>
  <c r="AA178" i="43" s="1"/>
  <c r="F180" i="53"/>
  <c r="Z178" i="53" s="1"/>
  <c r="E180" i="61"/>
  <c r="Y178" i="61" s="1"/>
  <c r="G223" i="57"/>
  <c r="AA221" i="57" s="1"/>
  <c r="F223" i="43"/>
  <c r="Z221" i="43" s="1"/>
  <c r="E179" i="62"/>
  <c r="Y177" i="62" s="1"/>
  <c r="E180" i="43"/>
  <c r="Y178" i="43" s="1"/>
  <c r="D224" i="53"/>
  <c r="X222" i="53" s="1"/>
  <c r="G179" i="61"/>
  <c r="AA177" i="61" s="1"/>
  <c r="E223" i="38"/>
  <c r="Y221" i="38" s="1"/>
  <c r="D179" i="53"/>
  <c r="X177" i="53" s="1"/>
  <c r="D179" i="62"/>
  <c r="X177" i="62" s="1"/>
  <c r="C179" i="53"/>
  <c r="W177" i="53" s="1"/>
  <c r="I225" i="54"/>
  <c r="AC223" i="54" s="1"/>
  <c r="I181" i="52"/>
  <c r="AC179" i="52" s="1"/>
  <c r="H181" i="56"/>
  <c r="AB179" i="56" s="1"/>
  <c r="H225" i="32"/>
  <c r="G181" i="39"/>
  <c r="AA179" i="39" s="1"/>
  <c r="F225" i="52"/>
  <c r="Z223" i="52" s="1"/>
  <c r="E225" i="36"/>
  <c r="Y223" i="36" s="1"/>
  <c r="E225" i="44"/>
  <c r="Y223" i="44" s="1"/>
  <c r="H224" i="55"/>
  <c r="AB222" i="55" s="1"/>
  <c r="G180" i="32"/>
  <c r="H180" i="41"/>
  <c r="AB178" i="41" s="1"/>
  <c r="G180" i="52"/>
  <c r="AA178" i="52" s="1"/>
  <c r="F180" i="59"/>
  <c r="Z178" i="59" s="1"/>
  <c r="D180" i="35"/>
  <c r="X178" i="35" s="1"/>
  <c r="G223" i="44"/>
  <c r="AA221" i="44" s="1"/>
  <c r="F179" i="55"/>
  <c r="Z177" i="55" s="1"/>
  <c r="E179" i="33"/>
  <c r="Y177" i="33" s="1"/>
  <c r="F180" i="41"/>
  <c r="Z178" i="41" s="1"/>
  <c r="E180" i="52"/>
  <c r="Y178" i="52" s="1"/>
  <c r="D224" i="59"/>
  <c r="X222" i="59" s="1"/>
  <c r="F179" i="36"/>
  <c r="Z177" i="36" s="1"/>
  <c r="E223" i="46"/>
  <c r="Y221" i="46" s="1"/>
  <c r="D179" i="55"/>
  <c r="X177" i="55" s="1"/>
  <c r="D223" i="32"/>
  <c r="C179" i="39"/>
  <c r="W177" i="39" s="1"/>
  <c r="C179" i="52"/>
  <c r="W177" i="52" s="1"/>
  <c r="I181" i="34"/>
  <c r="AC179" i="34" s="1"/>
  <c r="I225" i="51"/>
  <c r="AC223" i="51" s="1"/>
  <c r="H225" i="58"/>
  <c r="AB223" i="58" s="1"/>
  <c r="G225" i="51"/>
  <c r="AA223" i="51" s="1"/>
  <c r="F181" i="42"/>
  <c r="Z179" i="42" s="1"/>
  <c r="G225" i="54"/>
  <c r="AA223" i="54" s="1"/>
  <c r="F181" i="62"/>
  <c r="Z179" i="62" s="1"/>
  <c r="E181" i="38"/>
  <c r="Y179" i="38" s="1"/>
  <c r="E181" i="47"/>
  <c r="Y179" i="47" s="1"/>
  <c r="H180" i="57"/>
  <c r="AB178" i="57" s="1"/>
  <c r="H224" i="34"/>
  <c r="AB222" i="34" s="1"/>
  <c r="G224" i="42"/>
  <c r="AA222" i="42" s="1"/>
  <c r="F224" i="54"/>
  <c r="Z222" i="54" s="1"/>
  <c r="E224" i="62"/>
  <c r="Y222" i="62" s="1"/>
  <c r="D224" i="38"/>
  <c r="X222" i="38" s="1"/>
  <c r="G179" i="48"/>
  <c r="AA177" i="48" s="1"/>
  <c r="F223" i="58"/>
  <c r="Z221" i="58" s="1"/>
  <c r="F224" i="51"/>
  <c r="Z222" i="51" s="1"/>
  <c r="E224" i="42"/>
  <c r="Y222" i="42" s="1"/>
  <c r="D180" i="54"/>
  <c r="X178" i="54" s="1"/>
  <c r="G179" i="47"/>
  <c r="AA177" i="47" s="1"/>
  <c r="E223" i="34"/>
  <c r="Y221" i="34" s="1"/>
  <c r="D179" i="57"/>
  <c r="X177" i="57" s="1"/>
  <c r="D223" i="51"/>
  <c r="X221" i="51" s="1"/>
  <c r="C179" i="57"/>
  <c r="W177" i="57" s="1"/>
  <c r="I225" i="52"/>
  <c r="AC223" i="52" s="1"/>
  <c r="I225" i="57"/>
  <c r="AC223" i="57" s="1"/>
  <c r="H225" i="46"/>
  <c r="AB223" i="46" s="1"/>
  <c r="H225" i="55"/>
  <c r="AB223" i="55" s="1"/>
  <c r="F181" i="32"/>
  <c r="G225" i="41"/>
  <c r="AA223" i="41" s="1"/>
  <c r="F181" i="52"/>
  <c r="Z179" i="52" s="1"/>
  <c r="E181" i="35"/>
  <c r="Y179" i="35" s="1"/>
  <c r="H180" i="44"/>
  <c r="AB178" i="44" s="1"/>
  <c r="G180" i="55"/>
  <c r="AA178" i="55" s="1"/>
  <c r="G224" i="32"/>
  <c r="F224" i="41"/>
  <c r="Z222" i="41" s="1"/>
  <c r="E224" i="52"/>
  <c r="Y222" i="52" s="1"/>
  <c r="D180" i="59"/>
  <c r="X178" i="59" s="1"/>
  <c r="G179" i="36"/>
  <c r="AA177" i="36" s="1"/>
  <c r="F223" i="46"/>
  <c r="Z221" i="46" s="1"/>
  <c r="E179" i="56"/>
  <c r="Y177" i="56" s="1"/>
  <c r="E224" i="32"/>
  <c r="D180" i="41"/>
  <c r="X178" i="41" s="1"/>
  <c r="G223" i="52"/>
  <c r="AA221" i="52" s="1"/>
  <c r="E179" i="35"/>
  <c r="Y177" i="35" s="1"/>
  <c r="D223" i="46"/>
  <c r="X221" i="46" s="1"/>
  <c r="D223" i="55"/>
  <c r="X221" i="55" s="1"/>
  <c r="C223" i="33"/>
  <c r="W221" i="33" s="1"/>
  <c r="C179" i="43"/>
  <c r="W177" i="43" s="1"/>
  <c r="I181" i="58"/>
  <c r="AC179" i="58" s="1"/>
  <c r="H181" i="38"/>
  <c r="AB179" i="38" s="1"/>
  <c r="H181" i="47"/>
  <c r="AB179" i="47" s="1"/>
  <c r="G225" i="57"/>
  <c r="AA223" i="57" s="1"/>
  <c r="F225" i="34"/>
  <c r="Z223" i="34" s="1"/>
  <c r="G181" i="43"/>
  <c r="AA179" i="43" s="1"/>
  <c r="F225" i="53"/>
  <c r="Z223" i="53" s="1"/>
  <c r="E181" i="62"/>
  <c r="Y179" i="62" s="1"/>
  <c r="G224" i="48"/>
  <c r="AA222" i="48" s="1"/>
  <c r="H224" i="58"/>
  <c r="AB222" i="58" s="1"/>
  <c r="G180" i="34"/>
  <c r="AA178" i="34" s="1"/>
  <c r="F180" i="42"/>
  <c r="Z178" i="42" s="1"/>
  <c r="E180" i="53"/>
  <c r="Y178" i="53" s="1"/>
  <c r="G223" i="47"/>
  <c r="AA221" i="47" s="1"/>
  <c r="F223" i="34"/>
  <c r="Z221" i="34" s="1"/>
  <c r="E179" i="54"/>
  <c r="Y177" i="54" s="1"/>
  <c r="F180" i="62"/>
  <c r="Z178" i="62" s="1"/>
  <c r="D180" i="38"/>
  <c r="X178" i="38" s="1"/>
  <c r="G223" i="48"/>
  <c r="AA221" i="48" s="1"/>
  <c r="F179" i="58"/>
  <c r="Z177" i="58" s="1"/>
  <c r="E179" i="51"/>
  <c r="Y177" i="51" s="1"/>
  <c r="D223" i="48"/>
  <c r="X221" i="48" s="1"/>
  <c r="D223" i="61"/>
  <c r="X221" i="61" s="1"/>
  <c r="C223" i="48"/>
  <c r="W221" i="48" s="1"/>
  <c r="I225" i="33"/>
  <c r="AC223" i="33" s="1"/>
  <c r="I225" i="47"/>
  <c r="AC223" i="47" s="1"/>
  <c r="H225" i="52"/>
  <c r="AB223" i="52" s="1"/>
  <c r="F181" i="35"/>
  <c r="Z179" i="35" s="1"/>
  <c r="G225" i="46"/>
  <c r="AA223" i="46" s="1"/>
  <c r="F181" i="56"/>
  <c r="Z179" i="56" s="1"/>
  <c r="E181" i="33"/>
  <c r="Y179" i="33" s="1"/>
  <c r="E181" i="39"/>
  <c r="Y179" i="39" s="1"/>
  <c r="H180" i="50"/>
  <c r="AB178" i="50" s="1"/>
  <c r="G180" i="59"/>
  <c r="AA178" i="59" s="1"/>
  <c r="G224" i="35"/>
  <c r="AA222" i="35" s="1"/>
  <c r="F224" i="46"/>
  <c r="Z222" i="46" s="1"/>
  <c r="E224" i="56"/>
  <c r="Y222" i="56" s="1"/>
  <c r="D224" i="33"/>
  <c r="X222" i="33" s="1"/>
  <c r="G179" i="41"/>
  <c r="AA177" i="41" s="1"/>
  <c r="F223" i="52"/>
  <c r="Z221" i="52" s="1"/>
  <c r="E224" i="35"/>
  <c r="Y222" i="35" s="1"/>
  <c r="D180" i="46"/>
  <c r="X178" i="46" s="1"/>
  <c r="G223" i="56"/>
  <c r="AA221" i="56" s="1"/>
  <c r="F223" i="32"/>
  <c r="E179" i="39"/>
  <c r="Y177" i="39" s="1"/>
  <c r="D223" i="52"/>
  <c r="X221" i="52" s="1"/>
  <c r="D223" i="59"/>
  <c r="X221" i="59" s="1"/>
  <c r="C223" i="36"/>
  <c r="W221" i="36" s="1"/>
  <c r="C179" i="54"/>
  <c r="W177" i="54" s="1"/>
  <c r="I181" i="50"/>
  <c r="AC179" i="50" s="1"/>
  <c r="H181" i="43"/>
  <c r="AB179" i="43" s="1"/>
  <c r="H181" i="53"/>
  <c r="AB179" i="53" s="1"/>
  <c r="G225" i="61"/>
  <c r="AA223" i="61" s="1"/>
  <c r="F225" i="38"/>
  <c r="Z223" i="38" s="1"/>
  <c r="G181" i="48"/>
  <c r="AA179" i="48" s="1"/>
  <c r="F225" i="57"/>
  <c r="Z223" i="57" s="1"/>
  <c r="E225" i="51"/>
  <c r="Y223" i="51" s="1"/>
  <c r="H224" i="42"/>
  <c r="AB222" i="42" s="1"/>
  <c r="G224" i="54"/>
  <c r="AA222" i="54" s="1"/>
  <c r="H224" i="62"/>
  <c r="AB222" i="62" s="1"/>
  <c r="G180" i="38"/>
  <c r="AA178" i="38" s="1"/>
  <c r="F180" i="47"/>
  <c r="Z178" i="47" s="1"/>
  <c r="E180" i="57"/>
  <c r="Y178" i="57" s="1"/>
  <c r="G223" i="51"/>
  <c r="AA221" i="51" s="1"/>
  <c r="F179" i="42"/>
  <c r="Z177" i="42" s="1"/>
  <c r="E223" i="53"/>
  <c r="Y221" i="53" s="1"/>
  <c r="F224" i="61"/>
  <c r="Z222" i="61" s="1"/>
  <c r="E180" i="38"/>
  <c r="Y178" i="38" s="1"/>
  <c r="D224" i="47"/>
  <c r="X222" i="47" s="1"/>
  <c r="F179" i="43"/>
  <c r="Z177" i="43" s="1"/>
  <c r="E223" i="62"/>
  <c r="Y221" i="62" s="1"/>
  <c r="D223" i="54"/>
  <c r="X221" i="54" s="1"/>
  <c r="C223" i="51"/>
  <c r="W221" i="51" s="1"/>
  <c r="I225" i="62"/>
  <c r="AC223" i="62" s="1"/>
  <c r="H181" i="51"/>
  <c r="AB179" i="51" s="1"/>
  <c r="F181" i="53"/>
  <c r="Z179" i="53" s="1"/>
  <c r="F225" i="37"/>
  <c r="Z223" i="37" s="1"/>
  <c r="E181" i="57"/>
  <c r="Y179" i="57" s="1"/>
  <c r="H224" i="43"/>
  <c r="AB222" i="43" s="1"/>
  <c r="F224" i="62"/>
  <c r="Z222" i="62" s="1"/>
  <c r="G179" i="58"/>
  <c r="AA177" i="58" s="1"/>
  <c r="F224" i="42"/>
  <c r="Z222" i="42" s="1"/>
  <c r="D180" i="62"/>
  <c r="X178" i="62" s="1"/>
  <c r="E223" i="43"/>
  <c r="Y221" i="43" s="1"/>
  <c r="D223" i="47"/>
  <c r="X221" i="47" s="1"/>
  <c r="I181" i="32"/>
  <c r="I181" i="35"/>
  <c r="AC179" i="35" s="1"/>
  <c r="H225" i="36"/>
  <c r="AB223" i="36" s="1"/>
  <c r="H225" i="44"/>
  <c r="AB223" i="44" s="1"/>
  <c r="G181" i="55"/>
  <c r="AA179" i="55" s="1"/>
  <c r="G225" i="33"/>
  <c r="AA223" i="33" s="1"/>
  <c r="F181" i="41"/>
  <c r="Z179" i="41" s="1"/>
  <c r="E225" i="52"/>
  <c r="Y223" i="52" s="1"/>
  <c r="E225" i="59"/>
  <c r="Y223" i="59" s="1"/>
  <c r="H180" i="35"/>
  <c r="AB178" i="35" s="1"/>
  <c r="G180" i="44"/>
  <c r="AA178" i="44" s="1"/>
  <c r="H180" i="56"/>
  <c r="AB178" i="56" s="1"/>
  <c r="F224" i="33"/>
  <c r="Z222" i="33" s="1"/>
  <c r="E224" i="41"/>
  <c r="Y222" i="41" s="1"/>
  <c r="D180" i="50"/>
  <c r="X178" i="50" s="1"/>
  <c r="G223" i="59"/>
  <c r="AA221" i="59" s="1"/>
  <c r="F223" i="36"/>
  <c r="Z221" i="36" s="1"/>
  <c r="E179" i="46"/>
  <c r="Y177" i="46" s="1"/>
  <c r="F180" i="56"/>
  <c r="Z178" i="56" s="1"/>
  <c r="D180" i="33"/>
  <c r="X178" i="33" s="1"/>
  <c r="G223" i="41"/>
  <c r="AA221" i="41" s="1"/>
  <c r="F179" i="52"/>
  <c r="Z177" i="52" s="1"/>
  <c r="D223" i="36"/>
  <c r="X221" i="36" s="1"/>
  <c r="D223" i="44"/>
  <c r="X221" i="44" s="1"/>
  <c r="C179" i="55"/>
  <c r="W177" i="55" s="1"/>
  <c r="C223" i="58"/>
  <c r="W221" i="58" s="1"/>
  <c r="I225" i="39"/>
  <c r="AC223" i="39" s="1"/>
  <c r="I181" i="39"/>
  <c r="AC179" i="39" s="1"/>
  <c r="H181" i="37"/>
  <c r="AB179" i="37" s="1"/>
  <c r="G225" i="47"/>
  <c r="AA223" i="47" s="1"/>
  <c r="F181" i="57"/>
  <c r="Z179" i="57" s="1"/>
  <c r="G181" i="34"/>
  <c r="AA179" i="34" s="1"/>
  <c r="F225" i="42"/>
  <c r="Z223" i="42" s="1"/>
  <c r="E181" i="54"/>
  <c r="Y179" i="54" s="1"/>
  <c r="E181" i="61"/>
  <c r="Y179" i="61" s="1"/>
  <c r="G224" i="38"/>
  <c r="AA222" i="38" s="1"/>
  <c r="H224" i="48"/>
  <c r="AB222" i="48" s="1"/>
  <c r="G224" i="57"/>
  <c r="AA222" i="57" s="1"/>
  <c r="F180" i="51"/>
  <c r="Z178" i="51" s="1"/>
  <c r="E180" i="42"/>
  <c r="Y178" i="42" s="1"/>
  <c r="D224" i="54"/>
  <c r="X222" i="54" s="1"/>
  <c r="F179" i="57"/>
  <c r="Z177" i="57" s="1"/>
  <c r="E179" i="43"/>
  <c r="Y177" i="43" s="1"/>
  <c r="F180" i="54"/>
  <c r="Z178" i="54" s="1"/>
  <c r="E180" i="62"/>
  <c r="Y178" i="62" s="1"/>
  <c r="G223" i="38"/>
  <c r="AA221" i="38" s="1"/>
  <c r="F179" i="48"/>
  <c r="Z177" i="48" s="1"/>
  <c r="E223" i="58"/>
  <c r="Y221" i="58" s="1"/>
  <c r="D223" i="38"/>
  <c r="X221" i="38" s="1"/>
  <c r="D223" i="53"/>
  <c r="X221" i="53" s="1"/>
  <c r="C223" i="38"/>
  <c r="W221" i="38" s="1"/>
  <c r="I181" i="62"/>
  <c r="AC179" i="62" s="1"/>
  <c r="I181" i="37"/>
  <c r="AC179" i="37" s="1"/>
  <c r="H225" i="41"/>
  <c r="AB223" i="41" s="1"/>
  <c r="H225" i="50"/>
  <c r="AB223" i="50" s="1"/>
  <c r="G181" i="59"/>
  <c r="AA179" i="59" s="1"/>
  <c r="G225" i="36"/>
  <c r="AA223" i="36" s="1"/>
  <c r="F181" i="46"/>
  <c r="Z179" i="46" s="1"/>
  <c r="E225" i="56"/>
  <c r="Y223" i="56" s="1"/>
  <c r="E181" i="32"/>
  <c r="H180" i="39"/>
  <c r="AB178" i="39" s="1"/>
  <c r="G180" i="50"/>
  <c r="AA178" i="50" s="1"/>
  <c r="F224" i="36"/>
  <c r="Z222" i="36" s="1"/>
  <c r="E224" i="46"/>
  <c r="Y222" i="46" s="1"/>
  <c r="D180" i="55"/>
  <c r="X178" i="55" s="1"/>
  <c r="G179" i="33"/>
  <c r="AA177" i="33" s="1"/>
  <c r="F223" i="41"/>
  <c r="Z221" i="41" s="1"/>
  <c r="E179" i="52"/>
  <c r="Y177" i="52" s="1"/>
  <c r="D180" i="36"/>
  <c r="X178" i="36" s="1"/>
  <c r="G223" i="46"/>
  <c r="AA221" i="46" s="1"/>
  <c r="F179" i="56"/>
  <c r="Z177" i="56" s="1"/>
  <c r="E179" i="32"/>
  <c r="D223" i="41"/>
  <c r="X221" i="41" s="1"/>
  <c r="D223" i="50"/>
  <c r="X221" i="50" s="1"/>
  <c r="C179" i="59"/>
  <c r="W177" i="59" s="1"/>
  <c r="C179" i="34"/>
  <c r="W177" i="34" s="1"/>
  <c r="I225" i="32"/>
  <c r="H181" i="34"/>
  <c r="AB179" i="34" s="1"/>
  <c r="H181" i="42"/>
  <c r="AB179" i="42" s="1"/>
  <c r="G225" i="53"/>
  <c r="AA223" i="53" s="1"/>
  <c r="F181" i="61"/>
  <c r="Z179" i="61" s="1"/>
  <c r="G181" i="38"/>
  <c r="AA179" i="38" s="1"/>
  <c r="F225" i="47"/>
  <c r="Z223" i="47" s="1"/>
  <c r="E181" i="58"/>
  <c r="Y179" i="58" s="1"/>
  <c r="H224" i="51"/>
  <c r="AB222" i="51" s="1"/>
  <c r="G224" i="43"/>
  <c r="AA222" i="43" s="1"/>
  <c r="H224" i="54"/>
  <c r="AB222" i="54" s="1"/>
  <c r="G224" i="61"/>
  <c r="AA222" i="61" s="1"/>
  <c r="E224" i="43"/>
  <c r="Y222" i="43" s="1"/>
  <c r="D180" i="53"/>
  <c r="X178" i="53" s="1"/>
  <c r="G223" i="61"/>
  <c r="AA221" i="61" s="1"/>
  <c r="F223" i="38"/>
  <c r="Z221" i="38" s="1"/>
  <c r="E179" i="48"/>
  <c r="Y177" i="48" s="1"/>
  <c r="F180" i="58"/>
  <c r="Z178" i="58" s="1"/>
  <c r="D180" i="34"/>
  <c r="X178" i="34" s="1"/>
  <c r="G223" i="62"/>
  <c r="F223" i="47"/>
  <c r="Z221" i="47" s="1"/>
  <c r="D179" i="51"/>
  <c r="X177" i="51" s="1"/>
  <c r="D179" i="48"/>
  <c r="X177" i="48" s="1"/>
  <c r="C179" i="51"/>
  <c r="W177" i="51" s="1"/>
  <c r="I225" i="43"/>
  <c r="AC223" i="43" s="1"/>
  <c r="I225" i="46"/>
  <c r="AC223" i="46" s="1"/>
  <c r="H225" i="35"/>
  <c r="AB223" i="35" s="1"/>
  <c r="G181" i="44"/>
  <c r="AA179" i="44" s="1"/>
  <c r="F225" i="56"/>
  <c r="Z223" i="56" s="1"/>
  <c r="F181" i="33"/>
  <c r="Z179" i="33" s="1"/>
  <c r="E225" i="41"/>
  <c r="Y223" i="41" s="1"/>
  <c r="E225" i="50"/>
  <c r="Y223" i="50" s="1"/>
  <c r="H224" i="59"/>
  <c r="AB222" i="59" s="1"/>
  <c r="G180" i="35"/>
  <c r="AA178" i="35" s="1"/>
  <c r="H180" i="46"/>
  <c r="AB178" i="46" s="1"/>
  <c r="G180" i="56"/>
  <c r="AA178" i="56" s="1"/>
  <c r="E224" i="33"/>
  <c r="Y222" i="33" s="1"/>
  <c r="D180" i="39"/>
  <c r="X178" i="39" s="1"/>
  <c r="G223" i="50"/>
  <c r="AA221" i="50" s="1"/>
  <c r="F179" i="59"/>
  <c r="Z177" i="59" s="1"/>
  <c r="E179" i="36"/>
  <c r="Y177" i="36" s="1"/>
  <c r="F180" i="46"/>
  <c r="Z178" i="46" s="1"/>
  <c r="E180" i="56"/>
  <c r="Y178" i="56" s="1"/>
  <c r="G223" i="33"/>
  <c r="AA221" i="33" s="1"/>
  <c r="F179" i="41"/>
  <c r="Z177" i="41" s="1"/>
  <c r="E223" i="52"/>
  <c r="Y221" i="52" s="1"/>
  <c r="D179" i="59"/>
  <c r="X177" i="59" s="1"/>
  <c r="D223" i="35"/>
  <c r="X221" i="35" s="1"/>
  <c r="C179" i="44"/>
  <c r="W177" i="44" s="1"/>
  <c r="C179" i="56"/>
  <c r="W177" i="56" s="1"/>
  <c r="I181" i="57"/>
  <c r="AC179" i="57" s="1"/>
  <c r="H225" i="62"/>
  <c r="AB223" i="62" s="1"/>
  <c r="G225" i="37"/>
  <c r="AA223" i="37" s="1"/>
  <c r="F181" i="47"/>
  <c r="Z179" i="47" s="1"/>
  <c r="G225" i="58"/>
  <c r="AA223" i="58" s="1"/>
  <c r="F225" i="51"/>
  <c r="Z223" i="51" s="1"/>
  <c r="E181" i="43"/>
  <c r="Y179" i="43" s="1"/>
  <c r="E181" i="53"/>
  <c r="Y179" i="53" s="1"/>
  <c r="H180" i="61"/>
  <c r="AB178" i="61" s="1"/>
  <c r="H224" i="38"/>
  <c r="AB222" i="38" s="1"/>
  <c r="G224" i="47"/>
  <c r="AA222" i="47" s="1"/>
  <c r="F224" i="58"/>
  <c r="Z222" i="58" s="1"/>
  <c r="E180" i="51"/>
  <c r="Y178" i="51" s="1"/>
  <c r="D224" i="62"/>
  <c r="X222" i="62" s="1"/>
  <c r="F179" i="47"/>
  <c r="Z177" i="47" s="1"/>
  <c r="E179" i="34"/>
  <c r="Y177" i="34" s="1"/>
  <c r="E224" i="47"/>
  <c r="Y222" i="47" s="1"/>
  <c r="D180" i="58"/>
  <c r="X178" i="58" s="1"/>
  <c r="G179" i="51"/>
  <c r="AA177" i="51" s="1"/>
  <c r="F223" i="42"/>
  <c r="Z221" i="42" s="1"/>
  <c r="E179" i="53"/>
  <c r="Y177" i="53" s="1"/>
  <c r="D179" i="34"/>
  <c r="X177" i="34" s="1"/>
  <c r="C223" i="53"/>
  <c r="W221" i="53" s="1"/>
  <c r="C179" i="48"/>
  <c r="W177" i="48" s="1"/>
  <c r="I225" i="44"/>
  <c r="AC223" i="44" s="1"/>
  <c r="I181" i="42"/>
  <c r="AC179" i="42" s="1"/>
  <c r="H181" i="35"/>
  <c r="AB179" i="35" s="1"/>
  <c r="G225" i="44"/>
  <c r="AA223" i="44" s="1"/>
  <c r="F181" i="55"/>
  <c r="Z179" i="55" s="1"/>
  <c r="G181" i="33"/>
  <c r="AA179" i="33" s="1"/>
  <c r="F225" i="39"/>
  <c r="Z223" i="39" s="1"/>
  <c r="E181" i="52"/>
  <c r="Y179" i="52" s="1"/>
  <c r="E181" i="59"/>
  <c r="Y179" i="59" s="1"/>
  <c r="G224" i="36"/>
  <c r="AA222" i="36" s="1"/>
  <c r="H224" i="46"/>
  <c r="AB222" i="46" s="1"/>
  <c r="G224" i="55"/>
  <c r="AA222" i="55" s="1"/>
  <c r="F180" i="32"/>
  <c r="E180" i="39"/>
  <c r="Y178" i="39" s="1"/>
  <c r="D224" i="52"/>
  <c r="X222" i="52" s="1"/>
  <c r="E223" i="35"/>
  <c r="Y221" i="35" s="1"/>
  <c r="F224" i="44"/>
  <c r="Z222" i="44" s="1"/>
  <c r="E224" i="55"/>
  <c r="Y222" i="55" s="1"/>
  <c r="D224" i="32"/>
  <c r="G179" i="39"/>
  <c r="AA177" i="39" s="1"/>
  <c r="F223" i="50"/>
  <c r="Z221" i="50" s="1"/>
  <c r="E179" i="59"/>
  <c r="Y177" i="59" s="1"/>
  <c r="D179" i="36"/>
  <c r="X177" i="36" s="1"/>
  <c r="C223" i="44"/>
  <c r="W221" i="44" s="1"/>
  <c r="C223" i="56"/>
  <c r="W221" i="56" s="1"/>
  <c r="E179" i="57"/>
  <c r="Y177" i="57" s="1"/>
  <c r="V151" i="18"/>
  <c r="S155" i="18"/>
  <c r="I144" i="18"/>
  <c r="H204" i="18"/>
  <c r="AC155" i="18"/>
  <c r="R155" i="18"/>
  <c r="T210" i="18"/>
  <c r="M151" i="18"/>
  <c r="Y207" i="18"/>
  <c r="AB146" i="18"/>
  <c r="V144" i="18"/>
  <c r="AC200" i="18"/>
  <c r="L143" i="18"/>
  <c r="L266" i="18"/>
  <c r="I158" i="18"/>
  <c r="X156" i="18"/>
  <c r="AB158" i="18"/>
  <c r="AE178" i="18"/>
  <c r="S143" i="18"/>
  <c r="W183" i="18"/>
  <c r="N204" i="18"/>
  <c r="U265" i="18"/>
  <c r="AB156" i="18"/>
  <c r="G173" i="18"/>
  <c r="P206" i="18"/>
  <c r="U199" i="18"/>
  <c r="AE254" i="18"/>
  <c r="L253" i="18"/>
  <c r="X210" i="18"/>
  <c r="Q210" i="18"/>
  <c r="J148" i="18"/>
  <c r="J143" i="18"/>
  <c r="Y147" i="18"/>
  <c r="O211" i="18"/>
  <c r="H261" i="18"/>
  <c r="Y201" i="18"/>
  <c r="I213" i="18"/>
  <c r="H152" i="18"/>
  <c r="H212" i="18"/>
  <c r="V148" i="18"/>
  <c r="S154" i="18"/>
  <c r="L261" i="18"/>
  <c r="O146" i="18"/>
  <c r="S201" i="18"/>
  <c r="AA154" i="18"/>
  <c r="Z147" i="18"/>
  <c r="R152" i="18"/>
  <c r="G183" i="18"/>
  <c r="N150" i="18"/>
  <c r="R181" i="18"/>
  <c r="O150" i="18"/>
  <c r="N176" i="18"/>
  <c r="M147" i="18"/>
  <c r="U250" i="18"/>
  <c r="J199" i="18"/>
  <c r="M184" i="18"/>
  <c r="V204" i="18"/>
  <c r="H199" i="18"/>
  <c r="K200" i="18"/>
  <c r="P175" i="18"/>
  <c r="G250" i="18"/>
  <c r="R167" i="18"/>
  <c r="AE202" i="18"/>
  <c r="M249" i="18"/>
  <c r="X143" i="18"/>
  <c r="AD144" i="18"/>
  <c r="K261" i="18"/>
  <c r="Q147" i="18"/>
  <c r="M145" i="18"/>
  <c r="V156" i="18"/>
  <c r="L149" i="18"/>
  <c r="Z200" i="18"/>
  <c r="AC148" i="18"/>
  <c r="AB144" i="18"/>
  <c r="T155" i="18"/>
  <c r="R151" i="18"/>
  <c r="P152" i="18"/>
  <c r="AA144" i="18"/>
  <c r="AC144" i="18"/>
  <c r="AD150" i="18"/>
  <c r="R147" i="18"/>
  <c r="AA157" i="18"/>
  <c r="Z204" i="18"/>
  <c r="J152" i="18"/>
  <c r="T143" i="18"/>
  <c r="F156" i="18"/>
  <c r="H153" i="18"/>
  <c r="L150" i="18"/>
  <c r="I154" i="18"/>
  <c r="Z261" i="18"/>
  <c r="R204" i="18"/>
  <c r="P146" i="18"/>
  <c r="U148" i="18"/>
  <c r="X158" i="18"/>
  <c r="H209" i="18"/>
  <c r="AD152" i="18"/>
  <c r="H183" i="18"/>
  <c r="AD147" i="18"/>
  <c r="X170" i="18"/>
  <c r="P212" i="18"/>
  <c r="Z211" i="18"/>
  <c r="AD211" i="18"/>
  <c r="W209" i="18"/>
  <c r="Z144" i="18"/>
  <c r="H251" i="18"/>
  <c r="X206" i="18"/>
  <c r="U213" i="18"/>
  <c r="W147" i="18"/>
  <c r="J210" i="18"/>
  <c r="T184" i="18"/>
  <c r="K264" i="18"/>
  <c r="W148" i="18"/>
  <c r="AB152" i="18"/>
  <c r="P153" i="18"/>
  <c r="H150" i="18"/>
  <c r="U145" i="18"/>
  <c r="F149" i="18"/>
  <c r="H145" i="18"/>
  <c r="U154" i="18"/>
  <c r="T144" i="18"/>
  <c r="AA177" i="18"/>
  <c r="F203" i="18"/>
  <c r="U255" i="18"/>
  <c r="AE153" i="18"/>
  <c r="J206" i="18"/>
  <c r="M267" i="18"/>
  <c r="S207" i="18"/>
  <c r="F208" i="18"/>
  <c r="J150" i="18"/>
  <c r="O174" i="18"/>
  <c r="F213" i="18"/>
  <c r="Z203" i="18"/>
  <c r="AB145" i="18"/>
  <c r="K176" i="18"/>
  <c r="S202" i="18"/>
  <c r="AB170" i="18"/>
  <c r="Y151" i="18"/>
  <c r="K204" i="18"/>
  <c r="Z150" i="18"/>
  <c r="I146" i="18"/>
  <c r="K144" i="18"/>
  <c r="W261" i="18"/>
  <c r="Y154" i="18"/>
  <c r="X203" i="18"/>
  <c r="AA208" i="18"/>
  <c r="AA149" i="18"/>
  <c r="AE206" i="18"/>
  <c r="S199" i="18"/>
  <c r="Q148" i="18"/>
  <c r="L250" i="18"/>
  <c r="N151" i="18"/>
  <c r="V205" i="18"/>
  <c r="P201" i="18"/>
  <c r="L144" i="18"/>
  <c r="Y144" i="18"/>
  <c r="K150" i="18"/>
  <c r="K146" i="18"/>
  <c r="O151" i="18"/>
  <c r="U261" i="18"/>
  <c r="Q206" i="18"/>
  <c r="L153" i="18"/>
  <c r="X152" i="18"/>
  <c r="G152" i="18"/>
  <c r="U147" i="18"/>
  <c r="AD151" i="18"/>
  <c r="T180" i="18"/>
  <c r="L151" i="18"/>
  <c r="U156" i="18"/>
  <c r="N157" i="18"/>
  <c r="S147" i="18"/>
  <c r="X145" i="18"/>
  <c r="G211" i="18"/>
  <c r="AA201" i="18"/>
  <c r="V146" i="18"/>
  <c r="I152" i="18"/>
  <c r="AB261" i="18"/>
  <c r="F147" i="18"/>
  <c r="I149" i="18"/>
  <c r="P214" i="18"/>
  <c r="H203" i="18"/>
  <c r="M201" i="18"/>
  <c r="W153" i="18"/>
  <c r="W203" i="18"/>
  <c r="P177" i="18"/>
  <c r="Y158" i="18"/>
  <c r="J200" i="18"/>
  <c r="U153" i="18"/>
  <c r="M157" i="18"/>
  <c r="M150" i="18"/>
  <c r="G184" i="18"/>
  <c r="M261" i="18"/>
  <c r="K183" i="18"/>
  <c r="L214" i="18"/>
  <c r="T208" i="18"/>
  <c r="AB148" i="18"/>
  <c r="R205" i="18"/>
  <c r="R148" i="18"/>
  <c r="AB180" i="18"/>
  <c r="J151" i="18"/>
  <c r="AB205" i="18"/>
  <c r="O154" i="18"/>
  <c r="T213" i="18"/>
  <c r="X214" i="18"/>
  <c r="AC147" i="18"/>
  <c r="O158" i="18"/>
  <c r="AA152" i="18"/>
  <c r="E146" i="18"/>
  <c r="G147" i="18"/>
  <c r="G154" i="18"/>
  <c r="AA155" i="18"/>
  <c r="AE261" i="18"/>
  <c r="W151" i="18"/>
  <c r="N143" i="18"/>
  <c r="P261" i="18"/>
  <c r="G143" i="18"/>
  <c r="AC150" i="18"/>
  <c r="S152" i="18"/>
  <c r="I150" i="18"/>
  <c r="Z154" i="18"/>
  <c r="O148" i="18"/>
  <c r="S149" i="18"/>
  <c r="F150" i="18"/>
  <c r="T147" i="18"/>
  <c r="AA207" i="18"/>
  <c r="R261" i="18"/>
  <c r="R214" i="18"/>
  <c r="G208" i="18"/>
  <c r="J156" i="18"/>
  <c r="H213" i="18"/>
  <c r="W156" i="18"/>
  <c r="AC152" i="18"/>
  <c r="H146" i="18"/>
  <c r="R150" i="18"/>
  <c r="Y149" i="18"/>
  <c r="V213" i="18"/>
  <c r="AA147" i="18"/>
  <c r="G148" i="18"/>
  <c r="V155" i="18"/>
  <c r="AA261" i="18"/>
  <c r="I202" i="18"/>
  <c r="R202" i="18"/>
  <c r="W152" i="18"/>
  <c r="W211" i="18"/>
  <c r="V250" i="18"/>
  <c r="AE152" i="18"/>
  <c r="X213" i="18"/>
  <c r="T268" i="18"/>
  <c r="L148" i="18"/>
  <c r="AD212" i="18"/>
  <c r="S157" i="18"/>
  <c r="F144" i="18"/>
  <c r="G153" i="18"/>
  <c r="G156" i="18"/>
  <c r="K152" i="18"/>
  <c r="Q144" i="18"/>
  <c r="V152" i="18"/>
  <c r="P150" i="18"/>
  <c r="G201" i="18"/>
  <c r="T158" i="18"/>
  <c r="H156" i="18"/>
  <c r="W145" i="18"/>
  <c r="R158" i="18"/>
  <c r="S200" i="18"/>
  <c r="AE150" i="18"/>
  <c r="U143" i="18"/>
  <c r="S151" i="18"/>
  <c r="N154" i="18"/>
  <c r="Q261" i="18"/>
  <c r="Z143" i="18"/>
  <c r="X149" i="18"/>
  <c r="O155" i="18"/>
  <c r="S148" i="18"/>
  <c r="R157" i="18"/>
  <c r="Y156" i="18"/>
  <c r="H205" i="18"/>
  <c r="T255" i="18"/>
  <c r="T253" i="18"/>
  <c r="Y157" i="18"/>
  <c r="I214" i="18"/>
  <c r="Y148" i="18"/>
  <c r="X146" i="18"/>
  <c r="G151" i="18"/>
  <c r="O212" i="18"/>
  <c r="W143" i="18"/>
  <c r="N214" i="18"/>
  <c r="AB213" i="18"/>
  <c r="N156" i="18"/>
  <c r="U144" i="18"/>
  <c r="AA143" i="18"/>
  <c r="L156" i="18"/>
  <c r="L158" i="18"/>
  <c r="W158" i="18"/>
  <c r="N211" i="18"/>
  <c r="O209" i="18"/>
  <c r="P144" i="18"/>
  <c r="I156" i="18"/>
  <c r="K208" i="18"/>
  <c r="T149" i="18"/>
  <c r="L147" i="18"/>
  <c r="H158" i="18"/>
  <c r="I261" i="18"/>
  <c r="I143" i="18"/>
  <c r="W207" i="18"/>
  <c r="F146" i="18"/>
  <c r="AC149" i="18"/>
  <c r="K145" i="18"/>
  <c r="AA202" i="18"/>
  <c r="K201" i="18"/>
  <c r="L267" i="18"/>
  <c r="V251" i="18"/>
  <c r="R206" i="18"/>
  <c r="N205" i="18"/>
  <c r="O143" i="18"/>
  <c r="AD154" i="18"/>
  <c r="T150" i="18"/>
  <c r="AB155" i="18"/>
  <c r="Z199" i="18"/>
  <c r="U208" i="18"/>
  <c r="P148" i="18"/>
  <c r="G150" i="18"/>
  <c r="AA148" i="18"/>
  <c r="Y146" i="18"/>
  <c r="AE158" i="18"/>
  <c r="U203" i="18"/>
  <c r="T202" i="18"/>
  <c r="Q156" i="18"/>
  <c r="Z148" i="18"/>
  <c r="Q151" i="18"/>
  <c r="V154" i="18"/>
  <c r="F155" i="18"/>
  <c r="V261" i="18"/>
  <c r="L155" i="18"/>
  <c r="AD143" i="18"/>
  <c r="AA151" i="18"/>
  <c r="G261" i="18"/>
  <c r="U151" i="18"/>
  <c r="F214" i="18"/>
  <c r="K158" i="18"/>
  <c r="X151" i="18"/>
  <c r="AC143" i="18"/>
  <c r="X261" i="18"/>
  <c r="U150" i="18"/>
  <c r="S144" i="18"/>
  <c r="I147" i="18"/>
  <c r="V147" i="18"/>
  <c r="Y155" i="18"/>
  <c r="P156" i="18"/>
  <c r="S261" i="18"/>
  <c r="K149" i="18"/>
  <c r="Y204" i="18"/>
  <c r="K148" i="18"/>
  <c r="I207" i="18"/>
  <c r="L152" i="18"/>
  <c r="H206" i="18"/>
  <c r="AD146" i="18"/>
  <c r="K202" i="18"/>
  <c r="O152" i="18"/>
  <c r="Q150" i="18"/>
  <c r="F154" i="18"/>
  <c r="J261" i="18"/>
  <c r="Z208" i="18"/>
  <c r="AE208" i="18"/>
  <c r="K199" i="18"/>
  <c r="L157" i="18"/>
  <c r="L255" i="18"/>
  <c r="R156" i="18"/>
  <c r="AC209" i="18"/>
  <c r="K266" i="18"/>
  <c r="I148" i="18"/>
  <c r="P200" i="18"/>
  <c r="Q152" i="18"/>
  <c r="P155" i="18"/>
  <c r="Z146" i="18"/>
  <c r="J146" i="18"/>
  <c r="Q158" i="18"/>
  <c r="X148" i="18"/>
  <c r="P151" i="18"/>
  <c r="N261" i="18"/>
  <c r="Z145" i="18"/>
  <c r="I204" i="18"/>
  <c r="AA199" i="18"/>
  <c r="K210" i="18"/>
  <c r="H148" i="18"/>
  <c r="AB150" i="18"/>
  <c r="AD261" i="18"/>
  <c r="M146" i="18"/>
  <c r="Z158" i="18"/>
  <c r="G145" i="18"/>
  <c r="K151" i="18"/>
  <c r="X154" i="18"/>
  <c r="AD145" i="18"/>
  <c r="V212" i="18"/>
  <c r="S210" i="18"/>
  <c r="AD213" i="18"/>
  <c r="T152" i="18"/>
  <c r="L146" i="18"/>
  <c r="AB249" i="18"/>
  <c r="J205" i="18"/>
  <c r="AC157" i="18"/>
  <c r="G203" i="18"/>
  <c r="U152" i="18"/>
  <c r="Y200" i="18"/>
  <c r="Y152" i="18"/>
  <c r="N152" i="18"/>
  <c r="F158" i="18"/>
  <c r="F152" i="18"/>
  <c r="Q149" i="18"/>
  <c r="AC156" i="18"/>
  <c r="M154" i="18"/>
  <c r="O261" i="18"/>
  <c r="AC151" i="18"/>
  <c r="N148" i="18"/>
  <c r="X155" i="18"/>
  <c r="I155" i="18"/>
  <c r="X144" i="18"/>
  <c r="J144" i="18"/>
  <c r="R144" i="18"/>
  <c r="V157" i="18"/>
  <c r="X204" i="18"/>
  <c r="P143" i="18"/>
  <c r="N147" i="18"/>
  <c r="X150" i="18"/>
  <c r="U155" i="18"/>
  <c r="X209" i="18"/>
  <c r="Y211" i="18"/>
  <c r="Z151" i="18"/>
  <c r="S211" i="18"/>
  <c r="H154" i="18"/>
  <c r="J147" i="18"/>
  <c r="AB157" i="18"/>
  <c r="Z254" i="18"/>
  <c r="H155" i="18"/>
  <c r="AC153" i="18"/>
  <c r="M155" i="18"/>
  <c r="K155" i="18"/>
  <c r="V150" i="18"/>
  <c r="AA156" i="18"/>
  <c r="AE154" i="18"/>
  <c r="I211" i="18"/>
  <c r="M207" i="18"/>
  <c r="N155" i="18"/>
  <c r="K156" i="18"/>
  <c r="S150" i="18"/>
  <c r="M144" i="18"/>
  <c r="AB147" i="18"/>
  <c r="K143" i="18"/>
  <c r="P199" i="18"/>
  <c r="P211" i="18"/>
  <c r="H144" i="18"/>
  <c r="K207" i="18"/>
  <c r="H143" i="18"/>
  <c r="T146" i="18"/>
  <c r="T154" i="18"/>
  <c r="Y143" i="18"/>
  <c r="F143" i="18"/>
  <c r="Z155" i="18"/>
  <c r="P207" i="18"/>
  <c r="P147" i="18"/>
  <c r="M158" i="18"/>
  <c r="F148" i="18"/>
  <c r="S158" i="18"/>
  <c r="Y150" i="18"/>
  <c r="O147" i="18"/>
  <c r="O153" i="18"/>
  <c r="N158" i="18"/>
  <c r="X147" i="18"/>
  <c r="S208" i="18"/>
  <c r="AD148" i="18"/>
  <c r="AD158" i="18"/>
  <c r="T206" i="18"/>
  <c r="T214" i="18"/>
  <c r="O205" i="18"/>
  <c r="I145" i="18"/>
  <c r="Y261" i="18"/>
  <c r="P204" i="18"/>
  <c r="T157" i="18"/>
  <c r="M148" i="18"/>
  <c r="W154" i="18"/>
  <c r="AE156" i="18"/>
  <c r="AE214" i="18"/>
  <c r="O156" i="18"/>
  <c r="AA212" i="18"/>
  <c r="H147" i="18"/>
  <c r="G155" i="18"/>
  <c r="P208" i="18"/>
  <c r="V143" i="18"/>
  <c r="U207" i="18"/>
  <c r="Y213" i="18"/>
  <c r="H151" i="18"/>
  <c r="N144" i="18"/>
  <c r="M143" i="18"/>
  <c r="Z156" i="18"/>
  <c r="O201" i="18"/>
  <c r="K253" i="18"/>
  <c r="M209" i="18"/>
  <c r="G205" i="18"/>
  <c r="AC154" i="18"/>
  <c r="U146" i="18"/>
  <c r="F202" i="18"/>
  <c r="M202" i="18"/>
  <c r="G200" i="18"/>
  <c r="Y253" i="18"/>
  <c r="AC201" i="18"/>
  <c r="Y202" i="18"/>
  <c r="L264" i="18"/>
  <c r="K182" i="18"/>
  <c r="U179" i="18"/>
  <c r="AB263" i="18"/>
  <c r="M153" i="18"/>
  <c r="T167" i="18"/>
  <c r="T263" i="18"/>
  <c r="M170" i="18"/>
  <c r="K211" i="18"/>
  <c r="AB209" i="18"/>
  <c r="P266" i="18"/>
  <c r="AA182" i="18"/>
  <c r="AC169" i="18"/>
  <c r="AA263" i="18"/>
  <c r="I251" i="18"/>
  <c r="H175" i="18"/>
  <c r="W250" i="18"/>
  <c r="AC252" i="18"/>
  <c r="N182" i="18"/>
  <c r="O176" i="18"/>
  <c r="AA178" i="18"/>
  <c r="AA211" i="18"/>
  <c r="J211" i="18"/>
  <c r="I174" i="18"/>
  <c r="AA205" i="18"/>
  <c r="Z180" i="18"/>
  <c r="P181" i="18"/>
  <c r="X270" i="18"/>
  <c r="P267" i="18"/>
  <c r="R209" i="18"/>
  <c r="W182" i="18"/>
  <c r="R182" i="18"/>
  <c r="J179" i="18"/>
  <c r="V268" i="18"/>
  <c r="I256" i="18"/>
  <c r="F145" i="18"/>
  <c r="I212" i="18"/>
  <c r="Y174" i="18"/>
  <c r="N153" i="18"/>
  <c r="S204" i="18"/>
  <c r="J157" i="18"/>
  <c r="U266" i="18"/>
  <c r="Z253" i="18"/>
  <c r="X250" i="18"/>
  <c r="AD176" i="18"/>
  <c r="Z270" i="18"/>
  <c r="P169" i="18"/>
  <c r="O255" i="18"/>
  <c r="AE269" i="18"/>
  <c r="AE169" i="18"/>
  <c r="AB174" i="18"/>
  <c r="O168" i="18"/>
  <c r="AB173" i="18"/>
  <c r="Q169" i="18"/>
  <c r="Z252" i="18"/>
  <c r="Z266" i="18"/>
  <c r="F212" i="18"/>
  <c r="Y179" i="18"/>
  <c r="K175" i="18"/>
  <c r="T267" i="18"/>
  <c r="O144" i="18"/>
  <c r="O204" i="18"/>
  <c r="R207" i="18"/>
  <c r="Y168" i="18"/>
  <c r="I151" i="18"/>
  <c r="S173" i="18"/>
  <c r="L211" i="18"/>
  <c r="Q204" i="18"/>
  <c r="I254" i="18"/>
  <c r="AA174" i="18"/>
  <c r="G174" i="18"/>
  <c r="Y210" i="18"/>
  <c r="N213" i="18"/>
  <c r="N201" i="18"/>
  <c r="AC254" i="18"/>
  <c r="AB204" i="18"/>
  <c r="AE264" i="18"/>
  <c r="U210" i="18"/>
  <c r="Z250" i="18"/>
  <c r="M212" i="18"/>
  <c r="H157" i="18"/>
  <c r="U211" i="18"/>
  <c r="L177" i="18"/>
  <c r="J174" i="18"/>
  <c r="T249" i="18"/>
  <c r="Y180" i="18"/>
  <c r="AA209" i="18"/>
  <c r="W208" i="18"/>
  <c r="N181" i="18"/>
  <c r="M169" i="18"/>
  <c r="G168" i="18"/>
  <c r="M210" i="18"/>
  <c r="T205" i="18"/>
  <c r="T269" i="18"/>
  <c r="V254" i="18"/>
  <c r="M179" i="18"/>
  <c r="S168" i="18"/>
  <c r="V269" i="18"/>
  <c r="M178" i="18"/>
  <c r="F210" i="18"/>
  <c r="O177" i="18"/>
  <c r="Q199" i="18"/>
  <c r="S251" i="18"/>
  <c r="O183" i="18"/>
  <c r="K157" i="18"/>
  <c r="L204" i="18"/>
  <c r="U256" i="18"/>
  <c r="AB182" i="18"/>
  <c r="V210" i="18"/>
  <c r="AC176" i="18"/>
  <c r="G213" i="18"/>
  <c r="T211" i="18"/>
  <c r="Z178" i="18"/>
  <c r="M211" i="18"/>
  <c r="AC202" i="18"/>
  <c r="P178" i="18"/>
  <c r="W155" i="18"/>
  <c r="G144" i="18"/>
  <c r="F176" i="18"/>
  <c r="N173" i="18"/>
  <c r="U184" i="18"/>
  <c r="K205" i="18"/>
  <c r="AD256" i="18"/>
  <c r="Z214" i="18"/>
  <c r="AB201" i="18"/>
  <c r="G207" i="18"/>
  <c r="Y184" i="18"/>
  <c r="AD207" i="18"/>
  <c r="J183" i="18"/>
  <c r="Y209" i="18"/>
  <c r="T252" i="18"/>
  <c r="U204" i="18"/>
  <c r="V249" i="18"/>
  <c r="I200" i="18"/>
  <c r="AC146" i="18"/>
  <c r="V252" i="18"/>
  <c r="AC158" i="18"/>
  <c r="Z177" i="18"/>
  <c r="N169" i="18"/>
  <c r="N254" i="18"/>
  <c r="W175" i="18"/>
  <c r="W170" i="18"/>
  <c r="AC261" i="18"/>
  <c r="Y178" i="18"/>
  <c r="V253" i="18"/>
  <c r="AE251" i="18"/>
  <c r="I170" i="18"/>
  <c r="AA176" i="18"/>
  <c r="X264" i="18"/>
  <c r="I179" i="18"/>
  <c r="AB250" i="18"/>
  <c r="W255" i="18"/>
  <c r="L263" i="18"/>
  <c r="Q249" i="18"/>
  <c r="T179" i="18"/>
  <c r="W199" i="18"/>
  <c r="AC205" i="18"/>
  <c r="K180" i="18"/>
  <c r="O213" i="18"/>
  <c r="O169" i="18"/>
  <c r="K184" i="18"/>
  <c r="AD182" i="18"/>
  <c r="Y250" i="18"/>
  <c r="O214" i="18"/>
  <c r="L249" i="18"/>
  <c r="O208" i="18"/>
  <c r="V184" i="18"/>
  <c r="R176" i="18"/>
  <c r="V267" i="18"/>
  <c r="P252" i="18"/>
  <c r="Y181" i="18"/>
  <c r="AA268" i="18"/>
  <c r="O251" i="18"/>
  <c r="AE184" i="18"/>
  <c r="S252" i="18"/>
  <c r="M183" i="18"/>
  <c r="AD183" i="18"/>
  <c r="K174" i="18"/>
  <c r="Z175" i="18"/>
  <c r="R154" i="18"/>
  <c r="P255" i="18"/>
  <c r="M268" i="18"/>
  <c r="X182" i="18"/>
  <c r="AE256" i="18"/>
  <c r="P167" i="18"/>
  <c r="AA204" i="18"/>
  <c r="AD177" i="18"/>
  <c r="AC249" i="18"/>
  <c r="G182" i="18"/>
  <c r="T204" i="18"/>
  <c r="T177" i="18"/>
  <c r="S249" i="18"/>
  <c r="H202" i="18"/>
  <c r="Q253" i="18"/>
  <c r="L182" i="18"/>
  <c r="W200" i="18"/>
  <c r="P268" i="18"/>
  <c r="W214" i="18"/>
  <c r="AB203" i="18"/>
  <c r="AD208" i="18"/>
  <c r="AE157" i="18"/>
  <c r="F157" i="18"/>
  <c r="P250" i="18"/>
  <c r="P263" i="18"/>
  <c r="U209" i="18"/>
  <c r="V256" i="18"/>
  <c r="N206" i="18"/>
  <c r="G149" i="18"/>
  <c r="Q256" i="18"/>
  <c r="J154" i="18"/>
  <c r="V199" i="18"/>
  <c r="L145" i="18"/>
  <c r="L205" i="18"/>
  <c r="O254" i="18"/>
  <c r="AD178" i="18"/>
  <c r="K177" i="18"/>
  <c r="X169" i="18"/>
  <c r="I205" i="18"/>
  <c r="AB208" i="18"/>
  <c r="J202" i="18"/>
  <c r="V203" i="18"/>
  <c r="AA153" i="18"/>
  <c r="P270" i="18"/>
  <c r="R201" i="18"/>
  <c r="N199" i="18"/>
  <c r="M269" i="18"/>
  <c r="AE149" i="18"/>
  <c r="X268" i="18"/>
  <c r="G263" i="18"/>
  <c r="U263" i="18"/>
  <c r="J182" i="18"/>
  <c r="Z264" i="18"/>
  <c r="V263" i="18"/>
  <c r="Z210" i="18"/>
  <c r="U214" i="18"/>
  <c r="AC253" i="18"/>
  <c r="Q211" i="18"/>
  <c r="F209" i="18"/>
  <c r="AE144" i="18"/>
  <c r="S156" i="18"/>
  <c r="N252" i="18"/>
  <c r="W173" i="18"/>
  <c r="AD170" i="18"/>
  <c r="X173" i="18"/>
  <c r="AD209" i="18"/>
  <c r="J201" i="18"/>
  <c r="Q202" i="18"/>
  <c r="K213" i="18"/>
  <c r="H182" i="18"/>
  <c r="M214" i="18"/>
  <c r="L199" i="18"/>
  <c r="T168" i="18"/>
  <c r="L183" i="18"/>
  <c r="AA158" i="18"/>
  <c r="V202" i="18"/>
  <c r="P210" i="18"/>
  <c r="N184" i="18"/>
  <c r="X177" i="18"/>
  <c r="AE255" i="18"/>
  <c r="H167" i="18"/>
  <c r="R250" i="18"/>
  <c r="Q268" i="18"/>
  <c r="G170" i="18"/>
  <c r="X179" i="18"/>
  <c r="G255" i="18"/>
  <c r="O167" i="18"/>
  <c r="V173" i="18"/>
  <c r="G269" i="18"/>
  <c r="G266" i="18"/>
  <c r="U200" i="18"/>
  <c r="W150" i="18"/>
  <c r="F201" i="18"/>
  <c r="L203" i="18"/>
  <c r="I183" i="18"/>
  <c r="AD156" i="18"/>
  <c r="V178" i="18"/>
  <c r="O184" i="18"/>
  <c r="AE213" i="18"/>
  <c r="M149" i="18"/>
  <c r="S145" i="18"/>
  <c r="L213" i="18"/>
  <c r="W181" i="18"/>
  <c r="Y206" i="18"/>
  <c r="V207" i="18"/>
  <c r="AA256" i="18"/>
  <c r="O180" i="18"/>
  <c r="AB143" i="18"/>
  <c r="K267" i="18"/>
  <c r="P182" i="18"/>
  <c r="AD184" i="18"/>
  <c r="X205" i="18"/>
  <c r="P180" i="18"/>
  <c r="I263" i="18"/>
  <c r="L256" i="18"/>
  <c r="P154" i="18"/>
  <c r="AE212" i="18"/>
  <c r="F206" i="18"/>
  <c r="Y175" i="18"/>
  <c r="AC174" i="18"/>
  <c r="Z209" i="18"/>
  <c r="N183" i="18"/>
  <c r="P179" i="18"/>
  <c r="P203" i="18"/>
  <c r="AD153" i="18"/>
  <c r="Q207" i="18"/>
  <c r="F256" i="18"/>
  <c r="R168" i="18"/>
  <c r="H254" i="18"/>
  <c r="G176" i="18"/>
  <c r="S183" i="18"/>
  <c r="AC208" i="18"/>
  <c r="AB181" i="18"/>
  <c r="V180" i="18"/>
  <c r="X269" i="18"/>
  <c r="U182" i="18"/>
  <c r="O199" i="18"/>
  <c r="V266" i="18"/>
  <c r="L179" i="18"/>
  <c r="V183" i="18"/>
  <c r="U180" i="18"/>
  <c r="P184" i="18"/>
  <c r="AA252" i="18"/>
  <c r="AD254" i="18"/>
  <c r="Y212" i="18"/>
  <c r="L201" i="18"/>
  <c r="AE168" i="18"/>
  <c r="K170" i="18"/>
  <c r="AD175" i="18"/>
  <c r="R252" i="18"/>
  <c r="R177" i="18"/>
  <c r="S212" i="18"/>
  <c r="Q183" i="18"/>
  <c r="T175" i="18"/>
  <c r="G179" i="18"/>
  <c r="V214" i="18"/>
  <c r="I167" i="18"/>
  <c r="M254" i="18"/>
  <c r="O182" i="18"/>
  <c r="T251" i="18"/>
  <c r="L209" i="18"/>
  <c r="K254" i="18"/>
  <c r="N253" i="18"/>
  <c r="AC250" i="18"/>
  <c r="W254" i="18"/>
  <c r="J253" i="18"/>
  <c r="O256" i="18"/>
  <c r="Q174" i="18"/>
  <c r="R149" i="18"/>
  <c r="Q178" i="18"/>
  <c r="X255" i="18"/>
  <c r="Q251" i="18"/>
  <c r="J167" i="18"/>
  <c r="Y208" i="18"/>
  <c r="N203" i="18"/>
  <c r="X265" i="18"/>
  <c r="G265" i="18"/>
  <c r="N207" i="18"/>
  <c r="Q214" i="18"/>
  <c r="L181" i="18"/>
  <c r="I199" i="18"/>
  <c r="Q155" i="18"/>
  <c r="Z152" i="18"/>
  <c r="T148" i="18"/>
  <c r="N145" i="18"/>
  <c r="H211" i="18"/>
  <c r="W180" i="18"/>
  <c r="T156" i="18"/>
  <c r="P157" i="18"/>
  <c r="N174" i="18"/>
  <c r="S205" i="18"/>
  <c r="G158" i="18"/>
  <c r="AA255" i="18"/>
  <c r="K255" i="18"/>
  <c r="W256" i="18"/>
  <c r="Q173" i="18"/>
  <c r="J254" i="18"/>
  <c r="S184" i="18"/>
  <c r="T176" i="18"/>
  <c r="N180" i="18"/>
  <c r="O253" i="18"/>
  <c r="T265" i="18"/>
  <c r="G206" i="18"/>
  <c r="R175" i="18"/>
  <c r="G253" i="18"/>
  <c r="U178" i="18"/>
  <c r="AA150" i="18"/>
  <c r="H180" i="18"/>
  <c r="Y256" i="18"/>
  <c r="O173" i="18"/>
  <c r="Y170" i="18"/>
  <c r="G175" i="18"/>
  <c r="S177" i="18"/>
  <c r="K249" i="18"/>
  <c r="T200" i="18"/>
  <c r="S206" i="18"/>
  <c r="AE204" i="18"/>
  <c r="G210" i="18"/>
  <c r="L173" i="18"/>
  <c r="K256" i="18"/>
  <c r="O178" i="18"/>
  <c r="V209" i="18"/>
  <c r="V206" i="18"/>
  <c r="N212" i="18"/>
  <c r="I208" i="18"/>
  <c r="G252" i="18"/>
  <c r="R174" i="18"/>
  <c r="L207" i="18"/>
  <c r="N251" i="18"/>
  <c r="L169" i="18"/>
  <c r="AA266" i="18"/>
  <c r="AD255" i="18"/>
  <c r="AD167" i="18"/>
  <c r="X157" i="18"/>
  <c r="Z169" i="18"/>
  <c r="H178" i="18"/>
  <c r="V255" i="18"/>
  <c r="V179" i="18"/>
  <c r="V174" i="18"/>
  <c r="X267" i="18"/>
  <c r="K181" i="18"/>
  <c r="AC206" i="18"/>
  <c r="T183" i="18"/>
  <c r="X253" i="18"/>
  <c r="K268" i="18"/>
  <c r="V167" i="18"/>
  <c r="AC256" i="18"/>
  <c r="R253" i="18"/>
  <c r="S146" i="18"/>
  <c r="R213" i="18"/>
  <c r="AD180" i="18"/>
  <c r="I268" i="18"/>
  <c r="AA179" i="18"/>
  <c r="AB206" i="18"/>
  <c r="J251" i="18"/>
  <c r="AA146" i="18"/>
  <c r="Y252" i="18"/>
  <c r="L252" i="18"/>
  <c r="K147" i="18"/>
  <c r="AD204" i="18"/>
  <c r="AA203" i="18"/>
  <c r="V208" i="18"/>
  <c r="AA269" i="18"/>
  <c r="N255" i="18"/>
  <c r="P168" i="18"/>
  <c r="N177" i="18"/>
  <c r="M204" i="18"/>
  <c r="S181" i="18"/>
  <c r="O202" i="18"/>
  <c r="R179" i="18"/>
  <c r="T212" i="18"/>
  <c r="F153" i="18"/>
  <c r="I270" i="18"/>
  <c r="AD253" i="18"/>
  <c r="AD249" i="18"/>
  <c r="J213" i="18"/>
  <c r="Z268" i="18"/>
  <c r="K252" i="18"/>
  <c r="V177" i="18"/>
  <c r="Q153" i="18"/>
  <c r="Z206" i="18"/>
  <c r="AA180" i="18"/>
  <c r="U176" i="18"/>
  <c r="T151" i="18"/>
  <c r="U269" i="18"/>
  <c r="H210" i="18"/>
  <c r="AA145" i="18"/>
  <c r="O145" i="18"/>
  <c r="W178" i="18"/>
  <c r="L265" i="18"/>
  <c r="M182" i="18"/>
  <c r="AA175" i="18"/>
  <c r="M250" i="18"/>
  <c r="AD252" i="18"/>
  <c r="X176" i="18"/>
  <c r="AB214" i="18"/>
  <c r="U254" i="18"/>
  <c r="AB264" i="18"/>
  <c r="U264" i="18"/>
  <c r="R183" i="18"/>
  <c r="Z167" i="18"/>
  <c r="T256" i="18"/>
  <c r="AD251" i="18"/>
  <c r="M199" i="18"/>
  <c r="G204" i="18"/>
  <c r="Q154" i="18"/>
  <c r="Y203" i="18"/>
  <c r="X266" i="18"/>
  <c r="M253" i="18"/>
  <c r="K179" i="18"/>
  <c r="V211" i="18"/>
  <c r="W253" i="18"/>
  <c r="L178" i="18"/>
  <c r="AC207" i="18"/>
  <c r="M252" i="18"/>
  <c r="G169" i="18"/>
  <c r="AA214" i="18"/>
  <c r="AD200" i="18"/>
  <c r="H200" i="18"/>
  <c r="Z168" i="18"/>
  <c r="V201" i="18"/>
  <c r="W177" i="18"/>
  <c r="O252" i="18"/>
  <c r="AB251" i="18"/>
  <c r="AD174" i="18"/>
  <c r="Z183" i="18"/>
  <c r="AB253" i="18"/>
  <c r="X168" i="18"/>
  <c r="Q179" i="18"/>
  <c r="Q254" i="18"/>
  <c r="T182" i="18"/>
  <c r="AE180" i="18"/>
  <c r="AE265" i="18"/>
  <c r="W184" i="18"/>
  <c r="T270" i="18"/>
  <c r="K203" i="18"/>
  <c r="AA251" i="18"/>
  <c r="J153" i="18"/>
  <c r="I255" i="18"/>
  <c r="I267" i="18"/>
  <c r="V145" i="18"/>
  <c r="O207" i="18"/>
  <c r="I178" i="18"/>
  <c r="S170" i="18"/>
  <c r="Z170" i="18"/>
  <c r="U267" i="18"/>
  <c r="I173" i="18"/>
  <c r="F175" i="18"/>
  <c r="X249" i="18"/>
  <c r="Q265" i="18"/>
  <c r="O206" i="18"/>
  <c r="H168" i="18"/>
  <c r="S153" i="18"/>
  <c r="G254" i="18"/>
  <c r="J181" i="18"/>
  <c r="Q143" i="18"/>
  <c r="Q146" i="18"/>
  <c r="U174" i="18"/>
  <c r="X174" i="18"/>
  <c r="AD250" i="18"/>
  <c r="AE252" i="18"/>
  <c r="V169" i="18"/>
  <c r="AE270" i="18"/>
  <c r="AA213" i="18"/>
  <c r="I203" i="18"/>
  <c r="AE210" i="18"/>
  <c r="V153" i="18"/>
  <c r="M181" i="18"/>
  <c r="P173" i="18"/>
  <c r="I169" i="18"/>
  <c r="AB168" i="18"/>
  <c r="AE146" i="18"/>
  <c r="I249" i="18"/>
  <c r="U212" i="18"/>
  <c r="W249" i="18"/>
  <c r="AE266" i="18"/>
  <c r="M173" i="18"/>
  <c r="L174" i="18"/>
  <c r="AE201" i="18"/>
  <c r="Z269" i="18"/>
  <c r="R249" i="18"/>
  <c r="R169" i="18"/>
  <c r="J212" i="18"/>
  <c r="AC255" i="18"/>
  <c r="R255" i="18"/>
  <c r="AD169" i="18"/>
  <c r="M206" i="18"/>
  <c r="AB212" i="18"/>
  <c r="R153" i="18"/>
  <c r="Q203" i="18"/>
  <c r="W169" i="18"/>
  <c r="AC203" i="18"/>
  <c r="AB202" i="18"/>
  <c r="N208" i="18"/>
  <c r="J175" i="18"/>
  <c r="J155" i="18"/>
  <c r="K169" i="18"/>
  <c r="AA167" i="18"/>
  <c r="AC212" i="18"/>
  <c r="M251" i="18"/>
  <c r="Q263" i="18"/>
  <c r="W144" i="18"/>
  <c r="Q170" i="18"/>
  <c r="L180" i="18"/>
  <c r="O149" i="18"/>
  <c r="AB154" i="18"/>
  <c r="AE205" i="18"/>
  <c r="U149" i="18"/>
  <c r="W174" i="18"/>
  <c r="AA210" i="18"/>
  <c r="Y251" i="18"/>
  <c r="S167" i="18"/>
  <c r="L168" i="18"/>
  <c r="G268" i="18"/>
  <c r="AC167" i="18"/>
  <c r="L176" i="18"/>
  <c r="AD157" i="18"/>
  <c r="I177" i="18"/>
  <c r="Q269" i="18"/>
  <c r="T178" i="18"/>
  <c r="T250" i="18"/>
  <c r="W179" i="18"/>
  <c r="O170" i="18"/>
  <c r="L184" i="18"/>
  <c r="AB211" i="18"/>
  <c r="U253" i="18"/>
  <c r="AB254" i="18"/>
  <c r="S255" i="18"/>
  <c r="AA183" i="18"/>
  <c r="R173" i="18"/>
  <c r="I269" i="18"/>
  <c r="G202" i="18"/>
  <c r="J249" i="18"/>
  <c r="R211" i="18"/>
  <c r="AC184" i="18"/>
  <c r="Z174" i="18"/>
  <c r="X256" i="18"/>
  <c r="S180" i="18"/>
  <c r="AB177" i="18"/>
  <c r="Z249" i="18"/>
  <c r="R212" i="18"/>
  <c r="O210" i="18"/>
  <c r="T169" i="18"/>
  <c r="T261" i="18"/>
  <c r="H169" i="18"/>
  <c r="Z184" i="18"/>
  <c r="Y254" i="18"/>
  <c r="F151" i="18"/>
  <c r="AA253" i="18"/>
  <c r="Z176" i="18"/>
  <c r="Y177" i="18"/>
  <c r="L154" i="18"/>
  <c r="U169" i="18"/>
  <c r="Z267" i="18"/>
  <c r="J168" i="18"/>
  <c r="Z255" i="18"/>
  <c r="AB153" i="18"/>
  <c r="AD199" i="18"/>
  <c r="W168" i="18"/>
  <c r="R145" i="18"/>
  <c r="Y145" i="18"/>
  <c r="AB184" i="18"/>
  <c r="P253" i="18"/>
  <c r="AA184" i="18"/>
  <c r="AA270" i="18"/>
  <c r="S250" i="18"/>
  <c r="W251" i="18"/>
  <c r="AB255" i="18"/>
  <c r="Z153" i="18"/>
  <c r="U170" i="18"/>
  <c r="P202" i="18"/>
  <c r="M213" i="18"/>
  <c r="AB269" i="18"/>
  <c r="U202" i="18"/>
  <c r="P265" i="18"/>
  <c r="P174" i="18"/>
  <c r="I176" i="18"/>
  <c r="X175" i="18"/>
  <c r="AA264" i="18"/>
  <c r="S203" i="18"/>
  <c r="AB207" i="18"/>
  <c r="I168" i="18"/>
  <c r="K214" i="18"/>
  <c r="S176" i="18"/>
  <c r="N167" i="18"/>
  <c r="U252" i="18"/>
  <c r="G256" i="18"/>
  <c r="X181" i="18"/>
  <c r="G181" i="18"/>
  <c r="X202" i="18"/>
  <c r="N200" i="18"/>
  <c r="O157" i="18"/>
  <c r="P256" i="18"/>
  <c r="P251" i="18"/>
  <c r="G157" i="18"/>
  <c r="M156" i="18"/>
  <c r="AE145" i="18"/>
  <c r="K263" i="18"/>
  <c r="AB256" i="18"/>
  <c r="X212" i="18"/>
  <c r="Q213" i="18"/>
  <c r="X207" i="18"/>
  <c r="Q264" i="18"/>
  <c r="AB270" i="18"/>
  <c r="P170" i="18"/>
  <c r="H207" i="18"/>
  <c r="AD155" i="18"/>
  <c r="Y169" i="18"/>
  <c r="S256" i="18"/>
  <c r="T209" i="18"/>
  <c r="AE148" i="18"/>
  <c r="AC251" i="18"/>
  <c r="V175" i="18"/>
  <c r="W212" i="18"/>
  <c r="Q145" i="18"/>
  <c r="X251" i="18"/>
  <c r="G251" i="18"/>
  <c r="Q205" i="18"/>
  <c r="AB252" i="18"/>
  <c r="U168" i="18"/>
  <c r="AE179" i="18"/>
  <c r="J250" i="18"/>
  <c r="AE170" i="18"/>
  <c r="AA267" i="18"/>
  <c r="O250" i="18"/>
  <c r="M168" i="18"/>
  <c r="H201" i="18"/>
  <c r="P213" i="18"/>
  <c r="J177" i="18"/>
  <c r="G267" i="18"/>
  <c r="AB167" i="18"/>
  <c r="P269" i="18"/>
  <c r="K206" i="18"/>
  <c r="Q157" i="18"/>
  <c r="L251" i="18"/>
  <c r="AC177" i="18"/>
  <c r="R184" i="18"/>
  <c r="J145" i="18"/>
  <c r="AB149" i="18"/>
  <c r="K154" i="18"/>
  <c r="N146" i="18"/>
  <c r="H249" i="18"/>
  <c r="F204" i="18"/>
  <c r="T201" i="18"/>
  <c r="Z212" i="18"/>
  <c r="AC145" i="18"/>
  <c r="M177" i="18"/>
  <c r="S179" i="18"/>
  <c r="U201" i="18"/>
  <c r="AB178" i="18"/>
  <c r="H174" i="18"/>
  <c r="Q201" i="18"/>
  <c r="O203" i="18"/>
  <c r="S213" i="18"/>
  <c r="L202" i="18"/>
  <c r="K250" i="18"/>
  <c r="M152" i="18"/>
  <c r="AB268" i="18"/>
  <c r="V270" i="18"/>
  <c r="H179" i="18"/>
  <c r="AB151" i="18"/>
  <c r="V149" i="18"/>
  <c r="R208" i="18"/>
  <c r="U175" i="18"/>
  <c r="F205" i="18"/>
  <c r="AA170" i="18"/>
  <c r="G212" i="18"/>
  <c r="P264" i="18"/>
  <c r="U183" i="18"/>
  <c r="Q180" i="18"/>
  <c r="U157" i="18"/>
  <c r="Q208" i="18"/>
  <c r="AD201" i="18"/>
  <c r="S178" i="18"/>
  <c r="K212" i="18"/>
  <c r="H256" i="18"/>
  <c r="M263" i="18"/>
  <c r="AB169" i="18"/>
  <c r="N249" i="18"/>
  <c r="L254" i="18"/>
  <c r="H173" i="18"/>
  <c r="Z182" i="18"/>
  <c r="AC175" i="18"/>
  <c r="R170" i="18"/>
  <c r="N202" i="18"/>
  <c r="W202" i="18"/>
  <c r="J203" i="18"/>
  <c r="AD205" i="18"/>
  <c r="J252" i="18"/>
  <c r="T207" i="18"/>
  <c r="H181" i="18"/>
  <c r="AA206" i="18"/>
  <c r="AA254" i="18"/>
  <c r="AC199" i="18"/>
  <c r="AE268" i="18"/>
  <c r="W149" i="18"/>
  <c r="AC183" i="18"/>
  <c r="M180" i="18"/>
  <c r="X167" i="18"/>
  <c r="O175" i="18"/>
  <c r="AB265" i="18"/>
  <c r="J169" i="18"/>
  <c r="L270" i="18"/>
  <c r="M176" i="18"/>
  <c r="P176" i="18"/>
  <c r="AB267" i="18"/>
  <c r="AB183" i="18"/>
  <c r="J173" i="18"/>
  <c r="Q182" i="18"/>
  <c r="G167" i="18"/>
  <c r="N210" i="18"/>
  <c r="N250" i="18"/>
  <c r="O249" i="18"/>
  <c r="W205" i="18"/>
  <c r="Z205" i="18"/>
  <c r="T145" i="18"/>
  <c r="U205" i="18"/>
  <c r="M256" i="18"/>
  <c r="Z181" i="18"/>
  <c r="R178" i="18"/>
  <c r="K270" i="18"/>
  <c r="Z157" i="18"/>
  <c r="X184" i="18"/>
  <c r="H208" i="18"/>
  <c r="J207" i="18"/>
  <c r="AC173" i="18"/>
  <c r="P254" i="18"/>
  <c r="Q168" i="18"/>
  <c r="M208" i="18"/>
  <c r="Z207" i="18"/>
  <c r="AA168" i="18"/>
  <c r="W176" i="18"/>
  <c r="V168" i="18"/>
  <c r="Q255" i="18"/>
  <c r="G177" i="18"/>
  <c r="R180" i="18"/>
  <c r="X263" i="18"/>
  <c r="Z201" i="18"/>
  <c r="U251" i="18"/>
  <c r="U173" i="18"/>
  <c r="L210" i="18"/>
  <c r="AD214" i="18"/>
  <c r="AE200" i="18"/>
  <c r="W210" i="18"/>
  <c r="R199" i="18"/>
  <c r="T254" i="18"/>
  <c r="K178" i="18"/>
  <c r="N179" i="18"/>
  <c r="Z149" i="18"/>
  <c r="L206" i="18"/>
  <c r="X180" i="18"/>
  <c r="AD149" i="18"/>
  <c r="Y153" i="18"/>
  <c r="V181" i="18"/>
  <c r="K168" i="18"/>
  <c r="J208" i="18"/>
  <c r="L269" i="18"/>
  <c r="Y214" i="18"/>
  <c r="F184" i="18"/>
  <c r="Q252" i="18"/>
  <c r="L175" i="18"/>
  <c r="M265" i="18"/>
  <c r="S254" i="18"/>
  <c r="Q177" i="18"/>
  <c r="AC168" i="18"/>
  <c r="X211" i="18"/>
  <c r="AD203" i="18"/>
  <c r="AB200" i="18"/>
  <c r="S209" i="18"/>
  <c r="M266" i="18"/>
  <c r="K167" i="18"/>
  <c r="K153" i="18"/>
  <c r="K269" i="18"/>
  <c r="W213" i="18"/>
  <c r="Y176" i="18"/>
  <c r="AD173" i="18"/>
  <c r="N209" i="18"/>
  <c r="M270" i="18"/>
  <c r="G199" i="18"/>
  <c r="R200" i="18"/>
  <c r="I180" i="18"/>
  <c r="Q209" i="18"/>
  <c r="F200" i="18"/>
  <c r="X201" i="18"/>
  <c r="I266" i="18"/>
  <c r="P149" i="18"/>
  <c r="M255" i="18"/>
  <c r="AA249" i="18"/>
  <c r="Z263" i="18"/>
  <c r="H250" i="18"/>
  <c r="AA265" i="18"/>
  <c r="Q266" i="18"/>
  <c r="R251" i="18"/>
  <c r="AE183" i="18"/>
  <c r="L268" i="18"/>
  <c r="S214" i="18"/>
  <c r="AA169" i="18"/>
  <c r="N170" i="18"/>
  <c r="Y249" i="18"/>
  <c r="H252" i="18"/>
  <c r="J176" i="18"/>
  <c r="U249" i="18"/>
  <c r="V176" i="18"/>
  <c r="G249" i="18"/>
  <c r="Q167" i="18"/>
  <c r="G178" i="18"/>
  <c r="H177" i="18"/>
  <c r="W252" i="18"/>
  <c r="M205" i="18"/>
  <c r="H149" i="18"/>
  <c r="Q212" i="18"/>
  <c r="R210" i="18"/>
  <c r="R254" i="18"/>
  <c r="K209" i="18"/>
  <c r="AD210" i="18"/>
  <c r="Z179" i="18"/>
  <c r="Y205" i="18"/>
  <c r="Q267" i="18"/>
  <c r="X183" i="18"/>
  <c r="L167" i="18"/>
  <c r="AD181" i="18"/>
  <c r="Z251" i="18"/>
  <c r="Y183" i="18"/>
  <c r="Q184" i="18"/>
  <c r="M264" i="18"/>
  <c r="H176" i="18"/>
  <c r="AC179" i="18"/>
  <c r="I252" i="18"/>
  <c r="W167" i="18"/>
  <c r="U177" i="18"/>
  <c r="G270" i="18"/>
  <c r="AC181" i="18"/>
  <c r="AC178" i="18"/>
  <c r="P145" i="18"/>
  <c r="J256" i="18"/>
  <c r="S253" i="18"/>
  <c r="J184" i="18"/>
  <c r="X153" i="18"/>
  <c r="AA200" i="18"/>
  <c r="H170" i="18"/>
  <c r="J204" i="18"/>
  <c r="P158" i="18"/>
  <c r="R146" i="18"/>
  <c r="H253" i="18"/>
  <c r="X254" i="18"/>
  <c r="J158" i="18"/>
  <c r="R143" i="18"/>
  <c r="I181" i="18"/>
  <c r="I209" i="18"/>
  <c r="AA250" i="18"/>
  <c r="AE175" i="18"/>
  <c r="V170" i="18"/>
  <c r="I210" i="18"/>
  <c r="Y182" i="18"/>
  <c r="H184" i="18"/>
  <c r="W157" i="18"/>
  <c r="T181" i="18"/>
  <c r="M200" i="18"/>
  <c r="AC214" i="18"/>
  <c r="J255" i="18"/>
  <c r="Y255" i="18"/>
  <c r="AC204" i="18"/>
  <c r="K173" i="18"/>
  <c r="AE250" i="18"/>
  <c r="AE209" i="18"/>
  <c r="O181" i="18"/>
  <c r="W201" i="18"/>
  <c r="AE176" i="18"/>
  <c r="G214" i="18"/>
  <c r="G209" i="18"/>
  <c r="U270" i="18"/>
  <c r="Q200" i="18"/>
  <c r="T199" i="18"/>
  <c r="G264" i="18"/>
  <c r="AE182" i="18"/>
  <c r="Z202" i="18"/>
  <c r="I182" i="18"/>
  <c r="Y199" i="18"/>
  <c r="F211" i="18"/>
  <c r="V265" i="18"/>
  <c r="M203" i="18"/>
  <c r="P205" i="18"/>
  <c r="N178" i="18"/>
  <c r="L170" i="18"/>
  <c r="Z256" i="18"/>
  <c r="I264" i="18"/>
  <c r="U181" i="18"/>
  <c r="L208" i="18"/>
  <c r="N175" i="18"/>
  <c r="M174" i="18"/>
  <c r="T174" i="18"/>
  <c r="S174" i="18"/>
  <c r="AB199" i="18"/>
  <c r="AB179" i="18"/>
  <c r="AE174" i="18"/>
  <c r="N256" i="18"/>
  <c r="G180" i="18"/>
  <c r="AB266" i="18"/>
  <c r="R203" i="18"/>
  <c r="X200" i="18"/>
  <c r="W204" i="18"/>
  <c r="X208" i="18"/>
  <c r="W146" i="18"/>
  <c r="T264" i="18"/>
  <c r="I153" i="18"/>
  <c r="X178" i="18"/>
  <c r="I253" i="18"/>
  <c r="N149" i="18"/>
  <c r="AD202" i="18"/>
  <c r="I175" i="18"/>
  <c r="V158" i="18"/>
  <c r="AB175" i="18"/>
  <c r="Q181" i="18"/>
  <c r="AB210" i="18"/>
  <c r="Q250" i="18"/>
  <c r="K251" i="18"/>
  <c r="AC180" i="18"/>
  <c r="W206" i="18"/>
  <c r="J214" i="18"/>
  <c r="T153" i="18"/>
  <c r="L200" i="18"/>
  <c r="R256" i="18"/>
  <c r="AB176" i="18"/>
  <c r="X199" i="18"/>
  <c r="Z213" i="18"/>
  <c r="V182" i="18"/>
  <c r="I201" i="18"/>
  <c r="AC170" i="18"/>
  <c r="S175" i="18"/>
  <c r="AC210" i="18"/>
  <c r="AD179" i="18"/>
  <c r="H255" i="18"/>
  <c r="Q176" i="18"/>
  <c r="U206" i="18"/>
  <c r="H214" i="18"/>
  <c r="U158" i="18"/>
  <c r="I184" i="18"/>
  <c r="N168" i="18"/>
  <c r="P249" i="18"/>
  <c r="Q175" i="18"/>
  <c r="U268" i="18"/>
  <c r="Z173" i="18"/>
  <c r="T266" i="18"/>
  <c r="P183" i="18"/>
  <c r="T170" i="18"/>
  <c r="J209" i="18"/>
  <c r="J149" i="18"/>
  <c r="T173" i="18"/>
  <c r="V200" i="18"/>
  <c r="AD168" i="18"/>
  <c r="O200" i="18"/>
  <c r="I250" i="18"/>
  <c r="AC211" i="18"/>
  <c r="Y173" i="18"/>
  <c r="M175" i="18"/>
  <c r="J180" i="18"/>
  <c r="P209" i="18"/>
  <c r="T203" i="18"/>
  <c r="Z265" i="18"/>
  <c r="Y167" i="18"/>
  <c r="O179" i="18"/>
  <c r="S182" i="18"/>
  <c r="M167" i="18"/>
  <c r="AD206" i="18"/>
  <c r="AA181" i="18"/>
  <c r="J178" i="18"/>
  <c r="J170" i="18"/>
  <c r="AA173" i="18"/>
  <c r="AC182" i="18"/>
  <c r="I265" i="18"/>
  <c r="K265" i="18"/>
  <c r="AC213" i="18"/>
  <c r="X252" i="18"/>
  <c r="I206" i="18"/>
  <c r="Q270" i="18"/>
  <c r="I157" i="18"/>
  <c r="U167" i="18"/>
  <c r="G146" i="18"/>
  <c r="V264" i="18"/>
  <c r="S169" i="18"/>
  <c r="L212" i="18"/>
  <c r="S227" i="18" l="1"/>
  <c r="S193" i="18"/>
  <c r="S239" i="18"/>
  <c r="G166" i="18"/>
  <c r="U191" i="18"/>
  <c r="U237" i="18"/>
  <c r="U225" i="18"/>
  <c r="I224" i="18"/>
  <c r="AA185" i="18"/>
  <c r="J171" i="18"/>
  <c r="J194" i="18"/>
  <c r="J172" i="18"/>
  <c r="J228" i="18"/>
  <c r="J240" i="18"/>
  <c r="AD224" i="18"/>
  <c r="M237" i="18"/>
  <c r="M225" i="18"/>
  <c r="M191" i="18"/>
  <c r="Y237" i="18"/>
  <c r="Y225" i="18"/>
  <c r="Y191" i="18"/>
  <c r="T221" i="18"/>
  <c r="M187" i="18"/>
  <c r="Y185" i="18"/>
  <c r="O216" i="18"/>
  <c r="AD238" i="18"/>
  <c r="AD226" i="18"/>
  <c r="AD192" i="18"/>
  <c r="V216" i="18"/>
  <c r="T185" i="18"/>
  <c r="J161" i="18"/>
  <c r="T228" i="18"/>
  <c r="T171" i="18"/>
  <c r="T194" i="18"/>
  <c r="T172" i="18"/>
  <c r="T240" i="18"/>
  <c r="Z185" i="18"/>
  <c r="Q187" i="18"/>
  <c r="N238" i="18"/>
  <c r="N226" i="18"/>
  <c r="N192" i="18"/>
  <c r="U224" i="18"/>
  <c r="Q188" i="18"/>
  <c r="S187" i="18"/>
  <c r="AC172" i="18"/>
  <c r="AC194" i="18"/>
  <c r="AC240" i="18"/>
  <c r="AC171" i="18"/>
  <c r="AC228" i="18"/>
  <c r="I217" i="18"/>
  <c r="X215" i="18"/>
  <c r="AB188" i="18"/>
  <c r="L216" i="18"/>
  <c r="W224" i="18"/>
  <c r="AB187" i="18"/>
  <c r="I187" i="18"/>
  <c r="AD218" i="18"/>
  <c r="N161" i="18"/>
  <c r="W166" i="18"/>
  <c r="W222" i="18"/>
  <c r="X216" i="18"/>
  <c r="R221" i="18"/>
  <c r="AH180" i="18"/>
  <c r="AE186" i="18"/>
  <c r="AB215" i="18"/>
  <c r="S186" i="18"/>
  <c r="T186" i="18"/>
  <c r="M186" i="18"/>
  <c r="N187" i="18"/>
  <c r="L228" i="18"/>
  <c r="L172" i="18"/>
  <c r="L240" i="18"/>
  <c r="L171" i="18"/>
  <c r="L194" i="18"/>
  <c r="P223" i="18"/>
  <c r="M221" i="18"/>
  <c r="Y215" i="18"/>
  <c r="Z218" i="18"/>
  <c r="T215" i="18"/>
  <c r="Q216" i="18"/>
  <c r="AH209" i="18"/>
  <c r="AH214" i="18"/>
  <c r="AE188" i="18"/>
  <c r="W217" i="18"/>
  <c r="K185" i="18"/>
  <c r="AC222" i="18"/>
  <c r="M216" i="18"/>
  <c r="V194" i="18"/>
  <c r="V240" i="18"/>
  <c r="V172" i="18"/>
  <c r="V228" i="18"/>
  <c r="V171" i="18"/>
  <c r="AE187" i="18"/>
  <c r="R163" i="18"/>
  <c r="R166" i="18"/>
  <c r="J222" i="18"/>
  <c r="H228" i="18"/>
  <c r="H194" i="18"/>
  <c r="H172" i="18"/>
  <c r="H171" i="18"/>
  <c r="H240" i="18"/>
  <c r="AA216" i="18"/>
  <c r="P165" i="18"/>
  <c r="W225" i="18"/>
  <c r="W191" i="18"/>
  <c r="W237" i="18"/>
  <c r="H188" i="18"/>
  <c r="H259" i="18" s="1"/>
  <c r="L237" i="18"/>
  <c r="L225" i="18"/>
  <c r="L191" i="18"/>
  <c r="Y223" i="18"/>
  <c r="H161" i="18"/>
  <c r="M223" i="18"/>
  <c r="M245" i="18" s="1"/>
  <c r="AH178" i="18"/>
  <c r="Q225" i="18"/>
  <c r="Q237" i="18"/>
  <c r="Q191" i="18"/>
  <c r="C296" i="67"/>
  <c r="V188" i="18"/>
  <c r="V259" i="18" s="1"/>
  <c r="V260" i="18" s="1"/>
  <c r="J188" i="18"/>
  <c r="N228" i="18"/>
  <c r="N171" i="18"/>
  <c r="N194" i="18"/>
  <c r="N240" i="18"/>
  <c r="N172" i="18"/>
  <c r="AA193" i="18"/>
  <c r="AA227" i="18"/>
  <c r="AA239" i="18"/>
  <c r="P161" i="18"/>
  <c r="X217" i="18"/>
  <c r="F216" i="18"/>
  <c r="F238" i="18"/>
  <c r="R216" i="18"/>
  <c r="G215" i="18"/>
  <c r="AH199" i="18"/>
  <c r="AD185" i="18"/>
  <c r="Y188" i="18"/>
  <c r="K225" i="18"/>
  <c r="K191" i="18"/>
  <c r="K237" i="18"/>
  <c r="AB216" i="18"/>
  <c r="AD221" i="18"/>
  <c r="AC238" i="18"/>
  <c r="AC192" i="18"/>
  <c r="AC226" i="18"/>
  <c r="L187" i="18"/>
  <c r="K238" i="18"/>
  <c r="K226" i="18"/>
  <c r="K192" i="18"/>
  <c r="AD161" i="18"/>
  <c r="L224" i="18"/>
  <c r="Z161" i="18"/>
  <c r="R215" i="18"/>
  <c r="AE216" i="18"/>
  <c r="U185" i="18"/>
  <c r="Z217" i="18"/>
  <c r="AH177" i="18"/>
  <c r="V226" i="18"/>
  <c r="V192" i="18"/>
  <c r="V238" i="18"/>
  <c r="W188" i="18"/>
  <c r="AA192" i="18"/>
  <c r="AA238" i="18"/>
  <c r="AA226" i="18"/>
  <c r="Q192" i="18"/>
  <c r="Q238" i="18"/>
  <c r="Q226" i="18"/>
  <c r="AC185" i="18"/>
  <c r="U223" i="18"/>
  <c r="T165" i="18"/>
  <c r="Z223" i="18"/>
  <c r="W223" i="18"/>
  <c r="G237" i="18"/>
  <c r="AH167" i="18"/>
  <c r="G225" i="18"/>
  <c r="C106" i="67"/>
  <c r="G191" i="18"/>
  <c r="C84" i="67"/>
  <c r="J185" i="18"/>
  <c r="P188" i="18"/>
  <c r="M188" i="18"/>
  <c r="J239" i="18"/>
  <c r="J193" i="18"/>
  <c r="J227" i="18"/>
  <c r="O187" i="18"/>
  <c r="X191" i="18"/>
  <c r="X225" i="18"/>
  <c r="X237" i="18"/>
  <c r="W161" i="18"/>
  <c r="AC215" i="18"/>
  <c r="AA224" i="18"/>
  <c r="AD223" i="18"/>
  <c r="J221" i="18"/>
  <c r="W218" i="18"/>
  <c r="N218" i="18"/>
  <c r="R171" i="18"/>
  <c r="R194" i="18"/>
  <c r="R240" i="18"/>
  <c r="R228" i="18"/>
  <c r="R172" i="18"/>
  <c r="AC187" i="18"/>
  <c r="H185" i="18"/>
  <c r="AB239" i="18"/>
  <c r="AB227" i="18"/>
  <c r="AB193" i="18"/>
  <c r="AD217" i="18"/>
  <c r="AH212" i="18"/>
  <c r="AA228" i="18"/>
  <c r="AA194" i="18"/>
  <c r="AA171" i="18"/>
  <c r="AA240" i="18"/>
  <c r="AA172" i="18"/>
  <c r="F223" i="18"/>
  <c r="U187" i="18"/>
  <c r="V161" i="18"/>
  <c r="L218" i="18"/>
  <c r="O221" i="18"/>
  <c r="Q217" i="18"/>
  <c r="H186" i="18"/>
  <c r="U217" i="18"/>
  <c r="AC165" i="18"/>
  <c r="T217" i="18"/>
  <c r="F222" i="18"/>
  <c r="N166" i="18"/>
  <c r="AB161" i="18"/>
  <c r="J165" i="18"/>
  <c r="K224" i="18"/>
  <c r="AB191" i="18"/>
  <c r="AB225" i="18"/>
  <c r="AB237" i="18"/>
  <c r="H217" i="18"/>
  <c r="M238" i="18"/>
  <c r="M226" i="18"/>
  <c r="M192" i="18"/>
  <c r="AE228" i="18"/>
  <c r="AE194" i="18"/>
  <c r="AE240" i="18"/>
  <c r="AE172" i="18"/>
  <c r="U192" i="18"/>
  <c r="U226" i="18"/>
  <c r="U238" i="18"/>
  <c r="Q223" i="18"/>
  <c r="E296" i="67"/>
  <c r="Q165" i="18"/>
  <c r="V187" i="18"/>
  <c r="AE160" i="18"/>
  <c r="Y193" i="18"/>
  <c r="Y239" i="18"/>
  <c r="Y227" i="18"/>
  <c r="P240" i="18"/>
  <c r="P171" i="18"/>
  <c r="P194" i="18"/>
  <c r="P172" i="18"/>
  <c r="P228" i="18"/>
  <c r="AE165" i="18"/>
  <c r="AH157" i="18"/>
  <c r="N216" i="18"/>
  <c r="X218" i="18"/>
  <c r="AH181" i="18"/>
  <c r="F305" i="67"/>
  <c r="N191" i="18"/>
  <c r="N225" i="18"/>
  <c r="N237" i="18"/>
  <c r="S188" i="18"/>
  <c r="I226" i="18"/>
  <c r="I238" i="18"/>
  <c r="I192" i="18"/>
  <c r="S221" i="18"/>
  <c r="X187" i="18"/>
  <c r="I188" i="18"/>
  <c r="P186" i="18"/>
  <c r="U218" i="18"/>
  <c r="P218" i="18"/>
  <c r="U171" i="18"/>
  <c r="U172" i="18"/>
  <c r="U228" i="18"/>
  <c r="U194" i="18"/>
  <c r="U240" i="18"/>
  <c r="Y165" i="18"/>
  <c r="R165" i="18"/>
  <c r="W192" i="18"/>
  <c r="W226" i="18"/>
  <c r="W238" i="18"/>
  <c r="AD215" i="18"/>
  <c r="J192" i="18"/>
  <c r="J226" i="18"/>
  <c r="J238" i="18"/>
  <c r="U239" i="18"/>
  <c r="U227" i="18"/>
  <c r="U193" i="18"/>
  <c r="Z188" i="18"/>
  <c r="H239" i="18"/>
  <c r="H193" i="18"/>
  <c r="H227" i="18"/>
  <c r="T227" i="18"/>
  <c r="T193" i="18"/>
  <c r="T239" i="18"/>
  <c r="Z186" i="18"/>
  <c r="G218" i="18"/>
  <c r="AH202" i="18"/>
  <c r="R185" i="18"/>
  <c r="O228" i="18"/>
  <c r="O194" i="18"/>
  <c r="O240" i="18"/>
  <c r="O172" i="18"/>
  <c r="O171" i="18"/>
  <c r="L188" i="18"/>
  <c r="AC225" i="18"/>
  <c r="AC191" i="18"/>
  <c r="AC237" i="18"/>
  <c r="L192" i="18"/>
  <c r="L238" i="18"/>
  <c r="L226" i="18"/>
  <c r="S225" i="18"/>
  <c r="S191" i="18"/>
  <c r="S237" i="18"/>
  <c r="W186" i="18"/>
  <c r="U161" i="18"/>
  <c r="AE223" i="18"/>
  <c r="O161" i="18"/>
  <c r="Q194" i="18"/>
  <c r="Q240" i="18"/>
  <c r="Q171" i="18"/>
  <c r="Q228" i="18"/>
  <c r="Q172" i="18"/>
  <c r="W164" i="18"/>
  <c r="AA191" i="18"/>
  <c r="AA225" i="18"/>
  <c r="AA237" i="18"/>
  <c r="K227" i="18"/>
  <c r="K193" i="18"/>
  <c r="K239" i="18"/>
  <c r="J187" i="18"/>
  <c r="AB218" i="18"/>
  <c r="AC221" i="18"/>
  <c r="W239" i="18"/>
  <c r="W193" i="18"/>
  <c r="W227" i="18"/>
  <c r="Q221" i="18"/>
  <c r="M224" i="18"/>
  <c r="AD239" i="18"/>
  <c r="AD193" i="18"/>
  <c r="AD227" i="18"/>
  <c r="R239" i="18"/>
  <c r="R193" i="18"/>
  <c r="R227" i="18"/>
  <c r="AE217" i="18"/>
  <c r="L186" i="18"/>
  <c r="M185" i="18"/>
  <c r="AE166" i="18"/>
  <c r="AB192" i="18"/>
  <c r="AB238" i="18"/>
  <c r="AB226" i="18"/>
  <c r="I227" i="18"/>
  <c r="I239" i="18"/>
  <c r="I193" i="18"/>
  <c r="P185" i="18"/>
  <c r="I221" i="18"/>
  <c r="V239" i="18"/>
  <c r="V193" i="18"/>
  <c r="V227" i="18"/>
  <c r="X186" i="18"/>
  <c r="U186" i="18"/>
  <c r="Q166" i="18"/>
  <c r="Q163" i="18"/>
  <c r="D305" i="67"/>
  <c r="H226" i="18"/>
  <c r="H192" i="18"/>
  <c r="H238" i="18"/>
  <c r="O224" i="18"/>
  <c r="F187" i="18"/>
  <c r="F193" i="18"/>
  <c r="I185" i="18"/>
  <c r="Z171" i="18"/>
  <c r="Z228" i="18"/>
  <c r="Z194" i="18"/>
  <c r="Z240" i="18"/>
  <c r="Z172" i="18"/>
  <c r="S171" i="18"/>
  <c r="S228" i="18"/>
  <c r="S194" i="18"/>
  <c r="S240" i="18"/>
  <c r="S172" i="18"/>
  <c r="V165" i="18"/>
  <c r="K221" i="18"/>
  <c r="X226" i="18"/>
  <c r="X238" i="18"/>
  <c r="X192" i="18"/>
  <c r="AD186" i="18"/>
  <c r="V217" i="18"/>
  <c r="Z226" i="18"/>
  <c r="Z238" i="18"/>
  <c r="Z192" i="18"/>
  <c r="H216" i="18"/>
  <c r="AD216" i="18"/>
  <c r="E106" i="67"/>
  <c r="AH169" i="18"/>
  <c r="G227" i="18"/>
  <c r="E84" i="67"/>
  <c r="G193" i="18"/>
  <c r="G239" i="18"/>
  <c r="Y221" i="18"/>
  <c r="G222" i="18"/>
  <c r="AH204" i="18"/>
  <c r="M215" i="18"/>
  <c r="Z225" i="18"/>
  <c r="Z191" i="18"/>
  <c r="Z237" i="18"/>
  <c r="X188" i="18"/>
  <c r="AA187" i="18"/>
  <c r="O165" i="18"/>
  <c r="AA165" i="18"/>
  <c r="U188" i="18"/>
  <c r="Z224" i="18"/>
  <c r="O218" i="18"/>
  <c r="M222" i="18"/>
  <c r="P226" i="18"/>
  <c r="P192" i="18"/>
  <c r="P238" i="18"/>
  <c r="AA221" i="18"/>
  <c r="AD222" i="18"/>
  <c r="K159" i="18"/>
  <c r="AA166" i="18"/>
  <c r="AB224" i="18"/>
  <c r="S166" i="18"/>
  <c r="V191" i="18"/>
  <c r="V237" i="18"/>
  <c r="V225" i="18"/>
  <c r="AC224" i="18"/>
  <c r="V186" i="18"/>
  <c r="Z193" i="18"/>
  <c r="Z239" i="18"/>
  <c r="Z227" i="18"/>
  <c r="AD225" i="18"/>
  <c r="AD191" i="18"/>
  <c r="AD237" i="18"/>
  <c r="L227" i="18"/>
  <c r="L193" i="18"/>
  <c r="L239" i="18"/>
  <c r="R186" i="18"/>
  <c r="F296" i="67"/>
  <c r="V224" i="18"/>
  <c r="L185" i="18"/>
  <c r="AH210" i="18"/>
  <c r="AE222" i="18"/>
  <c r="S224" i="18"/>
  <c r="T216" i="18"/>
  <c r="G187" i="18"/>
  <c r="AH175" i="18"/>
  <c r="Y171" i="18"/>
  <c r="Y228" i="18"/>
  <c r="Y172" i="18"/>
  <c r="Y194" i="18"/>
  <c r="Y240" i="18"/>
  <c r="O185" i="18"/>
  <c r="AA162" i="18"/>
  <c r="AA258" i="18" s="1"/>
  <c r="C305" i="67"/>
  <c r="R187" i="18"/>
  <c r="G224" i="18"/>
  <c r="AH206" i="18"/>
  <c r="T188" i="18"/>
  <c r="Q185" i="18"/>
  <c r="AH158" i="18"/>
  <c r="S223" i="18"/>
  <c r="N186" i="18"/>
  <c r="N165" i="18"/>
  <c r="T160" i="18"/>
  <c r="I215" i="18"/>
  <c r="N221" i="18"/>
  <c r="J191" i="18"/>
  <c r="J225" i="18"/>
  <c r="J237" i="18"/>
  <c r="R161" i="18"/>
  <c r="Q186" i="18"/>
  <c r="I191" i="18"/>
  <c r="I237" i="18"/>
  <c r="I225" i="18"/>
  <c r="AH179" i="18"/>
  <c r="T187" i="18"/>
  <c r="AD187" i="18"/>
  <c r="K228" i="18"/>
  <c r="K172" i="18"/>
  <c r="K194" i="18"/>
  <c r="K240" i="18"/>
  <c r="K171" i="18"/>
  <c r="AE192" i="18"/>
  <c r="AE226" i="18"/>
  <c r="AE238" i="18"/>
  <c r="L217" i="18"/>
  <c r="O215" i="18"/>
  <c r="G188" i="18"/>
  <c r="G259" i="18" s="1"/>
  <c r="AH176" i="18"/>
  <c r="R226" i="18"/>
  <c r="R192" i="18"/>
  <c r="R238" i="18"/>
  <c r="P221" i="18"/>
  <c r="AC186" i="18"/>
  <c r="Y187" i="18"/>
  <c r="F224" i="18"/>
  <c r="X223" i="18"/>
  <c r="AB163" i="18"/>
  <c r="Y224" i="18"/>
  <c r="S165" i="18"/>
  <c r="M161" i="18"/>
  <c r="L221" i="18"/>
  <c r="F239" i="18"/>
  <c r="F217" i="18"/>
  <c r="W162" i="18"/>
  <c r="W258" i="18" s="1"/>
  <c r="U216" i="18"/>
  <c r="V185" i="18"/>
  <c r="O237" i="18"/>
  <c r="O225" i="18"/>
  <c r="O191" i="18"/>
  <c r="E305" i="67"/>
  <c r="G240" i="18"/>
  <c r="G228" i="18"/>
  <c r="G171" i="18"/>
  <c r="G172" i="18"/>
  <c r="G194" i="18"/>
  <c r="F84" i="67"/>
  <c r="AH170" i="18"/>
  <c r="F106" i="67"/>
  <c r="H225" i="18"/>
  <c r="H191" i="18"/>
  <c r="H237" i="18"/>
  <c r="V218" i="18"/>
  <c r="T192" i="18"/>
  <c r="T238" i="18"/>
  <c r="T226" i="18"/>
  <c r="L215" i="18"/>
  <c r="Q218" i="18"/>
  <c r="J217" i="18"/>
  <c r="X185" i="18"/>
  <c r="AD172" i="18"/>
  <c r="AD171" i="18"/>
  <c r="AD194" i="18"/>
  <c r="AD228" i="18"/>
  <c r="AD240" i="18"/>
  <c r="W185" i="18"/>
  <c r="AE164" i="18"/>
  <c r="AE161" i="18"/>
  <c r="N215" i="18"/>
  <c r="R217" i="18"/>
  <c r="V221" i="18"/>
  <c r="J218" i="18"/>
  <c r="I223" i="18"/>
  <c r="X227" i="18"/>
  <c r="X239" i="18"/>
  <c r="X193" i="18"/>
  <c r="L223" i="18"/>
  <c r="L165" i="18"/>
  <c r="V215" i="18"/>
  <c r="G161" i="18"/>
  <c r="AH149" i="18"/>
  <c r="N224" i="18"/>
  <c r="AB221" i="18"/>
  <c r="W216" i="18"/>
  <c r="H218" i="18"/>
  <c r="T222" i="18"/>
  <c r="AH182" i="18"/>
  <c r="AA222" i="18"/>
  <c r="P225" i="18"/>
  <c r="P237" i="18"/>
  <c r="P191" i="18"/>
  <c r="Z187" i="18"/>
  <c r="K186" i="18"/>
  <c r="R188" i="18"/>
  <c r="O227" i="18"/>
  <c r="O239" i="18"/>
  <c r="O193" i="18"/>
  <c r="AC223" i="18"/>
  <c r="W215" i="18"/>
  <c r="AA188" i="18"/>
  <c r="I172" i="18"/>
  <c r="I228" i="18"/>
  <c r="I171" i="18"/>
  <c r="I240" i="18"/>
  <c r="I194" i="18"/>
  <c r="W194" i="18"/>
  <c r="W171" i="18"/>
  <c r="W172" i="18"/>
  <c r="W240" i="18"/>
  <c r="W228" i="18"/>
  <c r="W187" i="18"/>
  <c r="N227" i="18"/>
  <c r="N239" i="18"/>
  <c r="N193" i="18"/>
  <c r="AC166" i="18"/>
  <c r="I216" i="18"/>
  <c r="U222" i="18"/>
  <c r="AH207" i="18"/>
  <c r="AB217" i="18"/>
  <c r="K223" i="18"/>
  <c r="N185" i="18"/>
  <c r="F194" i="18"/>
  <c r="F188" i="18"/>
  <c r="G164" i="18"/>
  <c r="AH144" i="18"/>
  <c r="AC218" i="18"/>
  <c r="AH213" i="18"/>
  <c r="AC188" i="18"/>
  <c r="L222" i="18"/>
  <c r="Q215" i="18"/>
  <c r="S238" i="18"/>
  <c r="S192" i="18"/>
  <c r="S226" i="18"/>
  <c r="T223" i="18"/>
  <c r="G192" i="18"/>
  <c r="AH168" i="18"/>
  <c r="D106" i="67"/>
  <c r="G238" i="18"/>
  <c r="D84" i="67"/>
  <c r="G226" i="18"/>
  <c r="M239" i="18"/>
  <c r="M227" i="18"/>
  <c r="M193" i="18"/>
  <c r="J186" i="18"/>
  <c r="AB222" i="18"/>
  <c r="N217" i="18"/>
  <c r="AH174" i="18"/>
  <c r="G186" i="18"/>
  <c r="AA186" i="18"/>
  <c r="Q222" i="18"/>
  <c r="S185" i="18"/>
  <c r="Y226" i="18"/>
  <c r="Y192" i="18"/>
  <c r="Y238" i="18"/>
  <c r="O222" i="18"/>
  <c r="O164" i="18"/>
  <c r="K187" i="18"/>
  <c r="Q193" i="18"/>
  <c r="Q239" i="18"/>
  <c r="Q227" i="18"/>
  <c r="AB185" i="18"/>
  <c r="O238" i="18"/>
  <c r="O226" i="18"/>
  <c r="O192" i="18"/>
  <c r="AB186" i="18"/>
  <c r="AE193" i="18"/>
  <c r="AE239" i="18"/>
  <c r="AE227" i="18"/>
  <c r="P239" i="18"/>
  <c r="P227" i="18"/>
  <c r="P193" i="18"/>
  <c r="AD188" i="18"/>
  <c r="S222" i="18"/>
  <c r="Y186" i="18"/>
  <c r="F165" i="18"/>
  <c r="F227" i="18"/>
  <c r="AA223" i="18"/>
  <c r="I186" i="18"/>
  <c r="O188" i="18"/>
  <c r="H187" i="18"/>
  <c r="H233" i="18" s="1"/>
  <c r="AC193" i="18"/>
  <c r="AC227" i="18"/>
  <c r="AC239" i="18"/>
  <c r="M228" i="18"/>
  <c r="M240" i="18"/>
  <c r="M172" i="18"/>
  <c r="M171" i="18"/>
  <c r="M194" i="18"/>
  <c r="T191" i="18"/>
  <c r="T237" i="18"/>
  <c r="T225" i="18"/>
  <c r="Y218" i="18"/>
  <c r="AC217" i="18"/>
  <c r="AH200" i="18"/>
  <c r="G216" i="18"/>
  <c r="M218" i="18"/>
  <c r="F240" i="18"/>
  <c r="F218" i="18"/>
  <c r="U166" i="18"/>
  <c r="G223" i="18"/>
  <c r="AH205" i="18"/>
  <c r="O217" i="18"/>
  <c r="M163" i="18"/>
  <c r="N164" i="18"/>
  <c r="V163" i="18"/>
  <c r="AH155" i="18"/>
  <c r="H159" i="18"/>
  <c r="M160" i="18"/>
  <c r="P222" i="18"/>
  <c r="I165" i="18"/>
  <c r="O223" i="18"/>
  <c r="T224" i="18"/>
  <c r="AD160" i="18"/>
  <c r="X159" i="18"/>
  <c r="O159" i="18"/>
  <c r="Y162" i="18"/>
  <c r="Y258" i="18" s="1"/>
  <c r="F160" i="18"/>
  <c r="P159" i="18"/>
  <c r="P231" i="18" s="1"/>
  <c r="F163" i="18"/>
  <c r="F225" i="18"/>
  <c r="Y163" i="18"/>
  <c r="T166" i="18"/>
  <c r="H163" i="18"/>
  <c r="H164" i="18"/>
  <c r="P215" i="18"/>
  <c r="K163" i="18"/>
  <c r="AB159" i="18"/>
  <c r="M164" i="18"/>
  <c r="S162" i="18"/>
  <c r="S258" i="18" s="1"/>
  <c r="V162" i="18"/>
  <c r="V258" i="18" s="1"/>
  <c r="J159" i="18"/>
  <c r="X162" i="18"/>
  <c r="X258" i="18" s="1"/>
  <c r="N159" i="18"/>
  <c r="P163" i="18"/>
  <c r="X222" i="18"/>
  <c r="R164" i="18"/>
  <c r="J164" i="18"/>
  <c r="X164" i="18"/>
  <c r="N160" i="18"/>
  <c r="Q161" i="18"/>
  <c r="Y216" i="18"/>
  <c r="AH203" i="18"/>
  <c r="G221" i="18"/>
  <c r="J223" i="18"/>
  <c r="L166" i="18"/>
  <c r="AD165" i="18"/>
  <c r="AH145" i="18"/>
  <c r="G165" i="18"/>
  <c r="M166" i="18"/>
  <c r="AB162" i="18"/>
  <c r="AB258" i="18" s="1"/>
  <c r="H160" i="18"/>
  <c r="AA215" i="18"/>
  <c r="I222" i="18"/>
  <c r="Z165" i="18"/>
  <c r="X160" i="18"/>
  <c r="J166" i="18"/>
  <c r="Z166" i="18"/>
  <c r="P216" i="18"/>
  <c r="I160" i="18"/>
  <c r="K215" i="18"/>
  <c r="Q162" i="18"/>
  <c r="Q258" i="18" s="1"/>
  <c r="K218" i="18"/>
  <c r="AD166" i="18"/>
  <c r="H224" i="18"/>
  <c r="K160" i="18"/>
  <c r="Y222" i="18"/>
  <c r="K161" i="18"/>
  <c r="V159" i="18"/>
  <c r="I159" i="18"/>
  <c r="S164" i="18"/>
  <c r="U162" i="18"/>
  <c r="U258" i="18" s="1"/>
  <c r="AC163" i="18"/>
  <c r="AH261" i="18"/>
  <c r="AD163" i="18"/>
  <c r="Z160" i="18"/>
  <c r="T218" i="18"/>
  <c r="U221" i="18"/>
  <c r="Y166" i="18"/>
  <c r="AA160" i="18"/>
  <c r="AH150" i="18"/>
  <c r="G162" i="18"/>
  <c r="P160" i="18"/>
  <c r="Z215" i="18"/>
  <c r="T162" i="18"/>
  <c r="T258" i="18" s="1"/>
  <c r="O163" i="18"/>
  <c r="N223" i="18"/>
  <c r="R224" i="18"/>
  <c r="K217" i="18"/>
  <c r="AA218" i="18"/>
  <c r="K165" i="18"/>
  <c r="AC161" i="18"/>
  <c r="F166" i="18"/>
  <c r="F228" i="18"/>
  <c r="I163" i="18"/>
  <c r="L159" i="18"/>
  <c r="T161" i="18"/>
  <c r="P164" i="18"/>
  <c r="AA163" i="18"/>
  <c r="U164" i="18"/>
  <c r="W163" i="18"/>
  <c r="AH151" i="18"/>
  <c r="X166" i="18"/>
  <c r="Y160" i="18"/>
  <c r="H223" i="18"/>
  <c r="H245" i="18" s="1"/>
  <c r="S160" i="18"/>
  <c r="X161" i="18"/>
  <c r="Z163" i="18"/>
  <c r="U163" i="18"/>
  <c r="AE162" i="18"/>
  <c r="AE258" i="18" s="1"/>
  <c r="S216" i="18"/>
  <c r="W165" i="18"/>
  <c r="AH201" i="18"/>
  <c r="G217" i="18"/>
  <c r="P162" i="18"/>
  <c r="P258" i="18" s="1"/>
  <c r="Q164" i="18"/>
  <c r="AH156" i="18"/>
  <c r="AH153" i="18"/>
  <c r="F226" i="18"/>
  <c r="F164" i="18"/>
  <c r="L160" i="18"/>
  <c r="R218" i="18"/>
  <c r="I218" i="18"/>
  <c r="AH148" i="18"/>
  <c r="G160" i="18"/>
  <c r="AA159" i="18"/>
  <c r="Y161" i="18"/>
  <c r="R162" i="18"/>
  <c r="R258" i="18" s="1"/>
  <c r="H166" i="18"/>
  <c r="AH208" i="18"/>
  <c r="T159" i="18"/>
  <c r="F162" i="18"/>
  <c r="S161" i="18"/>
  <c r="O160" i="18"/>
  <c r="I162" i="18"/>
  <c r="I258" i="18" s="1"/>
  <c r="AC162" i="18"/>
  <c r="AC258" i="18" s="1"/>
  <c r="G163" i="18"/>
  <c r="AH143" i="18"/>
  <c r="N163" i="18"/>
  <c r="AH154" i="18"/>
  <c r="G159" i="18"/>
  <c r="AH147" i="18"/>
  <c r="E258" i="18"/>
  <c r="E228" i="18"/>
  <c r="E166" i="18"/>
  <c r="AH146" i="18"/>
  <c r="AC159" i="18"/>
  <c r="AC231" i="18" s="1"/>
  <c r="AB223" i="18"/>
  <c r="R160" i="18"/>
  <c r="R223" i="18"/>
  <c r="AB160" i="18"/>
  <c r="AH184" i="18"/>
  <c r="M162" i="18"/>
  <c r="M258" i="18" s="1"/>
  <c r="J216" i="18"/>
  <c r="W221" i="18"/>
  <c r="M217" i="18"/>
  <c r="H221" i="18"/>
  <c r="I161" i="18"/>
  <c r="F159" i="18"/>
  <c r="V166" i="18"/>
  <c r="AA217" i="18"/>
  <c r="AH211" i="18"/>
  <c r="X165" i="18"/>
  <c r="S159" i="18"/>
  <c r="U159" i="18"/>
  <c r="AH152" i="18"/>
  <c r="Q224" i="18"/>
  <c r="K166" i="18"/>
  <c r="K162" i="18"/>
  <c r="K258" i="18" s="1"/>
  <c r="Y164" i="18"/>
  <c r="L164" i="18"/>
  <c r="P217" i="18"/>
  <c r="V223" i="18"/>
  <c r="Q160" i="18"/>
  <c r="S215" i="18"/>
  <c r="AE224" i="18"/>
  <c r="AA161" i="18"/>
  <c r="X221" i="18"/>
  <c r="K164" i="18"/>
  <c r="I166" i="18"/>
  <c r="Z162" i="18"/>
  <c r="Z258" i="18" s="1"/>
  <c r="K222" i="18"/>
  <c r="AB171" i="18"/>
  <c r="AB228" i="18"/>
  <c r="AB194" i="18"/>
  <c r="AB259" i="18"/>
  <c r="AB172" i="18"/>
  <c r="AB240" i="18"/>
  <c r="S218" i="18"/>
  <c r="K188" i="18"/>
  <c r="K259" i="18" s="1"/>
  <c r="K260" i="18" s="1"/>
  <c r="AB165" i="18"/>
  <c r="Z221" i="18"/>
  <c r="O186" i="18"/>
  <c r="J162" i="18"/>
  <c r="J258" i="18" s="1"/>
  <c r="J224" i="18"/>
  <c r="F215" i="18"/>
  <c r="F221" i="18"/>
  <c r="T164" i="18"/>
  <c r="H165" i="18"/>
  <c r="F161" i="18"/>
  <c r="U165" i="18"/>
  <c r="H162" i="18"/>
  <c r="H258" i="18" s="1"/>
  <c r="W160" i="18"/>
  <c r="W159" i="18"/>
  <c r="X224" i="18"/>
  <c r="Z164" i="18"/>
  <c r="X259" i="18"/>
  <c r="X260" i="18" s="1"/>
  <c r="X240" i="18"/>
  <c r="X194" i="18"/>
  <c r="X228" i="18"/>
  <c r="X172" i="18"/>
  <c r="X171" i="18"/>
  <c r="AD159" i="18"/>
  <c r="U160" i="18"/>
  <c r="P166" i="18"/>
  <c r="R222" i="18"/>
  <c r="L162" i="18"/>
  <c r="L258" i="18" s="1"/>
  <c r="T163" i="18"/>
  <c r="Z222" i="18"/>
  <c r="R159" i="18"/>
  <c r="AD162" i="18"/>
  <c r="AD258" i="18" s="1"/>
  <c r="AC164" i="18"/>
  <c r="AA164" i="18"/>
  <c r="AB164" i="18"/>
  <c r="AC160" i="18"/>
  <c r="Z216" i="18"/>
  <c r="L161" i="18"/>
  <c r="M165" i="18"/>
  <c r="Q159" i="18"/>
  <c r="AD164" i="18"/>
  <c r="X163" i="18"/>
  <c r="AE218" i="18"/>
  <c r="R237" i="18"/>
  <c r="R191" i="18"/>
  <c r="R225" i="18"/>
  <c r="D296" i="67"/>
  <c r="P187" i="18"/>
  <c r="K216" i="18"/>
  <c r="H215" i="18"/>
  <c r="V222" i="18"/>
  <c r="J215" i="18"/>
  <c r="M159" i="18"/>
  <c r="N188" i="18"/>
  <c r="O162" i="18"/>
  <c r="O258" i="18" s="1"/>
  <c r="N162" i="18"/>
  <c r="N258" i="18" s="1"/>
  <c r="AH183" i="18"/>
  <c r="Z159" i="18"/>
  <c r="Z231" i="18" s="1"/>
  <c r="S217" i="18"/>
  <c r="O166" i="18"/>
  <c r="V160" i="18"/>
  <c r="Y217" i="18"/>
  <c r="Y159" i="18"/>
  <c r="J163" i="18"/>
  <c r="J160" i="18"/>
  <c r="U215" i="18"/>
  <c r="P224" i="18"/>
  <c r="G185" i="18"/>
  <c r="AH173" i="18"/>
  <c r="N222" i="18"/>
  <c r="S163" i="18"/>
  <c r="L163" i="18"/>
  <c r="AC216" i="18"/>
  <c r="V164" i="18"/>
  <c r="AB166" i="18"/>
  <c r="H222" i="18"/>
  <c r="I164" i="18"/>
  <c r="Y285" i="30"/>
  <c r="A428" i="5"/>
  <c r="A428" i="64"/>
  <c r="AA221" i="62"/>
  <c r="Y177" i="32"/>
  <c r="Y179" i="32"/>
  <c r="AC179" i="32"/>
  <c r="Z221" i="32"/>
  <c r="Y222" i="32"/>
  <c r="Z179" i="32"/>
  <c r="X221" i="32"/>
  <c r="AA178" i="32"/>
  <c r="Z222" i="32"/>
  <c r="AA223" i="32"/>
  <c r="AB178" i="32"/>
  <c r="AA179" i="62"/>
  <c r="Y221" i="32"/>
  <c r="X177" i="32"/>
  <c r="AB222" i="32"/>
  <c r="Y223" i="62"/>
  <c r="Y178" i="32"/>
  <c r="X178" i="32"/>
  <c r="X222" i="32"/>
  <c r="Z178" i="32"/>
  <c r="AC223" i="32"/>
  <c r="AA222" i="32"/>
  <c r="AB223" i="32"/>
  <c r="W221" i="32"/>
  <c r="AB179" i="62"/>
  <c r="Z177" i="32"/>
  <c r="W177" i="32"/>
  <c r="AA177" i="32"/>
  <c r="Z223" i="32"/>
  <c r="P232" i="18" l="1"/>
  <c r="H181" i="59"/>
  <c r="AB179" i="59" s="1"/>
  <c r="H225" i="59"/>
  <c r="AB223" i="59" s="1"/>
  <c r="N259" i="18"/>
  <c r="N260" i="18" s="1"/>
  <c r="N189" i="18"/>
  <c r="N234" i="18"/>
  <c r="N190" i="18"/>
  <c r="N246" i="18"/>
  <c r="AB242" i="18"/>
  <c r="AB241" i="18"/>
  <c r="AB230" i="18"/>
  <c r="AB229" i="18"/>
  <c r="E260" i="18"/>
  <c r="AH160" i="18"/>
  <c r="AB260" i="18"/>
  <c r="M220" i="18"/>
  <c r="M198" i="18"/>
  <c r="M196" i="18"/>
  <c r="M195" i="18"/>
  <c r="M219" i="18"/>
  <c r="M197" i="18"/>
  <c r="M230" i="18"/>
  <c r="M229" i="18"/>
  <c r="Y232" i="18"/>
  <c r="Y244" i="18"/>
  <c r="G244" i="18"/>
  <c r="AH186" i="18"/>
  <c r="D88" i="67"/>
  <c r="G232" i="18"/>
  <c r="D110" i="67"/>
  <c r="AC259" i="18"/>
  <c r="AC260" i="18" s="1"/>
  <c r="AC190" i="18"/>
  <c r="AC189" i="18"/>
  <c r="AC246" i="18"/>
  <c r="AC234" i="18"/>
  <c r="AH164" i="18"/>
  <c r="W233" i="18"/>
  <c r="W245" i="18"/>
  <c r="AD229" i="18"/>
  <c r="AD230" i="18"/>
  <c r="X243" i="18"/>
  <c r="X231" i="18"/>
  <c r="AH172" i="18"/>
  <c r="AH228" i="18"/>
  <c r="AH240" i="18"/>
  <c r="AH171" i="18"/>
  <c r="G241" i="18"/>
  <c r="G242" i="18"/>
  <c r="AH224" i="18"/>
  <c r="E88" i="67"/>
  <c r="E110" i="67"/>
  <c r="G245" i="18"/>
  <c r="G233" i="18"/>
  <c r="AH187" i="18"/>
  <c r="R232" i="18"/>
  <c r="R244" i="18"/>
  <c r="AH222" i="18"/>
  <c r="S230" i="18"/>
  <c r="S229" i="18"/>
  <c r="Z195" i="18"/>
  <c r="Z196" i="18"/>
  <c r="Z198" i="18"/>
  <c r="Z219" i="18"/>
  <c r="Z197" i="18"/>
  <c r="Z220" i="18"/>
  <c r="P243" i="18"/>
  <c r="M231" i="18"/>
  <c r="M243" i="18"/>
  <c r="J245" i="18"/>
  <c r="J233" i="18"/>
  <c r="Q220" i="18"/>
  <c r="Q196" i="18"/>
  <c r="Q197" i="18"/>
  <c r="Q219" i="18"/>
  <c r="Q198" i="18"/>
  <c r="Q195" i="18"/>
  <c r="W244" i="18"/>
  <c r="W232" i="18"/>
  <c r="R243" i="18"/>
  <c r="R231" i="18"/>
  <c r="U242" i="18"/>
  <c r="U241" i="18"/>
  <c r="I259" i="18"/>
  <c r="I260" i="18" s="1"/>
  <c r="I189" i="18"/>
  <c r="I234" i="18"/>
  <c r="I246" i="18"/>
  <c r="I190" i="18"/>
  <c r="AE198" i="18"/>
  <c r="AE196" i="18"/>
  <c r="AE220" i="18"/>
  <c r="H244" i="18"/>
  <c r="H232" i="18"/>
  <c r="AA242" i="18"/>
  <c r="AA241" i="18"/>
  <c r="O233" i="18"/>
  <c r="O245" i="18"/>
  <c r="M259" i="18"/>
  <c r="M260" i="18" s="1"/>
  <c r="M190" i="18"/>
  <c r="M189" i="18"/>
  <c r="M234" i="18"/>
  <c r="M246" i="18"/>
  <c r="AH191" i="18"/>
  <c r="AH225" i="18"/>
  <c r="AH237" i="18"/>
  <c r="U231" i="18"/>
  <c r="U243" i="18"/>
  <c r="Y259" i="18"/>
  <c r="Y260" i="18" s="1"/>
  <c r="Y246" i="18"/>
  <c r="Y234" i="18"/>
  <c r="Y190" i="18"/>
  <c r="Y189" i="18"/>
  <c r="N229" i="18"/>
  <c r="N230" i="18"/>
  <c r="H241" i="18"/>
  <c r="H242" i="18"/>
  <c r="AE245" i="18"/>
  <c r="AE233" i="18"/>
  <c r="N245" i="18"/>
  <c r="N233" i="18"/>
  <c r="AC220" i="18"/>
  <c r="AC198" i="18"/>
  <c r="AC219" i="18"/>
  <c r="AC197" i="18"/>
  <c r="AC196" i="18"/>
  <c r="AC195" i="18"/>
  <c r="Q259" i="18"/>
  <c r="Q260" i="18" s="1"/>
  <c r="Q246" i="18"/>
  <c r="Q190" i="18"/>
  <c r="Q189" i="18"/>
  <c r="Q234" i="18"/>
  <c r="T242" i="18"/>
  <c r="T241" i="18"/>
  <c r="T230" i="18"/>
  <c r="T229" i="18"/>
  <c r="Y231" i="18"/>
  <c r="Y243" i="18"/>
  <c r="A429" i="5"/>
  <c r="A429" i="64"/>
  <c r="C286" i="30"/>
  <c r="X229" i="18"/>
  <c r="X230" i="18"/>
  <c r="F243" i="18"/>
  <c r="O232" i="18"/>
  <c r="O244" i="18"/>
  <c r="F231" i="18"/>
  <c r="F258" i="18"/>
  <c r="AH217" i="18"/>
  <c r="F229" i="18"/>
  <c r="F230" i="18"/>
  <c r="AH216" i="18"/>
  <c r="O259" i="18"/>
  <c r="O260" i="18" s="1"/>
  <c r="O246" i="18"/>
  <c r="O190" i="18"/>
  <c r="O234" i="18"/>
  <c r="O189" i="18"/>
  <c r="AB232" i="18"/>
  <c r="AB244" i="18"/>
  <c r="AB243" i="18"/>
  <c r="AB231" i="18"/>
  <c r="S231" i="18"/>
  <c r="S243" i="18"/>
  <c r="J232" i="18"/>
  <c r="J244" i="18"/>
  <c r="N243" i="18"/>
  <c r="N231" i="18"/>
  <c r="W229" i="18"/>
  <c r="W230" i="18"/>
  <c r="W219" i="18"/>
  <c r="W195" i="18"/>
  <c r="W196" i="18"/>
  <c r="W220" i="18"/>
  <c r="W198" i="18"/>
  <c r="W197" i="18"/>
  <c r="I230" i="18"/>
  <c r="I229" i="18"/>
  <c r="R259" i="18"/>
  <c r="R260" i="18" s="1"/>
  <c r="R189" i="18"/>
  <c r="R190" i="18"/>
  <c r="R246" i="18"/>
  <c r="R234" i="18"/>
  <c r="AD197" i="18"/>
  <c r="AD195" i="18"/>
  <c r="AD219" i="18"/>
  <c r="AD198" i="18"/>
  <c r="AD220" i="18"/>
  <c r="AD196" i="18"/>
  <c r="V231" i="18"/>
  <c r="V243" i="18"/>
  <c r="Y245" i="18"/>
  <c r="Y233" i="18"/>
  <c r="K229" i="18"/>
  <c r="K230" i="18"/>
  <c r="Q232" i="18"/>
  <c r="Q244" i="18"/>
  <c r="Q231" i="18"/>
  <c r="Q243" i="18"/>
  <c r="R233" i="18"/>
  <c r="R245" i="18"/>
  <c r="O231" i="18"/>
  <c r="O243" i="18"/>
  <c r="Y230" i="18"/>
  <c r="Y229" i="18"/>
  <c r="L231" i="18"/>
  <c r="L243" i="18"/>
  <c r="AA233" i="18"/>
  <c r="AA245" i="18"/>
  <c r="Z230" i="18"/>
  <c r="Z229" i="18"/>
  <c r="L232" i="18"/>
  <c r="L244" i="18"/>
  <c r="Q230" i="18"/>
  <c r="Q229" i="18"/>
  <c r="O242" i="18"/>
  <c r="O241" i="18"/>
  <c r="U219" i="18"/>
  <c r="U195" i="18"/>
  <c r="U197" i="18"/>
  <c r="U196" i="18"/>
  <c r="U198" i="18"/>
  <c r="U220" i="18"/>
  <c r="X245" i="18"/>
  <c r="X233" i="18"/>
  <c r="P229" i="18"/>
  <c r="P230" i="18"/>
  <c r="P242" i="18"/>
  <c r="P241" i="18"/>
  <c r="AE230" i="18"/>
  <c r="H231" i="18"/>
  <c r="H243" i="18"/>
  <c r="R230" i="18"/>
  <c r="R229" i="18"/>
  <c r="P259" i="18"/>
  <c r="P260" i="18" s="1"/>
  <c r="P246" i="18"/>
  <c r="P234" i="18"/>
  <c r="P189" i="18"/>
  <c r="P190" i="18"/>
  <c r="W259" i="18"/>
  <c r="W260" i="18" s="1"/>
  <c r="W189" i="18"/>
  <c r="W234" i="18"/>
  <c r="W246" i="18"/>
  <c r="W190" i="18"/>
  <c r="AD243" i="18"/>
  <c r="AD231" i="18"/>
  <c r="N242" i="18"/>
  <c r="N241" i="18"/>
  <c r="H234" i="18"/>
  <c r="H190" i="18"/>
  <c r="H246" i="18"/>
  <c r="H189" i="18"/>
  <c r="V241" i="18"/>
  <c r="V242" i="18"/>
  <c r="K243" i="18"/>
  <c r="K231" i="18"/>
  <c r="L241" i="18"/>
  <c r="L242" i="18"/>
  <c r="M244" i="18"/>
  <c r="M232" i="18"/>
  <c r="AE244" i="18"/>
  <c r="AE232" i="18"/>
  <c r="AC229" i="18"/>
  <c r="AC230" i="18"/>
  <c r="Q245" i="18"/>
  <c r="Q233" i="18"/>
  <c r="M233" i="18"/>
  <c r="J219" i="18"/>
  <c r="J196" i="18"/>
  <c r="J220" i="18"/>
  <c r="J198" i="18"/>
  <c r="J197" i="18"/>
  <c r="J195" i="18"/>
  <c r="X195" i="18"/>
  <c r="X219" i="18"/>
  <c r="X196" i="18"/>
  <c r="X220" i="18"/>
  <c r="X198" i="18"/>
  <c r="X197" i="18"/>
  <c r="K189" i="18"/>
  <c r="K234" i="18"/>
  <c r="K246" i="18"/>
  <c r="K190" i="18"/>
  <c r="E197" i="18"/>
  <c r="AH166" i="18"/>
  <c r="E198" i="18"/>
  <c r="AH159" i="18"/>
  <c r="AH163" i="18"/>
  <c r="G258" i="18"/>
  <c r="G260" i="18" s="1"/>
  <c r="AH162" i="18"/>
  <c r="AH165" i="18"/>
  <c r="AH223" i="18"/>
  <c r="I244" i="18"/>
  <c r="I232" i="18"/>
  <c r="AD259" i="18"/>
  <c r="AD260" i="18" s="1"/>
  <c r="AD234" i="18"/>
  <c r="AD189" i="18"/>
  <c r="AD246" i="18"/>
  <c r="AD190" i="18"/>
  <c r="AH226" i="18"/>
  <c r="AH238" i="18"/>
  <c r="F189" i="18"/>
  <c r="F190" i="18"/>
  <c r="F234" i="18"/>
  <c r="F246" i="18"/>
  <c r="F259" i="18"/>
  <c r="W241" i="18"/>
  <c r="W242" i="18"/>
  <c r="I220" i="18"/>
  <c r="I196" i="18"/>
  <c r="I197" i="18"/>
  <c r="I195" i="18"/>
  <c r="I198" i="18"/>
  <c r="I219" i="18"/>
  <c r="K232" i="18"/>
  <c r="K244" i="18"/>
  <c r="AH161" i="18"/>
  <c r="W231" i="18"/>
  <c r="W243" i="18"/>
  <c r="AC232" i="18"/>
  <c r="AC244" i="18"/>
  <c r="G189" i="18"/>
  <c r="G246" i="18"/>
  <c r="G234" i="18"/>
  <c r="G190" i="18"/>
  <c r="F110" i="67"/>
  <c r="AH188" i="18"/>
  <c r="F88" i="67"/>
  <c r="K242" i="18"/>
  <c r="K241" i="18"/>
  <c r="AD245" i="18"/>
  <c r="AD233" i="18"/>
  <c r="N244" i="18"/>
  <c r="N232" i="18"/>
  <c r="T189" i="18"/>
  <c r="T190" i="18"/>
  <c r="T234" i="18"/>
  <c r="T246" i="18"/>
  <c r="Y241" i="18"/>
  <c r="Y242" i="18"/>
  <c r="U259" i="18"/>
  <c r="U260" i="18" s="1"/>
  <c r="U234" i="18"/>
  <c r="U246" i="18"/>
  <c r="U190" i="18"/>
  <c r="U189" i="18"/>
  <c r="X246" i="18"/>
  <c r="X234" i="18"/>
  <c r="X189" i="18"/>
  <c r="X190" i="18"/>
  <c r="S242" i="18"/>
  <c r="S241" i="18"/>
  <c r="U244" i="18"/>
  <c r="U232" i="18"/>
  <c r="L246" i="18"/>
  <c r="L234" i="18"/>
  <c r="L189" i="18"/>
  <c r="L190" i="18"/>
  <c r="O198" i="18"/>
  <c r="O196" i="18"/>
  <c r="O197" i="18"/>
  <c r="O220" i="18"/>
  <c r="O195" i="18"/>
  <c r="O219" i="18"/>
  <c r="AH218" i="18"/>
  <c r="U230" i="18"/>
  <c r="U229" i="18"/>
  <c r="S259" i="18"/>
  <c r="S260" i="18" s="1"/>
  <c r="S246" i="18"/>
  <c r="S189" i="18"/>
  <c r="S234" i="18"/>
  <c r="S190" i="18"/>
  <c r="F244" i="18"/>
  <c r="AA195" i="18"/>
  <c r="AA219" i="18"/>
  <c r="AA220" i="18"/>
  <c r="AA198" i="18"/>
  <c r="AA197" i="18"/>
  <c r="AA196" i="18"/>
  <c r="R242" i="18"/>
  <c r="R241" i="18"/>
  <c r="J231" i="18"/>
  <c r="J243" i="18"/>
  <c r="AC243" i="18"/>
  <c r="N195" i="18"/>
  <c r="N196" i="18"/>
  <c r="N219" i="18"/>
  <c r="N198" i="18"/>
  <c r="N197" i="18"/>
  <c r="N220" i="18"/>
  <c r="J259" i="18"/>
  <c r="J260" i="18" s="1"/>
  <c r="J234" i="18"/>
  <c r="J246" i="18"/>
  <c r="J190" i="18"/>
  <c r="J189" i="18"/>
  <c r="H197" i="18"/>
  <c r="H196" i="18"/>
  <c r="H220" i="18"/>
  <c r="H198" i="18"/>
  <c r="H195" i="18"/>
  <c r="H219" i="18"/>
  <c r="V219" i="18"/>
  <c r="V198" i="18"/>
  <c r="V197" i="18"/>
  <c r="V195" i="18"/>
  <c r="V196" i="18"/>
  <c r="V220" i="18"/>
  <c r="L259" i="18"/>
  <c r="L260" i="18" s="1"/>
  <c r="T244" i="18"/>
  <c r="T232" i="18"/>
  <c r="I233" i="18"/>
  <c r="I245" i="18"/>
  <c r="I248" i="18" s="1"/>
  <c r="AB246" i="18"/>
  <c r="AB247" i="18" s="1"/>
  <c r="AB234" i="18"/>
  <c r="AB189" i="18"/>
  <c r="AB190" i="18"/>
  <c r="S233" i="18"/>
  <c r="S245" i="18"/>
  <c r="Z243" i="18"/>
  <c r="T196" i="18"/>
  <c r="T197" i="18"/>
  <c r="T219" i="18"/>
  <c r="T220" i="18"/>
  <c r="T195" i="18"/>
  <c r="T198" i="18"/>
  <c r="T243" i="18"/>
  <c r="T231" i="18"/>
  <c r="J241" i="18"/>
  <c r="J242" i="18"/>
  <c r="AH185" i="18"/>
  <c r="C88" i="67"/>
  <c r="G243" i="18"/>
  <c r="G231" i="18"/>
  <c r="C110" i="67"/>
  <c r="P233" i="18"/>
  <c r="P245" i="18"/>
  <c r="X241" i="18"/>
  <c r="X242" i="18"/>
  <c r="AB220" i="18"/>
  <c r="AB197" i="18"/>
  <c r="AB196" i="18"/>
  <c r="AB195" i="18"/>
  <c r="AB219" i="18"/>
  <c r="AB198" i="18"/>
  <c r="E230" i="18"/>
  <c r="E229" i="18"/>
  <c r="AH221" i="18"/>
  <c r="F232" i="18"/>
  <c r="F241" i="18"/>
  <c r="F242" i="18"/>
  <c r="M242" i="18"/>
  <c r="M241" i="18"/>
  <c r="K233" i="18"/>
  <c r="K245" i="18"/>
  <c r="K248" i="18" s="1"/>
  <c r="AA244" i="18"/>
  <c r="AA232" i="18"/>
  <c r="AH192" i="18"/>
  <c r="F197" i="18"/>
  <c r="F195" i="18"/>
  <c r="F198" i="18"/>
  <c r="F220" i="18"/>
  <c r="F219" i="18"/>
  <c r="F196" i="18"/>
  <c r="I241" i="18"/>
  <c r="I242" i="18"/>
  <c r="AA259" i="18"/>
  <c r="AA260" i="18" s="1"/>
  <c r="AA234" i="18"/>
  <c r="AA246" i="18"/>
  <c r="AA190" i="18"/>
  <c r="AA189" i="18"/>
  <c r="Z245" i="18"/>
  <c r="Z233" i="18"/>
  <c r="AD241" i="18"/>
  <c r="AD242" i="18"/>
  <c r="G195" i="18"/>
  <c r="G198" i="18"/>
  <c r="AH194" i="18"/>
  <c r="G197" i="18"/>
  <c r="G220" i="18"/>
  <c r="G219" i="18"/>
  <c r="G196" i="18"/>
  <c r="G230" i="18"/>
  <c r="G229" i="18"/>
  <c r="K195" i="18"/>
  <c r="K198" i="18"/>
  <c r="K196" i="18"/>
  <c r="K197" i="18"/>
  <c r="K219" i="18"/>
  <c r="K220" i="18"/>
  <c r="T245" i="18"/>
  <c r="T233" i="18"/>
  <c r="Y195" i="18"/>
  <c r="Y198" i="18"/>
  <c r="Y219" i="18"/>
  <c r="Y197" i="18"/>
  <c r="Y220" i="18"/>
  <c r="Y196" i="18"/>
  <c r="V232" i="18"/>
  <c r="V244" i="18"/>
  <c r="AH193" i="18"/>
  <c r="AH239" i="18"/>
  <c r="AH227" i="18"/>
  <c r="AD232" i="18"/>
  <c r="AD244" i="18"/>
  <c r="S197" i="18"/>
  <c r="S220" i="18"/>
  <c r="S196" i="18"/>
  <c r="S195" i="18"/>
  <c r="S219" i="18"/>
  <c r="S198" i="18"/>
  <c r="Z241" i="18"/>
  <c r="Z242" i="18"/>
  <c r="I243" i="18"/>
  <c r="I231" i="18"/>
  <c r="F233" i="18"/>
  <c r="F245" i="18"/>
  <c r="X232" i="18"/>
  <c r="X244" i="18"/>
  <c r="Q241" i="18"/>
  <c r="Q242" i="18"/>
  <c r="O230" i="18"/>
  <c r="O229" i="18"/>
  <c r="Z244" i="18"/>
  <c r="Z232" i="18"/>
  <c r="Z259" i="18"/>
  <c r="Z260" i="18" s="1"/>
  <c r="Z189" i="18"/>
  <c r="Z246" i="18"/>
  <c r="Z234" i="18"/>
  <c r="Z190" i="18"/>
  <c r="P244" i="18"/>
  <c r="P219" i="18"/>
  <c r="P220" i="18"/>
  <c r="P196" i="18"/>
  <c r="P197" i="18"/>
  <c r="P198" i="18"/>
  <c r="P195" i="18"/>
  <c r="V245" i="18"/>
  <c r="V233" i="18"/>
  <c r="AE242" i="18"/>
  <c r="U245" i="18"/>
  <c r="U233" i="18"/>
  <c r="AA229" i="18"/>
  <c r="AA230" i="18"/>
  <c r="AC233" i="18"/>
  <c r="AC245" i="18"/>
  <c r="R196" i="18"/>
  <c r="R195" i="18"/>
  <c r="R219" i="18"/>
  <c r="R220" i="18"/>
  <c r="R198" i="18"/>
  <c r="R197" i="18"/>
  <c r="L245" i="18"/>
  <c r="L233" i="18"/>
  <c r="AH215" i="18"/>
  <c r="V246" i="18"/>
  <c r="V189" i="18"/>
  <c r="V190" i="18"/>
  <c r="V234" i="18"/>
  <c r="H260" i="18"/>
  <c r="H229" i="18"/>
  <c r="H230" i="18"/>
  <c r="V230" i="18"/>
  <c r="V229" i="18"/>
  <c r="AE259" i="18"/>
  <c r="AE260" i="18" s="1"/>
  <c r="AE234" i="18"/>
  <c r="AE236" i="18" s="1"/>
  <c r="AE246" i="18"/>
  <c r="AE190" i="18"/>
  <c r="L196" i="18"/>
  <c r="L195" i="18"/>
  <c r="L198" i="18"/>
  <c r="L219" i="18"/>
  <c r="L220" i="18"/>
  <c r="L197" i="18"/>
  <c r="L229" i="18"/>
  <c r="L230" i="18"/>
  <c r="S232" i="18"/>
  <c r="S244" i="18"/>
  <c r="AB233" i="18"/>
  <c r="AB245" i="18"/>
  <c r="AB248" i="18" s="1"/>
  <c r="AC242" i="18"/>
  <c r="AC241" i="18"/>
  <c r="T259" i="18"/>
  <c r="T260" i="18" s="1"/>
  <c r="J229" i="18"/>
  <c r="J230" i="18"/>
  <c r="AA243" i="18"/>
  <c r="AA231" i="18"/>
  <c r="K247" i="18" l="1"/>
  <c r="AE248" i="18"/>
  <c r="J235" i="18"/>
  <c r="J236" i="18"/>
  <c r="U248" i="18"/>
  <c r="U247" i="18"/>
  <c r="G247" i="18"/>
  <c r="G248" i="18"/>
  <c r="Z235" i="18"/>
  <c r="Z236" i="18"/>
  <c r="AA247" i="18"/>
  <c r="AA248" i="18"/>
  <c r="S236" i="18"/>
  <c r="S235" i="18"/>
  <c r="L247" i="18"/>
  <c r="L248" i="18"/>
  <c r="X247" i="18"/>
  <c r="X248" i="18"/>
  <c r="U236" i="18"/>
  <c r="U235" i="18"/>
  <c r="T248" i="18"/>
  <c r="T247" i="18"/>
  <c r="F260" i="18"/>
  <c r="AD236" i="18"/>
  <c r="AD235" i="18"/>
  <c r="K236" i="18"/>
  <c r="K235" i="18"/>
  <c r="H236" i="18"/>
  <c r="H235" i="18"/>
  <c r="W235" i="18"/>
  <c r="W236" i="18"/>
  <c r="R247" i="18"/>
  <c r="R248" i="18"/>
  <c r="O248" i="18"/>
  <c r="O247" i="18"/>
  <c r="Y236" i="18"/>
  <c r="Y235" i="18"/>
  <c r="I236" i="18"/>
  <c r="I235" i="18"/>
  <c r="AH245" i="18"/>
  <c r="AH233" i="18"/>
  <c r="AC235" i="18"/>
  <c r="AC236" i="18"/>
  <c r="AH244" i="18"/>
  <c r="AH232" i="18"/>
  <c r="I181" i="59"/>
  <c r="AC179" i="59" s="1"/>
  <c r="V247" i="18"/>
  <c r="V248" i="18"/>
  <c r="Z247" i="18"/>
  <c r="Z248" i="18"/>
  <c r="AA236" i="18"/>
  <c r="AA235" i="18"/>
  <c r="AH231" i="18"/>
  <c r="AH243" i="18"/>
  <c r="AB236" i="18"/>
  <c r="AB235" i="18"/>
  <c r="T236" i="18"/>
  <c r="T235" i="18"/>
  <c r="F248" i="18"/>
  <c r="F247" i="18"/>
  <c r="P235" i="18"/>
  <c r="P236" i="18"/>
  <c r="Y248" i="18"/>
  <c r="Y247" i="18"/>
  <c r="M247" i="18"/>
  <c r="M248" i="18"/>
  <c r="AC248" i="18"/>
  <c r="AC247" i="18"/>
  <c r="N247" i="18"/>
  <c r="N248" i="18"/>
  <c r="V235" i="18"/>
  <c r="V236" i="18"/>
  <c r="J248" i="18"/>
  <c r="J247" i="18"/>
  <c r="S247" i="18"/>
  <c r="S248" i="18"/>
  <c r="G236" i="18"/>
  <c r="G235" i="18"/>
  <c r="F236" i="18"/>
  <c r="F235" i="18"/>
  <c r="AD247" i="18"/>
  <c r="AD248" i="18"/>
  <c r="H247" i="18"/>
  <c r="H248" i="18"/>
  <c r="P248" i="18"/>
  <c r="P247" i="18"/>
  <c r="AH259" i="18"/>
  <c r="O236" i="18"/>
  <c r="O235" i="18"/>
  <c r="A238" i="25"/>
  <c r="D286" i="30"/>
  <c r="A237" i="6"/>
  <c r="A238" i="1"/>
  <c r="A237" i="11"/>
  <c r="Q248" i="18"/>
  <c r="Q247" i="18"/>
  <c r="M235" i="18"/>
  <c r="M236" i="18"/>
  <c r="AH241" i="18"/>
  <c r="AH242" i="18"/>
  <c r="AH258" i="18"/>
  <c r="I225" i="59"/>
  <c r="AC223" i="59" s="1"/>
  <c r="AH196" i="18"/>
  <c r="AH198" i="18"/>
  <c r="AH197" i="18"/>
  <c r="AH220" i="18"/>
  <c r="AH219" i="18"/>
  <c r="AH195" i="18"/>
  <c r="L236" i="18"/>
  <c r="L235" i="18"/>
  <c r="X235" i="18"/>
  <c r="X236" i="18"/>
  <c r="AH189" i="18"/>
  <c r="AH190" i="18"/>
  <c r="AH234" i="18"/>
  <c r="AH246" i="18"/>
  <c r="W248" i="18"/>
  <c r="W247" i="18"/>
  <c r="R236" i="18"/>
  <c r="R235" i="18"/>
  <c r="Q235" i="18"/>
  <c r="Q236" i="18"/>
  <c r="I247" i="18"/>
  <c r="AH229" i="18"/>
  <c r="AH230" i="18"/>
  <c r="N236" i="18"/>
  <c r="N235" i="18"/>
  <c r="E286" i="30" l="1"/>
  <c r="A238" i="6"/>
  <c r="A238" i="11"/>
  <c r="A239" i="1"/>
  <c r="A207" i="68" s="1"/>
  <c r="A239" i="25"/>
  <c r="AH260" i="18"/>
  <c r="AH247" i="18"/>
  <c r="AH248" i="18"/>
  <c r="AH235" i="18"/>
  <c r="AH236" i="18"/>
  <c r="A240" i="25" l="1"/>
  <c r="A240" i="1"/>
  <c r="A208" i="68" s="1"/>
  <c r="F286" i="30"/>
  <c r="A239" i="6"/>
  <c r="A239" i="11"/>
  <c r="A241" i="1" l="1"/>
  <c r="A209" i="68" s="1"/>
  <c r="A240" i="11"/>
  <c r="A241" i="25"/>
  <c r="G286" i="30"/>
  <c r="A240" i="6"/>
  <c r="C128" i="60" l="1"/>
  <c r="C144" i="67" s="1"/>
  <c r="C42" i="60"/>
  <c r="C197" i="60"/>
  <c r="A241" i="6"/>
  <c r="H286" i="30"/>
  <c r="A242" i="25"/>
  <c r="A242" i="1"/>
  <c r="A210" i="68" s="1"/>
  <c r="A241" i="11"/>
  <c r="C130" i="60" s="1"/>
  <c r="C146" i="67" s="1"/>
  <c r="C134" i="60"/>
  <c r="C150" i="67" s="1"/>
  <c r="C196" i="60"/>
  <c r="C151" i="60"/>
  <c r="S156" i="60" s="1"/>
  <c r="C131" i="60" l="1"/>
  <c r="C147" i="67" s="1"/>
  <c r="C115" i="60"/>
  <c r="C56" i="60"/>
  <c r="C237" i="60"/>
  <c r="C133" i="60"/>
  <c r="C149" i="67" s="1"/>
  <c r="C99" i="60"/>
  <c r="C236" i="67"/>
  <c r="S200" i="60"/>
  <c r="C198" i="60"/>
  <c r="C100" i="60"/>
  <c r="S201" i="60"/>
  <c r="C237" i="67"/>
  <c r="S241" i="67" s="1"/>
  <c r="C230" i="60"/>
  <c r="C54" i="60"/>
  <c r="C149" i="60"/>
  <c r="S154" i="60" s="1"/>
  <c r="C40" i="60"/>
  <c r="C98" i="60"/>
  <c r="C48" i="60"/>
  <c r="C42" i="67"/>
  <c r="C48" i="67" s="1"/>
  <c r="C129" i="60"/>
  <c r="C145" i="67" s="1"/>
  <c r="C41" i="60"/>
  <c r="C57" i="60"/>
  <c r="C114" i="60"/>
  <c r="C101" i="60"/>
  <c r="C116" i="60"/>
  <c r="I286" i="30"/>
  <c r="A243" i="25"/>
  <c r="D237" i="60" s="1"/>
  <c r="A243" i="1"/>
  <c r="A211" i="68" s="1"/>
  <c r="A242" i="11"/>
  <c r="A242" i="6"/>
  <c r="C150" i="60"/>
  <c r="S155" i="60" s="1"/>
  <c r="C132" i="60"/>
  <c r="C148" i="67" s="1"/>
  <c r="C55" i="60"/>
  <c r="C113" i="60"/>
  <c r="D55" i="60"/>
  <c r="D99" i="60"/>
  <c r="C152" i="60"/>
  <c r="AF177" i="18"/>
  <c r="AF211" i="18"/>
  <c r="AF253" i="18"/>
  <c r="AF181" i="18"/>
  <c r="AF249" i="18"/>
  <c r="AF143" i="18"/>
  <c r="AF203" i="18"/>
  <c r="AF199" i="18"/>
  <c r="AF148" i="18"/>
  <c r="AF207" i="18"/>
  <c r="AF147" i="18"/>
  <c r="AF151" i="18"/>
  <c r="AF167" i="18"/>
  <c r="AF155" i="18"/>
  <c r="AF174" i="18"/>
  <c r="AF173" i="18"/>
  <c r="AF254" i="18"/>
  <c r="D306" i="67" l="1"/>
  <c r="AF185" i="18"/>
  <c r="AI173" i="18"/>
  <c r="AG173" i="18"/>
  <c r="C55" i="67" s="1"/>
  <c r="AG174" i="18"/>
  <c r="D55" i="67" s="1"/>
  <c r="AI174" i="18"/>
  <c r="AI155" i="18"/>
  <c r="AG155" i="18"/>
  <c r="C117" i="67" s="1"/>
  <c r="C124" i="67" s="1"/>
  <c r="AF225" i="18"/>
  <c r="AF237" i="18"/>
  <c r="AF191" i="18"/>
  <c r="AI167" i="18"/>
  <c r="AG167" i="18"/>
  <c r="C105" i="67"/>
  <c r="C83" i="67"/>
  <c r="AG151" i="18"/>
  <c r="C116" i="67" s="1"/>
  <c r="AI151" i="18"/>
  <c r="AF159" i="18"/>
  <c r="AG147" i="18"/>
  <c r="C115" i="67" s="1"/>
  <c r="AI147" i="18"/>
  <c r="AI207" i="18"/>
  <c r="AG207" i="18"/>
  <c r="C131" i="67" s="1"/>
  <c r="AG148" i="18"/>
  <c r="D115" i="67" s="1"/>
  <c r="AI148" i="18"/>
  <c r="AF215" i="18"/>
  <c r="AI215" i="18" s="1"/>
  <c r="AG199" i="18"/>
  <c r="AI199" i="18"/>
  <c r="AF221" i="18"/>
  <c r="AG203" i="18"/>
  <c r="C130" i="67" s="1"/>
  <c r="AI203" i="18"/>
  <c r="AF163" i="18"/>
  <c r="AI163" i="18" s="1"/>
  <c r="AG143" i="18"/>
  <c r="AI143" i="18"/>
  <c r="C297" i="67"/>
  <c r="AI181" i="18"/>
  <c r="AG181" i="18"/>
  <c r="C57" i="67" s="1"/>
  <c r="C306" i="67"/>
  <c r="AI211" i="18"/>
  <c r="AG211" i="18"/>
  <c r="C132" i="67" s="1"/>
  <c r="C139" i="67" s="1"/>
  <c r="AI177" i="18"/>
  <c r="AG177" i="18"/>
  <c r="C56" i="67" s="1"/>
  <c r="D320" i="67"/>
  <c r="D321" i="67"/>
  <c r="D319" i="67"/>
  <c r="D323" i="67"/>
  <c r="D303" i="67"/>
  <c r="D322" i="67"/>
  <c r="C71" i="60"/>
  <c r="C77" i="60" s="1"/>
  <c r="C85" i="60"/>
  <c r="C91" i="60" s="1"/>
  <c r="C62" i="60"/>
  <c r="D85" i="60"/>
  <c r="D91" i="60" s="1"/>
  <c r="D62" i="60"/>
  <c r="D71" i="60"/>
  <c r="D77" i="60" s="1"/>
  <c r="D42" i="60"/>
  <c r="D132" i="60"/>
  <c r="D148" i="67" s="1"/>
  <c r="C108" i="60"/>
  <c r="D54" i="60"/>
  <c r="C61" i="60"/>
  <c r="C58" i="60"/>
  <c r="C65" i="60" s="1"/>
  <c r="C70" i="60"/>
  <c r="C76" i="60" s="1"/>
  <c r="C84" i="60"/>
  <c r="C90" i="60" s="1"/>
  <c r="D149" i="60"/>
  <c r="C107" i="60"/>
  <c r="C106" i="60"/>
  <c r="C122" i="60"/>
  <c r="D106" i="60"/>
  <c r="C168" i="67"/>
  <c r="C165" i="60"/>
  <c r="S157" i="60"/>
  <c r="C117" i="60"/>
  <c r="C168" i="60" s="1"/>
  <c r="C120" i="60"/>
  <c r="D152" i="60"/>
  <c r="D114" i="60"/>
  <c r="D230" i="60"/>
  <c r="D98" i="60"/>
  <c r="C121" i="60"/>
  <c r="C47" i="60"/>
  <c r="C41" i="67"/>
  <c r="C47" i="67" s="1"/>
  <c r="D101" i="60"/>
  <c r="C102" i="60"/>
  <c r="C162" i="60" s="1"/>
  <c r="C105" i="60"/>
  <c r="C46" i="60"/>
  <c r="C43" i="60"/>
  <c r="C40" i="67"/>
  <c r="C46" i="67" s="1"/>
  <c r="D100" i="60"/>
  <c r="C314" i="67"/>
  <c r="C312" i="67"/>
  <c r="C294" i="67"/>
  <c r="C315" i="67"/>
  <c r="C311" i="67"/>
  <c r="C313" i="67"/>
  <c r="C212" i="60"/>
  <c r="C209" i="60"/>
  <c r="S202" i="60"/>
  <c r="C206" i="60"/>
  <c r="D196" i="60"/>
  <c r="A243" i="6"/>
  <c r="J286" i="30"/>
  <c r="A244" i="25"/>
  <c r="A244" i="1"/>
  <c r="A212" i="68" s="1"/>
  <c r="A243" i="11"/>
  <c r="C73" i="60"/>
  <c r="C79" i="60" s="1"/>
  <c r="C87" i="60"/>
  <c r="C93" i="60" s="1"/>
  <c r="C64" i="60"/>
  <c r="D116" i="60"/>
  <c r="D56" i="60"/>
  <c r="D134" i="60"/>
  <c r="D150" i="67" s="1"/>
  <c r="D113" i="60"/>
  <c r="E55" i="60"/>
  <c r="C303" i="67"/>
  <c r="C319" i="67"/>
  <c r="C323" i="67"/>
  <c r="C320" i="67"/>
  <c r="C321" i="67"/>
  <c r="C322" i="67"/>
  <c r="E134" i="60"/>
  <c r="E150" i="67" s="1"/>
  <c r="E237" i="60"/>
  <c r="E150" i="60"/>
  <c r="E149" i="60"/>
  <c r="D129" i="60"/>
  <c r="D145" i="67" s="1"/>
  <c r="E133" i="60"/>
  <c r="E149" i="67" s="1"/>
  <c r="C178" i="60"/>
  <c r="D130" i="60"/>
  <c r="D146" i="67" s="1"/>
  <c r="D133" i="60"/>
  <c r="D149" i="67" s="1"/>
  <c r="E152" i="60"/>
  <c r="D40" i="60"/>
  <c r="D151" i="60"/>
  <c r="D150" i="60"/>
  <c r="D128" i="60"/>
  <c r="D144" i="67" s="1"/>
  <c r="E130" i="60"/>
  <c r="E146" i="67" s="1"/>
  <c r="C123" i="60"/>
  <c r="E40" i="60"/>
  <c r="D41" i="60"/>
  <c r="D57" i="60"/>
  <c r="E114" i="60"/>
  <c r="E57" i="60"/>
  <c r="E42" i="60"/>
  <c r="D131" i="60"/>
  <c r="D147" i="67" s="1"/>
  <c r="E196" i="60"/>
  <c r="D197" i="60"/>
  <c r="D115" i="60"/>
  <c r="C238" i="67"/>
  <c r="S240" i="67"/>
  <c r="E98" i="60"/>
  <c r="C86" i="60"/>
  <c r="C92" i="60" s="1"/>
  <c r="C63" i="60"/>
  <c r="C72" i="60"/>
  <c r="C78" i="60" s="1"/>
  <c r="E132" i="60"/>
  <c r="E148" i="67" s="1"/>
  <c r="AF168" i="18"/>
  <c r="AF204" i="18"/>
  <c r="AF144" i="18"/>
  <c r="AF212" i="18"/>
  <c r="AF175" i="18"/>
  <c r="AF183" i="18"/>
  <c r="AF178" i="18"/>
  <c r="AF250" i="18"/>
  <c r="AF156" i="18"/>
  <c r="AF152" i="18"/>
  <c r="AF200" i="18"/>
  <c r="AF255" i="18"/>
  <c r="AF182" i="18"/>
  <c r="AF145" i="18"/>
  <c r="AF205" i="18"/>
  <c r="AF208" i="18"/>
  <c r="AG208" i="18" l="1"/>
  <c r="D131" i="67" s="1"/>
  <c r="AI208" i="18"/>
  <c r="AG205" i="18"/>
  <c r="E130" i="67" s="1"/>
  <c r="AI205" i="18"/>
  <c r="AG145" i="18"/>
  <c r="AI145" i="18"/>
  <c r="AI182" i="18"/>
  <c r="AG182" i="18"/>
  <c r="D57" i="67" s="1"/>
  <c r="E306" i="67"/>
  <c r="AF216" i="18"/>
  <c r="AI216" i="18" s="1"/>
  <c r="AI200" i="18"/>
  <c r="AG200" i="18"/>
  <c r="AI152" i="18"/>
  <c r="AG152" i="18"/>
  <c r="D116" i="67" s="1"/>
  <c r="AF160" i="18"/>
  <c r="AI156" i="18"/>
  <c r="AG156" i="18"/>
  <c r="D117" i="67" s="1"/>
  <c r="D124" i="67" s="1"/>
  <c r="D297" i="67"/>
  <c r="AI178" i="18"/>
  <c r="AG178" i="18"/>
  <c r="D56" i="67" s="1"/>
  <c r="AF186" i="18"/>
  <c r="AI183" i="18"/>
  <c r="AG183" i="18"/>
  <c r="E57" i="67" s="1"/>
  <c r="AI175" i="18"/>
  <c r="AG175" i="18"/>
  <c r="E55" i="67" s="1"/>
  <c r="AG212" i="18"/>
  <c r="D132" i="67" s="1"/>
  <c r="D139" i="67" s="1"/>
  <c r="AI212" i="18"/>
  <c r="AF164" i="18"/>
  <c r="AI164" i="18" s="1"/>
  <c r="AI144" i="18"/>
  <c r="AG144" i="18"/>
  <c r="AF222" i="18"/>
  <c r="AI204" i="18"/>
  <c r="AG204" i="18"/>
  <c r="D130" i="67" s="1"/>
  <c r="AF192" i="18"/>
  <c r="AF226" i="18"/>
  <c r="AF238" i="18"/>
  <c r="D83" i="67"/>
  <c r="AI168" i="18"/>
  <c r="AG168" i="18"/>
  <c r="D105" i="67"/>
  <c r="T201" i="60"/>
  <c r="D201" i="60"/>
  <c r="D237" i="67"/>
  <c r="S242" i="67"/>
  <c r="D122" i="60"/>
  <c r="E42" i="67"/>
  <c r="E48" i="67" s="1"/>
  <c r="E48" i="60"/>
  <c r="E121" i="60"/>
  <c r="E46" i="60"/>
  <c r="E40" i="67"/>
  <c r="E46" i="67" s="1"/>
  <c r="T155" i="60"/>
  <c r="D155" i="60"/>
  <c r="E165" i="60"/>
  <c r="E168" i="67"/>
  <c r="E157" i="60"/>
  <c r="U157" i="60"/>
  <c r="S216" i="60"/>
  <c r="C267" i="67"/>
  <c r="C268" i="67"/>
  <c r="C266" i="67"/>
  <c r="C264" i="67"/>
  <c r="C265" i="67"/>
  <c r="S171" i="60"/>
  <c r="C190" i="67"/>
  <c r="C192" i="67"/>
  <c r="C193" i="67"/>
  <c r="C189" i="67"/>
  <c r="C191" i="67"/>
  <c r="T157" i="60"/>
  <c r="D165" i="60"/>
  <c r="D168" i="67"/>
  <c r="D157" i="60"/>
  <c r="S172" i="60"/>
  <c r="C196" i="67"/>
  <c r="C198" i="67"/>
  <c r="C197" i="67"/>
  <c r="C200" i="67"/>
  <c r="C199" i="67"/>
  <c r="C129" i="67"/>
  <c r="AG215" i="18"/>
  <c r="C122" i="67"/>
  <c r="V115" i="67"/>
  <c r="AG191" i="18"/>
  <c r="AI191" i="18"/>
  <c r="V55" i="67"/>
  <c r="C93" i="67"/>
  <c r="C99" i="67" s="1"/>
  <c r="C62" i="67"/>
  <c r="C71" i="67"/>
  <c r="C77" i="67" s="1"/>
  <c r="E105" i="60"/>
  <c r="D73" i="60"/>
  <c r="D79" i="60" s="1"/>
  <c r="D87" i="60"/>
  <c r="D93" i="60" s="1"/>
  <c r="D64" i="60"/>
  <c r="T156" i="60"/>
  <c r="D156" i="60"/>
  <c r="C218" i="67"/>
  <c r="W216" i="67" s="1"/>
  <c r="W176" i="60"/>
  <c r="E165" i="67"/>
  <c r="E154" i="60"/>
  <c r="U154" i="60"/>
  <c r="E323" i="67"/>
  <c r="E321" i="67"/>
  <c r="E320" i="67"/>
  <c r="E322" i="67"/>
  <c r="E303" i="67"/>
  <c r="E319" i="67"/>
  <c r="D120" i="60"/>
  <c r="D117" i="60"/>
  <c r="D168" i="60" s="1"/>
  <c r="E113" i="60"/>
  <c r="E115" i="60"/>
  <c r="E230" i="60"/>
  <c r="E99" i="60"/>
  <c r="F57" i="60"/>
  <c r="S217" i="60"/>
  <c r="C271" i="67"/>
  <c r="C272" i="67"/>
  <c r="C273" i="67"/>
  <c r="C275" i="67"/>
  <c r="C274" i="67"/>
  <c r="D107" i="60"/>
  <c r="D108" i="60"/>
  <c r="D294" i="67"/>
  <c r="D315" i="67"/>
  <c r="D312" i="67"/>
  <c r="D314" i="67"/>
  <c r="D313" i="67"/>
  <c r="D311" i="67"/>
  <c r="R173" i="67"/>
  <c r="T154" i="60"/>
  <c r="D154" i="60"/>
  <c r="C63" i="67"/>
  <c r="C72" i="67"/>
  <c r="C78" i="67" s="1"/>
  <c r="V56" i="67"/>
  <c r="C94" i="67"/>
  <c r="C137" i="67"/>
  <c r="V130" i="67"/>
  <c r="C138" i="67"/>
  <c r="V131" i="67"/>
  <c r="V138" i="67" s="1"/>
  <c r="AI159" i="18"/>
  <c r="AG159" i="18"/>
  <c r="E200" i="60"/>
  <c r="U200" i="60"/>
  <c r="E236" i="67"/>
  <c r="D47" i="60"/>
  <c r="D41" i="67"/>
  <c r="D47" i="67" s="1"/>
  <c r="E166" i="67"/>
  <c r="U155" i="60"/>
  <c r="E155" i="60"/>
  <c r="D63" i="60"/>
  <c r="D86" i="60"/>
  <c r="D92" i="60" s="1"/>
  <c r="D72" i="60"/>
  <c r="D78" i="60" s="1"/>
  <c r="K286" i="30"/>
  <c r="A245" i="1"/>
  <c r="A213" i="68" s="1"/>
  <c r="D8" i="60" s="1"/>
  <c r="A244" i="6"/>
  <c r="A245" i="25"/>
  <c r="D12" i="60" s="1"/>
  <c r="A244" i="11"/>
  <c r="D198" i="60"/>
  <c r="T200" i="60"/>
  <c r="D236" i="67"/>
  <c r="D200" i="60"/>
  <c r="S215" i="60"/>
  <c r="C259" i="67"/>
  <c r="C258" i="67"/>
  <c r="C257" i="67"/>
  <c r="C261" i="67"/>
  <c r="C260" i="67"/>
  <c r="E101" i="60"/>
  <c r="E116" i="60"/>
  <c r="S173" i="60"/>
  <c r="C204" i="67"/>
  <c r="C205" i="67"/>
  <c r="C207" i="67"/>
  <c r="C206" i="67"/>
  <c r="C203" i="67"/>
  <c r="F55" i="60"/>
  <c r="C64" i="67"/>
  <c r="C73" i="67"/>
  <c r="C79" i="67" s="1"/>
  <c r="C95" i="67"/>
  <c r="C101" i="67" s="1"/>
  <c r="AG163" i="18"/>
  <c r="C114" i="67"/>
  <c r="AI221" i="18"/>
  <c r="AG221" i="18"/>
  <c r="C54" i="67"/>
  <c r="AG237" i="18"/>
  <c r="AG225" i="18"/>
  <c r="D62" i="67"/>
  <c r="W55" i="67"/>
  <c r="D93" i="67"/>
  <c r="D99" i="67" s="1"/>
  <c r="D71" i="67"/>
  <c r="D77" i="67" s="1"/>
  <c r="AF231" i="18"/>
  <c r="AF243" i="18"/>
  <c r="AI185" i="18"/>
  <c r="C109" i="67"/>
  <c r="C87" i="67"/>
  <c r="AG185" i="18"/>
  <c r="E87" i="60"/>
  <c r="E93" i="60" s="1"/>
  <c r="E73" i="60"/>
  <c r="E79" i="60" s="1"/>
  <c r="E64" i="60"/>
  <c r="D43" i="60"/>
  <c r="D40" i="67"/>
  <c r="D46" i="67" s="1"/>
  <c r="D46" i="60"/>
  <c r="E85" i="60"/>
  <c r="E91" i="60" s="1"/>
  <c r="E71" i="60"/>
  <c r="E77" i="60" s="1"/>
  <c r="E62" i="60"/>
  <c r="D123" i="60"/>
  <c r="E129" i="60"/>
  <c r="E145" i="67" s="1"/>
  <c r="F129" i="60"/>
  <c r="F145" i="67" s="1"/>
  <c r="C222" i="60"/>
  <c r="D191" i="60"/>
  <c r="F149" i="60"/>
  <c r="F130" i="60"/>
  <c r="F146" i="67" s="1"/>
  <c r="E131" i="60"/>
  <c r="E147" i="67" s="1"/>
  <c r="C49" i="60"/>
  <c r="C43" i="67"/>
  <c r="C49" i="67" s="1"/>
  <c r="D102" i="60"/>
  <c r="D162" i="60" s="1"/>
  <c r="D105" i="60"/>
  <c r="D121" i="60"/>
  <c r="D70" i="60"/>
  <c r="D76" i="60" s="1"/>
  <c r="D84" i="60"/>
  <c r="D90" i="60" s="1"/>
  <c r="D61" i="60"/>
  <c r="D58" i="60"/>
  <c r="D65" i="60" s="1"/>
  <c r="D48" i="60"/>
  <c r="D42" i="67"/>
  <c r="D48" i="67" s="1"/>
  <c r="W115" i="67"/>
  <c r="D122" i="67"/>
  <c r="V116" i="67"/>
  <c r="V123" i="67" s="1"/>
  <c r="C123" i="67"/>
  <c r="AI225" i="18"/>
  <c r="AI237" i="18"/>
  <c r="AF201" i="18"/>
  <c r="AF157" i="18"/>
  <c r="AF176" i="18"/>
  <c r="AF213" i="18"/>
  <c r="AF209" i="18"/>
  <c r="AF149" i="18"/>
  <c r="AF251" i="18"/>
  <c r="AF184" i="18"/>
  <c r="AG184" i="18" l="1"/>
  <c r="F57" i="67" s="1"/>
  <c r="AI184" i="18"/>
  <c r="E297" i="67"/>
  <c r="AG149" i="18"/>
  <c r="E115" i="67" s="1"/>
  <c r="E71" i="67" s="1"/>
  <c r="E77" i="67" s="1"/>
  <c r="AI149" i="18"/>
  <c r="AG209" i="18"/>
  <c r="E131" i="67" s="1"/>
  <c r="AI209" i="18"/>
  <c r="AF223" i="18"/>
  <c r="AG213" i="18"/>
  <c r="E132" i="67" s="1"/>
  <c r="E139" i="67" s="1"/>
  <c r="AI213" i="18"/>
  <c r="AI176" i="18"/>
  <c r="AG176" i="18"/>
  <c r="F55" i="67" s="1"/>
  <c r="AG157" i="18"/>
  <c r="E117" i="67" s="1"/>
  <c r="E124" i="67" s="1"/>
  <c r="AI157" i="18"/>
  <c r="AF217" i="18"/>
  <c r="AI217" i="18" s="1"/>
  <c r="AG201" i="18"/>
  <c r="AI201" i="18"/>
  <c r="E12" i="60"/>
  <c r="D12" i="67"/>
  <c r="E12" i="67" s="1"/>
  <c r="T171" i="67"/>
  <c r="E171" i="67"/>
  <c r="F87" i="60"/>
  <c r="F93" i="60" s="1"/>
  <c r="F64" i="60"/>
  <c r="E294" i="67"/>
  <c r="E314" i="67"/>
  <c r="E315" i="67"/>
  <c r="E311" i="67"/>
  <c r="E313" i="67"/>
  <c r="E312" i="67"/>
  <c r="D207" i="67"/>
  <c r="D204" i="67"/>
  <c r="D205" i="67"/>
  <c r="T173" i="60"/>
  <c r="D206" i="67"/>
  <c r="D173" i="60"/>
  <c r="D203" i="67"/>
  <c r="F56" i="60"/>
  <c r="E197" i="67"/>
  <c r="E199" i="67"/>
  <c r="U172" i="60"/>
  <c r="E196" i="67"/>
  <c r="E200" i="67"/>
  <c r="E172" i="60"/>
  <c r="E198" i="67"/>
  <c r="D11" i="60"/>
  <c r="W130" i="67"/>
  <c r="D137" i="67"/>
  <c r="X55" i="67"/>
  <c r="E62" i="67"/>
  <c r="E93" i="67"/>
  <c r="E99" i="67" s="1"/>
  <c r="W116" i="67"/>
  <c r="W123" i="67" s="1"/>
  <c r="D123" i="67"/>
  <c r="E137" i="67"/>
  <c r="X130" i="67"/>
  <c r="F165" i="67"/>
  <c r="V154" i="60"/>
  <c r="F154" i="60"/>
  <c r="C154" i="60" s="1"/>
  <c r="D231" i="67"/>
  <c r="D206" i="60"/>
  <c r="T202" i="60"/>
  <c r="D212" i="60"/>
  <c r="D209" i="60"/>
  <c r="D202" i="60"/>
  <c r="E8" i="60"/>
  <c r="D8" i="67"/>
  <c r="E8" i="67" s="1"/>
  <c r="C100" i="67"/>
  <c r="E106" i="60"/>
  <c r="E122" i="60"/>
  <c r="C136" i="67"/>
  <c r="V129" i="67"/>
  <c r="C133" i="67"/>
  <c r="S173" i="67"/>
  <c r="D173" i="67"/>
  <c r="T241" i="67"/>
  <c r="D241" i="67"/>
  <c r="AF232" i="18"/>
  <c r="AF244" i="18"/>
  <c r="AG186" i="18"/>
  <c r="D87" i="67"/>
  <c r="D109" i="67"/>
  <c r="AI186" i="18"/>
  <c r="E114" i="67"/>
  <c r="W122" i="67"/>
  <c r="W117" i="67"/>
  <c r="W220" i="60"/>
  <c r="C286" i="67"/>
  <c r="W284" i="67" s="1"/>
  <c r="AI231" i="18"/>
  <c r="AI243" i="18"/>
  <c r="C121" i="67"/>
  <c r="C118" i="67"/>
  <c r="V114" i="67"/>
  <c r="E123" i="60"/>
  <c r="D9" i="60"/>
  <c r="D222" i="60"/>
  <c r="E197" i="60"/>
  <c r="F42" i="60"/>
  <c r="D10" i="60"/>
  <c r="D178" i="60"/>
  <c r="F196" i="60"/>
  <c r="E151" i="60"/>
  <c r="F131" i="60"/>
  <c r="F147" i="67" s="1"/>
  <c r="F134" i="60"/>
  <c r="F150" i="67" s="1"/>
  <c r="F133" i="60"/>
  <c r="F149" i="67" s="1"/>
  <c r="F151" i="60"/>
  <c r="D187" i="60"/>
  <c r="D138" i="60"/>
  <c r="D189" i="60"/>
  <c r="D140" i="60"/>
  <c r="F40" i="60"/>
  <c r="D7" i="60"/>
  <c r="F41" i="60"/>
  <c r="F152" i="60"/>
  <c r="D144" i="60"/>
  <c r="E41" i="60"/>
  <c r="F197" i="60"/>
  <c r="D139" i="60"/>
  <c r="F150" i="60"/>
  <c r="E128" i="60"/>
  <c r="E144" i="67" s="1"/>
  <c r="D188" i="60"/>
  <c r="D143" i="60"/>
  <c r="D141" i="60"/>
  <c r="D142" i="60"/>
  <c r="D190" i="60"/>
  <c r="F128" i="60"/>
  <c r="F144" i="67" s="1"/>
  <c r="F132" i="60"/>
  <c r="F148" i="67" s="1"/>
  <c r="D186" i="60"/>
  <c r="A191" i="60" s="1"/>
  <c r="L286" i="30"/>
  <c r="A430" i="64"/>
  <c r="A430" i="5"/>
  <c r="V63" i="67"/>
  <c r="V94" i="67"/>
  <c r="V100" i="67" s="1"/>
  <c r="V72" i="67"/>
  <c r="V78" i="67" s="1"/>
  <c r="F113" i="60"/>
  <c r="T170" i="67"/>
  <c r="E170" i="67"/>
  <c r="V122" i="67"/>
  <c r="V117" i="67"/>
  <c r="V124" i="67" s="1"/>
  <c r="D200" i="67"/>
  <c r="D197" i="67"/>
  <c r="D172" i="60"/>
  <c r="D199" i="67"/>
  <c r="D198" i="67"/>
  <c r="T172" i="60"/>
  <c r="D196" i="67"/>
  <c r="AG238" i="18"/>
  <c r="D54" i="67"/>
  <c r="AG226" i="18"/>
  <c r="AI222" i="18"/>
  <c r="AG222" i="18"/>
  <c r="D72" i="67"/>
  <c r="D78" i="67" s="1"/>
  <c r="D63" i="67"/>
  <c r="W56" i="67"/>
  <c r="D94" i="67"/>
  <c r="D100" i="67" s="1"/>
  <c r="AG216" i="18"/>
  <c r="D129" i="67"/>
  <c r="D64" i="67"/>
  <c r="D95" i="67"/>
  <c r="D101" i="67" s="1"/>
  <c r="D73" i="67"/>
  <c r="D79" i="67" s="1"/>
  <c r="D189" i="67"/>
  <c r="D190" i="67"/>
  <c r="D193" i="67"/>
  <c r="D171" i="60"/>
  <c r="T171" i="60"/>
  <c r="D192" i="67"/>
  <c r="D191" i="67"/>
  <c r="D43" i="67"/>
  <c r="D49" i="67" s="1"/>
  <c r="D49" i="60"/>
  <c r="AG243" i="18"/>
  <c r="AG231" i="18"/>
  <c r="W71" i="67"/>
  <c r="W62" i="67"/>
  <c r="W57" i="67"/>
  <c r="W93" i="67"/>
  <c r="C61" i="67"/>
  <c r="C58" i="67"/>
  <c r="C65" i="67" s="1"/>
  <c r="C92" i="67"/>
  <c r="C98" i="67" s="1"/>
  <c r="C70" i="67"/>
  <c r="C76" i="67" s="1"/>
  <c r="V54" i="67"/>
  <c r="F62" i="60"/>
  <c r="F85" i="60"/>
  <c r="F91" i="60" s="1"/>
  <c r="E108" i="60"/>
  <c r="D240" i="67"/>
  <c r="D238" i="67"/>
  <c r="T240" i="67"/>
  <c r="F114" i="60"/>
  <c r="E56" i="60"/>
  <c r="E100" i="60"/>
  <c r="F101" i="60"/>
  <c r="F54" i="60"/>
  <c r="F99" i="60"/>
  <c r="F71" i="60" s="1"/>
  <c r="F77" i="60" s="1"/>
  <c r="F115" i="60"/>
  <c r="F100" i="60"/>
  <c r="F237" i="60"/>
  <c r="E54" i="60"/>
  <c r="F230" i="60"/>
  <c r="F116" i="60"/>
  <c r="F98" i="60"/>
  <c r="D13" i="60"/>
  <c r="U240" i="67"/>
  <c r="E240" i="67"/>
  <c r="V137" i="67"/>
  <c r="V132" i="67"/>
  <c r="V139" i="67" s="1"/>
  <c r="D14" i="60"/>
  <c r="E120" i="60"/>
  <c r="E117" i="60"/>
  <c r="E168" i="60" s="1"/>
  <c r="V71" i="67"/>
  <c r="V77" i="67" s="1"/>
  <c r="V57" i="67"/>
  <c r="V62" i="67"/>
  <c r="V93" i="67"/>
  <c r="V99" i="67" s="1"/>
  <c r="T173" i="67"/>
  <c r="E173" i="67"/>
  <c r="AI238" i="18"/>
  <c r="AI226" i="18"/>
  <c r="AG192" i="18"/>
  <c r="AI192" i="18"/>
  <c r="D114" i="67"/>
  <c r="AG164" i="18"/>
  <c r="E64" i="67"/>
  <c r="E95" i="67"/>
  <c r="E101" i="67" s="1"/>
  <c r="AI160" i="18"/>
  <c r="AG160" i="18"/>
  <c r="W131" i="67"/>
  <c r="W138" i="67" s="1"/>
  <c r="D138" i="67"/>
  <c r="AF180" i="18"/>
  <c r="AF261" i="18"/>
  <c r="AF214" i="18"/>
  <c r="AF206" i="18"/>
  <c r="AF170" i="18"/>
  <c r="AF256" i="18"/>
  <c r="AF146" i="18"/>
  <c r="AF179" i="18"/>
  <c r="AF150" i="18"/>
  <c r="AF169" i="18"/>
  <c r="AF154" i="18"/>
  <c r="AF202" i="18"/>
  <c r="AF153" i="18"/>
  <c r="AF210" i="18"/>
  <c r="AF252" i="18"/>
  <c r="AF158" i="18"/>
  <c r="E73" i="67" l="1"/>
  <c r="E79" i="67" s="1"/>
  <c r="W99" i="67"/>
  <c r="AG158" i="18"/>
  <c r="F117" i="67" s="1"/>
  <c r="F124" i="67" s="1"/>
  <c r="AI158" i="18"/>
  <c r="F297" i="67"/>
  <c r="AG210" i="18"/>
  <c r="F131" i="67" s="1"/>
  <c r="AI210" i="18"/>
  <c r="AG153" i="18"/>
  <c r="AI153" i="18"/>
  <c r="AF165" i="18"/>
  <c r="AI165" i="18" s="1"/>
  <c r="AF161" i="18"/>
  <c r="AF218" i="18"/>
  <c r="AI218" i="18" s="1"/>
  <c r="AI202" i="18"/>
  <c r="AG202" i="18"/>
  <c r="AI154" i="18"/>
  <c r="AG154" i="18"/>
  <c r="F116" i="67" s="1"/>
  <c r="AF227" i="18"/>
  <c r="AF239" i="18"/>
  <c r="AF193" i="18"/>
  <c r="AI169" i="18"/>
  <c r="AG169" i="18"/>
  <c r="E105" i="67"/>
  <c r="E83" i="67"/>
  <c r="AF162" i="18"/>
  <c r="AI150" i="18"/>
  <c r="AG150" i="18"/>
  <c r="F115" i="67" s="1"/>
  <c r="AI179" i="18"/>
  <c r="AG179" i="18"/>
  <c r="E56" i="67" s="1"/>
  <c r="AF187" i="18"/>
  <c r="AF166" i="18"/>
  <c r="AI166" i="18" s="1"/>
  <c r="AI146" i="18"/>
  <c r="AG146" i="18"/>
  <c r="F306" i="67"/>
  <c r="AF228" i="18"/>
  <c r="AF171" i="18"/>
  <c r="AF240" i="18"/>
  <c r="AF194" i="18"/>
  <c r="AF172" i="18"/>
  <c r="AI170" i="18"/>
  <c r="F83" i="67"/>
  <c r="F105" i="67"/>
  <c r="AG170" i="18"/>
  <c r="AF224" i="18"/>
  <c r="AG206" i="18"/>
  <c r="F130" i="67" s="1"/>
  <c r="F93" i="67" s="1"/>
  <c r="F99" i="67" s="1"/>
  <c r="AI206" i="18"/>
  <c r="AG214" i="18"/>
  <c r="F132" i="67" s="1"/>
  <c r="F139" i="67" s="1"/>
  <c r="AI214" i="18"/>
  <c r="AI261" i="18"/>
  <c r="AG261" i="18"/>
  <c r="AG180" i="18"/>
  <c r="F56" i="67" s="1"/>
  <c r="AI180" i="18"/>
  <c r="AF188" i="18"/>
  <c r="D14" i="67"/>
  <c r="E14" i="60"/>
  <c r="F108" i="60"/>
  <c r="D118" i="67"/>
  <c r="D178" i="67" s="1"/>
  <c r="D121" i="67"/>
  <c r="W114" i="67"/>
  <c r="F315" i="67"/>
  <c r="F313" i="67"/>
  <c r="F294" i="67"/>
  <c r="F314" i="67"/>
  <c r="F311" i="67"/>
  <c r="F312" i="67"/>
  <c r="F122" i="60"/>
  <c r="E107" i="60"/>
  <c r="D242" i="67"/>
  <c r="T242" i="67"/>
  <c r="W73" i="67"/>
  <c r="W64" i="67"/>
  <c r="W94" i="67"/>
  <c r="W100" i="67" s="1"/>
  <c r="W72" i="67"/>
  <c r="W78" i="67" s="1"/>
  <c r="W63" i="67"/>
  <c r="F117" i="60"/>
  <c r="F168" i="60" s="1"/>
  <c r="F120" i="60"/>
  <c r="C179" i="60"/>
  <c r="C223" i="60"/>
  <c r="D157" i="67"/>
  <c r="A141" i="60"/>
  <c r="V155" i="60"/>
  <c r="F155" i="60"/>
  <c r="C155" i="60" s="1"/>
  <c r="F166" i="67"/>
  <c r="A144" i="60"/>
  <c r="D160" i="67"/>
  <c r="F40" i="67"/>
  <c r="F46" i="67" s="1"/>
  <c r="F43" i="60"/>
  <c r="F46" i="60"/>
  <c r="D227" i="67"/>
  <c r="A187" i="60"/>
  <c r="D10" i="67"/>
  <c r="E10" i="67" s="1"/>
  <c r="E10" i="60"/>
  <c r="E9" i="60"/>
  <c r="D9" i="67"/>
  <c r="E9" i="67" s="1"/>
  <c r="X114" i="67"/>
  <c r="E121" i="67"/>
  <c r="AG244" i="18"/>
  <c r="AG232" i="18"/>
  <c r="D217" i="60"/>
  <c r="T217" i="60"/>
  <c r="D271" i="67"/>
  <c r="D272" i="67"/>
  <c r="D275" i="67"/>
  <c r="D273" i="67"/>
  <c r="D274" i="67"/>
  <c r="U170" i="67"/>
  <c r="C170" i="67" s="1"/>
  <c r="F170" i="67"/>
  <c r="X93" i="67"/>
  <c r="X99" i="67" s="1"/>
  <c r="X62" i="67"/>
  <c r="E138" i="67"/>
  <c r="X131" i="67"/>
  <c r="X138" i="67" s="1"/>
  <c r="V64" i="67"/>
  <c r="V95" i="67"/>
  <c r="V101" i="67" s="1"/>
  <c r="V73" i="67"/>
  <c r="V79" i="67" s="1"/>
  <c r="F107" i="60"/>
  <c r="E204" i="67"/>
  <c r="E206" i="67"/>
  <c r="E205" i="67"/>
  <c r="E203" i="67"/>
  <c r="E173" i="60"/>
  <c r="U173" i="60"/>
  <c r="E207" i="67"/>
  <c r="D15" i="60"/>
  <c r="E13" i="60"/>
  <c r="D13" i="67"/>
  <c r="E13" i="67" s="1"/>
  <c r="E84" i="60"/>
  <c r="E90" i="60" s="1"/>
  <c r="E70" i="60"/>
  <c r="E76" i="60" s="1"/>
  <c r="E58" i="60"/>
  <c r="E65" i="60" s="1"/>
  <c r="E61" i="60"/>
  <c r="F106" i="60"/>
  <c r="E86" i="60"/>
  <c r="E92" i="60" s="1"/>
  <c r="E72" i="60"/>
  <c r="E78" i="60" s="1"/>
  <c r="E63" i="60"/>
  <c r="D133" i="67"/>
  <c r="D184" i="67" s="1"/>
  <c r="D136" i="67"/>
  <c r="W129" i="67"/>
  <c r="E102" i="60"/>
  <c r="E162" i="60" s="1"/>
  <c r="A143" i="60"/>
  <c r="D159" i="67"/>
  <c r="D155" i="67"/>
  <c r="A139" i="60"/>
  <c r="F157" i="60"/>
  <c r="V157" i="60"/>
  <c r="C157" i="60" s="1"/>
  <c r="F168" i="67"/>
  <c r="F165" i="60"/>
  <c r="D156" i="67"/>
  <c r="A140" i="60"/>
  <c r="F167" i="67"/>
  <c r="V156" i="60"/>
  <c r="F156" i="60"/>
  <c r="C156" i="60" s="1"/>
  <c r="E167" i="67"/>
  <c r="E156" i="60"/>
  <c r="U156" i="60"/>
  <c r="F42" i="67"/>
  <c r="F48" i="67" s="1"/>
  <c r="F48" i="60"/>
  <c r="W124" i="67"/>
  <c r="AI244" i="18"/>
  <c r="AI232" i="18"/>
  <c r="C249" i="67"/>
  <c r="S280" i="67" s="1"/>
  <c r="C184" i="67"/>
  <c r="S213" i="67" s="1"/>
  <c r="X137" i="67"/>
  <c r="X132" i="67"/>
  <c r="X139" i="67" s="1"/>
  <c r="E129" i="67"/>
  <c r="AG217" i="18"/>
  <c r="Y55" i="67"/>
  <c r="F62" i="67"/>
  <c r="F71" i="67"/>
  <c r="F77" i="67" s="1"/>
  <c r="F70" i="60"/>
  <c r="F76" i="60" s="1"/>
  <c r="F105" i="60"/>
  <c r="F102" i="60"/>
  <c r="F162" i="60" s="1"/>
  <c r="F322" i="67"/>
  <c r="F303" i="67"/>
  <c r="F323" i="67"/>
  <c r="F321" i="67"/>
  <c r="F320" i="67"/>
  <c r="F319" i="67"/>
  <c r="F84" i="60"/>
  <c r="F90" i="60" s="1"/>
  <c r="F61" i="60"/>
  <c r="F58" i="60"/>
  <c r="F65" i="60" s="1"/>
  <c r="F121" i="60"/>
  <c r="V61" i="67"/>
  <c r="V58" i="67"/>
  <c r="V65" i="67" s="1"/>
  <c r="V92" i="67"/>
  <c r="V98" i="67" s="1"/>
  <c r="V70" i="67"/>
  <c r="V76" i="67" s="1"/>
  <c r="W77" i="67"/>
  <c r="D58" i="67"/>
  <c r="D65" i="67" s="1"/>
  <c r="D70" i="67"/>
  <c r="D76" i="67" s="1"/>
  <c r="W54" i="67"/>
  <c r="D61" i="67"/>
  <c r="D92" i="67"/>
  <c r="D98" i="67" s="1"/>
  <c r="A431" i="5"/>
  <c r="D223" i="60" s="1"/>
  <c r="A431" i="64"/>
  <c r="M286" i="30"/>
  <c r="A190" i="60"/>
  <c r="D230" i="67"/>
  <c r="D228" i="67"/>
  <c r="A228" i="67" s="1"/>
  <c r="A188" i="60"/>
  <c r="F237" i="67"/>
  <c r="F201" i="60"/>
  <c r="C201" i="60" s="1"/>
  <c r="V201" i="60"/>
  <c r="F47" i="60"/>
  <c r="F41" i="67"/>
  <c r="F47" i="67" s="1"/>
  <c r="A189" i="60"/>
  <c r="D229" i="67"/>
  <c r="F200" i="60"/>
  <c r="F198" i="60"/>
  <c r="F236" i="67"/>
  <c r="V200" i="60"/>
  <c r="C200" i="60" s="1"/>
  <c r="E201" i="60"/>
  <c r="E237" i="67"/>
  <c r="U201" i="60"/>
  <c r="E198" i="60"/>
  <c r="V121" i="67"/>
  <c r="V118" i="67"/>
  <c r="V133" i="67"/>
  <c r="V136" i="67"/>
  <c r="D260" i="67"/>
  <c r="D261" i="67"/>
  <c r="D259" i="67"/>
  <c r="D257" i="67"/>
  <c r="D258" i="67"/>
  <c r="D215" i="60"/>
  <c r="T215" i="60"/>
  <c r="W137" i="67"/>
  <c r="W132" i="67"/>
  <c r="W139" i="67" s="1"/>
  <c r="AI223" i="18"/>
  <c r="AG223" i="18"/>
  <c r="F123" i="60"/>
  <c r="D226" i="67"/>
  <c r="D192" i="60"/>
  <c r="E188" i="60" s="1"/>
  <c r="A186" i="60"/>
  <c r="A142" i="60"/>
  <c r="D158" i="67"/>
  <c r="E41" i="67"/>
  <c r="E47" i="67" s="1"/>
  <c r="E47" i="60"/>
  <c r="E43" i="60"/>
  <c r="E7" i="60"/>
  <c r="D7" i="67"/>
  <c r="E7" i="67" s="1"/>
  <c r="D154" i="67"/>
  <c r="D145" i="60"/>
  <c r="E138" i="60" s="1"/>
  <c r="A138" i="60"/>
  <c r="D218" i="67"/>
  <c r="X216" i="67" s="1"/>
  <c r="X176" i="60"/>
  <c r="D286" i="67"/>
  <c r="X284" i="67" s="1"/>
  <c r="X220" i="60"/>
  <c r="C246" i="67"/>
  <c r="S279" i="67" s="1"/>
  <c r="C178" i="67"/>
  <c r="S211" i="67" s="1"/>
  <c r="D264" i="67"/>
  <c r="D266" i="67"/>
  <c r="T216" i="60"/>
  <c r="D265" i="67"/>
  <c r="D267" i="67"/>
  <c r="D268" i="67"/>
  <c r="D216" i="60"/>
  <c r="E11" i="60"/>
  <c r="D11" i="67"/>
  <c r="E11" i="67" s="1"/>
  <c r="F72" i="60"/>
  <c r="F78" i="60" s="1"/>
  <c r="F63" i="60"/>
  <c r="F86" i="60"/>
  <c r="F92" i="60" s="1"/>
  <c r="F73" i="60"/>
  <c r="F79" i="60" s="1"/>
  <c r="X115" i="67"/>
  <c r="E122" i="67"/>
  <c r="F73" i="67"/>
  <c r="F79" i="67" s="1"/>
  <c r="F95" i="67"/>
  <c r="F101" i="67" s="1"/>
  <c r="F64" i="67"/>
  <c r="X221" i="60" l="1"/>
  <c r="D287" i="67"/>
  <c r="X285" i="67" s="1"/>
  <c r="A226" i="67"/>
  <c r="D232" i="67"/>
  <c r="E226" i="67"/>
  <c r="U202" i="60"/>
  <c r="E212" i="60"/>
  <c r="E202" i="60"/>
  <c r="E206" i="60"/>
  <c r="E209" i="60"/>
  <c r="E189" i="60"/>
  <c r="X122" i="67"/>
  <c r="U140" i="60"/>
  <c r="U143" i="60"/>
  <c r="U138" i="60"/>
  <c r="V143" i="60"/>
  <c r="V144" i="60"/>
  <c r="U141" i="60"/>
  <c r="V139" i="60"/>
  <c r="U144" i="60"/>
  <c r="U139" i="60"/>
  <c r="V138" i="60"/>
  <c r="V141" i="60"/>
  <c r="V140" i="60"/>
  <c r="U142" i="60"/>
  <c r="V142" i="60"/>
  <c r="E142" i="60"/>
  <c r="U188" i="60"/>
  <c r="V188" i="60"/>
  <c r="U189" i="60"/>
  <c r="V187" i="60"/>
  <c r="V186" i="60"/>
  <c r="V190" i="60"/>
  <c r="U187" i="60"/>
  <c r="V191" i="60"/>
  <c r="U190" i="60"/>
  <c r="U186" i="60"/>
  <c r="V189" i="60"/>
  <c r="U191" i="60"/>
  <c r="F240" i="67"/>
  <c r="V240" i="67"/>
  <c r="C240" i="67" s="1"/>
  <c r="F238" i="67"/>
  <c r="A229" i="67"/>
  <c r="E229" i="67"/>
  <c r="F193" i="67"/>
  <c r="F190" i="67"/>
  <c r="V171" i="60"/>
  <c r="F192" i="67"/>
  <c r="F171" i="60"/>
  <c r="F191" i="67"/>
  <c r="F189" i="67"/>
  <c r="E133" i="67"/>
  <c r="E184" i="67" s="1"/>
  <c r="X129" i="67"/>
  <c r="E136" i="67"/>
  <c r="A231" i="67"/>
  <c r="A156" i="67"/>
  <c r="E143" i="60"/>
  <c r="W133" i="67"/>
  <c r="W136" i="67"/>
  <c r="X121" i="67"/>
  <c r="F43" i="67"/>
  <c r="F49" i="67" s="1"/>
  <c r="F49" i="60"/>
  <c r="E141" i="60"/>
  <c r="W221" i="60"/>
  <c r="C287" i="67"/>
  <c r="W285" i="67" s="1"/>
  <c r="V173" i="60"/>
  <c r="C173" i="60" s="1"/>
  <c r="F206" i="67"/>
  <c r="F173" i="60"/>
  <c r="F203" i="67"/>
  <c r="F207" i="67"/>
  <c r="F205" i="67"/>
  <c r="F204" i="67"/>
  <c r="W95" i="67"/>
  <c r="W101" i="67" s="1"/>
  <c r="D246" i="67"/>
  <c r="E14" i="67"/>
  <c r="D15" i="67"/>
  <c r="AF229" i="18"/>
  <c r="AF230" i="18"/>
  <c r="F122" i="67"/>
  <c r="Y115" i="67"/>
  <c r="AG218" i="18"/>
  <c r="F129" i="67"/>
  <c r="F138" i="67"/>
  <c r="Y131" i="67"/>
  <c r="Y138" i="67" s="1"/>
  <c r="N286" i="30"/>
  <c r="A432" i="64"/>
  <c r="A432" i="5"/>
  <c r="U172" i="67"/>
  <c r="F172" i="67"/>
  <c r="F197" i="67"/>
  <c r="F172" i="60"/>
  <c r="F200" i="67"/>
  <c r="F196" i="67"/>
  <c r="V172" i="60"/>
  <c r="C172" i="60" s="1"/>
  <c r="F198" i="67"/>
  <c r="F199" i="67"/>
  <c r="E139" i="60"/>
  <c r="A159" i="67"/>
  <c r="U171" i="67"/>
  <c r="C171" i="67" s="1"/>
  <c r="F171" i="67"/>
  <c r="W177" i="60"/>
  <c r="C219" i="67"/>
  <c r="W217" i="67" s="1"/>
  <c r="T211" i="67"/>
  <c r="D211" i="67"/>
  <c r="AF190" i="18"/>
  <c r="AF234" i="18"/>
  <c r="AF246" i="18"/>
  <c r="AF189" i="18"/>
  <c r="AI188" i="18"/>
  <c r="AG188" i="18"/>
  <c r="F109" i="67"/>
  <c r="F87" i="67"/>
  <c r="F137" i="67"/>
  <c r="Y130" i="67"/>
  <c r="Y93" i="67" s="1"/>
  <c r="Y99" i="67" s="1"/>
  <c r="AF196" i="18"/>
  <c r="AF198" i="18"/>
  <c r="AF197" i="18"/>
  <c r="AF195" i="18"/>
  <c r="AF219" i="18"/>
  <c r="AF220" i="18"/>
  <c r="AG194" i="18"/>
  <c r="AI194" i="18"/>
  <c r="AF245" i="18"/>
  <c r="AF233" i="18"/>
  <c r="AI187" i="18"/>
  <c r="AG187" i="18"/>
  <c r="E109" i="67"/>
  <c r="E87" i="67"/>
  <c r="E54" i="67"/>
  <c r="AG227" i="18"/>
  <c r="AG239" i="18"/>
  <c r="A158" i="67"/>
  <c r="E187" i="60"/>
  <c r="E191" i="60"/>
  <c r="D161" i="67"/>
  <c r="E154" i="67" s="1"/>
  <c r="A154" i="67"/>
  <c r="V241" i="67"/>
  <c r="F241" i="67"/>
  <c r="E190" i="60"/>
  <c r="W58" i="67"/>
  <c r="W65" i="67" s="1"/>
  <c r="W92" i="67"/>
  <c r="W98" i="67" s="1"/>
  <c r="W70" i="67"/>
  <c r="W76" i="67" s="1"/>
  <c r="W61" i="67"/>
  <c r="Y71" i="67"/>
  <c r="Y77" i="67" s="1"/>
  <c r="Y62" i="67"/>
  <c r="T172" i="67"/>
  <c r="E172" i="67"/>
  <c r="E140" i="60"/>
  <c r="F173" i="67"/>
  <c r="U173" i="67"/>
  <c r="C173" i="67" s="1"/>
  <c r="T213" i="67"/>
  <c r="D213" i="67"/>
  <c r="X71" i="67"/>
  <c r="X77" i="67" s="1"/>
  <c r="E227" i="67"/>
  <c r="A227" i="67"/>
  <c r="E144" i="60"/>
  <c r="E145" i="60" s="1"/>
  <c r="A157" i="67"/>
  <c r="E179" i="60"/>
  <c r="W79" i="67"/>
  <c r="AI224" i="18"/>
  <c r="AG224" i="18"/>
  <c r="AI228" i="18"/>
  <c r="AI172" i="18"/>
  <c r="AI240" i="18"/>
  <c r="AI171" i="18"/>
  <c r="AF242" i="18"/>
  <c r="AF241" i="18"/>
  <c r="AG166" i="18"/>
  <c r="F114" i="67"/>
  <c r="X56" i="67"/>
  <c r="E63" i="67"/>
  <c r="E94" i="67"/>
  <c r="E100" i="67" s="1"/>
  <c r="AF258" i="18"/>
  <c r="AG162" i="18"/>
  <c r="AI162" i="18"/>
  <c r="AI239" i="18"/>
  <c r="AI227" i="18"/>
  <c r="F123" i="67"/>
  <c r="Y116" i="67"/>
  <c r="Y123" i="67" s="1"/>
  <c r="E116" i="67"/>
  <c r="E72" i="67" s="1"/>
  <c r="E78" i="67" s="1"/>
  <c r="AG165" i="18"/>
  <c r="E43" i="67"/>
  <c r="E49" i="67" s="1"/>
  <c r="E49" i="60"/>
  <c r="U241" i="67"/>
  <c r="E241" i="67"/>
  <c r="E238" i="67"/>
  <c r="F202" i="60"/>
  <c r="F209" i="60"/>
  <c r="F206" i="60"/>
  <c r="F212" i="60"/>
  <c r="V202" i="60"/>
  <c r="C202" i="60" s="1"/>
  <c r="E186" i="60"/>
  <c r="E192" i="60" s="1"/>
  <c r="A230" i="67"/>
  <c r="E230" i="67"/>
  <c r="A155" i="67"/>
  <c r="E155" i="67"/>
  <c r="E193" i="67"/>
  <c r="E191" i="67"/>
  <c r="U171" i="60"/>
  <c r="E189" i="67"/>
  <c r="E190" i="67"/>
  <c r="E171" i="60"/>
  <c r="E192" i="67"/>
  <c r="A160" i="67"/>
  <c r="D179" i="60"/>
  <c r="D249" i="67"/>
  <c r="W121" i="67"/>
  <c r="W118" i="67"/>
  <c r="Y56" i="67"/>
  <c r="Y57" i="67" s="1"/>
  <c r="F63" i="67"/>
  <c r="F94" i="67"/>
  <c r="F100" i="67" s="1"/>
  <c r="F72" i="67"/>
  <c r="F78" i="67" s="1"/>
  <c r="AG171" i="18"/>
  <c r="AG240" i="18"/>
  <c r="AG228" i="18"/>
  <c r="AG172" i="18"/>
  <c r="F54" i="67"/>
  <c r="AF259" i="18"/>
  <c r="AG193" i="18"/>
  <c r="AI193" i="18"/>
  <c r="AI161" i="18"/>
  <c r="AG161" i="18"/>
  <c r="Y64" i="67" l="1"/>
  <c r="AG229" i="18"/>
  <c r="AG230" i="18"/>
  <c r="X177" i="60"/>
  <c r="D219" i="67"/>
  <c r="X217" i="67" s="1"/>
  <c r="E160" i="67"/>
  <c r="F215" i="60"/>
  <c r="F261" i="67"/>
  <c r="F259" i="67"/>
  <c r="F258" i="67"/>
  <c r="V215" i="60"/>
  <c r="F257" i="67"/>
  <c r="F260" i="67"/>
  <c r="Y177" i="60"/>
  <c r="E219" i="67"/>
  <c r="Y217" i="67" s="1"/>
  <c r="E157" i="67"/>
  <c r="V156" i="67"/>
  <c r="V155" i="67"/>
  <c r="U157" i="67"/>
  <c r="U159" i="67"/>
  <c r="U158" i="67"/>
  <c r="V157" i="67"/>
  <c r="U156" i="67"/>
  <c r="V159" i="67"/>
  <c r="U154" i="67"/>
  <c r="V158" i="67"/>
  <c r="U155" i="67"/>
  <c r="V154" i="67"/>
  <c r="U160" i="67"/>
  <c r="V160" i="67"/>
  <c r="E158" i="67"/>
  <c r="E61" i="67"/>
  <c r="E92" i="67"/>
  <c r="E98" i="67" s="1"/>
  <c r="X54" i="67"/>
  <c r="E58" i="67"/>
  <c r="E65" i="67" s="1"/>
  <c r="E70" i="67"/>
  <c r="E76" i="67" s="1"/>
  <c r="AI233" i="18"/>
  <c r="AI245" i="18"/>
  <c r="AG197" i="18"/>
  <c r="AG220" i="18"/>
  <c r="AG198" i="18"/>
  <c r="AG196" i="18"/>
  <c r="AG195" i="18"/>
  <c r="AG219" i="18"/>
  <c r="AI234" i="18"/>
  <c r="AI190" i="18"/>
  <c r="AI246" i="18"/>
  <c r="AI189" i="18"/>
  <c r="E223" i="60"/>
  <c r="C172" i="67"/>
  <c r="A433" i="5"/>
  <c r="O286" i="30"/>
  <c r="A433" i="64"/>
  <c r="E156" i="67"/>
  <c r="E161" i="67" s="1"/>
  <c r="X133" i="67"/>
  <c r="X136" i="67"/>
  <c r="U216" i="60"/>
  <c r="E268" i="67"/>
  <c r="E265" i="67"/>
  <c r="E216" i="60"/>
  <c r="E267" i="67"/>
  <c r="E264" i="67"/>
  <c r="E266" i="67"/>
  <c r="U228" i="67"/>
  <c r="U231" i="67"/>
  <c r="V227" i="67"/>
  <c r="V228" i="67"/>
  <c r="U226" i="67"/>
  <c r="V230" i="67"/>
  <c r="U229" i="67"/>
  <c r="V229" i="67"/>
  <c r="U227" i="67"/>
  <c r="V226" i="67"/>
  <c r="U230" i="67"/>
  <c r="V231" i="67"/>
  <c r="AF260" i="18"/>
  <c r="AI259" i="18"/>
  <c r="AG259" i="18"/>
  <c r="AG241" i="18"/>
  <c r="AG242" i="18"/>
  <c r="T280" i="67"/>
  <c r="D280" i="67"/>
  <c r="F216" i="60"/>
  <c r="F264" i="67"/>
  <c r="F268" i="67"/>
  <c r="V216" i="60"/>
  <c r="C216" i="60" s="1"/>
  <c r="F265" i="67"/>
  <c r="F266" i="67"/>
  <c r="F267" i="67"/>
  <c r="AG258" i="18"/>
  <c r="AI258" i="18"/>
  <c r="X94" i="67"/>
  <c r="X100" i="67" s="1"/>
  <c r="X63" i="67"/>
  <c r="X57" i="67"/>
  <c r="AI229" i="18"/>
  <c r="AI230" i="18"/>
  <c r="E159" i="67"/>
  <c r="Y117" i="67"/>
  <c r="Y124" i="67" s="1"/>
  <c r="Y122" i="67"/>
  <c r="E213" i="67"/>
  <c r="U213" i="67"/>
  <c r="E215" i="60"/>
  <c r="E261" i="67"/>
  <c r="E260" i="67"/>
  <c r="E259" i="67"/>
  <c r="U215" i="60"/>
  <c r="E257" i="67"/>
  <c r="E258" i="67"/>
  <c r="F70" i="67"/>
  <c r="F76" i="67" s="1"/>
  <c r="F61" i="67"/>
  <c r="F92" i="67"/>
  <c r="F98" i="67" s="1"/>
  <c r="Y54" i="67"/>
  <c r="F58" i="67"/>
  <c r="F65" i="67" s="1"/>
  <c r="Y72" i="67"/>
  <c r="Y78" i="67" s="1"/>
  <c r="Y94" i="67"/>
  <c r="Y100" i="67" s="1"/>
  <c r="Y63" i="67"/>
  <c r="X116" i="67"/>
  <c r="E123" i="67"/>
  <c r="E118" i="67"/>
  <c r="E178" i="67" s="1"/>
  <c r="F121" i="67"/>
  <c r="F118" i="67"/>
  <c r="F178" i="67" s="1"/>
  <c r="Y114" i="67"/>
  <c r="C241" i="67"/>
  <c r="AF248" i="18"/>
  <c r="AF247" i="18"/>
  <c r="C171" i="60"/>
  <c r="F273" i="67"/>
  <c r="F275" i="67"/>
  <c r="F274" i="67"/>
  <c r="F272" i="67"/>
  <c r="V217" i="60"/>
  <c r="C217" i="60" s="1"/>
  <c r="F217" i="60"/>
  <c r="F271" i="67"/>
  <c r="U242" i="67"/>
  <c r="E242" i="67"/>
  <c r="E249" i="67"/>
  <c r="AI242" i="18"/>
  <c r="AI241" i="18"/>
  <c r="AG245" i="18"/>
  <c r="AG233" i="18"/>
  <c r="AI219" i="18"/>
  <c r="AI197" i="18"/>
  <c r="AI220" i="18"/>
  <c r="AI195" i="18"/>
  <c r="AI198" i="18"/>
  <c r="AI196" i="18"/>
  <c r="Y132" i="67"/>
  <c r="Y139" i="67" s="1"/>
  <c r="Y137" i="67"/>
  <c r="AG190" i="18"/>
  <c r="AG234" i="18"/>
  <c r="AG189" i="18"/>
  <c r="AG246" i="18"/>
  <c r="AF235" i="18"/>
  <c r="AF236" i="18"/>
  <c r="F136" i="67"/>
  <c r="Y129" i="67"/>
  <c r="F133" i="67"/>
  <c r="F184" i="67" s="1"/>
  <c r="T279" i="67"/>
  <c r="D279" i="67"/>
  <c r="F179" i="60"/>
  <c r="F242" i="67"/>
  <c r="V242" i="67"/>
  <c r="C242" i="67" s="1"/>
  <c r="F246" i="67"/>
  <c r="E274" i="67"/>
  <c r="E271" i="67"/>
  <c r="E217" i="60"/>
  <c r="E275" i="67"/>
  <c r="E272" i="67"/>
  <c r="E273" i="67"/>
  <c r="U217" i="60"/>
  <c r="E228" i="67"/>
  <c r="E231" i="67"/>
  <c r="V279" i="67" l="1"/>
  <c r="F249" i="67"/>
  <c r="E280" i="67"/>
  <c r="U280" i="67"/>
  <c r="V211" i="67"/>
  <c r="F211" i="67"/>
  <c r="X123" i="67"/>
  <c r="X117" i="67"/>
  <c r="X124" i="67" s="1"/>
  <c r="X118" i="67"/>
  <c r="X95" i="67"/>
  <c r="X101" i="67" s="1"/>
  <c r="X64" i="67"/>
  <c r="Y221" i="60"/>
  <c r="E287" i="67"/>
  <c r="Y285" i="67" s="1"/>
  <c r="X61" i="67"/>
  <c r="X58" i="67"/>
  <c r="X65" i="67" s="1"/>
  <c r="X70" i="67"/>
  <c r="X76" i="67" s="1"/>
  <c r="X92" i="67"/>
  <c r="X98" i="67" s="1"/>
  <c r="AG236" i="18"/>
  <c r="AG235" i="18"/>
  <c r="Y58" i="67"/>
  <c r="Y65" i="67" s="1"/>
  <c r="Y70" i="67"/>
  <c r="Y76" i="67" s="1"/>
  <c r="Y92" i="67"/>
  <c r="Y98" i="67" s="1"/>
  <c r="Y61" i="67"/>
  <c r="X72" i="67"/>
  <c r="X78" i="67" s="1"/>
  <c r="AG260" i="18"/>
  <c r="A434" i="5"/>
  <c r="P286" i="30"/>
  <c r="A434" i="64"/>
  <c r="AI236" i="18"/>
  <c r="AI235" i="18"/>
  <c r="Y95" i="67"/>
  <c r="Y101" i="67" s="1"/>
  <c r="V213" i="67"/>
  <c r="C213" i="67" s="1"/>
  <c r="F213" i="67"/>
  <c r="U211" i="67"/>
  <c r="C211" i="67" s="1"/>
  <c r="E211" i="67"/>
  <c r="AI260" i="18"/>
  <c r="G223" i="60"/>
  <c r="F223" i="60"/>
  <c r="Z177" i="60"/>
  <c r="F219" i="67"/>
  <c r="Z217" i="67" s="1"/>
  <c r="Y136" i="67"/>
  <c r="Y133" i="67"/>
  <c r="AG248" i="18"/>
  <c r="AG247" i="18"/>
  <c r="E246" i="67"/>
  <c r="Y121" i="67"/>
  <c r="Y118" i="67"/>
  <c r="AI247" i="18"/>
  <c r="AI248" i="18"/>
  <c r="C215" i="60"/>
  <c r="Y73" i="67"/>
  <c r="Y79" i="67" s="1"/>
  <c r="X73" i="67" l="1"/>
  <c r="X79" i="67" s="1"/>
  <c r="C280" i="67"/>
  <c r="E279" i="67"/>
  <c r="U279" i="67"/>
  <c r="C279" i="67" s="1"/>
  <c r="Z221" i="60"/>
  <c r="F287" i="67"/>
  <c r="Z285" i="67" s="1"/>
  <c r="F279" i="67"/>
  <c r="AA221" i="60"/>
  <c r="G287" i="67"/>
  <c r="AA285" i="67" s="1"/>
  <c r="A435" i="64"/>
  <c r="Q286" i="30"/>
  <c r="A435" i="5"/>
  <c r="V280" i="67"/>
  <c r="F280" i="67"/>
  <c r="A436" i="64" l="1"/>
  <c r="R286" i="30"/>
  <c r="A436" i="5"/>
  <c r="A437" i="64" l="1"/>
  <c r="A437" i="5"/>
  <c r="S286" i="30"/>
  <c r="T286" i="30" l="1"/>
  <c r="A438" i="5"/>
  <c r="A438" i="64"/>
  <c r="A439" i="64" l="1"/>
  <c r="A439" i="5"/>
  <c r="U286" i="30"/>
  <c r="V286" i="30" l="1"/>
  <c r="A440" i="5"/>
  <c r="A440" i="64"/>
  <c r="A441" i="64" l="1"/>
  <c r="A441" i="5"/>
  <c r="W286" i="30"/>
  <c r="A442" i="64" l="1"/>
  <c r="A442" i="5"/>
  <c r="G181" i="60" s="1"/>
  <c r="AA179" i="60" s="1"/>
  <c r="X286" i="30"/>
  <c r="A443" i="5" l="1"/>
  <c r="H225" i="60" s="1"/>
  <c r="AB223" i="60" s="1"/>
  <c r="A443" i="64"/>
  <c r="Y286" i="30"/>
  <c r="A444" i="64" l="1"/>
  <c r="A444" i="5"/>
  <c r="I225" i="31" l="1"/>
  <c r="I181" i="31"/>
  <c r="AC179" i="31" s="1"/>
  <c r="H225" i="31"/>
  <c r="G181" i="31"/>
  <c r="H181" i="31"/>
  <c r="F225" i="31"/>
  <c r="G225" i="31"/>
  <c r="F180" i="60"/>
  <c r="E224" i="60"/>
  <c r="G179" i="60"/>
  <c r="G180" i="60"/>
  <c r="H181" i="60"/>
  <c r="AB179" i="60" s="1"/>
  <c r="E181" i="60"/>
  <c r="D224" i="60"/>
  <c r="E180" i="60"/>
  <c r="H180" i="60"/>
  <c r="D180" i="60"/>
  <c r="G224" i="60"/>
  <c r="H224" i="60"/>
  <c r="F224" i="60"/>
  <c r="F225" i="60"/>
  <c r="Z223" i="60" s="1"/>
  <c r="F181" i="60"/>
  <c r="I181" i="60"/>
  <c r="E225" i="60"/>
  <c r="G225" i="60"/>
  <c r="AA223" i="60" s="1"/>
  <c r="I225" i="60"/>
  <c r="AC223" i="60" s="1"/>
  <c r="Z222" i="60" l="1"/>
  <c r="F288" i="67"/>
  <c r="Z286" i="67" s="1"/>
  <c r="AB178" i="60"/>
  <c r="H220" i="67"/>
  <c r="AB218" i="67" s="1"/>
  <c r="Z178" i="60"/>
  <c r="F220" i="67"/>
  <c r="Z218" i="67" s="1"/>
  <c r="AA179" i="31"/>
  <c r="G221" i="67"/>
  <c r="AA219" i="67" s="1"/>
  <c r="Y223" i="60"/>
  <c r="E289" i="67"/>
  <c r="Y287" i="67" s="1"/>
  <c r="I221" i="67"/>
  <c r="AC219" i="67" s="1"/>
  <c r="AC179" i="60"/>
  <c r="AB222" i="60"/>
  <c r="H288" i="67"/>
  <c r="AB286" i="67" s="1"/>
  <c r="Y178" i="60"/>
  <c r="E220" i="67"/>
  <c r="Y218" i="67" s="1"/>
  <c r="AA178" i="60"/>
  <c r="G220" i="67"/>
  <c r="AA218" i="67" s="1"/>
  <c r="AA223" i="31"/>
  <c r="G289" i="67"/>
  <c r="AA287" i="67" s="1"/>
  <c r="AB223" i="31"/>
  <c r="H289" i="67"/>
  <c r="AB287" i="67" s="1"/>
  <c r="F221" i="67"/>
  <c r="Z219" i="67" s="1"/>
  <c r="Z179" i="60"/>
  <c r="AA222" i="60"/>
  <c r="G288" i="67"/>
  <c r="AA286" i="67" s="1"/>
  <c r="X222" i="60"/>
  <c r="D288" i="67"/>
  <c r="X286" i="67" s="1"/>
  <c r="AA177" i="60"/>
  <c r="G219" i="67"/>
  <c r="AA217" i="67" s="1"/>
  <c r="Z223" i="31"/>
  <c r="F289" i="67"/>
  <c r="Z287" i="67" s="1"/>
  <c r="X178" i="60"/>
  <c r="D220" i="67"/>
  <c r="X218" i="67" s="1"/>
  <c r="Y179" i="60"/>
  <c r="E221" i="67"/>
  <c r="Y219" i="67" s="1"/>
  <c r="Y222" i="60"/>
  <c r="E288" i="67"/>
  <c r="Y286" i="67" s="1"/>
  <c r="AB179" i="31"/>
  <c r="H221" i="67"/>
  <c r="AB219" i="67" s="1"/>
  <c r="AC223" i="31"/>
  <c r="I289" i="67"/>
  <c r="AC287" i="67" s="1"/>
</calcChain>
</file>

<file path=xl/comments1.xml><?xml version="1.0" encoding="utf-8"?>
<comments xmlns="http://schemas.openxmlformats.org/spreadsheetml/2006/main">
  <authors>
    <author>Isobel Oxley</author>
    <author>Sinead Kelly</author>
  </authors>
  <commentList>
    <comment ref="Q12" authorId="0">
      <text>
        <r>
          <rPr>
            <sz val="8"/>
            <color indexed="81"/>
            <rFont val="Tahoma"/>
            <family val="2"/>
          </rPr>
          <t xml:space="preserve">pre-2008 this is included in opex
</t>
        </r>
      </text>
    </comment>
    <comment ref="C148" authorId="1">
      <text>
        <r>
          <rPr>
            <sz val="8"/>
            <color indexed="81"/>
            <rFont val="Tahoma"/>
            <family val="2"/>
          </rPr>
          <t xml:space="preserve">
2010 figures  after adjustment for cpi</t>
        </r>
      </text>
    </comment>
  </commentList>
</comments>
</file>

<file path=xl/comments2.xml><?xml version="1.0" encoding="utf-8"?>
<comments xmlns="http://schemas.openxmlformats.org/spreadsheetml/2006/main">
  <authors>
    <author>Sinead Kelly</author>
  </authors>
  <commentList>
    <comment ref="C149" authorId="0">
      <text>
        <r>
          <rPr>
            <sz val="8"/>
            <color indexed="81"/>
            <rFont val="Tahoma"/>
            <family val="2"/>
          </rPr>
          <t>2010 figures adjusted for CPI where appropriate</t>
        </r>
      </text>
    </comment>
  </commentList>
</comments>
</file>

<file path=xl/comments3.xml><?xml version="1.0" encoding="utf-8"?>
<comments xmlns="http://schemas.openxmlformats.org/spreadsheetml/2006/main">
  <authors>
    <author>Sinead Kelly</author>
  </authors>
  <commentList>
    <comment ref="C149" authorId="0">
      <text>
        <r>
          <rPr>
            <sz val="8"/>
            <color indexed="81"/>
            <rFont val="Tahoma"/>
            <family val="2"/>
          </rPr>
          <t xml:space="preserve">2010 figures  
</t>
        </r>
      </text>
    </comment>
  </commentList>
</comments>
</file>

<file path=xl/comments4.xml><?xml version="1.0" encoding="utf-8"?>
<comments xmlns="http://schemas.openxmlformats.org/spreadsheetml/2006/main">
  <authors>
    <author>Sinead Kelly</author>
  </authors>
  <commentList>
    <comment ref="L12" authorId="0">
      <text>
        <r>
          <rPr>
            <sz val="8"/>
            <color indexed="81"/>
            <rFont val="Tahoma"/>
            <family val="2"/>
          </rPr>
          <t xml:space="preserve">pre 2008, Total electricity supplied from system  was after losses </t>
        </r>
      </text>
    </comment>
    <comment ref="C148" authorId="0">
      <text>
        <r>
          <rPr>
            <sz val="8"/>
            <color indexed="81"/>
            <rFont val="Tahoma"/>
            <family val="2"/>
          </rPr>
          <t>2010 figures</t>
        </r>
      </text>
    </comment>
  </commentList>
</comments>
</file>

<file path=xl/sharedStrings.xml><?xml version="1.0" encoding="utf-8"?>
<sst xmlns="http://schemas.openxmlformats.org/spreadsheetml/2006/main" count="11311" uniqueCount="561">
  <si>
    <t>Net Line Charge Revenue Received</t>
  </si>
  <si>
    <t>Gross Line Charge Income</t>
  </si>
  <si>
    <t>Total Capital Contributions and Vested Assets</t>
  </si>
  <si>
    <t>Net AC loss rental income (deficit)</t>
  </si>
  <si>
    <t>Other Income</t>
  </si>
  <si>
    <t>Total regulatory income</t>
  </si>
  <si>
    <t>Total Transmission Costs</t>
  </si>
  <si>
    <t>General Management, Administration and Overheads</t>
  </si>
  <si>
    <t>System Management and Operations</t>
  </si>
  <si>
    <t>Routine and Preventative Maintenance</t>
  </si>
  <si>
    <t>Refurbishment and Renewal Maintenance</t>
  </si>
  <si>
    <t>Fault and Emergency Maintenance</t>
  </si>
  <si>
    <t>Pass-through Costs</t>
  </si>
  <si>
    <t>Other</t>
  </si>
  <si>
    <t>Total Operational Expenditure</t>
  </si>
  <si>
    <t>Operational earnings</t>
  </si>
  <si>
    <t>Total Regulatory Depreciation</t>
  </si>
  <si>
    <t>EBIT</t>
  </si>
  <si>
    <t>Regulatory Tax Allowance</t>
  </si>
  <si>
    <t>Indexed Revaluation (of System Fixed Assets)</t>
  </si>
  <si>
    <t>Revaluations of Non-System Fixed Assets</t>
  </si>
  <si>
    <t>Customer Connection</t>
  </si>
  <si>
    <t>System Growth</t>
  </si>
  <si>
    <t>Reliability, Safety and Environment</t>
  </si>
  <si>
    <t>Asset Replacement and Renewal</t>
  </si>
  <si>
    <t>Asset Relocations</t>
  </si>
  <si>
    <t>Total Capital Expenditure on System Fixed Assets</t>
  </si>
  <si>
    <t>Capital Expenditure on Non-System Fixed Assets</t>
  </si>
  <si>
    <t>EDB</t>
  </si>
  <si>
    <t>Alpine</t>
  </si>
  <si>
    <t>Aurora</t>
  </si>
  <si>
    <t>Buller</t>
  </si>
  <si>
    <t>Centralines</t>
  </si>
  <si>
    <t>Counties</t>
  </si>
  <si>
    <t>Eastland</t>
  </si>
  <si>
    <t>Electra</t>
  </si>
  <si>
    <t>Ashburton</t>
  </si>
  <si>
    <t>Invercargill</t>
  </si>
  <si>
    <t>Horizon</t>
  </si>
  <si>
    <t>Mainpower</t>
  </si>
  <si>
    <t>Marlborough</t>
  </si>
  <si>
    <t>Nelson</t>
  </si>
  <si>
    <t>Tasman</t>
  </si>
  <si>
    <t>Waitaki</t>
  </si>
  <si>
    <t>Northpower</t>
  </si>
  <si>
    <t>Orion</t>
  </si>
  <si>
    <t>Otago</t>
  </si>
  <si>
    <t>Powerco</t>
  </si>
  <si>
    <t>Scanpower</t>
  </si>
  <si>
    <t>TLC</t>
  </si>
  <si>
    <t>TPCL</t>
  </si>
  <si>
    <t>Top</t>
  </si>
  <si>
    <t>Unison</t>
  </si>
  <si>
    <t>Vector</t>
  </si>
  <si>
    <t>Waipa</t>
  </si>
  <si>
    <t>WEL</t>
  </si>
  <si>
    <t>Wellington</t>
  </si>
  <si>
    <t>Westpower</t>
  </si>
  <si>
    <t>Regulatory Value of System Fixed Assets at Year End</t>
  </si>
  <si>
    <t>Regulatory Value of Non-System Fixed Assets at Year end</t>
  </si>
  <si>
    <t>Total Regulatory Asset Base Value (excluding FDC)</t>
  </si>
  <si>
    <t>Total circuit length (for Supply) Overhead</t>
  </si>
  <si>
    <t>Total circuit length (for Supply) Underground</t>
  </si>
  <si>
    <t>Total circuit length (for Supply)</t>
  </si>
  <si>
    <t>Dedicated Street Lighting Circuit Length Overhead</t>
  </si>
  <si>
    <t>Dedicated Street Lighting Circuit Length Underground</t>
  </si>
  <si>
    <t>Dedicated Street Lighting Circuit Length Total</t>
  </si>
  <si>
    <t>Total overhead length (km)</t>
  </si>
  <si>
    <t>Maximum System Demand</t>
  </si>
  <si>
    <t>Electricity Supplied to Customers' Connection Points</t>
  </si>
  <si>
    <t>Number of Connection Points (at year end)</t>
  </si>
  <si>
    <t>SAIDI - Based on the total number of interruptions</t>
  </si>
  <si>
    <t>SAIFI - Based on the total number of interruptions</t>
  </si>
  <si>
    <t>Small Connection Points ($'000)</t>
  </si>
  <si>
    <t>Medium Connection Points ($'000)</t>
  </si>
  <si>
    <t>Large Connection Points ($'000)</t>
  </si>
  <si>
    <t>Largest 5 Connection Points ($'000)</t>
  </si>
  <si>
    <t>Gross line charge income ($000)</t>
  </si>
  <si>
    <t>Small Connection Points (MWh)</t>
  </si>
  <si>
    <t>Medium Connection Points (MWh)</t>
  </si>
  <si>
    <t>Large Connection Points (MWh)</t>
  </si>
  <si>
    <t>Largest 5 Connection Points (MWh)</t>
  </si>
  <si>
    <t>Electricity Supplied to Customers' Connection Points (MWh)</t>
  </si>
  <si>
    <t>Small Connection Points (No. ICPs)</t>
  </si>
  <si>
    <t>Medium Connection Points (No. ICPs)</t>
  </si>
  <si>
    <t>Large Connection Points (No. ICPs)</t>
  </si>
  <si>
    <t>Largest 5 Connection Points (No. ICPs)</t>
  </si>
  <si>
    <t>Number of Connection Points (ICPs) at year end</t>
  </si>
  <si>
    <t>Small Connection Points (cents/kWh)</t>
  </si>
  <si>
    <t>Medium Connection Points (cents/kWh)</t>
  </si>
  <si>
    <t>Large Connection Points (cents/kWh)</t>
  </si>
  <si>
    <t>Largest 5 Connection Points (cents/kWh)</t>
  </si>
  <si>
    <t>Unit Price (cents/kWh)</t>
  </si>
  <si>
    <t>Capital Expenditure: Customer Connection</t>
  </si>
  <si>
    <t>Capital Expenditure: System Growth</t>
  </si>
  <si>
    <t>Capital Expenditure: Reliability, Safety and Environment</t>
  </si>
  <si>
    <t>Capital Expenditure: Asset Replacement and Renewal</t>
  </si>
  <si>
    <t>Capital Expenditure: Asset Relocations</t>
  </si>
  <si>
    <t>Operational Expenditure: Routine and Preventative Maintenance</t>
  </si>
  <si>
    <t>Operational Expenditure: Refurbishment and Renewal Maintenance</t>
  </si>
  <si>
    <t>Operational Expenditure: Fault and Emergency Maintenance</t>
  </si>
  <si>
    <t>SAIDI reliability by interruption class - Class B</t>
  </si>
  <si>
    <t>SAIDI reliability by interruption class - Class C</t>
  </si>
  <si>
    <t>SAIFI reliability by interruption class - Class B</t>
  </si>
  <si>
    <t>SAIFI reliability by interruption class - Class C</t>
  </si>
  <si>
    <t>Income</t>
  </si>
  <si>
    <t>Expenses</t>
  </si>
  <si>
    <t>Capital Expenditure on System Fixed Assets (by primary purpose)</t>
  </si>
  <si>
    <t>Year ending</t>
  </si>
  <si>
    <t>AC Loss Rental Rebates Passed On (pre 2008 this expense is included in opex)</t>
  </si>
  <si>
    <t xml:space="preserve">Aurora </t>
  </si>
  <si>
    <t xml:space="preserve">Buller </t>
  </si>
  <si>
    <t>Alpine Energy</t>
  </si>
  <si>
    <t>Buller Electricity</t>
  </si>
  <si>
    <t>Counties Power</t>
  </si>
  <si>
    <t>Electricity Ashburton</t>
  </si>
  <si>
    <t>Electricity Invercargill</t>
  </si>
  <si>
    <t>Horizon Energy Distribution</t>
  </si>
  <si>
    <t>MainPower</t>
  </si>
  <si>
    <t>Marlborough Lines</t>
  </si>
  <si>
    <t>Nelson Electricity</t>
  </si>
  <si>
    <t>Network Tasman</t>
  </si>
  <si>
    <t>Network Waitaki</t>
  </si>
  <si>
    <t>OtagoNet</t>
  </si>
  <si>
    <t>The Power Company</t>
  </si>
  <si>
    <t>Top Energy</t>
  </si>
  <si>
    <t>Waipa Networks</t>
  </si>
  <si>
    <t>WEL Networks</t>
  </si>
  <si>
    <t>Quarter</t>
  </si>
  <si>
    <t>Sep</t>
  </si>
  <si>
    <t>Dec</t>
  </si>
  <si>
    <t>Mar</t>
  </si>
  <si>
    <t>Jun</t>
  </si>
  <si>
    <t>CPI</t>
  </si>
  <si>
    <t>Financial Statement Information - nominal values from 2004 to 2011</t>
  </si>
  <si>
    <t>Financial Statement Information - real 2011 values from 2004 to 2011</t>
  </si>
  <si>
    <t>Content</t>
  </si>
  <si>
    <t>Source</t>
  </si>
  <si>
    <t>Asset Management Information - Forecasted Information</t>
  </si>
  <si>
    <t>Disclosure Year</t>
  </si>
  <si>
    <t>Forecast for year ending</t>
  </si>
  <si>
    <t xml:space="preserve">Scanpower </t>
  </si>
  <si>
    <t>TEL</t>
  </si>
  <si>
    <t>Depreciation</t>
  </si>
  <si>
    <t>Tax &amp; Revaluations</t>
  </si>
  <si>
    <t xml:space="preserve">Regulatory Profit / Loss  </t>
  </si>
  <si>
    <t xml:space="preserve">Total Regulatory Asset Base Value </t>
  </si>
  <si>
    <t>MP1 Network Information</t>
  </si>
  <si>
    <t>Connection Points</t>
  </si>
  <si>
    <t>MP3 Price &amp; Quality Measures</t>
  </si>
  <si>
    <t>Reliability SAIDI</t>
  </si>
  <si>
    <t>Price Information by Connection Point Class - Small</t>
  </si>
  <si>
    <t>Price Information by Connection Point Class - Medium</t>
  </si>
  <si>
    <t>Price Information by Connection Point Class - Large</t>
  </si>
  <si>
    <t>Price Information by Connection Point Class - Largest Five</t>
  </si>
  <si>
    <t>Price Information by Connection Point Class - Total</t>
  </si>
  <si>
    <t>Adjusted for 2010 GST increase</t>
  </si>
  <si>
    <t>CPI adj date for 1Oct10 GST increase:</t>
  </si>
  <si>
    <t>Sep10 GST adj:</t>
  </si>
  <si>
    <t>2011 adjusted rate</t>
  </si>
  <si>
    <t>Index - EDB Productivity Database</t>
  </si>
  <si>
    <t xml:space="preserve">Eastland </t>
  </si>
  <si>
    <t xml:space="preserve">Powerco </t>
  </si>
  <si>
    <t xml:space="preserve">Unison </t>
  </si>
  <si>
    <t xml:space="preserve">Vector </t>
  </si>
  <si>
    <t>%</t>
  </si>
  <si>
    <t>$</t>
  </si>
  <si>
    <t>Year</t>
  </si>
  <si>
    <t>Consumer Price Index</t>
  </si>
  <si>
    <t>Sum of quarterly CPI's</t>
  </si>
  <si>
    <t>2011 CPI rates</t>
  </si>
  <si>
    <t>Note 1</t>
  </si>
  <si>
    <t xml:space="preserve">Note 2 </t>
  </si>
  <si>
    <t>Marlerough</t>
  </si>
  <si>
    <t>Aurora Energy</t>
  </si>
  <si>
    <t>Horizon Energy</t>
  </si>
  <si>
    <t>The Lines Company</t>
  </si>
  <si>
    <t>Eastland Network</t>
  </si>
  <si>
    <t>SAIDI</t>
  </si>
  <si>
    <t>SAIFI</t>
  </si>
  <si>
    <t>Medium connection points</t>
  </si>
  <si>
    <t>Largest 5 connection points</t>
  </si>
  <si>
    <t>Opex</t>
  </si>
  <si>
    <t>Unit Opex per system length  ('000's / km)</t>
  </si>
  <si>
    <t xml:space="preserve">Large connection points </t>
  </si>
  <si>
    <t xml:space="preserve">Small connection points </t>
  </si>
  <si>
    <t>Unit Opex per customer ('000's / ICPs)</t>
  </si>
  <si>
    <t>Unit Capex by customer ('000's / ICPs)</t>
  </si>
  <si>
    <t>Unit Capex by RAB  ('000's)</t>
  </si>
  <si>
    <t xml:space="preserve">Alpine Energy </t>
  </si>
  <si>
    <t xml:space="preserve"> </t>
  </si>
  <si>
    <t>Transmission</t>
  </si>
  <si>
    <t>Unit opex per energy delivered ('000's / GWh)</t>
  </si>
  <si>
    <t>ICPs</t>
  </si>
  <si>
    <t>Reliability SAIFI</t>
  </si>
  <si>
    <t xml:space="preserve">Customer density </t>
  </si>
  <si>
    <t>Taxation</t>
  </si>
  <si>
    <t>Line charge revenue</t>
  </si>
  <si>
    <t>Capital contributions and vested assets</t>
  </si>
  <si>
    <t>General management, admin and overheads</t>
  </si>
  <si>
    <t>Pass-through costs</t>
  </si>
  <si>
    <t>Routine and preventative maintenance</t>
  </si>
  <si>
    <t>Refurbishment and renewal maintenance</t>
  </si>
  <si>
    <t>Fault and emergency maintenance</t>
  </si>
  <si>
    <t>System management and operations</t>
  </si>
  <si>
    <t>System growth</t>
  </si>
  <si>
    <t>Reliability, safety and environment</t>
  </si>
  <si>
    <t>Asset relocations</t>
  </si>
  <si>
    <t>Asset replacement and renewal</t>
  </si>
  <si>
    <t>Customer connection</t>
  </si>
  <si>
    <t>Electricity Distribution Business</t>
  </si>
  <si>
    <t>Wellington Electricity Lines</t>
  </si>
  <si>
    <t>SAIDI Threshold</t>
  </si>
  <si>
    <t>SAIFI Threshold</t>
  </si>
  <si>
    <t>Wellington Electricity</t>
  </si>
  <si>
    <t>Unit Capex by energy delivered  ('000's / GWh)</t>
  </si>
  <si>
    <t>Asset Value information - nominal values from 2005 - 2011</t>
  </si>
  <si>
    <t>Asset Value information - real 2011 values from 2005 - 2011</t>
  </si>
  <si>
    <t>Management Performance Information - nominal values from 2004 to 2011</t>
  </si>
  <si>
    <t>Management Performance Information - real 2011 values from 2004 to 2011</t>
  </si>
  <si>
    <t>Retail charge (average)</t>
  </si>
  <si>
    <t xml:space="preserve">Line charge </t>
  </si>
  <si>
    <t>Distribution charge</t>
  </si>
  <si>
    <t>Transmission charge</t>
  </si>
  <si>
    <t>Summary of Domestic Electricity Prices - Rep consumer Charges up to 2011</t>
  </si>
  <si>
    <t>Compliance</t>
  </si>
  <si>
    <t>SAIDI / SAIFI compliance data for non-exempt EDBs</t>
  </si>
  <si>
    <t>Total regulatory revenue</t>
  </si>
  <si>
    <t>As a % of industry</t>
  </si>
  <si>
    <t>($’000s)</t>
  </si>
  <si>
    <t xml:space="preserve">Operational expenditure </t>
  </si>
  <si>
    <t xml:space="preserve">Capital expenditure </t>
  </si>
  <si>
    <t xml:space="preserve">Energy delivered </t>
  </si>
  <si>
    <t>MWh</t>
  </si>
  <si>
    <t xml:space="preserve">Maximum system demand </t>
  </si>
  <si>
    <t>MW</t>
  </si>
  <si>
    <t xml:space="preserve">System length </t>
  </si>
  <si>
    <t>km</t>
  </si>
  <si>
    <t xml:space="preserve">Number of customers </t>
  </si>
  <si>
    <t>ICPs/km</t>
  </si>
  <si>
    <t>Average retail charge</t>
  </si>
  <si>
    <t>Average line charge</t>
  </si>
  <si>
    <t>Average electricity bill</t>
  </si>
  <si>
    <t>Lines charge as % retail</t>
  </si>
  <si>
    <t xml:space="preserve">Key financial, expenditure and network statistics (2011) </t>
  </si>
  <si>
    <t>Annual charges for a representative consumer</t>
  </si>
  <si>
    <t>Average</t>
  </si>
  <si>
    <t>Line charge revenue by customer type</t>
  </si>
  <si>
    <t>Total Line Charge Revenue</t>
  </si>
  <si>
    <r>
      <t xml:space="preserve">Regulatory revenue </t>
    </r>
    <r>
      <rPr>
        <sz val="11"/>
        <color theme="1"/>
        <rFont val="Calibri"/>
        <family val="2"/>
        <scheme val="minor"/>
      </rPr>
      <t> </t>
    </r>
  </si>
  <si>
    <r>
      <t xml:space="preserve">Regulatory asset base </t>
    </r>
    <r>
      <rPr>
        <sz val="11"/>
        <color theme="1"/>
        <rFont val="Calibri"/>
        <family val="2"/>
        <scheme val="minor"/>
      </rPr>
      <t> </t>
    </r>
  </si>
  <si>
    <t>Average line charge revenue per ICP by customer type ($/ICP)</t>
  </si>
  <si>
    <t>Average line charge revenue per MWh by customer type (cents/kwh)</t>
  </si>
  <si>
    <t>Number of ICPs by customer type</t>
  </si>
  <si>
    <t>Total</t>
  </si>
  <si>
    <t>MWh of electricity supplied by customer type</t>
  </si>
  <si>
    <t>Revenue relative to the costs of the network</t>
  </si>
  <si>
    <t>Asset revaluations</t>
  </si>
  <si>
    <t>Regulatory profit</t>
  </si>
  <si>
    <t xml:space="preserve">Regulated revenue </t>
  </si>
  <si>
    <t>Composition of 2011 operating expenditure</t>
  </si>
  <si>
    <t>Composition of 2011 capital expenditure</t>
  </si>
  <si>
    <t>Total capex</t>
  </si>
  <si>
    <t>Total opex</t>
  </si>
  <si>
    <t>Opex trends, 2008 to 2011</t>
  </si>
  <si>
    <t>Direct opex ($'000's)</t>
  </si>
  <si>
    <t xml:space="preserve">Indirect opex </t>
  </si>
  <si>
    <t xml:space="preserve">Pass through and other costs </t>
  </si>
  <si>
    <t xml:space="preserve">Total opex </t>
  </si>
  <si>
    <t>Average growth in opex</t>
  </si>
  <si>
    <t>Unit opex trends, 2008-2011</t>
  </si>
  <si>
    <t>Opex per customer ($)</t>
  </si>
  <si>
    <t>Industry average</t>
  </si>
  <si>
    <t>Opex per km of network ($)</t>
  </si>
  <si>
    <t>Opex per MWh of energy supplied ($)</t>
  </si>
  <si>
    <t>Average growth in unit opex</t>
  </si>
  <si>
    <t>Direct opex actual and forecast (nominal)</t>
  </si>
  <si>
    <t>2009 forecast</t>
  </si>
  <si>
    <t>2010 forecast</t>
  </si>
  <si>
    <t>2011 forecast</t>
  </si>
  <si>
    <t>Actual</t>
  </si>
  <si>
    <t>Capex trends, 2008 to 2011</t>
  </si>
  <si>
    <t>Capex on system fixed assets</t>
  </si>
  <si>
    <t>Capex on non system fixed assets</t>
  </si>
  <si>
    <t xml:space="preserve">Total capex </t>
  </si>
  <si>
    <t>Average growth in capex</t>
  </si>
  <si>
    <t>Unit capex trends, 2008-2011</t>
  </si>
  <si>
    <t>Capex per customer ($)</t>
  </si>
  <si>
    <t>Capex per MWh of energy supplier ($)</t>
  </si>
  <si>
    <t>Capex per $ of RAB</t>
  </si>
  <si>
    <t>Capex on system fixed assets actual and forecast (nominal)</t>
  </si>
  <si>
    <t>SAIDI actual v. threshold</t>
  </si>
  <si>
    <t>Price-quality path threshold</t>
  </si>
  <si>
    <t>SAIFI actual v. threshold</t>
  </si>
  <si>
    <t>How much do residential customers pay for line services?</t>
  </si>
  <si>
    <t>OtagoNet Joint Venture</t>
  </si>
  <si>
    <t>2009 Forecast</t>
  </si>
  <si>
    <t>2010 Forecast</t>
  </si>
  <si>
    <t>2011 Forecast</t>
  </si>
  <si>
    <t>Actuals</t>
  </si>
  <si>
    <t xml:space="preserve">Table x.2 Key financial, expenditure and network statistics (2011) </t>
  </si>
  <si>
    <t>Indexed growth in regulatory revenue</t>
  </si>
  <si>
    <t>Indexed growth in line charge revenue by customer type</t>
  </si>
  <si>
    <t>Indexed growth in average line charge revenue per ICP by customer type</t>
  </si>
  <si>
    <t>Indexed growth in average line charge revenue per MWh by customer type</t>
  </si>
  <si>
    <t>Indexed growth in ICPs by customer type</t>
  </si>
  <si>
    <t>Indexed growth in MWh by customer type</t>
  </si>
  <si>
    <t>In thousands!!!</t>
  </si>
  <si>
    <t>Small</t>
  </si>
  <si>
    <t>Medium</t>
  </si>
  <si>
    <t>Large</t>
  </si>
  <si>
    <t>Largest 5</t>
  </si>
  <si>
    <t>Non-network capex</t>
  </si>
  <si>
    <t xml:space="preserve">This table was obtained from NZ stats website URL: (http://www.stats.govt.nz/browse_for_stats/economic_indicators/CPI_inflation/ConsumersPriceIndex_HOTPDec11qtr.aspx) </t>
  </si>
  <si>
    <t>Consumer Price Index (CPI)</t>
  </si>
  <si>
    <t>This spreadsheet uses quarterly CPI information to calculate an inflation index for historic financial data.</t>
  </si>
  <si>
    <t>The annual inflation index is the sum of CPI in the four quarters of the disclosure year.</t>
  </si>
  <si>
    <t xml:space="preserve">CPI has been adjusted to remove the impact of the GST increase. </t>
  </si>
  <si>
    <t>Network reliability</t>
  </si>
  <si>
    <t>($m)</t>
  </si>
  <si>
    <t>Direct opex ($m)</t>
  </si>
  <si>
    <t>In order of magnitude...</t>
  </si>
  <si>
    <t>Summary of representative consumer charges</t>
  </si>
  <si>
    <t>This worksheet summarises the retail, total line, distribution, and transmission charges for a representative domestic consumer of each EDB.</t>
  </si>
  <si>
    <t>Expenditure forecasts</t>
  </si>
  <si>
    <t>This worksheet contains the 2009, 2010 and 2011 opex and capex forecasts from AM1.</t>
  </si>
  <si>
    <t>The forecasts are in nominal dollars.</t>
  </si>
  <si>
    <t>Information has been disclosed in accordance with the 2008 ID requirements.</t>
  </si>
  <si>
    <t>Total capital expenditure on asset management</t>
  </si>
  <si>
    <t>Total operational expenditure on asset management</t>
  </si>
  <si>
    <t>Network information and reliability, and price information by connection point class</t>
  </si>
  <si>
    <t>This worksheet contains network information, interruptions data, and price information by connection point class from MP1 and MP3</t>
  </si>
  <si>
    <t>Information for the period 2004-2007 has been disclosed under the 2004 ID requirements.</t>
  </si>
  <si>
    <t>Information for the period 2008-2011 has been disclosed under the 2008 ID requirements.</t>
  </si>
  <si>
    <t xml:space="preserve">Therefore these data sets may not be directly comparable.  </t>
  </si>
  <si>
    <t>Regulatory profit statement and capital expenditure</t>
  </si>
  <si>
    <t>The financial information is provided in real dollars.</t>
  </si>
  <si>
    <t>This worksheet contains the components of the regulatory profit calculation, regulatory investment values, and regulatory tax allowance from FS1, FS2 and FS3 for the period 2004-2011.</t>
  </si>
  <si>
    <t>Net AC loss rental income</t>
  </si>
  <si>
    <t>AC Loss Rental Rebates Passed On</t>
  </si>
  <si>
    <t>Regulatory profit/loss (pre-financing and distributions)</t>
  </si>
  <si>
    <t xml:space="preserve">Regulatory Profit/Loss  </t>
  </si>
  <si>
    <t>FS2: Regulatory asset and financing statement</t>
  </si>
  <si>
    <t>FS1: Regulatory profit statement</t>
  </si>
  <si>
    <t>Regulatory valuation information</t>
  </si>
  <si>
    <t>This worksheet contains regulatory valuation information from AV1, AV2 and AV3 for the period 2005-2011.</t>
  </si>
  <si>
    <t>Information has been disclosed under the 2008 ID requirements.</t>
  </si>
  <si>
    <t>Vlookup references</t>
  </si>
  <si>
    <t>The price information is provided in nominal dollars.</t>
  </si>
  <si>
    <t>The financial information is provided in nominal dollars.</t>
  </si>
  <si>
    <t>The information is provided in nominal dollars.</t>
  </si>
  <si>
    <t>Reliability</t>
  </si>
  <si>
    <t>EDB Name</t>
  </si>
  <si>
    <t>Electra Lines</t>
  </si>
  <si>
    <t>Index - EDB Tables and Graphs</t>
  </si>
  <si>
    <t>PowerCo</t>
  </si>
  <si>
    <t>Orion New Zealand</t>
  </si>
  <si>
    <t>LinesCo</t>
  </si>
  <si>
    <t>Unison Network</t>
  </si>
  <si>
    <t>Asset Management Information - real 2011 values</t>
  </si>
  <si>
    <t>Information Disclsoure databases 2004-11</t>
  </si>
  <si>
    <t xml:space="preserve">Calculated by Commerce Commission using CPI </t>
  </si>
  <si>
    <t>Capex per GWh of energy supplier ($)</t>
  </si>
  <si>
    <t>$C$98</t>
  </si>
  <si>
    <t>$D$98</t>
  </si>
  <si>
    <t>$E$98</t>
  </si>
  <si>
    <t>$F$98</t>
  </si>
  <si>
    <t>Small connection points</t>
  </si>
  <si>
    <t>TOTAL</t>
  </si>
  <si>
    <t>$C$99</t>
  </si>
  <si>
    <t>$D$99</t>
  </si>
  <si>
    <t>$E$99</t>
  </si>
  <si>
    <t>$F$99</t>
  </si>
  <si>
    <t>$C$100</t>
  </si>
  <si>
    <t>$D$100</t>
  </si>
  <si>
    <t>$E$100</t>
  </si>
  <si>
    <t>$F$100</t>
  </si>
  <si>
    <t>$C$101</t>
  </si>
  <si>
    <t>$D$101</t>
  </si>
  <si>
    <t>$E$101</t>
  </si>
  <si>
    <t>$F$101</t>
  </si>
  <si>
    <t>Small line revenue</t>
  </si>
  <si>
    <t>Medium line revenue</t>
  </si>
  <si>
    <t>Large line revenue</t>
  </si>
  <si>
    <t>Largest 5 line revenue</t>
  </si>
  <si>
    <t>Small quantity supplied</t>
  </si>
  <si>
    <t>Medium quantity supplied</t>
  </si>
  <si>
    <t>Large quantity supplied</t>
  </si>
  <si>
    <t>Largest 5 quantity supplied</t>
  </si>
  <si>
    <t>$C$54</t>
  </si>
  <si>
    <t>$C$55</t>
  </si>
  <si>
    <t>$C$56</t>
  </si>
  <si>
    <t>$C$57</t>
  </si>
  <si>
    <t>$D$54</t>
  </si>
  <si>
    <t>$E$54</t>
  </si>
  <si>
    <t>$F$54</t>
  </si>
  <si>
    <t>$D$55</t>
  </si>
  <si>
    <t>$E$55</t>
  </si>
  <si>
    <t>$F$55</t>
  </si>
  <si>
    <t>$D$56</t>
  </si>
  <si>
    <t>$E$56</t>
  </si>
  <si>
    <t>$F$56</t>
  </si>
  <si>
    <t>$D$57</t>
  </si>
  <si>
    <t>$E$57</t>
  </si>
  <si>
    <t>$F$57</t>
  </si>
  <si>
    <t>$C$113</t>
  </si>
  <si>
    <t>$D$114</t>
  </si>
  <si>
    <t>$E$115</t>
  </si>
  <si>
    <t>$F$113</t>
  </si>
  <si>
    <t>$E$113</t>
  </si>
  <si>
    <t>$D$113</t>
  </si>
  <si>
    <t>$C$114</t>
  </si>
  <si>
    <t>$E$114</t>
  </si>
  <si>
    <t>$F$114</t>
  </si>
  <si>
    <t>$C$115</t>
  </si>
  <si>
    <t>$D$115</t>
  </si>
  <si>
    <t>$F$115</t>
  </si>
  <si>
    <t>$C$116</t>
  </si>
  <si>
    <t>$D$116</t>
  </si>
  <si>
    <t>$E$116</t>
  </si>
  <si>
    <t>$F$116</t>
  </si>
  <si>
    <t>INDUSTRY SUMMARY</t>
  </si>
  <si>
    <t>Variable</t>
  </si>
  <si>
    <t>Log Growth</t>
  </si>
  <si>
    <t>Large (including largest 5)</t>
  </si>
  <si>
    <t>Industry Summary</t>
  </si>
  <si>
    <t>Exempt Status</t>
  </si>
  <si>
    <t>N</t>
  </si>
  <si>
    <t>Y</t>
  </si>
  <si>
    <t>Non-exempt average</t>
  </si>
  <si>
    <t>Exempt average</t>
  </si>
  <si>
    <t>$C$230</t>
  </si>
  <si>
    <t>$D$230</t>
  </si>
  <si>
    <t>$F$230</t>
  </si>
  <si>
    <t>$E$230</t>
  </si>
  <si>
    <t>$C$237</t>
  </si>
  <si>
    <t>$D$237</t>
  </si>
  <si>
    <t>$E$237</t>
  </si>
  <si>
    <t>$F$237</t>
  </si>
  <si>
    <t>Medium+Large</t>
  </si>
  <si>
    <t>Small (exempt)</t>
  </si>
  <si>
    <t>Small (non-exempt)</t>
  </si>
  <si>
    <t>Medium+Large (exempt)</t>
  </si>
  <si>
    <t>Medium+Large (non-exempt)</t>
  </si>
  <si>
    <t>Medium + large connection points</t>
  </si>
  <si>
    <t>Medium + large line revenue</t>
  </si>
  <si>
    <t>Medium + large quantity supplied</t>
  </si>
  <si>
    <t>Minimum</t>
  </si>
  <si>
    <t>Maximum</t>
  </si>
  <si>
    <t>Median</t>
  </si>
  <si>
    <t>SAIDI by quartiles</t>
  </si>
  <si>
    <t>SAIFI by quartiles</t>
  </si>
  <si>
    <t>Lower Quartile</t>
  </si>
  <si>
    <t>Upper Quartile</t>
  </si>
  <si>
    <t>Regulatory Profit</t>
  </si>
  <si>
    <t>Total Connection Points</t>
  </si>
  <si>
    <t>Orion*</t>
  </si>
  <si>
    <t>Small revenue per connection point</t>
  </si>
  <si>
    <t>Larger revenue per connection point</t>
  </si>
  <si>
    <t>Larger revenue per kWh supplied (cents)</t>
  </si>
  <si>
    <t>Small revenue per kWh supplied (cents)</t>
  </si>
  <si>
    <t>Small line charge revenue per kWh by customer type (cents)</t>
  </si>
  <si>
    <t>Exempt</t>
  </si>
  <si>
    <t>Non-exempt</t>
  </si>
  <si>
    <t>Larger line charge revenue per kWh by customer type (cents)</t>
  </si>
  <si>
    <t>Small line charge revenue connection</t>
  </si>
  <si>
    <t>Larger line charge revenue per connection</t>
  </si>
  <si>
    <t>SAIDI breach</t>
  </si>
  <si>
    <t>SAIFI breach</t>
  </si>
  <si>
    <t>$C$231</t>
  </si>
  <si>
    <t>$D$231</t>
  </si>
  <si>
    <t>$E$231</t>
  </si>
  <si>
    <t>$F$231</t>
  </si>
  <si>
    <t>$C$238</t>
  </si>
  <si>
    <t>$D$238</t>
  </si>
  <si>
    <t>$E$238</t>
  </si>
  <si>
    <t>$F$238</t>
  </si>
  <si>
    <t>Smaller</t>
  </si>
  <si>
    <t>Larger</t>
  </si>
  <si>
    <t>Regulatory revenue</t>
  </si>
  <si>
    <t>RAB</t>
  </si>
  <si>
    <t>OPEX</t>
  </si>
  <si>
    <t>CAPEX</t>
  </si>
  <si>
    <t>Electricity delivered</t>
  </si>
  <si>
    <t>Maximum system demand</t>
  </si>
  <si>
    <t>System length</t>
  </si>
  <si>
    <t>Number of customers</t>
  </si>
  <si>
    <t>Line Charge Revenue</t>
  </si>
  <si>
    <t>$D$7</t>
  </si>
  <si>
    <t>January 2013</t>
  </si>
  <si>
    <t>AM (nominal)</t>
  </si>
  <si>
    <t>FS (nominal)</t>
  </si>
  <si>
    <t>AV (nominal)</t>
  </si>
  <si>
    <t>MP (nominal)</t>
  </si>
  <si>
    <t>FS (2011)</t>
  </si>
  <si>
    <t>AV (2011)</t>
  </si>
  <si>
    <t>MP (2011)</t>
  </si>
  <si>
    <t>AM (2011)</t>
  </si>
  <si>
    <t>Statistics New Zealand</t>
  </si>
  <si>
    <t>Ministry of Economic Development</t>
  </si>
  <si>
    <t>Composition of 2010 operating expenditure</t>
  </si>
  <si>
    <t>Composition of 2010 capital expenditure</t>
  </si>
  <si>
    <t xml:space="preserve">Table x.2 Key financial, expenditure and network statistics (2010) </t>
  </si>
  <si>
    <t>The forecasts are in converted to real 2011 dollars.</t>
  </si>
  <si>
    <t>Overhead Lines</t>
  </si>
  <si>
    <t>Underground Lines</t>
  </si>
  <si>
    <t>Total Lines</t>
  </si>
  <si>
    <t>Circuit Length</t>
  </si>
  <si>
    <t>Demand</t>
  </si>
  <si>
    <t>Connections</t>
  </si>
  <si>
    <t>Supply</t>
  </si>
  <si>
    <t>Reg. Profit</t>
  </si>
  <si>
    <t>Line charge</t>
  </si>
  <si>
    <t>Total Rev.</t>
  </si>
  <si>
    <t># of ICPs</t>
  </si>
  <si>
    <t>Summary</t>
  </si>
  <si>
    <t>Trend</t>
  </si>
  <si>
    <t>MED price allocation</t>
  </si>
  <si>
    <t>Commerce Commission</t>
  </si>
  <si>
    <t>Name / link</t>
  </si>
  <si>
    <t>Other calculations for company and industry summaries</t>
  </si>
  <si>
    <t>Industry calculations</t>
  </si>
  <si>
    <t>CPI data</t>
  </si>
  <si>
    <t>Electricity distributors' performance from 2008 to 2011</t>
  </si>
  <si>
    <t>GWh</t>
  </si>
  <si>
    <t>Weighting</t>
  </si>
  <si>
    <t>Number</t>
  </si>
  <si>
    <t>2008-11</t>
  </si>
  <si>
    <t>2010-11</t>
  </si>
  <si>
    <t>Total revenue</t>
  </si>
  <si>
    <t>Total revenue growth</t>
  </si>
  <si>
    <t>Line Revenue Growth 2008-11</t>
  </si>
  <si>
    <t>Line Revenue Growth 2010-11</t>
  </si>
  <si>
    <t>Price growth per ICP 2008-11</t>
  </si>
  <si>
    <t>Total connection points</t>
  </si>
  <si>
    <t>Average price per ICP growth</t>
  </si>
  <si>
    <t>Price growth per ICP 2010-11</t>
  </si>
  <si>
    <t>Price growth per MWh 2008-11</t>
  </si>
  <si>
    <t>Total quantity supplied</t>
  </si>
  <si>
    <t>Average price per MWh growth</t>
  </si>
  <si>
    <t>Small revenue per kWh growth</t>
  </si>
  <si>
    <t>Larger revenue per kWh growth</t>
  </si>
  <si>
    <t>Small line revenue growth</t>
  </si>
  <si>
    <t>Small revenue per connection growth</t>
  </si>
  <si>
    <t>Larger revenue per connection growth</t>
  </si>
  <si>
    <t>Price growth per MWh 2010-11</t>
  </si>
  <si>
    <t xml:space="preserve">Horizon Energy </t>
  </si>
  <si>
    <t>Unison Networks</t>
  </si>
  <si>
    <t>Company Summary</t>
  </si>
  <si>
    <t>Average price per ICP</t>
  </si>
  <si>
    <t xml:space="preserve">This workbork presents the data and calculations used in the Commission's report " Electricity distributors' performance from 2008 to 2011".  The data used in this workbook is taken from information disclosures  unless otherwise stated.  </t>
  </si>
  <si>
    <t>Regulatory value information</t>
  </si>
  <si>
    <t>This worksheet contains regulatory value information from AV1, AV2 and AV3 for the period 2005-2011.</t>
  </si>
  <si>
    <t>The information is provided in 2011 real dollars.</t>
  </si>
  <si>
    <t>The price information is provided in 2011 real dollars.</t>
  </si>
  <si>
    <t>This information is based on data published by MED/MBIE</t>
  </si>
  <si>
    <t>Weighted average</t>
  </si>
  <si>
    <t>Industry overall</t>
  </si>
  <si>
    <t>Cents/kWh</t>
  </si>
  <si>
    <t>Page left deliberately blank</t>
  </si>
  <si>
    <t>This spreadsheet summarises the SAIDI and SAIFI threshold set by the Commission as part of price-quality regulation.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</si>
</sst>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_-* #,##0_-;\-* #,##0_-;_-* &quot;-&quot;??_-;_-@_-"/>
    <numFmt numFmtId="167" formatCode="_(* #,##0_);_(* \(#,##0\);_(* &quot;-&quot;??_);_(@_)"/>
    <numFmt numFmtId="168" formatCode="0.0%"/>
    <numFmt numFmtId="169" formatCode="&quot;$&quot;* #,##0.000_);&quot;$&quot;* \(#,##0.000\)"/>
    <numFmt numFmtId="170" formatCode="#,##0_);\(#,##0\);0_);* @_)"/>
    <numFmt numFmtId="171" formatCode="#,##0.0_);\(#,##0.0\);0.0_);* @_)"/>
    <numFmt numFmtId="172" formatCode="#,##0.00_);\(#,##0.00\);0.00_);* @_)"/>
    <numFmt numFmtId="173" formatCode="#,##0.000_);\(#,##0.000\);0.000_);* @_)"/>
    <numFmt numFmtId="174" formatCode="#,##0.0000_);\(#,##0.0000\);0.0000_);* @_)"/>
    <numFmt numFmtId="175" formatCode="0;\-0;0;* @"/>
    <numFmt numFmtId="176" formatCode="0%;\-0%;0%;* @_%"/>
    <numFmt numFmtId="177" formatCode="0.0%;\-0.0%;0.0%;* @_%"/>
    <numFmt numFmtId="178" formatCode="0.00%;\-0.00%;0.00%;* @_%"/>
    <numFmt numFmtId="179" formatCode="0.000%;\-0.000%;0.000%;* @_%"/>
    <numFmt numFmtId="180" formatCode="&quot;$&quot;* #,##0_);&quot;$&quot;* \(#,##0\);&quot;$&quot;* 0_);* @_)"/>
    <numFmt numFmtId="181" formatCode="&quot;$&quot;* #,##0.0_);&quot;$&quot;* \(#,##0.0\);&quot;$&quot;* 0.0_);* @_)"/>
    <numFmt numFmtId="182" formatCode="&quot;$&quot;* #,##0.00_);&quot;$&quot;* \(#,##0.00\);&quot;$&quot;* 0.00_);* @_)"/>
    <numFmt numFmtId="183" formatCode="&quot;$&quot;* #,##0.000_);&quot;$&quot;* \(#,##0.000\);&quot;$&quot;* 0.000_);* @_)"/>
    <numFmt numFmtId="184" formatCode="&quot;$&quot;* #,##0.0000_);&quot;$&quot;* \(#,##0.0000\);&quot;$&quot;* 0.0000_);* @_)"/>
    <numFmt numFmtId="185" formatCode="d\-mmm\-yyyy;[Red]&quot;Not date&quot;;&quot;-&quot;;[Red]* &quot;Not date&quot;"/>
    <numFmt numFmtId="186" formatCode="d\-mmm\-yyyy\ h:mm\ \a\.m\./\p\.m\.;[Red]* &quot;Not date&quot;;&quot;-&quot;;[Red]* &quot;Not date&quot;"/>
    <numFmt numFmtId="187" formatCode="d/mm/yyyy;[Red]* &quot;Not date&quot;;&quot;-&quot;;[Red]* &quot;Not date&quot;"/>
    <numFmt numFmtId="188" formatCode="mmm\-yy;[Red]* &quot;Not date&quot;;&quot;-&quot;;[Red]* &quot;Not date&quot;"/>
    <numFmt numFmtId="189" formatCode="h:mm\ \a\.m\./\p\.m\.;[Red]* &quot;Not time&quot;;\-;[Red]* &quot;Not time&quot;"/>
    <numFmt numFmtId="190" formatCode="[h]:mm;[Red]* &quot;Not time&quot;;[h]:mm;[Red]* &quot;Not time&quot;"/>
    <numFmt numFmtId="191" formatCode="d\-mmm\-yyyy;[Red]* &quot;Not date&quot;;&quot;-&quot;;[Red]* &quot;Not date&quot;"/>
    <numFmt numFmtId="192" formatCode="d\-mmm\-yyyy\ h:mm\ \a\.m\./\p\.m\.;[Red]* &quot;Not time&quot;;0;[Red]* &quot;Not time&quot;"/>
    <numFmt numFmtId="193" formatCode="mm/dd/yyyy;[Red]* &quot;Not date&quot;;&quot;-&quot;;[Red]* &quot;Not date&quot;"/>
    <numFmt numFmtId="194" formatCode="0.0"/>
    <numFmt numFmtId="195" formatCode="&quot;$&quot;#,##0\ ;\(&quot;$&quot;#,##0\)"/>
    <numFmt numFmtId="196" formatCode="_(@_)"/>
    <numFmt numFmtId="197" formatCode="_(* 0000_);_(* \(0000\);_(* &quot;–&quot;??_);_(@_)"/>
    <numFmt numFmtId="198" formatCode="_(* #,##0.00%_);_(* \(#,##0.00%\);_(* &quot;–&quot;???_);_(* @_)"/>
    <numFmt numFmtId="199" formatCode="_(* #,##0%_);_(* \(#,##0%\);_(* &quot;–&quot;???_);_(* @_)"/>
    <numFmt numFmtId="200" formatCode="_(* #,##0.0%_);_(* \(#,##0.0%\);_(* &quot;–&quot;???_);_(* @_)"/>
    <numFmt numFmtId="201" formatCode="_(* #,##0_);_(* \(#,##0\);_(* &quot;–&quot;??_);_(* @_)"/>
    <numFmt numFmtId="202" formatCode="_(* #,##0.0_);_(* \(#,##0.0\);_(* &quot;–&quot;???_);_(* @_)"/>
    <numFmt numFmtId="203" formatCode="_(* #,##0.00_);_(* \(#,##0.00\);_(* &quot;–&quot;???_);_(* @_)"/>
    <numFmt numFmtId="204" formatCode="_(* #,##0.0000_);_(* \(#,##0.0000\);_(* &quot;–&quot;??_);_(* @_)"/>
    <numFmt numFmtId="205" formatCode="_(* @_)"/>
    <numFmt numFmtId="206" formatCode="_(* #,##0_);_(* \(#,##0\);_(* &quot;–&quot;??_);\(@_)"/>
    <numFmt numFmtId="207" formatCode="_(* #,##0.000_);_(* \(#,##0.000\);_(* &quot;–&quot;??_);_(* @_)"/>
    <numFmt numFmtId="208" formatCode="#\ ##0"/>
    <numFmt numFmtId="209" formatCode="d\ mmm\ yyyy"/>
    <numFmt numFmtId="210" formatCode="mmm"/>
    <numFmt numFmtId="211" formatCode="_(* #,##0.0000_);_(* \(#,##0.0000\);_(* &quot;-&quot;??_);_(@_)"/>
    <numFmt numFmtId="212" formatCode="_(* [$-1409]d\ mmm\ yyyy\ h\ AM/PM_);_(* @"/>
    <numFmt numFmtId="213" formatCode="[$-C09]d\ mmmm\ yyyy;@"/>
    <numFmt numFmtId="214" formatCode="_(* #,##0.0_);_(* \(#,##0.0\);_(* &quot;-&quot;??_);_(@_)"/>
    <numFmt numFmtId="215" formatCode="0.000"/>
  </numFmts>
  <fonts count="17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sz val="11"/>
      <color indexed="8"/>
      <name val="Arial Mäori"/>
      <family val="2"/>
    </font>
    <font>
      <sz val="8"/>
      <color indexed="8"/>
      <name val="Arial"/>
      <family val="2"/>
    </font>
    <font>
      <u/>
      <sz val="8"/>
      <color indexed="12"/>
      <name val="Arial"/>
      <family val="2"/>
    </font>
    <font>
      <sz val="8"/>
      <color indexed="12"/>
      <name val="Arial"/>
      <family val="2"/>
    </font>
    <font>
      <b/>
      <sz val="8"/>
      <color indexed="12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8"/>
      <color rgb="FF9C0006"/>
      <name val="Arial"/>
      <family val="2"/>
    </font>
    <font>
      <b/>
      <sz val="11"/>
      <color indexed="52"/>
      <name val="Calibri"/>
      <family val="2"/>
      <scheme val="minor"/>
    </font>
    <font>
      <b/>
      <sz val="8"/>
      <color rgb="FFFA7D00"/>
      <name val="Arial"/>
      <family val="2"/>
    </font>
    <font>
      <b/>
      <sz val="8"/>
      <color theme="0"/>
      <name val="Arial"/>
      <family val="2"/>
    </font>
    <font>
      <i/>
      <sz val="8"/>
      <color rgb="FF7F7F7F"/>
      <name val="Arial"/>
      <family val="2"/>
    </font>
    <font>
      <sz val="8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Calibri"/>
      <family val="2"/>
    </font>
    <font>
      <sz val="8"/>
      <color rgb="FF3F3F76"/>
      <name val="Arial"/>
      <family val="2"/>
    </font>
    <font>
      <sz val="8"/>
      <color rgb="FFFA7D00"/>
      <name val="Arial"/>
      <family val="2"/>
    </font>
    <font>
      <sz val="11"/>
      <color indexed="60"/>
      <name val="Calibri"/>
      <family val="2"/>
      <scheme val="minor"/>
    </font>
    <font>
      <sz val="8"/>
      <color rgb="FF9C6500"/>
      <name val="Arial"/>
      <family val="2"/>
    </font>
    <font>
      <b/>
      <sz val="8"/>
      <color rgb="FF3F3F3F"/>
      <name val="Arial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  <font>
      <sz val="8"/>
      <color indexed="81"/>
      <name val="Tahom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2"/>
      <color indexed="24"/>
      <name val="Arial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sz val="10"/>
      <color theme="1"/>
      <name val="Arial Mäori"/>
      <family val="2"/>
    </font>
    <font>
      <u/>
      <sz val="10"/>
      <color theme="10"/>
      <name val="Arial"/>
      <family val="2"/>
    </font>
    <font>
      <sz val="11"/>
      <color theme="1"/>
      <name val="Arial Mäori"/>
      <family val="2"/>
    </font>
    <font>
      <sz val="10"/>
      <color theme="1"/>
      <name val="Calibri"/>
      <family val="4"/>
      <scheme val="minor"/>
    </font>
    <font>
      <sz val="10"/>
      <color theme="1"/>
      <name val="Cambria"/>
      <family val="1"/>
      <scheme val="major"/>
    </font>
    <font>
      <sz val="10"/>
      <color theme="8"/>
      <name val="Calibri"/>
      <family val="4"/>
      <scheme val="minor"/>
    </font>
    <font>
      <b/>
      <sz val="13"/>
      <color theme="4"/>
      <name val="Calibri"/>
      <family val="4"/>
      <scheme val="minor"/>
    </font>
    <font>
      <i/>
      <sz val="8"/>
      <color theme="1"/>
      <name val="Calibri"/>
      <family val="4"/>
      <scheme val="minor"/>
    </font>
    <font>
      <u/>
      <sz val="10"/>
      <color theme="11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u/>
      <sz val="10"/>
      <color theme="4"/>
      <name val="Cambria"/>
      <family val="1"/>
      <scheme val="major"/>
    </font>
    <font>
      <b/>
      <sz val="13"/>
      <color theme="1"/>
      <name val="Cambria"/>
      <family val="1"/>
      <scheme val="major"/>
    </font>
    <font>
      <b/>
      <sz val="10"/>
      <color theme="1"/>
      <name val="Calibri"/>
      <family val="4"/>
      <scheme val="minor"/>
    </font>
    <font>
      <sz val="8"/>
      <color theme="1"/>
      <name val="Cambria"/>
      <family val="1"/>
      <scheme val="major"/>
    </font>
    <font>
      <i/>
      <sz val="8"/>
      <name val="Arial"/>
      <family val="2"/>
    </font>
    <font>
      <b/>
      <sz val="13"/>
      <name val="Arial"/>
      <family val="2"/>
    </font>
    <font>
      <b/>
      <sz val="13"/>
      <color indexed="12"/>
      <name val="Arial"/>
      <family val="2"/>
    </font>
    <font>
      <sz val="10"/>
      <color indexed="30"/>
      <name val="Arial"/>
      <family val="2"/>
    </font>
    <font>
      <sz val="16"/>
      <color theme="4"/>
      <name val="Arial"/>
      <family val="2"/>
    </font>
    <font>
      <u/>
      <sz val="11"/>
      <color indexed="12"/>
      <name val="Calibri"/>
      <family val="2"/>
    </font>
    <font>
      <b/>
      <sz val="11"/>
      <color rgb="FFFF0000"/>
      <name val="Calibri"/>
      <family val="2"/>
      <scheme val="minor"/>
    </font>
    <font>
      <sz val="10"/>
      <name val="Times New Roman"/>
      <family val="1"/>
    </font>
    <font>
      <sz val="12"/>
      <color theme="1"/>
      <name val="Arial"/>
      <family val="2"/>
    </font>
    <font>
      <sz val="10"/>
      <name val="Helv"/>
    </font>
    <font>
      <sz val="10"/>
      <name val="CG Times (W1)"/>
    </font>
    <font>
      <sz val="9"/>
      <name val="Times New Roman"/>
      <family val="1"/>
    </font>
    <font>
      <i/>
      <sz val="8"/>
      <name val="Times"/>
    </font>
    <font>
      <b/>
      <sz val="8"/>
      <name val="times"/>
    </font>
    <font>
      <sz val="10"/>
      <color indexed="8"/>
      <name val="Arial Mäo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7"/>
      <color indexed="12"/>
      <name val="Arial"/>
      <family val="2"/>
    </font>
    <font>
      <sz val="10"/>
      <color indexed="9"/>
      <name val="Arial Mäori"/>
      <family val="2"/>
    </font>
    <font>
      <sz val="10"/>
      <color indexed="20"/>
      <name val="Arial Mäori"/>
      <family val="2"/>
    </font>
    <font>
      <b/>
      <sz val="10"/>
      <color indexed="52"/>
      <name val="Arial Mäori"/>
      <family val="2"/>
    </font>
    <font>
      <b/>
      <sz val="10"/>
      <color indexed="9"/>
      <name val="Arial Mäori"/>
      <family val="2"/>
    </font>
    <font>
      <i/>
      <sz val="10"/>
      <color indexed="23"/>
      <name val="Arial Mäori"/>
      <family val="2"/>
    </font>
    <font>
      <sz val="10"/>
      <color indexed="17"/>
      <name val="Arial Mäori"/>
      <family val="2"/>
    </font>
    <font>
      <b/>
      <sz val="15"/>
      <color indexed="56"/>
      <name val="Arial Mäori"/>
      <family val="2"/>
    </font>
    <font>
      <b/>
      <sz val="13"/>
      <color indexed="56"/>
      <name val="Arial Mäori"/>
      <family val="2"/>
    </font>
    <font>
      <b/>
      <sz val="11"/>
      <color indexed="56"/>
      <name val="Arial Mäori"/>
      <family val="2"/>
    </font>
    <font>
      <sz val="10"/>
      <color indexed="62"/>
      <name val="Arial Mäori"/>
      <family val="2"/>
    </font>
    <font>
      <sz val="10"/>
      <color indexed="52"/>
      <name val="Arial Mäori"/>
      <family val="2"/>
    </font>
    <font>
      <sz val="10"/>
      <color indexed="60"/>
      <name val="Arial Mäori"/>
      <family val="2"/>
    </font>
    <font>
      <b/>
      <sz val="10"/>
      <color indexed="63"/>
      <name val="Arial Mäori"/>
      <family val="2"/>
    </font>
    <font>
      <b/>
      <sz val="10"/>
      <color indexed="8"/>
      <name val="Arial Mäori"/>
      <family val="2"/>
    </font>
    <font>
      <sz val="10"/>
      <color indexed="10"/>
      <name val="Arial Mäori"/>
      <family val="2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0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1"/>
      <color theme="9" tint="0.59999389629810485"/>
      <name val="Calibri"/>
      <family val="2"/>
      <scheme val="minor"/>
    </font>
    <font>
      <u/>
      <sz val="11"/>
      <color rgb="FF0070C0"/>
      <name val="Calibri"/>
      <family val="2"/>
    </font>
    <font>
      <sz val="10"/>
      <name val="Arial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333333"/>
      <name val="Calibri"/>
      <family val="2"/>
      <scheme val="minor"/>
    </font>
    <font>
      <sz val="10"/>
      <color theme="9" tint="0.59999389629810485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0" tint="-0.14999847407452621"/>
      <name val="Calibri"/>
      <family val="2"/>
    </font>
    <font>
      <b/>
      <sz val="11"/>
      <color theme="0" tint="-0.14999847407452621"/>
      <name val="Calibri"/>
      <family val="2"/>
      <scheme val="minor"/>
    </font>
    <font>
      <sz val="11"/>
      <color theme="0" tint="-0.14999847407452621"/>
      <name val="Calibri"/>
      <family val="2"/>
    </font>
    <font>
      <sz val="11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indexed="8"/>
      <name val="Calibri"/>
      <family val="2"/>
    </font>
    <font>
      <sz val="8"/>
      <color indexed="8"/>
      <name val="Calibri"/>
      <family val="2"/>
    </font>
  </fonts>
  <fills count="7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gray0625">
        <fgColor theme="0" tint="-0.14996795556505021"/>
        <bgColor indexed="65"/>
      </patternFill>
    </fill>
    <fill>
      <patternFill patternType="solid">
        <fgColor rgb="FFC0C0C0"/>
        <bgColor indexed="64"/>
      </patternFill>
    </fill>
    <fill>
      <patternFill patternType="solid">
        <fgColor theme="7" tint="0.74999237037263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1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 style="medium">
        <color theme="5"/>
      </bottom>
      <diagonal/>
    </border>
    <border>
      <left/>
      <right style="thin">
        <color theme="5"/>
      </right>
      <top/>
      <bottom style="thin">
        <color theme="5"/>
      </bottom>
      <diagonal/>
    </border>
    <border>
      <left style="thin">
        <color theme="5"/>
      </left>
      <right style="thin">
        <color theme="5"/>
      </right>
      <top style="medium">
        <color theme="5"/>
      </top>
      <bottom style="medium">
        <color theme="5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22"/>
      </left>
      <right style="medium">
        <color indexed="22"/>
      </right>
      <top style="medium">
        <color indexed="64"/>
      </top>
      <bottom style="medium">
        <color indexed="64"/>
      </bottom>
      <diagonal/>
    </border>
    <border>
      <left style="medium">
        <color indexed="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64"/>
      </bottom>
      <diagonal/>
    </border>
  </borders>
  <cellStyleXfs count="2442">
    <xf numFmtId="212" fontId="0" fillId="0" borderId="0"/>
    <xf numFmtId="164" fontId="2" fillId="0" borderId="0" applyFont="0" applyFill="0" applyBorder="0" applyAlignment="0" applyProtection="0"/>
    <xf numFmtId="212" fontId="3" fillId="0" borderId="0" applyNumberFormat="0" applyFill="0" applyBorder="0" applyAlignment="0" applyProtection="0"/>
    <xf numFmtId="212" fontId="4" fillId="0" borderId="1" applyNumberFormat="0" applyFill="0" applyAlignment="0" applyProtection="0"/>
    <xf numFmtId="212" fontId="5" fillId="0" borderId="2" applyNumberFormat="0" applyFill="0" applyAlignment="0" applyProtection="0"/>
    <xf numFmtId="212" fontId="6" fillId="0" borderId="3" applyNumberFormat="0" applyFill="0" applyAlignment="0" applyProtection="0"/>
    <xf numFmtId="212" fontId="6" fillId="0" borderId="0" applyNumberFormat="0" applyFill="0" applyBorder="0" applyAlignment="0" applyProtection="0"/>
    <xf numFmtId="212" fontId="7" fillId="2" borderId="0" applyNumberFormat="0" applyBorder="0" applyAlignment="0" applyProtection="0"/>
    <xf numFmtId="212" fontId="8" fillId="3" borderId="0" applyNumberFormat="0" applyBorder="0" applyAlignment="0" applyProtection="0"/>
    <xf numFmtId="212" fontId="9" fillId="4" borderId="0" applyNumberFormat="0" applyBorder="0" applyAlignment="0" applyProtection="0"/>
    <xf numFmtId="212" fontId="10" fillId="5" borderId="4" applyNumberFormat="0" applyAlignment="0" applyProtection="0"/>
    <xf numFmtId="212" fontId="11" fillId="6" borderId="5" applyNumberFormat="0" applyAlignment="0" applyProtection="0"/>
    <xf numFmtId="212" fontId="12" fillId="6" borderId="4" applyNumberFormat="0" applyAlignment="0" applyProtection="0"/>
    <xf numFmtId="212" fontId="13" fillId="0" borderId="6" applyNumberFormat="0" applyFill="0" applyAlignment="0" applyProtection="0"/>
    <xf numFmtId="212" fontId="14" fillId="7" borderId="7" applyNumberFormat="0" applyAlignment="0" applyProtection="0"/>
    <xf numFmtId="212" fontId="15" fillId="0" borderId="0" applyNumberFormat="0" applyFill="0" applyBorder="0" applyAlignment="0" applyProtection="0"/>
    <xf numFmtId="212" fontId="2" fillId="8" borderId="8" applyNumberFormat="0" applyFont="0" applyAlignment="0" applyProtection="0"/>
    <xf numFmtId="212" fontId="16" fillId="0" borderId="0" applyNumberFormat="0" applyFill="0" applyBorder="0" applyAlignment="0" applyProtection="0"/>
    <xf numFmtId="212" fontId="1" fillId="0" borderId="9" applyNumberFormat="0" applyFill="0" applyAlignment="0" applyProtection="0"/>
    <xf numFmtId="212" fontId="17" fillId="9" borderId="0" applyNumberFormat="0" applyBorder="0" applyAlignment="0" applyProtection="0"/>
    <xf numFmtId="212" fontId="2" fillId="10" borderId="0" applyNumberFormat="0" applyBorder="0" applyAlignment="0" applyProtection="0"/>
    <xf numFmtId="212" fontId="2" fillId="11" borderId="0" applyNumberFormat="0" applyBorder="0" applyAlignment="0" applyProtection="0"/>
    <xf numFmtId="212" fontId="17" fillId="12" borderId="0" applyNumberFormat="0" applyBorder="0" applyAlignment="0" applyProtection="0"/>
    <xf numFmtId="212" fontId="17" fillId="13" borderId="0" applyNumberFormat="0" applyBorder="0" applyAlignment="0" applyProtection="0"/>
    <xf numFmtId="212" fontId="2" fillId="14" borderId="0" applyNumberFormat="0" applyBorder="0" applyAlignment="0" applyProtection="0"/>
    <xf numFmtId="212" fontId="2" fillId="15" borderId="0" applyNumberFormat="0" applyBorder="0" applyAlignment="0" applyProtection="0"/>
    <xf numFmtId="212" fontId="17" fillId="16" borderId="0" applyNumberFormat="0" applyBorder="0" applyAlignment="0" applyProtection="0"/>
    <xf numFmtId="212" fontId="17" fillId="17" borderId="0" applyNumberFormat="0" applyBorder="0" applyAlignment="0" applyProtection="0"/>
    <xf numFmtId="212" fontId="2" fillId="18" borderId="0" applyNumberFormat="0" applyBorder="0" applyAlignment="0" applyProtection="0"/>
    <xf numFmtId="212" fontId="2" fillId="19" borderId="0" applyNumberFormat="0" applyBorder="0" applyAlignment="0" applyProtection="0"/>
    <xf numFmtId="212" fontId="17" fillId="20" borderId="0" applyNumberFormat="0" applyBorder="0" applyAlignment="0" applyProtection="0"/>
    <xf numFmtId="212" fontId="17" fillId="21" borderId="0" applyNumberFormat="0" applyBorder="0" applyAlignment="0" applyProtection="0"/>
    <xf numFmtId="212" fontId="2" fillId="22" borderId="0" applyNumberFormat="0" applyBorder="0" applyAlignment="0" applyProtection="0"/>
    <xf numFmtId="212" fontId="2" fillId="23" borderId="0" applyNumberFormat="0" applyBorder="0" applyAlignment="0" applyProtection="0"/>
    <xf numFmtId="212" fontId="17" fillId="24" borderId="0" applyNumberFormat="0" applyBorder="0" applyAlignment="0" applyProtection="0"/>
    <xf numFmtId="212" fontId="17" fillId="25" borderId="0" applyNumberFormat="0" applyBorder="0" applyAlignment="0" applyProtection="0"/>
    <xf numFmtId="212" fontId="2" fillId="26" borderId="0" applyNumberFormat="0" applyBorder="0" applyAlignment="0" applyProtection="0"/>
    <xf numFmtId="212" fontId="2" fillId="27" borderId="0" applyNumberFormat="0" applyBorder="0" applyAlignment="0" applyProtection="0"/>
    <xf numFmtId="212" fontId="17" fillId="28" borderId="0" applyNumberFormat="0" applyBorder="0" applyAlignment="0" applyProtection="0"/>
    <xf numFmtId="212" fontId="17" fillId="29" borderId="0" applyNumberFormat="0" applyBorder="0" applyAlignment="0" applyProtection="0"/>
    <xf numFmtId="212" fontId="2" fillId="30" borderId="0" applyNumberFormat="0" applyBorder="0" applyAlignment="0" applyProtection="0"/>
    <xf numFmtId="212" fontId="2" fillId="31" borderId="0" applyNumberFormat="0" applyBorder="0" applyAlignment="0" applyProtection="0"/>
    <xf numFmtId="212" fontId="17" fillId="32" borderId="0" applyNumberFormat="0" applyBorder="0" applyAlignment="0" applyProtection="0"/>
    <xf numFmtId="212" fontId="18" fillId="0" borderId="0"/>
    <xf numFmtId="212" fontId="18" fillId="0" borderId="0"/>
    <xf numFmtId="212" fontId="19" fillId="33" borderId="0" applyNumberFormat="0" applyBorder="0" applyAlignment="0" applyProtection="0"/>
    <xf numFmtId="212" fontId="2" fillId="33" borderId="0" applyNumberFormat="0" applyBorder="0" applyAlignment="0" applyProtection="0"/>
    <xf numFmtId="212" fontId="48" fillId="10" borderId="0" applyNumberFormat="0" applyBorder="0" applyAlignment="0" applyProtection="0"/>
    <xf numFmtId="212" fontId="19" fillId="34" borderId="0" applyNumberFormat="0" applyBorder="0" applyAlignment="0" applyProtection="0"/>
    <xf numFmtId="212" fontId="2" fillId="34" borderId="0" applyNumberFormat="0" applyBorder="0" applyAlignment="0" applyProtection="0"/>
    <xf numFmtId="212" fontId="48" fillId="14" borderId="0" applyNumberFormat="0" applyBorder="0" applyAlignment="0" applyProtection="0"/>
    <xf numFmtId="212" fontId="19" fillId="35" borderId="0" applyNumberFormat="0" applyBorder="0" applyAlignment="0" applyProtection="0"/>
    <xf numFmtId="212" fontId="2" fillId="35" borderId="0" applyNumberFormat="0" applyBorder="0" applyAlignment="0" applyProtection="0"/>
    <xf numFmtId="212" fontId="48" fillId="18" borderId="0" applyNumberFormat="0" applyBorder="0" applyAlignment="0" applyProtection="0"/>
    <xf numFmtId="212" fontId="19" fillId="36" borderId="0" applyNumberFormat="0" applyBorder="0" applyAlignment="0" applyProtection="0"/>
    <xf numFmtId="212" fontId="2" fillId="36" borderId="0" applyNumberFormat="0" applyBorder="0" applyAlignment="0" applyProtection="0"/>
    <xf numFmtId="212" fontId="48" fillId="22" borderId="0" applyNumberFormat="0" applyBorder="0" applyAlignment="0" applyProtection="0"/>
    <xf numFmtId="212" fontId="19" fillId="37" borderId="0" applyNumberFormat="0" applyBorder="0" applyAlignment="0" applyProtection="0"/>
    <xf numFmtId="212" fontId="48" fillId="26" borderId="0" applyNumberFormat="0" applyBorder="0" applyAlignment="0" applyProtection="0"/>
    <xf numFmtId="212" fontId="19" fillId="38" borderId="0" applyNumberFormat="0" applyBorder="0" applyAlignment="0" applyProtection="0"/>
    <xf numFmtId="212" fontId="2" fillId="39" borderId="0" applyNumberFormat="0" applyBorder="0" applyAlignment="0" applyProtection="0"/>
    <xf numFmtId="212" fontId="48" fillId="30" borderId="0" applyNumberFormat="0" applyBorder="0" applyAlignment="0" applyProtection="0"/>
    <xf numFmtId="212" fontId="19" fillId="40" borderId="0" applyNumberFormat="0" applyBorder="0" applyAlignment="0" applyProtection="0"/>
    <xf numFmtId="212" fontId="2" fillId="40" borderId="0" applyNumberFormat="0" applyBorder="0" applyAlignment="0" applyProtection="0"/>
    <xf numFmtId="212" fontId="48" fillId="11" borderId="0" applyNumberFormat="0" applyBorder="0" applyAlignment="0" applyProtection="0"/>
    <xf numFmtId="212" fontId="19" fillId="41" borderId="0" applyNumberFormat="0" applyBorder="0" applyAlignment="0" applyProtection="0"/>
    <xf numFmtId="212" fontId="48" fillId="15" borderId="0" applyNumberFormat="0" applyBorder="0" applyAlignment="0" applyProtection="0"/>
    <xf numFmtId="212" fontId="19" fillId="42" borderId="0" applyNumberFormat="0" applyBorder="0" applyAlignment="0" applyProtection="0"/>
    <xf numFmtId="212" fontId="2" fillId="42" borderId="0" applyNumberFormat="0" applyBorder="0" applyAlignment="0" applyProtection="0"/>
    <xf numFmtId="212" fontId="48" fillId="19" borderId="0" applyNumberFormat="0" applyBorder="0" applyAlignment="0" applyProtection="0"/>
    <xf numFmtId="212" fontId="19" fillId="36" borderId="0" applyNumberFormat="0" applyBorder="0" applyAlignment="0" applyProtection="0"/>
    <xf numFmtId="212" fontId="2" fillId="36" borderId="0" applyNumberFormat="0" applyBorder="0" applyAlignment="0" applyProtection="0"/>
    <xf numFmtId="212" fontId="48" fillId="23" borderId="0" applyNumberFormat="0" applyBorder="0" applyAlignment="0" applyProtection="0"/>
    <xf numFmtId="212" fontId="19" fillId="40" borderId="0" applyNumberFormat="0" applyBorder="0" applyAlignment="0" applyProtection="0"/>
    <xf numFmtId="212" fontId="2" fillId="40" borderId="0" applyNumberFormat="0" applyBorder="0" applyAlignment="0" applyProtection="0"/>
    <xf numFmtId="212" fontId="48" fillId="27" borderId="0" applyNumberFormat="0" applyBorder="0" applyAlignment="0" applyProtection="0"/>
    <xf numFmtId="212" fontId="19" fillId="43" borderId="0" applyNumberFormat="0" applyBorder="0" applyAlignment="0" applyProtection="0"/>
    <xf numFmtId="212" fontId="2" fillId="43" borderId="0" applyNumberFormat="0" applyBorder="0" applyAlignment="0" applyProtection="0"/>
    <xf numFmtId="212" fontId="48" fillId="31" borderId="0" applyNumberFormat="0" applyBorder="0" applyAlignment="0" applyProtection="0"/>
    <xf numFmtId="212" fontId="20" fillId="44" borderId="0" applyNumberFormat="0" applyBorder="0" applyAlignment="0" applyProtection="0"/>
    <xf numFmtId="212" fontId="17" fillId="44" borderId="0" applyNumberFormat="0" applyBorder="0" applyAlignment="0" applyProtection="0"/>
    <xf numFmtId="212" fontId="49" fillId="12" borderId="0" applyNumberFormat="0" applyBorder="0" applyAlignment="0" applyProtection="0"/>
    <xf numFmtId="212" fontId="20" fillId="41" borderId="0" applyNumberFormat="0" applyBorder="0" applyAlignment="0" applyProtection="0"/>
    <xf numFmtId="212" fontId="17" fillId="41" borderId="0" applyNumberFormat="0" applyBorder="0" applyAlignment="0" applyProtection="0"/>
    <xf numFmtId="212" fontId="49" fillId="16" borderId="0" applyNumberFormat="0" applyBorder="0" applyAlignment="0" applyProtection="0"/>
    <xf numFmtId="212" fontId="20" fillId="42" borderId="0" applyNumberFormat="0" applyBorder="0" applyAlignment="0" applyProtection="0"/>
    <xf numFmtId="212" fontId="17" fillId="42" borderId="0" applyNumberFormat="0" applyBorder="0" applyAlignment="0" applyProtection="0"/>
    <xf numFmtId="212" fontId="49" fillId="20" borderId="0" applyNumberFormat="0" applyBorder="0" applyAlignment="0" applyProtection="0"/>
    <xf numFmtId="212" fontId="20" fillId="45" borderId="0" applyNumberFormat="0" applyBorder="0" applyAlignment="0" applyProtection="0"/>
    <xf numFmtId="212" fontId="17" fillId="45" borderId="0" applyNumberFormat="0" applyBorder="0" applyAlignment="0" applyProtection="0"/>
    <xf numFmtId="212" fontId="49" fillId="24" borderId="0" applyNumberFormat="0" applyBorder="0" applyAlignment="0" applyProtection="0"/>
    <xf numFmtId="212" fontId="20" fillId="46" borderId="0" applyNumberFormat="0" applyBorder="0" applyAlignment="0" applyProtection="0"/>
    <xf numFmtId="212" fontId="17" fillId="46" borderId="0" applyNumberFormat="0" applyBorder="0" applyAlignment="0" applyProtection="0"/>
    <xf numFmtId="212" fontId="49" fillId="28" borderId="0" applyNumberFormat="0" applyBorder="0" applyAlignment="0" applyProtection="0"/>
    <xf numFmtId="212" fontId="20" fillId="47" borderId="0" applyNumberFormat="0" applyBorder="0" applyAlignment="0" applyProtection="0"/>
    <xf numFmtId="212" fontId="17" fillId="47" borderId="0" applyNumberFormat="0" applyBorder="0" applyAlignment="0" applyProtection="0"/>
    <xf numFmtId="212" fontId="49" fillId="32" borderId="0" applyNumberFormat="0" applyBorder="0" applyAlignment="0" applyProtection="0"/>
    <xf numFmtId="212" fontId="20" fillId="48" borderId="0" applyNumberFormat="0" applyBorder="0" applyAlignment="0" applyProtection="0"/>
    <xf numFmtId="212" fontId="17" fillId="48" borderId="0" applyNumberFormat="0" applyBorder="0" applyAlignment="0" applyProtection="0"/>
    <xf numFmtId="212" fontId="49" fillId="9" borderId="0" applyNumberFormat="0" applyBorder="0" applyAlignment="0" applyProtection="0"/>
    <xf numFmtId="212" fontId="20" fillId="49" borderId="0" applyNumberFormat="0" applyBorder="0" applyAlignment="0" applyProtection="0"/>
    <xf numFmtId="212" fontId="17" fillId="49" borderId="0" applyNumberFormat="0" applyBorder="0" applyAlignment="0" applyProtection="0"/>
    <xf numFmtId="212" fontId="49" fillId="13" borderId="0" applyNumberFormat="0" applyBorder="0" applyAlignment="0" applyProtection="0"/>
    <xf numFmtId="212" fontId="20" fillId="50" borderId="0" applyNumberFormat="0" applyBorder="0" applyAlignment="0" applyProtection="0"/>
    <xf numFmtId="212" fontId="17" fillId="50" borderId="0" applyNumberFormat="0" applyBorder="0" applyAlignment="0" applyProtection="0"/>
    <xf numFmtId="212" fontId="49" fillId="17" borderId="0" applyNumberFormat="0" applyBorder="0" applyAlignment="0" applyProtection="0"/>
    <xf numFmtId="212" fontId="20" fillId="45" borderId="0" applyNumberFormat="0" applyBorder="0" applyAlignment="0" applyProtection="0"/>
    <xf numFmtId="212" fontId="17" fillId="45" borderId="0" applyNumberFormat="0" applyBorder="0" applyAlignment="0" applyProtection="0"/>
    <xf numFmtId="212" fontId="49" fillId="21" borderId="0" applyNumberFormat="0" applyBorder="0" applyAlignment="0" applyProtection="0"/>
    <xf numFmtId="212" fontId="20" fillId="46" borderId="0" applyNumberFormat="0" applyBorder="0" applyAlignment="0" applyProtection="0"/>
    <xf numFmtId="212" fontId="49" fillId="25" borderId="0" applyNumberFormat="0" applyBorder="0" applyAlignment="0" applyProtection="0"/>
    <xf numFmtId="212" fontId="20" fillId="51" borderId="0" applyNumberFormat="0" applyBorder="0" applyAlignment="0" applyProtection="0"/>
    <xf numFmtId="212" fontId="17" fillId="51" borderId="0" applyNumberFormat="0" applyBorder="0" applyAlignment="0" applyProtection="0"/>
    <xf numFmtId="212" fontId="49" fillId="29" borderId="0" applyNumberFormat="0" applyBorder="0" applyAlignment="0" applyProtection="0"/>
    <xf numFmtId="212" fontId="21" fillId="34" borderId="0" applyNumberFormat="0" applyBorder="0" applyAlignment="0" applyProtection="0"/>
    <xf numFmtId="212" fontId="8" fillId="34" borderId="0" applyNumberFormat="0" applyBorder="0" applyAlignment="0" applyProtection="0"/>
    <xf numFmtId="212" fontId="50" fillId="3" borderId="0" applyNumberFormat="0" applyBorder="0" applyAlignment="0" applyProtection="0"/>
    <xf numFmtId="212" fontId="22" fillId="39" borderId="10" applyNumberFormat="0" applyAlignment="0" applyProtection="0"/>
    <xf numFmtId="212" fontId="51" fillId="39" borderId="4" applyNumberFormat="0" applyAlignment="0" applyProtection="0"/>
    <xf numFmtId="212" fontId="52" fillId="6" borderId="4" applyNumberFormat="0" applyAlignment="0" applyProtection="0"/>
    <xf numFmtId="170" fontId="40" fillId="0" borderId="0" applyFill="0" applyBorder="0"/>
    <xf numFmtId="170" fontId="40" fillId="0" borderId="0" applyFill="0" applyBorder="0"/>
    <xf numFmtId="171" fontId="40" fillId="0" borderId="0" applyFill="0" applyBorder="0"/>
    <xf numFmtId="171" fontId="40" fillId="0" borderId="0" applyFill="0" applyBorder="0"/>
    <xf numFmtId="172" fontId="40" fillId="0" borderId="0" applyFill="0" applyBorder="0"/>
    <xf numFmtId="172" fontId="40" fillId="0" borderId="0" applyFill="0" applyBorder="0"/>
    <xf numFmtId="173" fontId="40" fillId="0" borderId="0" applyFill="0" applyBorder="0"/>
    <xf numFmtId="173" fontId="40" fillId="0" borderId="0" applyFill="0" applyBorder="0"/>
    <xf numFmtId="174" fontId="40" fillId="0" borderId="0" applyFill="0" applyBorder="0"/>
    <xf numFmtId="174" fontId="40" fillId="0" borderId="0" applyFill="0" applyBorder="0"/>
    <xf numFmtId="185" fontId="40" fillId="0" borderId="0" applyFill="0" applyBorder="0"/>
    <xf numFmtId="185" fontId="40" fillId="0" borderId="0" applyFill="0" applyBorder="0"/>
    <xf numFmtId="186" fontId="40" fillId="0" borderId="0" applyFill="0" applyBorder="0"/>
    <xf numFmtId="186" fontId="40" fillId="0" borderId="0" applyFill="0" applyBorder="0"/>
    <xf numFmtId="187" fontId="40" fillId="0" borderId="0" applyFill="0" applyBorder="0"/>
    <xf numFmtId="187" fontId="40" fillId="0" borderId="0" applyFill="0" applyBorder="0"/>
    <xf numFmtId="193" fontId="40" fillId="0" borderId="0" applyFill="0" applyBorder="0"/>
    <xf numFmtId="193" fontId="40" fillId="0" borderId="0" applyFill="0" applyBorder="0"/>
    <xf numFmtId="188" fontId="40" fillId="0" borderId="0" applyFill="0" applyBorder="0"/>
    <xf numFmtId="188" fontId="40" fillId="0" borderId="0" applyFill="0" applyBorder="0"/>
    <xf numFmtId="188" fontId="40" fillId="0" borderId="0" applyFill="0" applyBorder="0">
      <alignment horizontal="center"/>
    </xf>
    <xf numFmtId="188" fontId="40" fillId="0" borderId="0" applyFill="0" applyBorder="0">
      <alignment horizontal="center"/>
    </xf>
    <xf numFmtId="175" fontId="40" fillId="0" borderId="0" applyFill="0" applyBorder="0"/>
    <xf numFmtId="175" fontId="40" fillId="0" borderId="0" applyFill="0" applyBorder="0"/>
    <xf numFmtId="212" fontId="23" fillId="52" borderId="11" applyNumberFormat="0" applyAlignment="0" applyProtection="0"/>
    <xf numFmtId="212" fontId="53" fillId="7" borderId="7" applyNumberFormat="0" applyAlignment="0" applyProtection="0"/>
    <xf numFmtId="189" fontId="40" fillId="0" borderId="0" applyFill="0" applyBorder="0"/>
    <xf numFmtId="189" fontId="40" fillId="0" borderId="0" applyFill="0" applyBorder="0"/>
    <xf numFmtId="190" fontId="40" fillId="0" borderId="0" applyFill="0" applyBorder="0"/>
    <xf numFmtId="190" fontId="40" fillId="0" borderId="0" applyFill="0" applyBorder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212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76" fontId="40" fillId="0" borderId="0" applyFill="0" applyBorder="0"/>
    <xf numFmtId="176" fontId="40" fillId="0" borderId="0" applyFill="0" applyBorder="0"/>
    <xf numFmtId="177" fontId="44" fillId="0" borderId="0" applyFill="0" applyBorder="0"/>
    <xf numFmtId="178" fontId="40" fillId="0" borderId="0" applyFill="0" applyBorder="0"/>
    <xf numFmtId="178" fontId="40" fillId="0" borderId="0" applyFill="0" applyBorder="0"/>
    <xf numFmtId="179" fontId="40" fillId="0" borderId="0" applyFill="0" applyBorder="0"/>
    <xf numFmtId="179" fontId="40" fillId="0" borderId="0" applyFill="0" applyBorder="0"/>
    <xf numFmtId="180" fontId="40" fillId="0" borderId="0" applyFill="0" applyBorder="0"/>
    <xf numFmtId="180" fontId="40" fillId="0" borderId="0" applyFill="0" applyBorder="0"/>
    <xf numFmtId="181" fontId="40" fillId="0" borderId="0" applyFill="0" applyBorder="0"/>
    <xf numFmtId="181" fontId="40" fillId="0" borderId="0" applyFill="0" applyBorder="0"/>
    <xf numFmtId="182" fontId="40" fillId="0" borderId="0" applyFill="0" applyBorder="0"/>
    <xf numFmtId="182" fontId="40" fillId="0" borderId="0" applyFill="0" applyBorder="0"/>
    <xf numFmtId="183" fontId="40" fillId="0" borderId="0" applyFill="0" applyBorder="0"/>
    <xf numFmtId="183" fontId="40" fillId="0" borderId="0" applyFill="0" applyBorder="0"/>
    <xf numFmtId="184" fontId="40" fillId="0" borderId="0" applyFill="0" applyBorder="0"/>
    <xf numFmtId="184" fontId="40" fillId="0" borderId="0" applyFill="0" applyBorder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12" fontId="24" fillId="0" borderId="0" applyNumberFormat="0" applyFill="0" applyBorder="0" applyAlignment="0" applyProtection="0"/>
    <xf numFmtId="212" fontId="54" fillId="0" borderId="0" applyNumberFormat="0" applyFill="0" applyBorder="0" applyAlignment="0" applyProtection="0"/>
    <xf numFmtId="212" fontId="25" fillId="35" borderId="0" applyNumberFormat="0" applyBorder="0" applyAlignment="0" applyProtection="0"/>
    <xf numFmtId="212" fontId="7" fillId="35" borderId="0" applyNumberFormat="0" applyBorder="0" applyAlignment="0" applyProtection="0"/>
    <xf numFmtId="212" fontId="55" fillId="2" borderId="0" applyNumberFormat="0" applyBorder="0" applyAlignment="0" applyProtection="0"/>
    <xf numFmtId="212" fontId="37" fillId="0" borderId="0" applyFill="0" applyBorder="0"/>
    <xf numFmtId="212" fontId="37" fillId="0" borderId="0" applyFill="0" applyBorder="0"/>
    <xf numFmtId="212" fontId="39" fillId="0" borderId="0" applyFill="0" applyBorder="0"/>
    <xf numFmtId="212" fontId="39" fillId="0" borderId="0" applyFill="0" applyBorder="0"/>
    <xf numFmtId="212" fontId="38" fillId="0" borderId="0" applyFill="0" applyBorder="0"/>
    <xf numFmtId="212" fontId="38" fillId="0" borderId="0" applyFill="0" applyBorder="0"/>
    <xf numFmtId="212" fontId="41" fillId="0" borderId="0" applyFill="0" applyBorder="0"/>
    <xf numFmtId="212" fontId="41" fillId="0" borderId="0" applyFill="0" applyBorder="0"/>
    <xf numFmtId="212" fontId="26" fillId="0" borderId="12" applyNumberFormat="0" applyFill="0" applyAlignment="0" applyProtection="0"/>
    <xf numFmtId="212" fontId="26" fillId="0" borderId="12" applyNumberFormat="0" applyFill="0" applyAlignment="0" applyProtection="0"/>
    <xf numFmtId="212" fontId="56" fillId="0" borderId="1" applyNumberFormat="0" applyFill="0" applyAlignment="0" applyProtection="0"/>
    <xf numFmtId="212" fontId="27" fillId="0" borderId="13" applyNumberFormat="0" applyFill="0" applyAlignment="0" applyProtection="0"/>
    <xf numFmtId="212" fontId="27" fillId="0" borderId="13" applyNumberFormat="0" applyFill="0" applyAlignment="0" applyProtection="0"/>
    <xf numFmtId="212" fontId="57" fillId="0" borderId="2" applyNumberFormat="0" applyFill="0" applyAlignment="0" applyProtection="0"/>
    <xf numFmtId="212" fontId="28" fillId="0" borderId="14" applyNumberFormat="0" applyFill="0" applyAlignment="0" applyProtection="0"/>
    <xf numFmtId="212" fontId="28" fillId="0" borderId="14" applyNumberFormat="0" applyFill="0" applyAlignment="0" applyProtection="0"/>
    <xf numFmtId="212" fontId="58" fillId="0" borderId="3" applyNumberFormat="0" applyFill="0" applyAlignment="0" applyProtection="0"/>
    <xf numFmtId="212" fontId="28" fillId="0" borderId="0" applyNumberFormat="0" applyFill="0" applyBorder="0" applyAlignment="0" applyProtection="0"/>
    <xf numFmtId="212" fontId="28" fillId="0" borderId="0" applyNumberFormat="0" applyFill="0" applyBorder="0" applyAlignment="0" applyProtection="0"/>
    <xf numFmtId="212" fontId="58" fillId="0" borderId="0" applyNumberFormat="0" applyFill="0" applyBorder="0" applyAlignment="0" applyProtection="0"/>
    <xf numFmtId="212" fontId="45" fillId="0" borderId="0" applyFill="0" applyBorder="0">
      <alignment horizontal="left"/>
      <protection hidden="1"/>
    </xf>
    <xf numFmtId="212" fontId="45" fillId="0" borderId="0" applyFill="0" applyBorder="0">
      <alignment horizontal="left" indent="1"/>
      <protection hidden="1"/>
    </xf>
    <xf numFmtId="212" fontId="45" fillId="0" borderId="0" applyFill="0" applyBorder="0">
      <alignment horizontal="left" indent="2"/>
      <protection hidden="1"/>
    </xf>
    <xf numFmtId="212" fontId="45" fillId="0" borderId="0" applyFill="0" applyBorder="0">
      <alignment horizontal="left" indent="3"/>
      <protection hidden="1"/>
    </xf>
    <xf numFmtId="168" fontId="59" fillId="0" borderId="0" applyNumberFormat="0" applyFill="0" applyBorder="0" applyAlignment="0" applyProtection="0">
      <alignment vertical="top"/>
      <protection locked="0"/>
    </xf>
    <xf numFmtId="169" fontId="45" fillId="0" borderId="0" applyNumberFormat="0" applyFill="0" applyBorder="0" applyAlignment="0" applyProtection="0">
      <protection locked="0"/>
    </xf>
    <xf numFmtId="170" fontId="46" fillId="0" borderId="0" applyFill="0" applyBorder="0">
      <protection locked="0"/>
    </xf>
    <xf numFmtId="171" fontId="46" fillId="0" borderId="0" applyFill="0" applyBorder="0">
      <protection locked="0"/>
    </xf>
    <xf numFmtId="172" fontId="46" fillId="0" borderId="0" applyFill="0" applyBorder="0">
      <protection locked="0"/>
    </xf>
    <xf numFmtId="173" fontId="46" fillId="0" borderId="0" applyFill="0" applyBorder="0">
      <protection locked="0"/>
    </xf>
    <xf numFmtId="174" fontId="46" fillId="0" borderId="0" applyFill="0" applyBorder="0">
      <protection locked="0"/>
    </xf>
    <xf numFmtId="191" fontId="46" fillId="0" borderId="0" applyFill="0" applyBorder="0">
      <protection locked="0"/>
    </xf>
    <xf numFmtId="192" fontId="46" fillId="0" borderId="0" applyFill="0" applyBorder="0">
      <protection locked="0"/>
    </xf>
    <xf numFmtId="187" fontId="46" fillId="0" borderId="0" applyFill="0" applyBorder="0">
      <protection locked="0"/>
    </xf>
    <xf numFmtId="193" fontId="46" fillId="0" borderId="0" applyFill="0" applyBorder="0">
      <protection locked="0"/>
    </xf>
    <xf numFmtId="188" fontId="46" fillId="0" borderId="0" applyFill="0" applyBorder="0">
      <protection locked="0"/>
    </xf>
    <xf numFmtId="175" fontId="46" fillId="0" borderId="0" applyFill="0" applyBorder="0">
      <protection locked="0"/>
    </xf>
    <xf numFmtId="175" fontId="47" fillId="0" borderId="0" applyFill="0" applyBorder="0">
      <protection locked="0"/>
    </xf>
    <xf numFmtId="175" fontId="46" fillId="0" borderId="0" applyFill="0" applyBorder="0">
      <protection locked="0"/>
    </xf>
    <xf numFmtId="49" fontId="46" fillId="0" borderId="0" applyFill="0" applyBorder="0">
      <alignment vertical="top"/>
      <protection locked="0"/>
    </xf>
    <xf numFmtId="49" fontId="47" fillId="0" borderId="0" applyFill="0" applyBorder="0">
      <alignment vertical="top"/>
      <protection locked="0"/>
    </xf>
    <xf numFmtId="212" fontId="46" fillId="0" borderId="0" applyFill="0" applyBorder="0">
      <alignment vertical="top" wrapText="1"/>
      <protection locked="0"/>
    </xf>
    <xf numFmtId="189" fontId="46" fillId="0" borderId="0" applyFill="0" applyBorder="0">
      <protection locked="0"/>
    </xf>
    <xf numFmtId="190" fontId="46" fillId="0" borderId="0" applyFill="0" applyBorder="0">
      <protection locked="0"/>
    </xf>
    <xf numFmtId="212" fontId="29" fillId="38" borderId="10" applyNumberFormat="0" applyAlignment="0" applyProtection="0"/>
    <xf numFmtId="212" fontId="10" fillId="39" borderId="4" applyNumberFormat="0" applyAlignment="0" applyProtection="0"/>
    <xf numFmtId="212" fontId="60" fillId="5" borderId="4" applyNumberFormat="0" applyAlignment="0" applyProtection="0"/>
    <xf numFmtId="176" fontId="46" fillId="0" borderId="0" applyFill="0" applyBorder="0">
      <protection locked="0"/>
    </xf>
    <xf numFmtId="177" fontId="46" fillId="0" borderId="0" applyFill="0" applyBorder="0">
      <protection locked="0"/>
    </xf>
    <xf numFmtId="178" fontId="46" fillId="0" borderId="0" applyFill="0" applyBorder="0">
      <protection locked="0"/>
    </xf>
    <xf numFmtId="179" fontId="46" fillId="0" borderId="0" applyFill="0" applyBorder="0">
      <protection locked="0"/>
    </xf>
    <xf numFmtId="180" fontId="46" fillId="0" borderId="0" applyFill="0" applyBorder="0">
      <protection locked="0"/>
    </xf>
    <xf numFmtId="181" fontId="46" fillId="0" borderId="0" applyFill="0" applyBorder="0">
      <protection locked="0"/>
    </xf>
    <xf numFmtId="182" fontId="46" fillId="0" borderId="0" applyFill="0" applyBorder="0">
      <protection locked="0"/>
    </xf>
    <xf numFmtId="183" fontId="46" fillId="0" borderId="0" applyFill="0" applyBorder="0">
      <protection locked="0"/>
    </xf>
    <xf numFmtId="184" fontId="46" fillId="0" borderId="0" applyFill="0" applyBorder="0">
      <protection locked="0"/>
    </xf>
    <xf numFmtId="49" fontId="46" fillId="0" borderId="0" applyFill="0" applyBorder="0">
      <alignment horizontal="left" vertical="top"/>
      <protection locked="0"/>
    </xf>
    <xf numFmtId="49" fontId="46" fillId="0" borderId="0" applyFill="0" applyBorder="0">
      <alignment horizontal="left" vertical="top" indent="1"/>
      <protection locked="0"/>
    </xf>
    <xf numFmtId="49" fontId="46" fillId="0" borderId="0" applyFill="0" applyBorder="0">
      <alignment horizontal="left" vertical="top" indent="2"/>
      <protection locked="0"/>
    </xf>
    <xf numFmtId="49" fontId="46" fillId="0" borderId="0" applyFill="0" applyBorder="0">
      <alignment horizontal="left" vertical="top" indent="3"/>
      <protection locked="0"/>
    </xf>
    <xf numFmtId="49" fontId="46" fillId="0" borderId="0" applyFill="0" applyBorder="0">
      <alignment horizontal="left" vertical="top" indent="4"/>
      <protection locked="0"/>
    </xf>
    <xf numFmtId="49" fontId="46" fillId="0" borderId="0" applyFill="0" applyBorder="0">
      <alignment horizontal="center"/>
      <protection locked="0"/>
    </xf>
    <xf numFmtId="49" fontId="46" fillId="0" borderId="0" applyFill="0" applyBorder="0">
      <alignment horizontal="center" wrapText="1"/>
      <protection locked="0"/>
    </xf>
    <xf numFmtId="212" fontId="30" fillId="0" borderId="15" applyNumberFormat="0" applyFill="0" applyAlignment="0" applyProtection="0"/>
    <xf numFmtId="212" fontId="30" fillId="0" borderId="15" applyNumberFormat="0" applyFill="0" applyAlignment="0" applyProtection="0"/>
    <xf numFmtId="212" fontId="61" fillId="0" borderId="6" applyNumberFormat="0" applyFill="0" applyAlignment="0" applyProtection="0"/>
    <xf numFmtId="49" fontId="40" fillId="0" borderId="0" applyFill="0" applyBorder="0">
      <alignment vertical="top"/>
    </xf>
    <xf numFmtId="49" fontId="40" fillId="0" borderId="0" applyFill="0" applyBorder="0">
      <alignment vertical="top"/>
    </xf>
    <xf numFmtId="212" fontId="40" fillId="0" borderId="0" applyFill="0" applyBorder="0">
      <alignment vertical="top" wrapText="1"/>
    </xf>
    <xf numFmtId="212" fontId="40" fillId="0" borderId="0" applyFill="0" applyBorder="0">
      <alignment vertical="top" wrapText="1"/>
    </xf>
    <xf numFmtId="212" fontId="31" fillId="53" borderId="0" applyNumberFormat="0" applyBorder="0" applyAlignment="0" applyProtection="0"/>
    <xf numFmtId="212" fontId="62" fillId="4" borderId="0" applyNumberFormat="0" applyBorder="0" applyAlignment="0" applyProtection="0"/>
    <xf numFmtId="212" fontId="63" fillId="4" borderId="0" applyNumberFormat="0" applyBorder="0" applyAlignment="0" applyProtection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168" fontId="19" fillId="0" borderId="0"/>
    <xf numFmtId="212" fontId="18" fillId="0" borderId="0" applyBorder="0"/>
    <xf numFmtId="168" fontId="19" fillId="0" borderId="0"/>
    <xf numFmtId="168" fontId="19" fillId="0" borderId="0"/>
    <xf numFmtId="168" fontId="19" fillId="0" borderId="0"/>
    <xf numFmtId="168" fontId="2" fillId="0" borderId="0"/>
    <xf numFmtId="212" fontId="48" fillId="0" borderId="0"/>
    <xf numFmtId="212" fontId="18" fillId="0" borderId="0"/>
    <xf numFmtId="168" fontId="19" fillId="0" borderId="0"/>
    <xf numFmtId="212" fontId="18" fillId="0" borderId="0"/>
    <xf numFmtId="212" fontId="18" fillId="0" borderId="0"/>
    <xf numFmtId="212" fontId="18" fillId="0" borderId="0"/>
    <xf numFmtId="212" fontId="18" fillId="0" borderId="0"/>
    <xf numFmtId="168" fontId="2" fillId="0" borderId="0"/>
    <xf numFmtId="168" fontId="2" fillId="0" borderId="0"/>
    <xf numFmtId="212" fontId="19" fillId="0" borderId="0"/>
    <xf numFmtId="212" fontId="19" fillId="0" borderId="0"/>
    <xf numFmtId="212" fontId="2" fillId="0" borderId="0"/>
    <xf numFmtId="212" fontId="18" fillId="0" borderId="0"/>
    <xf numFmtId="212" fontId="18" fillId="0" borderId="0"/>
    <xf numFmtId="212" fontId="18" fillId="0" borderId="0"/>
    <xf numFmtId="212" fontId="2" fillId="0" borderId="0"/>
    <xf numFmtId="168" fontId="19" fillId="0" borderId="0"/>
    <xf numFmtId="212" fontId="33" fillId="0" borderId="0"/>
    <xf numFmtId="212" fontId="33" fillId="0" borderId="0"/>
    <xf numFmtId="168" fontId="2" fillId="0" borderId="0"/>
    <xf numFmtId="212" fontId="18" fillId="0" borderId="0"/>
    <xf numFmtId="168" fontId="2" fillId="0" borderId="0"/>
    <xf numFmtId="168" fontId="19" fillId="0" borderId="0"/>
    <xf numFmtId="168" fontId="2" fillId="0" borderId="0"/>
    <xf numFmtId="212" fontId="18" fillId="0" borderId="0" applyBorder="0"/>
    <xf numFmtId="212" fontId="18" fillId="0" borderId="0" applyBorder="0"/>
    <xf numFmtId="212" fontId="18" fillId="0" borderId="0"/>
    <xf numFmtId="212" fontId="18" fillId="0" borderId="0"/>
    <xf numFmtId="212" fontId="18" fillId="0" borderId="0"/>
    <xf numFmtId="212" fontId="42" fillId="0" borderId="0"/>
    <xf numFmtId="212" fontId="42" fillId="0" borderId="0"/>
    <xf numFmtId="212" fontId="18" fillId="0" borderId="0" applyBorder="0"/>
    <xf numFmtId="212" fontId="33" fillId="0" borderId="0"/>
    <xf numFmtId="212" fontId="2" fillId="0" borderId="0"/>
    <xf numFmtId="212" fontId="18" fillId="0" borderId="0" applyBorder="0"/>
    <xf numFmtId="212" fontId="18" fillId="0" borderId="0"/>
    <xf numFmtId="212" fontId="18" fillId="54" borderId="16" applyNumberFormat="0" applyFont="0" applyAlignment="0" applyProtection="0"/>
    <xf numFmtId="212" fontId="19" fillId="8" borderId="8" applyNumberFormat="0" applyFont="0" applyAlignment="0" applyProtection="0"/>
    <xf numFmtId="212" fontId="44" fillId="8" borderId="8" applyNumberFormat="0" applyFont="0" applyAlignment="0" applyProtection="0"/>
    <xf numFmtId="212" fontId="32" fillId="39" borderId="17" applyNumberFormat="0" applyAlignment="0" applyProtection="0"/>
    <xf numFmtId="212" fontId="11" fillId="39" borderId="5" applyNumberFormat="0" applyAlignment="0" applyProtection="0"/>
    <xf numFmtId="212" fontId="64" fillId="6" borderId="5" applyNumberFormat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212" fontId="41" fillId="0" borderId="0" applyFill="0" applyBorder="0">
      <alignment vertical="top"/>
    </xf>
    <xf numFmtId="212" fontId="41" fillId="0" borderId="0" applyFill="0" applyBorder="0">
      <alignment vertical="top"/>
    </xf>
    <xf numFmtId="212" fontId="41" fillId="0" borderId="0" applyFill="0" applyBorder="0">
      <alignment horizontal="left" vertical="top" indent="1"/>
    </xf>
    <xf numFmtId="212" fontId="41" fillId="0" borderId="0" applyFill="0" applyBorder="0">
      <alignment horizontal="left" vertical="top" indent="1"/>
    </xf>
    <xf numFmtId="212" fontId="41" fillId="0" borderId="0" applyFill="0" applyBorder="0">
      <alignment horizontal="left" vertical="top" indent="2"/>
    </xf>
    <xf numFmtId="212" fontId="41" fillId="0" borderId="0" applyFill="0" applyBorder="0">
      <alignment horizontal="left" vertical="top" indent="2"/>
    </xf>
    <xf numFmtId="212" fontId="41" fillId="0" borderId="0" applyFill="0" applyBorder="0">
      <alignment horizontal="left" vertical="top" indent="3"/>
    </xf>
    <xf numFmtId="212" fontId="41" fillId="0" borderId="0" applyFill="0" applyBorder="0">
      <alignment horizontal="left" vertical="top" indent="3"/>
    </xf>
    <xf numFmtId="212" fontId="40" fillId="0" borderId="0" applyFill="0" applyBorder="0">
      <alignment vertical="top"/>
    </xf>
    <xf numFmtId="212" fontId="40" fillId="0" borderId="0" applyFill="0" applyBorder="0">
      <alignment vertical="top"/>
    </xf>
    <xf numFmtId="212" fontId="40" fillId="0" borderId="0" applyFill="0" applyBorder="0">
      <alignment horizontal="left" vertical="top" indent="1"/>
    </xf>
    <xf numFmtId="212" fontId="40" fillId="0" borderId="0" applyFill="0" applyBorder="0">
      <alignment horizontal="left" vertical="top" indent="1"/>
    </xf>
    <xf numFmtId="212" fontId="40" fillId="0" borderId="0" applyFill="0" applyBorder="0">
      <alignment horizontal="left" vertical="top" indent="2"/>
    </xf>
    <xf numFmtId="212" fontId="40" fillId="0" borderId="0" applyFill="0" applyBorder="0">
      <alignment horizontal="left" vertical="top" indent="2"/>
    </xf>
    <xf numFmtId="212" fontId="40" fillId="0" borderId="0" applyFill="0" applyBorder="0">
      <alignment horizontal="left" vertical="top" indent="3"/>
    </xf>
    <xf numFmtId="212" fontId="40" fillId="0" borderId="0" applyFill="0" applyBorder="0">
      <alignment horizontal="left" vertical="top" indent="3"/>
    </xf>
    <xf numFmtId="212" fontId="40" fillId="0" borderId="0" applyFill="0" applyBorder="0">
      <alignment horizontal="left" vertical="top" indent="4"/>
    </xf>
    <xf numFmtId="212" fontId="40" fillId="0" borderId="0" applyFill="0" applyBorder="0">
      <alignment horizontal="left" vertical="top" indent="4"/>
    </xf>
    <xf numFmtId="164" fontId="33" fillId="0" borderId="18" applyFont="0" applyAlignment="0">
      <alignment vertical="top" wrapText="1"/>
    </xf>
    <xf numFmtId="164" fontId="33" fillId="0" borderId="18" applyFont="0" applyAlignment="0">
      <alignment vertical="top" wrapText="1"/>
    </xf>
    <xf numFmtId="212" fontId="34" fillId="0" borderId="0" applyNumberFormat="0" applyFill="0" applyBorder="0" applyAlignment="0" applyProtection="0"/>
    <xf numFmtId="212" fontId="34" fillId="0" borderId="0" applyNumberFormat="0" applyFill="0" applyBorder="0" applyAlignment="0" applyProtection="0"/>
    <xf numFmtId="212" fontId="3" fillId="0" borderId="0" applyNumberFormat="0" applyFill="0" applyBorder="0" applyAlignment="0" applyProtection="0"/>
    <xf numFmtId="212" fontId="35" fillId="0" borderId="19" applyNumberFormat="0" applyFill="0" applyAlignment="0" applyProtection="0"/>
    <xf numFmtId="212" fontId="1" fillId="0" borderId="19" applyNumberFormat="0" applyFill="0" applyAlignment="0" applyProtection="0"/>
    <xf numFmtId="212" fontId="65" fillId="0" borderId="9" applyNumberFormat="0" applyFill="0" applyAlignment="0" applyProtection="0"/>
    <xf numFmtId="212" fontId="40" fillId="0" borderId="0" applyFill="0" applyBorder="0">
      <alignment horizontal="center"/>
    </xf>
    <xf numFmtId="212" fontId="40" fillId="0" borderId="0" applyFill="0" applyBorder="0">
      <alignment horizontal="center"/>
    </xf>
    <xf numFmtId="212" fontId="40" fillId="0" borderId="0" applyFill="0" applyBorder="0">
      <alignment horizontal="center" wrapText="1"/>
    </xf>
    <xf numFmtId="212" fontId="40" fillId="0" borderId="0" applyFill="0" applyBorder="0">
      <alignment horizontal="center" wrapText="1"/>
    </xf>
    <xf numFmtId="212" fontId="36" fillId="0" borderId="0" applyNumberFormat="0" applyFill="0" applyBorder="0" applyAlignment="0" applyProtection="0"/>
    <xf numFmtId="212" fontId="66" fillId="0" borderId="0" applyNumberForma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212" fontId="68" fillId="0" borderId="0"/>
    <xf numFmtId="164" fontId="18" fillId="0" borderId="0" applyFont="0" applyFill="0" applyBorder="0" applyAlignment="0" applyProtection="0"/>
    <xf numFmtId="9" fontId="6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212" fontId="69" fillId="0" borderId="0" applyNumberFormat="0" applyFill="0" applyBorder="0" applyAlignment="0" applyProtection="0">
      <alignment vertical="top"/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212" fontId="69" fillId="0" borderId="0" applyNumberFormat="0" applyFill="0" applyBorder="0" applyAlignment="0" applyProtection="0">
      <alignment vertical="top"/>
      <protection locked="0"/>
    </xf>
    <xf numFmtId="164" fontId="18" fillId="0" borderId="0" applyFont="0" applyFill="0" applyBorder="0" applyAlignment="0" applyProtection="0"/>
    <xf numFmtId="212" fontId="69" fillId="0" borderId="0" applyNumberFormat="0" applyFill="0" applyBorder="0" applyAlignment="0" applyProtection="0">
      <alignment vertical="top"/>
      <protection locked="0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212" fontId="18" fillId="0" borderId="0"/>
    <xf numFmtId="212" fontId="18" fillId="0" borderId="0"/>
    <xf numFmtId="212" fontId="33" fillId="0" borderId="0">
      <alignment vertical="top"/>
    </xf>
    <xf numFmtId="3" fontId="70" fillId="0" borderId="0" applyFont="0" applyFill="0" applyBorder="0" applyAlignment="0" applyProtection="0"/>
    <xf numFmtId="195" fontId="70" fillId="0" borderId="0" applyFont="0" applyFill="0" applyBorder="0" applyAlignment="0" applyProtection="0"/>
    <xf numFmtId="212" fontId="70" fillId="0" borderId="0" applyFont="0" applyFill="0" applyBorder="0" applyAlignment="0" applyProtection="0"/>
    <xf numFmtId="2" fontId="70" fillId="0" borderId="0" applyFont="0" applyFill="0" applyBorder="0" applyAlignment="0" applyProtection="0"/>
    <xf numFmtId="212" fontId="71" fillId="0" borderId="0" applyNumberFormat="0" applyFill="0" applyBorder="0" applyAlignment="0" applyProtection="0"/>
    <xf numFmtId="212" fontId="72" fillId="0" borderId="0" applyNumberFormat="0" applyFill="0" applyBorder="0" applyAlignment="0" applyProtection="0"/>
    <xf numFmtId="212" fontId="70" fillId="0" borderId="23" applyNumberFormat="0" applyFont="0" applyFill="0" applyAlignment="0" applyProtection="0"/>
    <xf numFmtId="212" fontId="43" fillId="0" borderId="0"/>
    <xf numFmtId="212" fontId="68" fillId="54" borderId="16" applyNumberFormat="0" applyFont="0" applyAlignment="0" applyProtection="0"/>
    <xf numFmtId="212" fontId="33" fillId="33" borderId="0" applyNumberFormat="0" applyBorder="0" applyAlignment="0" applyProtection="0"/>
    <xf numFmtId="212" fontId="33" fillId="34" borderId="0" applyNumberFormat="0" applyBorder="0" applyAlignment="0" applyProtection="0"/>
    <xf numFmtId="212" fontId="33" fillId="35" borderId="0" applyNumberFormat="0" applyBorder="0" applyAlignment="0" applyProtection="0"/>
    <xf numFmtId="212" fontId="33" fillId="36" borderId="0" applyNumberFormat="0" applyBorder="0" applyAlignment="0" applyProtection="0"/>
    <xf numFmtId="212" fontId="33" fillId="37" borderId="0" applyNumberFormat="0" applyBorder="0" applyAlignment="0" applyProtection="0"/>
    <xf numFmtId="212" fontId="33" fillId="38" borderId="0" applyNumberFormat="0" applyBorder="0" applyAlignment="0" applyProtection="0"/>
    <xf numFmtId="212" fontId="33" fillId="40" borderId="0" applyNumberFormat="0" applyBorder="0" applyAlignment="0" applyProtection="0"/>
    <xf numFmtId="212" fontId="33" fillId="41" borderId="0" applyNumberFormat="0" applyBorder="0" applyAlignment="0" applyProtection="0"/>
    <xf numFmtId="212" fontId="33" fillId="42" borderId="0" applyNumberFormat="0" applyBorder="0" applyAlignment="0" applyProtection="0"/>
    <xf numFmtId="212" fontId="33" fillId="36" borderId="0" applyNumberFormat="0" applyBorder="0" applyAlignment="0" applyProtection="0"/>
    <xf numFmtId="212" fontId="33" fillId="40" borderId="0" applyNumberFormat="0" applyBorder="0" applyAlignment="0" applyProtection="0"/>
    <xf numFmtId="212" fontId="33" fillId="43" borderId="0" applyNumberFormat="0" applyBorder="0" applyAlignment="0" applyProtection="0"/>
    <xf numFmtId="212" fontId="74" fillId="44" borderId="0" applyNumberFormat="0" applyBorder="0" applyAlignment="0" applyProtection="0"/>
    <xf numFmtId="212" fontId="74" fillId="41" borderId="0" applyNumberFormat="0" applyBorder="0" applyAlignment="0" applyProtection="0"/>
    <xf numFmtId="212" fontId="74" fillId="42" borderId="0" applyNumberFormat="0" applyBorder="0" applyAlignment="0" applyProtection="0"/>
    <xf numFmtId="212" fontId="74" fillId="45" borderId="0" applyNumberFormat="0" applyBorder="0" applyAlignment="0" applyProtection="0"/>
    <xf numFmtId="212" fontId="74" fillId="46" borderId="0" applyNumberFormat="0" applyBorder="0" applyAlignment="0" applyProtection="0"/>
    <xf numFmtId="212" fontId="74" fillId="47" borderId="0" applyNumberFormat="0" applyBorder="0" applyAlignment="0" applyProtection="0"/>
    <xf numFmtId="212" fontId="74" fillId="48" borderId="0" applyNumberFormat="0" applyBorder="0" applyAlignment="0" applyProtection="0"/>
    <xf numFmtId="212" fontId="74" fillId="49" borderId="0" applyNumberFormat="0" applyBorder="0" applyAlignment="0" applyProtection="0"/>
    <xf numFmtId="212" fontId="74" fillId="50" borderId="0" applyNumberFormat="0" applyBorder="0" applyAlignment="0" applyProtection="0"/>
    <xf numFmtId="212" fontId="74" fillId="45" borderId="0" applyNumberFormat="0" applyBorder="0" applyAlignment="0" applyProtection="0"/>
    <xf numFmtId="212" fontId="74" fillId="46" borderId="0" applyNumberFormat="0" applyBorder="0" applyAlignment="0" applyProtection="0"/>
    <xf numFmtId="212" fontId="74" fillId="51" borderId="0" applyNumberFormat="0" applyBorder="0" applyAlignment="0" applyProtection="0"/>
    <xf numFmtId="212" fontId="75" fillId="34" borderId="0" applyNumberFormat="0" applyBorder="0" applyAlignment="0" applyProtection="0"/>
    <xf numFmtId="212" fontId="76" fillId="39" borderId="10" applyNumberFormat="0" applyAlignment="0" applyProtection="0"/>
    <xf numFmtId="212" fontId="77" fillId="52" borderId="11" applyNumberFormat="0" applyAlignment="0" applyProtection="0"/>
    <xf numFmtId="164" fontId="88" fillId="0" borderId="0" applyFont="0" applyFill="0" applyBorder="0" applyAlignment="0" applyProtection="0"/>
    <xf numFmtId="212" fontId="18" fillId="0" borderId="0" applyFont="0" applyFill="0" applyBorder="0" applyAlignment="0" applyProtection="0"/>
    <xf numFmtId="212" fontId="78" fillId="0" borderId="0" applyNumberFormat="0" applyFill="0" applyBorder="0" applyAlignment="0" applyProtection="0"/>
    <xf numFmtId="212" fontId="79" fillId="35" borderId="0" applyNumberFormat="0" applyBorder="0" applyAlignment="0" applyProtection="0"/>
    <xf numFmtId="212" fontId="80" fillId="0" borderId="12" applyNumberFormat="0" applyFill="0" applyAlignment="0" applyProtection="0"/>
    <xf numFmtId="212" fontId="81" fillId="0" borderId="13" applyNumberFormat="0" applyFill="0" applyAlignment="0" applyProtection="0"/>
    <xf numFmtId="212" fontId="82" fillId="0" borderId="14" applyNumberFormat="0" applyFill="0" applyAlignment="0" applyProtection="0"/>
    <xf numFmtId="212" fontId="82" fillId="0" borderId="0" applyNumberFormat="0" applyFill="0" applyBorder="0" applyAlignment="0" applyProtection="0"/>
    <xf numFmtId="212" fontId="89" fillId="0" borderId="0" applyNumberFormat="0" applyFill="0" applyBorder="0" applyAlignment="0" applyProtection="0">
      <alignment vertical="top"/>
      <protection locked="0"/>
    </xf>
    <xf numFmtId="212" fontId="83" fillId="38" borderId="10" applyNumberFormat="0" applyAlignment="0" applyProtection="0"/>
    <xf numFmtId="212" fontId="84" fillId="0" borderId="15" applyNumberFormat="0" applyFill="0" applyAlignment="0" applyProtection="0"/>
    <xf numFmtId="212" fontId="85" fillId="53" borderId="0" applyNumberFormat="0" applyBorder="0" applyAlignment="0" applyProtection="0"/>
    <xf numFmtId="212" fontId="88" fillId="0" borderId="0"/>
    <xf numFmtId="212" fontId="18" fillId="0" borderId="0"/>
    <xf numFmtId="212" fontId="18" fillId="0" borderId="0"/>
    <xf numFmtId="212" fontId="90" fillId="0" borderId="0"/>
    <xf numFmtId="212" fontId="88" fillId="0" borderId="0"/>
    <xf numFmtId="212" fontId="88" fillId="0" borderId="0"/>
    <xf numFmtId="212" fontId="88" fillId="0" borderId="0"/>
    <xf numFmtId="212" fontId="88" fillId="0" borderId="0"/>
    <xf numFmtId="212" fontId="88" fillId="0" borderId="0"/>
    <xf numFmtId="212" fontId="88" fillId="0" borderId="0"/>
    <xf numFmtId="212" fontId="88" fillId="0" borderId="0"/>
    <xf numFmtId="212" fontId="88" fillId="0" borderId="0"/>
    <xf numFmtId="212" fontId="88" fillId="0" borderId="0"/>
    <xf numFmtId="212" fontId="88" fillId="0" borderId="0"/>
    <xf numFmtId="212" fontId="88" fillId="0" borderId="0"/>
    <xf numFmtId="212" fontId="33" fillId="54" borderId="16" applyNumberFormat="0" applyFont="0" applyAlignment="0" applyProtection="0"/>
    <xf numFmtId="212" fontId="86" fillId="39" borderId="17" applyNumberFormat="0" applyAlignment="0" applyProtection="0"/>
    <xf numFmtId="212" fontId="73" fillId="0" borderId="19" applyNumberFormat="0" applyFill="0" applyAlignment="0" applyProtection="0"/>
    <xf numFmtId="212" fontId="87" fillId="0" borderId="0" applyNumberFormat="0" applyFill="0" applyBorder="0" applyAlignment="0" applyProtection="0"/>
    <xf numFmtId="212" fontId="91" fillId="0" borderId="0"/>
    <xf numFmtId="201" fontId="92" fillId="0" borderId="0" applyFont="0" applyFill="0" applyBorder="0" applyAlignment="0" applyProtection="0">
      <alignment horizontal="left"/>
      <protection locked="0"/>
    </xf>
    <xf numFmtId="202" fontId="92" fillId="0" borderId="0" applyFont="0" applyFill="0" applyBorder="0" applyAlignment="0" applyProtection="0">
      <protection locked="0"/>
    </xf>
    <xf numFmtId="203" fontId="92" fillId="0" borderId="0" applyFont="0" applyFill="0" applyBorder="0" applyAlignment="0" applyProtection="0">
      <protection locked="0"/>
    </xf>
    <xf numFmtId="204" fontId="92" fillId="0" borderId="0" applyFont="0" applyFill="0" applyBorder="0" applyAlignment="0" applyProtection="0"/>
    <xf numFmtId="212" fontId="91" fillId="55" borderId="40">
      <alignment vertical="top" wrapText="1"/>
      <protection locked="0"/>
    </xf>
    <xf numFmtId="212" fontId="93" fillId="55" borderId="40" applyNumberFormat="0">
      <protection locked="0"/>
    </xf>
    <xf numFmtId="212" fontId="91" fillId="58" borderId="0"/>
    <xf numFmtId="212" fontId="92" fillId="0" borderId="0" applyFont="0" applyFill="0" applyBorder="0" applyProtection="0">
      <protection locked="0"/>
    </xf>
    <xf numFmtId="212" fontId="92" fillId="0" borderId="0" applyFont="0" applyFill="0" applyBorder="0" applyAlignment="0" applyProtection="0">
      <alignment wrapText="1"/>
    </xf>
    <xf numFmtId="212" fontId="92" fillId="0" borderId="0" applyFont="0" applyFill="0" applyBorder="0" applyAlignment="0" applyProtection="0">
      <protection locked="0"/>
    </xf>
    <xf numFmtId="212" fontId="94" fillId="0" borderId="40" applyFill="0">
      <alignment horizontal="center"/>
    </xf>
    <xf numFmtId="212" fontId="94" fillId="0" borderId="40" applyFill="0">
      <alignment horizontal="center" vertical="center"/>
    </xf>
    <xf numFmtId="49" fontId="95" fillId="0" borderId="0" applyFill="0" applyProtection="0">
      <alignment horizontal="left" indent="1"/>
    </xf>
    <xf numFmtId="212" fontId="96" fillId="0" borderId="0" applyNumberFormat="0" applyFill="0" applyBorder="0" applyAlignment="0" applyProtection="0">
      <alignment vertical="top"/>
      <protection locked="0"/>
    </xf>
    <xf numFmtId="212" fontId="97" fillId="0" borderId="0" applyNumberFormat="0" applyFill="0" applyAlignment="0"/>
    <xf numFmtId="212" fontId="97" fillId="0" borderId="0" applyNumberFormat="0" applyFill="0" applyAlignment="0" applyProtection="0"/>
    <xf numFmtId="212" fontId="98" fillId="0" borderId="0" applyNumberFormat="0" applyFill="0" applyAlignment="0"/>
    <xf numFmtId="49" fontId="99" fillId="57" borderId="0" applyFill="0" applyBorder="0">
      <alignment horizontal="left"/>
    </xf>
    <xf numFmtId="212" fontId="92" fillId="57" borderId="0" applyFill="0" applyBorder="0"/>
    <xf numFmtId="212" fontId="91" fillId="58" borderId="41" applyNumberFormat="0">
      <alignment horizontal="left"/>
    </xf>
    <xf numFmtId="212" fontId="100" fillId="0" borderId="0" applyNumberFormat="0" applyFill="0" applyBorder="0" applyAlignment="0" applyProtection="0">
      <alignment vertical="top"/>
      <protection locked="0"/>
    </xf>
    <xf numFmtId="49" fontId="101" fillId="0" borderId="0" applyFill="0" applyBorder="0">
      <alignment horizontal="right" indent="1"/>
    </xf>
    <xf numFmtId="49" fontId="102" fillId="0" borderId="0" applyFill="0" applyBorder="0">
      <alignment horizontal="center" wrapText="1"/>
    </xf>
    <xf numFmtId="212" fontId="102" fillId="0" borderId="0" applyFill="0" applyBorder="0">
      <alignment horizontal="centerContinuous" wrapText="1"/>
    </xf>
    <xf numFmtId="212" fontId="102" fillId="0" borderId="0" applyFill="0" applyBorder="0">
      <alignment horizontal="center" wrapText="1"/>
    </xf>
    <xf numFmtId="49" fontId="91" fillId="0" borderId="0" applyFill="0" applyBorder="0">
      <alignment horizontal="left" indent="1"/>
    </xf>
    <xf numFmtId="49" fontId="91" fillId="0" borderId="0" applyFill="0" applyBorder="0">
      <alignment horizontal="left" wrapText="1" indent="2"/>
    </xf>
    <xf numFmtId="212" fontId="91" fillId="58" borderId="40" applyNumberFormat="0">
      <alignment horizontal="left"/>
    </xf>
    <xf numFmtId="49" fontId="103" fillId="58" borderId="42">
      <alignment horizontal="right" indent="2"/>
    </xf>
    <xf numFmtId="9" fontId="92" fillId="0" borderId="0" applyFont="0" applyFill="0" applyBorder="0" applyAlignment="0" applyProtection="0"/>
    <xf numFmtId="199" fontId="92" fillId="0" borderId="0" applyFont="0" applyFill="0" applyBorder="0" applyAlignment="0" applyProtection="0">
      <protection locked="0"/>
    </xf>
    <xf numFmtId="200" fontId="92" fillId="0" borderId="0" applyFont="0" applyFill="0" applyBorder="0" applyAlignment="0" applyProtection="0">
      <protection locked="0"/>
    </xf>
    <xf numFmtId="198" fontId="92" fillId="0" borderId="0" applyFont="0" applyFill="0" applyBorder="0" applyAlignment="0" applyProtection="0">
      <protection locked="0"/>
    </xf>
    <xf numFmtId="212" fontId="91" fillId="58" borderId="43" applyNumberFormat="0">
      <alignment horizontal="left"/>
    </xf>
    <xf numFmtId="196" fontId="92" fillId="0" borderId="0" applyFont="0" applyFill="0" applyBorder="0" applyAlignment="0" applyProtection="0">
      <alignment horizontal="left"/>
      <protection locked="0"/>
    </xf>
    <xf numFmtId="205" fontId="92" fillId="0" borderId="0" applyFont="0" applyFill="0" applyBorder="0">
      <alignment horizontal="left"/>
      <protection locked="0"/>
    </xf>
    <xf numFmtId="212" fontId="92" fillId="0" borderId="0" applyFont="0" applyFill="0" applyBorder="0" applyAlignment="0" applyProtection="0">
      <alignment horizontal="left"/>
      <protection locked="0"/>
    </xf>
    <xf numFmtId="212" fontId="92" fillId="59" borderId="0"/>
    <xf numFmtId="197" fontId="92" fillId="0" borderId="0" applyFont="0" applyFill="0" applyBorder="0" applyAlignment="0" applyProtection="0">
      <alignment horizontal="left"/>
      <protection locked="0"/>
    </xf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201" fontId="18" fillId="0" borderId="36" applyFont="0" applyFill="0" applyBorder="0" applyAlignment="0" applyProtection="0">
      <alignment horizontal="left"/>
      <protection locked="0"/>
    </xf>
    <xf numFmtId="207" fontId="18" fillId="58" borderId="36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212" fontId="91" fillId="55" borderId="40">
      <alignment horizontal="left" vertical="top" wrapText="1" indent="1"/>
      <protection locked="0"/>
    </xf>
    <xf numFmtId="212" fontId="18" fillId="57" borderId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212" fontId="92" fillId="0" borderId="0" applyFont="0" applyFill="0" applyBorder="0" applyAlignment="0" applyProtection="0">
      <protection locked="0"/>
    </xf>
    <xf numFmtId="9" fontId="92" fillId="0" borderId="0" applyFont="0" applyFill="0" applyBorder="0" applyAlignment="0" applyProtection="0"/>
    <xf numFmtId="212" fontId="106" fillId="60" borderId="36" applyFill="0">
      <alignment horizontal="center"/>
    </xf>
    <xf numFmtId="212" fontId="106" fillId="60" borderId="36" applyFill="0">
      <alignment horizontal="center" vertical="center"/>
    </xf>
    <xf numFmtId="9" fontId="92" fillId="0" borderId="0" applyFont="0" applyFill="0" applyBorder="0" applyAlignment="0" applyProtection="0"/>
    <xf numFmtId="49" fontId="104" fillId="57" borderId="0" applyFill="0">
      <alignment horizontal="left" indent="1"/>
    </xf>
    <xf numFmtId="212" fontId="96" fillId="0" borderId="0" applyNumberFormat="0" applyFill="0" applyBorder="0" applyAlignment="0" applyProtection="0">
      <alignment vertical="top"/>
      <protection locked="0"/>
    </xf>
    <xf numFmtId="212" fontId="39" fillId="0" borderId="0" applyNumberFormat="0" applyFill="0" applyAlignment="0"/>
    <xf numFmtId="212" fontId="39" fillId="60" borderId="0" applyNumberFormat="0" applyFill="0" applyAlignment="0"/>
    <xf numFmtId="212" fontId="92" fillId="57" borderId="0" applyFill="0" applyBorder="0">
      <alignment wrapText="1"/>
    </xf>
    <xf numFmtId="206" fontId="91" fillId="58" borderId="41" applyNumberFormat="0">
      <alignment horizontal="left"/>
    </xf>
    <xf numFmtId="212" fontId="91" fillId="58" borderId="41" applyNumberFormat="0" applyFill="0">
      <alignment horizontal="left"/>
    </xf>
    <xf numFmtId="212" fontId="100" fillId="0" borderId="0" applyNumberFormat="0" applyFill="0" applyBorder="0" applyAlignment="0" applyProtection="0">
      <alignment vertical="top"/>
      <protection locked="0"/>
    </xf>
    <xf numFmtId="212" fontId="59" fillId="0" borderId="0" applyNumberFormat="0" applyFill="0" applyBorder="0" applyAlignment="0" applyProtection="0">
      <alignment vertical="top"/>
      <protection locked="0"/>
    </xf>
    <xf numFmtId="9" fontId="92" fillId="0" borderId="0" applyFont="0" applyFill="0" applyBorder="0" applyAlignment="0" applyProtection="0"/>
    <xf numFmtId="49" fontId="105" fillId="60" borderId="0" applyFill="0" applyBorder="0">
      <alignment horizontal="right" indent="1"/>
    </xf>
    <xf numFmtId="9" fontId="92" fillId="0" borderId="0" applyFont="0" applyFill="0" applyBorder="0" applyAlignment="0" applyProtection="0"/>
    <xf numFmtId="49" fontId="38" fillId="57" borderId="0" applyFill="0" applyBorder="0">
      <alignment horizontal="center" wrapText="1"/>
    </xf>
    <xf numFmtId="9" fontId="92" fillId="0" borderId="0" applyFont="0" applyFill="0" applyBorder="0" applyAlignment="0" applyProtection="0"/>
    <xf numFmtId="212" fontId="38" fillId="57" borderId="0" applyFill="0" applyBorder="0">
      <alignment horizontal="centerContinuous" wrapText="1"/>
    </xf>
    <xf numFmtId="206" fontId="91" fillId="58" borderId="40" applyNumberFormat="0">
      <alignment horizontal="left"/>
    </xf>
    <xf numFmtId="212" fontId="91" fillId="58" borderId="40" applyNumberFormat="0">
      <alignment horizontal="left"/>
    </xf>
    <xf numFmtId="212" fontId="18" fillId="0" borderId="0"/>
    <xf numFmtId="49" fontId="40" fillId="57" borderId="22">
      <alignment horizontal="right" indent="2"/>
    </xf>
    <xf numFmtId="49" fontId="103" fillId="58" borderId="42" applyFill="0">
      <alignment horizontal="right" indent="2"/>
    </xf>
    <xf numFmtId="9" fontId="92" fillId="0" borderId="0" applyFont="0" applyFill="0" applyBorder="0" applyAlignment="0" applyProtection="0"/>
    <xf numFmtId="212" fontId="91" fillId="58" borderId="43" applyNumberFormat="0" applyFill="0">
      <alignment horizontal="left"/>
    </xf>
    <xf numFmtId="196" fontId="107" fillId="0" borderId="36" applyFont="0" applyFill="0" applyBorder="0" applyAlignment="0" applyProtection="0">
      <alignment horizontal="left"/>
      <protection locked="0"/>
    </xf>
    <xf numFmtId="205" fontId="107" fillId="0" borderId="36">
      <alignment horizontal="left"/>
      <protection locked="0"/>
    </xf>
    <xf numFmtId="212" fontId="92" fillId="0" borderId="0" applyFont="0" applyFill="0" applyBorder="0" applyAlignment="0" applyProtection="0">
      <alignment horizontal="left"/>
      <protection locked="0"/>
    </xf>
    <xf numFmtId="212" fontId="108" fillId="0" borderId="0" applyNumberFormat="0" applyFill="0" applyBorder="0" applyAlignment="0" applyProtection="0"/>
    <xf numFmtId="212" fontId="18" fillId="60" borderId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12" fontId="24" fillId="0" borderId="0" applyNumberFormat="0" applyFill="0" applyBorder="0" applyAlignment="0" applyProtection="0"/>
    <xf numFmtId="168" fontId="109" fillId="0" borderId="0" applyNumberFormat="0" applyFill="0" applyBorder="0" applyAlignment="0" applyProtection="0">
      <alignment vertical="top"/>
      <protection locked="0"/>
    </xf>
    <xf numFmtId="9" fontId="18" fillId="0" borderId="0" applyFont="0" applyFill="0" applyBorder="0" applyAlignment="0" applyProtection="0"/>
    <xf numFmtId="164" fontId="33" fillId="0" borderId="18" applyFont="0" applyAlignment="0">
      <alignment vertical="top" wrapText="1"/>
    </xf>
    <xf numFmtId="9" fontId="68" fillId="0" borderId="0" applyFont="0" applyFill="0" applyBorder="0" applyAlignment="0" applyProtection="0"/>
    <xf numFmtId="164" fontId="68" fillId="0" borderId="0" applyFont="0" applyFill="0" applyBorder="0" applyAlignment="0" applyProtection="0"/>
    <xf numFmtId="212" fontId="24" fillId="0" borderId="0" applyNumberFormat="0" applyFill="0" applyBorder="0" applyAlignment="0" applyProtection="0"/>
    <xf numFmtId="212" fontId="24" fillId="0" borderId="0" applyNumberFormat="0" applyFill="0" applyBorder="0" applyAlignment="0" applyProtection="0"/>
    <xf numFmtId="164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212" fontId="88" fillId="0" borderId="0"/>
    <xf numFmtId="212" fontId="18" fillId="0" borderId="0" applyFont="0" applyFill="0" applyBorder="0" applyAlignment="0" applyProtection="0"/>
    <xf numFmtId="212" fontId="2" fillId="0" borderId="0"/>
    <xf numFmtId="212" fontId="112" fillId="0" borderId="0"/>
    <xf numFmtId="212" fontId="18" fillId="0" borderId="0"/>
    <xf numFmtId="212" fontId="111" fillId="0" borderId="31">
      <alignment horizontal="center" vertical="center"/>
    </xf>
    <xf numFmtId="208" fontId="113" fillId="0" borderId="0"/>
    <xf numFmtId="209" fontId="114" fillId="0" borderId="0">
      <alignment horizontal="left"/>
    </xf>
    <xf numFmtId="194" fontId="111" fillId="0" borderId="0" applyBorder="0"/>
    <xf numFmtId="194" fontId="111" fillId="0" borderId="44"/>
    <xf numFmtId="212" fontId="18" fillId="0" borderId="0" applyFont="0" applyFill="0" applyBorder="0" applyAlignment="0" applyProtection="0"/>
    <xf numFmtId="210" fontId="42" fillId="0" borderId="0"/>
    <xf numFmtId="212" fontId="113" fillId="0" borderId="0"/>
    <xf numFmtId="212" fontId="111" fillId="0" borderId="0"/>
    <xf numFmtId="212" fontId="111" fillId="0" borderId="0"/>
    <xf numFmtId="212" fontId="18" fillId="0" borderId="0"/>
    <xf numFmtId="212" fontId="18" fillId="0" borderId="0"/>
    <xf numFmtId="212" fontId="2" fillId="0" borderId="0"/>
    <xf numFmtId="212" fontId="115" fillId="0" borderId="0">
      <alignment horizontal="left"/>
    </xf>
    <xf numFmtId="212" fontId="111" fillId="0" borderId="21">
      <alignment horizontal="center" vertical="center"/>
    </xf>
    <xf numFmtId="212" fontId="18" fillId="0" borderId="0" applyNumberFormat="0" applyFill="0" applyBorder="0" applyAlignment="0" applyProtection="0"/>
    <xf numFmtId="212" fontId="116" fillId="0" borderId="0"/>
    <xf numFmtId="212" fontId="117" fillId="0" borderId="0"/>
    <xf numFmtId="168" fontId="109" fillId="0" borderId="0" applyNumberFormat="0" applyFill="0" applyBorder="0" applyAlignment="0" applyProtection="0">
      <alignment vertical="top"/>
      <protection locked="0"/>
    </xf>
    <xf numFmtId="212" fontId="111" fillId="0" borderId="46">
      <alignment horizontal="center" vertical="center"/>
    </xf>
    <xf numFmtId="212" fontId="18" fillId="0" borderId="0"/>
    <xf numFmtId="212" fontId="69" fillId="0" borderId="0" applyNumberFormat="0" applyFill="0" applyBorder="0" applyAlignment="0" applyProtection="0">
      <alignment vertical="top"/>
      <protection locked="0"/>
    </xf>
    <xf numFmtId="212" fontId="18" fillId="0" borderId="0"/>
    <xf numFmtId="212" fontId="19" fillId="33" borderId="0" applyNumberFormat="0" applyBorder="0" applyAlignment="0" applyProtection="0"/>
    <xf numFmtId="212" fontId="19" fillId="34" borderId="0" applyNumberFormat="0" applyBorder="0" applyAlignment="0" applyProtection="0"/>
    <xf numFmtId="212" fontId="19" fillId="35" borderId="0" applyNumberFormat="0" applyBorder="0" applyAlignment="0" applyProtection="0"/>
    <xf numFmtId="212" fontId="19" fillId="36" borderId="0" applyNumberFormat="0" applyBorder="0" applyAlignment="0" applyProtection="0"/>
    <xf numFmtId="212" fontId="19" fillId="37" borderId="0" applyNumberFormat="0" applyBorder="0" applyAlignment="0" applyProtection="0"/>
    <xf numFmtId="212" fontId="19" fillId="38" borderId="0" applyNumberFormat="0" applyBorder="0" applyAlignment="0" applyProtection="0"/>
    <xf numFmtId="212" fontId="19" fillId="40" borderId="0" applyNumberFormat="0" applyBorder="0" applyAlignment="0" applyProtection="0"/>
    <xf numFmtId="212" fontId="19" fillId="41" borderId="0" applyNumberFormat="0" applyBorder="0" applyAlignment="0" applyProtection="0"/>
    <xf numFmtId="212" fontId="19" fillId="42" borderId="0" applyNumberFormat="0" applyBorder="0" applyAlignment="0" applyProtection="0"/>
    <xf numFmtId="212" fontId="19" fillId="36" borderId="0" applyNumberFormat="0" applyBorder="0" applyAlignment="0" applyProtection="0"/>
    <xf numFmtId="212" fontId="19" fillId="40" borderId="0" applyNumberFormat="0" applyBorder="0" applyAlignment="0" applyProtection="0"/>
    <xf numFmtId="212" fontId="19" fillId="43" borderId="0" applyNumberFormat="0" applyBorder="0" applyAlignment="0" applyProtection="0"/>
    <xf numFmtId="212" fontId="20" fillId="44" borderId="0" applyNumberFormat="0" applyBorder="0" applyAlignment="0" applyProtection="0"/>
    <xf numFmtId="212" fontId="20" fillId="41" borderId="0" applyNumberFormat="0" applyBorder="0" applyAlignment="0" applyProtection="0"/>
    <xf numFmtId="212" fontId="20" fillId="42" borderId="0" applyNumberFormat="0" applyBorder="0" applyAlignment="0" applyProtection="0"/>
    <xf numFmtId="212" fontId="20" fillId="45" borderId="0" applyNumberFormat="0" applyBorder="0" applyAlignment="0" applyProtection="0"/>
    <xf numFmtId="212" fontId="20" fillId="46" borderId="0" applyNumberFormat="0" applyBorder="0" applyAlignment="0" applyProtection="0"/>
    <xf numFmtId="212" fontId="20" fillId="47" borderId="0" applyNumberFormat="0" applyBorder="0" applyAlignment="0" applyProtection="0"/>
    <xf numFmtId="212" fontId="20" fillId="48" borderId="0" applyNumberFormat="0" applyBorder="0" applyAlignment="0" applyProtection="0"/>
    <xf numFmtId="212" fontId="20" fillId="49" borderId="0" applyNumberFormat="0" applyBorder="0" applyAlignment="0" applyProtection="0"/>
    <xf numFmtId="212" fontId="20" fillId="50" borderId="0" applyNumberFormat="0" applyBorder="0" applyAlignment="0" applyProtection="0"/>
    <xf numFmtId="212" fontId="20" fillId="45" borderId="0" applyNumberFormat="0" applyBorder="0" applyAlignment="0" applyProtection="0"/>
    <xf numFmtId="212" fontId="20" fillId="46" borderId="0" applyNumberFormat="0" applyBorder="0" applyAlignment="0" applyProtection="0"/>
    <xf numFmtId="212" fontId="20" fillId="51" borderId="0" applyNumberFormat="0" applyBorder="0" applyAlignment="0" applyProtection="0"/>
    <xf numFmtId="212" fontId="21" fillId="34" borderId="0" applyNumberFormat="0" applyBorder="0" applyAlignment="0" applyProtection="0"/>
    <xf numFmtId="212" fontId="22" fillId="39" borderId="10" applyNumberFormat="0" applyAlignment="0" applyProtection="0"/>
    <xf numFmtId="212" fontId="23" fillId="52" borderId="11" applyNumberFormat="0" applyAlignment="0" applyProtection="0"/>
    <xf numFmtId="212" fontId="24" fillId="0" borderId="0" applyNumberFormat="0" applyFill="0" applyBorder="0" applyAlignment="0" applyProtection="0"/>
    <xf numFmtId="212" fontId="25" fillId="35" borderId="0" applyNumberFormat="0" applyBorder="0" applyAlignment="0" applyProtection="0"/>
    <xf numFmtId="212" fontId="29" fillId="38" borderId="10" applyNumberFormat="0" applyAlignment="0" applyProtection="0"/>
    <xf numFmtId="212" fontId="31" fillId="53" borderId="0" applyNumberFormat="0" applyBorder="0" applyAlignment="0" applyProtection="0"/>
    <xf numFmtId="212" fontId="18" fillId="54" borderId="16" applyNumberFormat="0" applyFont="0" applyAlignment="0" applyProtection="0"/>
    <xf numFmtId="212" fontId="32" fillId="39" borderId="17" applyNumberFormat="0" applyAlignment="0" applyProtection="0"/>
    <xf numFmtId="212" fontId="35" fillId="0" borderId="19" applyNumberFormat="0" applyFill="0" applyAlignment="0" applyProtection="0"/>
    <xf numFmtId="212" fontId="36" fillId="0" borderId="0" applyNumberFormat="0" applyFill="0" applyBorder="0" applyAlignment="0" applyProtection="0"/>
    <xf numFmtId="212" fontId="118" fillId="0" borderId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212" fontId="18" fillId="0" borderId="0"/>
    <xf numFmtId="164" fontId="118" fillId="0" borderId="0" applyFont="0" applyFill="0" applyBorder="0" applyAlignment="0" applyProtection="0"/>
    <xf numFmtId="212" fontId="118" fillId="0" borderId="0"/>
    <xf numFmtId="212" fontId="118" fillId="0" borderId="0"/>
    <xf numFmtId="212" fontId="118" fillId="0" borderId="0"/>
    <xf numFmtId="212" fontId="118" fillId="0" borderId="0"/>
    <xf numFmtId="212" fontId="118" fillId="0" borderId="0"/>
    <xf numFmtId="212" fontId="118" fillId="0" borderId="0"/>
    <xf numFmtId="212" fontId="118" fillId="0" borderId="0"/>
    <xf numFmtId="212" fontId="118" fillId="0" borderId="0"/>
    <xf numFmtId="212" fontId="24" fillId="0" borderId="0" applyNumberFormat="0" applyFill="0" applyBorder="0" applyAlignment="0" applyProtection="0"/>
    <xf numFmtId="212" fontId="22" fillId="39" borderId="47" applyNumberFormat="0" applyAlignment="0" applyProtection="0"/>
    <xf numFmtId="212" fontId="24" fillId="0" borderId="0" applyNumberFormat="0" applyFill="0" applyBorder="0" applyAlignment="0" applyProtection="0"/>
    <xf numFmtId="212" fontId="29" fillId="38" borderId="47" applyNumberFormat="0" applyAlignment="0" applyProtection="0"/>
    <xf numFmtId="212" fontId="18" fillId="54" borderId="48" applyNumberFormat="0" applyFont="0" applyAlignment="0" applyProtection="0"/>
    <xf numFmtId="212" fontId="32" fillId="39" borderId="49" applyNumberFormat="0" applyAlignment="0" applyProtection="0"/>
    <xf numFmtId="212" fontId="35" fillId="0" borderId="50" applyNumberFormat="0" applyFill="0" applyAlignment="0" applyProtection="0"/>
    <xf numFmtId="212" fontId="68" fillId="0" borderId="0"/>
    <xf numFmtId="164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212" fontId="6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68" fillId="0" borderId="0" applyFont="0" applyFill="0" applyBorder="0" applyAlignment="0" applyProtection="0"/>
    <xf numFmtId="212" fontId="6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6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212" fontId="33" fillId="0" borderId="0"/>
    <xf numFmtId="212" fontId="92" fillId="0" borderId="0" applyFont="0" applyFill="0" applyBorder="0" applyProtection="0">
      <protection locked="0"/>
    </xf>
    <xf numFmtId="49" fontId="95" fillId="0" borderId="0" applyFill="0" applyProtection="0">
      <alignment horizontal="left" indent="1"/>
    </xf>
    <xf numFmtId="201" fontId="18" fillId="0" borderId="45" applyFont="0" applyFill="0" applyBorder="0" applyAlignment="0" applyProtection="0">
      <alignment horizontal="left"/>
      <protection locked="0"/>
    </xf>
    <xf numFmtId="207" fontId="18" fillId="58" borderId="45" applyFont="0" applyFill="0" applyBorder="0" applyAlignment="0" applyProtection="0"/>
    <xf numFmtId="207" fontId="18" fillId="58" borderId="58" applyFont="0" applyFill="0" applyBorder="0" applyAlignment="0" applyProtection="0"/>
    <xf numFmtId="212" fontId="106" fillId="60" borderId="45" applyFill="0">
      <alignment horizontal="center"/>
    </xf>
    <xf numFmtId="212" fontId="106" fillId="60" borderId="45" applyFill="0">
      <alignment horizontal="center" vertical="center"/>
    </xf>
    <xf numFmtId="49" fontId="95" fillId="0" borderId="0" applyFill="0" applyProtection="0">
      <alignment horizontal="left" indent="1"/>
    </xf>
    <xf numFmtId="196" fontId="107" fillId="0" borderId="45" applyFont="0" applyFill="0" applyBorder="0" applyAlignment="0" applyProtection="0">
      <alignment horizontal="left"/>
      <protection locked="0"/>
    </xf>
    <xf numFmtId="205" fontId="107" fillId="0" borderId="45">
      <alignment horizontal="left"/>
      <protection locked="0"/>
    </xf>
    <xf numFmtId="212" fontId="92" fillId="0" borderId="0" applyFont="0" applyFill="0" applyBorder="0" applyProtection="0">
      <protection locked="0"/>
    </xf>
    <xf numFmtId="201" fontId="18" fillId="0" borderId="58" applyFont="0" applyFill="0" applyBorder="0" applyAlignment="0" applyProtection="0">
      <alignment horizontal="left"/>
      <protection locked="0"/>
    </xf>
    <xf numFmtId="212" fontId="106" fillId="60" borderId="58" applyFill="0">
      <alignment horizontal="center" vertical="center"/>
    </xf>
    <xf numFmtId="212" fontId="106" fillId="60" borderId="58" applyFill="0">
      <alignment horizontal="center"/>
    </xf>
    <xf numFmtId="212" fontId="22" fillId="39" borderId="54" applyNumberFormat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212" fontId="54" fillId="0" borderId="0" applyNumberFormat="0" applyFill="0" applyBorder="0" applyAlignment="0" applyProtection="0"/>
    <xf numFmtId="212" fontId="26" fillId="0" borderId="12" applyNumberFormat="0" applyFill="0" applyAlignment="0" applyProtection="0"/>
    <xf numFmtId="212" fontId="27" fillId="0" borderId="13" applyNumberFormat="0" applyFill="0" applyAlignment="0" applyProtection="0"/>
    <xf numFmtId="212" fontId="28" fillId="0" borderId="14" applyNumberFormat="0" applyFill="0" applyAlignment="0" applyProtection="0"/>
    <xf numFmtId="212" fontId="28" fillId="0" borderId="0" applyNumberFormat="0" applyFill="0" applyBorder="0" applyAlignment="0" applyProtection="0"/>
    <xf numFmtId="212" fontId="58" fillId="0" borderId="0" applyNumberFormat="0" applyFill="0" applyBorder="0" applyAlignment="0" applyProtection="0"/>
    <xf numFmtId="168" fontId="109" fillId="0" borderId="0" applyNumberFormat="0" applyFill="0" applyBorder="0" applyAlignment="0" applyProtection="0">
      <alignment vertical="top"/>
      <protection locked="0"/>
    </xf>
    <xf numFmtId="168" fontId="59" fillId="0" borderId="0" applyNumberFormat="0" applyFill="0" applyBorder="0" applyAlignment="0" applyProtection="0">
      <alignment vertical="top"/>
      <protection locked="0"/>
    </xf>
    <xf numFmtId="169" fontId="45" fillId="0" borderId="0" applyNumberFormat="0" applyFill="0" applyBorder="0" applyAlignment="0" applyProtection="0">
      <protection locked="0"/>
    </xf>
    <xf numFmtId="212" fontId="29" fillId="38" borderId="54" applyNumberFormat="0" applyAlignment="0" applyProtection="0"/>
    <xf numFmtId="168" fontId="19" fillId="0" borderId="0"/>
    <xf numFmtId="212" fontId="18" fillId="0" borderId="0" applyBorder="0"/>
    <xf numFmtId="212" fontId="19" fillId="0" borderId="0"/>
    <xf numFmtId="168" fontId="19" fillId="0" borderId="0"/>
    <xf numFmtId="168" fontId="19" fillId="0" borderId="0"/>
    <xf numFmtId="212" fontId="33" fillId="0" borderId="0"/>
    <xf numFmtId="205" fontId="107" fillId="0" borderId="58">
      <alignment horizontal="left"/>
      <protection locked="0"/>
    </xf>
    <xf numFmtId="212" fontId="18" fillId="54" borderId="55" applyNumberFormat="0" applyFont="0" applyAlignment="0" applyProtection="0"/>
    <xf numFmtId="212" fontId="32" fillId="39" borderId="56" applyNumberFormat="0" applyAlignment="0" applyProtection="0"/>
    <xf numFmtId="9" fontId="19" fillId="0" borderId="0" applyFont="0" applyFill="0" applyBorder="0" applyAlignment="0" applyProtection="0"/>
    <xf numFmtId="9" fontId="44" fillId="0" borderId="0" applyFont="0" applyFill="0" applyBorder="0" applyAlignment="0" applyProtection="0"/>
    <xf numFmtId="164" fontId="33" fillId="0" borderId="18" applyFont="0" applyAlignment="0">
      <alignment vertical="top" wrapText="1"/>
    </xf>
    <xf numFmtId="212" fontId="34" fillId="0" borderId="0" applyNumberFormat="0" applyFill="0" applyBorder="0" applyAlignment="0" applyProtection="0"/>
    <xf numFmtId="212" fontId="35" fillId="0" borderId="57" applyNumberFormat="0" applyFill="0" applyAlignment="0" applyProtection="0"/>
    <xf numFmtId="212" fontId="1" fillId="0" borderId="57" applyNumberFormat="0" applyFill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212" fontId="18" fillId="0" borderId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212" fontId="24" fillId="0" borderId="0" applyNumberFormat="0" applyFill="0" applyBorder="0" applyAlignment="0" applyProtection="0"/>
    <xf numFmtId="212" fontId="24" fillId="0" borderId="0" applyNumberFormat="0" applyFill="0" applyBorder="0" applyAlignment="0" applyProtection="0"/>
    <xf numFmtId="212" fontId="24" fillId="0" borderId="0" applyNumberFormat="0" applyFill="0" applyBorder="0" applyAlignment="0" applyProtection="0"/>
    <xf numFmtId="212" fontId="24" fillId="0" borderId="0" applyNumberForma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33" fillId="0" borderId="18" applyFont="0" applyAlignment="0">
      <alignment vertical="top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212" fontId="2" fillId="0" borderId="0"/>
    <xf numFmtId="212" fontId="91" fillId="0" borderId="0"/>
    <xf numFmtId="164" fontId="18" fillId="0" borderId="0" applyFont="0" applyFill="0" applyBorder="0" applyAlignment="0" applyProtection="0"/>
    <xf numFmtId="49" fontId="95" fillId="0" borderId="0" applyFill="0" applyProtection="0">
      <alignment horizontal="left" indent="1"/>
    </xf>
    <xf numFmtId="212" fontId="97" fillId="0" borderId="0" applyNumberFormat="0" applyFill="0" applyAlignment="0"/>
    <xf numFmtId="212" fontId="100" fillId="0" borderId="0" applyNumberFormat="0" applyFill="0" applyBorder="0" applyAlignment="0" applyProtection="0">
      <alignment vertical="top"/>
      <protection locked="0"/>
    </xf>
    <xf numFmtId="164" fontId="18" fillId="0" borderId="0" applyFont="0" applyFill="0" applyBorder="0" applyAlignment="0" applyProtection="0"/>
    <xf numFmtId="9" fontId="92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212" fontId="96" fillId="0" borderId="0" applyNumberFormat="0" applyFill="0" applyBorder="0" applyAlignment="0" applyProtection="0">
      <alignment vertical="top"/>
      <protection locked="0"/>
    </xf>
    <xf numFmtId="212" fontId="92" fillId="57" borderId="0" applyFill="0" applyBorder="0">
      <alignment wrapText="1"/>
    </xf>
    <xf numFmtId="164" fontId="18" fillId="0" borderId="0" applyFont="0" applyFill="0" applyBorder="0" applyAlignment="0" applyProtection="0"/>
    <xf numFmtId="9" fontId="92" fillId="0" borderId="0" applyFont="0" applyFill="0" applyBorder="0" applyAlignment="0" applyProtection="0"/>
    <xf numFmtId="212" fontId="108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212" fontId="30" fillId="0" borderId="15" applyNumberFormat="0" applyFill="0" applyAlignment="0" applyProtection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212" fontId="44" fillId="8" borderId="8" applyNumberFormat="0" applyFont="0" applyAlignment="0" applyProtection="0"/>
    <xf numFmtId="9" fontId="19" fillId="0" borderId="0" applyFont="0" applyFill="0" applyBorder="0" applyAlignment="0" applyProtection="0"/>
    <xf numFmtId="212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33" fillId="0" borderId="18" applyFont="0" applyAlignment="0">
      <alignment vertical="top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33" fillId="0" borderId="18" applyFont="0" applyAlignment="0">
      <alignment vertical="top" wrapText="1"/>
    </xf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33" fillId="0" borderId="18" applyFont="0" applyAlignment="0">
      <alignment vertical="top" wrapText="1"/>
    </xf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33" fillId="0" borderId="18" applyFont="0" applyAlignment="0">
      <alignment vertical="top" wrapText="1"/>
    </xf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33" fillId="0" borderId="18" applyFont="0" applyAlignment="0">
      <alignment vertical="top" wrapText="1"/>
    </xf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212" fontId="18" fillId="0" borderId="0"/>
    <xf numFmtId="196" fontId="107" fillId="0" borderId="58" applyFont="0" applyFill="0" applyBorder="0" applyAlignment="0" applyProtection="0">
      <alignment horizontal="left"/>
      <protection locked="0"/>
    </xf>
    <xf numFmtId="212" fontId="92" fillId="0" borderId="0" applyFont="0" applyFill="0" applyBorder="0" applyProtection="0">
      <protection locked="0"/>
    </xf>
    <xf numFmtId="49" fontId="95" fillId="0" borderId="0" applyFill="0" applyProtection="0">
      <alignment horizontal="left" indent="1"/>
    </xf>
    <xf numFmtId="212" fontId="92" fillId="0" borderId="0" applyFont="0" applyFill="0" applyBorder="0" applyProtection="0">
      <protection locked="0"/>
    </xf>
    <xf numFmtId="49" fontId="95" fillId="0" borderId="0" applyFill="0" applyProtection="0">
      <alignment horizontal="left" indent="1"/>
    </xf>
    <xf numFmtId="212" fontId="92" fillId="0" borderId="0" applyFont="0" applyFill="0" applyBorder="0" applyProtection="0">
      <protection locked="0"/>
    </xf>
    <xf numFmtId="212" fontId="92" fillId="0" borderId="0" applyFont="0" applyFill="0" applyBorder="0" applyProtection="0">
      <protection locked="0"/>
    </xf>
    <xf numFmtId="212" fontId="92" fillId="0" borderId="0" applyFont="0" applyFill="0" applyBorder="0" applyProtection="0">
      <protection locked="0"/>
    </xf>
    <xf numFmtId="164" fontId="2" fillId="0" borderId="0" applyFont="0" applyFill="0" applyBorder="0" applyAlignment="0" applyProtection="0"/>
    <xf numFmtId="212" fontId="18" fillId="0" borderId="0"/>
    <xf numFmtId="212" fontId="118" fillId="33" borderId="0" applyNumberFormat="0" applyBorder="0" applyAlignment="0" applyProtection="0"/>
    <xf numFmtId="212" fontId="118" fillId="34" borderId="0" applyNumberFormat="0" applyBorder="0" applyAlignment="0" applyProtection="0"/>
    <xf numFmtId="212" fontId="118" fillId="35" borderId="0" applyNumberFormat="0" applyBorder="0" applyAlignment="0" applyProtection="0"/>
    <xf numFmtId="212" fontId="118" fillId="36" borderId="0" applyNumberFormat="0" applyBorder="0" applyAlignment="0" applyProtection="0"/>
    <xf numFmtId="212" fontId="118" fillId="37" borderId="0" applyNumberFormat="0" applyBorder="0" applyAlignment="0" applyProtection="0"/>
    <xf numFmtId="212" fontId="118" fillId="38" borderId="0" applyNumberFormat="0" applyBorder="0" applyAlignment="0" applyProtection="0"/>
    <xf numFmtId="212" fontId="118" fillId="40" borderId="0" applyNumberFormat="0" applyBorder="0" applyAlignment="0" applyProtection="0"/>
    <xf numFmtId="212" fontId="118" fillId="41" borderId="0" applyNumberFormat="0" applyBorder="0" applyAlignment="0" applyProtection="0"/>
    <xf numFmtId="212" fontId="118" fillId="42" borderId="0" applyNumberFormat="0" applyBorder="0" applyAlignment="0" applyProtection="0"/>
    <xf numFmtId="212" fontId="118" fillId="36" borderId="0" applyNumberFormat="0" applyBorder="0" applyAlignment="0" applyProtection="0"/>
    <xf numFmtId="212" fontId="118" fillId="40" borderId="0" applyNumberFormat="0" applyBorder="0" applyAlignment="0" applyProtection="0"/>
    <xf numFmtId="212" fontId="118" fillId="43" borderId="0" applyNumberFormat="0" applyBorder="0" applyAlignment="0" applyProtection="0"/>
    <xf numFmtId="212" fontId="122" fillId="44" borderId="0" applyNumberFormat="0" applyBorder="0" applyAlignment="0" applyProtection="0"/>
    <xf numFmtId="212" fontId="122" fillId="41" borderId="0" applyNumberFormat="0" applyBorder="0" applyAlignment="0" applyProtection="0"/>
    <xf numFmtId="212" fontId="122" fillId="42" borderId="0" applyNumberFormat="0" applyBorder="0" applyAlignment="0" applyProtection="0"/>
    <xf numFmtId="212" fontId="122" fillId="45" borderId="0" applyNumberFormat="0" applyBorder="0" applyAlignment="0" applyProtection="0"/>
    <xf numFmtId="212" fontId="122" fillId="46" borderId="0" applyNumberFormat="0" applyBorder="0" applyAlignment="0" applyProtection="0"/>
    <xf numFmtId="212" fontId="122" fillId="47" borderId="0" applyNumberFormat="0" applyBorder="0" applyAlignment="0" applyProtection="0"/>
    <xf numFmtId="212" fontId="122" fillId="48" borderId="0" applyNumberFormat="0" applyBorder="0" applyAlignment="0" applyProtection="0"/>
    <xf numFmtId="212" fontId="122" fillId="49" borderId="0" applyNumberFormat="0" applyBorder="0" applyAlignment="0" applyProtection="0"/>
    <xf numFmtId="212" fontId="122" fillId="50" borderId="0" applyNumberFormat="0" applyBorder="0" applyAlignment="0" applyProtection="0"/>
    <xf numFmtId="212" fontId="122" fillId="45" borderId="0" applyNumberFormat="0" applyBorder="0" applyAlignment="0" applyProtection="0"/>
    <xf numFmtId="212" fontId="122" fillId="46" borderId="0" applyNumberFormat="0" applyBorder="0" applyAlignment="0" applyProtection="0"/>
    <xf numFmtId="212" fontId="122" fillId="51" borderId="0" applyNumberFormat="0" applyBorder="0" applyAlignment="0" applyProtection="0"/>
    <xf numFmtId="212" fontId="123" fillId="34" borderId="0" applyNumberFormat="0" applyBorder="0" applyAlignment="0" applyProtection="0"/>
    <xf numFmtId="212" fontId="124" fillId="39" borderId="54" applyNumberFormat="0" applyAlignment="0" applyProtection="0"/>
    <xf numFmtId="212" fontId="125" fillId="52" borderId="11" applyNumberFormat="0" applyAlignment="0" applyProtection="0"/>
    <xf numFmtId="164" fontId="18" fillId="0" borderId="0" applyFont="0" applyFill="0" applyBorder="0" applyAlignment="0" applyProtection="0"/>
    <xf numFmtId="212" fontId="126" fillId="0" borderId="0" applyNumberFormat="0" applyFill="0" applyBorder="0" applyAlignment="0" applyProtection="0"/>
    <xf numFmtId="212" fontId="127" fillId="35" borderId="0" applyNumberFormat="0" applyBorder="0" applyAlignment="0" applyProtection="0"/>
    <xf numFmtId="212" fontId="128" fillId="0" borderId="12" applyNumberFormat="0" applyFill="0" applyAlignment="0" applyProtection="0"/>
    <xf numFmtId="212" fontId="129" fillId="0" borderId="13" applyNumberFormat="0" applyFill="0" applyAlignment="0" applyProtection="0"/>
    <xf numFmtId="212" fontId="130" fillId="0" borderId="14" applyNumberFormat="0" applyFill="0" applyAlignment="0" applyProtection="0"/>
    <xf numFmtId="212" fontId="130" fillId="0" borderId="0" applyNumberFormat="0" applyFill="0" applyBorder="0" applyAlignment="0" applyProtection="0"/>
    <xf numFmtId="212" fontId="121" fillId="0" borderId="0" applyNumberFormat="0" applyFill="0" applyBorder="0" applyAlignment="0" applyProtection="0">
      <alignment vertical="top"/>
      <protection locked="0"/>
    </xf>
    <xf numFmtId="212" fontId="131" fillId="38" borderId="54" applyNumberFormat="0" applyAlignment="0" applyProtection="0"/>
    <xf numFmtId="212" fontId="132" fillId="0" borderId="15" applyNumberFormat="0" applyFill="0" applyAlignment="0" applyProtection="0"/>
    <xf numFmtId="212" fontId="133" fillId="53" borderId="0" applyNumberFormat="0" applyBorder="0" applyAlignment="0" applyProtection="0"/>
    <xf numFmtId="212" fontId="43" fillId="0" borderId="0"/>
    <xf numFmtId="212" fontId="118" fillId="0" borderId="0"/>
    <xf numFmtId="212" fontId="118" fillId="0" borderId="0"/>
    <xf numFmtId="212" fontId="118" fillId="0" borderId="0"/>
    <xf numFmtId="212" fontId="18" fillId="54" borderId="55" applyNumberFormat="0" applyFont="0" applyAlignment="0" applyProtection="0"/>
    <xf numFmtId="212" fontId="134" fillId="39" borderId="56" applyNumberFormat="0" applyAlignment="0" applyProtection="0"/>
    <xf numFmtId="212" fontId="135" fillId="0" borderId="57" applyNumberFormat="0" applyFill="0" applyAlignment="0" applyProtection="0"/>
    <xf numFmtId="212" fontId="136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212" fontId="118" fillId="0" borderId="0"/>
    <xf numFmtId="212" fontId="118" fillId="0" borderId="0"/>
    <xf numFmtId="212" fontId="126" fillId="0" borderId="0" applyNumberFormat="0" applyFill="0" applyBorder="0" applyAlignment="0" applyProtection="0"/>
    <xf numFmtId="164" fontId="18" fillId="0" borderId="0" applyFont="0" applyFill="0" applyBorder="0" applyAlignment="0" applyProtection="0"/>
    <xf numFmtId="212" fontId="126" fillId="0" borderId="0" applyNumberFormat="0" applyFill="0" applyBorder="0" applyAlignment="0" applyProtection="0"/>
    <xf numFmtId="212" fontId="118" fillId="0" borderId="0"/>
    <xf numFmtId="212" fontId="118" fillId="0" borderId="0"/>
    <xf numFmtId="212" fontId="18" fillId="0" borderId="0"/>
    <xf numFmtId="212" fontId="68" fillId="54" borderId="55" applyNumberFormat="0" applyFont="0" applyAlignment="0" applyProtection="0"/>
    <xf numFmtId="212" fontId="76" fillId="39" borderId="54" applyNumberFormat="0" applyAlignment="0" applyProtection="0"/>
    <xf numFmtId="212" fontId="83" fillId="38" borderId="54" applyNumberFormat="0" applyAlignment="0" applyProtection="0"/>
    <xf numFmtId="212" fontId="33" fillId="54" borderId="55" applyNumberFormat="0" applyFont="0" applyAlignment="0" applyProtection="0"/>
    <xf numFmtId="212" fontId="86" fillId="39" borderId="56" applyNumberFormat="0" applyAlignment="0" applyProtection="0"/>
    <xf numFmtId="212" fontId="73" fillId="0" borderId="57" applyNumberFormat="0" applyFill="0" applyAlignment="0" applyProtection="0"/>
    <xf numFmtId="212" fontId="22" fillId="39" borderId="54" applyNumberFormat="0" applyAlignment="0" applyProtection="0"/>
    <xf numFmtId="212" fontId="29" fillId="38" borderId="54" applyNumberFormat="0" applyAlignment="0" applyProtection="0"/>
    <xf numFmtId="212" fontId="18" fillId="54" borderId="55" applyNumberFormat="0" applyFont="0" applyAlignment="0" applyProtection="0"/>
    <xf numFmtId="212" fontId="32" fillId="39" borderId="56" applyNumberFormat="0" applyAlignment="0" applyProtection="0"/>
    <xf numFmtId="212" fontId="35" fillId="0" borderId="57" applyNumberFormat="0" applyFill="0" applyAlignment="0" applyProtection="0"/>
    <xf numFmtId="212" fontId="22" fillId="39" borderId="54" applyNumberFormat="0" applyAlignment="0" applyProtection="0"/>
    <xf numFmtId="212" fontId="29" fillId="38" borderId="54" applyNumberFormat="0" applyAlignment="0" applyProtection="0"/>
    <xf numFmtId="212" fontId="18" fillId="54" borderId="55" applyNumberFormat="0" applyFont="0" applyAlignment="0" applyProtection="0"/>
    <xf numFmtId="212" fontId="32" fillId="39" borderId="56" applyNumberFormat="0" applyAlignment="0" applyProtection="0"/>
    <xf numFmtId="212" fontId="35" fillId="0" borderId="57" applyNumberFormat="0" applyFill="0" applyAlignment="0" applyProtection="0"/>
    <xf numFmtId="201" fontId="18" fillId="0" borderId="58" applyFont="0" applyFill="0" applyBorder="0" applyAlignment="0" applyProtection="0">
      <alignment horizontal="left"/>
      <protection locked="0"/>
    </xf>
    <xf numFmtId="207" fontId="18" fillId="58" borderId="58" applyFont="0" applyFill="0" applyBorder="0" applyAlignment="0" applyProtection="0"/>
    <xf numFmtId="212" fontId="106" fillId="60" borderId="58" applyFill="0">
      <alignment horizontal="center"/>
    </xf>
    <xf numFmtId="212" fontId="106" fillId="60" borderId="58" applyFill="0">
      <alignment horizontal="center" vertical="center"/>
    </xf>
    <xf numFmtId="196" fontId="107" fillId="0" borderId="58" applyFont="0" applyFill="0" applyBorder="0" applyAlignment="0" applyProtection="0">
      <alignment horizontal="left"/>
      <protection locked="0"/>
    </xf>
    <xf numFmtId="205" fontId="107" fillId="0" borderId="58">
      <alignment horizontal="left"/>
      <protection locked="0"/>
    </xf>
    <xf numFmtId="164" fontId="2" fillId="0" borderId="0" applyFont="0" applyFill="0" applyBorder="0" applyAlignment="0" applyProtection="0"/>
    <xf numFmtId="212" fontId="68" fillId="0" borderId="0"/>
    <xf numFmtId="212" fontId="118" fillId="0" borderId="0"/>
    <xf numFmtId="164" fontId="68" fillId="0" borderId="0" applyFont="0" applyFill="0" applyBorder="0" applyAlignment="0" applyProtection="0"/>
    <xf numFmtId="164" fontId="68" fillId="0" borderId="0" applyFont="0" applyFill="0" applyBorder="0" applyAlignment="0" applyProtection="0"/>
    <xf numFmtId="164" fontId="68" fillId="0" borderId="0" applyFont="0" applyFill="0" applyBorder="0" applyAlignment="0" applyProtection="0"/>
    <xf numFmtId="212" fontId="118" fillId="0" borderId="0"/>
    <xf numFmtId="212" fontId="118" fillId="0" borderId="0"/>
    <xf numFmtId="212" fontId="118" fillId="0" borderId="0"/>
    <xf numFmtId="9" fontId="68" fillId="0" borderId="0" applyFont="0" applyFill="0" applyBorder="0" applyAlignment="0" applyProtection="0"/>
    <xf numFmtId="212" fontId="68" fillId="0" borderId="0"/>
    <xf numFmtId="9" fontId="68" fillId="0" borderId="0" applyFont="0" applyFill="0" applyBorder="0" applyAlignment="0" applyProtection="0"/>
    <xf numFmtId="212" fontId="68" fillId="0" borderId="0"/>
    <xf numFmtId="9" fontId="6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12" fontId="18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212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212" fontId="18" fillId="0" borderId="0"/>
    <xf numFmtId="9" fontId="18" fillId="0" borderId="0" applyFont="0" applyFill="0" applyBorder="0" applyAlignment="0" applyProtection="0"/>
    <xf numFmtId="212" fontId="18" fillId="0" borderId="0"/>
    <xf numFmtId="9" fontId="18" fillId="0" borderId="0" applyFont="0" applyFill="0" applyBorder="0" applyAlignment="0" applyProtection="0"/>
    <xf numFmtId="212" fontId="18" fillId="0" borderId="0"/>
    <xf numFmtId="9" fontId="18" fillId="0" borderId="0" applyFont="0" applyFill="0" applyBorder="0" applyAlignment="0" applyProtection="0"/>
    <xf numFmtId="212" fontId="18" fillId="0" borderId="0"/>
    <xf numFmtId="9" fontId="18" fillId="0" borderId="0" applyFont="0" applyFill="0" applyBorder="0" applyAlignment="0" applyProtection="0"/>
    <xf numFmtId="212" fontId="18" fillId="0" borderId="0"/>
    <xf numFmtId="9" fontId="18" fillId="0" borderId="0" applyFont="0" applyFill="0" applyBorder="0" applyAlignment="0" applyProtection="0"/>
    <xf numFmtId="212" fontId="18" fillId="0" borderId="0"/>
    <xf numFmtId="9" fontId="18" fillId="0" borderId="0" applyFont="0" applyFill="0" applyBorder="0" applyAlignment="0" applyProtection="0"/>
    <xf numFmtId="212" fontId="18" fillId="0" borderId="0"/>
    <xf numFmtId="9" fontId="18" fillId="0" borderId="0" applyFont="0" applyFill="0" applyBorder="0" applyAlignment="0" applyProtection="0"/>
    <xf numFmtId="212" fontId="18" fillId="0" borderId="0"/>
    <xf numFmtId="9" fontId="18" fillId="0" borderId="0" applyFont="0" applyFill="0" applyBorder="0" applyAlignment="0" applyProtection="0"/>
    <xf numFmtId="212" fontId="18" fillId="0" borderId="0"/>
    <xf numFmtId="9" fontId="18" fillId="0" borderId="0" applyFont="0" applyFill="0" applyBorder="0" applyAlignment="0" applyProtection="0"/>
    <xf numFmtId="212" fontId="18" fillId="0" borderId="0"/>
    <xf numFmtId="212" fontId="18" fillId="0" borderId="0"/>
    <xf numFmtId="212" fontId="68" fillId="0" borderId="0"/>
    <xf numFmtId="164" fontId="6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12" fontId="68" fillId="0" borderId="0" applyBorder="0"/>
    <xf numFmtId="212" fontId="68" fillId="0" borderId="0" applyBorder="0"/>
    <xf numFmtId="212" fontId="68" fillId="0" borderId="0" applyBorder="0"/>
    <xf numFmtId="212" fontId="68" fillId="0" borderId="0" applyBorder="0"/>
    <xf numFmtId="212" fontId="68" fillId="0" borderId="0" applyBorder="0"/>
    <xf numFmtId="212" fontId="68" fillId="0" borderId="0" applyBorder="0"/>
    <xf numFmtId="9" fontId="68" fillId="0" borderId="0" applyFont="0" applyFill="0" applyBorder="0" applyAlignment="0" applyProtection="0"/>
    <xf numFmtId="164" fontId="33" fillId="0" borderId="18" applyFont="0" applyAlignment="0">
      <alignment vertical="top" wrapText="1"/>
    </xf>
    <xf numFmtId="164" fontId="2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212" fontId="18" fillId="54" borderId="55" applyNumberFormat="0" applyFont="0" applyAlignment="0" applyProtection="0"/>
    <xf numFmtId="212" fontId="18" fillId="0" borderId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212" fontId="18" fillId="0" borderId="0"/>
    <xf numFmtId="164" fontId="18" fillId="0" borderId="0" applyFont="0" applyFill="0" applyBorder="0" applyAlignment="0" applyProtection="0"/>
    <xf numFmtId="212" fontId="18" fillId="54" borderId="55" applyNumberFormat="0" applyFont="0" applyAlignment="0" applyProtection="0"/>
    <xf numFmtId="212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212" fontId="18" fillId="0" borderId="0"/>
    <xf numFmtId="9" fontId="18" fillId="0" borderId="0" applyFont="0" applyFill="0" applyBorder="0" applyAlignment="0" applyProtection="0"/>
    <xf numFmtId="212" fontId="18" fillId="0" borderId="0"/>
    <xf numFmtId="9" fontId="18" fillId="0" borderId="0" applyFont="0" applyFill="0" applyBorder="0" applyAlignment="0" applyProtection="0"/>
    <xf numFmtId="212" fontId="18" fillId="0" borderId="0"/>
    <xf numFmtId="164" fontId="18" fillId="0" borderId="0" applyFont="0" applyFill="0" applyBorder="0" applyAlignment="0" applyProtection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212" fontId="18" fillId="54" borderId="55" applyNumberFormat="0" applyFont="0" applyAlignment="0" applyProtection="0"/>
    <xf numFmtId="212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212" fontId="18" fillId="0" borderId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212" fontId="18" fillId="0" borderId="0"/>
    <xf numFmtId="212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212" fontId="18" fillId="54" borderId="55" applyNumberFormat="0" applyFont="0" applyAlignment="0" applyProtection="0"/>
    <xf numFmtId="16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212" fontId="18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12" fontId="18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212" fontId="18" fillId="0" borderId="0" applyBorder="0"/>
    <xf numFmtId="9" fontId="1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12" fontId="22" fillId="39" borderId="70" applyNumberFormat="0" applyAlignment="0" applyProtection="0"/>
    <xf numFmtId="212" fontId="29" fillId="38" borderId="70" applyNumberFormat="0" applyAlignment="0" applyProtection="0"/>
    <xf numFmtId="212" fontId="18" fillId="54" borderId="71" applyNumberFormat="0" applyFont="0" applyAlignment="0" applyProtection="0"/>
    <xf numFmtId="212" fontId="32" fillId="39" borderId="72" applyNumberFormat="0" applyAlignment="0" applyProtection="0"/>
    <xf numFmtId="212" fontId="35" fillId="0" borderId="73" applyNumberFormat="0" applyFill="0" applyAlignment="0" applyProtection="0"/>
    <xf numFmtId="212" fontId="1" fillId="0" borderId="73" applyNumberFormat="0" applyFill="0" applyAlignment="0" applyProtection="0"/>
    <xf numFmtId="212" fontId="18" fillId="54" borderId="71" applyNumberFormat="0" applyFont="0" applyAlignment="0" applyProtection="0"/>
    <xf numFmtId="212" fontId="76" fillId="39" borderId="70" applyNumberFormat="0" applyAlignment="0" applyProtection="0"/>
    <xf numFmtId="212" fontId="83" fillId="38" borderId="70" applyNumberFormat="0" applyAlignment="0" applyProtection="0"/>
    <xf numFmtId="212" fontId="33" fillId="54" borderId="71" applyNumberFormat="0" applyFont="0" applyAlignment="0" applyProtection="0"/>
    <xf numFmtId="212" fontId="86" fillId="39" borderId="72" applyNumberFormat="0" applyAlignment="0" applyProtection="0"/>
    <xf numFmtId="212" fontId="73" fillId="0" borderId="73" applyNumberFormat="0" applyFill="0" applyAlignment="0" applyProtection="0"/>
    <xf numFmtId="201" fontId="18" fillId="0" borderId="68" applyFont="0" applyFill="0" applyBorder="0" applyAlignment="0" applyProtection="0">
      <alignment horizontal="left"/>
      <protection locked="0"/>
    </xf>
    <xf numFmtId="207" fontId="18" fillId="58" borderId="68" applyFont="0" applyFill="0" applyBorder="0" applyAlignment="0" applyProtection="0"/>
    <xf numFmtId="212" fontId="106" fillId="60" borderId="68" applyFill="0">
      <alignment horizontal="center"/>
    </xf>
    <xf numFmtId="212" fontId="106" fillId="60" borderId="68" applyFill="0">
      <alignment horizontal="center" vertical="center"/>
    </xf>
    <xf numFmtId="196" fontId="107" fillId="0" borderId="68" applyFont="0" applyFill="0" applyBorder="0" applyAlignment="0" applyProtection="0">
      <alignment horizontal="left"/>
      <protection locked="0"/>
    </xf>
    <xf numFmtId="205" fontId="107" fillId="0" borderId="68">
      <alignment horizontal="left"/>
      <protection locked="0"/>
    </xf>
    <xf numFmtId="212" fontId="111" fillId="0" borderId="69">
      <alignment horizontal="center" vertical="center"/>
    </xf>
    <xf numFmtId="212" fontId="111" fillId="0" borderId="69">
      <alignment horizontal="center" vertical="center"/>
    </xf>
    <xf numFmtId="212" fontId="22" fillId="39" borderId="70" applyNumberFormat="0" applyAlignment="0" applyProtection="0"/>
    <xf numFmtId="212" fontId="29" fillId="38" borderId="70" applyNumberFormat="0" applyAlignment="0" applyProtection="0"/>
    <xf numFmtId="212" fontId="18" fillId="54" borderId="71" applyNumberFormat="0" applyFont="0" applyAlignment="0" applyProtection="0"/>
    <xf numFmtId="212" fontId="32" fillId="39" borderId="72" applyNumberFormat="0" applyAlignment="0" applyProtection="0"/>
    <xf numFmtId="212" fontId="35" fillId="0" borderId="73" applyNumberFormat="0" applyFill="0" applyAlignment="0" applyProtection="0"/>
    <xf numFmtId="212" fontId="22" fillId="39" borderId="70" applyNumberFormat="0" applyAlignment="0" applyProtection="0"/>
    <xf numFmtId="212" fontId="29" fillId="38" borderId="70" applyNumberFormat="0" applyAlignment="0" applyProtection="0"/>
    <xf numFmtId="212" fontId="18" fillId="54" borderId="71" applyNumberFormat="0" applyFont="0" applyAlignment="0" applyProtection="0"/>
    <xf numFmtId="212" fontId="32" fillId="39" borderId="72" applyNumberFormat="0" applyAlignment="0" applyProtection="0"/>
    <xf numFmtId="212" fontId="35" fillId="0" borderId="73" applyNumberFormat="0" applyFill="0" applyAlignment="0" applyProtection="0"/>
    <xf numFmtId="201" fontId="18" fillId="0" borderId="68" applyFont="0" applyFill="0" applyBorder="0" applyAlignment="0" applyProtection="0">
      <alignment horizontal="left"/>
      <protection locked="0"/>
    </xf>
    <xf numFmtId="207" fontId="18" fillId="58" borderId="68" applyFont="0" applyFill="0" applyBorder="0" applyAlignment="0" applyProtection="0"/>
    <xf numFmtId="207" fontId="18" fillId="58" borderId="68" applyFont="0" applyFill="0" applyBorder="0" applyAlignment="0" applyProtection="0"/>
    <xf numFmtId="212" fontId="106" fillId="60" borderId="68" applyFill="0">
      <alignment horizontal="center"/>
    </xf>
    <xf numFmtId="212" fontId="106" fillId="60" borderId="68" applyFill="0">
      <alignment horizontal="center" vertical="center"/>
    </xf>
    <xf numFmtId="196" fontId="107" fillId="0" borderId="68" applyFont="0" applyFill="0" applyBorder="0" applyAlignment="0" applyProtection="0">
      <alignment horizontal="left"/>
      <protection locked="0"/>
    </xf>
    <xf numFmtId="205" fontId="107" fillId="0" borderId="68">
      <alignment horizontal="left"/>
      <protection locked="0"/>
    </xf>
    <xf numFmtId="201" fontId="18" fillId="0" borderId="68" applyFont="0" applyFill="0" applyBorder="0" applyAlignment="0" applyProtection="0">
      <alignment horizontal="left"/>
      <protection locked="0"/>
    </xf>
    <xf numFmtId="212" fontId="106" fillId="60" borderId="68" applyFill="0">
      <alignment horizontal="center" vertical="center"/>
    </xf>
    <xf numFmtId="212" fontId="106" fillId="60" borderId="68" applyFill="0">
      <alignment horizontal="center"/>
    </xf>
    <xf numFmtId="212" fontId="22" fillId="39" borderId="70" applyNumberFormat="0" applyAlignment="0" applyProtection="0"/>
    <xf numFmtId="212" fontId="29" fillId="38" borderId="70" applyNumberFormat="0" applyAlignment="0" applyProtection="0"/>
    <xf numFmtId="205" fontId="107" fillId="0" borderId="68">
      <alignment horizontal="left"/>
      <protection locked="0"/>
    </xf>
    <xf numFmtId="212" fontId="18" fillId="54" borderId="71" applyNumberFormat="0" applyFont="0" applyAlignment="0" applyProtection="0"/>
    <xf numFmtId="212" fontId="32" fillId="39" borderId="72" applyNumberFormat="0" applyAlignment="0" applyProtection="0"/>
    <xf numFmtId="212" fontId="35" fillId="0" borderId="73" applyNumberFormat="0" applyFill="0" applyAlignment="0" applyProtection="0"/>
    <xf numFmtId="212" fontId="1" fillId="0" borderId="73" applyNumberFormat="0" applyFill="0" applyAlignment="0" applyProtection="0"/>
    <xf numFmtId="196" fontId="107" fillId="0" borderId="68" applyFont="0" applyFill="0" applyBorder="0" applyAlignment="0" applyProtection="0">
      <alignment horizontal="left"/>
      <protection locked="0"/>
    </xf>
    <xf numFmtId="212" fontId="124" fillId="39" borderId="70" applyNumberFormat="0" applyAlignment="0" applyProtection="0"/>
    <xf numFmtId="212" fontId="131" fillId="38" borderId="70" applyNumberFormat="0" applyAlignment="0" applyProtection="0"/>
    <xf numFmtId="212" fontId="18" fillId="54" borderId="71" applyNumberFormat="0" applyFont="0" applyAlignment="0" applyProtection="0"/>
    <xf numFmtId="212" fontId="134" fillId="39" borderId="72" applyNumberFormat="0" applyAlignment="0" applyProtection="0"/>
    <xf numFmtId="212" fontId="135" fillId="0" borderId="73" applyNumberFormat="0" applyFill="0" applyAlignment="0" applyProtection="0"/>
    <xf numFmtId="212" fontId="18" fillId="54" borderId="71" applyNumberFormat="0" applyFont="0" applyAlignment="0" applyProtection="0"/>
    <xf numFmtId="212" fontId="76" fillId="39" borderId="70" applyNumberFormat="0" applyAlignment="0" applyProtection="0"/>
    <xf numFmtId="212" fontId="83" fillId="38" borderId="70" applyNumberFormat="0" applyAlignment="0" applyProtection="0"/>
    <xf numFmtId="212" fontId="33" fillId="54" borderId="71" applyNumberFormat="0" applyFont="0" applyAlignment="0" applyProtection="0"/>
    <xf numFmtId="212" fontId="86" fillId="39" borderId="72" applyNumberFormat="0" applyAlignment="0" applyProtection="0"/>
    <xf numFmtId="212" fontId="73" fillId="0" borderId="73" applyNumberFormat="0" applyFill="0" applyAlignment="0" applyProtection="0"/>
    <xf numFmtId="212" fontId="22" fillId="39" borderId="70" applyNumberFormat="0" applyAlignment="0" applyProtection="0"/>
    <xf numFmtId="212" fontId="29" fillId="38" borderId="70" applyNumberFormat="0" applyAlignment="0" applyProtection="0"/>
    <xf numFmtId="212" fontId="18" fillId="54" borderId="71" applyNumberFormat="0" applyFont="0" applyAlignment="0" applyProtection="0"/>
    <xf numFmtId="212" fontId="32" fillId="39" borderId="72" applyNumberFormat="0" applyAlignment="0" applyProtection="0"/>
    <xf numFmtId="212" fontId="35" fillId="0" borderId="73" applyNumberFormat="0" applyFill="0" applyAlignment="0" applyProtection="0"/>
    <xf numFmtId="212" fontId="22" fillId="39" borderId="70" applyNumberFormat="0" applyAlignment="0" applyProtection="0"/>
    <xf numFmtId="212" fontId="29" fillId="38" borderId="70" applyNumberFormat="0" applyAlignment="0" applyProtection="0"/>
    <xf numFmtId="212" fontId="18" fillId="54" borderId="71" applyNumberFormat="0" applyFont="0" applyAlignment="0" applyProtection="0"/>
    <xf numFmtId="212" fontId="32" fillId="39" borderId="72" applyNumberFormat="0" applyAlignment="0" applyProtection="0"/>
    <xf numFmtId="212" fontId="35" fillId="0" borderId="73" applyNumberFormat="0" applyFill="0" applyAlignment="0" applyProtection="0"/>
    <xf numFmtId="201" fontId="18" fillId="0" borderId="68" applyFont="0" applyFill="0" applyBorder="0" applyAlignment="0" applyProtection="0">
      <alignment horizontal="left"/>
      <protection locked="0"/>
    </xf>
    <xf numFmtId="207" fontId="18" fillId="58" borderId="68" applyFont="0" applyFill="0" applyBorder="0" applyAlignment="0" applyProtection="0"/>
    <xf numFmtId="212" fontId="106" fillId="60" borderId="68" applyFill="0">
      <alignment horizontal="center"/>
    </xf>
    <xf numFmtId="212" fontId="106" fillId="60" borderId="68" applyFill="0">
      <alignment horizontal="center" vertical="center"/>
    </xf>
    <xf numFmtId="196" fontId="107" fillId="0" borderId="68" applyFont="0" applyFill="0" applyBorder="0" applyAlignment="0" applyProtection="0">
      <alignment horizontal="left"/>
      <protection locked="0"/>
    </xf>
    <xf numFmtId="205" fontId="107" fillId="0" borderId="68">
      <alignment horizontal="left"/>
      <protection locked="0"/>
    </xf>
    <xf numFmtId="212" fontId="18" fillId="54" borderId="71" applyNumberFormat="0" applyFont="0" applyAlignment="0" applyProtection="0"/>
    <xf numFmtId="212" fontId="18" fillId="54" borderId="71" applyNumberFormat="0" applyFont="0" applyAlignment="0" applyProtection="0"/>
    <xf numFmtId="212" fontId="18" fillId="54" borderId="71" applyNumberFormat="0" applyFont="0" applyAlignment="0" applyProtection="0"/>
    <xf numFmtId="212" fontId="18" fillId="54" borderId="71" applyNumberFormat="0" applyFont="0" applyAlignment="0" applyProtection="0"/>
    <xf numFmtId="212" fontId="156" fillId="0" borderId="0" applyBorder="0"/>
    <xf numFmtId="212" fontId="18" fillId="0" borderId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212" fontId="2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212" fontId="18" fillId="0" borderId="0" applyBorder="0"/>
    <xf numFmtId="9" fontId="18" fillId="0" borderId="0" applyFont="0" applyFill="0" applyBorder="0" applyAlignment="0" applyProtection="0"/>
    <xf numFmtId="212" fontId="156" fillId="0" borderId="0" applyBorder="0"/>
    <xf numFmtId="164" fontId="33" fillId="0" borderId="18" applyFont="0" applyAlignment="0">
      <alignment vertical="top" wrapText="1"/>
    </xf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212" fontId="156" fillId="0" borderId="0" applyBorder="0"/>
    <xf numFmtId="9" fontId="18" fillId="0" borderId="0" applyFont="0" applyFill="0" applyBorder="0" applyAlignment="0" applyProtection="0"/>
    <xf numFmtId="212" fontId="156" fillId="0" borderId="0" applyBorder="0"/>
    <xf numFmtId="164" fontId="18" fillId="0" borderId="0" applyFont="0" applyFill="0" applyBorder="0" applyAlignment="0" applyProtection="0"/>
    <xf numFmtId="212" fontId="156" fillId="0" borderId="0" applyBorder="0"/>
    <xf numFmtId="16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212" fontId="156" fillId="0" borderId="0" applyBorder="0"/>
    <xf numFmtId="9" fontId="18" fillId="0" borderId="0" applyFont="0" applyFill="0" applyBorder="0" applyAlignment="0" applyProtection="0"/>
    <xf numFmtId="212" fontId="156" fillId="0" borderId="0" applyBorder="0"/>
    <xf numFmtId="9" fontId="18" fillId="0" borderId="0" applyFont="0" applyFill="0" applyBorder="0" applyAlignment="0" applyProtection="0"/>
    <xf numFmtId="212" fontId="156" fillId="0" borderId="0" applyBorder="0"/>
    <xf numFmtId="9" fontId="18" fillId="0" borderId="0" applyFont="0" applyFill="0" applyBorder="0" applyAlignment="0" applyProtection="0"/>
    <xf numFmtId="213" fontId="2" fillId="0" borderId="0"/>
    <xf numFmtId="213" fontId="3" fillId="0" borderId="0" applyNumberFormat="0" applyFill="0" applyBorder="0" applyAlignment="0" applyProtection="0"/>
    <xf numFmtId="213" fontId="4" fillId="0" borderId="1" applyNumberFormat="0" applyFill="0" applyAlignment="0" applyProtection="0"/>
    <xf numFmtId="213" fontId="5" fillId="0" borderId="2" applyNumberFormat="0" applyFill="0" applyAlignment="0" applyProtection="0"/>
    <xf numFmtId="213" fontId="6" fillId="0" borderId="3" applyNumberFormat="0" applyFill="0" applyAlignment="0" applyProtection="0"/>
    <xf numFmtId="213" fontId="6" fillId="0" borderId="0" applyNumberFormat="0" applyFill="0" applyBorder="0" applyAlignment="0" applyProtection="0"/>
    <xf numFmtId="213" fontId="7" fillId="2" borderId="0" applyNumberFormat="0" applyBorder="0" applyAlignment="0" applyProtection="0"/>
    <xf numFmtId="213" fontId="8" fillId="3" borderId="0" applyNumberFormat="0" applyBorder="0" applyAlignment="0" applyProtection="0"/>
    <xf numFmtId="213" fontId="9" fillId="4" borderId="0" applyNumberFormat="0" applyBorder="0" applyAlignment="0" applyProtection="0"/>
    <xf numFmtId="213" fontId="10" fillId="5" borderId="4" applyNumberFormat="0" applyAlignment="0" applyProtection="0"/>
    <xf numFmtId="213" fontId="11" fillId="6" borderId="5" applyNumberFormat="0" applyAlignment="0" applyProtection="0"/>
    <xf numFmtId="213" fontId="12" fillId="6" borderId="4" applyNumberFormat="0" applyAlignment="0" applyProtection="0"/>
    <xf numFmtId="213" fontId="13" fillId="0" borderId="6" applyNumberFormat="0" applyFill="0" applyAlignment="0" applyProtection="0"/>
    <xf numFmtId="213" fontId="14" fillId="7" borderId="7" applyNumberFormat="0" applyAlignment="0" applyProtection="0"/>
    <xf numFmtId="213" fontId="15" fillId="0" borderId="0" applyNumberFormat="0" applyFill="0" applyBorder="0" applyAlignment="0" applyProtection="0"/>
    <xf numFmtId="213" fontId="2" fillId="8" borderId="8" applyNumberFormat="0" applyFont="0" applyAlignment="0" applyProtection="0"/>
    <xf numFmtId="213" fontId="16" fillId="0" borderId="0" applyNumberFormat="0" applyFill="0" applyBorder="0" applyAlignment="0" applyProtection="0"/>
    <xf numFmtId="213" fontId="1" fillId="0" borderId="9" applyNumberFormat="0" applyFill="0" applyAlignment="0" applyProtection="0"/>
    <xf numFmtId="213" fontId="17" fillId="9" borderId="0" applyNumberFormat="0" applyBorder="0" applyAlignment="0" applyProtection="0"/>
    <xf numFmtId="213" fontId="2" fillId="10" borderId="0" applyNumberFormat="0" applyBorder="0" applyAlignment="0" applyProtection="0"/>
    <xf numFmtId="213" fontId="2" fillId="11" borderId="0" applyNumberFormat="0" applyBorder="0" applyAlignment="0" applyProtection="0"/>
    <xf numFmtId="213" fontId="17" fillId="12" borderId="0" applyNumberFormat="0" applyBorder="0" applyAlignment="0" applyProtection="0"/>
    <xf numFmtId="213" fontId="17" fillId="13" borderId="0" applyNumberFormat="0" applyBorder="0" applyAlignment="0" applyProtection="0"/>
    <xf numFmtId="213" fontId="2" fillId="14" borderId="0" applyNumberFormat="0" applyBorder="0" applyAlignment="0" applyProtection="0"/>
    <xf numFmtId="213" fontId="2" fillId="15" borderId="0" applyNumberFormat="0" applyBorder="0" applyAlignment="0" applyProtection="0"/>
    <xf numFmtId="213" fontId="17" fillId="16" borderId="0" applyNumberFormat="0" applyBorder="0" applyAlignment="0" applyProtection="0"/>
    <xf numFmtId="213" fontId="17" fillId="17" borderId="0" applyNumberFormat="0" applyBorder="0" applyAlignment="0" applyProtection="0"/>
    <xf numFmtId="213" fontId="2" fillId="18" borderId="0" applyNumberFormat="0" applyBorder="0" applyAlignment="0" applyProtection="0"/>
    <xf numFmtId="213" fontId="2" fillId="19" borderId="0" applyNumberFormat="0" applyBorder="0" applyAlignment="0" applyProtection="0"/>
    <xf numFmtId="213" fontId="17" fillId="20" borderId="0" applyNumberFormat="0" applyBorder="0" applyAlignment="0" applyProtection="0"/>
    <xf numFmtId="213" fontId="17" fillId="21" borderId="0" applyNumberFormat="0" applyBorder="0" applyAlignment="0" applyProtection="0"/>
    <xf numFmtId="213" fontId="2" fillId="22" borderId="0" applyNumberFormat="0" applyBorder="0" applyAlignment="0" applyProtection="0"/>
    <xf numFmtId="213" fontId="2" fillId="23" borderId="0" applyNumberFormat="0" applyBorder="0" applyAlignment="0" applyProtection="0"/>
    <xf numFmtId="213" fontId="17" fillId="24" borderId="0" applyNumberFormat="0" applyBorder="0" applyAlignment="0" applyProtection="0"/>
    <xf numFmtId="213" fontId="17" fillId="25" borderId="0" applyNumberFormat="0" applyBorder="0" applyAlignment="0" applyProtection="0"/>
    <xf numFmtId="213" fontId="2" fillId="26" borderId="0" applyNumberFormat="0" applyBorder="0" applyAlignment="0" applyProtection="0"/>
    <xf numFmtId="213" fontId="2" fillId="27" borderId="0" applyNumberFormat="0" applyBorder="0" applyAlignment="0" applyProtection="0"/>
    <xf numFmtId="213" fontId="17" fillId="28" borderId="0" applyNumberFormat="0" applyBorder="0" applyAlignment="0" applyProtection="0"/>
    <xf numFmtId="213" fontId="17" fillId="29" borderId="0" applyNumberFormat="0" applyBorder="0" applyAlignment="0" applyProtection="0"/>
    <xf numFmtId="213" fontId="2" fillId="30" borderId="0" applyNumberFormat="0" applyBorder="0" applyAlignment="0" applyProtection="0"/>
    <xf numFmtId="213" fontId="2" fillId="31" borderId="0" applyNumberFormat="0" applyBorder="0" applyAlignment="0" applyProtection="0"/>
    <xf numFmtId="213" fontId="17" fillId="32" borderId="0" applyNumberFormat="0" applyBorder="0" applyAlignment="0" applyProtection="0"/>
    <xf numFmtId="213" fontId="18" fillId="0" borderId="0"/>
    <xf numFmtId="213" fontId="18" fillId="0" borderId="0"/>
    <xf numFmtId="213" fontId="19" fillId="33" borderId="0" applyNumberFormat="0" applyBorder="0" applyAlignment="0" applyProtection="0"/>
    <xf numFmtId="213" fontId="2" fillId="33" borderId="0" applyNumberFormat="0" applyBorder="0" applyAlignment="0" applyProtection="0"/>
    <xf numFmtId="213" fontId="48" fillId="10" borderId="0" applyNumberFormat="0" applyBorder="0" applyAlignment="0" applyProtection="0"/>
    <xf numFmtId="213" fontId="19" fillId="34" borderId="0" applyNumberFormat="0" applyBorder="0" applyAlignment="0" applyProtection="0"/>
    <xf numFmtId="213" fontId="2" fillId="34" borderId="0" applyNumberFormat="0" applyBorder="0" applyAlignment="0" applyProtection="0"/>
    <xf numFmtId="213" fontId="48" fillId="14" borderId="0" applyNumberFormat="0" applyBorder="0" applyAlignment="0" applyProtection="0"/>
    <xf numFmtId="213" fontId="19" fillId="35" borderId="0" applyNumberFormat="0" applyBorder="0" applyAlignment="0" applyProtection="0"/>
    <xf numFmtId="213" fontId="2" fillId="35" borderId="0" applyNumberFormat="0" applyBorder="0" applyAlignment="0" applyProtection="0"/>
    <xf numFmtId="213" fontId="48" fillId="18" borderId="0" applyNumberFormat="0" applyBorder="0" applyAlignment="0" applyProtection="0"/>
    <xf numFmtId="213" fontId="19" fillId="36" borderId="0" applyNumberFormat="0" applyBorder="0" applyAlignment="0" applyProtection="0"/>
    <xf numFmtId="213" fontId="2" fillId="36" borderId="0" applyNumberFormat="0" applyBorder="0" applyAlignment="0" applyProtection="0"/>
    <xf numFmtId="213" fontId="48" fillId="22" borderId="0" applyNumberFormat="0" applyBorder="0" applyAlignment="0" applyProtection="0"/>
    <xf numFmtId="213" fontId="19" fillId="37" borderId="0" applyNumberFormat="0" applyBorder="0" applyAlignment="0" applyProtection="0"/>
    <xf numFmtId="213" fontId="48" fillId="26" borderId="0" applyNumberFormat="0" applyBorder="0" applyAlignment="0" applyProtection="0"/>
    <xf numFmtId="213" fontId="19" fillId="38" borderId="0" applyNumberFormat="0" applyBorder="0" applyAlignment="0" applyProtection="0"/>
    <xf numFmtId="213" fontId="2" fillId="39" borderId="0" applyNumberFormat="0" applyBorder="0" applyAlignment="0" applyProtection="0"/>
    <xf numFmtId="213" fontId="48" fillId="30" borderId="0" applyNumberFormat="0" applyBorder="0" applyAlignment="0" applyProtection="0"/>
    <xf numFmtId="213" fontId="19" fillId="40" borderId="0" applyNumberFormat="0" applyBorder="0" applyAlignment="0" applyProtection="0"/>
    <xf numFmtId="213" fontId="2" fillId="40" borderId="0" applyNumberFormat="0" applyBorder="0" applyAlignment="0" applyProtection="0"/>
    <xf numFmtId="213" fontId="48" fillId="11" borderId="0" applyNumberFormat="0" applyBorder="0" applyAlignment="0" applyProtection="0"/>
    <xf numFmtId="213" fontId="19" fillId="41" borderId="0" applyNumberFormat="0" applyBorder="0" applyAlignment="0" applyProtection="0"/>
    <xf numFmtId="213" fontId="48" fillId="15" borderId="0" applyNumberFormat="0" applyBorder="0" applyAlignment="0" applyProtection="0"/>
    <xf numFmtId="213" fontId="19" fillId="42" borderId="0" applyNumberFormat="0" applyBorder="0" applyAlignment="0" applyProtection="0"/>
    <xf numFmtId="213" fontId="2" fillId="42" borderId="0" applyNumberFormat="0" applyBorder="0" applyAlignment="0" applyProtection="0"/>
    <xf numFmtId="213" fontId="48" fillId="19" borderId="0" applyNumberFormat="0" applyBorder="0" applyAlignment="0" applyProtection="0"/>
    <xf numFmtId="213" fontId="19" fillId="36" borderId="0" applyNumberFormat="0" applyBorder="0" applyAlignment="0" applyProtection="0"/>
    <xf numFmtId="213" fontId="2" fillId="36" borderId="0" applyNumberFormat="0" applyBorder="0" applyAlignment="0" applyProtection="0"/>
    <xf numFmtId="213" fontId="48" fillId="23" borderId="0" applyNumberFormat="0" applyBorder="0" applyAlignment="0" applyProtection="0"/>
    <xf numFmtId="213" fontId="19" fillId="40" borderId="0" applyNumberFormat="0" applyBorder="0" applyAlignment="0" applyProtection="0"/>
    <xf numFmtId="213" fontId="2" fillId="40" borderId="0" applyNumberFormat="0" applyBorder="0" applyAlignment="0" applyProtection="0"/>
    <xf numFmtId="213" fontId="48" fillId="27" borderId="0" applyNumberFormat="0" applyBorder="0" applyAlignment="0" applyProtection="0"/>
    <xf numFmtId="213" fontId="19" fillId="43" borderId="0" applyNumberFormat="0" applyBorder="0" applyAlignment="0" applyProtection="0"/>
    <xf numFmtId="213" fontId="2" fillId="43" borderId="0" applyNumberFormat="0" applyBorder="0" applyAlignment="0" applyProtection="0"/>
    <xf numFmtId="213" fontId="48" fillId="31" borderId="0" applyNumberFormat="0" applyBorder="0" applyAlignment="0" applyProtection="0"/>
    <xf numFmtId="213" fontId="20" fillId="44" borderId="0" applyNumberFormat="0" applyBorder="0" applyAlignment="0" applyProtection="0"/>
    <xf numFmtId="213" fontId="17" fillId="44" borderId="0" applyNumberFormat="0" applyBorder="0" applyAlignment="0" applyProtection="0"/>
    <xf numFmtId="213" fontId="49" fillId="12" borderId="0" applyNumberFormat="0" applyBorder="0" applyAlignment="0" applyProtection="0"/>
    <xf numFmtId="213" fontId="20" fillId="41" borderId="0" applyNumberFormat="0" applyBorder="0" applyAlignment="0" applyProtection="0"/>
    <xf numFmtId="213" fontId="17" fillId="41" borderId="0" applyNumberFormat="0" applyBorder="0" applyAlignment="0" applyProtection="0"/>
    <xf numFmtId="213" fontId="49" fillId="16" borderId="0" applyNumberFormat="0" applyBorder="0" applyAlignment="0" applyProtection="0"/>
    <xf numFmtId="213" fontId="20" fillId="42" borderId="0" applyNumberFormat="0" applyBorder="0" applyAlignment="0" applyProtection="0"/>
    <xf numFmtId="213" fontId="17" fillId="42" borderId="0" applyNumberFormat="0" applyBorder="0" applyAlignment="0" applyProtection="0"/>
    <xf numFmtId="213" fontId="49" fillId="20" borderId="0" applyNumberFormat="0" applyBorder="0" applyAlignment="0" applyProtection="0"/>
    <xf numFmtId="213" fontId="20" fillId="45" borderId="0" applyNumberFormat="0" applyBorder="0" applyAlignment="0" applyProtection="0"/>
    <xf numFmtId="213" fontId="17" fillId="45" borderId="0" applyNumberFormat="0" applyBorder="0" applyAlignment="0" applyProtection="0"/>
    <xf numFmtId="213" fontId="49" fillId="24" borderId="0" applyNumberFormat="0" applyBorder="0" applyAlignment="0" applyProtection="0"/>
    <xf numFmtId="213" fontId="20" fillId="46" borderId="0" applyNumberFormat="0" applyBorder="0" applyAlignment="0" applyProtection="0"/>
    <xf numFmtId="213" fontId="17" fillId="46" borderId="0" applyNumberFormat="0" applyBorder="0" applyAlignment="0" applyProtection="0"/>
    <xf numFmtId="213" fontId="49" fillId="28" borderId="0" applyNumberFormat="0" applyBorder="0" applyAlignment="0" applyProtection="0"/>
    <xf numFmtId="213" fontId="20" fillId="47" borderId="0" applyNumberFormat="0" applyBorder="0" applyAlignment="0" applyProtection="0"/>
    <xf numFmtId="213" fontId="17" fillId="47" borderId="0" applyNumberFormat="0" applyBorder="0" applyAlignment="0" applyProtection="0"/>
    <xf numFmtId="213" fontId="49" fillId="32" borderId="0" applyNumberFormat="0" applyBorder="0" applyAlignment="0" applyProtection="0"/>
    <xf numFmtId="213" fontId="20" fillId="48" borderId="0" applyNumberFormat="0" applyBorder="0" applyAlignment="0" applyProtection="0"/>
    <xf numFmtId="213" fontId="17" fillId="48" borderId="0" applyNumberFormat="0" applyBorder="0" applyAlignment="0" applyProtection="0"/>
    <xf numFmtId="213" fontId="49" fillId="9" borderId="0" applyNumberFormat="0" applyBorder="0" applyAlignment="0" applyProtection="0"/>
    <xf numFmtId="213" fontId="20" fillId="49" borderId="0" applyNumberFormat="0" applyBorder="0" applyAlignment="0" applyProtection="0"/>
    <xf numFmtId="213" fontId="17" fillId="49" borderId="0" applyNumberFormat="0" applyBorder="0" applyAlignment="0" applyProtection="0"/>
    <xf numFmtId="213" fontId="49" fillId="13" borderId="0" applyNumberFormat="0" applyBorder="0" applyAlignment="0" applyProtection="0"/>
    <xf numFmtId="213" fontId="20" fillId="50" borderId="0" applyNumberFormat="0" applyBorder="0" applyAlignment="0" applyProtection="0"/>
    <xf numFmtId="213" fontId="17" fillId="50" borderId="0" applyNumberFormat="0" applyBorder="0" applyAlignment="0" applyProtection="0"/>
    <xf numFmtId="213" fontId="49" fillId="17" borderId="0" applyNumberFormat="0" applyBorder="0" applyAlignment="0" applyProtection="0"/>
    <xf numFmtId="213" fontId="20" fillId="45" borderId="0" applyNumberFormat="0" applyBorder="0" applyAlignment="0" applyProtection="0"/>
    <xf numFmtId="213" fontId="17" fillId="45" borderId="0" applyNumberFormat="0" applyBorder="0" applyAlignment="0" applyProtection="0"/>
    <xf numFmtId="213" fontId="49" fillId="21" borderId="0" applyNumberFormat="0" applyBorder="0" applyAlignment="0" applyProtection="0"/>
    <xf numFmtId="213" fontId="20" fillId="46" borderId="0" applyNumberFormat="0" applyBorder="0" applyAlignment="0" applyProtection="0"/>
    <xf numFmtId="213" fontId="49" fillId="25" borderId="0" applyNumberFormat="0" applyBorder="0" applyAlignment="0" applyProtection="0"/>
    <xf numFmtId="213" fontId="20" fillId="51" borderId="0" applyNumberFormat="0" applyBorder="0" applyAlignment="0" applyProtection="0"/>
    <xf numFmtId="213" fontId="17" fillId="51" borderId="0" applyNumberFormat="0" applyBorder="0" applyAlignment="0" applyProtection="0"/>
    <xf numFmtId="213" fontId="49" fillId="29" borderId="0" applyNumberFormat="0" applyBorder="0" applyAlignment="0" applyProtection="0"/>
    <xf numFmtId="213" fontId="21" fillId="34" borderId="0" applyNumberFormat="0" applyBorder="0" applyAlignment="0" applyProtection="0"/>
    <xf numFmtId="213" fontId="8" fillId="34" borderId="0" applyNumberFormat="0" applyBorder="0" applyAlignment="0" applyProtection="0"/>
    <xf numFmtId="213" fontId="50" fillId="3" borderId="0" applyNumberFormat="0" applyBorder="0" applyAlignment="0" applyProtection="0"/>
    <xf numFmtId="213" fontId="22" fillId="39" borderId="70" applyNumberFormat="0" applyAlignment="0" applyProtection="0"/>
    <xf numFmtId="213" fontId="51" fillId="39" borderId="4" applyNumberFormat="0" applyAlignment="0" applyProtection="0"/>
    <xf numFmtId="213" fontId="52" fillId="6" borderId="4" applyNumberFormat="0" applyAlignment="0" applyProtection="0"/>
    <xf numFmtId="213" fontId="23" fillId="52" borderId="11" applyNumberFormat="0" applyAlignment="0" applyProtection="0"/>
    <xf numFmtId="213" fontId="53" fillId="7" borderId="7" applyNumberFormat="0" applyAlignment="0" applyProtection="0"/>
    <xf numFmtId="213" fontId="18" fillId="54" borderId="81" applyNumberFormat="0" applyFont="0" applyAlignment="0" applyProtection="0"/>
    <xf numFmtId="213" fontId="18" fillId="54" borderId="81" applyNumberFormat="0" applyFont="0" applyAlignment="0" applyProtection="0"/>
    <xf numFmtId="213" fontId="35" fillId="0" borderId="83" applyNumberFormat="0" applyFill="0" applyAlignment="0" applyProtection="0"/>
    <xf numFmtId="213" fontId="22" fillId="39" borderId="80" applyNumberFormat="0" applyAlignment="0" applyProtection="0"/>
    <xf numFmtId="213" fontId="24" fillId="0" borderId="0" applyNumberFormat="0" applyFill="0" applyBorder="0" applyAlignment="0" applyProtection="0"/>
    <xf numFmtId="213" fontId="54" fillId="0" borderId="0" applyNumberFormat="0" applyFill="0" applyBorder="0" applyAlignment="0" applyProtection="0"/>
    <xf numFmtId="213" fontId="25" fillId="35" borderId="0" applyNumberFormat="0" applyBorder="0" applyAlignment="0" applyProtection="0"/>
    <xf numFmtId="213" fontId="7" fillId="35" borderId="0" applyNumberFormat="0" applyBorder="0" applyAlignment="0" applyProtection="0"/>
    <xf numFmtId="213" fontId="55" fillId="2" borderId="0" applyNumberFormat="0" applyBorder="0" applyAlignment="0" applyProtection="0"/>
    <xf numFmtId="213" fontId="37" fillId="0" borderId="0" applyFill="0" applyBorder="0"/>
    <xf numFmtId="213" fontId="37" fillId="0" borderId="0" applyFill="0" applyBorder="0"/>
    <xf numFmtId="213" fontId="39" fillId="0" borderId="0" applyFill="0" applyBorder="0"/>
    <xf numFmtId="213" fontId="39" fillId="0" borderId="0" applyFill="0" applyBorder="0"/>
    <xf numFmtId="213" fontId="38" fillId="0" borderId="0" applyFill="0" applyBorder="0"/>
    <xf numFmtId="213" fontId="38" fillId="0" borderId="0" applyFill="0" applyBorder="0"/>
    <xf numFmtId="213" fontId="41" fillId="0" borderId="0" applyFill="0" applyBorder="0"/>
    <xf numFmtId="213" fontId="41" fillId="0" borderId="0" applyFill="0" applyBorder="0"/>
    <xf numFmtId="213" fontId="26" fillId="0" borderId="12" applyNumberFormat="0" applyFill="0" applyAlignment="0" applyProtection="0"/>
    <xf numFmtId="213" fontId="26" fillId="0" borderId="12" applyNumberFormat="0" applyFill="0" applyAlignment="0" applyProtection="0"/>
    <xf numFmtId="213" fontId="56" fillId="0" borderId="1" applyNumberFormat="0" applyFill="0" applyAlignment="0" applyProtection="0"/>
    <xf numFmtId="213" fontId="27" fillId="0" borderId="13" applyNumberFormat="0" applyFill="0" applyAlignment="0" applyProtection="0"/>
    <xf numFmtId="213" fontId="27" fillId="0" borderId="13" applyNumberFormat="0" applyFill="0" applyAlignment="0" applyProtection="0"/>
    <xf numFmtId="213" fontId="57" fillId="0" borderId="2" applyNumberFormat="0" applyFill="0" applyAlignment="0" applyProtection="0"/>
    <xf numFmtId="213" fontId="28" fillId="0" borderId="14" applyNumberFormat="0" applyFill="0" applyAlignment="0" applyProtection="0"/>
    <xf numFmtId="213" fontId="28" fillId="0" borderId="14" applyNumberFormat="0" applyFill="0" applyAlignment="0" applyProtection="0"/>
    <xf numFmtId="213" fontId="58" fillId="0" borderId="3" applyNumberFormat="0" applyFill="0" applyAlignment="0" applyProtection="0"/>
    <xf numFmtId="213" fontId="28" fillId="0" borderId="0" applyNumberFormat="0" applyFill="0" applyBorder="0" applyAlignment="0" applyProtection="0"/>
    <xf numFmtId="213" fontId="28" fillId="0" borderId="0" applyNumberFormat="0" applyFill="0" applyBorder="0" applyAlignment="0" applyProtection="0"/>
    <xf numFmtId="213" fontId="58" fillId="0" borderId="0" applyNumberFormat="0" applyFill="0" applyBorder="0" applyAlignment="0" applyProtection="0"/>
    <xf numFmtId="213" fontId="45" fillId="0" borderId="0" applyFill="0" applyBorder="0">
      <alignment horizontal="left"/>
      <protection hidden="1"/>
    </xf>
    <xf numFmtId="213" fontId="45" fillId="0" borderId="0" applyFill="0" applyBorder="0">
      <alignment horizontal="left" indent="1"/>
      <protection hidden="1"/>
    </xf>
    <xf numFmtId="213" fontId="45" fillId="0" borderId="0" applyFill="0" applyBorder="0">
      <alignment horizontal="left" indent="2"/>
      <protection hidden="1"/>
    </xf>
    <xf numFmtId="213" fontId="45" fillId="0" borderId="0" applyFill="0" applyBorder="0">
      <alignment horizontal="left" indent="3"/>
      <protection hidden="1"/>
    </xf>
    <xf numFmtId="213" fontId="46" fillId="0" borderId="0" applyFill="0" applyBorder="0">
      <alignment vertical="top" wrapText="1"/>
      <protection locked="0"/>
    </xf>
    <xf numFmtId="213" fontId="29" fillId="38" borderId="70" applyNumberFormat="0" applyAlignment="0" applyProtection="0"/>
    <xf numFmtId="213" fontId="10" fillId="39" borderId="4" applyNumberFormat="0" applyAlignment="0" applyProtection="0"/>
    <xf numFmtId="213" fontId="60" fillId="5" borderId="4" applyNumberFormat="0" applyAlignment="0" applyProtection="0"/>
    <xf numFmtId="213" fontId="30" fillId="0" borderId="15" applyNumberFormat="0" applyFill="0" applyAlignment="0" applyProtection="0"/>
    <xf numFmtId="213" fontId="30" fillId="0" borderId="15" applyNumberFormat="0" applyFill="0" applyAlignment="0" applyProtection="0"/>
    <xf numFmtId="213" fontId="61" fillId="0" borderId="6" applyNumberFormat="0" applyFill="0" applyAlignment="0" applyProtection="0"/>
    <xf numFmtId="213" fontId="40" fillId="0" borderId="0" applyFill="0" applyBorder="0">
      <alignment vertical="top" wrapText="1"/>
    </xf>
    <xf numFmtId="213" fontId="40" fillId="0" borderId="0" applyFill="0" applyBorder="0">
      <alignment vertical="top" wrapText="1"/>
    </xf>
    <xf numFmtId="213" fontId="31" fillId="53" borderId="0" applyNumberFormat="0" applyBorder="0" applyAlignment="0" applyProtection="0"/>
    <xf numFmtId="213" fontId="62" fillId="4" borderId="0" applyNumberFormat="0" applyBorder="0" applyAlignment="0" applyProtection="0"/>
    <xf numFmtId="213" fontId="63" fillId="4" borderId="0" applyNumberFormat="0" applyBorder="0" applyAlignment="0" applyProtection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48" fillId="0" borderId="0"/>
    <xf numFmtId="213" fontId="18" fillId="0" borderId="0"/>
    <xf numFmtId="213" fontId="18" fillId="0" borderId="0"/>
    <xf numFmtId="213" fontId="18" fillId="0" borderId="0"/>
    <xf numFmtId="213" fontId="18" fillId="0" borderId="0"/>
    <xf numFmtId="213" fontId="19" fillId="0" borderId="0"/>
    <xf numFmtId="213" fontId="19" fillId="0" borderId="0"/>
    <xf numFmtId="213" fontId="2" fillId="0" borderId="0"/>
    <xf numFmtId="213" fontId="18" fillId="0" borderId="0"/>
    <xf numFmtId="213" fontId="18" fillId="0" borderId="0"/>
    <xf numFmtId="213" fontId="18" fillId="0" borderId="0"/>
    <xf numFmtId="213" fontId="2" fillId="0" borderId="0"/>
    <xf numFmtId="213" fontId="33" fillId="0" borderId="0"/>
    <xf numFmtId="213" fontId="33" fillId="0" borderId="0"/>
    <xf numFmtId="213" fontId="18" fillId="0" borderId="0"/>
    <xf numFmtId="213" fontId="29" fillId="38" borderId="80" applyNumberFormat="0" applyAlignment="0" applyProtection="0"/>
    <xf numFmtId="213" fontId="18" fillId="0" borderId="0" applyBorder="0"/>
    <xf numFmtId="213" fontId="18" fillId="0" borderId="0" applyBorder="0"/>
    <xf numFmtId="213" fontId="18" fillId="0" borderId="0"/>
    <xf numFmtId="213" fontId="18" fillId="0" borderId="0"/>
    <xf numFmtId="213" fontId="18" fillId="0" borderId="0"/>
    <xf numFmtId="213" fontId="42" fillId="0" borderId="0"/>
    <xf numFmtId="213" fontId="42" fillId="0" borderId="0"/>
    <xf numFmtId="213" fontId="18" fillId="0" borderId="0" applyBorder="0"/>
    <xf numFmtId="213" fontId="33" fillId="0" borderId="0"/>
    <xf numFmtId="213" fontId="2" fillId="0" borderId="0"/>
    <xf numFmtId="213" fontId="18" fillId="0" borderId="0" applyBorder="0"/>
    <xf numFmtId="213" fontId="18" fillId="0" borderId="0"/>
    <xf numFmtId="213" fontId="18" fillId="54" borderId="71" applyNumberFormat="0" applyFont="0" applyAlignment="0" applyProtection="0"/>
    <xf numFmtId="213" fontId="19" fillId="8" borderId="8" applyNumberFormat="0" applyFont="0" applyAlignment="0" applyProtection="0"/>
    <xf numFmtId="213" fontId="44" fillId="8" borderId="8" applyNumberFormat="0" applyFont="0" applyAlignment="0" applyProtection="0"/>
    <xf numFmtId="213" fontId="32" fillId="39" borderId="72" applyNumberFormat="0" applyAlignment="0" applyProtection="0"/>
    <xf numFmtId="213" fontId="11" fillId="39" borderId="5" applyNumberFormat="0" applyAlignment="0" applyProtection="0"/>
    <xf numFmtId="213" fontId="64" fillId="6" borderId="5" applyNumberFormat="0" applyAlignment="0" applyProtection="0"/>
    <xf numFmtId="213" fontId="41" fillId="0" borderId="0" applyFill="0" applyBorder="0">
      <alignment vertical="top"/>
    </xf>
    <xf numFmtId="213" fontId="41" fillId="0" borderId="0" applyFill="0" applyBorder="0">
      <alignment vertical="top"/>
    </xf>
    <xf numFmtId="213" fontId="41" fillId="0" borderId="0" applyFill="0" applyBorder="0">
      <alignment horizontal="left" vertical="top" indent="1"/>
    </xf>
    <xf numFmtId="213" fontId="41" fillId="0" borderId="0" applyFill="0" applyBorder="0">
      <alignment horizontal="left" vertical="top" indent="1"/>
    </xf>
    <xf numFmtId="213" fontId="41" fillId="0" borderId="0" applyFill="0" applyBorder="0">
      <alignment horizontal="left" vertical="top" indent="2"/>
    </xf>
    <xf numFmtId="213" fontId="41" fillId="0" borderId="0" applyFill="0" applyBorder="0">
      <alignment horizontal="left" vertical="top" indent="2"/>
    </xf>
    <xf numFmtId="213" fontId="41" fillId="0" borderId="0" applyFill="0" applyBorder="0">
      <alignment horizontal="left" vertical="top" indent="3"/>
    </xf>
    <xf numFmtId="213" fontId="41" fillId="0" borderId="0" applyFill="0" applyBorder="0">
      <alignment horizontal="left" vertical="top" indent="3"/>
    </xf>
    <xf numFmtId="213" fontId="40" fillId="0" borderId="0" applyFill="0" applyBorder="0">
      <alignment vertical="top"/>
    </xf>
    <xf numFmtId="213" fontId="40" fillId="0" borderId="0" applyFill="0" applyBorder="0">
      <alignment vertical="top"/>
    </xf>
    <xf numFmtId="213" fontId="40" fillId="0" borderId="0" applyFill="0" applyBorder="0">
      <alignment horizontal="left" vertical="top" indent="1"/>
    </xf>
    <xf numFmtId="213" fontId="40" fillId="0" borderId="0" applyFill="0" applyBorder="0">
      <alignment horizontal="left" vertical="top" indent="1"/>
    </xf>
    <xf numFmtId="213" fontId="40" fillId="0" borderId="0" applyFill="0" applyBorder="0">
      <alignment horizontal="left" vertical="top" indent="2"/>
    </xf>
    <xf numFmtId="213" fontId="40" fillId="0" borderId="0" applyFill="0" applyBorder="0">
      <alignment horizontal="left" vertical="top" indent="2"/>
    </xf>
    <xf numFmtId="213" fontId="40" fillId="0" borderId="0" applyFill="0" applyBorder="0">
      <alignment horizontal="left" vertical="top" indent="3"/>
    </xf>
    <xf numFmtId="213" fontId="40" fillId="0" borderId="0" applyFill="0" applyBorder="0">
      <alignment horizontal="left" vertical="top" indent="3"/>
    </xf>
    <xf numFmtId="213" fontId="40" fillId="0" borderId="0" applyFill="0" applyBorder="0">
      <alignment horizontal="left" vertical="top" indent="4"/>
    </xf>
    <xf numFmtId="213" fontId="40" fillId="0" borderId="0" applyFill="0" applyBorder="0">
      <alignment horizontal="left" vertical="top" indent="4"/>
    </xf>
    <xf numFmtId="213" fontId="34" fillId="0" borderId="0" applyNumberFormat="0" applyFill="0" applyBorder="0" applyAlignment="0" applyProtection="0"/>
    <xf numFmtId="213" fontId="34" fillId="0" borderId="0" applyNumberFormat="0" applyFill="0" applyBorder="0" applyAlignment="0" applyProtection="0"/>
    <xf numFmtId="213" fontId="3" fillId="0" borderId="0" applyNumberFormat="0" applyFill="0" applyBorder="0" applyAlignment="0" applyProtection="0"/>
    <xf numFmtId="213" fontId="35" fillId="0" borderId="73" applyNumberFormat="0" applyFill="0" applyAlignment="0" applyProtection="0"/>
    <xf numFmtId="213" fontId="1" fillId="0" borderId="73" applyNumberFormat="0" applyFill="0" applyAlignment="0" applyProtection="0"/>
    <xf numFmtId="213" fontId="65" fillId="0" borderId="9" applyNumberFormat="0" applyFill="0" applyAlignment="0" applyProtection="0"/>
    <xf numFmtId="213" fontId="40" fillId="0" borderId="0" applyFill="0" applyBorder="0">
      <alignment horizontal="center"/>
    </xf>
    <xf numFmtId="213" fontId="40" fillId="0" borderId="0" applyFill="0" applyBorder="0">
      <alignment horizontal="center"/>
    </xf>
    <xf numFmtId="213" fontId="40" fillId="0" borderId="0" applyFill="0" applyBorder="0">
      <alignment horizontal="center" wrapText="1"/>
    </xf>
    <xf numFmtId="213" fontId="40" fillId="0" borderId="0" applyFill="0" applyBorder="0">
      <alignment horizontal="center" wrapText="1"/>
    </xf>
    <xf numFmtId="213" fontId="36" fillId="0" borderId="0" applyNumberFormat="0" applyFill="0" applyBorder="0" applyAlignment="0" applyProtection="0"/>
    <xf numFmtId="213" fontId="66" fillId="0" borderId="0" applyNumberFormat="0" applyFill="0" applyBorder="0" applyAlignment="0" applyProtection="0"/>
    <xf numFmtId="213" fontId="18" fillId="0" borderId="0"/>
    <xf numFmtId="213" fontId="32" fillId="39" borderId="82" applyNumberFormat="0" applyAlignment="0" applyProtection="0"/>
    <xf numFmtId="213" fontId="69" fillId="0" borderId="0" applyNumberFormat="0" applyFill="0" applyBorder="0" applyAlignment="0" applyProtection="0">
      <alignment vertical="top"/>
      <protection locked="0"/>
    </xf>
    <xf numFmtId="213" fontId="69" fillId="0" borderId="0" applyNumberFormat="0" applyFill="0" applyBorder="0" applyAlignment="0" applyProtection="0">
      <alignment vertical="top"/>
      <protection locked="0"/>
    </xf>
    <xf numFmtId="213" fontId="69" fillId="0" borderId="0" applyNumberFormat="0" applyFill="0" applyBorder="0" applyAlignment="0" applyProtection="0">
      <alignment vertical="top"/>
      <protection locked="0"/>
    </xf>
    <xf numFmtId="213" fontId="18" fillId="0" borderId="0"/>
    <xf numFmtId="213" fontId="18" fillId="0" borderId="0"/>
    <xf numFmtId="213" fontId="33" fillId="0" borderId="0">
      <alignment vertical="top"/>
    </xf>
    <xf numFmtId="213" fontId="70" fillId="0" borderId="0" applyFont="0" applyFill="0" applyBorder="0" applyAlignment="0" applyProtection="0"/>
    <xf numFmtId="213" fontId="71" fillId="0" borderId="0" applyNumberFormat="0" applyFill="0" applyBorder="0" applyAlignment="0" applyProtection="0"/>
    <xf numFmtId="213" fontId="72" fillId="0" borderId="0" applyNumberFormat="0" applyFill="0" applyBorder="0" applyAlignment="0" applyProtection="0"/>
    <xf numFmtId="213" fontId="70" fillId="0" borderId="23" applyNumberFormat="0" applyFont="0" applyFill="0" applyAlignment="0" applyProtection="0"/>
    <xf numFmtId="213" fontId="43" fillId="0" borderId="0"/>
    <xf numFmtId="213" fontId="18" fillId="54" borderId="71" applyNumberFormat="0" applyFont="0" applyAlignment="0" applyProtection="0"/>
    <xf numFmtId="213" fontId="33" fillId="33" borderId="0" applyNumberFormat="0" applyBorder="0" applyAlignment="0" applyProtection="0"/>
    <xf numFmtId="213" fontId="33" fillId="34" borderId="0" applyNumberFormat="0" applyBorder="0" applyAlignment="0" applyProtection="0"/>
    <xf numFmtId="213" fontId="33" fillId="35" borderId="0" applyNumberFormat="0" applyBorder="0" applyAlignment="0" applyProtection="0"/>
    <xf numFmtId="213" fontId="33" fillId="36" borderId="0" applyNumberFormat="0" applyBorder="0" applyAlignment="0" applyProtection="0"/>
    <xf numFmtId="213" fontId="33" fillId="37" borderId="0" applyNumberFormat="0" applyBorder="0" applyAlignment="0" applyProtection="0"/>
    <xf numFmtId="213" fontId="33" fillId="38" borderId="0" applyNumberFormat="0" applyBorder="0" applyAlignment="0" applyProtection="0"/>
    <xf numFmtId="213" fontId="33" fillId="40" borderId="0" applyNumberFormat="0" applyBorder="0" applyAlignment="0" applyProtection="0"/>
    <xf numFmtId="213" fontId="33" fillId="41" borderId="0" applyNumberFormat="0" applyBorder="0" applyAlignment="0" applyProtection="0"/>
    <xf numFmtId="213" fontId="33" fillId="42" borderId="0" applyNumberFormat="0" applyBorder="0" applyAlignment="0" applyProtection="0"/>
    <xf numFmtId="213" fontId="33" fillId="36" borderId="0" applyNumberFormat="0" applyBorder="0" applyAlignment="0" applyProtection="0"/>
    <xf numFmtId="213" fontId="33" fillId="40" borderId="0" applyNumberFormat="0" applyBorder="0" applyAlignment="0" applyProtection="0"/>
    <xf numFmtId="213" fontId="33" fillId="43" borderId="0" applyNumberFormat="0" applyBorder="0" applyAlignment="0" applyProtection="0"/>
    <xf numFmtId="213" fontId="74" fillId="44" borderId="0" applyNumberFormat="0" applyBorder="0" applyAlignment="0" applyProtection="0"/>
    <xf numFmtId="213" fontId="74" fillId="41" borderId="0" applyNumberFormat="0" applyBorder="0" applyAlignment="0" applyProtection="0"/>
    <xf numFmtId="213" fontId="74" fillId="42" borderId="0" applyNumberFormat="0" applyBorder="0" applyAlignment="0" applyProtection="0"/>
    <xf numFmtId="213" fontId="74" fillId="45" borderId="0" applyNumberFormat="0" applyBorder="0" applyAlignment="0" applyProtection="0"/>
    <xf numFmtId="213" fontId="74" fillId="46" borderId="0" applyNumberFormat="0" applyBorder="0" applyAlignment="0" applyProtection="0"/>
    <xf numFmtId="213" fontId="74" fillId="47" borderId="0" applyNumberFormat="0" applyBorder="0" applyAlignment="0" applyProtection="0"/>
    <xf numFmtId="213" fontId="74" fillId="48" borderId="0" applyNumberFormat="0" applyBorder="0" applyAlignment="0" applyProtection="0"/>
    <xf numFmtId="213" fontId="74" fillId="49" borderId="0" applyNumberFormat="0" applyBorder="0" applyAlignment="0" applyProtection="0"/>
    <xf numFmtId="213" fontId="74" fillId="50" borderId="0" applyNumberFormat="0" applyBorder="0" applyAlignment="0" applyProtection="0"/>
    <xf numFmtId="213" fontId="74" fillId="45" borderId="0" applyNumberFormat="0" applyBorder="0" applyAlignment="0" applyProtection="0"/>
    <xf numFmtId="213" fontId="74" fillId="46" borderId="0" applyNumberFormat="0" applyBorder="0" applyAlignment="0" applyProtection="0"/>
    <xf numFmtId="213" fontId="74" fillId="51" borderId="0" applyNumberFormat="0" applyBorder="0" applyAlignment="0" applyProtection="0"/>
    <xf numFmtId="213" fontId="75" fillId="34" borderId="0" applyNumberFormat="0" applyBorder="0" applyAlignment="0" applyProtection="0"/>
    <xf numFmtId="213" fontId="76" fillId="39" borderId="70" applyNumberFormat="0" applyAlignment="0" applyProtection="0"/>
    <xf numFmtId="213" fontId="77" fillId="52" borderId="11" applyNumberFormat="0" applyAlignment="0" applyProtection="0"/>
    <xf numFmtId="213" fontId="18" fillId="0" borderId="0" applyFont="0" applyFill="0" applyBorder="0" applyAlignment="0" applyProtection="0"/>
    <xf numFmtId="213" fontId="78" fillId="0" borderId="0" applyNumberFormat="0" applyFill="0" applyBorder="0" applyAlignment="0" applyProtection="0"/>
    <xf numFmtId="213" fontId="79" fillId="35" borderId="0" applyNumberFormat="0" applyBorder="0" applyAlignment="0" applyProtection="0"/>
    <xf numFmtId="213" fontId="80" fillId="0" borderId="12" applyNumberFormat="0" applyFill="0" applyAlignment="0" applyProtection="0"/>
    <xf numFmtId="213" fontId="81" fillId="0" borderId="13" applyNumberFormat="0" applyFill="0" applyAlignment="0" applyProtection="0"/>
    <xf numFmtId="213" fontId="82" fillId="0" borderId="14" applyNumberFormat="0" applyFill="0" applyAlignment="0" applyProtection="0"/>
    <xf numFmtId="213" fontId="82" fillId="0" borderId="0" applyNumberFormat="0" applyFill="0" applyBorder="0" applyAlignment="0" applyProtection="0"/>
    <xf numFmtId="213" fontId="89" fillId="0" borderId="0" applyNumberFormat="0" applyFill="0" applyBorder="0" applyAlignment="0" applyProtection="0">
      <alignment vertical="top"/>
      <protection locked="0"/>
    </xf>
    <xf numFmtId="213" fontId="83" fillId="38" borderId="70" applyNumberFormat="0" applyAlignment="0" applyProtection="0"/>
    <xf numFmtId="213" fontId="84" fillId="0" borderId="15" applyNumberFormat="0" applyFill="0" applyAlignment="0" applyProtection="0"/>
    <xf numFmtId="213" fontId="85" fillId="53" borderId="0" applyNumberFormat="0" applyBorder="0" applyAlignment="0" applyProtection="0"/>
    <xf numFmtId="213" fontId="88" fillId="0" borderId="0"/>
    <xf numFmtId="213" fontId="18" fillId="0" borderId="0"/>
    <xf numFmtId="213" fontId="18" fillId="0" borderId="0"/>
    <xf numFmtId="213" fontId="90" fillId="0" borderId="0"/>
    <xf numFmtId="213" fontId="88" fillId="0" borderId="0"/>
    <xf numFmtId="213" fontId="88" fillId="0" borderId="0"/>
    <xf numFmtId="213" fontId="88" fillId="0" borderId="0"/>
    <xf numFmtId="213" fontId="88" fillId="0" borderId="0"/>
    <xf numFmtId="213" fontId="88" fillId="0" borderId="0"/>
    <xf numFmtId="213" fontId="88" fillId="0" borderId="0"/>
    <xf numFmtId="213" fontId="88" fillId="0" borderId="0"/>
    <xf numFmtId="213" fontId="88" fillId="0" borderId="0"/>
    <xf numFmtId="213" fontId="88" fillId="0" borderId="0"/>
    <xf numFmtId="213" fontId="88" fillId="0" borderId="0"/>
    <xf numFmtId="213" fontId="88" fillId="0" borderId="0"/>
    <xf numFmtId="213" fontId="33" fillId="54" borderId="71" applyNumberFormat="0" applyFont="0" applyAlignment="0" applyProtection="0"/>
    <xf numFmtId="213" fontId="86" fillId="39" borderId="72" applyNumberFormat="0" applyAlignment="0" applyProtection="0"/>
    <xf numFmtId="213" fontId="73" fillId="0" borderId="73" applyNumberFormat="0" applyFill="0" applyAlignment="0" applyProtection="0"/>
    <xf numFmtId="213" fontId="87" fillId="0" borderId="0" applyNumberFormat="0" applyFill="0" applyBorder="0" applyAlignment="0" applyProtection="0"/>
    <xf numFmtId="213" fontId="91" fillId="0" borderId="0"/>
    <xf numFmtId="213" fontId="91" fillId="55" borderId="40">
      <alignment vertical="top" wrapText="1"/>
      <protection locked="0"/>
    </xf>
    <xf numFmtId="213" fontId="93" fillId="55" borderId="40" applyNumberFormat="0">
      <protection locked="0"/>
    </xf>
    <xf numFmtId="213" fontId="91" fillId="58" borderId="0"/>
    <xf numFmtId="213" fontId="92" fillId="0" borderId="0" applyFont="0" applyFill="0" applyBorder="0" applyProtection="0">
      <protection locked="0"/>
    </xf>
    <xf numFmtId="213" fontId="92" fillId="0" borderId="0" applyFont="0" applyFill="0" applyBorder="0" applyAlignment="0" applyProtection="0">
      <alignment wrapText="1"/>
    </xf>
    <xf numFmtId="213" fontId="92" fillId="0" borderId="0" applyFont="0" applyFill="0" applyBorder="0" applyAlignment="0" applyProtection="0">
      <protection locked="0"/>
    </xf>
    <xf numFmtId="213" fontId="94" fillId="0" borderId="40" applyFill="0">
      <alignment horizontal="center"/>
    </xf>
    <xf numFmtId="213" fontId="94" fillId="0" borderId="40" applyFill="0">
      <alignment horizontal="center" vertical="center"/>
    </xf>
    <xf numFmtId="213" fontId="96" fillId="0" borderId="0" applyNumberFormat="0" applyFill="0" applyBorder="0" applyAlignment="0" applyProtection="0">
      <alignment vertical="top"/>
      <protection locked="0"/>
    </xf>
    <xf numFmtId="213" fontId="97" fillId="0" borderId="0" applyNumberFormat="0" applyFill="0" applyAlignment="0"/>
    <xf numFmtId="213" fontId="97" fillId="0" borderId="0" applyNumberFormat="0" applyFill="0" applyAlignment="0" applyProtection="0"/>
    <xf numFmtId="213" fontId="98" fillId="0" borderId="0" applyNumberFormat="0" applyFill="0" applyAlignment="0"/>
    <xf numFmtId="213" fontId="92" fillId="57" borderId="0" applyFill="0" applyBorder="0"/>
    <xf numFmtId="213" fontId="91" fillId="58" borderId="41" applyNumberFormat="0">
      <alignment horizontal="left"/>
    </xf>
    <xf numFmtId="213" fontId="100" fillId="0" borderId="0" applyNumberFormat="0" applyFill="0" applyBorder="0" applyAlignment="0" applyProtection="0">
      <alignment vertical="top"/>
      <protection locked="0"/>
    </xf>
    <xf numFmtId="213" fontId="102" fillId="0" borderId="0" applyFill="0" applyBorder="0">
      <alignment horizontal="centerContinuous" wrapText="1"/>
    </xf>
    <xf numFmtId="213" fontId="102" fillId="0" borderId="0" applyFill="0" applyBorder="0">
      <alignment horizontal="center" wrapText="1"/>
    </xf>
    <xf numFmtId="213" fontId="91" fillId="58" borderId="40" applyNumberFormat="0">
      <alignment horizontal="left"/>
    </xf>
    <xf numFmtId="213" fontId="91" fillId="58" borderId="43" applyNumberFormat="0">
      <alignment horizontal="left"/>
    </xf>
    <xf numFmtId="213" fontId="92" fillId="0" borderId="0" applyFont="0" applyFill="0" applyBorder="0" applyAlignment="0" applyProtection="0">
      <alignment horizontal="left"/>
      <protection locked="0"/>
    </xf>
    <xf numFmtId="213" fontId="92" fillId="59" borderId="0"/>
    <xf numFmtId="213" fontId="2" fillId="0" borderId="0"/>
    <xf numFmtId="213" fontId="91" fillId="55" borderId="40">
      <alignment horizontal="left" vertical="top" wrapText="1" indent="1"/>
      <protection locked="0"/>
    </xf>
    <xf numFmtId="213" fontId="18" fillId="57" borderId="0"/>
    <xf numFmtId="213" fontId="92" fillId="0" borderId="0" applyFont="0" applyFill="0" applyBorder="0" applyAlignment="0" applyProtection="0">
      <protection locked="0"/>
    </xf>
    <xf numFmtId="213" fontId="106" fillId="60" borderId="68" applyFill="0">
      <alignment horizontal="center"/>
    </xf>
    <xf numFmtId="213" fontId="106" fillId="60" borderId="68" applyFill="0">
      <alignment horizontal="center" vertical="center"/>
    </xf>
    <xf numFmtId="213" fontId="96" fillId="0" borderId="0" applyNumberFormat="0" applyFill="0" applyBorder="0" applyAlignment="0" applyProtection="0">
      <alignment vertical="top"/>
      <protection locked="0"/>
    </xf>
    <xf numFmtId="213" fontId="39" fillId="0" borderId="0" applyNumberFormat="0" applyFill="0" applyAlignment="0"/>
    <xf numFmtId="213" fontId="39" fillId="60" borderId="0" applyNumberFormat="0" applyFill="0" applyAlignment="0"/>
    <xf numFmtId="213" fontId="92" fillId="57" borderId="0" applyFill="0" applyBorder="0">
      <alignment wrapText="1"/>
    </xf>
    <xf numFmtId="213" fontId="91" fillId="58" borderId="41" applyNumberFormat="0" applyFill="0">
      <alignment horizontal="left"/>
    </xf>
    <xf numFmtId="213" fontId="100" fillId="0" borderId="0" applyNumberFormat="0" applyFill="0" applyBorder="0" applyAlignment="0" applyProtection="0">
      <alignment vertical="top"/>
      <protection locked="0"/>
    </xf>
    <xf numFmtId="213" fontId="59" fillId="0" borderId="0" applyNumberFormat="0" applyFill="0" applyBorder="0" applyAlignment="0" applyProtection="0">
      <alignment vertical="top"/>
      <protection locked="0"/>
    </xf>
    <xf numFmtId="213" fontId="38" fillId="57" borderId="0" applyFill="0" applyBorder="0">
      <alignment horizontal="centerContinuous" wrapText="1"/>
    </xf>
    <xf numFmtId="213" fontId="91" fillId="58" borderId="40" applyNumberFormat="0">
      <alignment horizontal="left"/>
    </xf>
    <xf numFmtId="213" fontId="18" fillId="0" borderId="0"/>
    <xf numFmtId="49" fontId="40" fillId="57" borderId="60">
      <alignment horizontal="right" indent="2"/>
    </xf>
    <xf numFmtId="213" fontId="91" fillId="58" borderId="43" applyNumberFormat="0" applyFill="0">
      <alignment horizontal="left"/>
    </xf>
    <xf numFmtId="213" fontId="92" fillId="0" borderId="0" applyFont="0" applyFill="0" applyBorder="0" applyAlignment="0" applyProtection="0">
      <alignment horizontal="left"/>
      <protection locked="0"/>
    </xf>
    <xf numFmtId="213" fontId="108" fillId="0" borderId="0" applyNumberFormat="0" applyFill="0" applyBorder="0" applyAlignment="0" applyProtection="0"/>
    <xf numFmtId="213" fontId="18" fillId="60" borderId="0"/>
    <xf numFmtId="213" fontId="22" fillId="39" borderId="80" applyNumberFormat="0" applyAlignment="0" applyProtection="0"/>
    <xf numFmtId="213" fontId="35" fillId="0" borderId="83" applyNumberFormat="0" applyFill="0" applyAlignment="0" applyProtection="0"/>
    <xf numFmtId="213" fontId="24" fillId="0" borderId="0" applyNumberFormat="0" applyFill="0" applyBorder="0" applyAlignment="0" applyProtection="0"/>
    <xf numFmtId="213" fontId="24" fillId="0" borderId="0" applyNumberFormat="0" applyFill="0" applyBorder="0" applyAlignment="0" applyProtection="0"/>
    <xf numFmtId="213" fontId="24" fillId="0" borderId="0" applyNumberFormat="0" applyFill="0" applyBorder="0" applyAlignment="0" applyProtection="0"/>
    <xf numFmtId="213" fontId="88" fillId="0" borderId="0"/>
    <xf numFmtId="213" fontId="18" fillId="0" borderId="0" applyFont="0" applyFill="0" applyBorder="0" applyAlignment="0" applyProtection="0"/>
    <xf numFmtId="213" fontId="2" fillId="0" borderId="0"/>
    <xf numFmtId="213" fontId="112" fillId="0" borderId="0"/>
    <xf numFmtId="213" fontId="18" fillId="0" borderId="0"/>
    <xf numFmtId="213" fontId="111" fillId="0" borderId="78">
      <alignment horizontal="center" vertical="center"/>
    </xf>
    <xf numFmtId="213" fontId="18" fillId="54" borderId="81" applyNumberFormat="0" applyFont="0" applyAlignment="0" applyProtection="0"/>
    <xf numFmtId="213" fontId="18" fillId="0" borderId="0" applyFont="0" applyFill="0" applyBorder="0" applyAlignment="0" applyProtection="0"/>
    <xf numFmtId="213" fontId="113" fillId="0" borderId="0"/>
    <xf numFmtId="213" fontId="111" fillId="0" borderId="0"/>
    <xf numFmtId="213" fontId="111" fillId="0" borderId="0"/>
    <xf numFmtId="213" fontId="18" fillId="0" borderId="0"/>
    <xf numFmtId="213" fontId="18" fillId="0" borderId="0"/>
    <xf numFmtId="213" fontId="2" fillId="0" borderId="0"/>
    <xf numFmtId="213" fontId="115" fillId="0" borderId="0">
      <alignment horizontal="left"/>
    </xf>
    <xf numFmtId="213" fontId="111" fillId="0" borderId="59">
      <alignment horizontal="center" vertical="center"/>
    </xf>
    <xf numFmtId="213" fontId="18" fillId="0" borderId="0" applyNumberFormat="0" applyFill="0" applyBorder="0" applyAlignment="0" applyProtection="0"/>
    <xf numFmtId="213" fontId="116" fillId="0" borderId="0"/>
    <xf numFmtId="213" fontId="117" fillId="0" borderId="0"/>
    <xf numFmtId="213" fontId="111" fillId="0" borderId="78">
      <alignment horizontal="center" vertical="center"/>
    </xf>
    <xf numFmtId="213" fontId="18" fillId="0" borderId="0"/>
    <xf numFmtId="213" fontId="69" fillId="0" borderId="0" applyNumberFormat="0" applyFill="0" applyBorder="0" applyAlignment="0" applyProtection="0">
      <alignment vertical="top"/>
      <protection locked="0"/>
    </xf>
    <xf numFmtId="213" fontId="18" fillId="0" borderId="0"/>
    <xf numFmtId="213" fontId="19" fillId="33" borderId="0" applyNumberFormat="0" applyBorder="0" applyAlignment="0" applyProtection="0"/>
    <xf numFmtId="213" fontId="19" fillId="34" borderId="0" applyNumberFormat="0" applyBorder="0" applyAlignment="0" applyProtection="0"/>
    <xf numFmtId="213" fontId="19" fillId="35" borderId="0" applyNumberFormat="0" applyBorder="0" applyAlignment="0" applyProtection="0"/>
    <xf numFmtId="213" fontId="19" fillId="36" borderId="0" applyNumberFormat="0" applyBorder="0" applyAlignment="0" applyProtection="0"/>
    <xf numFmtId="213" fontId="19" fillId="37" borderId="0" applyNumberFormat="0" applyBorder="0" applyAlignment="0" applyProtection="0"/>
    <xf numFmtId="213" fontId="19" fillId="38" borderId="0" applyNumberFormat="0" applyBorder="0" applyAlignment="0" applyProtection="0"/>
    <xf numFmtId="213" fontId="19" fillId="40" borderId="0" applyNumberFormat="0" applyBorder="0" applyAlignment="0" applyProtection="0"/>
    <xf numFmtId="213" fontId="19" fillId="41" borderId="0" applyNumberFormat="0" applyBorder="0" applyAlignment="0" applyProtection="0"/>
    <xf numFmtId="213" fontId="19" fillId="42" borderId="0" applyNumberFormat="0" applyBorder="0" applyAlignment="0" applyProtection="0"/>
    <xf numFmtId="213" fontId="19" fillId="36" borderId="0" applyNumberFormat="0" applyBorder="0" applyAlignment="0" applyProtection="0"/>
    <xf numFmtId="213" fontId="19" fillId="40" borderId="0" applyNumberFormat="0" applyBorder="0" applyAlignment="0" applyProtection="0"/>
    <xf numFmtId="213" fontId="19" fillId="43" borderId="0" applyNumberFormat="0" applyBorder="0" applyAlignment="0" applyProtection="0"/>
    <xf numFmtId="213" fontId="20" fillId="44" borderId="0" applyNumberFormat="0" applyBorder="0" applyAlignment="0" applyProtection="0"/>
    <xf numFmtId="213" fontId="20" fillId="41" borderId="0" applyNumberFormat="0" applyBorder="0" applyAlignment="0" applyProtection="0"/>
    <xf numFmtId="213" fontId="20" fillId="42" borderId="0" applyNumberFormat="0" applyBorder="0" applyAlignment="0" applyProtection="0"/>
    <xf numFmtId="213" fontId="20" fillId="45" borderId="0" applyNumberFormat="0" applyBorder="0" applyAlignment="0" applyProtection="0"/>
    <xf numFmtId="213" fontId="20" fillId="46" borderId="0" applyNumberFormat="0" applyBorder="0" applyAlignment="0" applyProtection="0"/>
    <xf numFmtId="213" fontId="20" fillId="47" borderId="0" applyNumberFormat="0" applyBorder="0" applyAlignment="0" applyProtection="0"/>
    <xf numFmtId="213" fontId="20" fillId="48" borderId="0" applyNumberFormat="0" applyBorder="0" applyAlignment="0" applyProtection="0"/>
    <xf numFmtId="213" fontId="20" fillId="49" borderId="0" applyNumberFormat="0" applyBorder="0" applyAlignment="0" applyProtection="0"/>
    <xf numFmtId="213" fontId="20" fillId="50" borderId="0" applyNumberFormat="0" applyBorder="0" applyAlignment="0" applyProtection="0"/>
    <xf numFmtId="213" fontId="20" fillId="45" borderId="0" applyNumberFormat="0" applyBorder="0" applyAlignment="0" applyProtection="0"/>
    <xf numFmtId="213" fontId="20" fillId="46" borderId="0" applyNumberFormat="0" applyBorder="0" applyAlignment="0" applyProtection="0"/>
    <xf numFmtId="213" fontId="20" fillId="51" borderId="0" applyNumberFormat="0" applyBorder="0" applyAlignment="0" applyProtection="0"/>
    <xf numFmtId="213" fontId="21" fillId="34" borderId="0" applyNumberFormat="0" applyBorder="0" applyAlignment="0" applyProtection="0"/>
    <xf numFmtId="213" fontId="22" fillId="39" borderId="70" applyNumberFormat="0" applyAlignment="0" applyProtection="0"/>
    <xf numFmtId="213" fontId="23" fillId="52" borderId="11" applyNumberFormat="0" applyAlignment="0" applyProtection="0"/>
    <xf numFmtId="213" fontId="24" fillId="0" borderId="0" applyNumberFormat="0" applyFill="0" applyBorder="0" applyAlignment="0" applyProtection="0"/>
    <xf numFmtId="213" fontId="25" fillId="35" borderId="0" applyNumberFormat="0" applyBorder="0" applyAlignment="0" applyProtection="0"/>
    <xf numFmtId="213" fontId="29" fillId="38" borderId="70" applyNumberFormat="0" applyAlignment="0" applyProtection="0"/>
    <xf numFmtId="213" fontId="31" fillId="53" borderId="0" applyNumberFormat="0" applyBorder="0" applyAlignment="0" applyProtection="0"/>
    <xf numFmtId="213" fontId="18" fillId="54" borderId="71" applyNumberFormat="0" applyFont="0" applyAlignment="0" applyProtection="0"/>
    <xf numFmtId="213" fontId="32" fillId="39" borderId="72" applyNumberFormat="0" applyAlignment="0" applyProtection="0"/>
    <xf numFmtId="213" fontId="35" fillId="0" borderId="73" applyNumberFormat="0" applyFill="0" applyAlignment="0" applyProtection="0"/>
    <xf numFmtId="213" fontId="36" fillId="0" borderId="0" applyNumberFormat="0" applyFill="0" applyBorder="0" applyAlignment="0" applyProtection="0"/>
    <xf numFmtId="213" fontId="24" fillId="0" borderId="0" applyNumberFormat="0" applyFill="0" applyBorder="0" applyAlignment="0" applyProtection="0"/>
    <xf numFmtId="213" fontId="22" fillId="39" borderId="70" applyNumberFormat="0" applyAlignment="0" applyProtection="0"/>
    <xf numFmtId="213" fontId="24" fillId="0" borderId="0" applyNumberFormat="0" applyFill="0" applyBorder="0" applyAlignment="0" applyProtection="0"/>
    <xf numFmtId="213" fontId="29" fillId="38" borderId="70" applyNumberFormat="0" applyAlignment="0" applyProtection="0"/>
    <xf numFmtId="213" fontId="18" fillId="54" borderId="71" applyNumberFormat="0" applyFont="0" applyAlignment="0" applyProtection="0"/>
    <xf numFmtId="213" fontId="32" fillId="39" borderId="72" applyNumberFormat="0" applyAlignment="0" applyProtection="0"/>
    <xf numFmtId="213" fontId="35" fillId="0" borderId="73" applyNumberFormat="0" applyFill="0" applyAlignment="0" applyProtection="0"/>
    <xf numFmtId="213" fontId="18" fillId="0" borderId="0"/>
    <xf numFmtId="213" fontId="18" fillId="0" borderId="0"/>
    <xf numFmtId="213" fontId="2" fillId="0" borderId="0"/>
    <xf numFmtId="213" fontId="18" fillId="0" borderId="0"/>
    <xf numFmtId="213" fontId="22" fillId="39" borderId="80" applyNumberFormat="0" applyAlignment="0" applyProtection="0"/>
    <xf numFmtId="213" fontId="92" fillId="0" borderId="0" applyFont="0" applyFill="0" applyBorder="0" applyProtection="0">
      <protection locked="0"/>
    </xf>
    <xf numFmtId="213" fontId="106" fillId="60" borderId="68" applyFill="0">
      <alignment horizontal="center"/>
    </xf>
    <xf numFmtId="213" fontId="106" fillId="60" borderId="68" applyFill="0">
      <alignment horizontal="center" vertical="center"/>
    </xf>
    <xf numFmtId="213" fontId="92" fillId="0" borderId="0" applyFont="0" applyFill="0" applyBorder="0" applyProtection="0">
      <protection locked="0"/>
    </xf>
    <xf numFmtId="213" fontId="106" fillId="60" borderId="68" applyFill="0">
      <alignment horizontal="center" vertical="center"/>
    </xf>
    <xf numFmtId="213" fontId="106" fillId="60" borderId="68" applyFill="0">
      <alignment horizontal="center"/>
    </xf>
    <xf numFmtId="213" fontId="22" fillId="39" borderId="70" applyNumberFormat="0" applyAlignment="0" applyProtection="0"/>
    <xf numFmtId="213" fontId="18" fillId="54" borderId="81" applyNumberFormat="0" applyFont="0" applyAlignment="0" applyProtection="0"/>
    <xf numFmtId="213" fontId="54" fillId="0" borderId="0" applyNumberFormat="0" applyFill="0" applyBorder="0" applyAlignment="0" applyProtection="0"/>
    <xf numFmtId="213" fontId="26" fillId="0" borderId="12" applyNumberFormat="0" applyFill="0" applyAlignment="0" applyProtection="0"/>
    <xf numFmtId="213" fontId="27" fillId="0" borderId="13" applyNumberFormat="0" applyFill="0" applyAlignment="0" applyProtection="0"/>
    <xf numFmtId="213" fontId="28" fillId="0" borderId="14" applyNumberFormat="0" applyFill="0" applyAlignment="0" applyProtection="0"/>
    <xf numFmtId="213" fontId="28" fillId="0" borderId="0" applyNumberFormat="0" applyFill="0" applyBorder="0" applyAlignment="0" applyProtection="0"/>
    <xf numFmtId="213" fontId="58" fillId="0" borderId="0" applyNumberFormat="0" applyFill="0" applyBorder="0" applyAlignment="0" applyProtection="0"/>
    <xf numFmtId="213" fontId="29" fillId="38" borderId="70" applyNumberFormat="0" applyAlignment="0" applyProtection="0"/>
    <xf numFmtId="213" fontId="18" fillId="0" borderId="0" applyBorder="0"/>
    <xf numFmtId="213" fontId="19" fillId="0" borderId="0"/>
    <xf numFmtId="213" fontId="33" fillId="0" borderId="0"/>
    <xf numFmtId="213" fontId="18" fillId="54" borderId="71" applyNumberFormat="0" applyFont="0" applyAlignment="0" applyProtection="0"/>
    <xf numFmtId="213" fontId="32" fillId="39" borderId="72" applyNumberFormat="0" applyAlignment="0" applyProtection="0"/>
    <xf numFmtId="213" fontId="34" fillId="0" borderId="0" applyNumberFormat="0" applyFill="0" applyBorder="0" applyAlignment="0" applyProtection="0"/>
    <xf numFmtId="213" fontId="35" fillId="0" borderId="73" applyNumberFormat="0" applyFill="0" applyAlignment="0" applyProtection="0"/>
    <xf numFmtId="213" fontId="1" fillId="0" borderId="73" applyNumberFormat="0" applyFill="0" applyAlignment="0" applyProtection="0"/>
    <xf numFmtId="213" fontId="22" fillId="39" borderId="80" applyNumberFormat="0" applyAlignment="0" applyProtection="0"/>
    <xf numFmtId="213" fontId="18" fillId="0" borderId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24" fillId="0" borderId="0" applyNumberFormat="0" applyFill="0" applyBorder="0" applyAlignment="0" applyProtection="0"/>
    <xf numFmtId="213" fontId="24" fillId="0" borderId="0" applyNumberFormat="0" applyFill="0" applyBorder="0" applyAlignment="0" applyProtection="0"/>
    <xf numFmtId="213" fontId="24" fillId="0" borderId="0" applyNumberFormat="0" applyFill="0" applyBorder="0" applyAlignment="0" applyProtection="0"/>
    <xf numFmtId="213" fontId="24" fillId="0" borderId="0" applyNumberFormat="0" applyFill="0" applyBorder="0" applyAlignment="0" applyProtection="0"/>
    <xf numFmtId="213" fontId="29" fillId="38" borderId="80" applyNumberFormat="0" applyAlignment="0" applyProtection="0"/>
    <xf numFmtId="213" fontId="2" fillId="0" borderId="0"/>
    <xf numFmtId="213" fontId="91" fillId="0" borderId="0"/>
    <xf numFmtId="213" fontId="97" fillId="0" borderId="0" applyNumberFormat="0" applyFill="0" applyAlignment="0"/>
    <xf numFmtId="213" fontId="100" fillId="0" borderId="0" applyNumberFormat="0" applyFill="0" applyBorder="0" applyAlignment="0" applyProtection="0">
      <alignment vertical="top"/>
      <protection locked="0"/>
    </xf>
    <xf numFmtId="213" fontId="96" fillId="0" borderId="0" applyNumberFormat="0" applyFill="0" applyBorder="0" applyAlignment="0" applyProtection="0">
      <alignment vertical="top"/>
      <protection locked="0"/>
    </xf>
    <xf numFmtId="213" fontId="92" fillId="57" borderId="0" applyFill="0" applyBorder="0">
      <alignment wrapText="1"/>
    </xf>
    <xf numFmtId="213" fontId="108" fillId="0" borderId="0" applyNumberFormat="0" applyFill="0" applyBorder="0" applyAlignment="0" applyProtection="0"/>
    <xf numFmtId="213" fontId="30" fillId="0" borderId="15" applyNumberFormat="0" applyFill="0" applyAlignment="0" applyProtection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44" fillId="8" borderId="8" applyNumberFormat="0" applyFont="0" applyAlignment="0" applyProtection="0"/>
    <xf numFmtId="213" fontId="18" fillId="0" borderId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29" fillId="38" borderId="80" applyNumberFormat="0" applyAlignment="0" applyProtection="0"/>
    <xf numFmtId="213" fontId="76" fillId="39" borderId="80" applyNumberFormat="0" applyAlignment="0" applyProtection="0"/>
    <xf numFmtId="213" fontId="24" fillId="0" borderId="0" applyNumberFormat="0" applyFill="0" applyBorder="0" applyAlignment="0" applyProtection="0"/>
    <xf numFmtId="213" fontId="73" fillId="0" borderId="83" applyNumberFormat="0" applyFill="0" applyAlignment="0" applyProtection="0"/>
    <xf numFmtId="213" fontId="111" fillId="0" borderId="90">
      <alignment horizontal="center" vertical="center"/>
    </xf>
    <xf numFmtId="213" fontId="86" fillId="39" borderId="82" applyNumberFormat="0" applyAlignment="0" applyProtection="0"/>
    <xf numFmtId="213" fontId="33" fillId="54" borderId="81" applyNumberFormat="0" applyFont="0" applyAlignment="0" applyProtection="0"/>
    <xf numFmtId="213" fontId="111" fillId="0" borderId="90">
      <alignment horizontal="center" vertical="center"/>
    </xf>
    <xf numFmtId="213" fontId="70" fillId="0" borderId="0" applyFont="0" applyFill="0" applyBorder="0" applyAlignment="0" applyProtection="0"/>
    <xf numFmtId="213" fontId="1" fillId="0" borderId="83" applyNumberFormat="0" applyFill="0" applyAlignment="0" applyProtection="0"/>
    <xf numFmtId="213" fontId="35" fillId="0" borderId="83" applyNumberFormat="0" applyFill="0" applyAlignment="0" applyProtection="0"/>
    <xf numFmtId="213" fontId="111" fillId="0" borderId="79">
      <alignment horizontal="center" vertical="center"/>
    </xf>
    <xf numFmtId="213" fontId="111" fillId="0" borderId="79">
      <alignment horizontal="center" vertical="center"/>
    </xf>
    <xf numFmtId="213" fontId="35" fillId="0" borderId="83" applyNumberFormat="0" applyFill="0" applyAlignment="0" applyProtection="0"/>
    <xf numFmtId="213" fontId="32" fillId="39" borderId="82" applyNumberFormat="0" applyAlignment="0" applyProtection="0"/>
    <xf numFmtId="213" fontId="24" fillId="0" borderId="0" applyNumberFormat="0" applyFill="0" applyBorder="0" applyAlignment="0" applyProtection="0"/>
    <xf numFmtId="213" fontId="54" fillId="0" borderId="0" applyNumberFormat="0" applyFill="0" applyBorder="0" applyAlignment="0" applyProtection="0"/>
    <xf numFmtId="213" fontId="18" fillId="0" borderId="0"/>
    <xf numFmtId="213" fontId="92" fillId="0" borderId="0" applyFont="0" applyFill="0" applyBorder="0" applyProtection="0">
      <protection locked="0"/>
    </xf>
    <xf numFmtId="213" fontId="92" fillId="0" borderId="0" applyFont="0" applyFill="0" applyBorder="0" applyProtection="0">
      <protection locked="0"/>
    </xf>
    <xf numFmtId="213" fontId="92" fillId="0" borderId="0" applyFont="0" applyFill="0" applyBorder="0" applyProtection="0">
      <protection locked="0"/>
    </xf>
    <xf numFmtId="213" fontId="92" fillId="0" borderId="0" applyFont="0" applyFill="0" applyBorder="0" applyProtection="0">
      <protection locked="0"/>
    </xf>
    <xf numFmtId="213" fontId="92" fillId="0" borderId="0" applyFont="0" applyFill="0" applyBorder="0" applyProtection="0">
      <protection locked="0"/>
    </xf>
    <xf numFmtId="213" fontId="18" fillId="0" borderId="0"/>
    <xf numFmtId="213" fontId="118" fillId="33" borderId="0" applyNumberFormat="0" applyBorder="0" applyAlignment="0" applyProtection="0"/>
    <xf numFmtId="213" fontId="118" fillId="34" borderId="0" applyNumberFormat="0" applyBorder="0" applyAlignment="0" applyProtection="0"/>
    <xf numFmtId="213" fontId="118" fillId="35" borderId="0" applyNumberFormat="0" applyBorder="0" applyAlignment="0" applyProtection="0"/>
    <xf numFmtId="213" fontId="118" fillId="36" borderId="0" applyNumberFormat="0" applyBorder="0" applyAlignment="0" applyProtection="0"/>
    <xf numFmtId="213" fontId="118" fillId="37" borderId="0" applyNumberFormat="0" applyBorder="0" applyAlignment="0" applyProtection="0"/>
    <xf numFmtId="213" fontId="118" fillId="38" borderId="0" applyNumberFormat="0" applyBorder="0" applyAlignment="0" applyProtection="0"/>
    <xf numFmtId="213" fontId="118" fillId="40" borderId="0" applyNumberFormat="0" applyBorder="0" applyAlignment="0" applyProtection="0"/>
    <xf numFmtId="213" fontId="118" fillId="41" borderId="0" applyNumberFormat="0" applyBorder="0" applyAlignment="0" applyProtection="0"/>
    <xf numFmtId="213" fontId="118" fillId="42" borderId="0" applyNumberFormat="0" applyBorder="0" applyAlignment="0" applyProtection="0"/>
    <xf numFmtId="213" fontId="118" fillId="36" borderId="0" applyNumberFormat="0" applyBorder="0" applyAlignment="0" applyProtection="0"/>
    <xf numFmtId="213" fontId="118" fillId="40" borderId="0" applyNumberFormat="0" applyBorder="0" applyAlignment="0" applyProtection="0"/>
    <xf numFmtId="213" fontId="118" fillId="43" borderId="0" applyNumberFormat="0" applyBorder="0" applyAlignment="0" applyProtection="0"/>
    <xf numFmtId="213" fontId="122" fillId="44" borderId="0" applyNumberFormat="0" applyBorder="0" applyAlignment="0" applyProtection="0"/>
    <xf numFmtId="213" fontId="122" fillId="41" borderId="0" applyNumberFormat="0" applyBorder="0" applyAlignment="0" applyProtection="0"/>
    <xf numFmtId="213" fontId="122" fillId="42" borderId="0" applyNumberFormat="0" applyBorder="0" applyAlignment="0" applyProtection="0"/>
    <xf numFmtId="213" fontId="122" fillId="45" borderId="0" applyNumberFormat="0" applyBorder="0" applyAlignment="0" applyProtection="0"/>
    <xf numFmtId="213" fontId="122" fillId="46" borderId="0" applyNumberFormat="0" applyBorder="0" applyAlignment="0" applyProtection="0"/>
    <xf numFmtId="213" fontId="122" fillId="47" borderId="0" applyNumberFormat="0" applyBorder="0" applyAlignment="0" applyProtection="0"/>
    <xf numFmtId="213" fontId="122" fillId="48" borderId="0" applyNumberFormat="0" applyBorder="0" applyAlignment="0" applyProtection="0"/>
    <xf numFmtId="213" fontId="122" fillId="49" borderId="0" applyNumberFormat="0" applyBorder="0" applyAlignment="0" applyProtection="0"/>
    <xf numFmtId="213" fontId="122" fillId="50" borderId="0" applyNumberFormat="0" applyBorder="0" applyAlignment="0" applyProtection="0"/>
    <xf numFmtId="213" fontId="122" fillId="45" borderId="0" applyNumberFormat="0" applyBorder="0" applyAlignment="0" applyProtection="0"/>
    <xf numFmtId="213" fontId="122" fillId="46" borderId="0" applyNumberFormat="0" applyBorder="0" applyAlignment="0" applyProtection="0"/>
    <xf numFmtId="213" fontId="122" fillId="51" borderId="0" applyNumberFormat="0" applyBorder="0" applyAlignment="0" applyProtection="0"/>
    <xf numFmtId="213" fontId="123" fillId="34" borderId="0" applyNumberFormat="0" applyBorder="0" applyAlignment="0" applyProtection="0"/>
    <xf numFmtId="213" fontId="124" fillId="39" borderId="70" applyNumberFormat="0" applyAlignment="0" applyProtection="0"/>
    <xf numFmtId="213" fontId="125" fillId="52" borderId="11" applyNumberFormat="0" applyAlignment="0" applyProtection="0"/>
    <xf numFmtId="213" fontId="18" fillId="54" borderId="81" applyNumberFormat="0" applyFont="0" applyAlignment="0" applyProtection="0"/>
    <xf numFmtId="213" fontId="126" fillId="0" borderId="0" applyNumberFormat="0" applyFill="0" applyBorder="0" applyAlignment="0" applyProtection="0"/>
    <xf numFmtId="213" fontId="127" fillId="35" borderId="0" applyNumberFormat="0" applyBorder="0" applyAlignment="0" applyProtection="0"/>
    <xf numFmtId="213" fontId="128" fillId="0" borderId="12" applyNumberFormat="0" applyFill="0" applyAlignment="0" applyProtection="0"/>
    <xf numFmtId="213" fontId="129" fillId="0" borderId="13" applyNumberFormat="0" applyFill="0" applyAlignment="0" applyProtection="0"/>
    <xf numFmtId="213" fontId="130" fillId="0" borderId="14" applyNumberFormat="0" applyFill="0" applyAlignment="0" applyProtection="0"/>
    <xf numFmtId="213" fontId="130" fillId="0" borderId="0" applyNumberFormat="0" applyFill="0" applyBorder="0" applyAlignment="0" applyProtection="0"/>
    <xf numFmtId="213" fontId="121" fillId="0" borderId="0" applyNumberFormat="0" applyFill="0" applyBorder="0" applyAlignment="0" applyProtection="0">
      <alignment vertical="top"/>
      <protection locked="0"/>
    </xf>
    <xf numFmtId="213" fontId="131" fillId="38" borderId="70" applyNumberFormat="0" applyAlignment="0" applyProtection="0"/>
    <xf numFmtId="213" fontId="132" fillId="0" borderId="15" applyNumberFormat="0" applyFill="0" applyAlignment="0" applyProtection="0"/>
    <xf numFmtId="213" fontId="133" fillId="53" borderId="0" applyNumberFormat="0" applyBorder="0" applyAlignment="0" applyProtection="0"/>
    <xf numFmtId="213" fontId="43" fillId="0" borderId="0"/>
    <xf numFmtId="213" fontId="118" fillId="0" borderId="0"/>
    <xf numFmtId="213" fontId="118" fillId="0" borderId="0"/>
    <xf numFmtId="213" fontId="118" fillId="0" borderId="0"/>
    <xf numFmtId="213" fontId="18" fillId="54" borderId="71" applyNumberFormat="0" applyFont="0" applyAlignment="0" applyProtection="0"/>
    <xf numFmtId="213" fontId="134" fillId="39" borderId="72" applyNumberFormat="0" applyAlignment="0" applyProtection="0"/>
    <xf numFmtId="213" fontId="135" fillId="0" borderId="73" applyNumberFormat="0" applyFill="0" applyAlignment="0" applyProtection="0"/>
    <xf numFmtId="213" fontId="136" fillId="0" borderId="0" applyNumberFormat="0" applyFill="0" applyBorder="0" applyAlignment="0" applyProtection="0"/>
    <xf numFmtId="213" fontId="118" fillId="0" borderId="0"/>
    <xf numFmtId="213" fontId="118" fillId="0" borderId="0"/>
    <xf numFmtId="213" fontId="126" fillId="0" borderId="0" applyNumberFormat="0" applyFill="0" applyBorder="0" applyAlignment="0" applyProtection="0"/>
    <xf numFmtId="213" fontId="126" fillId="0" borderId="0" applyNumberFormat="0" applyFill="0" applyBorder="0" applyAlignment="0" applyProtection="0"/>
    <xf numFmtId="213" fontId="118" fillId="0" borderId="0"/>
    <xf numFmtId="213" fontId="118" fillId="0" borderId="0"/>
    <xf numFmtId="213" fontId="18" fillId="0" borderId="0"/>
    <xf numFmtId="213" fontId="18" fillId="54" borderId="71" applyNumberFormat="0" applyFont="0" applyAlignment="0" applyProtection="0"/>
    <xf numFmtId="213" fontId="76" fillId="39" borderId="70" applyNumberFormat="0" applyAlignment="0" applyProtection="0"/>
    <xf numFmtId="213" fontId="83" fillId="38" borderId="70" applyNumberFormat="0" applyAlignment="0" applyProtection="0"/>
    <xf numFmtId="213" fontId="33" fillId="54" borderId="71" applyNumberFormat="0" applyFont="0" applyAlignment="0" applyProtection="0"/>
    <xf numFmtId="213" fontId="86" fillId="39" borderId="72" applyNumberFormat="0" applyAlignment="0" applyProtection="0"/>
    <xf numFmtId="213" fontId="73" fillId="0" borderId="73" applyNumberFormat="0" applyFill="0" applyAlignment="0" applyProtection="0"/>
    <xf numFmtId="213" fontId="22" fillId="39" borderId="70" applyNumberFormat="0" applyAlignment="0" applyProtection="0"/>
    <xf numFmtId="213" fontId="29" fillId="38" borderId="70" applyNumberFormat="0" applyAlignment="0" applyProtection="0"/>
    <xf numFmtId="213" fontId="18" fillId="54" borderId="71" applyNumberFormat="0" applyFont="0" applyAlignment="0" applyProtection="0"/>
    <xf numFmtId="213" fontId="32" fillId="39" borderId="72" applyNumberFormat="0" applyAlignment="0" applyProtection="0"/>
    <xf numFmtId="213" fontId="35" fillId="0" borderId="73" applyNumberFormat="0" applyFill="0" applyAlignment="0" applyProtection="0"/>
    <xf numFmtId="213" fontId="22" fillId="39" borderId="70" applyNumberFormat="0" applyAlignment="0" applyProtection="0"/>
    <xf numFmtId="213" fontId="29" fillId="38" borderId="70" applyNumberFormat="0" applyAlignment="0" applyProtection="0"/>
    <xf numFmtId="213" fontId="18" fillId="54" borderId="71" applyNumberFormat="0" applyFont="0" applyAlignment="0" applyProtection="0"/>
    <xf numFmtId="213" fontId="32" fillId="39" borderId="72" applyNumberFormat="0" applyAlignment="0" applyProtection="0"/>
    <xf numFmtId="213" fontId="35" fillId="0" borderId="73" applyNumberFormat="0" applyFill="0" applyAlignment="0" applyProtection="0"/>
    <xf numFmtId="213" fontId="106" fillId="60" borderId="68" applyFill="0">
      <alignment horizontal="center"/>
    </xf>
    <xf numFmtId="213" fontId="106" fillId="60" borderId="68" applyFill="0">
      <alignment horizontal="center" vertical="center"/>
    </xf>
    <xf numFmtId="213" fontId="18" fillId="0" borderId="0"/>
    <xf numFmtId="213" fontId="118" fillId="0" borderId="0"/>
    <xf numFmtId="213" fontId="118" fillId="0" borderId="0"/>
    <xf numFmtId="213" fontId="118" fillId="0" borderId="0"/>
    <xf numFmtId="213" fontId="118" fillId="0" borderId="0"/>
    <xf numFmtId="213" fontId="18" fillId="0" borderId="0"/>
    <xf numFmtId="213" fontId="18" fillId="0" borderId="0"/>
    <xf numFmtId="213" fontId="18" fillId="0" borderId="0"/>
    <xf numFmtId="213" fontId="18" fillId="0" borderId="0"/>
    <xf numFmtId="213" fontId="18" fillId="0" borderId="0"/>
    <xf numFmtId="213" fontId="18" fillId="0" borderId="0"/>
    <xf numFmtId="213" fontId="18" fillId="0" borderId="0"/>
    <xf numFmtId="213" fontId="18" fillId="0" borderId="0"/>
    <xf numFmtId="213" fontId="18" fillId="0" borderId="0"/>
    <xf numFmtId="213" fontId="18" fillId="0" borderId="0"/>
    <xf numFmtId="213" fontId="18" fillId="0" borderId="0"/>
    <xf numFmtId="213" fontId="18" fillId="0" borderId="0"/>
    <xf numFmtId="213" fontId="18" fillId="0" borderId="0"/>
    <xf numFmtId="213" fontId="18" fillId="0" borderId="0"/>
    <xf numFmtId="213" fontId="18" fillId="0" borderId="0"/>
    <xf numFmtId="213" fontId="18" fillId="0" borderId="0"/>
    <xf numFmtId="213" fontId="32" fillId="39" borderId="82" applyNumberFormat="0" applyAlignment="0" applyProtection="0"/>
    <xf numFmtId="213" fontId="1" fillId="0" borderId="83" applyNumberFormat="0" applyFill="0" applyAlignment="0" applyProtection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54" borderId="71" applyNumberFormat="0" applyFont="0" applyAlignment="0" applyProtection="0"/>
    <xf numFmtId="213" fontId="18" fillId="0" borderId="0"/>
    <xf numFmtId="213" fontId="32" fillId="39" borderId="82" applyNumberFormat="0" applyAlignment="0" applyProtection="0"/>
    <xf numFmtId="213" fontId="83" fillId="38" borderId="80" applyNumberFormat="0" applyAlignment="0" applyProtection="0"/>
    <xf numFmtId="213" fontId="18" fillId="0" borderId="0"/>
    <xf numFmtId="213" fontId="18" fillId="54" borderId="71" applyNumberFormat="0" applyFont="0" applyAlignment="0" applyProtection="0"/>
    <xf numFmtId="213" fontId="18" fillId="0" borderId="0"/>
    <xf numFmtId="213" fontId="18" fillId="0" borderId="0"/>
    <xf numFmtId="213" fontId="18" fillId="0" borderId="0"/>
    <xf numFmtId="213" fontId="18" fillId="0" borderId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54" borderId="71" applyNumberFormat="0" applyFont="0" applyAlignment="0" applyProtection="0"/>
    <xf numFmtId="213" fontId="18" fillId="0" borderId="0"/>
    <xf numFmtId="213" fontId="18" fillId="0" borderId="0"/>
    <xf numFmtId="213" fontId="18" fillId="0" borderId="0"/>
    <xf numFmtId="213" fontId="18" fillId="0" borderId="0"/>
    <xf numFmtId="213" fontId="18" fillId="54" borderId="71" applyNumberFormat="0" applyFont="0" applyAlignment="0" applyProtection="0"/>
    <xf numFmtId="213" fontId="18" fillId="0" borderId="0"/>
    <xf numFmtId="213" fontId="18" fillId="0" borderId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18" fillId="0" borderId="0" applyBorder="0"/>
    <xf numFmtId="213" fontId="59" fillId="0" borderId="0" applyNumberFormat="0" applyFill="0" applyBorder="0" applyAlignment="0" applyProtection="0">
      <alignment vertical="top"/>
      <protection locked="0"/>
    </xf>
    <xf numFmtId="213" fontId="22" fillId="39" borderId="70" applyNumberFormat="0" applyAlignment="0" applyProtection="0"/>
    <xf numFmtId="213" fontId="29" fillId="38" borderId="70" applyNumberFormat="0" applyAlignment="0" applyProtection="0"/>
    <xf numFmtId="213" fontId="18" fillId="54" borderId="71" applyNumberFormat="0" applyFont="0" applyAlignment="0" applyProtection="0"/>
    <xf numFmtId="213" fontId="32" fillId="39" borderId="72" applyNumberFormat="0" applyAlignment="0" applyProtection="0"/>
    <xf numFmtId="213" fontId="35" fillId="0" borderId="73" applyNumberFormat="0" applyFill="0" applyAlignment="0" applyProtection="0"/>
    <xf numFmtId="213" fontId="1" fillId="0" borderId="73" applyNumberFormat="0" applyFill="0" applyAlignment="0" applyProtection="0"/>
    <xf numFmtId="213" fontId="18" fillId="54" borderId="71" applyNumberFormat="0" applyFont="0" applyAlignment="0" applyProtection="0"/>
    <xf numFmtId="213" fontId="76" fillId="39" borderId="70" applyNumberFormat="0" applyAlignment="0" applyProtection="0"/>
    <xf numFmtId="213" fontId="83" fillId="38" borderId="70" applyNumberFormat="0" applyAlignment="0" applyProtection="0"/>
    <xf numFmtId="213" fontId="33" fillId="54" borderId="71" applyNumberFormat="0" applyFont="0" applyAlignment="0" applyProtection="0"/>
    <xf numFmtId="213" fontId="86" fillId="39" borderId="72" applyNumberFormat="0" applyAlignment="0" applyProtection="0"/>
    <xf numFmtId="213" fontId="73" fillId="0" borderId="73" applyNumberFormat="0" applyFill="0" applyAlignment="0" applyProtection="0"/>
    <xf numFmtId="213" fontId="106" fillId="60" borderId="68" applyFill="0">
      <alignment horizontal="center"/>
    </xf>
    <xf numFmtId="213" fontId="106" fillId="60" borderId="68" applyFill="0">
      <alignment horizontal="center" vertical="center"/>
    </xf>
    <xf numFmtId="213" fontId="111" fillId="0" borderId="78">
      <alignment horizontal="center" vertical="center"/>
    </xf>
    <xf numFmtId="213" fontId="111" fillId="0" borderId="78">
      <alignment horizontal="center" vertical="center"/>
    </xf>
    <xf numFmtId="213" fontId="22" fillId="39" borderId="70" applyNumberFormat="0" applyAlignment="0" applyProtection="0"/>
    <xf numFmtId="213" fontId="29" fillId="38" borderId="70" applyNumberFormat="0" applyAlignment="0" applyProtection="0"/>
    <xf numFmtId="213" fontId="18" fillId="54" borderId="71" applyNumberFormat="0" applyFont="0" applyAlignment="0" applyProtection="0"/>
    <xf numFmtId="213" fontId="32" fillId="39" borderId="72" applyNumberFormat="0" applyAlignment="0" applyProtection="0"/>
    <xf numFmtId="213" fontId="35" fillId="0" borderId="73" applyNumberFormat="0" applyFill="0" applyAlignment="0" applyProtection="0"/>
    <xf numFmtId="213" fontId="22" fillId="39" borderId="70" applyNumberFormat="0" applyAlignment="0" applyProtection="0"/>
    <xf numFmtId="213" fontId="29" fillId="38" borderId="70" applyNumberFormat="0" applyAlignment="0" applyProtection="0"/>
    <xf numFmtId="213" fontId="18" fillId="54" borderId="71" applyNumberFormat="0" applyFont="0" applyAlignment="0" applyProtection="0"/>
    <xf numFmtId="213" fontId="32" fillId="39" borderId="72" applyNumberFormat="0" applyAlignment="0" applyProtection="0"/>
    <xf numFmtId="213" fontId="35" fillId="0" borderId="73" applyNumberFormat="0" applyFill="0" applyAlignment="0" applyProtection="0"/>
    <xf numFmtId="213" fontId="106" fillId="60" borderId="68" applyFill="0">
      <alignment horizontal="center"/>
    </xf>
    <xf numFmtId="213" fontId="106" fillId="60" borderId="68" applyFill="0">
      <alignment horizontal="center" vertical="center"/>
    </xf>
    <xf numFmtId="213" fontId="106" fillId="60" borderId="68" applyFill="0">
      <alignment horizontal="center" vertical="center"/>
    </xf>
    <xf numFmtId="213" fontId="106" fillId="60" borderId="68" applyFill="0">
      <alignment horizontal="center"/>
    </xf>
    <xf numFmtId="213" fontId="22" fillId="39" borderId="70" applyNumberFormat="0" applyAlignment="0" applyProtection="0"/>
    <xf numFmtId="213" fontId="29" fillId="38" borderId="70" applyNumberFormat="0" applyAlignment="0" applyProtection="0"/>
    <xf numFmtId="213" fontId="18" fillId="54" borderId="71" applyNumberFormat="0" applyFont="0" applyAlignment="0" applyProtection="0"/>
    <xf numFmtId="213" fontId="32" fillId="39" borderId="72" applyNumberFormat="0" applyAlignment="0" applyProtection="0"/>
    <xf numFmtId="213" fontId="35" fillId="0" borderId="73" applyNumberFormat="0" applyFill="0" applyAlignment="0" applyProtection="0"/>
    <xf numFmtId="213" fontId="1" fillId="0" borderId="73" applyNumberFormat="0" applyFill="0" applyAlignment="0" applyProtection="0"/>
    <xf numFmtId="213" fontId="124" fillId="39" borderId="70" applyNumberFormat="0" applyAlignment="0" applyProtection="0"/>
    <xf numFmtId="213" fontId="131" fillId="38" borderId="70" applyNumberFormat="0" applyAlignment="0" applyProtection="0"/>
    <xf numFmtId="213" fontId="18" fillId="54" borderId="71" applyNumberFormat="0" applyFont="0" applyAlignment="0" applyProtection="0"/>
    <xf numFmtId="213" fontId="134" fillId="39" borderId="72" applyNumberFormat="0" applyAlignment="0" applyProtection="0"/>
    <xf numFmtId="213" fontId="135" fillId="0" borderId="73" applyNumberFormat="0" applyFill="0" applyAlignment="0" applyProtection="0"/>
    <xf numFmtId="213" fontId="18" fillId="54" borderId="71" applyNumberFormat="0" applyFont="0" applyAlignment="0" applyProtection="0"/>
    <xf numFmtId="213" fontId="76" fillId="39" borderId="70" applyNumberFormat="0" applyAlignment="0" applyProtection="0"/>
    <xf numFmtId="213" fontId="83" fillId="38" borderId="70" applyNumberFormat="0" applyAlignment="0" applyProtection="0"/>
    <xf numFmtId="213" fontId="33" fillId="54" borderId="71" applyNumberFormat="0" applyFont="0" applyAlignment="0" applyProtection="0"/>
    <xf numFmtId="213" fontId="86" fillId="39" borderId="72" applyNumberFormat="0" applyAlignment="0" applyProtection="0"/>
    <xf numFmtId="213" fontId="73" fillId="0" borderId="73" applyNumberFormat="0" applyFill="0" applyAlignment="0" applyProtection="0"/>
    <xf numFmtId="213" fontId="22" fillId="39" borderId="70" applyNumberFormat="0" applyAlignment="0" applyProtection="0"/>
    <xf numFmtId="213" fontId="29" fillId="38" borderId="70" applyNumberFormat="0" applyAlignment="0" applyProtection="0"/>
    <xf numFmtId="213" fontId="18" fillId="54" borderId="71" applyNumberFormat="0" applyFont="0" applyAlignment="0" applyProtection="0"/>
    <xf numFmtId="213" fontId="32" fillId="39" borderId="72" applyNumberFormat="0" applyAlignment="0" applyProtection="0"/>
    <xf numFmtId="213" fontId="35" fillId="0" borderId="73" applyNumberFormat="0" applyFill="0" applyAlignment="0" applyProtection="0"/>
    <xf numFmtId="213" fontId="22" fillId="39" borderId="70" applyNumberFormat="0" applyAlignment="0" applyProtection="0"/>
    <xf numFmtId="213" fontId="29" fillId="38" borderId="70" applyNumberFormat="0" applyAlignment="0" applyProtection="0"/>
    <xf numFmtId="213" fontId="18" fillId="54" borderId="71" applyNumberFormat="0" applyFont="0" applyAlignment="0" applyProtection="0"/>
    <xf numFmtId="213" fontId="32" fillId="39" borderId="72" applyNumberFormat="0" applyAlignment="0" applyProtection="0"/>
    <xf numFmtId="213" fontId="35" fillId="0" borderId="73" applyNumberFormat="0" applyFill="0" applyAlignment="0" applyProtection="0"/>
    <xf numFmtId="213" fontId="106" fillId="60" borderId="68" applyFill="0">
      <alignment horizontal="center"/>
    </xf>
    <xf numFmtId="213" fontId="106" fillId="60" borderId="68" applyFill="0">
      <alignment horizontal="center" vertical="center"/>
    </xf>
    <xf numFmtId="213" fontId="18" fillId="54" borderId="71" applyNumberFormat="0" applyFont="0" applyAlignment="0" applyProtection="0"/>
    <xf numFmtId="213" fontId="18" fillId="54" borderId="71" applyNumberFormat="0" applyFont="0" applyAlignment="0" applyProtection="0"/>
    <xf numFmtId="213" fontId="18" fillId="54" borderId="71" applyNumberFormat="0" applyFont="0" applyAlignment="0" applyProtection="0"/>
    <xf numFmtId="213" fontId="18" fillId="54" borderId="71" applyNumberFormat="0" applyFont="0" applyAlignment="0" applyProtection="0"/>
    <xf numFmtId="213" fontId="156" fillId="0" borderId="0" applyBorder="0"/>
    <xf numFmtId="213" fontId="18" fillId="0" borderId="0"/>
    <xf numFmtId="213" fontId="29" fillId="38" borderId="80" applyNumberFormat="0" applyAlignment="0" applyProtection="0"/>
    <xf numFmtId="213" fontId="2" fillId="0" borderId="0"/>
    <xf numFmtId="213" fontId="18" fillId="0" borderId="0" applyBorder="0"/>
    <xf numFmtId="213" fontId="156" fillId="0" borderId="0" applyBorder="0"/>
    <xf numFmtId="213" fontId="156" fillId="0" borderId="0" applyBorder="0"/>
    <xf numFmtId="213" fontId="156" fillId="0" borderId="0" applyBorder="0"/>
    <xf numFmtId="213" fontId="156" fillId="0" borderId="0" applyBorder="0"/>
    <xf numFmtId="213" fontId="156" fillId="0" borderId="0" applyBorder="0"/>
    <xf numFmtId="213" fontId="156" fillId="0" borderId="0" applyBorder="0"/>
    <xf numFmtId="213" fontId="156" fillId="0" borderId="0" applyBorder="0"/>
    <xf numFmtId="213" fontId="124" fillId="39" borderId="80" applyNumberFormat="0" applyAlignment="0" applyProtection="0"/>
    <xf numFmtId="213" fontId="131" fillId="38" borderId="80" applyNumberFormat="0" applyAlignment="0" applyProtection="0"/>
    <xf numFmtId="213" fontId="18" fillId="54" borderId="81" applyNumberFormat="0" applyFont="0" applyAlignment="0" applyProtection="0"/>
    <xf numFmtId="213" fontId="134" fillId="39" borderId="82" applyNumberFormat="0" applyAlignment="0" applyProtection="0"/>
    <xf numFmtId="213" fontId="135" fillId="0" borderId="83" applyNumberFormat="0" applyFill="0" applyAlignment="0" applyProtection="0"/>
    <xf numFmtId="213" fontId="18" fillId="54" borderId="81" applyNumberFormat="0" applyFont="0" applyAlignment="0" applyProtection="0"/>
    <xf numFmtId="213" fontId="76" fillId="39" borderId="80" applyNumberFormat="0" applyAlignment="0" applyProtection="0"/>
    <xf numFmtId="213" fontId="83" fillId="38" borderId="80" applyNumberFormat="0" applyAlignment="0" applyProtection="0"/>
    <xf numFmtId="213" fontId="33" fillId="54" borderId="81" applyNumberFormat="0" applyFont="0" applyAlignment="0" applyProtection="0"/>
    <xf numFmtId="213" fontId="86" fillId="39" borderId="82" applyNumberFormat="0" applyAlignment="0" applyProtection="0"/>
    <xf numFmtId="213" fontId="73" fillId="0" borderId="83" applyNumberFormat="0" applyFill="0" applyAlignment="0" applyProtection="0"/>
    <xf numFmtId="213" fontId="22" fillId="39" borderId="80" applyNumberFormat="0" applyAlignment="0" applyProtection="0"/>
    <xf numFmtId="213" fontId="29" fillId="38" borderId="80" applyNumberFormat="0" applyAlignment="0" applyProtection="0"/>
    <xf numFmtId="213" fontId="18" fillId="54" borderId="81" applyNumberFormat="0" applyFont="0" applyAlignment="0" applyProtection="0"/>
    <xf numFmtId="213" fontId="32" fillId="39" borderId="82" applyNumberFormat="0" applyAlignment="0" applyProtection="0"/>
    <xf numFmtId="213" fontId="35" fillId="0" borderId="83" applyNumberFormat="0" applyFill="0" applyAlignment="0" applyProtection="0"/>
    <xf numFmtId="213" fontId="22" fillId="39" borderId="80" applyNumberFormat="0" applyAlignment="0" applyProtection="0"/>
    <xf numFmtId="213" fontId="29" fillId="38" borderId="80" applyNumberFormat="0" applyAlignment="0" applyProtection="0"/>
    <xf numFmtId="213" fontId="18" fillId="54" borderId="81" applyNumberFormat="0" applyFont="0" applyAlignment="0" applyProtection="0"/>
    <xf numFmtId="213" fontId="32" fillId="39" borderId="82" applyNumberFormat="0" applyAlignment="0" applyProtection="0"/>
    <xf numFmtId="213" fontId="35" fillId="0" borderId="83" applyNumberFormat="0" applyFill="0" applyAlignment="0" applyProtection="0"/>
    <xf numFmtId="213" fontId="70" fillId="0" borderId="0" applyFont="0" applyFill="0" applyBorder="0" applyAlignment="0" applyProtection="0"/>
    <xf numFmtId="213" fontId="18" fillId="54" borderId="81" applyNumberFormat="0" applyFont="0" applyAlignment="0" applyProtection="0"/>
    <xf numFmtId="213" fontId="18" fillId="54" borderId="81" applyNumberFormat="0" applyFont="0" applyAlignment="0" applyProtection="0"/>
    <xf numFmtId="213" fontId="18" fillId="54" borderId="81" applyNumberFormat="0" applyFont="0" applyAlignment="0" applyProtection="0"/>
    <xf numFmtId="213" fontId="18" fillId="54" borderId="81" applyNumberFormat="0" applyFont="0" applyAlignment="0" applyProtection="0"/>
    <xf numFmtId="213" fontId="22" fillId="39" borderId="86" applyNumberFormat="0" applyAlignment="0" applyProtection="0"/>
    <xf numFmtId="213" fontId="29" fillId="38" borderId="86" applyNumberFormat="0" applyAlignment="0" applyProtection="0"/>
    <xf numFmtId="213" fontId="18" fillId="54" borderId="87" applyNumberFormat="0" applyFont="0" applyAlignment="0" applyProtection="0"/>
    <xf numFmtId="213" fontId="32" fillId="39" borderId="88" applyNumberFormat="0" applyAlignment="0" applyProtection="0"/>
    <xf numFmtId="213" fontId="35" fillId="0" borderId="89" applyNumberFormat="0" applyFill="0" applyAlignment="0" applyProtection="0"/>
    <xf numFmtId="213" fontId="1" fillId="0" borderId="89" applyNumberFormat="0" applyFill="0" applyAlignment="0" applyProtection="0"/>
    <xf numFmtId="213" fontId="18" fillId="54" borderId="87" applyNumberFormat="0" applyFont="0" applyAlignment="0" applyProtection="0"/>
    <xf numFmtId="213" fontId="76" fillId="39" borderId="86" applyNumberFormat="0" applyAlignment="0" applyProtection="0"/>
    <xf numFmtId="213" fontId="83" fillId="38" borderId="86" applyNumberFormat="0" applyAlignment="0" applyProtection="0"/>
    <xf numFmtId="213" fontId="33" fillId="54" borderId="87" applyNumberFormat="0" applyFont="0" applyAlignment="0" applyProtection="0"/>
    <xf numFmtId="213" fontId="86" fillId="39" borderId="88" applyNumberFormat="0" applyAlignment="0" applyProtection="0"/>
    <xf numFmtId="213" fontId="73" fillId="0" borderId="89" applyNumberFormat="0" applyFill="0" applyAlignment="0" applyProtection="0"/>
    <xf numFmtId="201" fontId="18" fillId="0" borderId="84" applyFont="0" applyFill="0" applyBorder="0" applyAlignment="0" applyProtection="0">
      <alignment horizontal="left"/>
      <protection locked="0"/>
    </xf>
    <xf numFmtId="207" fontId="18" fillId="58" borderId="84" applyFont="0" applyFill="0" applyBorder="0" applyAlignment="0" applyProtection="0"/>
    <xf numFmtId="213" fontId="106" fillId="60" borderId="84" applyFill="0">
      <alignment horizontal="center"/>
    </xf>
    <xf numFmtId="213" fontId="106" fillId="60" borderId="84" applyFill="0">
      <alignment horizontal="center" vertical="center"/>
    </xf>
    <xf numFmtId="196" fontId="107" fillId="0" borderId="84" applyFont="0" applyFill="0" applyBorder="0" applyAlignment="0" applyProtection="0">
      <alignment horizontal="left"/>
      <protection locked="0"/>
    </xf>
    <xf numFmtId="205" fontId="107" fillId="0" borderId="84">
      <alignment horizontal="left"/>
      <protection locked="0"/>
    </xf>
    <xf numFmtId="213" fontId="111" fillId="0" borderId="85">
      <alignment horizontal="center" vertical="center"/>
    </xf>
    <xf numFmtId="213" fontId="111" fillId="0" borderId="85">
      <alignment horizontal="center" vertical="center"/>
    </xf>
    <xf numFmtId="213" fontId="22" fillId="39" borderId="86" applyNumberFormat="0" applyAlignment="0" applyProtection="0"/>
    <xf numFmtId="213" fontId="29" fillId="38" borderId="86" applyNumberFormat="0" applyAlignment="0" applyProtection="0"/>
    <xf numFmtId="213" fontId="18" fillId="54" borderId="87" applyNumberFormat="0" applyFont="0" applyAlignment="0" applyProtection="0"/>
    <xf numFmtId="213" fontId="32" fillId="39" borderId="88" applyNumberFormat="0" applyAlignment="0" applyProtection="0"/>
    <xf numFmtId="213" fontId="35" fillId="0" borderId="89" applyNumberFormat="0" applyFill="0" applyAlignment="0" applyProtection="0"/>
    <xf numFmtId="213" fontId="22" fillId="39" borderId="86" applyNumberFormat="0" applyAlignment="0" applyProtection="0"/>
    <xf numFmtId="213" fontId="29" fillId="38" borderId="86" applyNumberFormat="0" applyAlignment="0" applyProtection="0"/>
    <xf numFmtId="213" fontId="18" fillId="54" borderId="87" applyNumberFormat="0" applyFont="0" applyAlignment="0" applyProtection="0"/>
    <xf numFmtId="213" fontId="32" fillId="39" borderId="88" applyNumberFormat="0" applyAlignment="0" applyProtection="0"/>
    <xf numFmtId="213" fontId="35" fillId="0" borderId="89" applyNumberFormat="0" applyFill="0" applyAlignment="0" applyProtection="0"/>
    <xf numFmtId="201" fontId="18" fillId="0" borderId="84" applyFont="0" applyFill="0" applyBorder="0" applyAlignment="0" applyProtection="0">
      <alignment horizontal="left"/>
      <protection locked="0"/>
    </xf>
    <xf numFmtId="207" fontId="18" fillId="58" borderId="84" applyFont="0" applyFill="0" applyBorder="0" applyAlignment="0" applyProtection="0"/>
    <xf numFmtId="207" fontId="18" fillId="58" borderId="84" applyFont="0" applyFill="0" applyBorder="0" applyAlignment="0" applyProtection="0"/>
    <xf numFmtId="213" fontId="106" fillId="60" borderId="84" applyFill="0">
      <alignment horizontal="center"/>
    </xf>
    <xf numFmtId="213" fontId="106" fillId="60" borderId="84" applyFill="0">
      <alignment horizontal="center" vertical="center"/>
    </xf>
    <xf numFmtId="196" fontId="107" fillId="0" borderId="84" applyFont="0" applyFill="0" applyBorder="0" applyAlignment="0" applyProtection="0">
      <alignment horizontal="left"/>
      <protection locked="0"/>
    </xf>
    <xf numFmtId="205" fontId="107" fillId="0" borderId="84">
      <alignment horizontal="left"/>
      <protection locked="0"/>
    </xf>
    <xf numFmtId="201" fontId="18" fillId="0" borderId="84" applyFont="0" applyFill="0" applyBorder="0" applyAlignment="0" applyProtection="0">
      <alignment horizontal="left"/>
      <protection locked="0"/>
    </xf>
    <xf numFmtId="213" fontId="106" fillId="60" borderId="84" applyFill="0">
      <alignment horizontal="center" vertical="center"/>
    </xf>
    <xf numFmtId="213" fontId="106" fillId="60" borderId="84" applyFill="0">
      <alignment horizontal="center"/>
    </xf>
    <xf numFmtId="213" fontId="22" fillId="39" borderId="86" applyNumberFormat="0" applyAlignment="0" applyProtection="0"/>
    <xf numFmtId="213" fontId="29" fillId="38" borderId="86" applyNumberFormat="0" applyAlignment="0" applyProtection="0"/>
    <xf numFmtId="205" fontId="107" fillId="0" borderId="84">
      <alignment horizontal="left"/>
      <protection locked="0"/>
    </xf>
    <xf numFmtId="213" fontId="18" fillId="54" borderId="87" applyNumberFormat="0" applyFont="0" applyAlignment="0" applyProtection="0"/>
    <xf numFmtId="213" fontId="32" fillId="39" borderId="88" applyNumberFormat="0" applyAlignment="0" applyProtection="0"/>
    <xf numFmtId="213" fontId="35" fillId="0" borderId="89" applyNumberFormat="0" applyFill="0" applyAlignment="0" applyProtection="0"/>
    <xf numFmtId="213" fontId="1" fillId="0" borderId="89" applyNumberFormat="0" applyFill="0" applyAlignment="0" applyProtection="0"/>
    <xf numFmtId="196" fontId="107" fillId="0" borderId="84" applyFont="0" applyFill="0" applyBorder="0" applyAlignment="0" applyProtection="0">
      <alignment horizontal="left"/>
      <protection locked="0"/>
    </xf>
    <xf numFmtId="213" fontId="124" fillId="39" borderId="86" applyNumberFormat="0" applyAlignment="0" applyProtection="0"/>
    <xf numFmtId="213" fontId="131" fillId="38" borderId="86" applyNumberFormat="0" applyAlignment="0" applyProtection="0"/>
    <xf numFmtId="213" fontId="18" fillId="54" borderId="87" applyNumberFormat="0" applyFont="0" applyAlignment="0" applyProtection="0"/>
    <xf numFmtId="213" fontId="134" fillId="39" borderId="88" applyNumberFormat="0" applyAlignment="0" applyProtection="0"/>
    <xf numFmtId="213" fontId="135" fillId="0" borderId="89" applyNumberFormat="0" applyFill="0" applyAlignment="0" applyProtection="0"/>
    <xf numFmtId="213" fontId="18" fillId="54" borderId="87" applyNumberFormat="0" applyFont="0" applyAlignment="0" applyProtection="0"/>
    <xf numFmtId="213" fontId="76" fillId="39" borderId="86" applyNumberFormat="0" applyAlignment="0" applyProtection="0"/>
    <xf numFmtId="213" fontId="83" fillId="38" borderId="86" applyNumberFormat="0" applyAlignment="0" applyProtection="0"/>
    <xf numFmtId="213" fontId="33" fillId="54" borderId="87" applyNumberFormat="0" applyFont="0" applyAlignment="0" applyProtection="0"/>
    <xf numFmtId="213" fontId="86" fillId="39" borderId="88" applyNumberFormat="0" applyAlignment="0" applyProtection="0"/>
    <xf numFmtId="213" fontId="73" fillId="0" borderId="89" applyNumberFormat="0" applyFill="0" applyAlignment="0" applyProtection="0"/>
    <xf numFmtId="213" fontId="22" fillId="39" borderId="86" applyNumberFormat="0" applyAlignment="0" applyProtection="0"/>
    <xf numFmtId="213" fontId="29" fillId="38" borderId="86" applyNumberFormat="0" applyAlignment="0" applyProtection="0"/>
    <xf numFmtId="213" fontId="18" fillId="54" borderId="87" applyNumberFormat="0" applyFont="0" applyAlignment="0" applyProtection="0"/>
    <xf numFmtId="213" fontId="32" fillId="39" borderId="88" applyNumberFormat="0" applyAlignment="0" applyProtection="0"/>
    <xf numFmtId="213" fontId="35" fillId="0" borderId="89" applyNumberFormat="0" applyFill="0" applyAlignment="0" applyProtection="0"/>
    <xf numFmtId="213" fontId="22" fillId="39" borderId="86" applyNumberFormat="0" applyAlignment="0" applyProtection="0"/>
    <xf numFmtId="213" fontId="29" fillId="38" borderId="86" applyNumberFormat="0" applyAlignment="0" applyProtection="0"/>
    <xf numFmtId="213" fontId="18" fillId="54" borderId="87" applyNumberFormat="0" applyFont="0" applyAlignment="0" applyProtection="0"/>
    <xf numFmtId="213" fontId="32" fillId="39" borderId="88" applyNumberFormat="0" applyAlignment="0" applyProtection="0"/>
    <xf numFmtId="213" fontId="35" fillId="0" borderId="89" applyNumberFormat="0" applyFill="0" applyAlignment="0" applyProtection="0"/>
    <xf numFmtId="201" fontId="18" fillId="0" borderId="84" applyFont="0" applyFill="0" applyBorder="0" applyAlignment="0" applyProtection="0">
      <alignment horizontal="left"/>
      <protection locked="0"/>
    </xf>
    <xf numFmtId="207" fontId="18" fillId="58" borderId="84" applyFont="0" applyFill="0" applyBorder="0" applyAlignment="0" applyProtection="0"/>
    <xf numFmtId="213" fontId="106" fillId="60" borderId="84" applyFill="0">
      <alignment horizontal="center"/>
    </xf>
    <xf numFmtId="213" fontId="106" fillId="60" borderId="84" applyFill="0">
      <alignment horizontal="center" vertical="center"/>
    </xf>
    <xf numFmtId="196" fontId="107" fillId="0" borderId="84" applyFont="0" applyFill="0" applyBorder="0" applyAlignment="0" applyProtection="0">
      <alignment horizontal="left"/>
      <protection locked="0"/>
    </xf>
    <xf numFmtId="205" fontId="107" fillId="0" borderId="84">
      <alignment horizontal="left"/>
      <protection locked="0"/>
    </xf>
    <xf numFmtId="213" fontId="18" fillId="54" borderId="87" applyNumberFormat="0" applyFont="0" applyAlignment="0" applyProtection="0"/>
    <xf numFmtId="213" fontId="18" fillId="54" borderId="87" applyNumberFormat="0" applyFont="0" applyAlignment="0" applyProtection="0"/>
    <xf numFmtId="213" fontId="18" fillId="54" borderId="87" applyNumberFormat="0" applyFont="0" applyAlignment="0" applyProtection="0"/>
    <xf numFmtId="213" fontId="18" fillId="54" borderId="87" applyNumberFormat="0" applyFont="0" applyAlignment="0" applyProtection="0"/>
    <xf numFmtId="213" fontId="54" fillId="0" borderId="0" applyNumberFormat="0" applyFill="0" applyBorder="0" applyAlignment="0" applyProtection="0"/>
    <xf numFmtId="213" fontId="111" fillId="0" borderId="90">
      <alignment horizontal="center" vertical="center"/>
    </xf>
    <xf numFmtId="213" fontId="111" fillId="0" borderId="90">
      <alignment horizontal="center" vertical="center"/>
    </xf>
    <xf numFmtId="0" fontId="59" fillId="0" borderId="0" applyNumberFormat="0" applyFill="0" applyBorder="0" applyAlignment="0" applyProtection="0">
      <alignment vertical="top"/>
      <protection locked="0"/>
    </xf>
    <xf numFmtId="0" fontId="33" fillId="0" borderId="0"/>
  </cellStyleXfs>
  <cellXfs count="918">
    <xf numFmtId="212" fontId="0" fillId="0" borderId="0" xfId="0"/>
    <xf numFmtId="166" fontId="0" fillId="0" borderId="0" xfId="1" applyNumberFormat="1" applyFont="1"/>
    <xf numFmtId="167" fontId="1" fillId="0" borderId="0" xfId="1" applyNumberFormat="1" applyFont="1" applyAlignment="1">
      <alignment horizontal="center"/>
    </xf>
    <xf numFmtId="167" fontId="1" fillId="0" borderId="0" xfId="1" applyNumberFormat="1" applyFont="1" applyFill="1" applyAlignment="1">
      <alignment horizontal="center"/>
    </xf>
    <xf numFmtId="166" fontId="1" fillId="0" borderId="0" xfId="1" applyNumberFormat="1" applyFont="1" applyAlignment="1">
      <alignment horizontal="center"/>
    </xf>
    <xf numFmtId="167" fontId="2" fillId="0" borderId="0" xfId="1" applyNumberFormat="1" applyFont="1" applyFill="1" applyBorder="1" applyAlignment="1">
      <alignment horizontal="right"/>
    </xf>
    <xf numFmtId="167" fontId="0" fillId="0" borderId="0" xfId="1" applyNumberFormat="1" applyFont="1"/>
    <xf numFmtId="167" fontId="0" fillId="0" borderId="0" xfId="1" applyNumberFormat="1" applyFont="1" applyFill="1"/>
    <xf numFmtId="167" fontId="0" fillId="0" borderId="59" xfId="1" applyNumberFormat="1" applyFont="1" applyFill="1" applyBorder="1"/>
    <xf numFmtId="1" fontId="150" fillId="0" borderId="0" xfId="0" applyNumberFormat="1" applyFont="1" applyAlignment="1">
      <alignment horizontal="center"/>
    </xf>
    <xf numFmtId="167" fontId="1" fillId="0" borderId="59" xfId="1" applyNumberFormat="1" applyFont="1" applyFill="1" applyBorder="1"/>
    <xf numFmtId="166" fontId="1" fillId="0" borderId="0" xfId="1" applyNumberFormat="1" applyFont="1" applyBorder="1" applyAlignment="1">
      <alignment horizontal="left" wrapText="1"/>
    </xf>
    <xf numFmtId="167" fontId="0" fillId="0" borderId="0" xfId="1" applyNumberFormat="1" applyFont="1" applyBorder="1" applyAlignment="1">
      <alignment horizontal="left" wrapText="1"/>
    </xf>
    <xf numFmtId="167" fontId="1" fillId="0" borderId="0" xfId="1" applyNumberFormat="1" applyFont="1" applyBorder="1" applyAlignment="1">
      <alignment horizontal="left" wrapText="1"/>
    </xf>
    <xf numFmtId="166" fontId="0" fillId="0" borderId="0" xfId="1" applyNumberFormat="1" applyFont="1" applyBorder="1" applyAlignment="1">
      <alignment horizontal="left" wrapText="1"/>
    </xf>
    <xf numFmtId="167" fontId="1" fillId="0" borderId="0" xfId="1" applyNumberFormat="1" applyFont="1" applyFill="1" applyBorder="1" applyAlignment="1">
      <alignment horizontal="center"/>
    </xf>
    <xf numFmtId="167" fontId="1" fillId="0" borderId="59" xfId="1" applyNumberFormat="1" applyFont="1" applyFill="1" applyBorder="1" applyAlignment="1">
      <alignment horizontal="center"/>
    </xf>
    <xf numFmtId="167" fontId="0" fillId="0" borderId="0" xfId="1" applyNumberFormat="1" applyFont="1" applyFill="1" applyBorder="1"/>
    <xf numFmtId="167" fontId="1" fillId="0" borderId="0" xfId="1" applyNumberFormat="1" applyFont="1" applyFill="1" applyBorder="1"/>
    <xf numFmtId="167" fontId="1" fillId="0" borderId="0" xfId="1" applyNumberFormat="1" applyFont="1" applyFill="1" applyBorder="1" applyAlignment="1">
      <alignment horizontal="center" wrapText="1"/>
    </xf>
    <xf numFmtId="9" fontId="0" fillId="0" borderId="0" xfId="385" applyFont="1"/>
    <xf numFmtId="167" fontId="1" fillId="0" borderId="0" xfId="1" applyNumberFormat="1" applyFont="1" applyFill="1" applyBorder="1" applyAlignment="1">
      <alignment horizontal="left" wrapText="1"/>
    </xf>
    <xf numFmtId="167" fontId="1" fillId="0" borderId="0" xfId="1" applyNumberFormat="1" applyFont="1" applyFill="1" applyBorder="1" applyAlignment="1"/>
    <xf numFmtId="167" fontId="2" fillId="0" borderId="0" xfId="1" applyNumberFormat="1" applyFont="1" applyProtection="1"/>
    <xf numFmtId="167" fontId="2" fillId="0" borderId="0" xfId="1" applyNumberFormat="1" applyFont="1" applyFill="1" applyBorder="1" applyAlignment="1" applyProtection="1">
      <alignment wrapText="1"/>
    </xf>
    <xf numFmtId="167" fontId="0" fillId="0" borderId="0" xfId="1" applyNumberFormat="1" applyFont="1" applyFill="1" applyBorder="1" applyAlignment="1" applyProtection="1">
      <alignment wrapText="1"/>
    </xf>
    <xf numFmtId="167" fontId="2" fillId="0" borderId="0" xfId="1" applyNumberFormat="1" applyFont="1" applyFill="1" applyBorder="1" applyProtection="1"/>
    <xf numFmtId="167" fontId="1" fillId="0" borderId="0" xfId="1" applyNumberFormat="1" applyFont="1" applyFill="1" applyBorder="1" applyProtection="1"/>
    <xf numFmtId="167" fontId="1" fillId="0" borderId="59" xfId="1" applyNumberFormat="1" applyFont="1" applyFill="1" applyBorder="1" applyProtection="1"/>
    <xf numFmtId="167" fontId="0" fillId="0" borderId="0" xfId="1" applyNumberFormat="1" applyFont="1" applyFill="1" applyProtection="1"/>
    <xf numFmtId="167" fontId="0" fillId="0" borderId="0" xfId="1" applyNumberFormat="1" applyFont="1" applyProtection="1"/>
    <xf numFmtId="167" fontId="0" fillId="0" borderId="0" xfId="1" applyNumberFormat="1" applyFont="1" applyFill="1" applyBorder="1" applyProtection="1"/>
    <xf numFmtId="167" fontId="1" fillId="0" borderId="0" xfId="1" applyNumberFormat="1" applyFont="1" applyFill="1" applyBorder="1" applyAlignment="1" applyProtection="1">
      <alignment horizontal="center" wrapText="1"/>
    </xf>
    <xf numFmtId="167" fontId="0" fillId="0" borderId="0" xfId="1" applyNumberFormat="1" applyFont="1" applyFill="1" applyBorder="1" applyAlignment="1" applyProtection="1">
      <alignment horizontal="center" wrapText="1"/>
    </xf>
    <xf numFmtId="3" fontId="1" fillId="0" borderId="0" xfId="0" applyNumberFormat="1" applyFont="1" applyFill="1" applyBorder="1" applyProtection="1"/>
    <xf numFmtId="168" fontId="0" fillId="0" borderId="0" xfId="385" applyNumberFormat="1" applyFont="1" applyFill="1" applyBorder="1" applyProtection="1"/>
    <xf numFmtId="167" fontId="0" fillId="0" borderId="59" xfId="1" applyNumberFormat="1" applyFont="1" applyFill="1" applyBorder="1" applyProtection="1"/>
    <xf numFmtId="168" fontId="0" fillId="0" borderId="59" xfId="385" applyNumberFormat="1" applyFont="1" applyFill="1" applyBorder="1" applyProtection="1"/>
    <xf numFmtId="167" fontId="1" fillId="0" borderId="0" xfId="1" applyNumberFormat="1" applyFont="1" applyProtection="1"/>
    <xf numFmtId="166" fontId="0" fillId="0" borderId="0" xfId="1" applyNumberFormat="1" applyFont="1" applyProtection="1"/>
    <xf numFmtId="166" fontId="1" fillId="0" borderId="0" xfId="1" applyNumberFormat="1" applyFont="1" applyProtection="1"/>
    <xf numFmtId="167" fontId="0" fillId="0" borderId="24" xfId="1" applyNumberFormat="1" applyFont="1" applyBorder="1" applyAlignment="1" applyProtection="1">
      <alignment wrapText="1"/>
    </xf>
    <xf numFmtId="167" fontId="1" fillId="0" borderId="24" xfId="1" applyNumberFormat="1" applyFont="1" applyBorder="1" applyAlignment="1" applyProtection="1">
      <alignment wrapText="1"/>
    </xf>
    <xf numFmtId="167" fontId="0" fillId="0" borderId="0" xfId="1" applyNumberFormat="1" applyFont="1" applyAlignment="1" applyProtection="1">
      <alignment wrapText="1"/>
    </xf>
    <xf numFmtId="166" fontId="0" fillId="0" borderId="0" xfId="1" applyNumberFormat="1" applyFont="1" applyAlignment="1" applyProtection="1">
      <alignment wrapText="1"/>
    </xf>
    <xf numFmtId="167" fontId="0" fillId="0" borderId="26" xfId="1" applyNumberFormat="1" applyFont="1" applyFill="1" applyBorder="1" applyProtection="1"/>
    <xf numFmtId="166" fontId="0" fillId="0" borderId="0" xfId="1" applyNumberFormat="1" applyFont="1" applyFill="1" applyProtection="1"/>
    <xf numFmtId="167" fontId="0" fillId="0" borderId="27" xfId="1" applyNumberFormat="1" applyFont="1" applyFill="1" applyBorder="1" applyProtection="1"/>
    <xf numFmtId="167" fontId="1" fillId="0" borderId="27" xfId="1" applyNumberFormat="1" applyFont="1" applyFill="1" applyBorder="1" applyProtection="1"/>
    <xf numFmtId="212" fontId="0" fillId="0" borderId="0" xfId="0" applyNumberFormat="1" applyProtection="1"/>
    <xf numFmtId="212" fontId="143" fillId="0" borderId="0" xfId="0" applyNumberFormat="1" applyFont="1" applyProtection="1"/>
    <xf numFmtId="212" fontId="0" fillId="0" borderId="0" xfId="0" applyNumberFormat="1" applyFont="1" applyAlignment="1" applyProtection="1"/>
    <xf numFmtId="167" fontId="0" fillId="0" borderId="0" xfId="1" applyNumberFormat="1" applyFont="1" applyAlignment="1" applyProtection="1"/>
    <xf numFmtId="212" fontId="150" fillId="0" borderId="0" xfId="0" applyNumberFormat="1" applyFont="1" applyAlignment="1" applyProtection="1">
      <alignment wrapText="1"/>
    </xf>
    <xf numFmtId="212" fontId="0" fillId="0" borderId="0" xfId="0" applyNumberFormat="1" applyFont="1" applyAlignment="1" applyProtection="1">
      <alignment wrapText="1"/>
    </xf>
    <xf numFmtId="212" fontId="0" fillId="55" borderId="27" xfId="0" applyNumberFormat="1" applyFont="1" applyFill="1" applyBorder="1" applyAlignment="1" applyProtection="1">
      <alignment wrapText="1"/>
    </xf>
    <xf numFmtId="212" fontId="150" fillId="0" borderId="0" xfId="0" applyNumberFormat="1" applyFont="1" applyAlignment="1" applyProtection="1"/>
    <xf numFmtId="167" fontId="152" fillId="55" borderId="0" xfId="1" applyNumberFormat="1" applyFont="1" applyFill="1" applyBorder="1" applyAlignment="1" applyProtection="1">
      <alignment horizontal="right" vertical="top"/>
    </xf>
    <xf numFmtId="167" fontId="0" fillId="0" borderId="0" xfId="0" applyNumberFormat="1" applyFont="1" applyAlignment="1" applyProtection="1"/>
    <xf numFmtId="167" fontId="153" fillId="55" borderId="0" xfId="1" applyNumberFormat="1" applyFont="1" applyFill="1" applyBorder="1" applyAlignment="1" applyProtection="1">
      <alignment horizontal="right" vertical="top"/>
    </xf>
    <xf numFmtId="212" fontId="150" fillId="0" borderId="0" xfId="0" applyNumberFormat="1" applyFont="1" applyBorder="1" applyAlignment="1" applyProtection="1">
      <alignment horizontal="center"/>
    </xf>
    <xf numFmtId="212" fontId="120" fillId="55" borderId="0" xfId="0" applyNumberFormat="1" applyFont="1" applyFill="1" applyBorder="1" applyProtection="1"/>
    <xf numFmtId="167" fontId="0" fillId="55" borderId="0" xfId="1" applyNumberFormat="1" applyFont="1" applyFill="1" applyBorder="1" applyProtection="1"/>
    <xf numFmtId="212" fontId="0" fillId="0" borderId="0" xfId="0" applyNumberFormat="1" applyFont="1" applyProtection="1"/>
    <xf numFmtId="212" fontId="0" fillId="55" borderId="32" xfId="0" applyNumberFormat="1" applyFont="1" applyFill="1" applyBorder="1" applyProtection="1"/>
    <xf numFmtId="212" fontId="0" fillId="55" borderId="24" xfId="0" applyNumberFormat="1" applyFont="1" applyFill="1" applyBorder="1" applyProtection="1"/>
    <xf numFmtId="212" fontId="0" fillId="55" borderId="25" xfId="0" applyNumberFormat="1" applyFont="1" applyFill="1" applyBorder="1" applyProtection="1"/>
    <xf numFmtId="1" fontId="120" fillId="55" borderId="0" xfId="0" applyNumberFormat="1" applyFont="1" applyFill="1" applyBorder="1" applyAlignment="1" applyProtection="1">
      <alignment horizontal="right"/>
    </xf>
    <xf numFmtId="212" fontId="120" fillId="55" borderId="26" xfId="0" applyNumberFormat="1" applyFont="1" applyFill="1" applyBorder="1" applyProtection="1"/>
    <xf numFmtId="212" fontId="120" fillId="0" borderId="0" xfId="0" applyNumberFormat="1" applyFont="1" applyProtection="1"/>
    <xf numFmtId="212" fontId="0" fillId="55" borderId="26" xfId="0" applyNumberFormat="1" applyFont="1" applyFill="1" applyBorder="1" applyProtection="1"/>
    <xf numFmtId="212" fontId="0" fillId="55" borderId="29" xfId="0" applyNumberFormat="1" applyFont="1" applyFill="1" applyBorder="1" applyProtection="1"/>
    <xf numFmtId="1" fontId="120" fillId="55" borderId="0" xfId="0" applyNumberFormat="1" applyFont="1" applyFill="1" applyBorder="1" applyProtection="1"/>
    <xf numFmtId="212" fontId="0" fillId="55" borderId="30" xfId="0" applyNumberFormat="1" applyFont="1" applyFill="1" applyBorder="1" applyProtection="1"/>
    <xf numFmtId="212" fontId="0" fillId="55" borderId="28" xfId="0" applyNumberFormat="1" applyFont="1" applyFill="1" applyBorder="1" applyAlignment="1" applyProtection="1">
      <alignment wrapText="1"/>
    </xf>
    <xf numFmtId="212" fontId="120" fillId="55" borderId="29" xfId="0" applyNumberFormat="1" applyFont="1" applyFill="1" applyBorder="1" applyProtection="1"/>
    <xf numFmtId="211" fontId="0" fillId="55" borderId="26" xfId="1" applyNumberFormat="1" applyFont="1" applyFill="1" applyBorder="1" applyProtection="1"/>
    <xf numFmtId="212" fontId="0" fillId="0" borderId="0" xfId="0" applyNumberFormat="1" applyFont="1" applyFill="1" applyBorder="1" applyProtection="1"/>
    <xf numFmtId="212" fontId="0" fillId="0" borderId="0" xfId="0" applyNumberFormat="1" applyFont="1" applyBorder="1" applyProtection="1"/>
    <xf numFmtId="212" fontId="0" fillId="0" borderId="26" xfId="0" applyNumberFormat="1" applyFont="1" applyBorder="1" applyProtection="1"/>
    <xf numFmtId="212" fontId="0" fillId="0" borderId="30" xfId="0" applyNumberFormat="1" applyFont="1" applyBorder="1" applyProtection="1"/>
    <xf numFmtId="1" fontId="120" fillId="55" borderId="27" xfId="0" applyNumberFormat="1" applyFont="1" applyFill="1" applyBorder="1" applyAlignment="1" applyProtection="1">
      <alignment horizontal="right"/>
    </xf>
    <xf numFmtId="212" fontId="0" fillId="0" borderId="27" xfId="0" applyNumberFormat="1" applyFont="1" applyFill="1" applyBorder="1" applyProtection="1"/>
    <xf numFmtId="1" fontId="120" fillId="55" borderId="27" xfId="0" applyNumberFormat="1" applyFont="1" applyFill="1" applyBorder="1" applyProtection="1"/>
    <xf numFmtId="167" fontId="0" fillId="55" borderId="27" xfId="1" applyNumberFormat="1" applyFont="1" applyFill="1" applyBorder="1" applyProtection="1"/>
    <xf numFmtId="212" fontId="0" fillId="0" borderId="0" xfId="0" applyNumberFormat="1" applyFont="1" applyFill="1" applyProtection="1"/>
    <xf numFmtId="167" fontId="142" fillId="0" borderId="20" xfId="1" applyNumberFormat="1" applyFont="1" applyFill="1" applyBorder="1" applyAlignment="1" applyProtection="1">
      <alignment horizontal="right" vertical="top" wrapText="1"/>
    </xf>
    <xf numFmtId="9" fontId="139" fillId="0" borderId="0" xfId="0" applyNumberFormat="1" applyFont="1" applyFill="1" applyBorder="1" applyAlignment="1" applyProtection="1">
      <alignment horizontal="right"/>
    </xf>
    <xf numFmtId="167" fontId="0" fillId="0" borderId="0" xfId="1" applyNumberFormat="1" applyFont="1" applyBorder="1" applyProtection="1"/>
    <xf numFmtId="3" fontId="0" fillId="0" borderId="0" xfId="0" applyNumberFormat="1" applyFont="1" applyFill="1" applyBorder="1" applyProtection="1"/>
    <xf numFmtId="9" fontId="0" fillId="0" borderId="0" xfId="385" applyFont="1" applyFill="1" applyBorder="1" applyProtection="1"/>
    <xf numFmtId="166" fontId="0" fillId="0" borderId="0" xfId="1" applyNumberFormat="1" applyFont="1" applyFill="1" applyBorder="1" applyProtection="1"/>
    <xf numFmtId="166" fontId="1" fillId="0" borderId="0" xfId="1" applyNumberFormat="1" applyFont="1" applyFill="1" applyBorder="1" applyProtection="1"/>
    <xf numFmtId="167" fontId="1" fillId="0" borderId="0" xfId="1" applyNumberFormat="1" applyFont="1" applyFill="1" applyBorder="1" applyAlignment="1" applyProtection="1">
      <alignment horizontal="center"/>
    </xf>
    <xf numFmtId="166" fontId="1" fillId="0" borderId="0" xfId="1" applyNumberFormat="1" applyFont="1" applyFill="1" applyBorder="1" applyAlignment="1" applyProtection="1">
      <alignment wrapText="1"/>
    </xf>
    <xf numFmtId="166" fontId="0" fillId="0" borderId="0" xfId="1" applyNumberFormat="1" applyFont="1" applyFill="1" applyBorder="1" applyAlignment="1" applyProtection="1">
      <alignment wrapText="1"/>
    </xf>
    <xf numFmtId="166" fontId="0" fillId="0" borderId="59" xfId="1" applyNumberFormat="1" applyFont="1" applyFill="1" applyBorder="1" applyProtection="1"/>
    <xf numFmtId="166" fontId="1" fillId="0" borderId="59" xfId="1" applyNumberFormat="1" applyFont="1" applyFill="1" applyBorder="1" applyProtection="1"/>
    <xf numFmtId="167" fontId="1" fillId="0" borderId="0" xfId="1" applyNumberFormat="1" applyFont="1" applyFill="1" applyBorder="1" applyAlignment="1" applyProtection="1">
      <alignment horizontal="center" vertical="center"/>
    </xf>
    <xf numFmtId="212" fontId="0" fillId="0" borderId="0" xfId="0" applyNumberFormat="1" applyFill="1" applyBorder="1" applyAlignment="1" applyProtection="1">
      <alignment horizontal="left" wrapText="1"/>
    </xf>
    <xf numFmtId="49" fontId="2" fillId="0" borderId="0" xfId="1" applyNumberFormat="1" applyFont="1" applyFill="1" applyBorder="1" applyAlignment="1" applyProtection="1">
      <alignment horizontal="right"/>
    </xf>
    <xf numFmtId="212" fontId="0" fillId="55" borderId="0" xfId="0" applyNumberFormat="1" applyFont="1" applyFill="1" applyBorder="1" applyProtection="1"/>
    <xf numFmtId="0" fontId="0" fillId="0" borderId="0" xfId="0" applyNumberFormat="1" applyFont="1" applyFill="1"/>
    <xf numFmtId="0" fontId="1" fillId="0" borderId="0" xfId="0" applyNumberFormat="1" applyFont="1" applyFill="1"/>
    <xf numFmtId="0" fontId="1" fillId="0" borderId="75" xfId="0" applyNumberFormat="1" applyFont="1" applyFill="1" applyBorder="1" applyAlignment="1">
      <alignment vertical="top"/>
    </xf>
    <xf numFmtId="0" fontId="1" fillId="0" borderId="76" xfId="0" applyNumberFormat="1" applyFont="1" applyFill="1" applyBorder="1" applyAlignment="1">
      <alignment vertical="top"/>
    </xf>
    <xf numFmtId="0" fontId="1" fillId="0" borderId="76" xfId="1" applyNumberFormat="1" applyFont="1" applyFill="1" applyBorder="1" applyAlignment="1">
      <alignment vertical="top"/>
    </xf>
    <xf numFmtId="0" fontId="1" fillId="0" borderId="75" xfId="0" applyNumberFormat="1" applyFont="1" applyFill="1" applyBorder="1" applyAlignment="1">
      <alignment vertical="top" wrapText="1"/>
    </xf>
    <xf numFmtId="0" fontId="1" fillId="0" borderId="76" xfId="0" applyNumberFormat="1" applyFont="1" applyFill="1" applyBorder="1" applyAlignment="1">
      <alignment horizontal="right" vertical="top" wrapText="1"/>
    </xf>
    <xf numFmtId="0" fontId="150" fillId="0" borderId="76" xfId="0" applyNumberFormat="1" applyFont="1" applyFill="1" applyBorder="1" applyAlignment="1">
      <alignment horizontal="center" vertical="top"/>
    </xf>
    <xf numFmtId="0" fontId="1" fillId="0" borderId="77" xfId="0" applyNumberFormat="1" applyFont="1" applyFill="1" applyBorder="1" applyAlignment="1">
      <alignment horizontal="right" vertical="top" wrapText="1"/>
    </xf>
    <xf numFmtId="0" fontId="0" fillId="0" borderId="44" xfId="0" applyNumberFormat="1" applyFont="1" applyFill="1" applyBorder="1" applyAlignment="1">
      <alignment vertical="top" wrapText="1"/>
    </xf>
    <xf numFmtId="0" fontId="0" fillId="0" borderId="0" xfId="0" applyNumberFormat="1" applyFill="1" applyBorder="1" applyAlignment="1">
      <alignment horizontal="right" vertical="top" wrapText="1"/>
    </xf>
    <xf numFmtId="0" fontId="0" fillId="0" borderId="0" xfId="1" applyNumberFormat="1" applyFont="1" applyFill="1"/>
    <xf numFmtId="0" fontId="0" fillId="0" borderId="0" xfId="0" applyNumberFormat="1" applyFont="1" applyFill="1" applyBorder="1" applyAlignment="1">
      <alignment horizontal="right" vertical="top" wrapText="1"/>
    </xf>
    <xf numFmtId="0" fontId="0" fillId="0" borderId="61" xfId="0" applyNumberFormat="1" applyFont="1" applyFill="1" applyBorder="1" applyAlignment="1">
      <alignment vertical="top" wrapText="1"/>
    </xf>
    <xf numFmtId="0" fontId="0" fillId="0" borderId="59" xfId="0" applyNumberFormat="1" applyFont="1" applyFill="1" applyBorder="1" applyAlignment="1">
      <alignment horizontal="right" vertical="top" wrapText="1"/>
    </xf>
    <xf numFmtId="0" fontId="120" fillId="0" borderId="60" xfId="385" applyNumberFormat="1" applyFont="1" applyFill="1" applyBorder="1" applyAlignment="1">
      <alignment horizontal="right" vertical="top" wrapText="1"/>
    </xf>
    <xf numFmtId="0" fontId="1" fillId="0" borderId="0" xfId="0" applyNumberFormat="1" applyFont="1" applyFill="1" applyBorder="1" applyAlignment="1">
      <alignment vertical="top"/>
    </xf>
    <xf numFmtId="0" fontId="0" fillId="0" borderId="0" xfId="0" applyNumberFormat="1" applyFont="1" applyFill="1" applyAlignment="1">
      <alignment vertical="top"/>
    </xf>
    <xf numFmtId="0" fontId="144" fillId="0" borderId="44" xfId="0" applyNumberFormat="1" applyFont="1" applyFill="1" applyBorder="1" applyAlignment="1">
      <alignment vertical="top" wrapText="1"/>
    </xf>
    <xf numFmtId="0" fontId="0" fillId="0" borderId="0" xfId="0" applyNumberFormat="1" applyFont="1" applyFill="1" applyBorder="1"/>
    <xf numFmtId="0" fontId="0" fillId="0" borderId="20" xfId="0" applyNumberFormat="1" applyFont="1" applyFill="1" applyBorder="1"/>
    <xf numFmtId="0" fontId="0" fillId="0" borderId="0" xfId="1485" applyNumberFormat="1" applyFont="1" applyFill="1" applyBorder="1"/>
    <xf numFmtId="0" fontId="144" fillId="0" borderId="61" xfId="0" applyNumberFormat="1" applyFont="1" applyFill="1" applyBorder="1" applyAlignment="1">
      <alignment vertical="top" wrapText="1"/>
    </xf>
    <xf numFmtId="0" fontId="1" fillId="0" borderId="75" xfId="0" applyNumberFormat="1" applyFont="1" applyFill="1" applyBorder="1" applyAlignment="1">
      <alignment wrapText="1"/>
    </xf>
    <xf numFmtId="0" fontId="1" fillId="0" borderId="76" xfId="0" applyNumberFormat="1" applyFont="1" applyFill="1" applyBorder="1"/>
    <xf numFmtId="0" fontId="1" fillId="0" borderId="77" xfId="0" applyNumberFormat="1" applyFont="1" applyFill="1" applyBorder="1"/>
    <xf numFmtId="0" fontId="1" fillId="0" borderId="0" xfId="0" applyNumberFormat="1" applyFont="1" applyFill="1" applyBorder="1"/>
    <xf numFmtId="0" fontId="0" fillId="0" borderId="59" xfId="0" applyNumberFormat="1" applyFont="1" applyFill="1" applyBorder="1"/>
    <xf numFmtId="0" fontId="0" fillId="0" borderId="60" xfId="0" applyNumberFormat="1" applyFont="1" applyFill="1" applyBorder="1"/>
    <xf numFmtId="0" fontId="1" fillId="0" borderId="0" xfId="0" applyNumberFormat="1" applyFont="1" applyFill="1" applyBorder="1" applyAlignment="1">
      <alignment wrapText="1"/>
    </xf>
    <xf numFmtId="0" fontId="0" fillId="0" borderId="0" xfId="0" applyNumberFormat="1" applyFont="1" applyFill="1" applyBorder="1" applyAlignment="1">
      <alignment wrapText="1"/>
    </xf>
    <xf numFmtId="0" fontId="0" fillId="0" borderId="76" xfId="0" applyNumberFormat="1" applyFill="1" applyBorder="1" applyAlignment="1">
      <alignment wrapText="1"/>
    </xf>
    <xf numFmtId="0" fontId="0" fillId="0" borderId="77" xfId="0" applyNumberFormat="1" applyFill="1" applyBorder="1"/>
    <xf numFmtId="0" fontId="0" fillId="0" borderId="0" xfId="385" applyNumberFormat="1" applyFont="1" applyFill="1"/>
    <xf numFmtId="0" fontId="150" fillId="0" borderId="0" xfId="0" applyNumberFormat="1" applyFont="1" applyFill="1"/>
    <xf numFmtId="0" fontId="1" fillId="0" borderId="75" xfId="0" applyNumberFormat="1" applyFont="1" applyFill="1" applyBorder="1"/>
    <xf numFmtId="0" fontId="144" fillId="0" borderId="60" xfId="1" applyNumberFormat="1" applyFont="1" applyFill="1" applyBorder="1" applyAlignment="1">
      <alignment horizontal="right" wrapText="1"/>
    </xf>
    <xf numFmtId="0" fontId="0" fillId="0" borderId="0" xfId="0" applyNumberFormat="1" applyFill="1"/>
    <xf numFmtId="0" fontId="1" fillId="0" borderId="76" xfId="0" applyNumberFormat="1" applyFont="1" applyFill="1" applyBorder="1" applyAlignment="1">
      <alignment horizontal="right"/>
    </xf>
    <xf numFmtId="0" fontId="144" fillId="0" borderId="0" xfId="1" applyNumberFormat="1" applyFont="1" applyFill="1" applyBorder="1" applyAlignment="1">
      <alignment horizontal="right" wrapText="1"/>
    </xf>
    <xf numFmtId="0" fontId="144" fillId="0" borderId="20" xfId="1" applyNumberFormat="1" applyFont="1" applyFill="1" applyBorder="1" applyAlignment="1">
      <alignment horizontal="right" wrapText="1"/>
    </xf>
    <xf numFmtId="0" fontId="144" fillId="0" borderId="59" xfId="1" applyNumberFormat="1" applyFont="1" applyFill="1" applyBorder="1" applyAlignment="1">
      <alignment horizontal="right" wrapText="1"/>
    </xf>
    <xf numFmtId="0" fontId="145" fillId="0" borderId="76" xfId="0" applyNumberFormat="1" applyFont="1" applyFill="1" applyBorder="1" applyAlignment="1">
      <alignment horizontal="right" vertical="top" wrapText="1"/>
    </xf>
    <xf numFmtId="0" fontId="145" fillId="0" borderId="77" xfId="0" applyNumberFormat="1" applyFont="1" applyFill="1" applyBorder="1" applyAlignment="1">
      <alignment horizontal="right" vertical="top" wrapText="1"/>
    </xf>
    <xf numFmtId="0" fontId="2" fillId="0" borderId="0" xfId="1487" applyNumberFormat="1" applyFont="1" applyFill="1" applyBorder="1" applyAlignment="1">
      <alignment horizontal="right" wrapText="1"/>
    </xf>
    <xf numFmtId="0" fontId="1" fillId="0" borderId="61" xfId="0" applyNumberFormat="1" applyFont="1" applyFill="1" applyBorder="1" applyAlignment="1">
      <alignment vertical="top" wrapText="1"/>
    </xf>
    <xf numFmtId="0" fontId="1" fillId="0" borderId="59" xfId="1487" applyNumberFormat="1" applyFont="1" applyFill="1" applyBorder="1" applyAlignment="1">
      <alignment horizontal="right" wrapText="1"/>
    </xf>
    <xf numFmtId="0" fontId="1" fillId="0" borderId="60" xfId="1487" applyNumberFormat="1" applyFont="1" applyFill="1" applyBorder="1" applyAlignment="1">
      <alignment horizontal="right" wrapText="1"/>
    </xf>
    <xf numFmtId="0" fontId="2" fillId="0" borderId="0" xfId="1" applyNumberFormat="1" applyFont="1" applyFill="1" applyBorder="1"/>
    <xf numFmtId="0" fontId="2" fillId="0" borderId="20" xfId="1" applyNumberFormat="1" applyFont="1" applyFill="1" applyBorder="1"/>
    <xf numFmtId="0" fontId="2" fillId="0" borderId="59" xfId="1" applyNumberFormat="1" applyFont="1" applyFill="1" applyBorder="1"/>
    <xf numFmtId="0" fontId="2" fillId="0" borderId="60" xfId="1" applyNumberFormat="1" applyFont="1" applyFill="1" applyBorder="1"/>
    <xf numFmtId="0" fontId="0" fillId="0" borderId="75" xfId="0" applyNumberFormat="1" applyFont="1" applyFill="1" applyBorder="1"/>
    <xf numFmtId="0" fontId="0" fillId="0" borderId="44" xfId="0" applyNumberFormat="1" applyFill="1" applyBorder="1" applyAlignment="1">
      <alignment vertical="top" wrapText="1"/>
    </xf>
    <xf numFmtId="0" fontId="0" fillId="0" borderId="61" xfId="0" applyNumberFormat="1" applyFill="1" applyBorder="1" applyAlignment="1">
      <alignment vertical="top" wrapText="1"/>
    </xf>
    <xf numFmtId="0" fontId="2" fillId="0" borderId="60" xfId="1" applyNumberFormat="1" applyFont="1" applyFill="1" applyBorder="1" applyAlignment="1">
      <alignment horizontal="right" wrapText="1"/>
    </xf>
    <xf numFmtId="0" fontId="1" fillId="0" borderId="59" xfId="1" applyNumberFormat="1" applyFont="1" applyFill="1" applyBorder="1"/>
    <xf numFmtId="0" fontId="1" fillId="0" borderId="60" xfId="1" applyNumberFormat="1" applyFont="1" applyFill="1" applyBorder="1"/>
    <xf numFmtId="0" fontId="1" fillId="0" borderId="77" xfId="0" applyNumberFormat="1" applyFont="1" applyFill="1" applyBorder="1" applyAlignment="1">
      <alignment horizontal="right"/>
    </xf>
    <xf numFmtId="0" fontId="0" fillId="0" borderId="0" xfId="0" applyNumberFormat="1" applyBorder="1" applyAlignment="1">
      <alignment horizontal="center"/>
    </xf>
    <xf numFmtId="0" fontId="0" fillId="0" borderId="44" xfId="0" applyNumberFormat="1" applyFill="1" applyBorder="1"/>
    <xf numFmtId="0" fontId="0" fillId="0" borderId="0" xfId="1" applyNumberFormat="1" applyFont="1" applyFill="1" applyBorder="1"/>
    <xf numFmtId="0" fontId="0" fillId="0" borderId="61" xfId="0" applyNumberFormat="1" applyFill="1" applyBorder="1"/>
    <xf numFmtId="0" fontId="0" fillId="0" borderId="59" xfId="1" applyNumberFormat="1" applyFont="1" applyFill="1" applyBorder="1"/>
    <xf numFmtId="0" fontId="0" fillId="0" borderId="75" xfId="0" applyNumberFormat="1" applyFill="1" applyBorder="1"/>
    <xf numFmtId="0" fontId="0" fillId="0" borderId="76" xfId="0" applyNumberFormat="1" applyFont="1" applyFill="1" applyBorder="1"/>
    <xf numFmtId="0" fontId="0" fillId="0" borderId="76" xfId="1" applyNumberFormat="1" applyFont="1" applyFill="1" applyBorder="1"/>
    <xf numFmtId="0" fontId="0" fillId="0" borderId="77" xfId="0" applyNumberFormat="1" applyFont="1" applyFill="1" applyBorder="1"/>
    <xf numFmtId="0" fontId="0" fillId="0" borderId="44" xfId="0" applyNumberFormat="1" applyFont="1" applyFill="1" applyBorder="1"/>
    <xf numFmtId="0" fontId="0" fillId="0" borderId="61" xfId="0" applyNumberFormat="1" applyFont="1" applyFill="1" applyBorder="1"/>
    <xf numFmtId="0" fontId="1" fillId="0" borderId="61" xfId="0" applyNumberFormat="1" applyFont="1" applyFill="1" applyBorder="1"/>
    <xf numFmtId="0" fontId="1" fillId="0" borderId="59" xfId="0" applyNumberFormat="1" applyFont="1" applyFill="1" applyBorder="1"/>
    <xf numFmtId="0" fontId="146" fillId="0" borderId="0" xfId="0" applyNumberFormat="1" applyFont="1" applyFill="1"/>
    <xf numFmtId="0" fontId="149" fillId="0" borderId="75" xfId="0" applyNumberFormat="1" applyFont="1" applyBorder="1"/>
    <xf numFmtId="0" fontId="0" fillId="0" borderId="77" xfId="1" applyNumberFormat="1" applyFont="1" applyFill="1" applyBorder="1"/>
    <xf numFmtId="0" fontId="149" fillId="0" borderId="44" xfId="0" applyNumberFormat="1" applyFont="1" applyBorder="1"/>
    <xf numFmtId="0" fontId="0" fillId="0" borderId="20" xfId="1" applyNumberFormat="1" applyFont="1" applyFill="1" applyBorder="1"/>
    <xf numFmtId="0" fontId="149" fillId="0" borderId="44" xfId="0" applyNumberFormat="1" applyFont="1" applyBorder="1" applyAlignment="1">
      <alignment wrapText="1"/>
    </xf>
    <xf numFmtId="0" fontId="149" fillId="0" borderId="61" xfId="0" applyNumberFormat="1" applyFont="1" applyBorder="1" applyAlignment="1">
      <alignment wrapText="1"/>
    </xf>
    <xf numFmtId="0" fontId="149" fillId="0" borderId="0" xfId="0" applyNumberFormat="1" applyFont="1" applyBorder="1" applyAlignment="1">
      <alignment horizontal="right"/>
    </xf>
    <xf numFmtId="0" fontId="147" fillId="0" borderId="0" xfId="0" applyNumberFormat="1" applyFont="1" applyBorder="1" applyAlignment="1">
      <alignment horizontal="right"/>
    </xf>
    <xf numFmtId="0" fontId="148" fillId="0" borderId="75" xfId="0" applyNumberFormat="1" applyFont="1" applyBorder="1"/>
    <xf numFmtId="0" fontId="0" fillId="0" borderId="76" xfId="0" applyNumberFormat="1" applyFont="1" applyBorder="1" applyAlignment="1">
      <alignment wrapText="1"/>
    </xf>
    <xf numFmtId="0" fontId="0" fillId="0" borderId="77" xfId="0" applyNumberFormat="1" applyFont="1" applyBorder="1" applyAlignment="1">
      <alignment wrapText="1"/>
    </xf>
    <xf numFmtId="0" fontId="0" fillId="0" borderId="0" xfId="0" applyNumberFormat="1" applyFont="1" applyBorder="1"/>
    <xf numFmtId="0" fontId="148" fillId="0" borderId="44" xfId="0" applyNumberFormat="1" applyFont="1" applyBorder="1"/>
    <xf numFmtId="0" fontId="148" fillId="0" borderId="44" xfId="0" applyNumberFormat="1" applyFont="1" applyBorder="1" applyAlignment="1"/>
    <xf numFmtId="0" fontId="15" fillId="0" borderId="0" xfId="1" applyNumberFormat="1" applyFont="1" applyFill="1" applyBorder="1"/>
    <xf numFmtId="0" fontId="15" fillId="0" borderId="20" xfId="1" applyNumberFormat="1" applyFont="1" applyFill="1" applyBorder="1"/>
    <xf numFmtId="0" fontId="148" fillId="0" borderId="0" xfId="0" applyNumberFormat="1" applyFont="1" applyBorder="1" applyAlignment="1"/>
    <xf numFmtId="0" fontId="149" fillId="0" borderId="61" xfId="0" applyNumberFormat="1" applyFont="1" applyBorder="1"/>
    <xf numFmtId="0" fontId="0" fillId="0" borderId="60" xfId="1" applyNumberFormat="1" applyFont="1" applyFill="1" applyBorder="1"/>
    <xf numFmtId="0" fontId="149" fillId="0" borderId="61" xfId="0" applyNumberFormat="1" applyFont="1" applyBorder="1" applyAlignment="1"/>
    <xf numFmtId="0" fontId="148" fillId="0" borderId="75" xfId="0" applyNumberFormat="1" applyFont="1" applyFill="1" applyBorder="1" applyAlignment="1"/>
    <xf numFmtId="0" fontId="1" fillId="55" borderId="0" xfId="0" applyNumberFormat="1" applyFont="1" applyFill="1"/>
    <xf numFmtId="0" fontId="0" fillId="63" borderId="0" xfId="1" applyNumberFormat="1" applyFont="1" applyFill="1" applyBorder="1"/>
    <xf numFmtId="0" fontId="0" fillId="63" borderId="20" xfId="1" applyNumberFormat="1" applyFont="1" applyFill="1" applyBorder="1"/>
    <xf numFmtId="0" fontId="149" fillId="0" borderId="44" xfId="0" applyNumberFormat="1" applyFont="1" applyFill="1" applyBorder="1" applyAlignment="1"/>
    <xf numFmtId="0" fontId="149" fillId="0" borderId="61" xfId="0" applyNumberFormat="1" applyFont="1" applyFill="1" applyBorder="1" applyAlignment="1"/>
    <xf numFmtId="0" fontId="0" fillId="63" borderId="59" xfId="1" applyNumberFormat="1" applyFont="1" applyFill="1" applyBorder="1"/>
    <xf numFmtId="0" fontId="148" fillId="0" borderId="61" xfId="0" applyNumberFormat="1" applyFont="1" applyFill="1" applyBorder="1" applyAlignment="1">
      <alignment wrapText="1"/>
    </xf>
    <xf numFmtId="0" fontId="1" fillId="61" borderId="74" xfId="0" applyNumberFormat="1" applyFont="1" applyFill="1" applyBorder="1"/>
    <xf numFmtId="0" fontId="0" fillId="0" borderId="67" xfId="0" applyNumberFormat="1" applyFont="1" applyFill="1" applyBorder="1" applyAlignment="1">
      <alignment vertical="top" wrapText="1"/>
    </xf>
    <xf numFmtId="0" fontId="0" fillId="0" borderId="21" xfId="0" applyNumberFormat="1" applyFont="1" applyFill="1" applyBorder="1"/>
    <xf numFmtId="0" fontId="0" fillId="0" borderId="22" xfId="0" applyNumberFormat="1" applyFont="1" applyFill="1" applyBorder="1"/>
    <xf numFmtId="0" fontId="149" fillId="0" borderId="0" xfId="0" applyNumberFormat="1" applyFont="1" applyBorder="1"/>
    <xf numFmtId="0" fontId="0" fillId="0" borderId="67" xfId="0" applyNumberFormat="1" applyFont="1" applyFill="1" applyBorder="1"/>
    <xf numFmtId="0" fontId="0" fillId="0" borderId="0" xfId="0" applyNumberFormat="1" applyFill="1" applyBorder="1"/>
    <xf numFmtId="0" fontId="157" fillId="0" borderId="0" xfId="0" applyNumberFormat="1" applyFont="1" applyFill="1" applyBorder="1"/>
    <xf numFmtId="0" fontId="160" fillId="0" borderId="0" xfId="0" applyNumberFormat="1" applyFont="1" applyFill="1" applyBorder="1" applyAlignment="1">
      <alignment horizontal="center"/>
    </xf>
    <xf numFmtId="167" fontId="1" fillId="0" borderId="0" xfId="1" applyNumberFormat="1" applyFont="1" applyFill="1" applyBorder="1" applyAlignment="1" applyProtection="1">
      <alignment wrapText="1"/>
    </xf>
    <xf numFmtId="167" fontId="1" fillId="0" borderId="0" xfId="1" applyNumberFormat="1" applyFont="1" applyFill="1" applyBorder="1" applyAlignment="1" applyProtection="1">
      <alignment horizontal="left" wrapText="1"/>
    </xf>
    <xf numFmtId="0" fontId="160" fillId="0" borderId="0" xfId="2041" applyNumberFormat="1" applyFont="1" applyFill="1" applyBorder="1" applyAlignment="1">
      <alignment horizontal="center"/>
    </xf>
    <xf numFmtId="0" fontId="0" fillId="55" borderId="0" xfId="0" applyNumberFormat="1" applyFont="1" applyFill="1"/>
    <xf numFmtId="0" fontId="0" fillId="55" borderId="0" xfId="0" applyNumberFormat="1" applyFill="1" applyAlignment="1">
      <alignment horizontal="left" wrapText="1"/>
    </xf>
    <xf numFmtId="0" fontId="1" fillId="55" borderId="32" xfId="0" applyNumberFormat="1" applyFont="1" applyFill="1" applyBorder="1"/>
    <xf numFmtId="0" fontId="1" fillId="55" borderId="38" xfId="0" applyNumberFormat="1" applyFont="1" applyFill="1" applyBorder="1"/>
    <xf numFmtId="0" fontId="1" fillId="55" borderId="25" xfId="0" applyNumberFormat="1" applyFont="1" applyFill="1" applyBorder="1"/>
    <xf numFmtId="0" fontId="0" fillId="55" borderId="38" xfId="0" applyNumberFormat="1" applyFont="1" applyFill="1" applyBorder="1"/>
    <xf numFmtId="0" fontId="0" fillId="55" borderId="25" xfId="0" applyNumberFormat="1" applyFill="1" applyBorder="1"/>
    <xf numFmtId="0" fontId="0" fillId="55" borderId="37" xfId="0" applyNumberFormat="1" applyFont="1" applyFill="1" applyBorder="1"/>
    <xf numFmtId="0" fontId="0" fillId="55" borderId="26" xfId="0" applyNumberFormat="1" applyFill="1" applyBorder="1"/>
    <xf numFmtId="0" fontId="0" fillId="55" borderId="37" xfId="0" applyNumberFormat="1" applyFill="1" applyBorder="1"/>
    <xf numFmtId="0" fontId="0" fillId="55" borderId="39" xfId="0" applyNumberFormat="1" applyFill="1" applyBorder="1"/>
    <xf numFmtId="0" fontId="1" fillId="55" borderId="0" xfId="0" applyNumberFormat="1" applyFont="1" applyFill="1" applyBorder="1"/>
    <xf numFmtId="0" fontId="0" fillId="55" borderId="0" xfId="0" applyNumberFormat="1" applyFont="1" applyFill="1" applyBorder="1"/>
    <xf numFmtId="0" fontId="0" fillId="0" borderId="0" xfId="0" applyNumberFormat="1" applyFill="1" applyBorder="1" applyAlignment="1"/>
    <xf numFmtId="0" fontId="1" fillId="55" borderId="33" xfId="0" applyNumberFormat="1" applyFont="1" applyFill="1" applyBorder="1"/>
    <xf numFmtId="0" fontId="1" fillId="55" borderId="62" xfId="0" applyNumberFormat="1" applyFont="1" applyFill="1" applyBorder="1"/>
    <xf numFmtId="0" fontId="155" fillId="55" borderId="32" xfId="1960" applyNumberFormat="1" applyFont="1" applyFill="1" applyBorder="1" applyAlignment="1" applyProtection="1"/>
    <xf numFmtId="0" fontId="0" fillId="55" borderId="63" xfId="0" applyNumberFormat="1" applyFill="1" applyBorder="1"/>
    <xf numFmtId="0" fontId="59" fillId="55" borderId="0" xfId="1960" applyNumberFormat="1" applyFill="1" applyBorder="1" applyAlignment="1" applyProtection="1"/>
    <xf numFmtId="0" fontId="155" fillId="55" borderId="29" xfId="1960" applyNumberFormat="1" applyFont="1" applyFill="1" applyBorder="1" applyAlignment="1" applyProtection="1"/>
    <xf numFmtId="0" fontId="0" fillId="55" borderId="52" xfId="0" applyNumberFormat="1" applyFill="1" applyBorder="1"/>
    <xf numFmtId="0" fontId="155" fillId="55" borderId="29" xfId="1960" quotePrefix="1" applyNumberFormat="1" applyFont="1" applyFill="1" applyBorder="1" applyAlignment="1" applyProtection="1"/>
    <xf numFmtId="0" fontId="155" fillId="55" borderId="30" xfId="1960" applyNumberFormat="1" applyFont="1" applyFill="1" applyBorder="1" applyAlignment="1" applyProtection="1"/>
    <xf numFmtId="0" fontId="0" fillId="55" borderId="53" xfId="0" applyNumberFormat="1" applyFill="1" applyBorder="1"/>
    <xf numFmtId="0" fontId="0" fillId="0" borderId="0" xfId="0" applyNumberFormat="1" applyFont="1"/>
    <xf numFmtId="0" fontId="141" fillId="0" borderId="0" xfId="1918" applyNumberFormat="1" applyFont="1"/>
    <xf numFmtId="0" fontId="1" fillId="0" borderId="0" xfId="0" applyNumberFormat="1" applyFont="1" applyAlignment="1">
      <alignment horizontal="center"/>
    </xf>
    <xf numFmtId="0" fontId="0" fillId="0" borderId="0" xfId="0" applyNumberFormat="1" applyAlignment="1">
      <alignment horizontal="left"/>
    </xf>
    <xf numFmtId="0" fontId="0" fillId="0" borderId="0" xfId="0" applyNumberFormat="1"/>
    <xf numFmtId="0" fontId="0" fillId="0" borderId="91" xfId="0" applyNumberFormat="1" applyFont="1" applyBorder="1" applyAlignment="1">
      <alignment horizontal="left"/>
    </xf>
    <xf numFmtId="0" fontId="0" fillId="0" borderId="92" xfId="0" applyNumberFormat="1" applyFont="1" applyBorder="1"/>
    <xf numFmtId="0" fontId="154" fillId="0" borderId="0" xfId="0" applyNumberFormat="1" applyFont="1" applyFill="1"/>
    <xf numFmtId="0" fontId="1" fillId="0" borderId="0" xfId="0" applyNumberFormat="1" applyFont="1" applyFill="1" applyBorder="1" applyAlignment="1"/>
    <xf numFmtId="0" fontId="0" fillId="0" borderId="0" xfId="0" applyNumberFormat="1" applyFont="1" applyFill="1" applyBorder="1" applyAlignment="1"/>
    <xf numFmtId="0" fontId="154" fillId="0" borderId="0" xfId="0" applyNumberFormat="1" applyFont="1" applyFill="1" applyAlignment="1">
      <alignment horizontal="left"/>
    </xf>
    <xf numFmtId="0" fontId="0" fillId="0" borderId="44" xfId="0" applyNumberFormat="1" applyFont="1" applyBorder="1" applyAlignment="1">
      <alignment horizontal="left" wrapText="1"/>
    </xf>
    <xf numFmtId="0" fontId="0" fillId="0" borderId="0" xfId="0" applyNumberFormat="1" applyFill="1" applyBorder="1" applyAlignment="1">
      <alignment horizontal="left" wrapText="1"/>
    </xf>
    <xf numFmtId="0" fontId="0" fillId="0" borderId="0" xfId="0" applyNumberFormat="1" applyFont="1" applyBorder="1" applyAlignment="1">
      <alignment horizontal="left" wrapText="1"/>
    </xf>
    <xf numFmtId="0" fontId="1" fillId="0" borderId="0" xfId="0" applyNumberFormat="1" applyFont="1" applyBorder="1" applyAlignment="1">
      <alignment horizontal="left" wrapText="1"/>
    </xf>
    <xf numFmtId="0" fontId="0" fillId="0" borderId="0" xfId="0" applyNumberFormat="1" applyFont="1" applyAlignment="1">
      <alignment horizontal="left" wrapText="1"/>
    </xf>
    <xf numFmtId="0" fontId="0" fillId="0" borderId="44" xfId="1" applyNumberFormat="1" applyFont="1" applyFill="1" applyBorder="1" applyAlignment="1">
      <alignment horizontal="left"/>
    </xf>
    <xf numFmtId="0" fontId="0" fillId="0" borderId="44" xfId="0" applyNumberFormat="1" applyFont="1" applyFill="1" applyBorder="1" applyAlignment="1">
      <alignment horizontal="left"/>
    </xf>
    <xf numFmtId="0" fontId="0" fillId="0" borderId="67" xfId="0" applyNumberFormat="1" applyFont="1" applyFill="1" applyBorder="1" applyAlignment="1">
      <alignment horizontal="left"/>
    </xf>
    <xf numFmtId="0" fontId="150" fillId="0" borderId="0" xfId="0" applyNumberFormat="1" applyFont="1" applyAlignment="1">
      <alignment horizontal="center"/>
    </xf>
    <xf numFmtId="0" fontId="0" fillId="0" borderId="0" xfId="0" applyNumberFormat="1" applyFont="1" applyAlignment="1">
      <alignment horizontal="left"/>
    </xf>
    <xf numFmtId="0" fontId="0" fillId="0" borderId="0" xfId="0" applyNumberFormat="1" applyFont="1" applyFill="1" applyBorder="1" applyAlignment="1">
      <alignment horizontal="right"/>
    </xf>
    <xf numFmtId="0" fontId="1" fillId="0" borderId="0" xfId="1" applyNumberFormat="1" applyFont="1"/>
    <xf numFmtId="0" fontId="1" fillId="0" borderId="0" xfId="1" applyNumberFormat="1" applyFont="1" applyAlignment="1"/>
    <xf numFmtId="0" fontId="2" fillId="0" borderId="0" xfId="1" applyNumberFormat="1" applyFont="1" applyProtection="1"/>
    <xf numFmtId="0" fontId="141" fillId="0" borderId="0" xfId="1918" applyNumberFormat="1" applyFont="1" applyProtection="1"/>
    <xf numFmtId="0" fontId="0" fillId="0" borderId="0" xfId="1" applyNumberFormat="1" applyFont="1" applyProtection="1"/>
    <xf numFmtId="0" fontId="0" fillId="0" borderId="0" xfId="0" applyNumberFormat="1" applyProtection="1"/>
    <xf numFmtId="0" fontId="2" fillId="0" borderId="0" xfId="1" applyNumberFormat="1" applyFont="1" applyFill="1" applyProtection="1"/>
    <xf numFmtId="0" fontId="2" fillId="0" borderId="0" xfId="1" applyNumberFormat="1" applyFont="1" applyFill="1" applyBorder="1" applyProtection="1"/>
    <xf numFmtId="0" fontId="0" fillId="0" borderId="44" xfId="0" applyNumberFormat="1" applyFont="1" applyBorder="1" applyAlignment="1" applyProtection="1">
      <alignment horizontal="left" wrapText="1"/>
    </xf>
    <xf numFmtId="0" fontId="0" fillId="0" borderId="0" xfId="0" applyNumberFormat="1" applyFill="1" applyBorder="1" applyAlignment="1" applyProtection="1">
      <alignment horizontal="left" wrapText="1"/>
    </xf>
    <xf numFmtId="0" fontId="154" fillId="0" borderId="0" xfId="0" applyNumberFormat="1" applyFont="1" applyFill="1" applyProtection="1"/>
    <xf numFmtId="0" fontId="2" fillId="0" borderId="0" xfId="1" applyNumberFormat="1" applyFont="1" applyFill="1" applyBorder="1" applyAlignment="1" applyProtection="1">
      <alignment horizontal="right"/>
    </xf>
    <xf numFmtId="0" fontId="0" fillId="0" borderId="0" xfId="0" applyNumberFormat="1" applyFont="1" applyProtection="1"/>
    <xf numFmtId="164" fontId="0" fillId="0" borderId="0" xfId="1" applyNumberFormat="1" applyFont="1" applyProtection="1"/>
    <xf numFmtId="0" fontId="0" fillId="0" borderId="91" xfId="0" applyNumberFormat="1" applyFont="1" applyBorder="1" applyProtection="1"/>
    <xf numFmtId="0" fontId="0" fillId="0" borderId="92" xfId="0" applyNumberFormat="1" applyFont="1" applyBorder="1" applyProtection="1"/>
    <xf numFmtId="164" fontId="0" fillId="0" borderId="92" xfId="1" applyNumberFormat="1" applyFont="1" applyFill="1" applyBorder="1" applyProtection="1"/>
    <xf numFmtId="0" fontId="0" fillId="0" borderId="0" xfId="0" applyNumberFormat="1" applyFont="1" applyFill="1" applyProtection="1"/>
    <xf numFmtId="0" fontId="0" fillId="0" borderId="44" xfId="0" applyNumberFormat="1" applyFont="1" applyBorder="1" applyProtection="1"/>
    <xf numFmtId="0" fontId="0" fillId="0" borderId="0" xfId="0" applyNumberFormat="1" applyFont="1" applyBorder="1" applyProtection="1"/>
    <xf numFmtId="164" fontId="0" fillId="0" borderId="0" xfId="1" applyNumberFormat="1" applyFont="1" applyFill="1" applyBorder="1" applyProtection="1"/>
    <xf numFmtId="164" fontId="1" fillId="0" borderId="0" xfId="1" applyNumberFormat="1" applyFont="1" applyFill="1" applyBorder="1" applyAlignment="1" applyProtection="1">
      <alignment wrapText="1"/>
    </xf>
    <xf numFmtId="164" fontId="1" fillId="0" borderId="0" xfId="1" applyNumberFormat="1" applyFont="1" applyFill="1" applyBorder="1" applyProtection="1"/>
    <xf numFmtId="0" fontId="0" fillId="0" borderId="0" xfId="0" applyNumberFormat="1" applyFont="1" applyFill="1" applyBorder="1" applyProtection="1"/>
    <xf numFmtId="0" fontId="0" fillId="0" borderId="44" xfId="0" applyNumberFormat="1" applyFill="1" applyBorder="1" applyAlignment="1" applyProtection="1">
      <alignment horizontal="center" wrapText="1"/>
    </xf>
    <xf numFmtId="0" fontId="0" fillId="0" borderId="0" xfId="0" applyNumberFormat="1" applyFill="1" applyBorder="1" applyAlignment="1" applyProtection="1">
      <alignment horizontal="center" wrapText="1"/>
    </xf>
    <xf numFmtId="164" fontId="0" fillId="0" borderId="0" xfId="1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wrapText="1"/>
    </xf>
    <xf numFmtId="164" fontId="1" fillId="0" borderId="0" xfId="1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Alignment="1" applyProtection="1">
      <alignment horizontal="center" wrapText="1"/>
    </xf>
    <xf numFmtId="0" fontId="0" fillId="0" borderId="44" xfId="0" applyNumberFormat="1" applyFont="1" applyFill="1" applyBorder="1" applyProtection="1"/>
    <xf numFmtId="164" fontId="1" fillId="0" borderId="0" xfId="0" applyNumberFormat="1" applyFont="1" applyFill="1" applyBorder="1" applyProtection="1"/>
    <xf numFmtId="164" fontId="0" fillId="0" borderId="0" xfId="0" applyNumberFormat="1" applyFont="1" applyFill="1" applyBorder="1" applyProtection="1"/>
    <xf numFmtId="0" fontId="0" fillId="0" borderId="67" xfId="0" applyNumberFormat="1" applyFont="1" applyFill="1" applyBorder="1" applyProtection="1"/>
    <xf numFmtId="0" fontId="0" fillId="0" borderId="59" xfId="0" applyNumberFormat="1" applyFont="1" applyFill="1" applyBorder="1" applyProtection="1"/>
    <xf numFmtId="164" fontId="0" fillId="0" borderId="59" xfId="1" applyNumberFormat="1" applyFont="1" applyFill="1" applyBorder="1" applyProtection="1"/>
    <xf numFmtId="164" fontId="1" fillId="0" borderId="59" xfId="1" applyNumberFormat="1" applyFont="1" applyFill="1" applyBorder="1" applyProtection="1"/>
    <xf numFmtId="0" fontId="150" fillId="0" borderId="0" xfId="0" applyNumberFormat="1" applyFont="1" applyFill="1" applyAlignment="1" applyProtection="1">
      <alignment horizontal="center"/>
    </xf>
    <xf numFmtId="0" fontId="0" fillId="0" borderId="0" xfId="0" applyNumberFormat="1" applyFont="1" applyAlignment="1" applyProtection="1">
      <alignment horizontal="left"/>
    </xf>
    <xf numFmtId="0" fontId="1" fillId="0" borderId="0" xfId="0" applyNumberFormat="1" applyFont="1" applyProtection="1"/>
    <xf numFmtId="0" fontId="0" fillId="0" borderId="32" xfId="0" applyNumberFormat="1" applyBorder="1" applyAlignment="1" applyProtection="1">
      <alignment wrapText="1"/>
    </xf>
    <xf numFmtId="0" fontId="0" fillId="0" borderId="24" xfId="0" applyNumberFormat="1" applyFont="1" applyBorder="1" applyAlignment="1" applyProtection="1">
      <alignment wrapText="1"/>
    </xf>
    <xf numFmtId="0" fontId="0" fillId="0" borderId="0" xfId="0" applyNumberFormat="1" applyFont="1" applyAlignment="1" applyProtection="1">
      <alignment wrapText="1"/>
    </xf>
    <xf numFmtId="0" fontId="0" fillId="0" borderId="29" xfId="0" applyNumberFormat="1" applyFont="1" applyFill="1" applyBorder="1" applyProtection="1"/>
    <xf numFmtId="0" fontId="0" fillId="0" borderId="30" xfId="0" applyNumberFormat="1" applyFont="1" applyFill="1" applyBorder="1" applyProtection="1"/>
    <xf numFmtId="0" fontId="0" fillId="0" borderId="27" xfId="0" applyNumberFormat="1" applyFont="1" applyFill="1" applyBorder="1" applyProtection="1"/>
    <xf numFmtId="0" fontId="150" fillId="0" borderId="0" xfId="0" applyNumberFormat="1" applyFont="1" applyProtection="1"/>
    <xf numFmtId="0" fontId="142" fillId="0" borderId="0" xfId="1918" applyNumberFormat="1" applyFont="1" applyProtection="1"/>
    <xf numFmtId="0" fontId="143" fillId="0" borderId="0" xfId="0" applyNumberFormat="1" applyFont="1" applyProtection="1"/>
    <xf numFmtId="0" fontId="0" fillId="0" borderId="0" xfId="0" applyNumberFormat="1" applyFont="1" applyAlignment="1" applyProtection="1"/>
    <xf numFmtId="164" fontId="0" fillId="0" borderId="0" xfId="1" applyNumberFormat="1" applyFont="1" applyAlignment="1" applyProtection="1"/>
    <xf numFmtId="0" fontId="150" fillId="0" borderId="0" xfId="0" applyNumberFormat="1" applyFont="1" applyAlignment="1" applyProtection="1"/>
    <xf numFmtId="0" fontId="152" fillId="55" borderId="0" xfId="2246" applyNumberFormat="1" applyFont="1" applyFill="1" applyBorder="1" applyAlignment="1" applyProtection="1">
      <alignment vertical="top"/>
    </xf>
    <xf numFmtId="0" fontId="152" fillId="55" borderId="0" xfId="2248" applyNumberFormat="1" applyFont="1" applyFill="1" applyBorder="1" applyAlignment="1" applyProtection="1">
      <alignment vertical="top"/>
    </xf>
    <xf numFmtId="0" fontId="152" fillId="55" borderId="0" xfId="2243" applyNumberFormat="1" applyFont="1" applyFill="1" applyBorder="1" applyAlignment="1" applyProtection="1">
      <alignment vertical="top"/>
    </xf>
    <xf numFmtId="0" fontId="153" fillId="55" borderId="0" xfId="2248" applyNumberFormat="1" applyFont="1" applyFill="1" applyBorder="1" applyAlignment="1" applyProtection="1">
      <alignment vertical="top"/>
    </xf>
    <xf numFmtId="0" fontId="153" fillId="55" borderId="0" xfId="2243" applyNumberFormat="1" applyFont="1" applyFill="1" applyBorder="1" applyAlignment="1" applyProtection="1">
      <alignment vertical="top"/>
    </xf>
    <xf numFmtId="0" fontId="150" fillId="0" borderId="0" xfId="0" applyNumberFormat="1" applyFont="1" applyBorder="1" applyAlignment="1" applyProtection="1">
      <alignment horizontal="center"/>
    </xf>
    <xf numFmtId="0" fontId="150" fillId="0" borderId="0" xfId="1" applyNumberFormat="1" applyFont="1" applyBorder="1" applyAlignment="1" applyProtection="1">
      <alignment horizontal="center"/>
    </xf>
    <xf numFmtId="0" fontId="120" fillId="0" borderId="0" xfId="1918" quotePrefix="1" applyNumberFormat="1" applyFont="1" applyProtection="1"/>
    <xf numFmtId="0" fontId="120" fillId="0" borderId="0" xfId="2095" applyNumberFormat="1" applyFont="1" applyProtection="1"/>
    <xf numFmtId="0" fontId="120" fillId="0" borderId="0" xfId="2095" applyNumberFormat="1" applyFont="1" applyFill="1" applyProtection="1"/>
    <xf numFmtId="0" fontId="1" fillId="55" borderId="64" xfId="0" applyNumberFormat="1" applyFont="1" applyFill="1" applyBorder="1" applyAlignment="1" applyProtection="1">
      <alignment horizontal="center"/>
    </xf>
    <xf numFmtId="0" fontId="119" fillId="55" borderId="65" xfId="1918" applyNumberFormat="1" applyFont="1" applyFill="1" applyBorder="1" applyAlignment="1" applyProtection="1">
      <alignment horizontal="center"/>
    </xf>
    <xf numFmtId="0" fontId="119" fillId="55" borderId="65" xfId="2095" applyNumberFormat="1" applyFont="1" applyFill="1" applyBorder="1" applyAlignment="1" applyProtection="1">
      <alignment horizontal="center"/>
    </xf>
    <xf numFmtId="0" fontId="119" fillId="55" borderId="65" xfId="444" applyNumberFormat="1" applyFont="1" applyFill="1" applyBorder="1" applyAlignment="1" applyProtection="1">
      <alignment horizontal="center" wrapText="1"/>
    </xf>
    <xf numFmtId="0" fontId="1" fillId="55" borderId="65" xfId="0" applyNumberFormat="1" applyFont="1" applyFill="1" applyBorder="1" applyAlignment="1" applyProtection="1">
      <alignment horizontal="center" wrapText="1"/>
    </xf>
    <xf numFmtId="0" fontId="1" fillId="55" borderId="66" xfId="0" applyNumberFormat="1" applyFont="1" applyFill="1" applyBorder="1" applyAlignment="1" applyProtection="1">
      <alignment horizontal="center" wrapText="1"/>
    </xf>
    <xf numFmtId="0" fontId="120" fillId="55" borderId="29" xfId="0" quotePrefix="1" applyNumberFormat="1" applyFont="1" applyFill="1" applyBorder="1" applyProtection="1"/>
    <xf numFmtId="1" fontId="120" fillId="55" borderId="0" xfId="1908" applyNumberFormat="1" applyFont="1" applyFill="1" applyBorder="1" applyAlignment="1" applyProtection="1">
      <alignment horizontal="right"/>
    </xf>
    <xf numFmtId="164" fontId="120" fillId="55" borderId="0" xfId="444" applyNumberFormat="1" applyFont="1" applyFill="1" applyBorder="1" applyProtection="1"/>
    <xf numFmtId="164" fontId="120" fillId="55" borderId="26" xfId="444" applyNumberFormat="1" applyFont="1" applyFill="1" applyBorder="1" applyProtection="1"/>
    <xf numFmtId="0" fontId="120" fillId="55" borderId="29" xfId="0" applyNumberFormat="1" applyFont="1" applyFill="1" applyBorder="1" applyProtection="1"/>
    <xf numFmtId="0" fontId="110" fillId="55" borderId="29" xfId="0" applyNumberFormat="1" applyFont="1" applyFill="1" applyBorder="1" applyProtection="1"/>
    <xf numFmtId="0" fontId="0" fillId="55" borderId="0" xfId="0" applyNumberFormat="1" applyFont="1" applyFill="1" applyBorder="1" applyAlignment="1" applyProtection="1">
      <alignment horizontal="right"/>
    </xf>
    <xf numFmtId="14" fontId="0" fillId="55" borderId="68" xfId="0" applyNumberFormat="1" applyFont="1" applyFill="1" applyBorder="1" applyProtection="1"/>
    <xf numFmtId="9" fontId="0" fillId="55" borderId="68" xfId="0" applyNumberFormat="1" applyFont="1" applyFill="1" applyBorder="1" applyProtection="1"/>
    <xf numFmtId="0" fontId="110" fillId="55" borderId="29" xfId="1918" applyNumberFormat="1" applyFont="1" applyFill="1" applyBorder="1" applyProtection="1"/>
    <xf numFmtId="0" fontId="120" fillId="55" borderId="29" xfId="0" applyNumberFormat="1" applyFont="1" applyFill="1" applyBorder="1" applyAlignment="1" applyProtection="1"/>
    <xf numFmtId="212" fontId="120" fillId="55" borderId="0" xfId="1918" applyNumberFormat="1" applyFont="1" applyFill="1" applyBorder="1" applyProtection="1"/>
    <xf numFmtId="1" fontId="120" fillId="55" borderId="0" xfId="1918" applyNumberFormat="1" applyFont="1" applyFill="1" applyBorder="1" applyAlignment="1" applyProtection="1">
      <alignment horizontal="right"/>
    </xf>
    <xf numFmtId="212" fontId="120" fillId="55" borderId="0" xfId="2095" applyNumberFormat="1" applyFont="1" applyFill="1" applyBorder="1" applyProtection="1"/>
    <xf numFmtId="212" fontId="120" fillId="55" borderId="26" xfId="2095" applyNumberFormat="1" applyFont="1" applyFill="1" applyBorder="1" applyProtection="1"/>
    <xf numFmtId="1" fontId="120" fillId="55" borderId="0" xfId="1918" applyNumberFormat="1" applyFont="1" applyFill="1" applyBorder="1" applyAlignment="1" applyProtection="1">
      <alignment horizontal="center"/>
    </xf>
    <xf numFmtId="164" fontId="0" fillId="55" borderId="26" xfId="1" applyNumberFormat="1" applyFont="1" applyFill="1" applyBorder="1" applyProtection="1"/>
    <xf numFmtId="0" fontId="0" fillId="0" borderId="29" xfId="0" applyNumberFormat="1" applyFont="1" applyBorder="1" applyAlignment="1" applyProtection="1"/>
    <xf numFmtId="212" fontId="120" fillId="55" borderId="27" xfId="1918" applyNumberFormat="1" applyFont="1" applyFill="1" applyBorder="1" applyProtection="1"/>
    <xf numFmtId="164" fontId="120" fillId="55" borderId="27" xfId="444" applyNumberFormat="1" applyFont="1" applyFill="1" applyBorder="1" applyProtection="1"/>
    <xf numFmtId="164" fontId="0" fillId="55" borderId="28" xfId="1" applyNumberFormat="1" applyFont="1" applyFill="1" applyBorder="1" applyProtection="1"/>
    <xf numFmtId="0" fontId="137" fillId="0" borderId="0" xfId="0" applyNumberFormat="1" applyFont="1" applyFill="1" applyProtection="1"/>
    <xf numFmtId="0" fontId="137" fillId="0" borderId="0" xfId="0" applyNumberFormat="1" applyFont="1" applyFill="1" applyBorder="1" applyProtection="1"/>
    <xf numFmtId="0" fontId="1" fillId="0" borderId="91" xfId="0" applyNumberFormat="1" applyFont="1" applyFill="1" applyBorder="1" applyAlignment="1" applyProtection="1">
      <alignment vertical="top" wrapText="1"/>
    </xf>
    <xf numFmtId="0" fontId="1" fillId="0" borderId="92" xfId="0" applyNumberFormat="1" applyFont="1" applyFill="1" applyBorder="1" applyAlignment="1" applyProtection="1">
      <alignment horizontal="right" vertical="top" wrapText="1"/>
    </xf>
    <xf numFmtId="0" fontId="1" fillId="0" borderId="93" xfId="0" applyNumberFormat="1" applyFont="1" applyFill="1" applyBorder="1" applyAlignment="1" applyProtection="1">
      <alignment horizontal="right" vertical="top" wrapText="1"/>
    </xf>
    <xf numFmtId="0" fontId="0" fillId="0" borderId="44" xfId="0" applyNumberFormat="1" applyFont="1" applyFill="1" applyBorder="1" applyAlignment="1" applyProtection="1">
      <alignment vertical="top" wrapText="1"/>
    </xf>
    <xf numFmtId="0" fontId="0" fillId="0" borderId="0" xfId="0" applyNumberFormat="1" applyFont="1" applyFill="1" applyBorder="1" applyAlignment="1" applyProtection="1">
      <alignment horizontal="right" vertical="top" wrapText="1"/>
    </xf>
    <xf numFmtId="0" fontId="0" fillId="0" borderId="61" xfId="0" applyNumberFormat="1" applyFont="1" applyFill="1" applyBorder="1" applyAlignment="1" applyProtection="1">
      <alignment vertical="top" wrapText="1"/>
    </xf>
    <xf numFmtId="0" fontId="0" fillId="0" borderId="59" xfId="0" applyNumberFormat="1" applyFont="1" applyFill="1" applyBorder="1" applyAlignment="1" applyProtection="1">
      <alignment horizontal="right" vertical="top" wrapText="1"/>
    </xf>
    <xf numFmtId="0" fontId="0" fillId="0" borderId="60" xfId="0" applyNumberFormat="1" applyFont="1" applyFill="1" applyBorder="1" applyAlignment="1" applyProtection="1">
      <alignment horizontal="right" vertical="top" wrapText="1"/>
    </xf>
    <xf numFmtId="0" fontId="139" fillId="0" borderId="91" xfId="0" applyNumberFormat="1" applyFont="1" applyFill="1" applyBorder="1" applyProtection="1"/>
    <xf numFmtId="0" fontId="138" fillId="0" borderId="0" xfId="0" applyNumberFormat="1" applyFont="1" applyFill="1" applyBorder="1" applyAlignment="1" applyProtection="1">
      <alignment horizontal="center"/>
    </xf>
    <xf numFmtId="0" fontId="139" fillId="0" borderId="44" xfId="0" applyNumberFormat="1" applyFont="1" applyFill="1" applyBorder="1" applyAlignment="1" applyProtection="1">
      <alignment vertical="top"/>
    </xf>
    <xf numFmtId="0" fontId="141" fillId="0" borderId="0" xfId="0" applyNumberFormat="1" applyFont="1" applyFill="1" applyBorder="1" applyAlignment="1" applyProtection="1">
      <alignment horizontal="center"/>
    </xf>
    <xf numFmtId="0" fontId="139" fillId="0" borderId="61" xfId="0" applyNumberFormat="1" applyFont="1" applyFill="1" applyBorder="1" applyAlignment="1" applyProtection="1">
      <alignment vertical="top"/>
    </xf>
    <xf numFmtId="0" fontId="141" fillId="0" borderId="0" xfId="0" applyNumberFormat="1" applyFont="1" applyFill="1" applyBorder="1" applyAlignment="1" applyProtection="1"/>
    <xf numFmtId="0" fontId="140" fillId="0" borderId="0" xfId="0" applyNumberFormat="1" applyFont="1" applyFill="1" applyBorder="1" applyProtection="1"/>
    <xf numFmtId="0" fontId="137" fillId="0" borderId="91" xfId="0" applyNumberFormat="1" applyFont="1" applyFill="1" applyBorder="1" applyProtection="1"/>
    <xf numFmtId="0" fontId="137" fillId="0" borderId="44" xfId="0" applyNumberFormat="1" applyFont="1" applyFill="1" applyBorder="1" applyProtection="1"/>
    <xf numFmtId="0" fontId="137" fillId="0" borderId="61" xfId="0" applyNumberFormat="1" applyFont="1" applyFill="1" applyBorder="1" applyProtection="1"/>
    <xf numFmtId="0" fontId="154" fillId="0" borderId="0" xfId="0" applyNumberFormat="1" applyFont="1" applyFill="1" applyBorder="1" applyProtection="1"/>
    <xf numFmtId="0" fontId="141" fillId="0" borderId="0" xfId="1918" applyNumberFormat="1" applyFont="1" applyBorder="1" applyProtection="1"/>
    <xf numFmtId="164" fontId="0" fillId="0" borderId="0" xfId="1" applyNumberFormat="1" applyFont="1" applyBorder="1" applyProtection="1"/>
    <xf numFmtId="0" fontId="0" fillId="0" borderId="0" xfId="0" applyNumberFormat="1" applyBorder="1" applyProtection="1"/>
    <xf numFmtId="0" fontId="0" fillId="0" borderId="61" xfId="0" applyNumberFormat="1" applyFont="1" applyFill="1" applyBorder="1" applyProtection="1"/>
    <xf numFmtId="0" fontId="150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left"/>
    </xf>
    <xf numFmtId="0" fontId="1" fillId="0" borderId="0" xfId="0" applyNumberFormat="1" applyFont="1" applyFill="1" applyBorder="1" applyProtection="1"/>
    <xf numFmtId="0" fontId="0" fillId="0" borderId="0" xfId="0" applyNumberFormat="1" applyFont="1" applyBorder="1" applyAlignment="1" applyProtection="1">
      <alignment horizontal="left"/>
    </xf>
    <xf numFmtId="0" fontId="0" fillId="0" borderId="0" xfId="0" applyNumberFormat="1" applyBorder="1" applyAlignment="1" applyProtection="1">
      <alignment horizontal="left"/>
    </xf>
    <xf numFmtId="0" fontId="0" fillId="0" borderId="91" xfId="0" applyNumberFormat="1" applyFont="1" applyBorder="1" applyAlignment="1" applyProtection="1">
      <alignment horizontal="left"/>
    </xf>
    <xf numFmtId="0" fontId="0" fillId="0" borderId="44" xfId="0" applyNumberFormat="1" applyFont="1" applyFill="1" applyBorder="1" applyAlignment="1" applyProtection="1">
      <alignment horizontal="left"/>
    </xf>
    <xf numFmtId="0" fontId="0" fillId="0" borderId="0" xfId="0" applyNumberFormat="1" applyFont="1" applyFill="1" applyBorder="1" applyAlignment="1" applyProtection="1">
      <alignment horizontal="left" wrapText="1"/>
    </xf>
    <xf numFmtId="0" fontId="1" fillId="0" borderId="0" xfId="0" applyNumberFormat="1" applyFont="1" applyFill="1" applyBorder="1" applyAlignment="1" applyProtection="1">
      <alignment wrapText="1"/>
    </xf>
    <xf numFmtId="0" fontId="150" fillId="0" borderId="0" xfId="0" applyNumberFormat="1" applyFont="1" applyFill="1" applyBorder="1" applyAlignment="1" applyProtection="1">
      <alignment horizontal="left" vertical="center"/>
    </xf>
    <xf numFmtId="0" fontId="0" fillId="0" borderId="44" xfId="1" applyNumberFormat="1" applyFont="1" applyFill="1" applyBorder="1" applyAlignment="1" applyProtection="1">
      <alignment horizontal="left"/>
    </xf>
    <xf numFmtId="0" fontId="0" fillId="0" borderId="61" xfId="0" applyNumberFormat="1" applyFont="1" applyFill="1" applyBorder="1" applyAlignment="1" applyProtection="1">
      <alignment horizontal="left"/>
    </xf>
    <xf numFmtId="0" fontId="150" fillId="0" borderId="0" xfId="0" applyNumberFormat="1" applyFont="1" applyFill="1" applyBorder="1" applyAlignment="1" applyProtection="1">
      <alignment horizontal="center" vertical="center"/>
    </xf>
    <xf numFmtId="0" fontId="141" fillId="0" borderId="0" xfId="1918" applyNumberFormat="1" applyFont="1" applyFill="1" applyBorder="1" applyProtection="1"/>
    <xf numFmtId="0" fontId="0" fillId="0" borderId="0" xfId="1" applyNumberFormat="1" applyFont="1" applyFill="1" applyBorder="1" applyProtection="1"/>
    <xf numFmtId="0" fontId="0" fillId="0" borderId="0" xfId="0" applyNumberFormat="1" applyFill="1" applyBorder="1" applyProtection="1"/>
    <xf numFmtId="0" fontId="1" fillId="55" borderId="0" xfId="0" applyNumberFormat="1" applyFont="1" applyFill="1" applyProtection="1"/>
    <xf numFmtId="0" fontId="0" fillId="55" borderId="0" xfId="0" applyNumberFormat="1" applyFont="1" applyFill="1" applyProtection="1"/>
    <xf numFmtId="0" fontId="1" fillId="55" borderId="0" xfId="0" applyNumberFormat="1" applyFont="1" applyFill="1" applyAlignment="1" applyProtection="1">
      <alignment horizontal="left"/>
    </xf>
    <xf numFmtId="0" fontId="0" fillId="55" borderId="0" xfId="0" applyNumberFormat="1" applyFill="1" applyAlignment="1" applyProtection="1">
      <alignment horizontal="left"/>
    </xf>
    <xf numFmtId="0" fontId="0" fillId="55" borderId="0" xfId="0" applyNumberFormat="1" applyFill="1" applyAlignment="1" applyProtection="1">
      <alignment horizontal="left" wrapText="1"/>
    </xf>
    <xf numFmtId="0" fontId="0" fillId="55" borderId="0" xfId="0" applyNumberFormat="1" applyFont="1" applyFill="1" applyBorder="1" applyProtection="1"/>
    <xf numFmtId="0" fontId="1" fillId="55" borderId="0" xfId="0" applyNumberFormat="1" applyFont="1" applyFill="1" applyBorder="1" applyAlignment="1" applyProtection="1">
      <alignment horizontal="left"/>
    </xf>
    <xf numFmtId="0" fontId="0" fillId="55" borderId="0" xfId="0" applyNumberFormat="1" applyFill="1" applyBorder="1" applyAlignment="1" applyProtection="1">
      <alignment horizontal="left"/>
    </xf>
    <xf numFmtId="0" fontId="1" fillId="55" borderId="0" xfId="0" applyNumberFormat="1" applyFont="1" applyFill="1" applyBorder="1" applyProtection="1"/>
    <xf numFmtId="0" fontId="0" fillId="55" borderId="0" xfId="0" applyNumberFormat="1" applyFill="1" applyBorder="1" applyProtection="1"/>
    <xf numFmtId="0" fontId="15" fillId="55" borderId="0" xfId="0" applyNumberFormat="1" applyFont="1" applyFill="1" applyBorder="1" applyProtection="1"/>
    <xf numFmtId="0" fontId="0" fillId="55" borderId="0" xfId="0" applyNumberFormat="1" applyFill="1" applyBorder="1" applyAlignment="1" applyProtection="1"/>
    <xf numFmtId="0" fontId="155" fillId="55" borderId="0" xfId="1960" applyNumberFormat="1" applyFont="1" applyFill="1" applyBorder="1" applyAlignment="1" applyProtection="1"/>
    <xf numFmtId="0" fontId="155" fillId="55" borderId="0" xfId="1960" quotePrefix="1" applyNumberFormat="1" applyFont="1" applyFill="1" applyBorder="1" applyAlignment="1" applyProtection="1"/>
    <xf numFmtId="194" fontId="0" fillId="0" borderId="0" xfId="1" applyNumberFormat="1" applyFont="1" applyFill="1"/>
    <xf numFmtId="194" fontId="120" fillId="0" borderId="20" xfId="385" applyNumberFormat="1" applyFont="1" applyFill="1" applyBorder="1" applyAlignment="1">
      <alignment horizontal="right" vertical="top" wrapText="1"/>
    </xf>
    <xf numFmtId="194" fontId="0" fillId="0" borderId="59" xfId="0" applyNumberFormat="1" applyFont="1" applyFill="1" applyBorder="1" applyAlignment="1">
      <alignment horizontal="right" vertical="top" wrapText="1"/>
    </xf>
    <xf numFmtId="2" fontId="0" fillId="0" borderId="0" xfId="0" applyNumberFormat="1" applyFont="1" applyFill="1" applyBorder="1"/>
    <xf numFmtId="2" fontId="0" fillId="0" borderId="0" xfId="1485" applyNumberFormat="1" applyFont="1" applyFill="1" applyBorder="1"/>
    <xf numFmtId="2" fontId="0" fillId="0" borderId="59" xfId="1485" applyNumberFormat="1" applyFont="1" applyFill="1" applyBorder="1"/>
    <xf numFmtId="1" fontId="0" fillId="0" borderId="0" xfId="0" applyNumberFormat="1" applyFont="1" applyFill="1" applyBorder="1"/>
    <xf numFmtId="1" fontId="0" fillId="0" borderId="59" xfId="0" applyNumberFormat="1" applyFont="1" applyFill="1" applyBorder="1"/>
    <xf numFmtId="168" fontId="0" fillId="0" borderId="20" xfId="385" applyNumberFormat="1" applyFont="1" applyFill="1" applyBorder="1"/>
    <xf numFmtId="168" fontId="0" fillId="0" borderId="60" xfId="385" applyNumberFormat="1" applyFont="1" applyFill="1" applyBorder="1"/>
    <xf numFmtId="194" fontId="144" fillId="0" borderId="60" xfId="1" applyNumberFormat="1" applyFont="1" applyFill="1" applyBorder="1" applyAlignment="1">
      <alignment horizontal="right" wrapText="1"/>
    </xf>
    <xf numFmtId="1" fontId="144" fillId="0" borderId="0" xfId="1470" applyNumberFormat="1" applyFont="1" applyFill="1" applyBorder="1" applyAlignment="1">
      <alignment horizontal="right" wrapText="1"/>
    </xf>
    <xf numFmtId="1" fontId="2" fillId="0" borderId="0" xfId="1470" applyNumberFormat="1" applyFont="1" applyFill="1" applyBorder="1" applyAlignment="1">
      <alignment horizontal="right" wrapText="1"/>
    </xf>
    <xf numFmtId="1" fontId="2" fillId="0" borderId="20" xfId="1470" applyNumberFormat="1" applyFont="1" applyFill="1" applyBorder="1" applyAlignment="1">
      <alignment horizontal="right" wrapText="1"/>
    </xf>
    <xf numFmtId="1" fontId="144" fillId="0" borderId="59" xfId="1470" applyNumberFormat="1" applyFont="1" applyFill="1" applyBorder="1" applyAlignment="1">
      <alignment horizontal="right" wrapText="1"/>
    </xf>
    <xf numFmtId="1" fontId="144" fillId="0" borderId="60" xfId="1" applyNumberFormat="1" applyFont="1" applyFill="1" applyBorder="1" applyAlignment="1">
      <alignment horizontal="right" wrapText="1"/>
    </xf>
    <xf numFmtId="194" fontId="144" fillId="0" borderId="0" xfId="1" applyNumberFormat="1" applyFont="1" applyFill="1" applyBorder="1" applyAlignment="1">
      <alignment horizontal="right" wrapText="1"/>
    </xf>
    <xf numFmtId="194" fontId="144" fillId="0" borderId="20" xfId="1" applyNumberFormat="1" applyFont="1" applyFill="1" applyBorder="1" applyAlignment="1">
      <alignment horizontal="right" wrapText="1"/>
    </xf>
    <xf numFmtId="194" fontId="144" fillId="0" borderId="59" xfId="1" applyNumberFormat="1" applyFont="1" applyFill="1" applyBorder="1" applyAlignment="1">
      <alignment horizontal="right" wrapText="1"/>
    </xf>
    <xf numFmtId="1" fontId="0" fillId="0" borderId="0" xfId="1487" applyNumberFormat="1" applyFont="1" applyFill="1" applyBorder="1" applyAlignment="1">
      <alignment horizontal="right" wrapText="1"/>
    </xf>
    <xf numFmtId="1" fontId="2" fillId="0" borderId="0" xfId="1487" applyNumberFormat="1" applyFont="1" applyFill="1" applyBorder="1" applyAlignment="1">
      <alignment horizontal="right" wrapText="1"/>
    </xf>
    <xf numFmtId="1" fontId="2" fillId="0" borderId="20" xfId="1487" applyNumberFormat="1" applyFont="1" applyFill="1" applyBorder="1" applyAlignment="1">
      <alignment horizontal="right" wrapText="1"/>
    </xf>
    <xf numFmtId="1" fontId="1" fillId="0" borderId="59" xfId="1487" applyNumberFormat="1" applyFont="1" applyFill="1" applyBorder="1" applyAlignment="1">
      <alignment horizontal="right" wrapText="1"/>
    </xf>
    <xf numFmtId="1" fontId="1" fillId="0" borderId="60" xfId="1487" applyNumberFormat="1" applyFont="1" applyFill="1" applyBorder="1" applyAlignment="1">
      <alignment horizontal="right" wrapText="1"/>
    </xf>
    <xf numFmtId="2" fontId="2" fillId="0" borderId="0" xfId="1" applyNumberFormat="1" applyFont="1" applyFill="1" applyBorder="1"/>
    <xf numFmtId="2" fontId="2" fillId="0" borderId="59" xfId="1" applyNumberFormat="1" applyFont="1" applyFill="1" applyBorder="1"/>
    <xf numFmtId="2" fontId="2" fillId="0" borderId="60" xfId="1" applyNumberFormat="1" applyFont="1" applyFill="1" applyBorder="1"/>
    <xf numFmtId="1" fontId="2" fillId="0" borderId="0" xfId="1" applyNumberFormat="1" applyFont="1" applyFill="1" applyBorder="1"/>
    <xf numFmtId="1" fontId="2" fillId="0" borderId="20" xfId="1" applyNumberFormat="1" applyFont="1" applyFill="1" applyBorder="1"/>
    <xf numFmtId="1" fontId="2" fillId="0" borderId="59" xfId="1" applyNumberFormat="1" applyFont="1" applyFill="1" applyBorder="1"/>
    <xf numFmtId="1" fontId="2" fillId="0" borderId="60" xfId="1" applyNumberFormat="1" applyFont="1" applyFill="1" applyBorder="1"/>
    <xf numFmtId="2" fontId="2" fillId="0" borderId="0" xfId="0" applyNumberFormat="1" applyFont="1" applyFill="1" applyBorder="1"/>
    <xf numFmtId="2" fontId="2" fillId="0" borderId="20" xfId="0" applyNumberFormat="1" applyFont="1" applyFill="1" applyBorder="1"/>
    <xf numFmtId="1" fontId="0" fillId="0" borderId="0" xfId="1" applyNumberFormat="1" applyFont="1" applyFill="1"/>
    <xf numFmtId="1" fontId="2" fillId="0" borderId="20" xfId="1" applyNumberFormat="1" applyFont="1" applyFill="1" applyBorder="1" applyAlignment="1">
      <alignment horizontal="right"/>
    </xf>
    <xf numFmtId="1" fontId="0" fillId="0" borderId="0" xfId="1" applyNumberFormat="1" applyFont="1" applyFill="1" applyBorder="1"/>
    <xf numFmtId="1" fontId="0" fillId="0" borderId="59" xfId="1" applyNumberFormat="1" applyFont="1" applyFill="1" applyBorder="1"/>
    <xf numFmtId="1" fontId="2" fillId="0" borderId="60" xfId="1" applyNumberFormat="1" applyFont="1" applyFill="1" applyBorder="1" applyAlignment="1">
      <alignment horizontal="right"/>
    </xf>
    <xf numFmtId="1" fontId="0" fillId="0" borderId="76" xfId="1" applyNumberFormat="1" applyFont="1" applyFill="1" applyBorder="1"/>
    <xf numFmtId="1" fontId="1" fillId="0" borderId="59" xfId="1" applyNumberFormat="1" applyFont="1" applyFill="1" applyBorder="1"/>
    <xf numFmtId="168" fontId="0" fillId="0" borderId="77" xfId="385" applyNumberFormat="1" applyFont="1" applyFill="1" applyBorder="1"/>
    <xf numFmtId="168" fontId="1" fillId="0" borderId="60" xfId="385" applyNumberFormat="1" applyFont="1" applyFill="1" applyBorder="1"/>
    <xf numFmtId="167" fontId="1" fillId="0" borderId="0" xfId="1" applyNumberFormat="1" applyFont="1" applyFill="1" applyBorder="1" applyAlignment="1" applyProtection="1">
      <alignment horizontal="left"/>
    </xf>
    <xf numFmtId="167" fontId="1" fillId="0" borderId="0" xfId="1" applyNumberFormat="1" applyFont="1" applyFill="1" applyBorder="1" applyAlignment="1" applyProtection="1">
      <alignment wrapText="1"/>
    </xf>
    <xf numFmtId="164" fontId="1" fillId="0" borderId="0" xfId="1" applyNumberFormat="1" applyFont="1" applyFill="1" applyBorder="1" applyAlignment="1" applyProtection="1"/>
    <xf numFmtId="0" fontId="0" fillId="0" borderId="0" xfId="0" applyNumberFormat="1" applyBorder="1" applyAlignment="1" applyProtection="1"/>
    <xf numFmtId="212" fontId="0" fillId="0" borderId="0" xfId="0" applyNumberFormat="1" applyBorder="1" applyAlignment="1" applyProtection="1"/>
    <xf numFmtId="0" fontId="0" fillId="55" borderId="0" xfId="0" applyNumberFormat="1" applyFill="1" applyAlignment="1">
      <alignment horizontal="left"/>
    </xf>
    <xf numFmtId="164" fontId="0" fillId="0" borderId="76" xfId="1" applyNumberFormat="1" applyFont="1" applyFill="1" applyBorder="1"/>
    <xf numFmtId="164" fontId="0" fillId="0" borderId="77" xfId="1" applyNumberFormat="1" applyFont="1" applyFill="1" applyBorder="1"/>
    <xf numFmtId="164" fontId="0" fillId="0" borderId="0" xfId="1" applyNumberFormat="1" applyFont="1" applyFill="1" applyBorder="1"/>
    <xf numFmtId="164" fontId="0" fillId="0" borderId="20" xfId="1" applyNumberFormat="1" applyFont="1" applyFill="1" applyBorder="1"/>
    <xf numFmtId="164" fontId="0" fillId="0" borderId="59" xfId="1" applyNumberFormat="1" applyFont="1" applyFill="1" applyBorder="1"/>
    <xf numFmtId="164" fontId="2" fillId="0" borderId="59" xfId="1" applyNumberFormat="1" applyFont="1" applyFill="1" applyBorder="1"/>
    <xf numFmtId="164" fontId="2" fillId="0" borderId="60" xfId="1" applyNumberFormat="1" applyFont="1" applyFill="1" applyBorder="1"/>
    <xf numFmtId="166" fontId="0" fillId="0" borderId="0" xfId="1" applyNumberFormat="1" applyFont="1" applyFill="1" applyBorder="1"/>
    <xf numFmtId="166" fontId="0" fillId="0" borderId="20" xfId="1" applyNumberFormat="1" applyFont="1" applyFill="1" applyBorder="1"/>
    <xf numFmtId="9" fontId="1" fillId="0" borderId="76" xfId="385" applyFont="1" applyFill="1" applyBorder="1"/>
    <xf numFmtId="9" fontId="0" fillId="0" borderId="76" xfId="385" applyFont="1" applyFill="1" applyBorder="1"/>
    <xf numFmtId="9" fontId="0" fillId="0" borderId="77" xfId="385" applyFont="1" applyFill="1" applyBorder="1"/>
    <xf numFmtId="9" fontId="1" fillId="0" borderId="0" xfId="385" applyFont="1" applyFill="1" applyBorder="1"/>
    <xf numFmtId="9" fontId="0" fillId="0" borderId="0" xfId="385" applyFont="1" applyFill="1" applyBorder="1"/>
    <xf numFmtId="9" fontId="0" fillId="0" borderId="20" xfId="385" applyFont="1" applyFill="1" applyBorder="1"/>
    <xf numFmtId="9" fontId="1" fillId="0" borderId="59" xfId="385" applyFont="1" applyFill="1" applyBorder="1"/>
    <xf numFmtId="9" fontId="0" fillId="0" borderId="59" xfId="385" applyFont="1" applyFill="1" applyBorder="1"/>
    <xf numFmtId="9" fontId="0" fillId="0" borderId="60" xfId="385" applyFont="1" applyFill="1" applyBorder="1"/>
    <xf numFmtId="164" fontId="0" fillId="0" borderId="21" xfId="1" applyNumberFormat="1" applyFont="1" applyFill="1" applyBorder="1"/>
    <xf numFmtId="164" fontId="0" fillId="0" borderId="22" xfId="1" applyNumberFormat="1" applyFont="1" applyFill="1" applyBorder="1"/>
    <xf numFmtId="0" fontId="1" fillId="0" borderId="91" xfId="0" applyNumberFormat="1" applyFont="1" applyFill="1" applyBorder="1"/>
    <xf numFmtId="0" fontId="1" fillId="0" borderId="96" xfId="0" applyNumberFormat="1" applyFont="1" applyFill="1" applyBorder="1"/>
    <xf numFmtId="0" fontId="1" fillId="0" borderId="97" xfId="0" applyNumberFormat="1" applyFont="1" applyFill="1" applyBorder="1"/>
    <xf numFmtId="0" fontId="149" fillId="0" borderId="67" xfId="0" applyNumberFormat="1" applyFont="1" applyFill="1" applyBorder="1" applyAlignment="1"/>
    <xf numFmtId="0" fontId="148" fillId="0" borderId="91" xfId="0" applyNumberFormat="1" applyFont="1" applyFill="1" applyBorder="1" applyAlignment="1"/>
    <xf numFmtId="0" fontId="148" fillId="0" borderId="91" xfId="0" applyNumberFormat="1" applyFont="1" applyBorder="1"/>
    <xf numFmtId="0" fontId="0" fillId="0" borderId="96" xfId="0" applyNumberFormat="1" applyFont="1" applyBorder="1" applyAlignment="1">
      <alignment wrapText="1"/>
    </xf>
    <xf numFmtId="0" fontId="0" fillId="0" borderId="97" xfId="0" applyNumberFormat="1" applyFont="1" applyBorder="1" applyAlignment="1">
      <alignment wrapText="1"/>
    </xf>
    <xf numFmtId="0" fontId="149" fillId="0" borderId="67" xfId="0" applyNumberFormat="1" applyFont="1" applyBorder="1"/>
    <xf numFmtId="0" fontId="0" fillId="0" borderId="91" xfId="0" applyNumberFormat="1" applyFill="1" applyBorder="1"/>
    <xf numFmtId="164" fontId="0" fillId="0" borderId="96" xfId="1" applyNumberFormat="1" applyFont="1" applyFill="1" applyBorder="1"/>
    <xf numFmtId="0" fontId="149" fillId="0" borderId="67" xfId="0" applyNumberFormat="1" applyFont="1" applyBorder="1" applyAlignment="1">
      <alignment wrapText="1"/>
    </xf>
    <xf numFmtId="164" fontId="0" fillId="0" borderId="97" xfId="1" applyNumberFormat="1" applyFont="1" applyFill="1" applyBorder="1"/>
    <xf numFmtId="0" fontId="148" fillId="0" borderId="67" xfId="0" applyNumberFormat="1" applyFont="1" applyFill="1" applyBorder="1" applyAlignment="1">
      <alignment wrapText="1"/>
    </xf>
    <xf numFmtId="164" fontId="1" fillId="0" borderId="21" xfId="1" applyNumberFormat="1" applyFont="1" applyFill="1" applyBorder="1"/>
    <xf numFmtId="164" fontId="1" fillId="0" borderId="22" xfId="1" applyNumberFormat="1" applyFont="1" applyFill="1" applyBorder="1"/>
    <xf numFmtId="0" fontId="0" fillId="0" borderId="96" xfId="0" applyNumberFormat="1" applyFont="1" applyFill="1" applyBorder="1"/>
    <xf numFmtId="0" fontId="1" fillId="0" borderId="67" xfId="0" applyNumberFormat="1" applyFont="1" applyFill="1" applyBorder="1"/>
    <xf numFmtId="0" fontId="1" fillId="0" borderId="21" xfId="0" applyNumberFormat="1" applyFont="1" applyFill="1" applyBorder="1"/>
    <xf numFmtId="166" fontId="0" fillId="0" borderId="21" xfId="1" applyNumberFormat="1" applyFont="1" applyFill="1" applyBorder="1"/>
    <xf numFmtId="166" fontId="0" fillId="0" borderId="22" xfId="1" applyNumberFormat="1" applyFont="1" applyFill="1" applyBorder="1"/>
    <xf numFmtId="9" fontId="0" fillId="0" borderId="97" xfId="385" applyFont="1" applyFill="1" applyBorder="1"/>
    <xf numFmtId="9" fontId="1" fillId="0" borderId="22" xfId="385" applyFont="1" applyFill="1" applyBorder="1"/>
    <xf numFmtId="9" fontId="1" fillId="0" borderId="96" xfId="385" applyFont="1" applyFill="1" applyBorder="1"/>
    <xf numFmtId="9" fontId="0" fillId="0" borderId="96" xfId="385" applyFont="1" applyFill="1" applyBorder="1"/>
    <xf numFmtId="9" fontId="1" fillId="0" borderId="21" xfId="385" applyFont="1" applyFill="1" applyBorder="1"/>
    <xf numFmtId="9" fontId="0" fillId="0" borderId="21" xfId="385" applyFont="1" applyFill="1" applyBorder="1"/>
    <xf numFmtId="9" fontId="0" fillId="0" borderId="22" xfId="385" applyFont="1" applyFill="1" applyBorder="1"/>
    <xf numFmtId="0" fontId="1" fillId="0" borderId="97" xfId="1" applyNumberFormat="1" applyFont="1" applyFill="1" applyBorder="1" applyAlignment="1">
      <alignment vertical="top"/>
    </xf>
    <xf numFmtId="2" fontId="0" fillId="0" borderId="20" xfId="0" applyNumberFormat="1" applyFont="1" applyFill="1" applyBorder="1"/>
    <xf numFmtId="2" fontId="0" fillId="0" borderId="20" xfId="1485" applyNumberFormat="1" applyFont="1" applyFill="1" applyBorder="1"/>
    <xf numFmtId="2" fontId="0" fillId="0" borderId="22" xfId="1485" applyNumberFormat="1" applyFont="1" applyFill="1" applyBorder="1"/>
    <xf numFmtId="1" fontId="0" fillId="0" borderId="20" xfId="0" applyNumberFormat="1" applyFont="1" applyFill="1" applyBorder="1"/>
    <xf numFmtId="1" fontId="0" fillId="0" borderId="22" xfId="0" applyNumberFormat="1" applyFont="1" applyFill="1" applyBorder="1"/>
    <xf numFmtId="0" fontId="0" fillId="66" borderId="0" xfId="0" applyNumberFormat="1" applyFont="1" applyFill="1"/>
    <xf numFmtId="0" fontId="1" fillId="66" borderId="94" xfId="0" applyNumberFormat="1" applyFont="1" applyFill="1" applyBorder="1" applyAlignment="1">
      <alignment horizontal="left"/>
    </xf>
    <xf numFmtId="0" fontId="0" fillId="66" borderId="90" xfId="0" applyNumberFormat="1" applyFont="1" applyFill="1" applyBorder="1"/>
    <xf numFmtId="0" fontId="0" fillId="66" borderId="95" xfId="0" applyNumberFormat="1" applyFont="1" applyFill="1" applyBorder="1"/>
    <xf numFmtId="0" fontId="1" fillId="66" borderId="0" xfId="0" applyNumberFormat="1" applyFont="1" applyFill="1"/>
    <xf numFmtId="0" fontId="1" fillId="66" borderId="90" xfId="0" applyNumberFormat="1" applyFont="1" applyFill="1" applyBorder="1"/>
    <xf numFmtId="0" fontId="1" fillId="66" borderId="95" xfId="0" applyNumberFormat="1" applyFont="1" applyFill="1" applyBorder="1"/>
    <xf numFmtId="0" fontId="161" fillId="61" borderId="74" xfId="0" applyNumberFormat="1" applyFont="1" applyFill="1" applyBorder="1"/>
    <xf numFmtId="0" fontId="1" fillId="0" borderId="76" xfId="0" applyNumberFormat="1" applyFont="1" applyFill="1" applyBorder="1" applyAlignment="1">
      <alignment horizontal="right" wrapText="1"/>
    </xf>
    <xf numFmtId="0" fontId="1" fillId="66" borderId="94" xfId="0" applyNumberFormat="1" applyFont="1" applyFill="1" applyBorder="1"/>
    <xf numFmtId="0" fontId="150" fillId="66" borderId="90" xfId="0" applyNumberFormat="1" applyFont="1" applyFill="1" applyBorder="1"/>
    <xf numFmtId="0" fontId="150" fillId="66" borderId="95" xfId="0" applyNumberFormat="1" applyFont="1" applyFill="1" applyBorder="1"/>
    <xf numFmtId="0" fontId="1" fillId="66" borderId="90" xfId="0" applyNumberFormat="1" applyFont="1" applyFill="1" applyBorder="1" applyAlignment="1">
      <alignment horizontal="right"/>
    </xf>
    <xf numFmtId="0" fontId="1" fillId="66" borderId="95" xfId="0" applyNumberFormat="1" applyFont="1" applyFill="1" applyBorder="1" applyAlignment="1">
      <alignment horizontal="right"/>
    </xf>
    <xf numFmtId="0" fontId="148" fillId="66" borderId="90" xfId="0" applyNumberFormat="1" applyFont="1" applyFill="1" applyBorder="1" applyAlignment="1">
      <alignment horizontal="right"/>
    </xf>
    <xf numFmtId="0" fontId="148" fillId="66" borderId="95" xfId="0" applyNumberFormat="1" applyFont="1" applyFill="1" applyBorder="1" applyAlignment="1">
      <alignment horizontal="right"/>
    </xf>
    <xf numFmtId="0" fontId="147" fillId="66" borderId="90" xfId="0" applyNumberFormat="1" applyFont="1" applyFill="1" applyBorder="1" applyAlignment="1">
      <alignment horizontal="right"/>
    </xf>
    <xf numFmtId="0" fontId="147" fillId="66" borderId="95" xfId="0" applyNumberFormat="1" applyFont="1" applyFill="1" applyBorder="1" applyAlignment="1">
      <alignment horizontal="right"/>
    </xf>
    <xf numFmtId="0" fontId="17" fillId="0" borderId="0" xfId="0" applyNumberFormat="1" applyFont="1" applyFill="1" applyBorder="1"/>
    <xf numFmtId="0" fontId="14" fillId="0" borderId="0" xfId="0" applyNumberFormat="1" applyFont="1" applyFill="1" applyBorder="1"/>
    <xf numFmtId="0" fontId="14" fillId="0" borderId="0" xfId="0" applyNumberFormat="1" applyFont="1" applyFill="1" applyBorder="1" applyAlignment="1">
      <alignment horizontal="center"/>
    </xf>
    <xf numFmtId="0" fontId="162" fillId="0" borderId="0" xfId="0" applyNumberFormat="1" applyFont="1" applyFill="1" applyBorder="1" applyAlignment="1">
      <alignment horizontal="center"/>
    </xf>
    <xf numFmtId="0" fontId="163" fillId="0" borderId="0" xfId="0" applyNumberFormat="1" applyFont="1" applyFill="1" applyBorder="1"/>
    <xf numFmtId="0" fontId="155" fillId="55" borderId="28" xfId="1960" applyNumberFormat="1" applyFont="1" applyFill="1" applyBorder="1" applyAlignment="1" applyProtection="1"/>
    <xf numFmtId="0" fontId="155" fillId="55" borderId="26" xfId="2440" applyNumberFormat="1" applyFont="1" applyFill="1" applyBorder="1" applyAlignment="1" applyProtection="1"/>
    <xf numFmtId="0" fontId="0" fillId="66" borderId="98" xfId="0" applyNumberFormat="1" applyFont="1" applyFill="1" applyBorder="1"/>
    <xf numFmtId="0" fontId="145" fillId="0" borderId="92" xfId="0" applyNumberFormat="1" applyFont="1" applyFill="1" applyBorder="1" applyAlignment="1">
      <alignment horizontal="right" vertical="top" wrapText="1"/>
    </xf>
    <xf numFmtId="0" fontId="145" fillId="0" borderId="97" xfId="0" applyNumberFormat="1" applyFont="1" applyFill="1" applyBorder="1" applyAlignment="1">
      <alignment horizontal="right" vertical="top" wrapText="1"/>
    </xf>
    <xf numFmtId="0" fontId="1" fillId="0" borderId="92" xfId="0" applyNumberFormat="1" applyFont="1" applyFill="1" applyBorder="1" applyAlignment="1">
      <alignment horizontal="right"/>
    </xf>
    <xf numFmtId="1" fontId="1" fillId="0" borderId="60" xfId="1" applyNumberFormat="1" applyFont="1" applyFill="1" applyBorder="1"/>
    <xf numFmtId="0" fontId="138" fillId="0" borderId="93" xfId="0" applyNumberFormat="1" applyFont="1" applyFill="1" applyBorder="1" applyAlignment="1" applyProtection="1">
      <alignment horizontal="right"/>
    </xf>
    <xf numFmtId="2" fontId="137" fillId="0" borderId="20" xfId="0" applyNumberFormat="1" applyFont="1" applyFill="1" applyBorder="1" applyAlignment="1" applyProtection="1">
      <alignment horizontal="right"/>
    </xf>
    <xf numFmtId="0" fontId="137" fillId="0" borderId="0" xfId="0" applyNumberFormat="1" applyFont="1" applyFill="1" applyBorder="1" applyAlignment="1" applyProtection="1">
      <alignment horizontal="right"/>
    </xf>
    <xf numFmtId="167" fontId="137" fillId="0" borderId="20" xfId="1" applyNumberFormat="1" applyFont="1" applyFill="1" applyBorder="1" applyAlignment="1" applyProtection="1">
      <alignment horizontal="right"/>
    </xf>
    <xf numFmtId="0" fontId="137" fillId="0" borderId="0" xfId="0" applyNumberFormat="1" applyFont="1" applyFill="1" applyAlignment="1" applyProtection="1">
      <alignment horizontal="right"/>
    </xf>
    <xf numFmtId="167" fontId="137" fillId="0" borderId="0" xfId="1" applyNumberFormat="1" applyFont="1" applyFill="1" applyAlignment="1" applyProtection="1">
      <alignment horizontal="right"/>
    </xf>
    <xf numFmtId="0" fontId="138" fillId="0" borderId="92" xfId="0" applyNumberFormat="1" applyFont="1" applyFill="1" applyBorder="1" applyAlignment="1" applyProtection="1">
      <alignment horizontal="right"/>
    </xf>
    <xf numFmtId="2" fontId="137" fillId="0" borderId="0" xfId="0" applyNumberFormat="1" applyFont="1" applyFill="1" applyBorder="1" applyAlignment="1" applyProtection="1">
      <alignment horizontal="right"/>
    </xf>
    <xf numFmtId="2" fontId="137" fillId="0" borderId="59" xfId="0" applyNumberFormat="1" applyFont="1" applyFill="1" applyBorder="1" applyAlignment="1" applyProtection="1">
      <alignment horizontal="right"/>
    </xf>
    <xf numFmtId="2" fontId="137" fillId="0" borderId="60" xfId="0" applyNumberFormat="1" applyFont="1" applyFill="1" applyBorder="1" applyAlignment="1" applyProtection="1">
      <alignment horizontal="right"/>
    </xf>
    <xf numFmtId="2" fontId="137" fillId="0" borderId="59" xfId="1" applyNumberFormat="1" applyFont="1" applyFill="1" applyBorder="1" applyAlignment="1" applyProtection="1">
      <alignment horizontal="right"/>
    </xf>
    <xf numFmtId="1" fontId="137" fillId="0" borderId="0" xfId="1" applyNumberFormat="1" applyFont="1" applyFill="1" applyBorder="1" applyAlignment="1" applyProtection="1">
      <alignment horizontal="right"/>
    </xf>
    <xf numFmtId="1" fontId="137" fillId="0" borderId="0" xfId="0" applyNumberFormat="1" applyFont="1" applyFill="1" applyBorder="1" applyAlignment="1" applyProtection="1">
      <alignment horizontal="right"/>
    </xf>
    <xf numFmtId="1" fontId="137" fillId="0" borderId="20" xfId="0" applyNumberFormat="1" applyFont="1" applyFill="1" applyBorder="1" applyAlignment="1" applyProtection="1">
      <alignment horizontal="right"/>
    </xf>
    <xf numFmtId="2" fontId="137" fillId="0" borderId="0" xfId="1" applyNumberFormat="1" applyFont="1" applyFill="1" applyBorder="1" applyAlignment="1" applyProtection="1">
      <alignment horizontal="right" wrapText="1"/>
    </xf>
    <xf numFmtId="2" fontId="137" fillId="0" borderId="20" xfId="1" applyNumberFormat="1" applyFont="1" applyFill="1" applyBorder="1" applyAlignment="1" applyProtection="1">
      <alignment horizontal="right"/>
    </xf>
    <xf numFmtId="1" fontId="137" fillId="0" borderId="0" xfId="1" applyNumberFormat="1" applyFont="1" applyFill="1" applyBorder="1" applyAlignment="1" applyProtection="1">
      <alignment horizontal="right" wrapText="1"/>
    </xf>
    <xf numFmtId="1" fontId="137" fillId="0" borderId="20" xfId="1" applyNumberFormat="1" applyFont="1" applyFill="1" applyBorder="1" applyAlignment="1" applyProtection="1">
      <alignment horizontal="right"/>
    </xf>
    <xf numFmtId="215" fontId="137" fillId="0" borderId="59" xfId="1" applyNumberFormat="1" applyFont="1" applyFill="1" applyBorder="1" applyAlignment="1" applyProtection="1">
      <alignment horizontal="right" wrapText="1"/>
    </xf>
    <xf numFmtId="215" fontId="137" fillId="0" borderId="60" xfId="1" applyNumberFormat="1" applyFont="1" applyFill="1" applyBorder="1" applyAlignment="1" applyProtection="1">
      <alignment horizontal="right" wrapText="1"/>
    </xf>
    <xf numFmtId="0" fontId="154" fillId="55" borderId="0" xfId="0" applyNumberFormat="1" applyFont="1" applyFill="1" applyProtection="1"/>
    <xf numFmtId="0" fontId="150" fillId="0" borderId="0" xfId="0" applyNumberFormat="1" applyFont="1" applyFill="1" applyBorder="1"/>
    <xf numFmtId="0" fontId="164" fillId="0" borderId="0" xfId="0" applyNumberFormat="1" applyFont="1" applyFill="1" applyBorder="1" applyAlignment="1"/>
    <xf numFmtId="0" fontId="165" fillId="0" borderId="0" xfId="0" applyNumberFormat="1" applyFont="1" applyFill="1" applyBorder="1"/>
    <xf numFmtId="0" fontId="166" fillId="0" borderId="0" xfId="0" applyNumberFormat="1" applyFont="1" applyBorder="1"/>
    <xf numFmtId="0" fontId="150" fillId="0" borderId="0" xfId="1" applyNumberFormat="1" applyFont="1" applyFill="1" applyBorder="1"/>
    <xf numFmtId="0" fontId="150" fillId="63" borderId="0" xfId="1" applyNumberFormat="1" applyFont="1" applyFill="1" applyBorder="1"/>
    <xf numFmtId="0" fontId="166" fillId="0" borderId="0" xfId="0" applyNumberFormat="1" applyFont="1" applyFill="1" applyBorder="1" applyAlignment="1"/>
    <xf numFmtId="0" fontId="166" fillId="0" borderId="0" xfId="0" applyNumberFormat="1" applyFont="1" applyFill="1" applyBorder="1"/>
    <xf numFmtId="0" fontId="1" fillId="0" borderId="0" xfId="0" applyNumberFormat="1" applyFont="1" applyFill="1" applyBorder="1" applyAlignment="1"/>
    <xf numFmtId="167" fontId="1" fillId="0" borderId="0" xfId="1" applyNumberFormat="1" applyFont="1" applyFill="1" applyBorder="1" applyAlignment="1" applyProtection="1">
      <alignment horizontal="left"/>
    </xf>
    <xf numFmtId="167" fontId="1" fillId="0" borderId="0" xfId="1" applyNumberFormat="1" applyFont="1" applyFill="1" applyBorder="1" applyAlignment="1" applyProtection="1">
      <alignment wrapText="1"/>
    </xf>
    <xf numFmtId="0" fontId="1" fillId="0" borderId="0" xfId="0" applyNumberFormat="1" applyFont="1" applyFill="1" applyBorder="1" applyAlignment="1" applyProtection="1"/>
    <xf numFmtId="0" fontId="1" fillId="67" borderId="98" xfId="0" applyNumberFormat="1" applyFont="1" applyFill="1" applyBorder="1" applyAlignment="1">
      <alignment horizontal="left"/>
    </xf>
    <xf numFmtId="0" fontId="0" fillId="67" borderId="90" xfId="0" applyNumberFormat="1" applyFont="1" applyFill="1" applyBorder="1"/>
    <xf numFmtId="0" fontId="0" fillId="67" borderId="95" xfId="0" applyNumberFormat="1" applyFont="1" applyFill="1" applyBorder="1"/>
    <xf numFmtId="0" fontId="1" fillId="67" borderId="90" xfId="0" applyNumberFormat="1" applyFont="1" applyFill="1" applyBorder="1"/>
    <xf numFmtId="0" fontId="1" fillId="67" borderId="95" xfId="0" applyNumberFormat="1" applyFont="1" applyFill="1" applyBorder="1"/>
    <xf numFmtId="0" fontId="1" fillId="67" borderId="98" xfId="0" applyNumberFormat="1" applyFont="1" applyFill="1" applyBorder="1"/>
    <xf numFmtId="0" fontId="150" fillId="67" borderId="90" xfId="0" applyNumberFormat="1" applyFont="1" applyFill="1" applyBorder="1"/>
    <xf numFmtId="0" fontId="150" fillId="67" borderId="95" xfId="0" applyNumberFormat="1" applyFont="1" applyFill="1" applyBorder="1"/>
    <xf numFmtId="0" fontId="1" fillId="67" borderId="90" xfId="0" applyNumberFormat="1" applyFont="1" applyFill="1" applyBorder="1" applyAlignment="1">
      <alignment horizontal="right"/>
    </xf>
    <xf numFmtId="0" fontId="1" fillId="67" borderId="95" xfId="0" applyNumberFormat="1" applyFont="1" applyFill="1" applyBorder="1" applyAlignment="1">
      <alignment horizontal="right"/>
    </xf>
    <xf numFmtId="0" fontId="148" fillId="67" borderId="90" xfId="0" applyNumberFormat="1" applyFont="1" applyFill="1" applyBorder="1" applyAlignment="1">
      <alignment horizontal="right"/>
    </xf>
    <xf numFmtId="0" fontId="148" fillId="67" borderId="95" xfId="0" applyNumberFormat="1" applyFont="1" applyFill="1" applyBorder="1" applyAlignment="1">
      <alignment horizontal="right"/>
    </xf>
    <xf numFmtId="0" fontId="147" fillId="67" borderId="90" xfId="0" applyNumberFormat="1" applyFont="1" applyFill="1" applyBorder="1" applyAlignment="1">
      <alignment horizontal="right"/>
    </xf>
    <xf numFmtId="0" fontId="147" fillId="67" borderId="95" xfId="0" applyNumberFormat="1" applyFont="1" applyFill="1" applyBorder="1" applyAlignment="1">
      <alignment horizontal="right"/>
    </xf>
    <xf numFmtId="0" fontId="149" fillId="67" borderId="90" xfId="0" applyNumberFormat="1" applyFont="1" applyFill="1" applyBorder="1" applyAlignment="1">
      <alignment horizontal="right"/>
    </xf>
    <xf numFmtId="0" fontId="149" fillId="67" borderId="95" xfId="0" applyNumberFormat="1" applyFont="1" applyFill="1" applyBorder="1" applyAlignment="1">
      <alignment horizontal="right"/>
    </xf>
    <xf numFmtId="0" fontId="1" fillId="67" borderId="90" xfId="0" applyNumberFormat="1" applyFont="1" applyFill="1" applyBorder="1" applyAlignment="1">
      <alignment horizontal="center"/>
    </xf>
    <xf numFmtId="0" fontId="1" fillId="67" borderId="95" xfId="0" applyNumberFormat="1" applyFont="1" applyFill="1" applyBorder="1" applyAlignment="1">
      <alignment horizontal="center"/>
    </xf>
    <xf numFmtId="0" fontId="149" fillId="67" borderId="98" xfId="0" applyNumberFormat="1" applyFont="1" applyFill="1" applyBorder="1" applyAlignment="1"/>
    <xf numFmtId="0" fontId="0" fillId="67" borderId="90" xfId="1" applyNumberFormat="1" applyFont="1" applyFill="1" applyBorder="1"/>
    <xf numFmtId="0" fontId="0" fillId="67" borderId="95" xfId="1" applyNumberFormat="1" applyFont="1" applyFill="1" applyBorder="1"/>
    <xf numFmtId="0" fontId="149" fillId="0" borderId="91" xfId="0" applyNumberFormat="1" applyFont="1" applyFill="1" applyBorder="1" applyAlignment="1"/>
    <xf numFmtId="0" fontId="0" fillId="67" borderId="98" xfId="0" applyNumberFormat="1" applyFont="1" applyFill="1" applyBorder="1"/>
    <xf numFmtId="0" fontId="0" fillId="67" borderId="90" xfId="0" applyNumberFormat="1" applyFill="1" applyBorder="1"/>
    <xf numFmtId="2" fontId="0" fillId="0" borderId="0" xfId="0" applyNumberFormat="1" applyFill="1" applyBorder="1"/>
    <xf numFmtId="2" fontId="0" fillId="0" borderId="21" xfId="0" applyNumberFormat="1" applyFill="1" applyBorder="1"/>
    <xf numFmtId="2" fontId="0" fillId="0" borderId="21" xfId="0" applyNumberFormat="1" applyFont="1" applyFill="1" applyBorder="1"/>
    <xf numFmtId="2" fontId="0" fillId="0" borderId="22" xfId="0" applyNumberFormat="1" applyFont="1" applyFill="1" applyBorder="1"/>
    <xf numFmtId="2" fontId="0" fillId="0" borderId="0" xfId="1" applyNumberFormat="1" applyFont="1" applyFill="1" applyBorder="1"/>
    <xf numFmtId="2" fontId="0" fillId="0" borderId="20" xfId="1" applyNumberFormat="1" applyFont="1" applyFill="1" applyBorder="1"/>
    <xf numFmtId="0" fontId="1" fillId="0" borderId="96" xfId="1" applyNumberFormat="1" applyFont="1" applyFill="1" applyBorder="1"/>
    <xf numFmtId="0" fontId="1" fillId="0" borderId="97" xfId="1" applyNumberFormat="1" applyFont="1" applyFill="1" applyBorder="1"/>
    <xf numFmtId="2" fontId="2" fillId="0" borderId="20" xfId="1" applyNumberFormat="1" applyFont="1" applyFill="1" applyBorder="1"/>
    <xf numFmtId="2" fontId="0" fillId="0" borderId="59" xfId="1" applyNumberFormat="1" applyFont="1" applyFill="1" applyBorder="1"/>
    <xf numFmtId="2" fontId="0" fillId="0" borderId="60" xfId="1" applyNumberFormat="1" applyFont="1" applyFill="1" applyBorder="1"/>
    <xf numFmtId="1" fontId="0" fillId="0" borderId="60" xfId="1" applyNumberFormat="1" applyFont="1" applyFill="1" applyBorder="1"/>
    <xf numFmtId="168" fontId="1" fillId="0" borderId="76" xfId="385" applyNumberFormat="1" applyFont="1" applyFill="1" applyBorder="1"/>
    <xf numFmtId="168" fontId="0" fillId="0" borderId="76" xfId="385" applyNumberFormat="1" applyFont="1" applyFill="1" applyBorder="1"/>
    <xf numFmtId="168" fontId="1" fillId="0" borderId="0" xfId="385" applyNumberFormat="1" applyFont="1" applyFill="1" applyBorder="1"/>
    <xf numFmtId="168" fontId="0" fillId="0" borderId="0" xfId="385" applyNumberFormat="1" applyFont="1" applyFill="1" applyBorder="1"/>
    <xf numFmtId="168" fontId="1" fillId="0" borderId="59" xfId="385" applyNumberFormat="1" applyFont="1" applyFill="1" applyBorder="1"/>
    <xf numFmtId="168" fontId="0" fillId="0" borderId="59" xfId="385" applyNumberFormat="1" applyFont="1" applyFill="1" applyBorder="1"/>
    <xf numFmtId="1" fontId="0" fillId="0" borderId="20" xfId="1" applyNumberFormat="1" applyFont="1" applyFill="1" applyBorder="1"/>
    <xf numFmtId="2" fontId="0" fillId="0" borderId="21" xfId="1" applyNumberFormat="1" applyFont="1" applyFill="1" applyBorder="1"/>
    <xf numFmtId="2" fontId="0" fillId="0" borderId="22" xfId="1" applyNumberFormat="1" applyFont="1" applyFill="1" applyBorder="1"/>
    <xf numFmtId="2" fontId="0" fillId="0" borderId="76" xfId="1" applyNumberFormat="1" applyFont="1" applyFill="1" applyBorder="1"/>
    <xf numFmtId="2" fontId="0" fillId="0" borderId="77" xfId="1" applyNumberFormat="1" applyFont="1" applyFill="1" applyBorder="1"/>
    <xf numFmtId="2" fontId="1" fillId="0" borderId="59" xfId="1" applyNumberFormat="1" applyFont="1" applyFill="1" applyBorder="1"/>
    <xf numFmtId="2" fontId="1" fillId="0" borderId="60" xfId="1" applyNumberFormat="1" applyFont="1" applyFill="1" applyBorder="1"/>
    <xf numFmtId="2" fontId="0" fillId="0" borderId="77" xfId="385" applyNumberFormat="1" applyFont="1" applyFill="1" applyBorder="1"/>
    <xf numFmtId="2" fontId="0" fillId="0" borderId="20" xfId="385" applyNumberFormat="1" applyFont="1" applyFill="1" applyBorder="1"/>
    <xf numFmtId="2" fontId="1" fillId="0" borderId="60" xfId="0" applyNumberFormat="1" applyFont="1" applyFill="1" applyBorder="1"/>
    <xf numFmtId="1" fontId="0" fillId="63" borderId="0" xfId="1" applyNumberFormat="1" applyFont="1" applyFill="1" applyBorder="1"/>
    <xf numFmtId="1" fontId="0" fillId="63" borderId="20" xfId="1" applyNumberFormat="1" applyFont="1" applyFill="1" applyBorder="1"/>
    <xf numFmtId="1" fontId="0" fillId="63" borderId="59" xfId="1" applyNumberFormat="1" applyFont="1" applyFill="1" applyBorder="1"/>
    <xf numFmtId="2" fontId="0" fillId="0" borderId="76" xfId="0" applyNumberFormat="1" applyFont="1" applyBorder="1" applyAlignment="1">
      <alignment wrapText="1"/>
    </xf>
    <xf numFmtId="2" fontId="0" fillId="0" borderId="77" xfId="0" applyNumberFormat="1" applyFont="1" applyBorder="1" applyAlignment="1">
      <alignment wrapText="1"/>
    </xf>
    <xf numFmtId="2" fontId="120" fillId="0" borderId="20" xfId="1" applyNumberFormat="1" applyFont="1" applyFill="1" applyBorder="1"/>
    <xf numFmtId="2" fontId="120" fillId="0" borderId="0" xfId="1" applyNumberFormat="1" applyFont="1" applyFill="1" applyBorder="1"/>
    <xf numFmtId="2" fontId="15" fillId="0" borderId="0" xfId="1" applyNumberFormat="1" applyFont="1" applyFill="1" applyBorder="1"/>
    <xf numFmtId="2" fontId="15" fillId="0" borderId="20" xfId="1" applyNumberFormat="1" applyFont="1" applyFill="1" applyBorder="1"/>
    <xf numFmtId="2" fontId="144" fillId="0" borderId="20" xfId="1" applyNumberFormat="1" applyFont="1" applyFill="1" applyBorder="1" applyAlignment="1">
      <alignment horizontal="right" wrapText="1"/>
    </xf>
    <xf numFmtId="2" fontId="144" fillId="0" borderId="60" xfId="1" applyNumberFormat="1" applyFont="1" applyFill="1" applyBorder="1" applyAlignment="1">
      <alignment horizontal="right" wrapText="1"/>
    </xf>
    <xf numFmtId="1" fontId="2" fillId="0" borderId="60" xfId="1" applyNumberFormat="1" applyFont="1" applyFill="1" applyBorder="1" applyAlignment="1">
      <alignment horizontal="right" wrapText="1"/>
    </xf>
    <xf numFmtId="1" fontId="0" fillId="0" borderId="21" xfId="0" applyNumberFormat="1" applyFont="1" applyFill="1" applyBorder="1"/>
    <xf numFmtId="2" fontId="0" fillId="0" borderId="59" xfId="0" applyNumberFormat="1" applyFont="1" applyFill="1" applyBorder="1"/>
    <xf numFmtId="2" fontId="0" fillId="0" borderId="60" xfId="0" applyNumberFormat="1" applyFont="1" applyFill="1" applyBorder="1"/>
    <xf numFmtId="167" fontId="1" fillId="0" borderId="25" xfId="1" applyNumberFormat="1" applyFont="1" applyBorder="1" applyAlignment="1" applyProtection="1">
      <alignment wrapText="1"/>
    </xf>
    <xf numFmtId="167" fontId="1" fillId="0" borderId="26" xfId="1" applyNumberFormat="1" applyFont="1" applyFill="1" applyBorder="1" applyProtection="1"/>
    <xf numFmtId="167" fontId="1" fillId="0" borderId="28" xfId="1" applyNumberFormat="1" applyFont="1" applyFill="1" applyBorder="1" applyProtection="1"/>
    <xf numFmtId="167" fontId="1" fillId="0" borderId="32" xfId="1" applyNumberFormat="1" applyFont="1" applyFill="1" applyBorder="1" applyAlignment="1" applyProtection="1">
      <alignment horizontal="center" vertical="center"/>
    </xf>
    <xf numFmtId="167" fontId="1" fillId="0" borderId="24" xfId="1" applyNumberFormat="1" applyFont="1" applyFill="1" applyBorder="1" applyAlignment="1" applyProtection="1">
      <alignment horizontal="center" vertical="center"/>
    </xf>
    <xf numFmtId="167" fontId="1" fillId="0" borderId="29" xfId="1" applyNumberFormat="1" applyFont="1" applyFill="1" applyBorder="1" applyAlignment="1" applyProtection="1">
      <alignment horizontal="center" vertical="center"/>
    </xf>
    <xf numFmtId="167" fontId="1" fillId="0" borderId="26" xfId="1" applyNumberFormat="1" applyFont="1" applyFill="1" applyBorder="1" applyAlignment="1" applyProtection="1">
      <alignment horizontal="left" wrapText="1"/>
    </xf>
    <xf numFmtId="212" fontId="0" fillId="0" borderId="29" xfId="0" applyNumberFormat="1" applyFont="1" applyBorder="1" applyAlignment="1" applyProtection="1">
      <alignment horizontal="left" wrapText="1"/>
    </xf>
    <xf numFmtId="167" fontId="2" fillId="0" borderId="26" xfId="1" applyNumberFormat="1" applyFont="1" applyFill="1" applyBorder="1" applyAlignment="1" applyProtection="1">
      <alignment wrapText="1"/>
    </xf>
    <xf numFmtId="167" fontId="2" fillId="0" borderId="29" xfId="1" applyNumberFormat="1" applyFont="1" applyFill="1" applyBorder="1" applyProtection="1"/>
    <xf numFmtId="167" fontId="2" fillId="0" borderId="26" xfId="1" applyNumberFormat="1" applyFont="1" applyFill="1" applyBorder="1" applyProtection="1"/>
    <xf numFmtId="166" fontId="120" fillId="0" borderId="26" xfId="1397" applyNumberFormat="1" applyFont="1" applyFill="1" applyBorder="1" applyProtection="1"/>
    <xf numFmtId="167" fontId="2" fillId="0" borderId="30" xfId="1" applyNumberFormat="1" applyFont="1" applyFill="1" applyBorder="1" applyProtection="1"/>
    <xf numFmtId="167" fontId="2" fillId="0" borderId="27" xfId="1" applyNumberFormat="1" applyFont="1" applyFill="1" applyBorder="1" applyProtection="1"/>
    <xf numFmtId="49" fontId="2" fillId="0" borderId="27" xfId="1" applyNumberFormat="1" applyFont="1" applyFill="1" applyBorder="1" applyAlignment="1" applyProtection="1">
      <alignment horizontal="right"/>
    </xf>
    <xf numFmtId="167" fontId="2" fillId="0" borderId="28" xfId="1" applyNumberFormat="1" applyFont="1" applyFill="1" applyBorder="1" applyProtection="1"/>
    <xf numFmtId="167" fontId="1" fillId="0" borderId="0" xfId="1" applyNumberFormat="1" applyFont="1" applyFill="1" applyBorder="1" applyAlignment="1" applyProtection="1">
      <alignment wrapText="1"/>
    </xf>
    <xf numFmtId="0" fontId="138" fillId="0" borderId="96" xfId="0" applyNumberFormat="1" applyFont="1" applyFill="1" applyBorder="1" applyAlignment="1" applyProtection="1">
      <alignment horizontal="right"/>
    </xf>
    <xf numFmtId="0" fontId="138" fillId="0" borderId="97" xfId="0" applyNumberFormat="1" applyFont="1" applyFill="1" applyBorder="1" applyAlignment="1" applyProtection="1">
      <alignment horizontal="right"/>
    </xf>
    <xf numFmtId="0" fontId="139" fillId="0" borderId="67" xfId="0" applyNumberFormat="1" applyFont="1" applyFill="1" applyBorder="1" applyAlignment="1" applyProtection="1">
      <alignment vertical="top"/>
    </xf>
    <xf numFmtId="164" fontId="0" fillId="0" borderId="60" xfId="1" applyNumberFormat="1" applyFont="1" applyFill="1" applyBorder="1"/>
    <xf numFmtId="215" fontId="0" fillId="0" borderId="0" xfId="1" applyNumberFormat="1" applyFont="1" applyFill="1" applyBorder="1"/>
    <xf numFmtId="215" fontId="0" fillId="0" borderId="20" xfId="1" applyNumberFormat="1" applyFont="1" applyFill="1" applyBorder="1"/>
    <xf numFmtId="215" fontId="0" fillId="0" borderId="59" xfId="1" applyNumberFormat="1" applyFont="1" applyFill="1" applyBorder="1"/>
    <xf numFmtId="215" fontId="0" fillId="0" borderId="60" xfId="1" applyNumberFormat="1" applyFont="1" applyFill="1" applyBorder="1"/>
    <xf numFmtId="0" fontId="2" fillId="0" borderId="0" xfId="1" applyNumberFormat="1" applyFont="1" applyBorder="1" applyProtection="1"/>
    <xf numFmtId="0" fontId="2" fillId="0" borderId="32" xfId="1" applyNumberFormat="1" applyFont="1" applyBorder="1" applyProtection="1"/>
    <xf numFmtId="0" fontId="2" fillId="0" borderId="24" xfId="1" applyNumberFormat="1" applyFont="1" applyBorder="1" applyProtection="1"/>
    <xf numFmtId="0" fontId="2" fillId="0" borderId="29" xfId="1" applyNumberFormat="1" applyFont="1" applyFill="1" applyBorder="1" applyProtection="1"/>
    <xf numFmtId="0" fontId="0" fillId="0" borderId="29" xfId="0" applyNumberFormat="1" applyFont="1" applyBorder="1" applyAlignment="1" applyProtection="1">
      <alignment horizontal="left" wrapText="1"/>
    </xf>
    <xf numFmtId="167" fontId="1" fillId="0" borderId="26" xfId="1" applyNumberFormat="1" applyFont="1" applyFill="1" applyBorder="1" applyAlignment="1" applyProtection="1">
      <alignment wrapText="1"/>
    </xf>
    <xf numFmtId="0" fontId="2" fillId="0" borderId="29" xfId="1" applyNumberFormat="1" applyFont="1" applyBorder="1" applyProtection="1"/>
    <xf numFmtId="0" fontId="2" fillId="0" borderId="30" xfId="1" applyNumberFormat="1" applyFont="1" applyBorder="1" applyProtection="1"/>
    <xf numFmtId="0" fontId="2" fillId="0" borderId="27" xfId="1" applyNumberFormat="1" applyFont="1" applyBorder="1" applyProtection="1"/>
    <xf numFmtId="0" fontId="157" fillId="55" borderId="0" xfId="0" applyNumberFormat="1" applyFont="1" applyFill="1" applyBorder="1" applyAlignment="1" applyProtection="1">
      <alignment horizontal="left"/>
    </xf>
    <xf numFmtId="167" fontId="157" fillId="55" borderId="0" xfId="1" applyNumberFormat="1" applyFont="1" applyFill="1" applyBorder="1" applyAlignment="1" applyProtection="1">
      <alignment horizontal="left"/>
    </xf>
    <xf numFmtId="0" fontId="152" fillId="55" borderId="0" xfId="0" applyNumberFormat="1" applyFont="1" applyFill="1" applyBorder="1" applyAlignment="1" applyProtection="1">
      <alignment horizontal="left"/>
    </xf>
    <xf numFmtId="0" fontId="157" fillId="55" borderId="27" xfId="0" applyNumberFormat="1" applyFont="1" applyFill="1" applyBorder="1" applyAlignment="1" applyProtection="1">
      <alignment horizontal="left"/>
    </xf>
    <xf numFmtId="167" fontId="157" fillId="55" borderId="27" xfId="1" applyNumberFormat="1" applyFont="1" applyFill="1" applyBorder="1" applyAlignment="1" applyProtection="1">
      <alignment horizontal="left"/>
    </xf>
    <xf numFmtId="0" fontId="1" fillId="66" borderId="33" xfId="0" applyNumberFormat="1" applyFont="1" applyFill="1" applyBorder="1" applyAlignment="1">
      <alignment horizontal="left"/>
    </xf>
    <xf numFmtId="0" fontId="0" fillId="66" borderId="34" xfId="0" applyNumberFormat="1" applyFill="1" applyBorder="1" applyAlignment="1">
      <alignment horizontal="left"/>
    </xf>
    <xf numFmtId="0" fontId="0" fillId="66" borderId="35" xfId="0" applyNumberFormat="1" applyFill="1" applyBorder="1" applyAlignment="1">
      <alignment horizontal="left"/>
    </xf>
    <xf numFmtId="0" fontId="1" fillId="66" borderId="35" xfId="0" applyNumberFormat="1" applyFont="1" applyFill="1" applyBorder="1" applyAlignment="1">
      <alignment horizontal="left"/>
    </xf>
    <xf numFmtId="194" fontId="0" fillId="0" borderId="59" xfId="1" applyNumberFormat="1" applyFont="1" applyFill="1" applyBorder="1"/>
    <xf numFmtId="1" fontId="167" fillId="0" borderId="20" xfId="1470" applyNumberFormat="1" applyFont="1" applyFill="1" applyBorder="1" applyAlignment="1">
      <alignment horizontal="right" wrapText="1"/>
    </xf>
    <xf numFmtId="1" fontId="167" fillId="0" borderId="60" xfId="1470" applyNumberFormat="1" applyFont="1" applyFill="1" applyBorder="1" applyAlignment="1">
      <alignment horizontal="right" wrapText="1"/>
    </xf>
    <xf numFmtId="166" fontId="167" fillId="0" borderId="0" xfId="1" applyNumberFormat="1" applyFont="1" applyFill="1" applyBorder="1"/>
    <xf numFmtId="164" fontId="167" fillId="0" borderId="97" xfId="1" applyNumberFormat="1" applyFont="1" applyFill="1" applyBorder="1"/>
    <xf numFmtId="164" fontId="167" fillId="0" borderId="20" xfId="1" applyNumberFormat="1" applyFont="1" applyFill="1" applyBorder="1"/>
    <xf numFmtId="164" fontId="168" fillId="0" borderId="22" xfId="1" applyNumberFormat="1" applyFont="1" applyFill="1" applyBorder="1"/>
    <xf numFmtId="164" fontId="167" fillId="0" borderId="22" xfId="1" applyNumberFormat="1" applyFont="1" applyFill="1" applyBorder="1"/>
    <xf numFmtId="0" fontId="1" fillId="0" borderId="92" xfId="0" applyNumberFormat="1" applyFont="1" applyFill="1" applyBorder="1"/>
    <xf numFmtId="0" fontId="144" fillId="0" borderId="67" xfId="0" applyNumberFormat="1" applyFont="1" applyFill="1" applyBorder="1" applyAlignment="1">
      <alignment vertical="top" wrapText="1"/>
    </xf>
    <xf numFmtId="0" fontId="1" fillId="0" borderId="91" xfId="0" applyNumberFormat="1" applyFont="1" applyFill="1" applyBorder="1" applyAlignment="1">
      <alignment vertical="top" wrapText="1"/>
    </xf>
    <xf numFmtId="0" fontId="1" fillId="0" borderId="67" xfId="0" applyNumberFormat="1" applyFont="1" applyFill="1" applyBorder="1" applyAlignment="1">
      <alignment vertical="top" wrapText="1"/>
    </xf>
    <xf numFmtId="1" fontId="167" fillId="0" borderId="20" xfId="1487" applyNumberFormat="1" applyFont="1" applyFill="1" applyBorder="1" applyAlignment="1">
      <alignment horizontal="right" wrapText="1"/>
    </xf>
    <xf numFmtId="1" fontId="168" fillId="0" borderId="60" xfId="1487" applyNumberFormat="1" applyFont="1" applyFill="1" applyBorder="1" applyAlignment="1">
      <alignment horizontal="right" wrapText="1"/>
    </xf>
    <xf numFmtId="1" fontId="167" fillId="0" borderId="20" xfId="1" applyNumberFormat="1" applyFont="1" applyFill="1" applyBorder="1"/>
    <xf numFmtId="1" fontId="167" fillId="0" borderId="60" xfId="1" applyNumberFormat="1" applyFont="1" applyFill="1" applyBorder="1"/>
    <xf numFmtId="2" fontId="167" fillId="0" borderId="20" xfId="0" applyNumberFormat="1" applyFont="1" applyFill="1" applyBorder="1"/>
    <xf numFmtId="2" fontId="167" fillId="0" borderId="60" xfId="1" applyNumberFormat="1" applyFont="1" applyFill="1" applyBorder="1"/>
    <xf numFmtId="0" fontId="0" fillId="0" borderId="91" xfId="0" applyNumberFormat="1" applyFont="1" applyFill="1" applyBorder="1"/>
    <xf numFmtId="0" fontId="167" fillId="0" borderId="20" xfId="1" applyNumberFormat="1" applyFont="1" applyFill="1" applyBorder="1"/>
    <xf numFmtId="0" fontId="0" fillId="0" borderId="67" xfId="0" applyNumberFormat="1" applyFill="1" applyBorder="1" applyAlignment="1">
      <alignment vertical="top" wrapText="1"/>
    </xf>
    <xf numFmtId="0" fontId="167" fillId="0" borderId="60" xfId="1" applyNumberFormat="1" applyFont="1" applyFill="1" applyBorder="1"/>
    <xf numFmtId="0" fontId="168" fillId="0" borderId="60" xfId="1" applyNumberFormat="1" applyFont="1" applyFill="1" applyBorder="1"/>
    <xf numFmtId="0" fontId="1" fillId="0" borderId="97" xfId="0" applyNumberFormat="1" applyFont="1" applyFill="1" applyBorder="1" applyAlignment="1">
      <alignment horizontal="right"/>
    </xf>
    <xf numFmtId="0" fontId="0" fillId="0" borderId="67" xfId="0" applyNumberFormat="1" applyFill="1" applyBorder="1"/>
    <xf numFmtId="0" fontId="149" fillId="0" borderId="91" xfId="0" applyNumberFormat="1" applyFont="1" applyBorder="1"/>
    <xf numFmtId="164" fontId="0" fillId="0" borderId="92" xfId="1" applyNumberFormat="1" applyFont="1" applyFill="1" applyBorder="1"/>
    <xf numFmtId="164" fontId="167" fillId="0" borderId="60" xfId="1" applyNumberFormat="1" applyFont="1" applyFill="1" applyBorder="1"/>
    <xf numFmtId="0" fontId="0" fillId="0" borderId="92" xfId="0" applyNumberFormat="1" applyFont="1" applyBorder="1" applyAlignment="1">
      <alignment wrapText="1"/>
    </xf>
    <xf numFmtId="0" fontId="159" fillId="66" borderId="90" xfId="1" applyNumberFormat="1" applyFont="1" applyFill="1" applyBorder="1" applyAlignment="1">
      <alignment horizontal="right"/>
    </xf>
    <xf numFmtId="0" fontId="157" fillId="66" borderId="84" xfId="0" applyNumberFormat="1" applyFont="1" applyFill="1" applyBorder="1" applyAlignment="1">
      <alignment vertical="top" wrapText="1"/>
    </xf>
    <xf numFmtId="0" fontId="157" fillId="0" borderId="37" xfId="0" applyNumberFormat="1" applyFont="1" applyFill="1" applyBorder="1" applyAlignment="1">
      <alignment vertical="top" wrapText="1"/>
    </xf>
    <xf numFmtId="0" fontId="0" fillId="0" borderId="37" xfId="0" applyNumberFormat="1" applyFill="1" applyBorder="1"/>
    <xf numFmtId="0" fontId="0" fillId="0" borderId="37" xfId="1619" applyNumberFormat="1" applyFont="1" applyFill="1" applyBorder="1"/>
    <xf numFmtId="1" fontId="157" fillId="0" borderId="37" xfId="1619" applyNumberFormat="1" applyFont="1" applyFill="1" applyBorder="1" applyAlignment="1">
      <alignment vertical="top" wrapText="1"/>
    </xf>
    <xf numFmtId="1" fontId="157" fillId="0" borderId="51" xfId="1619" applyNumberFormat="1" applyFont="1" applyFill="1" applyBorder="1" applyAlignment="1">
      <alignment vertical="top" wrapText="1"/>
    </xf>
    <xf numFmtId="0" fontId="157" fillId="66" borderId="84" xfId="0" applyNumberFormat="1" applyFont="1" applyFill="1" applyBorder="1" applyAlignment="1">
      <alignment horizontal="right"/>
    </xf>
    <xf numFmtId="0" fontId="157" fillId="0" borderId="37" xfId="0" applyNumberFormat="1" applyFont="1" applyFill="1" applyBorder="1" applyAlignment="1">
      <alignment horizontal="right"/>
    </xf>
    <xf numFmtId="0" fontId="157" fillId="0" borderId="37" xfId="1948" applyNumberFormat="1" applyFont="1" applyFill="1" applyBorder="1" applyAlignment="1">
      <alignment horizontal="right"/>
    </xf>
    <xf numFmtId="0" fontId="157" fillId="0" borderId="51" xfId="1948" applyNumberFormat="1" applyFont="1" applyFill="1" applyBorder="1" applyAlignment="1">
      <alignment horizontal="right"/>
    </xf>
    <xf numFmtId="2" fontId="159" fillId="0" borderId="0" xfId="1" applyNumberFormat="1" applyFont="1" applyBorder="1" applyAlignment="1">
      <alignment horizontal="right"/>
    </xf>
    <xf numFmtId="2" fontId="157" fillId="0" borderId="37" xfId="0" applyNumberFormat="1" applyFont="1" applyFill="1" applyBorder="1" applyAlignment="1">
      <alignment horizontal="right"/>
    </xf>
    <xf numFmtId="194" fontId="159" fillId="0" borderId="0" xfId="1" applyNumberFormat="1" applyFont="1" applyBorder="1" applyAlignment="1">
      <alignment horizontal="right"/>
    </xf>
    <xf numFmtId="194" fontId="157" fillId="0" borderId="37" xfId="0" applyNumberFormat="1" applyFont="1" applyFill="1" applyBorder="1" applyAlignment="1">
      <alignment horizontal="right"/>
    </xf>
    <xf numFmtId="194" fontId="157" fillId="0" borderId="0" xfId="0" applyNumberFormat="1" applyFont="1" applyFill="1" applyBorder="1"/>
    <xf numFmtId="194" fontId="0" fillId="0" borderId="37" xfId="0" applyNumberFormat="1" applyFont="1" applyFill="1" applyBorder="1"/>
    <xf numFmtId="1" fontId="159" fillId="0" borderId="0" xfId="1" applyNumberFormat="1" applyFont="1" applyBorder="1" applyAlignment="1">
      <alignment horizontal="right"/>
    </xf>
    <xf numFmtId="1" fontId="157" fillId="0" borderId="37" xfId="0" applyNumberFormat="1" applyFont="1" applyFill="1" applyBorder="1" applyAlignment="1">
      <alignment horizontal="right"/>
    </xf>
    <xf numFmtId="1" fontId="157" fillId="0" borderId="0" xfId="0" applyNumberFormat="1" applyFont="1" applyFill="1" applyBorder="1"/>
    <xf numFmtId="1" fontId="0" fillId="0" borderId="37" xfId="0" applyNumberFormat="1" applyFont="1" applyFill="1" applyBorder="1"/>
    <xf numFmtId="1" fontId="157" fillId="0" borderId="0" xfId="0" applyNumberFormat="1" applyFont="1" applyFill="1" applyBorder="1" applyAlignment="1">
      <alignment horizontal="right"/>
    </xf>
    <xf numFmtId="1" fontId="0" fillId="0" borderId="37" xfId="0" applyNumberFormat="1" applyFont="1" applyFill="1" applyBorder="1" applyAlignment="1">
      <alignment horizontal="right"/>
    </xf>
    <xf numFmtId="1" fontId="157" fillId="0" borderId="21" xfId="0" applyNumberFormat="1" applyFont="1" applyFill="1" applyBorder="1" applyAlignment="1">
      <alignment horizontal="right"/>
    </xf>
    <xf numFmtId="1" fontId="157" fillId="0" borderId="22" xfId="0" applyNumberFormat="1" applyFont="1" applyFill="1" applyBorder="1" applyAlignment="1">
      <alignment horizontal="right"/>
    </xf>
    <xf numFmtId="1" fontId="0" fillId="0" borderId="51" xfId="0" applyNumberFormat="1" applyFont="1" applyFill="1" applyBorder="1" applyAlignment="1">
      <alignment horizontal="right"/>
    </xf>
    <xf numFmtId="168" fontId="0" fillId="0" borderId="21" xfId="385" applyNumberFormat="1" applyFont="1" applyFill="1" applyBorder="1"/>
    <xf numFmtId="168" fontId="0" fillId="0" borderId="22" xfId="385" applyNumberFormat="1" applyFont="1" applyFill="1" applyBorder="1"/>
    <xf numFmtId="0" fontId="1" fillId="66" borderId="98" xfId="0" applyNumberFormat="1" applyFont="1" applyFill="1" applyBorder="1"/>
    <xf numFmtId="194" fontId="0" fillId="0" borderId="0" xfId="0" applyNumberFormat="1" applyFont="1" applyFill="1" applyBorder="1"/>
    <xf numFmtId="0" fontId="157" fillId="0" borderId="67" xfId="0" applyNumberFormat="1" applyFont="1" applyFill="1" applyBorder="1" applyAlignment="1">
      <alignment horizontal="right"/>
    </xf>
    <xf numFmtId="194" fontId="0" fillId="0" borderId="21" xfId="0" applyNumberFormat="1" applyFont="1" applyFill="1" applyBorder="1"/>
    <xf numFmtId="0" fontId="1" fillId="66" borderId="98" xfId="0" applyNumberFormat="1" applyFont="1" applyFill="1" applyBorder="1" applyAlignment="1" applyProtection="1">
      <alignment horizontal="left"/>
    </xf>
    <xf numFmtId="0" fontId="0" fillId="66" borderId="90" xfId="0" applyNumberFormat="1" applyFont="1" applyFill="1" applyBorder="1" applyAlignment="1" applyProtection="1">
      <alignment horizontal="right"/>
    </xf>
    <xf numFmtId="0" fontId="0" fillId="66" borderId="95" xfId="0" applyNumberFormat="1" applyFont="1" applyFill="1" applyBorder="1" applyAlignment="1" applyProtection="1">
      <alignment horizontal="right"/>
    </xf>
    <xf numFmtId="0" fontId="0" fillId="0" borderId="0" xfId="0" applyNumberFormat="1" applyFont="1" applyFill="1" applyBorder="1" applyAlignment="1" applyProtection="1">
      <alignment vertical="top" wrapText="1"/>
    </xf>
    <xf numFmtId="0" fontId="1" fillId="66" borderId="98" xfId="0" applyNumberFormat="1" applyFont="1" applyFill="1" applyBorder="1" applyProtection="1"/>
    <xf numFmtId="0" fontId="137" fillId="66" borderId="90" xfId="0" applyNumberFormat="1" applyFont="1" applyFill="1" applyBorder="1" applyAlignment="1" applyProtection="1">
      <alignment horizontal="right"/>
    </xf>
    <xf numFmtId="0" fontId="137" fillId="66" borderId="95" xfId="0" applyNumberFormat="1" applyFont="1" applyFill="1" applyBorder="1" applyAlignment="1" applyProtection="1">
      <alignment horizontal="right"/>
    </xf>
    <xf numFmtId="167" fontId="1" fillId="0" borderId="0" xfId="1" applyNumberFormat="1" applyFont="1" applyBorder="1" applyProtection="1"/>
    <xf numFmtId="167" fontId="1" fillId="0" borderId="26" xfId="1" applyNumberFormat="1" applyFont="1" applyBorder="1" applyProtection="1"/>
    <xf numFmtId="167" fontId="1" fillId="0" borderId="27" xfId="1" applyNumberFormat="1" applyFont="1" applyBorder="1" applyProtection="1"/>
    <xf numFmtId="167" fontId="1" fillId="0" borderId="28" xfId="1" applyNumberFormat="1" applyFont="1" applyBorder="1" applyProtection="1"/>
    <xf numFmtId="214" fontId="0" fillId="0" borderId="0" xfId="1" applyNumberFormat="1" applyFont="1" applyFill="1" applyBorder="1"/>
    <xf numFmtId="164" fontId="0" fillId="0" borderId="0" xfId="1" applyFont="1" applyFill="1" applyBorder="1"/>
    <xf numFmtId="164" fontId="0" fillId="0" borderId="21" xfId="1" applyFont="1" applyFill="1" applyBorder="1"/>
    <xf numFmtId="168" fontId="0" fillId="0" borderId="37" xfId="385" applyNumberFormat="1" applyFont="1" applyFill="1" applyBorder="1"/>
    <xf numFmtId="168" fontId="0" fillId="0" borderId="51" xfId="385" applyNumberFormat="1" applyFont="1" applyFill="1" applyBorder="1"/>
    <xf numFmtId="0" fontId="0" fillId="67" borderId="98" xfId="0" applyNumberFormat="1" applyFill="1" applyBorder="1"/>
    <xf numFmtId="0" fontId="0" fillId="67" borderId="84" xfId="0" applyNumberFormat="1" applyFill="1" applyBorder="1" applyAlignment="1">
      <alignment horizontal="right"/>
    </xf>
    <xf numFmtId="0" fontId="1" fillId="67" borderId="98" xfId="0" applyNumberFormat="1" applyFont="1" applyFill="1" applyBorder="1" applyAlignment="1">
      <alignment vertical="top" wrapText="1"/>
    </xf>
    <xf numFmtId="0" fontId="145" fillId="67" borderId="90" xfId="0" applyNumberFormat="1" applyFont="1" applyFill="1" applyBorder="1" applyAlignment="1">
      <alignment horizontal="right" vertical="top" wrapText="1"/>
    </xf>
    <xf numFmtId="0" fontId="145" fillId="67" borderId="95" xfId="0" applyNumberFormat="1" applyFont="1" applyFill="1" applyBorder="1" applyAlignment="1">
      <alignment horizontal="right" vertical="top" wrapText="1"/>
    </xf>
    <xf numFmtId="0" fontId="0" fillId="67" borderId="0" xfId="0" applyNumberFormat="1" applyFont="1" applyFill="1"/>
    <xf numFmtId="0" fontId="155" fillId="55" borderId="32" xfId="2440" applyNumberFormat="1" applyFont="1" applyFill="1" applyBorder="1" applyAlignment="1" applyProtection="1"/>
    <xf numFmtId="0" fontId="155" fillId="55" borderId="29" xfId="2440" applyNumberFormat="1" applyFont="1" applyFill="1" applyBorder="1" applyAlignment="1" applyProtection="1"/>
    <xf numFmtId="0" fontId="155" fillId="55" borderId="30" xfId="2440" applyNumberFormat="1" applyFont="1" applyFill="1" applyBorder="1" applyAlignment="1" applyProtection="1"/>
    <xf numFmtId="0" fontId="169" fillId="67" borderId="0" xfId="0" applyNumberFormat="1" applyFont="1" applyFill="1"/>
    <xf numFmtId="49" fontId="0" fillId="67" borderId="0" xfId="0" applyNumberFormat="1" applyFill="1" applyAlignment="1">
      <alignment horizontal="left"/>
    </xf>
    <xf numFmtId="0" fontId="0" fillId="55" borderId="0" xfId="0" applyNumberFormat="1" applyFont="1" applyFill="1" applyAlignment="1">
      <alignment wrapText="1"/>
    </xf>
    <xf numFmtId="164" fontId="152" fillId="55" borderId="26" xfId="1" applyNumberFormat="1" applyFont="1" applyFill="1" applyBorder="1" applyAlignment="1" applyProtection="1">
      <alignment horizontal="right" vertical="top"/>
    </xf>
    <xf numFmtId="164" fontId="157" fillId="55" borderId="26" xfId="1" applyNumberFormat="1" applyFont="1" applyFill="1" applyBorder="1" applyAlignment="1" applyProtection="1">
      <alignment horizontal="left"/>
    </xf>
    <xf numFmtId="164" fontId="153" fillId="55" borderId="26" xfId="1" applyNumberFormat="1" applyFont="1" applyFill="1" applyBorder="1" applyAlignment="1" applyProtection="1">
      <alignment horizontal="right" vertical="top"/>
    </xf>
    <xf numFmtId="164" fontId="157" fillId="55" borderId="28" xfId="1" applyNumberFormat="1" applyFont="1" applyFill="1" applyBorder="1" applyAlignment="1" applyProtection="1">
      <alignment horizontal="left"/>
    </xf>
    <xf numFmtId="0" fontId="141" fillId="0" borderId="0" xfId="1918" applyNumberFormat="1" applyFont="1" applyAlignment="1" applyProtection="1">
      <alignment horizontal="left"/>
    </xf>
    <xf numFmtId="0" fontId="0" fillId="0" borderId="0" xfId="0" applyNumberFormat="1" applyAlignment="1" applyProtection="1">
      <alignment horizontal="left"/>
    </xf>
    <xf numFmtId="0" fontId="157" fillId="55" borderId="29" xfId="0" applyNumberFormat="1" applyFont="1" applyFill="1" applyBorder="1" applyAlignment="1" applyProtection="1">
      <alignment horizontal="left"/>
    </xf>
    <xf numFmtId="0" fontId="157" fillId="55" borderId="30" xfId="0" applyNumberFormat="1" applyFont="1" applyFill="1" applyBorder="1" applyAlignment="1" applyProtection="1">
      <alignment horizontal="left"/>
    </xf>
    <xf numFmtId="0" fontId="150" fillId="55" borderId="0" xfId="0" applyNumberFormat="1" applyFont="1" applyFill="1" applyBorder="1" applyAlignment="1" applyProtection="1">
      <alignment horizontal="left"/>
    </xf>
    <xf numFmtId="0" fontId="158" fillId="66" borderId="33" xfId="0" applyNumberFormat="1" applyFont="1" applyFill="1" applyBorder="1" applyAlignment="1" applyProtection="1">
      <alignment horizontal="left" wrapText="1"/>
    </xf>
    <xf numFmtId="0" fontId="151" fillId="66" borderId="100" xfId="2243" applyNumberFormat="1" applyFont="1" applyFill="1" applyBorder="1" applyAlignment="1" applyProtection="1">
      <alignment horizontal="center" wrapText="1"/>
    </xf>
    <xf numFmtId="167" fontId="151" fillId="66" borderId="100" xfId="1" applyNumberFormat="1" applyFont="1" applyFill="1" applyBorder="1" applyAlignment="1" applyProtection="1">
      <alignment horizontal="center" wrapText="1"/>
    </xf>
    <xf numFmtId="164" fontId="151" fillId="66" borderId="101" xfId="1" applyNumberFormat="1" applyFont="1" applyFill="1" applyBorder="1" applyAlignment="1" applyProtection="1">
      <alignment horizontal="center" wrapText="1"/>
    </xf>
    <xf numFmtId="0" fontId="157" fillId="0" borderId="0" xfId="0" applyNumberFormat="1" applyFont="1" applyProtection="1"/>
    <xf numFmtId="0" fontId="157" fillId="66" borderId="90" xfId="0" applyNumberFormat="1" applyFont="1" applyFill="1" applyBorder="1" applyProtection="1"/>
    <xf numFmtId="0" fontId="157" fillId="66" borderId="69" xfId="0" applyNumberFormat="1" applyFont="1" applyFill="1" applyBorder="1" applyProtection="1"/>
    <xf numFmtId="212" fontId="158" fillId="66" borderId="104" xfId="0" applyNumberFormat="1" applyFont="1" applyFill="1" applyBorder="1" applyAlignment="1" applyProtection="1">
      <alignment horizontal="left"/>
    </xf>
    <xf numFmtId="212" fontId="158" fillId="66" borderId="102" xfId="0" applyNumberFormat="1" applyFont="1" applyFill="1" applyBorder="1" applyAlignment="1" applyProtection="1">
      <alignment horizontal="left"/>
    </xf>
    <xf numFmtId="212" fontId="157" fillId="0" borderId="0" xfId="0" applyNumberFormat="1" applyFont="1" applyFill="1" applyProtection="1"/>
    <xf numFmtId="0" fontId="158" fillId="0" borderId="51" xfId="0" applyNumberFormat="1" applyFont="1" applyFill="1" applyBorder="1" applyAlignment="1" applyProtection="1"/>
    <xf numFmtId="0" fontId="158" fillId="0" borderId="51" xfId="0" applyNumberFormat="1" applyFont="1" applyFill="1" applyBorder="1" applyAlignment="1" applyProtection="1">
      <alignment horizontal="right"/>
    </xf>
    <xf numFmtId="212" fontId="157" fillId="0" borderId="0" xfId="0" applyNumberFormat="1" applyFont="1" applyProtection="1"/>
    <xf numFmtId="0" fontId="160" fillId="0" borderId="20" xfId="0" applyNumberFormat="1" applyFont="1" applyBorder="1" applyProtection="1"/>
    <xf numFmtId="215" fontId="157" fillId="0" borderId="68" xfId="0" applyNumberFormat="1" applyFont="1" applyBorder="1" applyProtection="1"/>
    <xf numFmtId="212" fontId="157" fillId="66" borderId="90" xfId="0" applyNumberFormat="1" applyFont="1" applyFill="1" applyBorder="1" applyProtection="1"/>
    <xf numFmtId="0" fontId="157" fillId="0" borderId="51" xfId="0" applyNumberFormat="1" applyFont="1" applyFill="1" applyBorder="1" applyProtection="1"/>
    <xf numFmtId="0" fontId="158" fillId="0" borderId="84" xfId="0" applyNumberFormat="1" applyFont="1" applyFill="1" applyBorder="1" applyAlignment="1" applyProtection="1"/>
    <xf numFmtId="212" fontId="158" fillId="66" borderId="90" xfId="0" applyNumberFormat="1" applyFont="1" applyFill="1" applyBorder="1" applyAlignment="1" applyProtection="1">
      <alignment horizontal="left"/>
    </xf>
    <xf numFmtId="0" fontId="158" fillId="66" borderId="98" xfId="0" applyNumberFormat="1" applyFont="1" applyFill="1" applyBorder="1" applyAlignment="1" applyProtection="1">
      <alignment horizontal="left"/>
    </xf>
    <xf numFmtId="0" fontId="158" fillId="0" borderId="84" xfId="0" applyNumberFormat="1" applyFont="1" applyFill="1" applyBorder="1" applyProtection="1"/>
    <xf numFmtId="0" fontId="157" fillId="62" borderId="95" xfId="0" applyNumberFormat="1" applyFont="1" applyFill="1" applyBorder="1" applyAlignment="1" applyProtection="1">
      <alignment wrapText="1"/>
    </xf>
    <xf numFmtId="0" fontId="170" fillId="62" borderId="95" xfId="718" applyNumberFormat="1" applyFont="1" applyFill="1" applyBorder="1" applyAlignment="1" applyProtection="1">
      <alignment wrapText="1"/>
    </xf>
    <xf numFmtId="0" fontId="157" fillId="62" borderId="95" xfId="0" applyNumberFormat="1" applyFont="1" applyFill="1" applyBorder="1" applyAlignment="1" applyProtection="1">
      <alignment horizontal="left" wrapText="1"/>
    </xf>
    <xf numFmtId="0" fontId="170" fillId="62" borderId="95" xfId="718" applyNumberFormat="1" applyFont="1" applyFill="1" applyBorder="1" applyAlignment="1" applyProtection="1">
      <alignment horizontal="left" wrapText="1"/>
    </xf>
    <xf numFmtId="0" fontId="158" fillId="0" borderId="60" xfId="0" applyNumberFormat="1" applyFont="1" applyFill="1" applyBorder="1" applyProtection="1"/>
    <xf numFmtId="0" fontId="158" fillId="0" borderId="95" xfId="0" applyNumberFormat="1" applyFont="1" applyFill="1" applyBorder="1" applyProtection="1"/>
    <xf numFmtId="2" fontId="157" fillId="0" borderId="0" xfId="0" applyNumberFormat="1" applyFont="1" applyBorder="1" applyProtection="1"/>
    <xf numFmtId="0" fontId="158" fillId="66" borderId="103" xfId="0" applyNumberFormat="1" applyFont="1" applyFill="1" applyBorder="1" applyAlignment="1" applyProtection="1">
      <alignment horizontal="center"/>
    </xf>
    <xf numFmtId="0" fontId="158" fillId="66" borderId="105" xfId="0" applyNumberFormat="1" applyFont="1" applyFill="1" applyBorder="1" applyAlignment="1" applyProtection="1">
      <alignment horizontal="center"/>
    </xf>
    <xf numFmtId="2" fontId="157" fillId="0" borderId="20" xfId="0" applyNumberFormat="1" applyFont="1" applyBorder="1" applyProtection="1"/>
    <xf numFmtId="2" fontId="157" fillId="0" borderId="60" xfId="0" applyNumberFormat="1" applyFont="1" applyBorder="1" applyProtection="1"/>
    <xf numFmtId="2" fontId="157" fillId="0" borderId="105" xfId="0" applyNumberFormat="1" applyFont="1" applyBorder="1" applyProtection="1"/>
    <xf numFmtId="0" fontId="1" fillId="0" borderId="103" xfId="0" applyNumberFormat="1" applyFont="1" applyFill="1" applyBorder="1" applyAlignment="1">
      <alignment vertical="top"/>
    </xf>
    <xf numFmtId="0" fontId="1" fillId="0" borderId="105" xfId="0" applyNumberFormat="1" applyFont="1" applyFill="1" applyBorder="1" applyAlignment="1">
      <alignment vertical="top"/>
    </xf>
    <xf numFmtId="0" fontId="158" fillId="0" borderId="0" xfId="0" applyNumberFormat="1" applyFont="1" applyFill="1" applyBorder="1" applyAlignment="1" applyProtection="1">
      <alignment horizontal="left"/>
    </xf>
    <xf numFmtId="0" fontId="158" fillId="0" borderId="67" xfId="0" applyNumberFormat="1" applyFont="1" applyFill="1" applyBorder="1" applyAlignment="1" applyProtection="1"/>
    <xf numFmtId="2" fontId="157" fillId="0" borderId="104" xfId="0" applyNumberFormat="1" applyFont="1" applyFill="1" applyBorder="1" applyAlignment="1" applyProtection="1"/>
    <xf numFmtId="0" fontId="158" fillId="0" borderId="104" xfId="0" applyNumberFormat="1" applyFont="1" applyFill="1" applyBorder="1" applyAlignment="1" applyProtection="1"/>
    <xf numFmtId="0" fontId="158" fillId="0" borderId="0" xfId="0" applyNumberFormat="1" applyFont="1" applyFill="1" applyBorder="1" applyAlignment="1" applyProtection="1">
      <alignment horizontal="right"/>
    </xf>
    <xf numFmtId="215" fontId="157" fillId="0" borderId="0" xfId="0" applyNumberFormat="1" applyFont="1" applyBorder="1" applyProtection="1"/>
    <xf numFmtId="0" fontId="158" fillId="0" borderId="44" xfId="0" applyNumberFormat="1" applyFont="1" applyFill="1" applyBorder="1" applyAlignment="1" applyProtection="1">
      <alignment horizontal="right"/>
    </xf>
    <xf numFmtId="3" fontId="170" fillId="0" borderId="44" xfId="2441" applyNumberFormat="1" applyFont="1" applyFill="1" applyBorder="1" applyAlignment="1">
      <alignment horizontal="right"/>
    </xf>
    <xf numFmtId="212" fontId="158" fillId="0" borderId="44" xfId="0" applyNumberFormat="1" applyFont="1" applyFill="1" applyBorder="1" applyAlignment="1" applyProtection="1">
      <alignment horizontal="left"/>
    </xf>
    <xf numFmtId="212" fontId="158" fillId="0" borderId="0" xfId="0" applyNumberFormat="1" applyFont="1" applyFill="1" applyBorder="1" applyAlignment="1" applyProtection="1">
      <alignment horizontal="left"/>
    </xf>
    <xf numFmtId="215" fontId="157" fillId="0" borderId="0" xfId="0" applyNumberFormat="1" applyFont="1" applyFill="1" applyBorder="1" applyProtection="1"/>
    <xf numFmtId="212" fontId="0" fillId="0" borderId="0" xfId="0" applyNumberFormat="1" applyFill="1" applyProtection="1"/>
    <xf numFmtId="4" fontId="171" fillId="0" borderId="87" xfId="2441" applyNumberFormat="1" applyFont="1" applyFill="1" applyBorder="1" applyAlignment="1">
      <alignment horizontal="right"/>
    </xf>
    <xf numFmtId="1" fontId="157" fillId="0" borderId="68" xfId="0" applyNumberFormat="1" applyFont="1" applyBorder="1" applyProtection="1"/>
    <xf numFmtId="0" fontId="158" fillId="66" borderId="91" xfId="0" applyNumberFormat="1" applyFont="1" applyFill="1" applyBorder="1" applyAlignment="1" applyProtection="1">
      <alignment horizontal="center"/>
    </xf>
    <xf numFmtId="2" fontId="157" fillId="0" borderId="99" xfId="0" applyNumberFormat="1" applyFont="1" applyBorder="1" applyProtection="1"/>
    <xf numFmtId="2" fontId="157" fillId="0" borderId="37" xfId="0" applyNumberFormat="1" applyFont="1" applyBorder="1" applyProtection="1"/>
    <xf numFmtId="2" fontId="157" fillId="0" borderId="51" xfId="0" applyNumberFormat="1" applyFont="1" applyBorder="1" applyProtection="1"/>
    <xf numFmtId="168" fontId="159" fillId="0" borderId="0" xfId="385" applyNumberFormat="1" applyFont="1" applyBorder="1" applyAlignment="1">
      <alignment horizontal="right"/>
    </xf>
    <xf numFmtId="168" fontId="157" fillId="0" borderId="37" xfId="385" applyNumberFormat="1" applyFont="1" applyFill="1" applyBorder="1" applyAlignment="1">
      <alignment horizontal="right"/>
    </xf>
    <xf numFmtId="0" fontId="159" fillId="0" borderId="44" xfId="1" applyNumberFormat="1" applyFont="1" applyFill="1" applyBorder="1" applyAlignment="1">
      <alignment horizontal="left"/>
    </xf>
    <xf numFmtId="0" fontId="157" fillId="0" borderId="44" xfId="0" applyNumberFormat="1" applyFont="1" applyFill="1" applyBorder="1" applyAlignment="1">
      <alignment horizontal="left"/>
    </xf>
    <xf numFmtId="0" fontId="0" fillId="0" borderId="104" xfId="0" applyNumberFormat="1" applyFont="1" applyFill="1" applyBorder="1"/>
    <xf numFmtId="1" fontId="0" fillId="0" borderId="104" xfId="0" applyNumberFormat="1" applyFill="1" applyBorder="1" applyAlignment="1">
      <alignment wrapText="1"/>
    </xf>
    <xf numFmtId="168" fontId="0" fillId="0" borderId="104" xfId="385" applyNumberFormat="1" applyFont="1" applyFill="1" applyBorder="1" applyAlignment="1">
      <alignment wrapText="1"/>
    </xf>
    <xf numFmtId="168" fontId="0" fillId="0" borderId="44" xfId="385" applyNumberFormat="1" applyFont="1" applyFill="1" applyBorder="1"/>
    <xf numFmtId="168" fontId="0" fillId="0" borderId="67" xfId="385" applyNumberFormat="1" applyFont="1" applyFill="1" applyBorder="1"/>
    <xf numFmtId="168" fontId="0" fillId="0" borderId="84" xfId="385" applyNumberFormat="1" applyFont="1" applyFill="1" applyBorder="1"/>
    <xf numFmtId="0" fontId="157" fillId="0" borderId="104" xfId="0" applyNumberFormat="1" applyFont="1" applyFill="1" applyBorder="1" applyAlignment="1">
      <alignment horizontal="left"/>
    </xf>
    <xf numFmtId="168" fontId="0" fillId="0" borderId="104" xfId="385" applyNumberFormat="1" applyFont="1" applyFill="1" applyBorder="1"/>
    <xf numFmtId="0" fontId="0" fillId="0" borderId="104" xfId="0" applyNumberFormat="1" applyFill="1" applyBorder="1" applyAlignment="1">
      <alignment wrapText="1"/>
    </xf>
    <xf numFmtId="1" fontId="159" fillId="0" borderId="37" xfId="1" applyNumberFormat="1" applyFont="1" applyBorder="1" applyAlignment="1">
      <alignment horizontal="right"/>
    </xf>
    <xf numFmtId="0" fontId="0" fillId="0" borderId="84" xfId="0" applyNumberFormat="1" applyFill="1" applyBorder="1" applyAlignment="1">
      <alignment wrapText="1"/>
    </xf>
    <xf numFmtId="168" fontId="0" fillId="0" borderId="106" xfId="385" applyNumberFormat="1" applyFont="1" applyFill="1" applyBorder="1"/>
    <xf numFmtId="0" fontId="159" fillId="66" borderId="104" xfId="1" applyNumberFormat="1" applyFont="1" applyFill="1" applyBorder="1" applyAlignment="1">
      <alignment horizontal="right"/>
    </xf>
    <xf numFmtId="0" fontId="159" fillId="66" borderId="102" xfId="1" applyNumberFormat="1" applyFont="1" applyFill="1" applyBorder="1" applyAlignment="1">
      <alignment horizontal="right"/>
    </xf>
    <xf numFmtId="1" fontId="137" fillId="0" borderId="44" xfId="0" applyNumberFormat="1" applyFont="1" applyFill="1" applyBorder="1" applyProtection="1"/>
    <xf numFmtId="1" fontId="137" fillId="0" borderId="20" xfId="0" applyNumberFormat="1" applyFont="1" applyFill="1" applyBorder="1" applyProtection="1"/>
    <xf numFmtId="0" fontId="137" fillId="0" borderId="20" xfId="0" applyNumberFormat="1" applyFont="1" applyFill="1" applyBorder="1" applyProtection="1"/>
    <xf numFmtId="0" fontId="137" fillId="0" borderId="67" xfId="0" applyNumberFormat="1" applyFont="1" applyFill="1" applyBorder="1" applyProtection="1"/>
    <xf numFmtId="0" fontId="137" fillId="0" borderId="60" xfId="0" applyNumberFormat="1" applyFont="1" applyFill="1" applyBorder="1" applyProtection="1"/>
    <xf numFmtId="168" fontId="137" fillId="0" borderId="44" xfId="385" applyNumberFormat="1" applyFont="1" applyFill="1" applyBorder="1" applyProtection="1"/>
    <xf numFmtId="168" fontId="137" fillId="0" borderId="20" xfId="385" applyNumberFormat="1" applyFont="1" applyFill="1" applyBorder="1" applyProtection="1"/>
    <xf numFmtId="194" fontId="137" fillId="0" borderId="44" xfId="0" applyNumberFormat="1" applyFont="1" applyFill="1" applyBorder="1" applyProtection="1"/>
    <xf numFmtId="194" fontId="137" fillId="0" borderId="20" xfId="0" applyNumberFormat="1" applyFont="1" applyFill="1" applyBorder="1" applyProtection="1"/>
    <xf numFmtId="0" fontId="157" fillId="0" borderId="91" xfId="0" applyNumberFormat="1" applyFont="1" applyFill="1" applyBorder="1" applyAlignment="1">
      <alignment horizontal="left"/>
    </xf>
    <xf numFmtId="0" fontId="157" fillId="0" borderId="67" xfId="0" applyNumberFormat="1" applyFont="1" applyFill="1" applyBorder="1" applyAlignment="1">
      <alignment horizontal="left"/>
    </xf>
    <xf numFmtId="168" fontId="0" fillId="0" borderId="91" xfId="385" applyNumberFormat="1" applyFont="1" applyFill="1" applyBorder="1"/>
    <xf numFmtId="168" fontId="0" fillId="0" borderId="99" xfId="385" applyNumberFormat="1" applyFont="1" applyFill="1" applyBorder="1"/>
    <xf numFmtId="1" fontId="0" fillId="0" borderId="44" xfId="0" applyNumberFormat="1" applyFill="1" applyBorder="1" applyAlignment="1">
      <alignment wrapText="1"/>
    </xf>
    <xf numFmtId="0" fontId="0" fillId="0" borderId="44" xfId="0" applyNumberFormat="1" applyFill="1" applyBorder="1" applyAlignment="1">
      <alignment wrapText="1"/>
    </xf>
    <xf numFmtId="0" fontId="0" fillId="0" borderId="67" xfId="0" applyNumberFormat="1" applyFill="1" applyBorder="1" applyAlignment="1">
      <alignment wrapText="1"/>
    </xf>
    <xf numFmtId="0" fontId="137" fillId="69" borderId="84" xfId="0" applyNumberFormat="1" applyFont="1" applyFill="1" applyBorder="1" applyAlignment="1" applyProtection="1">
      <alignment horizontal="right"/>
    </xf>
    <xf numFmtId="0" fontId="137" fillId="69" borderId="104" xfId="0" applyNumberFormat="1" applyFont="1" applyFill="1" applyBorder="1" applyAlignment="1" applyProtection="1">
      <alignment horizontal="right"/>
    </xf>
    <xf numFmtId="0" fontId="137" fillId="69" borderId="102" xfId="0" applyNumberFormat="1" applyFont="1" applyFill="1" applyBorder="1" applyAlignment="1" applyProtection="1">
      <alignment horizontal="right"/>
    </xf>
    <xf numFmtId="0" fontId="137" fillId="69" borderId="90" xfId="0" applyNumberFormat="1" applyFont="1" applyFill="1" applyBorder="1" applyAlignment="1" applyProtection="1">
      <alignment horizontal="right"/>
    </xf>
    <xf numFmtId="168" fontId="0" fillId="0" borderId="67" xfId="385" applyNumberFormat="1" applyFont="1" applyFill="1" applyBorder="1" applyAlignment="1">
      <alignment wrapText="1"/>
    </xf>
    <xf numFmtId="0" fontId="1" fillId="69" borderId="98" xfId="0" applyNumberFormat="1" applyFont="1" applyFill="1" applyBorder="1"/>
    <xf numFmtId="0" fontId="1" fillId="69" borderId="104" xfId="0" applyNumberFormat="1" applyFont="1" applyFill="1" applyBorder="1" applyAlignment="1">
      <alignment horizontal="right"/>
    </xf>
    <xf numFmtId="0" fontId="1" fillId="69" borderId="84" xfId="0" applyNumberFormat="1" applyFont="1" applyFill="1" applyBorder="1" applyAlignment="1">
      <alignment horizontal="right"/>
    </xf>
    <xf numFmtId="0" fontId="159" fillId="68" borderId="44" xfId="1" applyNumberFormat="1" applyFont="1" applyFill="1" applyBorder="1" applyAlignment="1">
      <alignment horizontal="left"/>
    </xf>
    <xf numFmtId="168" fontId="0" fillId="68" borderId="44" xfId="385" applyNumberFormat="1" applyFont="1" applyFill="1" applyBorder="1"/>
    <xf numFmtId="168" fontId="0" fillId="68" borderId="37" xfId="385" applyNumberFormat="1" applyFont="1" applyFill="1" applyBorder="1"/>
    <xf numFmtId="4" fontId="171" fillId="0" borderId="107" xfId="2441" applyNumberFormat="1" applyFont="1" applyFill="1" applyBorder="1" applyAlignment="1">
      <alignment horizontal="right"/>
    </xf>
    <xf numFmtId="4" fontId="171" fillId="0" borderId="108" xfId="2441" applyNumberFormat="1" applyFont="1" applyFill="1" applyBorder="1" applyAlignment="1">
      <alignment horizontal="right"/>
    </xf>
    <xf numFmtId="4" fontId="171" fillId="0" borderId="109" xfId="2441" applyNumberFormat="1" applyFont="1" applyFill="1" applyBorder="1" applyAlignment="1">
      <alignment horizontal="right"/>
    </xf>
    <xf numFmtId="0" fontId="151" fillId="0" borderId="0" xfId="1918" applyNumberFormat="1" applyFont="1" applyProtection="1"/>
    <xf numFmtId="0" fontId="157" fillId="66" borderId="104" xfId="0" applyNumberFormat="1" applyFont="1" applyFill="1" applyBorder="1" applyAlignment="1" applyProtection="1">
      <alignment horizontal="left"/>
    </xf>
    <xf numFmtId="0" fontId="157" fillId="0" borderId="44" xfId="0" applyNumberFormat="1" applyFont="1" applyFill="1" applyBorder="1" applyAlignment="1" applyProtection="1">
      <alignment horizontal="left"/>
    </xf>
    <xf numFmtId="0" fontId="157" fillId="0" borderId="67" xfId="0" applyNumberFormat="1" applyFont="1" applyFill="1" applyBorder="1" applyAlignment="1" applyProtection="1">
      <alignment horizontal="left"/>
    </xf>
    <xf numFmtId="212" fontId="1" fillId="0" borderId="0" xfId="0" applyFont="1"/>
    <xf numFmtId="0" fontId="0" fillId="55" borderId="0" xfId="0" applyNumberFormat="1" applyFont="1" applyFill="1" applyAlignment="1">
      <alignment horizontal="left" wrapText="1"/>
    </xf>
    <xf numFmtId="164" fontId="1" fillId="64" borderId="92" xfId="1" applyNumberFormat="1" applyFont="1" applyFill="1" applyBorder="1" applyAlignment="1"/>
    <xf numFmtId="0" fontId="1" fillId="64" borderId="92" xfId="0" applyNumberFormat="1" applyFont="1" applyFill="1" applyBorder="1" applyAlignment="1"/>
    <xf numFmtId="167" fontId="1" fillId="0" borderId="0" xfId="1" applyNumberFormat="1" applyFont="1" applyFill="1" applyBorder="1" applyAlignment="1">
      <alignment wrapText="1"/>
    </xf>
    <xf numFmtId="0" fontId="1" fillId="0" borderId="0" xfId="0" applyNumberFormat="1" applyFont="1" applyFill="1" applyBorder="1" applyAlignment="1"/>
    <xf numFmtId="167" fontId="1" fillId="0" borderId="0" xfId="1" applyNumberFormat="1" applyFont="1" applyFill="1" applyBorder="1" applyAlignment="1">
      <alignment horizontal="left"/>
    </xf>
    <xf numFmtId="167" fontId="1" fillId="56" borderId="24" xfId="1" applyNumberFormat="1" applyFont="1" applyFill="1" applyBorder="1" applyAlignment="1" applyProtection="1">
      <alignment horizontal="left"/>
    </xf>
    <xf numFmtId="167" fontId="1" fillId="56" borderId="25" xfId="1" applyNumberFormat="1" applyFont="1" applyFill="1" applyBorder="1" applyAlignment="1" applyProtection="1">
      <alignment horizontal="left"/>
    </xf>
    <xf numFmtId="0" fontId="1" fillId="64" borderId="92" xfId="0" applyNumberFormat="1" applyFont="1" applyFill="1" applyBorder="1" applyAlignment="1" applyProtection="1"/>
    <xf numFmtId="0" fontId="1" fillId="0" borderId="0" xfId="0" applyNumberFormat="1" applyFont="1" applyBorder="1" applyAlignment="1" applyProtection="1"/>
    <xf numFmtId="164" fontId="1" fillId="0" borderId="0" xfId="1" applyNumberFormat="1" applyFont="1" applyFill="1" applyBorder="1" applyAlignment="1" applyProtection="1"/>
    <xf numFmtId="0" fontId="1" fillId="65" borderId="92" xfId="0" applyNumberFormat="1" applyFont="1" applyFill="1" applyBorder="1" applyAlignment="1" applyProtection="1"/>
    <xf numFmtId="0" fontId="0" fillId="0" borderId="0" xfId="0" applyNumberFormat="1" applyBorder="1" applyAlignment="1" applyProtection="1"/>
    <xf numFmtId="0" fontId="119" fillId="66" borderId="33" xfId="2095" applyNumberFormat="1" applyFont="1" applyFill="1" applyBorder="1" applyAlignment="1" applyProtection="1">
      <alignment horizontal="center"/>
    </xf>
    <xf numFmtId="0" fontId="119" fillId="66" borderId="34" xfId="2095" applyNumberFormat="1" applyFont="1" applyFill="1" applyBorder="1" applyAlignment="1" applyProtection="1">
      <alignment horizontal="center"/>
    </xf>
    <xf numFmtId="0" fontId="119" fillId="66" borderId="35" xfId="2095" applyNumberFormat="1" applyFont="1" applyFill="1" applyBorder="1" applyAlignment="1" applyProtection="1">
      <alignment horizontal="center"/>
    </xf>
    <xf numFmtId="0" fontId="0" fillId="55" borderId="0" xfId="0" applyNumberFormat="1" applyFont="1" applyFill="1" applyBorder="1" applyAlignment="1" applyProtection="1">
      <alignment horizontal="left" wrapText="1"/>
    </xf>
    <xf numFmtId="0" fontId="0" fillId="55" borderId="26" xfId="0" applyNumberFormat="1" applyFont="1" applyFill="1" applyBorder="1" applyAlignment="1" applyProtection="1">
      <alignment horizontal="left" wrapText="1"/>
    </xf>
    <xf numFmtId="0" fontId="0" fillId="0" borderId="92" xfId="0" applyNumberFormat="1" applyBorder="1" applyAlignment="1" applyProtection="1"/>
    <xf numFmtId="0" fontId="1" fillId="0" borderId="44" xfId="0" applyNumberFormat="1" applyFont="1" applyFill="1" applyBorder="1" applyAlignment="1" applyProtection="1">
      <alignment horizontal="center" wrapText="1"/>
    </xf>
    <xf numFmtId="0" fontId="1" fillId="0" borderId="0" xfId="0" applyNumberFormat="1" applyFont="1" applyFill="1" applyBorder="1" applyAlignment="1" applyProtection="1">
      <alignment horizontal="center" wrapText="1"/>
    </xf>
    <xf numFmtId="0" fontId="1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/>
    <xf numFmtId="167" fontId="1" fillId="0" borderId="0" xfId="1" applyNumberFormat="1" applyFont="1" applyFill="1" applyBorder="1" applyAlignment="1" applyProtection="1">
      <alignment horizontal="left"/>
    </xf>
    <xf numFmtId="164" fontId="1" fillId="64" borderId="92" xfId="1" applyNumberFormat="1" applyFont="1" applyFill="1" applyBorder="1" applyAlignment="1" applyProtection="1"/>
    <xf numFmtId="212" fontId="0" fillId="0" borderId="24" xfId="0" applyNumberFormat="1" applyBorder="1" applyAlignment="1" applyProtection="1"/>
    <xf numFmtId="212" fontId="0" fillId="0" borderId="25" xfId="0" applyNumberFormat="1" applyBorder="1" applyAlignment="1" applyProtection="1"/>
    <xf numFmtId="0" fontId="1" fillId="0" borderId="91" xfId="0" applyNumberFormat="1" applyFont="1" applyFill="1" applyBorder="1" applyAlignment="1" applyProtection="1">
      <alignment horizontal="center" vertical="center" wrapText="1"/>
    </xf>
    <xf numFmtId="0" fontId="1" fillId="0" borderId="92" xfId="0" applyNumberFormat="1" applyFont="1" applyFill="1" applyBorder="1" applyAlignment="1" applyProtection="1">
      <alignment horizontal="center" vertical="center" wrapText="1"/>
    </xf>
    <xf numFmtId="0" fontId="1" fillId="0" borderId="44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 wrapText="1"/>
    </xf>
    <xf numFmtId="0" fontId="0" fillId="65" borderId="92" xfId="0" applyNumberFormat="1" applyFill="1" applyBorder="1" applyAlignment="1" applyProtection="1"/>
    <xf numFmtId="0" fontId="0" fillId="64" borderId="92" xfId="0" applyNumberFormat="1" applyFill="1" applyBorder="1" applyAlignment="1" applyProtection="1"/>
  </cellXfs>
  <cellStyles count="2442">
    <cellStyle name="_x0013_" xfId="44"/>
    <cellStyle name="_x0013_ 2" xfId="1590"/>
    <cellStyle name="_x0013_ 2 2" xfId="2321"/>
    <cellStyle name="_x0013_ 3" xfId="1662"/>
    <cellStyle name="=C:\WINNT\SYSTEM32\COMMAND.COM" xfId="608"/>
    <cellStyle name="=C:\WINNT\SYSTEM32\COMMAND.COM 2" xfId="1978"/>
    <cellStyle name="20% - Accent1" xfId="20" builtinId="30" customBuiltin="1"/>
    <cellStyle name="20% - Accent1 2" xfId="46"/>
    <cellStyle name="20% - Accent1 2 2" xfId="417"/>
    <cellStyle name="20% - Accent1 2 2 2" xfId="1869"/>
    <cellStyle name="20% - Accent1 2 3" xfId="632"/>
    <cellStyle name="20% - Accent1 2 3 2" xfId="1997"/>
    <cellStyle name="20% - Accent1 2 4" xfId="1259"/>
    <cellStyle name="20% - Accent1 2 4 2" xfId="2126"/>
    <cellStyle name="20% - Accent1 2 5" xfId="1664"/>
    <cellStyle name="20% - Accent1 3" xfId="47"/>
    <cellStyle name="20% - Accent1 3 2" xfId="1665"/>
    <cellStyle name="20% - Accent1 4" xfId="45"/>
    <cellStyle name="20% - Accent1 4 2" xfId="1663"/>
    <cellStyle name="20% - Accent1 5" xfId="1638"/>
    <cellStyle name="20% - Accent2" xfId="24" builtinId="34" customBuiltin="1"/>
    <cellStyle name="20% - Accent2 2" xfId="49"/>
    <cellStyle name="20% - Accent2 2 2" xfId="418"/>
    <cellStyle name="20% - Accent2 2 2 2" xfId="1870"/>
    <cellStyle name="20% - Accent2 2 3" xfId="633"/>
    <cellStyle name="20% - Accent2 2 3 2" xfId="1998"/>
    <cellStyle name="20% - Accent2 2 4" xfId="1260"/>
    <cellStyle name="20% - Accent2 2 4 2" xfId="2127"/>
    <cellStyle name="20% - Accent2 2 5" xfId="1667"/>
    <cellStyle name="20% - Accent2 3" xfId="50"/>
    <cellStyle name="20% - Accent2 3 2" xfId="1668"/>
    <cellStyle name="20% - Accent2 4" xfId="48"/>
    <cellStyle name="20% - Accent2 4 2" xfId="1666"/>
    <cellStyle name="20% - Accent2 5" xfId="1642"/>
    <cellStyle name="20% - Accent3" xfId="28" builtinId="38" customBuiltin="1"/>
    <cellStyle name="20% - Accent3 2" xfId="52"/>
    <cellStyle name="20% - Accent3 2 2" xfId="419"/>
    <cellStyle name="20% - Accent3 2 2 2" xfId="1871"/>
    <cellStyle name="20% - Accent3 2 3" xfId="634"/>
    <cellStyle name="20% - Accent3 2 3 2" xfId="1999"/>
    <cellStyle name="20% - Accent3 2 4" xfId="1261"/>
    <cellStyle name="20% - Accent3 2 4 2" xfId="2128"/>
    <cellStyle name="20% - Accent3 2 5" xfId="1670"/>
    <cellStyle name="20% - Accent3 3" xfId="53"/>
    <cellStyle name="20% - Accent3 3 2" xfId="1671"/>
    <cellStyle name="20% - Accent3 4" xfId="51"/>
    <cellStyle name="20% - Accent3 4 2" xfId="1669"/>
    <cellStyle name="20% - Accent3 5" xfId="1646"/>
    <cellStyle name="20% - Accent4" xfId="32" builtinId="42" customBuiltin="1"/>
    <cellStyle name="20% - Accent4 2" xfId="55"/>
    <cellStyle name="20% - Accent4 2 2" xfId="420"/>
    <cellStyle name="20% - Accent4 2 2 2" xfId="1872"/>
    <cellStyle name="20% - Accent4 2 3" xfId="635"/>
    <cellStyle name="20% - Accent4 2 3 2" xfId="2000"/>
    <cellStyle name="20% - Accent4 2 4" xfId="1262"/>
    <cellStyle name="20% - Accent4 2 4 2" xfId="2129"/>
    <cellStyle name="20% - Accent4 2 5" xfId="1673"/>
    <cellStyle name="20% - Accent4 3" xfId="56"/>
    <cellStyle name="20% - Accent4 3 2" xfId="1674"/>
    <cellStyle name="20% - Accent4 4" xfId="54"/>
    <cellStyle name="20% - Accent4 4 2" xfId="1672"/>
    <cellStyle name="20% - Accent4 5" xfId="1650"/>
    <cellStyle name="20% - Accent5" xfId="36" builtinId="46" customBuiltin="1"/>
    <cellStyle name="20% - Accent5 2" xfId="58"/>
    <cellStyle name="20% - Accent5 2 2" xfId="421"/>
    <cellStyle name="20% - Accent5 2 2 2" xfId="1873"/>
    <cellStyle name="20% - Accent5 2 3" xfId="636"/>
    <cellStyle name="20% - Accent5 2 3 2" xfId="2001"/>
    <cellStyle name="20% - Accent5 2 4" xfId="1263"/>
    <cellStyle name="20% - Accent5 2 4 2" xfId="2130"/>
    <cellStyle name="20% - Accent5 2 5" xfId="1676"/>
    <cellStyle name="20% - Accent5 3" xfId="57"/>
    <cellStyle name="20% - Accent5 3 2" xfId="1675"/>
    <cellStyle name="20% - Accent5 4" xfId="1654"/>
    <cellStyle name="20% - Accent6" xfId="40" builtinId="50" customBuiltin="1"/>
    <cellStyle name="20% - Accent6 2" xfId="60"/>
    <cellStyle name="20% - Accent6 2 2" xfId="422"/>
    <cellStyle name="20% - Accent6 2 2 2" xfId="1874"/>
    <cellStyle name="20% - Accent6 2 3" xfId="637"/>
    <cellStyle name="20% - Accent6 2 3 2" xfId="2002"/>
    <cellStyle name="20% - Accent6 2 4" xfId="1264"/>
    <cellStyle name="20% - Accent6 2 4 2" xfId="2131"/>
    <cellStyle name="20% - Accent6 2 5" xfId="1678"/>
    <cellStyle name="20% - Accent6 3" xfId="61"/>
    <cellStyle name="20% - Accent6 3 2" xfId="1679"/>
    <cellStyle name="20% - Accent6 4" xfId="59"/>
    <cellStyle name="20% - Accent6 4 2" xfId="1677"/>
    <cellStyle name="20% - Accent6 5" xfId="1658"/>
    <cellStyle name="40% - Accent1" xfId="21" builtinId="31" customBuiltin="1"/>
    <cellStyle name="40% - Accent1 2" xfId="63"/>
    <cellStyle name="40% - Accent1 2 2" xfId="423"/>
    <cellStyle name="40% - Accent1 2 2 2" xfId="1875"/>
    <cellStyle name="40% - Accent1 2 3" xfId="638"/>
    <cellStyle name="40% - Accent1 2 3 2" xfId="2003"/>
    <cellStyle name="40% - Accent1 2 4" xfId="1265"/>
    <cellStyle name="40% - Accent1 2 4 2" xfId="2132"/>
    <cellStyle name="40% - Accent1 2 5" xfId="1681"/>
    <cellStyle name="40% - Accent1 3" xfId="64"/>
    <cellStyle name="40% - Accent1 3 2" xfId="1682"/>
    <cellStyle name="40% - Accent1 4" xfId="62"/>
    <cellStyle name="40% - Accent1 4 2" xfId="1680"/>
    <cellStyle name="40% - Accent1 5" xfId="1639"/>
    <cellStyle name="40% - Accent2" xfId="25" builtinId="35" customBuiltin="1"/>
    <cellStyle name="40% - Accent2 2" xfId="66"/>
    <cellStyle name="40% - Accent2 2 2" xfId="424"/>
    <cellStyle name="40% - Accent2 2 2 2" xfId="1876"/>
    <cellStyle name="40% - Accent2 2 3" xfId="639"/>
    <cellStyle name="40% - Accent2 2 3 2" xfId="2004"/>
    <cellStyle name="40% - Accent2 2 4" xfId="1266"/>
    <cellStyle name="40% - Accent2 2 4 2" xfId="2133"/>
    <cellStyle name="40% - Accent2 2 5" xfId="1684"/>
    <cellStyle name="40% - Accent2 3" xfId="65"/>
    <cellStyle name="40% - Accent2 3 2" xfId="1683"/>
    <cellStyle name="40% - Accent2 4" xfId="1643"/>
    <cellStyle name="40% - Accent3" xfId="29" builtinId="39" customBuiltin="1"/>
    <cellStyle name="40% - Accent3 2" xfId="68"/>
    <cellStyle name="40% - Accent3 2 2" xfId="425"/>
    <cellStyle name="40% - Accent3 2 2 2" xfId="1877"/>
    <cellStyle name="40% - Accent3 2 3" xfId="640"/>
    <cellStyle name="40% - Accent3 2 3 2" xfId="2005"/>
    <cellStyle name="40% - Accent3 2 4" xfId="1267"/>
    <cellStyle name="40% - Accent3 2 4 2" xfId="2134"/>
    <cellStyle name="40% - Accent3 2 5" xfId="1686"/>
    <cellStyle name="40% - Accent3 3" xfId="69"/>
    <cellStyle name="40% - Accent3 3 2" xfId="1687"/>
    <cellStyle name="40% - Accent3 4" xfId="67"/>
    <cellStyle name="40% - Accent3 4 2" xfId="1685"/>
    <cellStyle name="40% - Accent3 5" xfId="1647"/>
    <cellStyle name="40% - Accent4" xfId="33" builtinId="43" customBuiltin="1"/>
    <cellStyle name="40% - Accent4 2" xfId="71"/>
    <cellStyle name="40% - Accent4 2 2" xfId="426"/>
    <cellStyle name="40% - Accent4 2 2 2" xfId="1878"/>
    <cellStyle name="40% - Accent4 2 3" xfId="641"/>
    <cellStyle name="40% - Accent4 2 3 2" xfId="2006"/>
    <cellStyle name="40% - Accent4 2 4" xfId="1268"/>
    <cellStyle name="40% - Accent4 2 4 2" xfId="2135"/>
    <cellStyle name="40% - Accent4 2 5" xfId="1689"/>
    <cellStyle name="40% - Accent4 3" xfId="72"/>
    <cellStyle name="40% - Accent4 3 2" xfId="1690"/>
    <cellStyle name="40% - Accent4 4" xfId="70"/>
    <cellStyle name="40% - Accent4 4 2" xfId="1688"/>
    <cellStyle name="40% - Accent4 5" xfId="1651"/>
    <cellStyle name="40% - Accent5" xfId="37" builtinId="47" customBuiltin="1"/>
    <cellStyle name="40% - Accent5 2" xfId="74"/>
    <cellStyle name="40% - Accent5 2 2" xfId="427"/>
    <cellStyle name="40% - Accent5 2 2 2" xfId="1879"/>
    <cellStyle name="40% - Accent5 2 3" xfId="642"/>
    <cellStyle name="40% - Accent5 2 3 2" xfId="2007"/>
    <cellStyle name="40% - Accent5 2 4" xfId="1269"/>
    <cellStyle name="40% - Accent5 2 4 2" xfId="2136"/>
    <cellStyle name="40% - Accent5 2 5" xfId="1692"/>
    <cellStyle name="40% - Accent5 3" xfId="75"/>
    <cellStyle name="40% - Accent5 3 2" xfId="1693"/>
    <cellStyle name="40% - Accent5 4" xfId="73"/>
    <cellStyle name="40% - Accent5 4 2" xfId="1691"/>
    <cellStyle name="40% - Accent5 5" xfId="1655"/>
    <cellStyle name="40% - Accent6" xfId="41" builtinId="51" customBuiltin="1"/>
    <cellStyle name="40% - Accent6 2" xfId="77"/>
    <cellStyle name="40% - Accent6 2 2" xfId="428"/>
    <cellStyle name="40% - Accent6 2 2 2" xfId="1880"/>
    <cellStyle name="40% - Accent6 2 3" xfId="643"/>
    <cellStyle name="40% - Accent6 2 3 2" xfId="2008"/>
    <cellStyle name="40% - Accent6 2 4" xfId="1270"/>
    <cellStyle name="40% - Accent6 2 4 2" xfId="2137"/>
    <cellStyle name="40% - Accent6 2 5" xfId="1695"/>
    <cellStyle name="40% - Accent6 3" xfId="78"/>
    <cellStyle name="40% - Accent6 3 2" xfId="1696"/>
    <cellStyle name="40% - Accent6 4" xfId="76"/>
    <cellStyle name="40% - Accent6 4 2" xfId="1694"/>
    <cellStyle name="40% - Accent6 5" xfId="1659"/>
    <cellStyle name="60% - Accent1" xfId="22" builtinId="32" customBuiltin="1"/>
    <cellStyle name="60% - Accent1 2" xfId="80"/>
    <cellStyle name="60% - Accent1 2 2" xfId="429"/>
    <cellStyle name="60% - Accent1 2 2 2" xfId="1881"/>
    <cellStyle name="60% - Accent1 2 3" xfId="644"/>
    <cellStyle name="60% - Accent1 2 3 2" xfId="2009"/>
    <cellStyle name="60% - Accent1 2 4" xfId="1271"/>
    <cellStyle name="60% - Accent1 2 4 2" xfId="2138"/>
    <cellStyle name="60% - Accent1 2 5" xfId="1698"/>
    <cellStyle name="60% - Accent1 3" xfId="81"/>
    <cellStyle name="60% - Accent1 3 2" xfId="1699"/>
    <cellStyle name="60% - Accent1 4" xfId="79"/>
    <cellStyle name="60% - Accent1 4 2" xfId="1697"/>
    <cellStyle name="60% - Accent1 5" xfId="1640"/>
    <cellStyle name="60% - Accent2" xfId="26" builtinId="36" customBuiltin="1"/>
    <cellStyle name="60% - Accent2 2" xfId="83"/>
    <cellStyle name="60% - Accent2 2 2" xfId="430"/>
    <cellStyle name="60% - Accent2 2 2 2" xfId="1882"/>
    <cellStyle name="60% - Accent2 2 3" xfId="645"/>
    <cellStyle name="60% - Accent2 2 3 2" xfId="2010"/>
    <cellStyle name="60% - Accent2 2 4" xfId="1272"/>
    <cellStyle name="60% - Accent2 2 4 2" xfId="2139"/>
    <cellStyle name="60% - Accent2 2 5" xfId="1701"/>
    <cellStyle name="60% - Accent2 3" xfId="84"/>
    <cellStyle name="60% - Accent2 3 2" xfId="1702"/>
    <cellStyle name="60% - Accent2 4" xfId="82"/>
    <cellStyle name="60% - Accent2 4 2" xfId="1700"/>
    <cellStyle name="60% - Accent2 5" xfId="1644"/>
    <cellStyle name="60% - Accent3" xfId="30" builtinId="40" customBuiltin="1"/>
    <cellStyle name="60% - Accent3 2" xfId="86"/>
    <cellStyle name="60% - Accent3 2 2" xfId="431"/>
    <cellStyle name="60% - Accent3 2 2 2" xfId="1883"/>
    <cellStyle name="60% - Accent3 2 3" xfId="646"/>
    <cellStyle name="60% - Accent3 2 3 2" xfId="2011"/>
    <cellStyle name="60% - Accent3 2 4" xfId="1273"/>
    <cellStyle name="60% - Accent3 2 4 2" xfId="2140"/>
    <cellStyle name="60% - Accent3 2 5" xfId="1704"/>
    <cellStyle name="60% - Accent3 3" xfId="87"/>
    <cellStyle name="60% - Accent3 3 2" xfId="1705"/>
    <cellStyle name="60% - Accent3 4" xfId="85"/>
    <cellStyle name="60% - Accent3 4 2" xfId="1703"/>
    <cellStyle name="60% - Accent3 5" xfId="1648"/>
    <cellStyle name="60% - Accent4" xfId="34" builtinId="44" customBuiltin="1"/>
    <cellStyle name="60% - Accent4 2" xfId="89"/>
    <cellStyle name="60% - Accent4 2 2" xfId="432"/>
    <cellStyle name="60% - Accent4 2 2 2" xfId="1884"/>
    <cellStyle name="60% - Accent4 2 3" xfId="647"/>
    <cellStyle name="60% - Accent4 2 3 2" xfId="2012"/>
    <cellStyle name="60% - Accent4 2 4" xfId="1274"/>
    <cellStyle name="60% - Accent4 2 4 2" xfId="2141"/>
    <cellStyle name="60% - Accent4 2 5" xfId="1707"/>
    <cellStyle name="60% - Accent4 3" xfId="90"/>
    <cellStyle name="60% - Accent4 3 2" xfId="1708"/>
    <cellStyle name="60% - Accent4 4" xfId="88"/>
    <cellStyle name="60% - Accent4 4 2" xfId="1706"/>
    <cellStyle name="60% - Accent4 5" xfId="1652"/>
    <cellStyle name="60% - Accent5" xfId="38" builtinId="48" customBuiltin="1"/>
    <cellStyle name="60% - Accent5 2" xfId="92"/>
    <cellStyle name="60% - Accent5 2 2" xfId="433"/>
    <cellStyle name="60% - Accent5 2 2 2" xfId="1885"/>
    <cellStyle name="60% - Accent5 2 3" xfId="648"/>
    <cellStyle name="60% - Accent5 2 3 2" xfId="2013"/>
    <cellStyle name="60% - Accent5 2 4" xfId="1275"/>
    <cellStyle name="60% - Accent5 2 4 2" xfId="2142"/>
    <cellStyle name="60% - Accent5 2 5" xfId="1710"/>
    <cellStyle name="60% - Accent5 3" xfId="93"/>
    <cellStyle name="60% - Accent5 3 2" xfId="1711"/>
    <cellStyle name="60% - Accent5 4" xfId="91"/>
    <cellStyle name="60% - Accent5 4 2" xfId="1709"/>
    <cellStyle name="60% - Accent5 5" xfId="1656"/>
    <cellStyle name="60% - Accent6" xfId="42" builtinId="52" customBuiltin="1"/>
    <cellStyle name="60% - Accent6 2" xfId="95"/>
    <cellStyle name="60% - Accent6 2 2" xfId="434"/>
    <cellStyle name="60% - Accent6 2 2 2" xfId="1886"/>
    <cellStyle name="60% - Accent6 2 3" xfId="649"/>
    <cellStyle name="60% - Accent6 2 3 2" xfId="2014"/>
    <cellStyle name="60% - Accent6 2 4" xfId="1276"/>
    <cellStyle name="60% - Accent6 2 4 2" xfId="2143"/>
    <cellStyle name="60% - Accent6 2 5" xfId="1713"/>
    <cellStyle name="60% - Accent6 3" xfId="96"/>
    <cellStyle name="60% - Accent6 3 2" xfId="1714"/>
    <cellStyle name="60% - Accent6 4" xfId="94"/>
    <cellStyle name="60% - Accent6 4 2" xfId="1712"/>
    <cellStyle name="60% - Accent6 5" xfId="1660"/>
    <cellStyle name="Accent1" xfId="19" builtinId="29" customBuiltin="1"/>
    <cellStyle name="Accent1 2" xfId="98"/>
    <cellStyle name="Accent1 2 2" xfId="435"/>
    <cellStyle name="Accent1 2 2 2" xfId="1887"/>
    <cellStyle name="Accent1 2 3" xfId="650"/>
    <cellStyle name="Accent1 2 3 2" xfId="2015"/>
    <cellStyle name="Accent1 2 4" xfId="1277"/>
    <cellStyle name="Accent1 2 4 2" xfId="2144"/>
    <cellStyle name="Accent1 2 5" xfId="1716"/>
    <cellStyle name="Accent1 3" xfId="99"/>
    <cellStyle name="Accent1 3 2" xfId="1717"/>
    <cellStyle name="Accent1 4" xfId="97"/>
    <cellStyle name="Accent1 4 2" xfId="1715"/>
    <cellStyle name="Accent1 5" xfId="1637"/>
    <cellStyle name="Accent2" xfId="23" builtinId="33" customBuiltin="1"/>
    <cellStyle name="Accent2 2" xfId="101"/>
    <cellStyle name="Accent2 2 2" xfId="436"/>
    <cellStyle name="Accent2 2 2 2" xfId="1888"/>
    <cellStyle name="Accent2 2 3" xfId="651"/>
    <cellStyle name="Accent2 2 3 2" xfId="2016"/>
    <cellStyle name="Accent2 2 4" xfId="1278"/>
    <cellStyle name="Accent2 2 4 2" xfId="2145"/>
    <cellStyle name="Accent2 2 5" xfId="1719"/>
    <cellStyle name="Accent2 3" xfId="102"/>
    <cellStyle name="Accent2 3 2" xfId="1720"/>
    <cellStyle name="Accent2 4" xfId="100"/>
    <cellStyle name="Accent2 4 2" xfId="1718"/>
    <cellStyle name="Accent2 5" xfId="1641"/>
    <cellStyle name="Accent3" xfId="27" builtinId="37" customBuiltin="1"/>
    <cellStyle name="Accent3 2" xfId="104"/>
    <cellStyle name="Accent3 2 2" xfId="437"/>
    <cellStyle name="Accent3 2 2 2" xfId="1889"/>
    <cellStyle name="Accent3 2 3" xfId="652"/>
    <cellStyle name="Accent3 2 3 2" xfId="2017"/>
    <cellStyle name="Accent3 2 4" xfId="1279"/>
    <cellStyle name="Accent3 2 4 2" xfId="2146"/>
    <cellStyle name="Accent3 2 5" xfId="1722"/>
    <cellStyle name="Accent3 3" xfId="105"/>
    <cellStyle name="Accent3 3 2" xfId="1723"/>
    <cellStyle name="Accent3 4" xfId="103"/>
    <cellStyle name="Accent3 4 2" xfId="1721"/>
    <cellStyle name="Accent3 5" xfId="1645"/>
    <cellStyle name="Accent4" xfId="31" builtinId="41" customBuiltin="1"/>
    <cellStyle name="Accent4 2" xfId="107"/>
    <cellStyle name="Accent4 2 2" xfId="438"/>
    <cellStyle name="Accent4 2 2 2" xfId="1890"/>
    <cellStyle name="Accent4 2 3" xfId="653"/>
    <cellStyle name="Accent4 2 3 2" xfId="2018"/>
    <cellStyle name="Accent4 2 4" xfId="1280"/>
    <cellStyle name="Accent4 2 4 2" xfId="2147"/>
    <cellStyle name="Accent4 2 5" xfId="1725"/>
    <cellStyle name="Accent4 3" xfId="108"/>
    <cellStyle name="Accent4 3 2" xfId="1726"/>
    <cellStyle name="Accent4 4" xfId="106"/>
    <cellStyle name="Accent4 4 2" xfId="1724"/>
    <cellStyle name="Accent4 5" xfId="1649"/>
    <cellStyle name="Accent5" xfId="35" builtinId="45" customBuiltin="1"/>
    <cellStyle name="Accent5 2" xfId="110"/>
    <cellStyle name="Accent5 2 2" xfId="439"/>
    <cellStyle name="Accent5 2 2 2" xfId="1891"/>
    <cellStyle name="Accent5 2 3" xfId="654"/>
    <cellStyle name="Accent5 2 3 2" xfId="2019"/>
    <cellStyle name="Accent5 2 4" xfId="1281"/>
    <cellStyle name="Accent5 2 4 2" xfId="2148"/>
    <cellStyle name="Accent5 2 5" xfId="1728"/>
    <cellStyle name="Accent5 3" xfId="109"/>
    <cellStyle name="Accent5 3 2" xfId="1727"/>
    <cellStyle name="Accent5 4" xfId="1653"/>
    <cellStyle name="Accent6" xfId="39" builtinId="49" customBuiltin="1"/>
    <cellStyle name="Accent6 2" xfId="112"/>
    <cellStyle name="Accent6 2 2" xfId="440"/>
    <cellStyle name="Accent6 2 2 2" xfId="1892"/>
    <cellStyle name="Accent6 2 3" xfId="655"/>
    <cellStyle name="Accent6 2 3 2" xfId="2020"/>
    <cellStyle name="Accent6 2 4" xfId="1282"/>
    <cellStyle name="Accent6 2 4 2" xfId="2149"/>
    <cellStyle name="Accent6 2 5" xfId="1730"/>
    <cellStyle name="Accent6 3" xfId="113"/>
    <cellStyle name="Accent6 3 2" xfId="1731"/>
    <cellStyle name="Accent6 4" xfId="111"/>
    <cellStyle name="Accent6 4 2" xfId="1729"/>
    <cellStyle name="Accent6 5" xfId="1657"/>
    <cellStyle name="annee semestre" xfId="609"/>
    <cellStyle name="annee semestre 2" xfId="628"/>
    <cellStyle name="annee semestre 2 2" xfId="1529"/>
    <cellStyle name="annee semestre 2 2 2" xfId="2272"/>
    <cellStyle name="annee semestre 2 2 3" xfId="2377"/>
    <cellStyle name="annee semestre 2 2 4" xfId="2439"/>
    <cellStyle name="annee semestre 2 3" xfId="1993"/>
    <cellStyle name="annee semestre 2 4" xfId="2113"/>
    <cellStyle name="annee semestre 2 5" xfId="2106"/>
    <cellStyle name="annee semestre 3" xfId="1528"/>
    <cellStyle name="annee semestre 3 2" xfId="2271"/>
    <cellStyle name="annee semestre 3 3" xfId="2376"/>
    <cellStyle name="annee semestre 3 4" xfId="2438"/>
    <cellStyle name="annee semestre 4" xfId="1979"/>
    <cellStyle name="annee semestre 5" xfId="2114"/>
    <cellStyle name="annee semestre 6" xfId="2109"/>
    <cellStyle name="Bad" xfId="8" builtinId="27" customBuiltin="1"/>
    <cellStyle name="Bad 2" xfId="115"/>
    <cellStyle name="Bad 2 2" xfId="441"/>
    <cellStyle name="Bad 2 2 2" xfId="1893"/>
    <cellStyle name="Bad 2 3" xfId="656"/>
    <cellStyle name="Bad 2 3 2" xfId="2021"/>
    <cellStyle name="Bad 2 4" xfId="1283"/>
    <cellStyle name="Bad 2 4 2" xfId="2150"/>
    <cellStyle name="Bad 2 5" xfId="1733"/>
    <cellStyle name="Bad 3" xfId="116"/>
    <cellStyle name="Bad 3 2" xfId="1734"/>
    <cellStyle name="Bad 4" xfId="114"/>
    <cellStyle name="Bad 4 2" xfId="1732"/>
    <cellStyle name="Bad 5" xfId="1626"/>
    <cellStyle name="Bulletin" xfId="610"/>
    <cellStyle name="Calculation" xfId="12" builtinId="22" customBuiltin="1"/>
    <cellStyle name="Calculation 2" xfId="118"/>
    <cellStyle name="Calculation 2 2" xfId="442"/>
    <cellStyle name="Calculation 2 2 2" xfId="1316"/>
    <cellStyle name="Calculation 2 2 2 2" xfId="1564"/>
    <cellStyle name="Calculation 2 2 2 2 2" xfId="2299"/>
    <cellStyle name="Calculation 2 2 2 2 3" xfId="2412"/>
    <cellStyle name="Calculation 2 2 2 3" xfId="2180"/>
    <cellStyle name="Calculation 2 2 2 4" xfId="2338"/>
    <cellStyle name="Calculation 2 2 3" xfId="1517"/>
    <cellStyle name="Calculation 2 2 3 2" xfId="2264"/>
    <cellStyle name="Calculation 2 2 3 3" xfId="2365"/>
    <cellStyle name="Calculation 2 2 4" xfId="1894"/>
    <cellStyle name="Calculation 2 2 5" xfId="2103"/>
    <cellStyle name="Calculation 2 3" xfId="657"/>
    <cellStyle name="Calculation 2 3 2" xfId="1321"/>
    <cellStyle name="Calculation 2 3 2 2" xfId="1569"/>
    <cellStyle name="Calculation 2 3 2 2 2" xfId="2304"/>
    <cellStyle name="Calculation 2 3 2 2 3" xfId="2417"/>
    <cellStyle name="Calculation 2 3 2 3" xfId="2185"/>
    <cellStyle name="Calculation 2 3 2 4" xfId="2343"/>
    <cellStyle name="Calculation 2 3 3" xfId="1530"/>
    <cellStyle name="Calculation 2 3 3 2" xfId="2273"/>
    <cellStyle name="Calculation 2 3 3 3" xfId="2378"/>
    <cellStyle name="Calculation 2 3 4" xfId="2022"/>
    <cellStyle name="Calculation 2 3 5" xfId="1743"/>
    <cellStyle name="Calculation 2 4" xfId="681"/>
    <cellStyle name="Calculation 2 4 2" xfId="1326"/>
    <cellStyle name="Calculation 2 4 2 2" xfId="1574"/>
    <cellStyle name="Calculation 2 4 2 2 2" xfId="2309"/>
    <cellStyle name="Calculation 2 4 2 2 3" xfId="2422"/>
    <cellStyle name="Calculation 2 4 2 3" xfId="2190"/>
    <cellStyle name="Calculation 2 4 2 4" xfId="2348"/>
    <cellStyle name="Calculation 2 4 3" xfId="1535"/>
    <cellStyle name="Calculation 2 4 3 2" xfId="2278"/>
    <cellStyle name="Calculation 2 4 3 3" xfId="2383"/>
    <cellStyle name="Calculation 2 4 4" xfId="2033"/>
    <cellStyle name="Calculation 2 4 5" xfId="2043"/>
    <cellStyle name="Calculation 2 5" xfId="1284"/>
    <cellStyle name="Calculation 2 5 2" xfId="1558"/>
    <cellStyle name="Calculation 2 5 2 2" xfId="2293"/>
    <cellStyle name="Calculation 2 5 2 3" xfId="2406"/>
    <cellStyle name="Calculation 2 5 3" xfId="2151"/>
    <cellStyle name="Calculation 2 5 4" xfId="2332"/>
    <cellStyle name="Calculation 2 6" xfId="1736"/>
    <cellStyle name="Calculation 3" xfId="119"/>
    <cellStyle name="Calculation 3 2" xfId="1737"/>
    <cellStyle name="Calculation 4" xfId="117"/>
    <cellStyle name="Calculation 4 2" xfId="733"/>
    <cellStyle name="Calculation 4 2 2" xfId="1550"/>
    <cellStyle name="Calculation 4 2 2 2" xfId="2287"/>
    <cellStyle name="Calculation 4 2 2 3" xfId="2398"/>
    <cellStyle name="Calculation 4 2 3" xfId="2050"/>
    <cellStyle name="Calculation 4 2 4" xfId="1969"/>
    <cellStyle name="Calculation 4 3" xfId="1510"/>
    <cellStyle name="Calculation 4 3 2" xfId="2257"/>
    <cellStyle name="Calculation 4 3 3" xfId="2358"/>
    <cellStyle name="Calculation 4 4" xfId="1735"/>
    <cellStyle name="Calculation 4 5" xfId="2067"/>
    <cellStyle name="Calculation 5" xfId="1630"/>
    <cellStyle name="cc0 -CalComma" xfId="120"/>
    <cellStyle name="cc0 -CalComma 2" xfId="121"/>
    <cellStyle name="cc1 -CalComma" xfId="122"/>
    <cellStyle name="cc1 -CalComma 2" xfId="123"/>
    <cellStyle name="cc2 -CalComma" xfId="124"/>
    <cellStyle name="cc2 -CalComma 2" xfId="125"/>
    <cellStyle name="cc3 -CalComma" xfId="126"/>
    <cellStyle name="cc3 -CalComma 2" xfId="127"/>
    <cellStyle name="cc4 -CalComma" xfId="128"/>
    <cellStyle name="cc4 -CalComma 2" xfId="129"/>
    <cellStyle name="cdDMMY -CalDate" xfId="130"/>
    <cellStyle name="cdDMMY -CalDate 2" xfId="131"/>
    <cellStyle name="cdDMMYHM -CalDateTime" xfId="132"/>
    <cellStyle name="cdDMMYHM -CalDateTime 2" xfId="133"/>
    <cellStyle name="cdDMY -CalDate" xfId="134"/>
    <cellStyle name="cdDMY -CalDate 2" xfId="135"/>
    <cellStyle name="cdMDY -CalDate" xfId="136"/>
    <cellStyle name="cdMDY -CalDate 2" xfId="137"/>
    <cellStyle name="cdMMY -CalDate" xfId="138"/>
    <cellStyle name="cdMMY -CalDate 2" xfId="139"/>
    <cellStyle name="cdMMYc-CalDateC" xfId="140"/>
    <cellStyle name="cdMMYc-CalDateC 2" xfId="141"/>
    <cellStyle name="cf0 -CalFixed" xfId="142"/>
    <cellStyle name="cf0 -CalFixed 2" xfId="143"/>
    <cellStyle name="Check Cell" xfId="14" builtinId="23" customBuiltin="1"/>
    <cellStyle name="Check Cell 2" xfId="145"/>
    <cellStyle name="Check Cell 2 2" xfId="443"/>
    <cellStyle name="Check Cell 2 2 2" xfId="1895"/>
    <cellStyle name="Check Cell 2 3" xfId="658"/>
    <cellStyle name="Check Cell 2 3 2" xfId="2023"/>
    <cellStyle name="Check Cell 2 4" xfId="1285"/>
    <cellStyle name="Check Cell 2 4 2" xfId="2152"/>
    <cellStyle name="Check Cell 2 5" xfId="1739"/>
    <cellStyle name="Check Cell 3" xfId="144"/>
    <cellStyle name="Check Cell 3 2" xfId="1738"/>
    <cellStyle name="Check Cell 4" xfId="1632"/>
    <cellStyle name="cmHM  -CalTime" xfId="146"/>
    <cellStyle name="cmHM  -CalTime 2" xfId="147"/>
    <cellStyle name="cmHM24+ -CalTime" xfId="148"/>
    <cellStyle name="cmHM24+ -CalTime 2" xfId="149"/>
    <cellStyle name="Comma" xfId="1" builtinId="3"/>
    <cellStyle name="Comma [0] 2" xfId="476"/>
    <cellStyle name="Comma [0] 2 2" xfId="517"/>
    <cellStyle name="Comma [0] 2 2 2" xfId="721"/>
    <cellStyle name="Comma [0] 2 2 2 2" xfId="1331"/>
    <cellStyle name="Comma [0] 2 2 2 2 2" xfId="1579"/>
    <cellStyle name="Comma [0] 2 2 2 2 2 2" xfId="2427"/>
    <cellStyle name="Comma [0] 2 2 2 3" xfId="1540"/>
    <cellStyle name="Comma [0] 2 2 2 3 2" xfId="2388"/>
    <cellStyle name="Comma [0] 2 2 3" xfId="730"/>
    <cellStyle name="Comma [0] 2 2 3 2" xfId="1547"/>
    <cellStyle name="Comma [0] 2 2 3 2 2" xfId="2395"/>
    <cellStyle name="Comma [0] 2 2 4" xfId="1522"/>
    <cellStyle name="Comma [0] 2 2 4 2" xfId="2370"/>
    <cellStyle name="Comma [1]" xfId="477"/>
    <cellStyle name="Comma [2]" xfId="478"/>
    <cellStyle name="Comma [3]" xfId="518"/>
    <cellStyle name="Comma [3] 2" xfId="722"/>
    <cellStyle name="Comma [3] 2 2" xfId="1332"/>
    <cellStyle name="Comma [3] 2 2 2" xfId="1580"/>
    <cellStyle name="Comma [3] 2 2 2 2" xfId="2428"/>
    <cellStyle name="Comma [3] 2 3" xfId="1541"/>
    <cellStyle name="Comma [3] 2 3 2" xfId="2389"/>
    <cellStyle name="Comma [3] 3" xfId="723"/>
    <cellStyle name="Comma [3] 3 2" xfId="1542"/>
    <cellStyle name="Comma [3] 3 2 2" xfId="2390"/>
    <cellStyle name="Comma [3] 4" xfId="1523"/>
    <cellStyle name="Comma [3] 4 2" xfId="2371"/>
    <cellStyle name="Comma [4]" xfId="479"/>
    <cellStyle name="Comma 10" xfId="151"/>
    <cellStyle name="Comma 10 10" xfId="1190"/>
    <cellStyle name="Comma 10 11" xfId="1397"/>
    <cellStyle name="Comma 10 2" xfId="734"/>
    <cellStyle name="Comma 10 3" xfId="786"/>
    <cellStyle name="Comma 10 4" xfId="818"/>
    <cellStyle name="Comma 10 5" xfId="867"/>
    <cellStyle name="Comma 10 6" xfId="947"/>
    <cellStyle name="Comma 10 7" xfId="987"/>
    <cellStyle name="Comma 10 8" xfId="1047"/>
    <cellStyle name="Comma 10 9" xfId="1118"/>
    <cellStyle name="Comma 100" xfId="1176"/>
    <cellStyle name="Comma 101" xfId="1177"/>
    <cellStyle name="Comma 102" xfId="1178"/>
    <cellStyle name="Comma 103" xfId="1179"/>
    <cellStyle name="Comma 104" xfId="1180"/>
    <cellStyle name="Comma 105" xfId="1181"/>
    <cellStyle name="Comma 106" xfId="1182"/>
    <cellStyle name="Comma 107" xfId="1189"/>
    <cellStyle name="Comma 108" xfId="1220"/>
    <cellStyle name="Comma 109" xfId="1229"/>
    <cellStyle name="Comma 11" xfId="383"/>
    <cellStyle name="Comma 110" xfId="1234"/>
    <cellStyle name="Comma 111" xfId="1236"/>
    <cellStyle name="Comma 112" xfId="1237"/>
    <cellStyle name="Comma 113" xfId="1239"/>
    <cellStyle name="Comma 114" xfId="1240"/>
    <cellStyle name="Comma 115" xfId="1241"/>
    <cellStyle name="Comma 116" xfId="1242"/>
    <cellStyle name="Comma 117" xfId="1243"/>
    <cellStyle name="Comma 118" xfId="1244"/>
    <cellStyle name="Comma 119" xfId="1188"/>
    <cellStyle name="Comma 12" xfId="384"/>
    <cellStyle name="Comma 120" xfId="1233"/>
    <cellStyle name="Comma 121" xfId="1245"/>
    <cellStyle name="Comma 122" xfId="1246"/>
    <cellStyle name="Comma 123" xfId="1247"/>
    <cellStyle name="Comma 124" xfId="1257"/>
    <cellStyle name="Comma 125" xfId="1305"/>
    <cellStyle name="Comma 126" xfId="1310"/>
    <cellStyle name="Comma 127" xfId="1337"/>
    <cellStyle name="Comma 128" xfId="1342"/>
    <cellStyle name="Comma 128 2" xfId="1472"/>
    <cellStyle name="Comma 128 3" xfId="1450"/>
    <cellStyle name="Comma 129" xfId="1340"/>
    <cellStyle name="Comma 129 2" xfId="1474"/>
    <cellStyle name="Comma 129 3" xfId="1448"/>
    <cellStyle name="Comma 13" xfId="387"/>
    <cellStyle name="Comma 130" xfId="1341"/>
    <cellStyle name="Comma 130 2" xfId="1475"/>
    <cellStyle name="Comma 130 3" xfId="1449"/>
    <cellStyle name="Comma 131" xfId="1352"/>
    <cellStyle name="Comma 132" xfId="1351"/>
    <cellStyle name="Comma 133" xfId="1355"/>
    <cellStyle name="Comma 134" xfId="1353"/>
    <cellStyle name="Comma 135" xfId="1356"/>
    <cellStyle name="Comma 136" xfId="1365"/>
    <cellStyle name="Comma 137" xfId="1362"/>
    <cellStyle name="Comma 138" xfId="1363"/>
    <cellStyle name="Comma 139" xfId="1361"/>
    <cellStyle name="Comma 14" xfId="403"/>
    <cellStyle name="Comma 140" xfId="1364"/>
    <cellStyle name="Comma 141" xfId="1360"/>
    <cellStyle name="Comma 142" xfId="1366"/>
    <cellStyle name="Comma 143" xfId="1359"/>
    <cellStyle name="Comma 144" xfId="1367"/>
    <cellStyle name="Comma 145" xfId="1358"/>
    <cellStyle name="Comma 146" xfId="1368"/>
    <cellStyle name="Comma 147" xfId="1357"/>
    <cellStyle name="Comma 148" xfId="1369"/>
    <cellStyle name="Comma 149" xfId="1396"/>
    <cellStyle name="Comma 149 2" xfId="1465"/>
    <cellStyle name="Comma 149 3" xfId="1457"/>
    <cellStyle name="Comma 15" xfId="444"/>
    <cellStyle name="Comma 15 2" xfId="921"/>
    <cellStyle name="Comma 15 3" xfId="773"/>
    <cellStyle name="Comma 150" xfId="1435"/>
    <cellStyle name="Comma 151" xfId="1437"/>
    <cellStyle name="Comma 152" xfId="1470"/>
    <cellStyle name="Comma 152 2" xfId="1508"/>
    <cellStyle name="Comma 153" xfId="1487"/>
    <cellStyle name="Comma 153 2" xfId="1509"/>
    <cellStyle name="Comma 154" xfId="1485"/>
    <cellStyle name="Comma 154 2" xfId="1507"/>
    <cellStyle name="Comma 155" xfId="1488"/>
    <cellStyle name="Comma 156" xfId="1484"/>
    <cellStyle name="Comma 157" xfId="1496"/>
    <cellStyle name="Comma 158" xfId="1497"/>
    <cellStyle name="Comma 159" xfId="1498"/>
    <cellStyle name="Comma 16" xfId="574"/>
    <cellStyle name="Comma 16 2" xfId="923"/>
    <cellStyle name="Comma 160" xfId="1501"/>
    <cellStyle name="Comma 161" xfId="1502"/>
    <cellStyle name="Comma 162" xfId="1499"/>
    <cellStyle name="Comma 163" xfId="1500"/>
    <cellStyle name="Comma 164" xfId="1503"/>
    <cellStyle name="Comma 165" xfId="1505"/>
    <cellStyle name="Comma 166" xfId="1504"/>
    <cellStyle name="Comma 167" xfId="1506"/>
    <cellStyle name="Comma 168" xfId="1591"/>
    <cellStyle name="Comma 169" xfId="1595"/>
    <cellStyle name="Comma 17" xfId="599"/>
    <cellStyle name="Comma 17 2" xfId="785"/>
    <cellStyle name="Comma 170" xfId="1602"/>
    <cellStyle name="Comma 171" xfId="1596"/>
    <cellStyle name="Comma 172" xfId="1601"/>
    <cellStyle name="Comma 173" xfId="1610"/>
    <cellStyle name="Comma 174" xfId="1608"/>
    <cellStyle name="Comma 175" xfId="1612"/>
    <cellStyle name="Comma 18" xfId="602"/>
    <cellStyle name="Comma 18 2" xfId="797"/>
    <cellStyle name="Comma 19" xfId="688"/>
    <cellStyle name="Comma 19 2" xfId="804"/>
    <cellStyle name="Comma 2" xfId="152"/>
    <cellStyle name="Comma 2 10" xfId="575"/>
    <cellStyle name="Comma 2 11" xfId="605"/>
    <cellStyle name="Comma 2 11 2" xfId="948"/>
    <cellStyle name="Comma 2 11 3" xfId="1975"/>
    <cellStyle name="Comma 2 12" xfId="693"/>
    <cellStyle name="Comma 2 12 2" xfId="988"/>
    <cellStyle name="Comma 2 13" xfId="707"/>
    <cellStyle name="Comma 2 13 2" xfId="1048"/>
    <cellStyle name="Comma 2 14" xfId="1119"/>
    <cellStyle name="Comma 2 15" xfId="1191"/>
    <cellStyle name="Comma 2 16" xfId="1398"/>
    <cellStyle name="Comma 2 17" xfId="1592"/>
    <cellStyle name="Comma 2 2" xfId="153"/>
    <cellStyle name="Comma 2 2 10" xfId="1192"/>
    <cellStyle name="Comma 2 2 11" xfId="1399"/>
    <cellStyle name="Comma 2 2 2" xfId="154"/>
    <cellStyle name="Comma 2 2 2 10" xfId="1193"/>
    <cellStyle name="Comma 2 2 2 11" xfId="1400"/>
    <cellStyle name="Comma 2 2 2 2" xfId="155"/>
    <cellStyle name="Comma 2 2 2 2 10" xfId="1401"/>
    <cellStyle name="Comma 2 2 2 2 2" xfId="788"/>
    <cellStyle name="Comma 2 2 2 2 3" xfId="820"/>
    <cellStyle name="Comma 2 2 2 2 4" xfId="879"/>
    <cellStyle name="Comma 2 2 2 2 5" xfId="950"/>
    <cellStyle name="Comma 2 2 2 2 6" xfId="991"/>
    <cellStyle name="Comma 2 2 2 2 7" xfId="1051"/>
    <cellStyle name="Comma 2 2 2 2 8" xfId="1122"/>
    <cellStyle name="Comma 2 2 2 2 9" xfId="1194"/>
    <cellStyle name="Comma 2 2 2 3" xfId="577"/>
    <cellStyle name="Comma 2 2 2 4" xfId="819"/>
    <cellStyle name="Comma 2 2 2 5" xfId="878"/>
    <cellStyle name="Comma 2 2 2 6" xfId="949"/>
    <cellStyle name="Comma 2 2 2 7" xfId="990"/>
    <cellStyle name="Comma 2 2 2 8" xfId="1050"/>
    <cellStyle name="Comma 2 2 2 9" xfId="1121"/>
    <cellStyle name="Comma 2 2 3" xfId="398"/>
    <cellStyle name="Comma 2 2 4" xfId="576"/>
    <cellStyle name="Comma 2 2 5" xfId="694"/>
    <cellStyle name="Comma 2 2 6" xfId="708"/>
    <cellStyle name="Comma 2 2 7" xfId="989"/>
    <cellStyle name="Comma 2 2 8" xfId="1049"/>
    <cellStyle name="Comma 2 2 9" xfId="1120"/>
    <cellStyle name="Comma 2 2_output data 08 to 10" xfId="668"/>
    <cellStyle name="Comma 2 3" xfId="156"/>
    <cellStyle name="Comma 2 3 10" xfId="1402"/>
    <cellStyle name="Comma 2 3 2" xfId="578"/>
    <cellStyle name="Comma 2 3 3" xfId="821"/>
    <cellStyle name="Comma 2 3 4" xfId="880"/>
    <cellStyle name="Comma 2 3 5" xfId="951"/>
    <cellStyle name="Comma 2 3 6" xfId="992"/>
    <cellStyle name="Comma 2 3 7" xfId="1052"/>
    <cellStyle name="Comma 2 3 8" xfId="1123"/>
    <cellStyle name="Comma 2 3 9" xfId="1195"/>
    <cellStyle name="Comma 2 4" xfId="157"/>
    <cellStyle name="Comma 2 4 10" xfId="1403"/>
    <cellStyle name="Comma 2 4 2" xfId="579"/>
    <cellStyle name="Comma 2 4 3" xfId="822"/>
    <cellStyle name="Comma 2 4 4" xfId="881"/>
    <cellStyle name="Comma 2 4 5" xfId="952"/>
    <cellStyle name="Comma 2 4 6" xfId="993"/>
    <cellStyle name="Comma 2 4 7" xfId="1053"/>
    <cellStyle name="Comma 2 4 8" xfId="1124"/>
    <cellStyle name="Comma 2 4 9" xfId="1196"/>
    <cellStyle name="Comma 2 5" xfId="158"/>
    <cellStyle name="Comma 2 5 10" xfId="1404"/>
    <cellStyle name="Comma 2 5 2" xfId="580"/>
    <cellStyle name="Comma 2 5 3" xfId="823"/>
    <cellStyle name="Comma 2 5 4" xfId="882"/>
    <cellStyle name="Comma 2 5 5" xfId="953"/>
    <cellStyle name="Comma 2 5 6" xfId="994"/>
    <cellStyle name="Comma 2 5 7" xfId="1054"/>
    <cellStyle name="Comma 2 5 8" xfId="1125"/>
    <cellStyle name="Comma 2 5 9" xfId="1197"/>
    <cellStyle name="Comma 2 6" xfId="159"/>
    <cellStyle name="Comma 2 6 10" xfId="1405"/>
    <cellStyle name="Comma 2 6 2" xfId="581"/>
    <cellStyle name="Comma 2 6 3" xfId="824"/>
    <cellStyle name="Comma 2 6 4" xfId="883"/>
    <cellStyle name="Comma 2 6 5" xfId="954"/>
    <cellStyle name="Comma 2 6 6" xfId="995"/>
    <cellStyle name="Comma 2 6 7" xfId="1055"/>
    <cellStyle name="Comma 2 6 8" xfId="1126"/>
    <cellStyle name="Comma 2 6 9" xfId="1198"/>
    <cellStyle name="Comma 2 7" xfId="160"/>
    <cellStyle name="Comma 2 8" xfId="390"/>
    <cellStyle name="Comma 2 8 2" xfId="735"/>
    <cellStyle name="Comma 2 9" xfId="445"/>
    <cellStyle name="Comma 2 9 2" xfId="787"/>
    <cellStyle name="Comma 2 9 3" xfId="1896"/>
    <cellStyle name="Comma 2_Menu" xfId="161"/>
    <cellStyle name="Comma 20" xfId="692"/>
    <cellStyle name="Comma 21" xfId="706"/>
    <cellStyle name="Comma 22" xfId="807"/>
    <cellStyle name="Comma 23" xfId="808"/>
    <cellStyle name="Comma 24" xfId="809"/>
    <cellStyle name="Comma 25" xfId="810"/>
    <cellStyle name="Comma 26" xfId="811"/>
    <cellStyle name="Comma 27" xfId="784"/>
    <cellStyle name="Comma 28" xfId="817"/>
    <cellStyle name="Comma 28 2" xfId="925"/>
    <cellStyle name="Comma 29" xfId="845"/>
    <cellStyle name="Comma 29 2" xfId="928"/>
    <cellStyle name="Comma 3" xfId="162"/>
    <cellStyle name="Comma 3 10" xfId="709"/>
    <cellStyle name="Comma 3 10 2" xfId="955"/>
    <cellStyle name="Comma 3 11" xfId="996"/>
    <cellStyle name="Comma 3 12" xfId="1056"/>
    <cellStyle name="Comma 3 13" xfId="1127"/>
    <cellStyle name="Comma 3 14" xfId="1199"/>
    <cellStyle name="Comma 3 15" xfId="1286"/>
    <cellStyle name="Comma 3 16" xfId="1406"/>
    <cellStyle name="Comma 3 17" xfId="1593"/>
    <cellStyle name="Comma 3 2" xfId="163"/>
    <cellStyle name="Comma 3 2 10" xfId="1200"/>
    <cellStyle name="Comma 3 2 11" xfId="1407"/>
    <cellStyle name="Comma 3 2 2" xfId="164"/>
    <cellStyle name="Comma 3 2 2 2" xfId="165"/>
    <cellStyle name="Comma 3 2 2 2 10" xfId="1408"/>
    <cellStyle name="Comma 3 2 2 2 2" xfId="790"/>
    <cellStyle name="Comma 3 2 2 2 3" xfId="826"/>
    <cellStyle name="Comma 3 2 2 2 4" xfId="884"/>
    <cellStyle name="Comma 3 2 2 2 5" xfId="957"/>
    <cellStyle name="Comma 3 2 2 2 6" xfId="998"/>
    <cellStyle name="Comma 3 2 2 2 7" xfId="1058"/>
    <cellStyle name="Comma 3 2 2 2 8" xfId="1129"/>
    <cellStyle name="Comma 3 2 2 2 9" xfId="1201"/>
    <cellStyle name="Comma 3 2 3" xfId="166"/>
    <cellStyle name="Comma 3 2 3 10" xfId="1409"/>
    <cellStyle name="Comma 3 2 3 2" xfId="791"/>
    <cellStyle name="Comma 3 2 3 3" xfId="827"/>
    <cellStyle name="Comma 3 2 3 4" xfId="885"/>
    <cellStyle name="Comma 3 2 3 5" xfId="958"/>
    <cellStyle name="Comma 3 2 3 6" xfId="999"/>
    <cellStyle name="Comma 3 2 3 7" xfId="1059"/>
    <cellStyle name="Comma 3 2 3 8" xfId="1130"/>
    <cellStyle name="Comma 3 2 3 9" xfId="1202"/>
    <cellStyle name="Comma 3 2 4" xfId="389"/>
    <cellStyle name="Comma 3 2 4 2" xfId="789"/>
    <cellStyle name="Comma 3 2 5" xfId="583"/>
    <cellStyle name="Comma 3 2 6" xfId="696"/>
    <cellStyle name="Comma 3 2 6 2" xfId="956"/>
    <cellStyle name="Comma 3 2 7" xfId="710"/>
    <cellStyle name="Comma 3 2 7 2" xfId="997"/>
    <cellStyle name="Comma 3 2 8" xfId="1057"/>
    <cellStyle name="Comma 3 2 9" xfId="1128"/>
    <cellStyle name="Comma 3 3" xfId="167"/>
    <cellStyle name="Comma 3 3 10" xfId="1410"/>
    <cellStyle name="Comma 3 3 2" xfId="584"/>
    <cellStyle name="Comma 3 3 3" xfId="828"/>
    <cellStyle name="Comma 3 3 4" xfId="886"/>
    <cellStyle name="Comma 3 3 5" xfId="959"/>
    <cellStyle name="Comma 3 3 6" xfId="1000"/>
    <cellStyle name="Comma 3 3 7" xfId="1060"/>
    <cellStyle name="Comma 3 3 8" xfId="1131"/>
    <cellStyle name="Comma 3 3 9" xfId="1203"/>
    <cellStyle name="Comma 3 4" xfId="168"/>
    <cellStyle name="Comma 3 4 10" xfId="1411"/>
    <cellStyle name="Comma 3 4 2" xfId="585"/>
    <cellStyle name="Comma 3 4 3" xfId="829"/>
    <cellStyle name="Comma 3 4 4" xfId="887"/>
    <cellStyle name="Comma 3 4 5" xfId="960"/>
    <cellStyle name="Comma 3 4 6" xfId="1001"/>
    <cellStyle name="Comma 3 4 7" xfId="1061"/>
    <cellStyle name="Comma 3 4 8" xfId="1132"/>
    <cellStyle name="Comma 3 4 9" xfId="1204"/>
    <cellStyle name="Comma 3 5" xfId="169"/>
    <cellStyle name="Comma 3 5 10" xfId="1412"/>
    <cellStyle name="Comma 3 5 2" xfId="586"/>
    <cellStyle name="Comma 3 5 3" xfId="830"/>
    <cellStyle name="Comma 3 5 4" xfId="888"/>
    <cellStyle name="Comma 3 5 5" xfId="961"/>
    <cellStyle name="Comma 3 5 6" xfId="1002"/>
    <cellStyle name="Comma 3 5 7" xfId="1062"/>
    <cellStyle name="Comma 3 5 8" xfId="1133"/>
    <cellStyle name="Comma 3 5 9" xfId="1205"/>
    <cellStyle name="Comma 3 6" xfId="170"/>
    <cellStyle name="Comma 3 7" xfId="402"/>
    <cellStyle name="Comma 3 7 2" xfId="736"/>
    <cellStyle name="Comma 3 8" xfId="582"/>
    <cellStyle name="Comma 3 9" xfId="695"/>
    <cellStyle name="Comma 3 9 2" xfId="825"/>
    <cellStyle name="Comma 3_output data 08 to 10" xfId="669"/>
    <cellStyle name="Comma 30" xfId="853"/>
    <cellStyle name="Comma 30 2" xfId="933"/>
    <cellStyle name="Comma 31" xfId="844"/>
    <cellStyle name="Comma 31 2" xfId="927"/>
    <cellStyle name="Comma 32" xfId="852"/>
    <cellStyle name="Comma 32 2" xfId="932"/>
    <cellStyle name="Comma 33" xfId="875"/>
    <cellStyle name="Comma 34" xfId="843"/>
    <cellStyle name="Comma 35" xfId="872"/>
    <cellStyle name="Comma 36" xfId="861"/>
    <cellStyle name="Comma 37" xfId="812"/>
    <cellStyle name="Comma 38" xfId="858"/>
    <cellStyle name="Comma 39" xfId="936"/>
    <cellStyle name="Comma 4" xfId="171"/>
    <cellStyle name="Comma 4 10" xfId="711"/>
    <cellStyle name="Comma 4 2" xfId="172"/>
    <cellStyle name="Comma 4 2 10" xfId="1413"/>
    <cellStyle name="Comma 4 2 2" xfId="400"/>
    <cellStyle name="Comma 4 2 3" xfId="587"/>
    <cellStyle name="Comma 4 2 4" xfId="698"/>
    <cellStyle name="Comma 4 2 5" xfId="712"/>
    <cellStyle name="Comma 4 2 6" xfId="1003"/>
    <cellStyle name="Comma 4 2 7" xfId="1063"/>
    <cellStyle name="Comma 4 2 8" xfId="1134"/>
    <cellStyle name="Comma 4 2 9" xfId="1206"/>
    <cellStyle name="Comma 4 3" xfId="396"/>
    <cellStyle name="Comma 4 4" xfId="173"/>
    <cellStyle name="Comma 4 4 10" xfId="1414"/>
    <cellStyle name="Comma 4 4 2" xfId="588"/>
    <cellStyle name="Comma 4 4 3" xfId="831"/>
    <cellStyle name="Comma 4 4 4" xfId="889"/>
    <cellStyle name="Comma 4 4 5" xfId="962"/>
    <cellStyle name="Comma 4 4 6" xfId="1004"/>
    <cellStyle name="Comma 4 4 7" xfId="1064"/>
    <cellStyle name="Comma 4 4 8" xfId="1135"/>
    <cellStyle name="Comma 4 4 9" xfId="1207"/>
    <cellStyle name="Comma 4 5" xfId="174"/>
    <cellStyle name="Comma 4 5 10" xfId="1415"/>
    <cellStyle name="Comma 4 5 2" xfId="589"/>
    <cellStyle name="Comma 4 5 3" xfId="832"/>
    <cellStyle name="Comma 4 5 4" xfId="890"/>
    <cellStyle name="Comma 4 5 5" xfId="963"/>
    <cellStyle name="Comma 4 5 6" xfId="1005"/>
    <cellStyle name="Comma 4 5 7" xfId="1065"/>
    <cellStyle name="Comma 4 5 8" xfId="1136"/>
    <cellStyle name="Comma 4 5 9" xfId="1208"/>
    <cellStyle name="Comma 4 6" xfId="175"/>
    <cellStyle name="Comma 4 6 10" xfId="1416"/>
    <cellStyle name="Comma 4 6 2" xfId="590"/>
    <cellStyle name="Comma 4 6 3" xfId="833"/>
    <cellStyle name="Comma 4 6 4" xfId="891"/>
    <cellStyle name="Comma 4 6 5" xfId="964"/>
    <cellStyle name="Comma 4 6 6" xfId="1006"/>
    <cellStyle name="Comma 4 6 7" xfId="1066"/>
    <cellStyle name="Comma 4 6 8" xfId="1137"/>
    <cellStyle name="Comma 4 6 9" xfId="1209"/>
    <cellStyle name="Comma 4 7" xfId="176"/>
    <cellStyle name="Comma 4 7 10" xfId="1417"/>
    <cellStyle name="Comma 4 7 2" xfId="591"/>
    <cellStyle name="Comma 4 7 3" xfId="834"/>
    <cellStyle name="Comma 4 7 4" xfId="892"/>
    <cellStyle name="Comma 4 7 5" xfId="965"/>
    <cellStyle name="Comma 4 7 6" xfId="1007"/>
    <cellStyle name="Comma 4 7 7" xfId="1067"/>
    <cellStyle name="Comma 4 7 8" xfId="1138"/>
    <cellStyle name="Comma 4 7 9" xfId="1210"/>
    <cellStyle name="Comma 4 8" xfId="177"/>
    <cellStyle name="Comma 4 8 10" xfId="1418"/>
    <cellStyle name="Comma 4 8 2" xfId="592"/>
    <cellStyle name="Comma 4 8 3" xfId="835"/>
    <cellStyle name="Comma 4 8 4" xfId="893"/>
    <cellStyle name="Comma 4 8 5" xfId="966"/>
    <cellStyle name="Comma 4 8 6" xfId="1008"/>
    <cellStyle name="Comma 4 8 7" xfId="1068"/>
    <cellStyle name="Comma 4 8 8" xfId="1139"/>
    <cellStyle name="Comma 4 8 9" xfId="1211"/>
    <cellStyle name="Comma 4 9" xfId="697"/>
    <cellStyle name="Comma 4_RB GDP fcast Fig 2.5" xfId="671"/>
    <cellStyle name="Comma 40" xfId="846"/>
    <cellStyle name="Comma 41" xfId="814"/>
    <cellStyle name="Comma 42" xfId="857"/>
    <cellStyle name="Comma 43" xfId="865"/>
    <cellStyle name="Comma 44" xfId="940"/>
    <cellStyle name="Comma 45" xfId="842"/>
    <cellStyle name="Comma 46" xfId="926"/>
    <cellStyle name="Comma 47" xfId="937"/>
    <cellStyle name="Comma 48" xfId="946"/>
    <cellStyle name="Comma 49" xfId="975"/>
    <cellStyle name="Comma 5" xfId="178"/>
    <cellStyle name="Comma 5 2" xfId="179"/>
    <cellStyle name="Comma 5 2 10" xfId="1419"/>
    <cellStyle name="Comma 5 2 2" xfId="394"/>
    <cellStyle name="Comma 5 2 3" xfId="700"/>
    <cellStyle name="Comma 5 2 4" xfId="714"/>
    <cellStyle name="Comma 5 2 5" xfId="967"/>
    <cellStyle name="Comma 5 2 6" xfId="1009"/>
    <cellStyle name="Comma 5 2 7" xfId="1069"/>
    <cellStyle name="Comma 5 2 8" xfId="1140"/>
    <cellStyle name="Comma 5 2 9" xfId="1212"/>
    <cellStyle name="Comma 5 3" xfId="180"/>
    <cellStyle name="Comma 5 3 10" xfId="1420"/>
    <cellStyle name="Comma 5 3 2" xfId="792"/>
    <cellStyle name="Comma 5 3 3" xfId="836"/>
    <cellStyle name="Comma 5 3 4" xfId="895"/>
    <cellStyle name="Comma 5 3 5" xfId="968"/>
    <cellStyle name="Comma 5 3 6" xfId="1010"/>
    <cellStyle name="Comma 5 3 7" xfId="1070"/>
    <cellStyle name="Comma 5 3 8" xfId="1141"/>
    <cellStyle name="Comma 5 3 9" xfId="1213"/>
    <cellStyle name="Comma 5 4" xfId="397"/>
    <cellStyle name="Comma 5 4 2" xfId="894"/>
    <cellStyle name="Comma 5 5" xfId="699"/>
    <cellStyle name="Comma 5 6" xfId="713"/>
    <cellStyle name="Comma 50" xfId="980"/>
    <cellStyle name="Comma 51" xfId="981"/>
    <cellStyle name="Comma 52" xfId="945"/>
    <cellStyle name="Comma 53" xfId="986"/>
    <cellStyle name="Comma 54" xfId="1018"/>
    <cellStyle name="Comma 55" xfId="1029"/>
    <cellStyle name="Comma 56" xfId="1035"/>
    <cellStyle name="Comma 57" xfId="1036"/>
    <cellStyle name="Comma 58" xfId="1037"/>
    <cellStyle name="Comma 59" xfId="1038"/>
    <cellStyle name="Comma 6" xfId="181"/>
    <cellStyle name="Comma 6 2" xfId="182"/>
    <cellStyle name="Comma 6 2 10" xfId="1421"/>
    <cellStyle name="Comma 6 2 2" xfId="392"/>
    <cellStyle name="Comma 6 2 3" xfId="702"/>
    <cellStyle name="Comma 6 2 4" xfId="716"/>
    <cellStyle name="Comma 6 2 5" xfId="969"/>
    <cellStyle name="Comma 6 2 6" xfId="1011"/>
    <cellStyle name="Comma 6 2 7" xfId="1071"/>
    <cellStyle name="Comma 6 2 8" xfId="1142"/>
    <cellStyle name="Comma 6 2 9" xfId="1214"/>
    <cellStyle name="Comma 6 3" xfId="393"/>
    <cellStyle name="Comma 6 4" xfId="701"/>
    <cellStyle name="Comma 6 4 2" xfId="1479"/>
    <cellStyle name="Comma 6 4 3" xfId="1442"/>
    <cellStyle name="Comma 6 5" xfId="715"/>
    <cellStyle name="Comma 6 5 2" xfId="1436"/>
    <cellStyle name="Comma 6 5 3" xfId="1445"/>
    <cellStyle name="Comma 60" xfId="1017"/>
    <cellStyle name="Comma 61" xfId="1027"/>
    <cellStyle name="Comma 62" xfId="1040"/>
    <cellStyle name="Comma 63" xfId="1041"/>
    <cellStyle name="Comma 64" xfId="1042"/>
    <cellStyle name="Comma 65" xfId="1043"/>
    <cellStyle name="Comma 66" xfId="1044"/>
    <cellStyle name="Comma 67" xfId="985"/>
    <cellStyle name="Comma 68" xfId="1039"/>
    <cellStyle name="Comma 69" xfId="1046"/>
    <cellStyle name="Comma 7" xfId="183"/>
    <cellStyle name="Comma 7 10" xfId="1422"/>
    <cellStyle name="Comma 7 2" xfId="391"/>
    <cellStyle name="Comma 7 2 2" xfId="793"/>
    <cellStyle name="Comma 7 3" xfId="703"/>
    <cellStyle name="Comma 7 3 2" xfId="837"/>
    <cellStyle name="Comma 7 4" xfId="717"/>
    <cellStyle name="Comma 7 4 2" xfId="896"/>
    <cellStyle name="Comma 7 5" xfId="970"/>
    <cellStyle name="Comma 7 6" xfId="1012"/>
    <cellStyle name="Comma 7 7" xfId="1072"/>
    <cellStyle name="Comma 7 8" xfId="1143"/>
    <cellStyle name="Comma 7 9" xfId="1215"/>
    <cellStyle name="Comma 70" xfId="1077"/>
    <cellStyle name="Comma 71" xfId="1089"/>
    <cellStyle name="Comma 72" xfId="1098"/>
    <cellStyle name="Comma 73" xfId="1099"/>
    <cellStyle name="Comma 74" xfId="1100"/>
    <cellStyle name="Comma 75" xfId="1101"/>
    <cellStyle name="Comma 76" xfId="1102"/>
    <cellStyle name="Comma 77" xfId="1103"/>
    <cellStyle name="Comma 78" xfId="1104"/>
    <cellStyle name="Comma 79" xfId="1105"/>
    <cellStyle name="Comma 8" xfId="150"/>
    <cellStyle name="Comma 80" xfId="1106"/>
    <cellStyle name="Comma 81" xfId="1107"/>
    <cellStyle name="Comma 82" xfId="1108"/>
    <cellStyle name="Comma 83" xfId="1109"/>
    <cellStyle name="Comma 84" xfId="1110"/>
    <cellStyle name="Comma 85" xfId="1111"/>
    <cellStyle name="Comma 86" xfId="1112"/>
    <cellStyle name="Comma 87" xfId="1113"/>
    <cellStyle name="Comma 88" xfId="1117"/>
    <cellStyle name="Comma 89" xfId="1148"/>
    <cellStyle name="Comma 9" xfId="382"/>
    <cellStyle name="Comma 9 2" xfId="913"/>
    <cellStyle name="Comma 90" xfId="1160"/>
    <cellStyle name="Comma 91" xfId="1167"/>
    <cellStyle name="Comma 92" xfId="1168"/>
    <cellStyle name="Comma 93" xfId="1169"/>
    <cellStyle name="Comma 94" xfId="1170"/>
    <cellStyle name="Comma 95" xfId="1171"/>
    <cellStyle name="Comma 96" xfId="1172"/>
    <cellStyle name="Comma 97" xfId="1173"/>
    <cellStyle name="Comma 98" xfId="1174"/>
    <cellStyle name="Comma 99" xfId="1175"/>
    <cellStyle name="Comma0" xfId="408"/>
    <cellStyle name="Comment Box" xfId="480"/>
    <cellStyle name="Comment Box 2" xfId="521"/>
    <cellStyle name="Comment Box 2 2" xfId="1949"/>
    <cellStyle name="Comment Box 3" xfId="1927"/>
    <cellStyle name="cp0 -CalPercent" xfId="184"/>
    <cellStyle name="cp0 -CalPercent 2" xfId="185"/>
    <cellStyle name="cp1 -CalPercent" xfId="186"/>
    <cellStyle name="cp2 -CalPercent" xfId="187"/>
    <cellStyle name="cp2 -CalPercent 2" xfId="188"/>
    <cellStyle name="cp3 -CalPercent" xfId="189"/>
    <cellStyle name="cp3 -CalPercent 2" xfId="190"/>
    <cellStyle name="cr0 -CalCurr" xfId="191"/>
    <cellStyle name="cr0 -CalCurr 2" xfId="192"/>
    <cellStyle name="cr1 -CalCurr" xfId="193"/>
    <cellStyle name="cr1 -CalCurr 2" xfId="194"/>
    <cellStyle name="cr2 -CalCurr" xfId="195"/>
    <cellStyle name="cr2 -CalCurr 2" xfId="196"/>
    <cellStyle name="cr3 -CalCurr" xfId="197"/>
    <cellStyle name="cr3 -CalCurr 2" xfId="198"/>
    <cellStyle name="cr4 -CalCurr" xfId="199"/>
    <cellStyle name="cr4 -CalCurr 2" xfId="200"/>
    <cellStyle name="Currency 2" xfId="201"/>
    <cellStyle name="Currency 2 10" xfId="1423"/>
    <cellStyle name="Currency 2 2" xfId="593"/>
    <cellStyle name="Currency 2 3" xfId="838"/>
    <cellStyle name="Currency 2 4" xfId="897"/>
    <cellStyle name="Currency 2 5" xfId="971"/>
    <cellStyle name="Currency 2 6" xfId="1013"/>
    <cellStyle name="Currency 2 7" xfId="1073"/>
    <cellStyle name="Currency 2 8" xfId="1144"/>
    <cellStyle name="Currency 2 9" xfId="1216"/>
    <cellStyle name="Currency 3" xfId="202"/>
    <cellStyle name="Currency 3 10" xfId="1424"/>
    <cellStyle name="Currency 3 2" xfId="794"/>
    <cellStyle name="Currency 3 3" xfId="839"/>
    <cellStyle name="Currency 3 4" xfId="898"/>
    <cellStyle name="Currency 3 5" xfId="972"/>
    <cellStyle name="Currency 3 6" xfId="1014"/>
    <cellStyle name="Currency 3 7" xfId="1074"/>
    <cellStyle name="Currency 3 8" xfId="1145"/>
    <cellStyle name="Currency 3 9" xfId="1217"/>
    <cellStyle name="Currency 4" xfId="203"/>
    <cellStyle name="Currency 4 10" xfId="1218"/>
    <cellStyle name="Currency 4 11" xfId="1425"/>
    <cellStyle name="Currency 4 2" xfId="204"/>
    <cellStyle name="Currency 4 2 10" xfId="1426"/>
    <cellStyle name="Currency 4 2 2" xfId="796"/>
    <cellStyle name="Currency 4 2 3" xfId="841"/>
    <cellStyle name="Currency 4 2 4" xfId="900"/>
    <cellStyle name="Currency 4 2 5" xfId="974"/>
    <cellStyle name="Currency 4 2 6" xfId="1016"/>
    <cellStyle name="Currency 4 2 7" xfId="1076"/>
    <cellStyle name="Currency 4 2 8" xfId="1147"/>
    <cellStyle name="Currency 4 2 9" xfId="1219"/>
    <cellStyle name="Currency 4 3" xfId="795"/>
    <cellStyle name="Currency 4 4" xfId="840"/>
    <cellStyle name="Currency 4 5" xfId="899"/>
    <cellStyle name="Currency 4 6" xfId="973"/>
    <cellStyle name="Currency 4 7" xfId="1015"/>
    <cellStyle name="Currency 4 8" xfId="1075"/>
    <cellStyle name="Currency 4 9" xfId="1146"/>
    <cellStyle name="Currency 5" xfId="689"/>
    <cellStyle name="Currency 5 2" xfId="1481"/>
    <cellStyle name="Currency 5 3" xfId="1441"/>
    <cellStyle name="Currency0" xfId="409"/>
    <cellStyle name="Data Input" xfId="481"/>
    <cellStyle name="Data Input 2" xfId="1928"/>
    <cellStyle name="Data Rows" xfId="482"/>
    <cellStyle name="Data Rows 2" xfId="522"/>
    <cellStyle name="Data Rows 2 2" xfId="1950"/>
    <cellStyle name="Data Rows 3" xfId="1929"/>
    <cellStyle name="Date" xfId="410"/>
    <cellStyle name="Date (short)" xfId="484"/>
    <cellStyle name="Date (short) 2" xfId="1931"/>
    <cellStyle name="Date 10" xfId="1863"/>
    <cellStyle name="Date 11" xfId="2110"/>
    <cellStyle name="Date 12" xfId="2353"/>
    <cellStyle name="Date 2" xfId="483"/>
    <cellStyle name="Date 2 2" xfId="1930"/>
    <cellStyle name="Date 3" xfId="719"/>
    <cellStyle name="Date 3 2" xfId="2044"/>
    <cellStyle name="Date 4" xfId="729"/>
    <cellStyle name="Date 4 2" xfId="2047"/>
    <cellStyle name="Date 5" xfId="1250"/>
    <cellStyle name="Date 5 2" xfId="2120"/>
    <cellStyle name="Date 6" xfId="1252"/>
    <cellStyle name="Date 6 2" xfId="2121"/>
    <cellStyle name="Date 7" xfId="1254"/>
    <cellStyle name="Date 7 2" xfId="2122"/>
    <cellStyle name="Date 8" xfId="1256"/>
    <cellStyle name="Date 8 2" xfId="2124"/>
    <cellStyle name="Date 9" xfId="1255"/>
    <cellStyle name="Date 9 2" xfId="2123"/>
    <cellStyle name="Date and Time" xfId="485"/>
    <cellStyle name="Date and Time 2" xfId="526"/>
    <cellStyle name="Date and Time 2 2" xfId="1951"/>
    <cellStyle name="Date and Time 3" xfId="1932"/>
    <cellStyle name="Date Released" xfId="611"/>
    <cellStyle name="données" xfId="612"/>
    <cellStyle name="donnéesbord" xfId="613"/>
    <cellStyle name="Entry 1A" xfId="486"/>
    <cellStyle name="Entry 1A 2" xfId="528"/>
    <cellStyle name="Entry 1A 2 2" xfId="724"/>
    <cellStyle name="Entry 1A 2 2 2" xfId="1333"/>
    <cellStyle name="Entry 1A 2 2 2 2" xfId="1581"/>
    <cellStyle name="Entry 1A 2 2 2 2 2" xfId="2314"/>
    <cellStyle name="Entry 1A 2 2 2 2 3" xfId="2429"/>
    <cellStyle name="Entry 1A 2 2 2 3" xfId="2195"/>
    <cellStyle name="Entry 1A 2 2 3" xfId="1543"/>
    <cellStyle name="Entry 1A 2 2 3 2" xfId="2283"/>
    <cellStyle name="Entry 1A 2 2 3 3" xfId="2391"/>
    <cellStyle name="Entry 1A 2 2 4" xfId="2045"/>
    <cellStyle name="Entry 1A 2 3" xfId="732"/>
    <cellStyle name="Entry 1A 2 3 2" xfId="1549"/>
    <cellStyle name="Entry 1A 2 3 2 2" xfId="2286"/>
    <cellStyle name="Entry 1A 2 3 2 3" xfId="2397"/>
    <cellStyle name="Entry 1A 2 3 3" xfId="2049"/>
    <cellStyle name="Entry 1A 2 4" xfId="1524"/>
    <cellStyle name="Entry 1A 2 4 2" xfId="2269"/>
    <cellStyle name="Entry 1A 2 4 3" xfId="2372"/>
    <cellStyle name="Entry 1A 2 5" xfId="1952"/>
    <cellStyle name="Entry 1A 3" xfId="1933"/>
    <cellStyle name="Entry 1B" xfId="487"/>
    <cellStyle name="Entry 1B 2" xfId="529"/>
    <cellStyle name="Entry 1B 2 2" xfId="725"/>
    <cellStyle name="Entry 1B 2 2 2" xfId="1334"/>
    <cellStyle name="Entry 1B 2 2 2 2" xfId="1582"/>
    <cellStyle name="Entry 1B 2 2 2 2 2" xfId="2315"/>
    <cellStyle name="Entry 1B 2 2 2 2 3" xfId="2430"/>
    <cellStyle name="Entry 1B 2 2 2 3" xfId="2196"/>
    <cellStyle name="Entry 1B 2 2 3" xfId="1544"/>
    <cellStyle name="Entry 1B 2 2 3 2" xfId="2284"/>
    <cellStyle name="Entry 1B 2 2 3 3" xfId="2392"/>
    <cellStyle name="Entry 1B 2 2 4" xfId="2046"/>
    <cellStyle name="Entry 1B 2 3" xfId="731"/>
    <cellStyle name="Entry 1B 2 3 2" xfId="1548"/>
    <cellStyle name="Entry 1B 2 3 2 2" xfId="2285"/>
    <cellStyle name="Entry 1B 2 3 2 3" xfId="2396"/>
    <cellStyle name="Entry 1B 2 3 3" xfId="2048"/>
    <cellStyle name="Entry 1B 2 4" xfId="1525"/>
    <cellStyle name="Entry 1B 2 4 2" xfId="2270"/>
    <cellStyle name="Entry 1B 2 4 3" xfId="2373"/>
    <cellStyle name="Entry 1B 2 5" xfId="1953"/>
    <cellStyle name="Entry 1B 3" xfId="1934"/>
    <cellStyle name="Euro" xfId="614"/>
    <cellStyle name="Euro 2" xfId="1981"/>
    <cellStyle name="Explanatory Text" xfId="17" builtinId="53" customBuiltin="1"/>
    <cellStyle name="Explanatory Text 10" xfId="777"/>
    <cellStyle name="Explanatory Text 10 2" xfId="2078"/>
    <cellStyle name="Explanatory Text 11" xfId="1309"/>
    <cellStyle name="Explanatory Text 11 2" xfId="2174"/>
    <cellStyle name="Explanatory Text 12" xfId="1635"/>
    <cellStyle name="Explanatory Text 2" xfId="206"/>
    <cellStyle name="Explanatory text 2 10" xfId="1253"/>
    <cellStyle name="Explanatory Text 2 11" xfId="1287"/>
    <cellStyle name="Explanatory Text 2 11 2" xfId="2154"/>
    <cellStyle name="Explanatory Text 2 12" xfId="1311"/>
    <cellStyle name="Explanatory Text 2 12 2" xfId="2175"/>
    <cellStyle name="Explanatory Text 2 13" xfId="1745"/>
    <cellStyle name="Explanatory Text 2 14" xfId="2118"/>
    <cellStyle name="Explanatory Text 2 15" xfId="2437"/>
    <cellStyle name="Explanatory Text 2 2" xfId="446"/>
    <cellStyle name="Explanatory Text 2 2 2" xfId="531"/>
    <cellStyle name="Explanatory Text 2 2 3" xfId="1897"/>
    <cellStyle name="Explanatory text 2 3" xfId="488"/>
    <cellStyle name="Explanatory Text 2 3 2" xfId="737"/>
    <cellStyle name="Explanatory Text 2 3 2 2" xfId="2052"/>
    <cellStyle name="Explanatory Text 2 4" xfId="659"/>
    <cellStyle name="Explanatory text 2 4 2" xfId="862"/>
    <cellStyle name="Explanatory Text 2 4 3" xfId="2024"/>
    <cellStyle name="Explanatory Text 2 4 4" xfId="2117"/>
    <cellStyle name="Explanatory Text 2 4 5" xfId="2104"/>
    <cellStyle name="Explanatory Text 2 5" xfId="682"/>
    <cellStyle name="Explanatory Text 2 5 2" xfId="2034"/>
    <cellStyle name="Explanatory Text 2 6" xfId="680"/>
    <cellStyle name="Explanatory Text 2 6 2" xfId="2032"/>
    <cellStyle name="Explanatory text 2 7" xfId="720"/>
    <cellStyle name="Explanatory text 2 8" xfId="726"/>
    <cellStyle name="Explanatory text 2 9" xfId="1251"/>
    <cellStyle name="Explanatory Text 3" xfId="205"/>
    <cellStyle name="Explanatory Text 3 2" xfId="1744"/>
    <cellStyle name="Explanatory Text 4" xfId="594"/>
    <cellStyle name="Explanatory Text 4 2" xfId="1971"/>
    <cellStyle name="Explanatory Text 5" xfId="600"/>
    <cellStyle name="Explanatory Text 5 2" xfId="1972"/>
    <cellStyle name="Explanatory Text 6" xfId="601"/>
    <cellStyle name="Explanatory Text 6 2" xfId="1973"/>
    <cellStyle name="Explanatory Text 7" xfId="774"/>
    <cellStyle name="Explanatory Text 7 2" xfId="2075"/>
    <cellStyle name="Explanatory Text 8" xfId="776"/>
    <cellStyle name="Explanatory Text 8 2" xfId="2077"/>
    <cellStyle name="Explanatory Text 9" xfId="775"/>
    <cellStyle name="Explanatory Text 9 2" xfId="2076"/>
    <cellStyle name="Fixed" xfId="411"/>
    <cellStyle name="Followed Hyperlink" xfId="532" builtinId="9" customBuiltin="1"/>
    <cellStyle name="Followed Hyperlink 2" xfId="489"/>
    <cellStyle name="Followed Hyperlink 2 2" xfId="1935"/>
    <cellStyle name="Followed Hyperlink 3" xfId="870"/>
    <cellStyle name="Followed Hyperlink 3 2" xfId="2084"/>
    <cellStyle name="Followed Hyperlink 4" xfId="1954"/>
    <cellStyle name="Good" xfId="7" builtinId="26" customBuiltin="1"/>
    <cellStyle name="Good 2" xfId="208"/>
    <cellStyle name="Good 2 2" xfId="447"/>
    <cellStyle name="Good 2 2 2" xfId="1898"/>
    <cellStyle name="Good 2 3" xfId="660"/>
    <cellStyle name="Good 2 3 2" xfId="2025"/>
    <cellStyle name="Good 2 4" xfId="1288"/>
    <cellStyle name="Good 2 4 2" xfId="2155"/>
    <cellStyle name="Good 2 5" xfId="1747"/>
    <cellStyle name="Good 3" xfId="209"/>
    <cellStyle name="Good 3 2" xfId="1748"/>
    <cellStyle name="Good 4" xfId="207"/>
    <cellStyle name="Good 4 2" xfId="1746"/>
    <cellStyle name="Good 5" xfId="1625"/>
    <cellStyle name="h0 -Heading" xfId="210"/>
    <cellStyle name="h0 -Heading 2" xfId="211"/>
    <cellStyle name="h0 -Heading 2 2" xfId="1750"/>
    <cellStyle name="h0 -Heading 3" xfId="1749"/>
    <cellStyle name="h1 -Heading" xfId="212"/>
    <cellStyle name="h1 -Heading 2" xfId="213"/>
    <cellStyle name="h1 -Heading 2 2" xfId="1752"/>
    <cellStyle name="h1 -Heading 3" xfId="1751"/>
    <cellStyle name="h2 -Heading" xfId="214"/>
    <cellStyle name="h2 -Heading 2" xfId="215"/>
    <cellStyle name="h2 -Heading 2 2" xfId="1754"/>
    <cellStyle name="h2 -Heading 3" xfId="1753"/>
    <cellStyle name="h3 -Heading" xfId="216"/>
    <cellStyle name="h3 -Heading 2" xfId="217"/>
    <cellStyle name="h3 -Heading 2 2" xfId="1756"/>
    <cellStyle name="h3 -Heading 3" xfId="1755"/>
    <cellStyle name="Heading 1" xfId="3" builtinId="16" customBuiltin="1"/>
    <cellStyle name="Heading 1 2" xfId="219"/>
    <cellStyle name="Heading 1 2 2" xfId="448"/>
    <cellStyle name="Heading 1 2 2 2" xfId="533"/>
    <cellStyle name="Heading 1 2 2 2 2" xfId="1955"/>
    <cellStyle name="Heading 1 2 2 3" xfId="1899"/>
    <cellStyle name="Heading 1 2 3" xfId="490"/>
    <cellStyle name="Heading 1 2 3 2" xfId="738"/>
    <cellStyle name="Heading 1 2 3 2 2" xfId="2053"/>
    <cellStyle name="Heading 1 2 3 3" xfId="1936"/>
    <cellStyle name="Heading 1 2 4" xfId="863"/>
    <cellStyle name="Heading 1 2 4 2" xfId="2082"/>
    <cellStyle name="Heading 1 2 5" xfId="1289"/>
    <cellStyle name="Heading 1 2 5 2" xfId="2156"/>
    <cellStyle name="Heading 1 2 6" xfId="1758"/>
    <cellStyle name="Heading 1 3" xfId="220"/>
    <cellStyle name="Heading 1 3 2" xfId="1759"/>
    <cellStyle name="Heading 1 4" xfId="218"/>
    <cellStyle name="Heading 1 4 2" xfId="1757"/>
    <cellStyle name="Heading 1 5" xfId="412"/>
    <cellStyle name="Heading 1 5 2" xfId="1864"/>
    <cellStyle name="Heading 1 6" xfId="1621"/>
    <cellStyle name="Heading 1-noindex" xfId="491"/>
    <cellStyle name="Heading 1-noindex 2" xfId="534"/>
    <cellStyle name="Heading 1-noindex 2 2" xfId="1956"/>
    <cellStyle name="Heading 1-noindex 3" xfId="1937"/>
    <cellStyle name="Heading 2" xfId="4" builtinId="17" customBuiltin="1"/>
    <cellStyle name="Heading 2 2" xfId="222"/>
    <cellStyle name="Heading 2 2 2" xfId="449"/>
    <cellStyle name="Heading 2 2 2 2" xfId="739"/>
    <cellStyle name="Heading 2 2 2 2 2" xfId="2054"/>
    <cellStyle name="Heading 2 2 2 3" xfId="1900"/>
    <cellStyle name="Heading 2 2 3" xfId="492"/>
    <cellStyle name="Heading 2 2 3 2" xfId="1938"/>
    <cellStyle name="Heading 2 2 4" xfId="1290"/>
    <cellStyle name="Heading 2 2 4 2" xfId="2157"/>
    <cellStyle name="Heading 2 2 5" xfId="1761"/>
    <cellStyle name="Heading 2 3" xfId="223"/>
    <cellStyle name="Heading 2 3 2" xfId="1762"/>
    <cellStyle name="Heading 2 4" xfId="221"/>
    <cellStyle name="Heading 2 4 2" xfId="1760"/>
    <cellStyle name="Heading 2 5" xfId="413"/>
    <cellStyle name="Heading 2 5 2" xfId="1865"/>
    <cellStyle name="Heading 2 6" xfId="1622"/>
    <cellStyle name="Heading 3" xfId="5" builtinId="18" customBuiltin="1"/>
    <cellStyle name="Heading 3 2" xfId="225"/>
    <cellStyle name="Heading 3 2 2" xfId="450"/>
    <cellStyle name="Heading 3 2 2 2" xfId="740"/>
    <cellStyle name="Heading 3 2 2 2 2" xfId="2055"/>
    <cellStyle name="Heading 3 2 2 3" xfId="1901"/>
    <cellStyle name="Heading 3 2 3" xfId="493"/>
    <cellStyle name="Heading 3 2 4" xfId="1291"/>
    <cellStyle name="Heading 3 2 4 2" xfId="2158"/>
    <cellStyle name="Heading 3 2 5" xfId="1764"/>
    <cellStyle name="Heading 3 3" xfId="226"/>
    <cellStyle name="Heading 3 3 2" xfId="1765"/>
    <cellStyle name="Heading 3 4" xfId="224"/>
    <cellStyle name="Heading 3 4 2" xfId="1763"/>
    <cellStyle name="Heading 3 5" xfId="1623"/>
    <cellStyle name="Heading 4" xfId="6" builtinId="19" customBuiltin="1"/>
    <cellStyle name="Heading 4 2" xfId="228"/>
    <cellStyle name="Heading 4 2 2" xfId="451"/>
    <cellStyle name="Heading 4 2 2 2" xfId="741"/>
    <cellStyle name="Heading 4 2 2 2 2" xfId="2056"/>
    <cellStyle name="Heading 4 2 2 3" xfId="1902"/>
    <cellStyle name="Heading 4 2 3" xfId="494"/>
    <cellStyle name="Heading 4 2 3 2" xfId="1939"/>
    <cellStyle name="Heading 4 2 4" xfId="1292"/>
    <cellStyle name="Heading 4 2 4 2" xfId="2159"/>
    <cellStyle name="Heading 4 2 5" xfId="1767"/>
    <cellStyle name="Heading 4 3" xfId="229"/>
    <cellStyle name="Heading 4 3 2" xfId="535"/>
    <cellStyle name="Heading 4 3 2 2" xfId="742"/>
    <cellStyle name="Heading 4 3 2 2 2" xfId="2057"/>
    <cellStyle name="Heading 4 3 2 3" xfId="1957"/>
    <cellStyle name="Heading 4 3 3" xfId="871"/>
    <cellStyle name="Heading 4 3 3 2" xfId="2085"/>
    <cellStyle name="Heading 4 3 4" xfId="1768"/>
    <cellStyle name="Heading 4 4" xfId="227"/>
    <cellStyle name="Heading 4 4 2" xfId="1766"/>
    <cellStyle name="Heading 4 5" xfId="1624"/>
    <cellStyle name="Heavy Box" xfId="495"/>
    <cellStyle name="Heavy Box 2" xfId="537"/>
    <cellStyle name="Heavy Box 2 2" xfId="1958"/>
    <cellStyle name="Heavy Box 3" xfId="536"/>
    <cellStyle name="Heavy Box 4" xfId="1940"/>
    <cellStyle name="hp0 -Hyperlink" xfId="230"/>
    <cellStyle name="hp0 -Hyperlink 2" xfId="1769"/>
    <cellStyle name="hp1 -Hyperlink" xfId="231"/>
    <cellStyle name="hp1 -Hyperlink 2" xfId="1770"/>
    <cellStyle name="hp2 -Hyperlink" xfId="232"/>
    <cellStyle name="hp2 -Hyperlink 2" xfId="1771"/>
    <cellStyle name="hp3 -Hyperlink" xfId="233"/>
    <cellStyle name="hp3 -Hyperlink 2" xfId="1772"/>
    <cellStyle name="Hyperlink" xfId="2440" builtinId="8"/>
    <cellStyle name="Hyperlink 2" xfId="234"/>
    <cellStyle name="Hyperlink 2 2" xfId="235"/>
    <cellStyle name="Hyperlink 2 2 2" xfId="399"/>
    <cellStyle name="Hyperlink 2 2 2 2" xfId="745"/>
    <cellStyle name="Hyperlink 2 2 2 3" xfId="1858"/>
    <cellStyle name="Hyperlink 2 2 3" xfId="539"/>
    <cellStyle name="Hyperlink 2 2 3 2" xfId="1960"/>
    <cellStyle name="Hyperlink 2 3" xfId="395"/>
    <cellStyle name="Hyperlink 2 3 2" xfId="744"/>
    <cellStyle name="Hyperlink 2 3 3" xfId="1857"/>
    <cellStyle name="Hyperlink 2 4" xfId="401"/>
    <cellStyle name="Hyperlink 2 4 2" xfId="864"/>
    <cellStyle name="Hyperlink 2 4 2 2" xfId="2083"/>
    <cellStyle name="Hyperlink 2 4 3" xfId="1859"/>
    <cellStyle name="Hyperlink 2 5" xfId="496"/>
    <cellStyle name="Hyperlink 2 5 2" xfId="1941"/>
    <cellStyle name="Hyperlink 2 6" xfId="627"/>
    <cellStyle name="Hyperlink 2 7" xfId="1293"/>
    <cellStyle name="Hyperlink 2 7 2" xfId="2160"/>
    <cellStyle name="Hyperlink 3" xfId="452"/>
    <cellStyle name="Hyperlink 3 2" xfId="630"/>
    <cellStyle name="Hyperlink 3 2 2" xfId="1995"/>
    <cellStyle name="Hyperlink 3 3" xfId="743"/>
    <cellStyle name="Hyperlink 3 4" xfId="1903"/>
    <cellStyle name="Hyperlink 4" xfId="538"/>
    <cellStyle name="Hyperlink 4 2" xfId="1959"/>
    <cellStyle name="Hyperlink 5" xfId="595"/>
    <cellStyle name="Hyperlink 6" xfId="2256"/>
    <cellStyle name="ic0 -InpComma" xfId="236"/>
    <cellStyle name="ic1 -InpComma" xfId="237"/>
    <cellStyle name="ic2 -InpComma" xfId="238"/>
    <cellStyle name="ic3 -InpComma" xfId="239"/>
    <cellStyle name="ic4 -InpComma" xfId="240"/>
    <cellStyle name="idDMMY -InpDate" xfId="241"/>
    <cellStyle name="idDMMYHM -InpDateTime" xfId="242"/>
    <cellStyle name="idDMY -InpDate" xfId="243"/>
    <cellStyle name="idMDY -InpDate" xfId="244"/>
    <cellStyle name="idMMY -InpDate" xfId="245"/>
    <cellStyle name="if0 -InpFixed" xfId="246"/>
    <cellStyle name="if0b-InpFixedB" xfId="247"/>
    <cellStyle name="if0-InpFixed" xfId="248"/>
    <cellStyle name="iln -InpTableTextNoWrap" xfId="249"/>
    <cellStyle name="ilnb-InpTableTextNoWrapB" xfId="250"/>
    <cellStyle name="ilw -InpTableTextWrap" xfId="251"/>
    <cellStyle name="ilw -InpTableTextWrap 2" xfId="1773"/>
    <cellStyle name="imHM  -InpTime" xfId="252"/>
    <cellStyle name="imHM24+ -InpTime" xfId="253"/>
    <cellStyle name="Input" xfId="10" builtinId="20" customBuiltin="1"/>
    <cellStyle name="Input 2" xfId="255"/>
    <cellStyle name="Input 2 2" xfId="453"/>
    <cellStyle name="Input 2 2 2" xfId="1317"/>
    <cellStyle name="Input 2 2 2 2" xfId="1565"/>
    <cellStyle name="Input 2 2 2 2 2" xfId="2300"/>
    <cellStyle name="Input 2 2 2 2 3" xfId="2413"/>
    <cellStyle name="Input 2 2 2 3" xfId="2181"/>
    <cellStyle name="Input 2 2 2 4" xfId="2339"/>
    <cellStyle name="Input 2 2 3" xfId="1518"/>
    <cellStyle name="Input 2 2 3 2" xfId="2265"/>
    <cellStyle name="Input 2 2 3 3" xfId="2366"/>
    <cellStyle name="Input 2 2 4" xfId="1904"/>
    <cellStyle name="Input 2 2 5" xfId="2229"/>
    <cellStyle name="Input 2 3" xfId="661"/>
    <cellStyle name="Input 2 3 2" xfId="1322"/>
    <cellStyle name="Input 2 3 2 2" xfId="1570"/>
    <cellStyle name="Input 2 3 2 2 2" xfId="2305"/>
    <cellStyle name="Input 2 3 2 2 3" xfId="2418"/>
    <cellStyle name="Input 2 3 2 3" xfId="2186"/>
    <cellStyle name="Input 2 3 2 4" xfId="2344"/>
    <cellStyle name="Input 2 3 3" xfId="1531"/>
    <cellStyle name="Input 2 3 3 2" xfId="2274"/>
    <cellStyle name="Input 2 3 3 3" xfId="2379"/>
    <cellStyle name="Input 2 3 4" xfId="2026"/>
    <cellStyle name="Input 2 3 5" xfId="2322"/>
    <cellStyle name="Input 2 4" xfId="683"/>
    <cellStyle name="Input 2 4 2" xfId="1327"/>
    <cellStyle name="Input 2 4 2 2" xfId="1575"/>
    <cellStyle name="Input 2 4 2 2 2" xfId="2310"/>
    <cellStyle name="Input 2 4 2 2 3" xfId="2423"/>
    <cellStyle name="Input 2 4 2 3" xfId="2191"/>
    <cellStyle name="Input 2 4 2 4" xfId="2349"/>
    <cellStyle name="Input 2 4 3" xfId="1536"/>
    <cellStyle name="Input 2 4 3 2" xfId="2279"/>
    <cellStyle name="Input 2 4 3 3" xfId="2384"/>
    <cellStyle name="Input 2 4 4" xfId="2035"/>
    <cellStyle name="Input 2 4 5" xfId="2079"/>
    <cellStyle name="Input 2 5" xfId="1294"/>
    <cellStyle name="Input 2 5 2" xfId="1559"/>
    <cellStyle name="Input 2 5 2 2" xfId="2294"/>
    <cellStyle name="Input 2 5 2 3" xfId="2407"/>
    <cellStyle name="Input 2 5 3" xfId="2161"/>
    <cellStyle name="Input 2 5 4" xfId="2333"/>
    <cellStyle name="Input 2 6" xfId="1775"/>
    <cellStyle name="Input 3" xfId="256"/>
    <cellStyle name="Input 3 2" xfId="1776"/>
    <cellStyle name="Input 4" xfId="254"/>
    <cellStyle name="Input 4 2" xfId="746"/>
    <cellStyle name="Input 4 2 2" xfId="1551"/>
    <cellStyle name="Input 4 2 2 2" xfId="2288"/>
    <cellStyle name="Input 4 2 2 3" xfId="2399"/>
    <cellStyle name="Input 4 2 3" xfId="2058"/>
    <cellStyle name="Input 4 2 4" xfId="2102"/>
    <cellStyle name="Input 4 3" xfId="1511"/>
    <cellStyle name="Input 4 3 2" xfId="2258"/>
    <cellStyle name="Input 4 3 3" xfId="2359"/>
    <cellStyle name="Input 4 4" xfId="1774"/>
    <cellStyle name="Input 4 5" xfId="1806"/>
    <cellStyle name="Input 5" xfId="1628"/>
    <cellStyle name="ip0 -InpPercent" xfId="257"/>
    <cellStyle name="ip1 -InpPercent" xfId="258"/>
    <cellStyle name="ip2 -InpPercent" xfId="259"/>
    <cellStyle name="ip3 -InpPercent" xfId="260"/>
    <cellStyle name="ir0 -InpCurr" xfId="261"/>
    <cellStyle name="ir1 -InpCurr" xfId="262"/>
    <cellStyle name="ir2 -InpCurr" xfId="263"/>
    <cellStyle name="ir3 -InpCurr" xfId="264"/>
    <cellStyle name="ir4 -InpCurr" xfId="265"/>
    <cellStyle name="is0 -InpSideText" xfId="266"/>
    <cellStyle name="is1 -InpSideText" xfId="267"/>
    <cellStyle name="is2 -InpSideText" xfId="268"/>
    <cellStyle name="is3 -InpSideText" xfId="269"/>
    <cellStyle name="is4 -InpSideText" xfId="270"/>
    <cellStyle name="itn -InpTopTextNoWrap" xfId="271"/>
    <cellStyle name="itw -InpTopTextWrap" xfId="272"/>
    <cellStyle name="Label 1" xfId="497"/>
    <cellStyle name="Label 1 2" xfId="541"/>
    <cellStyle name="Label 2a" xfId="498"/>
    <cellStyle name="Label 2a 2" xfId="543"/>
    <cellStyle name="Label 2a centre" xfId="499"/>
    <cellStyle name="Label 2a centre 2" xfId="545"/>
    <cellStyle name="Label 2a centre 2 2" xfId="1961"/>
    <cellStyle name="Label 2a centre 3" xfId="1942"/>
    <cellStyle name="Label 2a merge" xfId="500"/>
    <cellStyle name="Label 2a merge 2" xfId="1943"/>
    <cellStyle name="Label 2b" xfId="501"/>
    <cellStyle name="Label 2b merged" xfId="502"/>
    <cellStyle name="Link" xfId="503"/>
    <cellStyle name="Link 2" xfId="547"/>
    <cellStyle name="Link 2 2" xfId="1962"/>
    <cellStyle name="Link 3" xfId="546"/>
    <cellStyle name="Link 4" xfId="1944"/>
    <cellStyle name="Linked Cell" xfId="13" builtinId="24" customBuiltin="1"/>
    <cellStyle name="Linked Cell 2" xfId="274"/>
    <cellStyle name="Linked Cell 2 2" xfId="454"/>
    <cellStyle name="Linked Cell 2 2 2" xfId="902"/>
    <cellStyle name="Linked Cell 2 2 2 2" xfId="2087"/>
    <cellStyle name="Linked Cell 2 2 3" xfId="1905"/>
    <cellStyle name="Linked Cell 2 3" xfId="1295"/>
    <cellStyle name="Linked Cell 2 3 2" xfId="2162"/>
    <cellStyle name="Linked Cell 2 4" xfId="1778"/>
    <cellStyle name="Linked Cell 3" xfId="275"/>
    <cellStyle name="Linked Cell 3 2" xfId="1779"/>
    <cellStyle name="Linked Cell 4" xfId="273"/>
    <cellStyle name="Linked Cell 4 2" xfId="1777"/>
    <cellStyle name="Linked Cell 5" xfId="1631"/>
    <cellStyle name="ltn -TableTextNoWrap" xfId="276"/>
    <cellStyle name="ltn -TableTextNoWrap 2" xfId="277"/>
    <cellStyle name="ltw -TableTextWrap" xfId="278"/>
    <cellStyle name="ltw -TableTextWrap 2" xfId="279"/>
    <cellStyle name="ltw -TableTextWrap 2 2" xfId="1781"/>
    <cellStyle name="ltw -TableTextWrap 3" xfId="1780"/>
    <cellStyle name="mmm" xfId="615"/>
    <cellStyle name="Neutral" xfId="9" builtinId="28" customBuiltin="1"/>
    <cellStyle name="Neutral 2" xfId="281"/>
    <cellStyle name="Neutral 2 2" xfId="455"/>
    <cellStyle name="Neutral 2 2 2" xfId="1906"/>
    <cellStyle name="Neutral 2 3" xfId="662"/>
    <cellStyle name="Neutral 2 3 2" xfId="2027"/>
    <cellStyle name="Neutral 2 4" xfId="1296"/>
    <cellStyle name="Neutral 2 4 2" xfId="2163"/>
    <cellStyle name="Neutral 2 5" xfId="1783"/>
    <cellStyle name="Neutral 3" xfId="282"/>
    <cellStyle name="Neutral 3 2" xfId="1784"/>
    <cellStyle name="Neutral 4" xfId="280"/>
    <cellStyle name="Neutral 4 2" xfId="1782"/>
    <cellStyle name="Neutral 5" xfId="1627"/>
    <cellStyle name="Normal" xfId="0" builtinId="0"/>
    <cellStyle name="Normal - Style1" xfId="616"/>
    <cellStyle name="Normal - Style1 2" xfId="1982"/>
    <cellStyle name="Normal 10" xfId="283"/>
    <cellStyle name="Normal 10 2" xfId="456"/>
    <cellStyle name="Normal 10 2 2" xfId="631"/>
    <cellStyle name="Normal 10 2 2 2" xfId="914"/>
    <cellStyle name="Normal 10 2 2 2 2" xfId="2096"/>
    <cellStyle name="Normal 10 2 2 3" xfId="1996"/>
    <cellStyle name="Normal 10 2 3" xfId="766"/>
    <cellStyle name="Normal 10 2 3 2" xfId="2069"/>
    <cellStyle name="Normal 10 2 4" xfId="1907"/>
    <cellStyle name="Normal 10 3" xfId="903"/>
    <cellStyle name="Normal 10 3 2" xfId="2088"/>
    <cellStyle name="Normal 10 4" xfId="1427"/>
    <cellStyle name="Normal 10 4 2" xfId="1489"/>
    <cellStyle name="Normal 10 4 2 2" xfId="2250"/>
    <cellStyle name="Normal 10 4 3" xfId="1458"/>
    <cellStyle name="Normal 10 4 3 2" xfId="2236"/>
    <cellStyle name="Normal 10 4 4" xfId="2220"/>
    <cellStyle name="Normal 10 5" xfId="1785"/>
    <cellStyle name="Normal 10_LCI updated" xfId="672"/>
    <cellStyle name="Normal 11" xfId="284"/>
    <cellStyle name="Normal 11 2" xfId="457"/>
    <cellStyle name="Normal 11 2 2" xfId="915"/>
    <cellStyle name="Normal 11 2 2 2" xfId="2097"/>
    <cellStyle name="Normal 11 2 3" xfId="767"/>
    <cellStyle name="Normal 11 2 3 2" xfId="2070"/>
    <cellStyle name="Normal 11 2 4" xfId="1908"/>
    <cellStyle name="Normal 11 3" xfId="904"/>
    <cellStyle name="Normal 11 3 2" xfId="2089"/>
    <cellStyle name="Normal 11 4" xfId="1428"/>
    <cellStyle name="Normal 11 4 2" xfId="1490"/>
    <cellStyle name="Normal 11 4 2 2" xfId="2251"/>
    <cellStyle name="Normal 11 4 3" xfId="1459"/>
    <cellStyle name="Normal 11 4 3 2" xfId="2237"/>
    <cellStyle name="Normal 11 4 4" xfId="2221"/>
    <cellStyle name="Normal 11 5" xfId="1786"/>
    <cellStyle name="Normal 11_LCI updated" xfId="673"/>
    <cellStyle name="Normal 12" xfId="285"/>
    <cellStyle name="Normal 12 2" xfId="458"/>
    <cellStyle name="Normal 12 2 2" xfId="916"/>
    <cellStyle name="Normal 12 2 2 2" xfId="2098"/>
    <cellStyle name="Normal 12 2 3" xfId="768"/>
    <cellStyle name="Normal 12 2 3 2" xfId="2071"/>
    <cellStyle name="Normal 12 2 4" xfId="1909"/>
    <cellStyle name="Normal 12 3" xfId="905"/>
    <cellStyle name="Normal 12 3 2" xfId="2090"/>
    <cellStyle name="Normal 12 4" xfId="1429"/>
    <cellStyle name="Normal 12 4 2" xfId="1491"/>
    <cellStyle name="Normal 12 4 2 2" xfId="2252"/>
    <cellStyle name="Normal 12 4 3" xfId="1460"/>
    <cellStyle name="Normal 12 4 3 2" xfId="2238"/>
    <cellStyle name="Normal 12 4 4" xfId="2222"/>
    <cellStyle name="Normal 12 5" xfId="1787"/>
    <cellStyle name="Normal 13" xfId="286"/>
    <cellStyle name="Normal 13 2" xfId="629"/>
    <cellStyle name="Normal 13 2 2" xfId="917"/>
    <cellStyle name="Normal 13 2 2 2" xfId="2099"/>
    <cellStyle name="Normal 13 2 3" xfId="769"/>
    <cellStyle name="Normal 13 2 3 2" xfId="2072"/>
    <cellStyle name="Normal 13 2 4" xfId="1994"/>
    <cellStyle name="Normal 13 3" xfId="906"/>
    <cellStyle name="Normal 13 3 2" xfId="2091"/>
    <cellStyle name="Normal 13 4" xfId="1430"/>
    <cellStyle name="Normal 13 4 2" xfId="1492"/>
    <cellStyle name="Normal 13 4 2 2" xfId="2253"/>
    <cellStyle name="Normal 13 4 3" xfId="1461"/>
    <cellStyle name="Normal 13 4 3 2" xfId="2239"/>
    <cellStyle name="Normal 13 4 4" xfId="2223"/>
    <cellStyle name="Normal 13 5" xfId="1788"/>
    <cellStyle name="Normal 14" xfId="287"/>
    <cellStyle name="Normal 14 2" xfId="770"/>
    <cellStyle name="Normal 14 2 2" xfId="918"/>
    <cellStyle name="Normal 14 2 2 2" xfId="2100"/>
    <cellStyle name="Normal 14 2 3" xfId="2073"/>
    <cellStyle name="Normal 14 3" xfId="907"/>
    <cellStyle name="Normal 14 3 2" xfId="2092"/>
    <cellStyle name="Normal 14 4" xfId="1431"/>
    <cellStyle name="Normal 14 4 2" xfId="1493"/>
    <cellStyle name="Normal 14 4 2 2" xfId="2254"/>
    <cellStyle name="Normal 14 4 3" xfId="1462"/>
    <cellStyle name="Normal 14 4 3 2" xfId="2240"/>
    <cellStyle name="Normal 14 4 4" xfId="2224"/>
    <cellStyle name="Normal 14 5" xfId="1789"/>
    <cellStyle name="Normal 15" xfId="43"/>
    <cellStyle name="Normal 15 2" xfId="606"/>
    <cellStyle name="Normal 15 2 2" xfId="911"/>
    <cellStyle name="Normal 15 2 2 2" xfId="2095"/>
    <cellStyle name="Normal 15 2 3" xfId="1976"/>
    <cellStyle name="Normal 15 3" xfId="1661"/>
    <cellStyle name="Normal 16" xfId="386"/>
    <cellStyle name="Normal 16 2" xfId="765"/>
    <cellStyle name="Normal 16 2 2" xfId="2068"/>
    <cellStyle name="Normal 16 3" xfId="1855"/>
    <cellStyle name="Normal 17" xfId="687"/>
    <cellStyle name="Normal 17 2" xfId="859"/>
    <cellStyle name="Normal 17 2 2" xfId="2080"/>
    <cellStyle name="Normal 17 3" xfId="1486"/>
    <cellStyle name="Normal 17 3 2" xfId="2249"/>
    <cellStyle name="Normal 17 4" xfId="1440"/>
    <cellStyle name="Normal 17 4 2" xfId="2227"/>
    <cellStyle name="Normal 17 5" xfId="2039"/>
    <cellStyle name="Normal 18" xfId="691"/>
    <cellStyle name="Normal 18 2" xfId="1248"/>
    <cellStyle name="Normal 18 2 2" xfId="2119"/>
    <cellStyle name="Normal 18 3" xfId="2040"/>
    <cellStyle name="Normal 19" xfId="705"/>
    <cellStyle name="Normal 19 2" xfId="1471"/>
    <cellStyle name="Normal 19 2 2" xfId="2244"/>
    <cellStyle name="Normal 19 3" xfId="1444"/>
    <cellStyle name="Normal 19 3 2" xfId="2230"/>
    <cellStyle name="Normal 19 4" xfId="2042"/>
    <cellStyle name="Normal 2" xfId="288"/>
    <cellStyle name="Normal 2 10" xfId="415"/>
    <cellStyle name="Normal 2 10 2" xfId="860"/>
    <cellStyle name="Normal 2 10 2 2" xfId="2081"/>
    <cellStyle name="Normal 2 10 3" xfId="1867"/>
    <cellStyle name="Normal 2 11" xfId="459"/>
    <cellStyle name="Normal 2 11 2" xfId="1910"/>
    <cellStyle name="Normal 2 12" xfId="475"/>
    <cellStyle name="Normal 2 12 2" xfId="1926"/>
    <cellStyle name="Normal 2 2" xfId="289"/>
    <cellStyle name="Normal 2 2 2" xfId="290"/>
    <cellStyle name="Normal 2 2 3" xfId="291"/>
    <cellStyle name="Normal 2 2 4" xfId="292"/>
    <cellStyle name="Normal 2 2 5" xfId="293"/>
    <cellStyle name="Normal 2 2 6" xfId="294"/>
    <cellStyle name="Normal 2 2 6 2" xfId="1791"/>
    <cellStyle name="Normal 2 2 7" xfId="405"/>
    <cellStyle name="Normal 2 2 7 2" xfId="748"/>
    <cellStyle name="Normal 2 2 7 2 2" xfId="2059"/>
    <cellStyle name="Normal 2 2 7 3" xfId="1860"/>
    <cellStyle name="Normal 2 2 8" xfId="1790"/>
    <cellStyle name="Normal 2 2_EDB010" xfId="295"/>
    <cellStyle name="Normal 2 3" xfId="296"/>
    <cellStyle name="Normal 2 3 2" xfId="297"/>
    <cellStyle name="Normal 2 3 2 2" xfId="1792"/>
    <cellStyle name="Normal 2 3 3" xfId="1297"/>
    <cellStyle name="Normal 2 3 3 2" xfId="2164"/>
    <cellStyle name="Normal 2 4" xfId="298"/>
    <cellStyle name="Normal 2 4 2" xfId="1793"/>
    <cellStyle name="Normal 2 5" xfId="299"/>
    <cellStyle name="Normal 2 5 2" xfId="1794"/>
    <cellStyle name="Normal 2 6" xfId="300"/>
    <cellStyle name="Normal 2 6 2" xfId="1795"/>
    <cellStyle name="Normal 2 7" xfId="301"/>
    <cellStyle name="Normal 2 8" xfId="302"/>
    <cellStyle name="Normal 2 9" xfId="406"/>
    <cellStyle name="Normal 2 9 2" xfId="747"/>
    <cellStyle name="Normal 2 9 3" xfId="1861"/>
    <cellStyle name="Normal 2_LCI updated" xfId="674"/>
    <cellStyle name="Normal 20" xfId="1314"/>
    <cellStyle name="Normal 20 2" xfId="2178"/>
    <cellStyle name="Normal 21" xfId="1338"/>
    <cellStyle name="Normal 21 2" xfId="1467"/>
    <cellStyle name="Normal 21 2 2" xfId="2243"/>
    <cellStyle name="Normal 21 3" xfId="1447"/>
    <cellStyle name="Normal 21 3 2" xfId="2232"/>
    <cellStyle name="Normal 21 4" xfId="2197"/>
    <cellStyle name="Normal 22" xfId="1347"/>
    <cellStyle name="Normal 22 2" xfId="1483"/>
    <cellStyle name="Normal 22 2 2" xfId="2248"/>
    <cellStyle name="Normal 22 3" xfId="1452"/>
    <cellStyle name="Normal 22 3 2" xfId="2233"/>
    <cellStyle name="Normal 22 4" xfId="2202"/>
    <cellStyle name="Normal 23" xfId="1349"/>
    <cellStyle name="Normal 23 2" xfId="1477"/>
    <cellStyle name="Normal 23 2 2" xfId="2246"/>
    <cellStyle name="Normal 23 3" xfId="1454"/>
    <cellStyle name="Normal 23 3 2" xfId="2234"/>
    <cellStyle name="Normal 23 4" xfId="2203"/>
    <cellStyle name="Normal 24" xfId="1354"/>
    <cellStyle name="Normal 24 2" xfId="2204"/>
    <cellStyle name="Normal 25" xfId="1372"/>
    <cellStyle name="Normal 25 2" xfId="2205"/>
    <cellStyle name="Normal 26" xfId="1375"/>
    <cellStyle name="Normal 26 2" xfId="2206"/>
    <cellStyle name="Normal 27" xfId="1377"/>
    <cellStyle name="Normal 27 2" xfId="2207"/>
    <cellStyle name="Normal 28" xfId="1379"/>
    <cellStyle name="Normal 28 2" xfId="2208"/>
    <cellStyle name="Normal 29" xfId="1381"/>
    <cellStyle name="Normal 29 2" xfId="2209"/>
    <cellStyle name="Normal 3" xfId="303"/>
    <cellStyle name="Normal 3 10" xfId="1343"/>
    <cellStyle name="Normal 3 10 2" xfId="2199"/>
    <cellStyle name="Normal 3 11" xfId="1594"/>
    <cellStyle name="Normal 3 11 2" xfId="2323"/>
    <cellStyle name="Normal 3 12" xfId="1796"/>
    <cellStyle name="Normal 3 2" xfId="304"/>
    <cellStyle name="Normal 3 2 2" xfId="305"/>
    <cellStyle name="Normal 3 2 2 2" xfId="1798"/>
    <cellStyle name="Normal 3 2 3" xfId="306"/>
    <cellStyle name="Normal 3 2 3 2" xfId="1799"/>
    <cellStyle name="Normal 3 2 4" xfId="604"/>
    <cellStyle name="Normal 3 2 4 2" xfId="1974"/>
    <cellStyle name="Normal 3 2 5" xfId="1797"/>
    <cellStyle name="Normal 3 3" xfId="307"/>
    <cellStyle name="Normal 3 3 2" xfId="618"/>
    <cellStyle name="Normal 3 3 2 2" xfId="1984"/>
    <cellStyle name="Normal 3 3 3" xfId="617"/>
    <cellStyle name="Normal 3 3 3 2" xfId="1983"/>
    <cellStyle name="Normal 3 3 4" xfId="1800"/>
    <cellStyle name="Normal 3 3_output data 08 to 10" xfId="670"/>
    <cellStyle name="Normal 3 4" xfId="308"/>
    <cellStyle name="Normal 3 4 2" xfId="1801"/>
    <cellStyle name="Normal 3 5" xfId="309"/>
    <cellStyle name="Normal 3 5 2" xfId="1802"/>
    <cellStyle name="Normal 3 6" xfId="460"/>
    <cellStyle name="Normal 3 6 2" xfId="749"/>
    <cellStyle name="Normal 3 6 2 2" xfId="2060"/>
    <cellStyle name="Normal 3 6 3" xfId="1911"/>
    <cellStyle name="Normal 3 7" xfId="1298"/>
    <cellStyle name="Normal 3 7 2" xfId="2165"/>
    <cellStyle name="Normal 3 8" xfId="1312"/>
    <cellStyle name="Normal 3 8 2" xfId="2176"/>
    <cellStyle name="Normal 3 9" xfId="1308"/>
    <cellStyle name="Normal 3 9 2" xfId="2173"/>
    <cellStyle name="Normal 3_LCI updated" xfId="675"/>
    <cellStyle name="Normal 30" xfId="619"/>
    <cellStyle name="Normal 30 2" xfId="1985"/>
    <cellStyle name="Normal 31" xfId="620"/>
    <cellStyle name="Normal 31 2" xfId="1986"/>
    <cellStyle name="Normal 32" xfId="1383"/>
    <cellStyle name="Normal 32 2" xfId="2210"/>
    <cellStyle name="Normal 33" xfId="1385"/>
    <cellStyle name="Normal 33 2" xfId="2211"/>
    <cellStyle name="Normal 34" xfId="1387"/>
    <cellStyle name="Normal 34 2" xfId="2212"/>
    <cellStyle name="Normal 35" xfId="1389"/>
    <cellStyle name="Normal 35 2" xfId="2213"/>
    <cellStyle name="Normal 36" xfId="1391"/>
    <cellStyle name="Normal 36 2" xfId="2214"/>
    <cellStyle name="Normal 37" xfId="1393"/>
    <cellStyle name="Normal 37 2" xfId="2215"/>
    <cellStyle name="Normal 38" xfId="1394"/>
    <cellStyle name="Normal 38 2" xfId="2216"/>
    <cellStyle name="Normal 39" xfId="1395"/>
    <cellStyle name="Normal 39 2" xfId="1476"/>
    <cellStyle name="Normal 39 2 2" xfId="2245"/>
    <cellStyle name="Normal 39 3" xfId="1456"/>
    <cellStyle name="Normal 39 3 2" xfId="2235"/>
    <cellStyle name="Normal 39 4" xfId="2217"/>
    <cellStyle name="Normal 4" xfId="310"/>
    <cellStyle name="Normal 4 10" xfId="1345"/>
    <cellStyle name="Normal 4 10 2" xfId="2201"/>
    <cellStyle name="Normal 4 2" xfId="311"/>
    <cellStyle name="Normal 4 2 2" xfId="312"/>
    <cellStyle name="Normal 4 2 2 2" xfId="1804"/>
    <cellStyle name="Normal 4 2 3" xfId="313"/>
    <cellStyle name="Normal 4 2 4" xfId="314"/>
    <cellStyle name="Normal 4 2 4 2" xfId="1805"/>
    <cellStyle name="Normal 4 2 5" xfId="462"/>
    <cellStyle name="Normal 4 2 5 2" xfId="1913"/>
    <cellStyle name="Normal 4 2 6" xfId="1803"/>
    <cellStyle name="Normal 4 2_output data 08 to 10" xfId="667"/>
    <cellStyle name="Normal 4 3" xfId="315"/>
    <cellStyle name="Normal 4 3 2" xfId="621"/>
    <cellStyle name="Normal 4 3 2 2" xfId="1987"/>
    <cellStyle name="Normal 4 4" xfId="461"/>
    <cellStyle name="Normal 4 4 2" xfId="750"/>
    <cellStyle name="Normal 4 4 3" xfId="1912"/>
    <cellStyle name="Normal 4 5" xfId="1299"/>
    <cellStyle name="Normal 4 5 2" xfId="2166"/>
    <cellStyle name="Normal 4 6" xfId="1313"/>
    <cellStyle name="Normal 4 6 2" xfId="2177"/>
    <cellStyle name="Normal 4 7" xfId="1307"/>
    <cellStyle name="Normal 4 7 2" xfId="2172"/>
    <cellStyle name="Normal 4 8" xfId="1344"/>
    <cellStyle name="Normal 4 8 2" xfId="2200"/>
    <cellStyle name="Normal 4 9" xfId="1339"/>
    <cellStyle name="Normal 4 9 2" xfId="2198"/>
    <cellStyle name="Normal 4_LCI updated" xfId="676"/>
    <cellStyle name="Normal 40" xfId="1589"/>
    <cellStyle name="Normal 40 2" xfId="2320"/>
    <cellStyle name="Normal 41" xfId="1599"/>
    <cellStyle name="Normal 41 2" xfId="2325"/>
    <cellStyle name="Normal 42" xfId="1605"/>
    <cellStyle name="Normal 42 2" xfId="2326"/>
    <cellStyle name="Normal 43" xfId="1607"/>
    <cellStyle name="Normal 43 2" xfId="2327"/>
    <cellStyle name="Normal 44" xfId="1609"/>
    <cellStyle name="Normal 44 2" xfId="2328"/>
    <cellStyle name="Normal 45" xfId="1613"/>
    <cellStyle name="Normal 45 2" xfId="2329"/>
    <cellStyle name="Normal 46" xfId="1615"/>
    <cellStyle name="Normal 46 2" xfId="2330"/>
    <cellStyle name="Normal 47" xfId="1617"/>
    <cellStyle name="Normal 47 2" xfId="2331"/>
    <cellStyle name="Normal 48" xfId="1619"/>
    <cellStyle name="Normal 49" xfId="1948"/>
    <cellStyle name="Normal 5" xfId="316"/>
    <cellStyle name="Normal 5 2" xfId="317"/>
    <cellStyle name="Normal 5 2 2" xfId="464"/>
    <cellStyle name="Normal 5 2 2 2" xfId="1915"/>
    <cellStyle name="Normal 5 3" xfId="463"/>
    <cellStyle name="Normal 5 3 2" xfId="607"/>
    <cellStyle name="Normal 5 3 2 2" xfId="1977"/>
    <cellStyle name="Normal 5 3 3" xfId="751"/>
    <cellStyle name="Normal 5 3 4" xfId="1914"/>
    <cellStyle name="Normal 5 4" xfId="1300"/>
    <cellStyle name="Normal 5 4 2" xfId="2167"/>
    <cellStyle name="Normal 5_LCI updated" xfId="677"/>
    <cellStyle name="Normal 50" xfId="2041"/>
    <cellStyle name="Normal 6" xfId="318"/>
    <cellStyle name="Normal 6 2" xfId="319"/>
    <cellStyle name="Normal 6 2 2" xfId="466"/>
    <cellStyle name="Normal 6 2 2 2" xfId="1917"/>
    <cellStyle name="Normal 6 2 3" xfId="1808"/>
    <cellStyle name="Normal 6 3" xfId="465"/>
    <cellStyle name="Normal 6 3 2" xfId="1916"/>
    <cellStyle name="Normal 6 4" xfId="1258"/>
    <cellStyle name="Normal 6 4 2" xfId="2125"/>
    <cellStyle name="Normal 6 5" xfId="1597"/>
    <cellStyle name="Normal 6 5 2" xfId="2324"/>
    <cellStyle name="Normal 6 6" xfId="1807"/>
    <cellStyle name="Normal 6_LCI updated" xfId="678"/>
    <cellStyle name="Normal 7" xfId="320"/>
    <cellStyle name="Normal 7 2" xfId="321"/>
    <cellStyle name="Normal 7 2 2" xfId="322"/>
    <cellStyle name="Normal 7 2 2 2" xfId="1811"/>
    <cellStyle name="Normal 7 2 3" xfId="468"/>
    <cellStyle name="Normal 7 2 3 2" xfId="1919"/>
    <cellStyle name="Normal 7 2 4" xfId="1810"/>
    <cellStyle name="Normal 7 3" xfId="323"/>
    <cellStyle name="Normal 7 3 2" xfId="469"/>
    <cellStyle name="Normal 7 3 2 2" xfId="1920"/>
    <cellStyle name="Normal 7 3 3" xfId="1812"/>
    <cellStyle name="Normal 7 4" xfId="324"/>
    <cellStyle name="Normal 7 4 2" xfId="1813"/>
    <cellStyle name="Normal 7 5" xfId="325"/>
    <cellStyle name="Normal 7 5 2" xfId="1814"/>
    <cellStyle name="Normal 7 6" xfId="467"/>
    <cellStyle name="Normal 7 6 2" xfId="1918"/>
    <cellStyle name="Normal 7 7" xfId="1809"/>
    <cellStyle name="Normal 7_LCI updated" xfId="679"/>
    <cellStyle name="Normal 8" xfId="326"/>
    <cellStyle name="Normal 8 2" xfId="327"/>
    <cellStyle name="Normal 8 2 2" xfId="1816"/>
    <cellStyle name="Normal 8 3" xfId="328"/>
    <cellStyle name="Normal 8 3 2" xfId="771"/>
    <cellStyle name="Normal 8 3 2 2" xfId="919"/>
    <cellStyle name="Normal 8 3 2 2 2" xfId="2101"/>
    <cellStyle name="Normal 8 3 2 3" xfId="2074"/>
    <cellStyle name="Normal 8 3 3" xfId="908"/>
    <cellStyle name="Normal 8 3 3 2" xfId="2093"/>
    <cellStyle name="Normal 8 3 4" xfId="1432"/>
    <cellStyle name="Normal 8 3 4 2" xfId="1494"/>
    <cellStyle name="Normal 8 3 4 2 2" xfId="2255"/>
    <cellStyle name="Normal 8 3 4 3" xfId="1463"/>
    <cellStyle name="Normal 8 3 4 3 2" xfId="2241"/>
    <cellStyle name="Normal 8 3 4 4" xfId="2225"/>
    <cellStyle name="Normal 8 3 5" xfId="1817"/>
    <cellStyle name="Normal 8 4" xfId="470"/>
    <cellStyle name="Normal 8 4 2" xfId="752"/>
    <cellStyle name="Normal 8 4 2 2" xfId="2061"/>
    <cellStyle name="Normal 8 4 3" xfId="1921"/>
    <cellStyle name="Normal 8 5" xfId="548"/>
    <cellStyle name="Normal 8 5 2" xfId="1963"/>
    <cellStyle name="Normal 8 6" xfId="1815"/>
    <cellStyle name="Normal 9" xfId="329"/>
    <cellStyle name="Normal 9 2" xfId="1818"/>
    <cellStyle name="Normal_RawData_1 2" xfId="718"/>
    <cellStyle name="Normal_Sheet1" xfId="2441"/>
    <cellStyle name="Note" xfId="16" builtinId="10" customBuiltin="1"/>
    <cellStyle name="Note 2" xfId="331"/>
    <cellStyle name="Note 2 2" xfId="471"/>
    <cellStyle name="Note 2 2 2" xfId="1318"/>
    <cellStyle name="Note 2 2 2 2" xfId="1566"/>
    <cellStyle name="Note 2 2 2 2 2" xfId="2301"/>
    <cellStyle name="Note 2 2 2 2 3" xfId="2414"/>
    <cellStyle name="Note 2 2 2 3" xfId="2182"/>
    <cellStyle name="Note 2 2 2 4" xfId="2340"/>
    <cellStyle name="Note 2 2 3" xfId="1519"/>
    <cellStyle name="Note 2 2 3 2" xfId="2266"/>
    <cellStyle name="Note 2 2 3 3" xfId="2367"/>
    <cellStyle name="Note 2 2 4" xfId="1922"/>
    <cellStyle name="Note 2 2 5" xfId="2108"/>
    <cellStyle name="Note 2 3" xfId="663"/>
    <cellStyle name="Note 2 3 2" xfId="1323"/>
    <cellStyle name="Note 2 3 2 2" xfId="1571"/>
    <cellStyle name="Note 2 3 2 2 2" xfId="2306"/>
    <cellStyle name="Note 2 3 2 2 3" xfId="2419"/>
    <cellStyle name="Note 2 3 2 3" xfId="2187"/>
    <cellStyle name="Note 2 3 2 4" xfId="2345"/>
    <cellStyle name="Note 2 3 3" xfId="1532"/>
    <cellStyle name="Note 2 3 3 2" xfId="2275"/>
    <cellStyle name="Note 2 3 3 3" xfId="2380"/>
    <cellStyle name="Note 2 3 4" xfId="2028"/>
    <cellStyle name="Note 2 3 5" xfId="2153"/>
    <cellStyle name="Note 2 4" xfId="684"/>
    <cellStyle name="Note 2 4 2" xfId="1328"/>
    <cellStyle name="Note 2 4 2 2" xfId="1576"/>
    <cellStyle name="Note 2 4 2 2 2" xfId="2311"/>
    <cellStyle name="Note 2 4 2 2 3" xfId="2424"/>
    <cellStyle name="Note 2 4 2 3" xfId="2192"/>
    <cellStyle name="Note 2 4 2 4" xfId="2350"/>
    <cellStyle name="Note 2 4 3" xfId="1537"/>
    <cellStyle name="Note 2 4 3 2" xfId="2280"/>
    <cellStyle name="Note 2 4 3 3" xfId="2385"/>
    <cellStyle name="Note 2 4 4" xfId="2036"/>
    <cellStyle name="Note 2 4 5" xfId="2051"/>
    <cellStyle name="Note 2 5" xfId="1301"/>
    <cellStyle name="Note 2 5 2" xfId="1560"/>
    <cellStyle name="Note 2 5 2 2" xfId="2295"/>
    <cellStyle name="Note 2 5 2 3" xfId="2408"/>
    <cellStyle name="Note 2 5 3" xfId="2168"/>
    <cellStyle name="Note 2 5 4" xfId="2334"/>
    <cellStyle name="Note 2 6" xfId="1820"/>
    <cellStyle name="Note 3" xfId="332"/>
    <cellStyle name="Note 3 2" xfId="909"/>
    <cellStyle name="Note 3 2 2" xfId="2094"/>
    <cellStyle name="Note 3 3" xfId="1821"/>
    <cellStyle name="Note 4" xfId="330"/>
    <cellStyle name="Note 4 2" xfId="754"/>
    <cellStyle name="Note 4 2 2" xfId="1553"/>
    <cellStyle name="Note 4 2 2 2" xfId="2289"/>
    <cellStyle name="Note 4 2 2 3" xfId="2401"/>
    <cellStyle name="Note 4 2 3" xfId="2062"/>
    <cellStyle name="Note 4 2 4" xfId="1741"/>
    <cellStyle name="Note 4 3" xfId="1512"/>
    <cellStyle name="Note 4 3 2" xfId="2259"/>
    <cellStyle name="Note 4 3 3" xfId="2360"/>
    <cellStyle name="Note 4 4" xfId="1819"/>
    <cellStyle name="Note 4 5" xfId="1980"/>
    <cellStyle name="Note 5" xfId="416"/>
    <cellStyle name="Note 5 2" xfId="1315"/>
    <cellStyle name="Note 5 2 2" xfId="1480"/>
    <cellStyle name="Note 5 2 2 2" xfId="1588"/>
    <cellStyle name="Note 5 2 2 2 2" xfId="2319"/>
    <cellStyle name="Note 5 2 2 2 3" xfId="2436"/>
    <cellStyle name="Note 5 2 2 3" xfId="2247"/>
    <cellStyle name="Note 5 2 2 4" xfId="2357"/>
    <cellStyle name="Note 5 2 3" xfId="1446"/>
    <cellStyle name="Note 5 2 3 2" xfId="1586"/>
    <cellStyle name="Note 5 2 3 2 2" xfId="2317"/>
    <cellStyle name="Note 5 2 3 2 3" xfId="2434"/>
    <cellStyle name="Note 5 2 3 3" xfId="2231"/>
    <cellStyle name="Note 5 2 3 4" xfId="2355"/>
    <cellStyle name="Note 5 2 4" xfId="1563"/>
    <cellStyle name="Note 5 2 4 2" xfId="2298"/>
    <cellStyle name="Note 5 2 4 3" xfId="2411"/>
    <cellStyle name="Note 5 2 5" xfId="2179"/>
    <cellStyle name="Note 5 2 6" xfId="2337"/>
    <cellStyle name="Note 5 3" xfId="1466"/>
    <cellStyle name="Note 5 3 2" xfId="1587"/>
    <cellStyle name="Note 5 3 2 2" xfId="2318"/>
    <cellStyle name="Note 5 3 2 3" xfId="2435"/>
    <cellStyle name="Note 5 3 3" xfId="2242"/>
    <cellStyle name="Note 5 3 4" xfId="2356"/>
    <cellStyle name="Note 5 4" xfId="1439"/>
    <cellStyle name="Note 5 4 2" xfId="1585"/>
    <cellStyle name="Note 5 4 2 2" xfId="2316"/>
    <cellStyle name="Note 5 4 2 3" xfId="2433"/>
    <cellStyle name="Note 5 4 3" xfId="2226"/>
    <cellStyle name="Note 5 4 4" xfId="2354"/>
    <cellStyle name="Note 5 5" xfId="1516"/>
    <cellStyle name="Note 5 5 2" xfId="2263"/>
    <cellStyle name="Note 5 5 3" xfId="2364"/>
    <cellStyle name="Note 5 6" xfId="1868"/>
    <cellStyle name="Note 5 7" xfId="1740"/>
    <cellStyle name="Note 6" xfId="1634"/>
    <cellStyle name="notes" xfId="622"/>
    <cellStyle name="notes 2" xfId="1988"/>
    <cellStyle name="Output" xfId="11" builtinId="21" customBuiltin="1"/>
    <cellStyle name="Output 2" xfId="334"/>
    <cellStyle name="Output 2 2" xfId="472"/>
    <cellStyle name="Output 2 2 2" xfId="1319"/>
    <cellStyle name="Output 2 2 2 2" xfId="1567"/>
    <cellStyle name="Output 2 2 2 2 2" xfId="2302"/>
    <cellStyle name="Output 2 2 2 2 3" xfId="2415"/>
    <cellStyle name="Output 2 2 2 3" xfId="2183"/>
    <cellStyle name="Output 2 2 2 4" xfId="2341"/>
    <cellStyle name="Output 2 2 3" xfId="1520"/>
    <cellStyle name="Output 2 2 3 2" xfId="2267"/>
    <cellStyle name="Output 2 2 3 3" xfId="2368"/>
    <cellStyle name="Output 2 2 4" xfId="1923"/>
    <cellStyle name="Output 2 2 5" xfId="2107"/>
    <cellStyle name="Output 2 3" xfId="664"/>
    <cellStyle name="Output 2 3 2" xfId="1324"/>
    <cellStyle name="Output 2 3 2 2" xfId="1572"/>
    <cellStyle name="Output 2 3 2 2 2" xfId="2307"/>
    <cellStyle name="Output 2 3 2 2 3" xfId="2420"/>
    <cellStyle name="Output 2 3 2 3" xfId="2188"/>
    <cellStyle name="Output 2 3 2 4" xfId="2346"/>
    <cellStyle name="Output 2 3 3" xfId="1533"/>
    <cellStyle name="Output 2 3 3 2" xfId="2276"/>
    <cellStyle name="Output 2 3 3 3" xfId="2381"/>
    <cellStyle name="Output 2 3 4" xfId="2029"/>
    <cellStyle name="Output 2 3 5" xfId="2116"/>
    <cellStyle name="Output 2 4" xfId="685"/>
    <cellStyle name="Output 2 4 2" xfId="1329"/>
    <cellStyle name="Output 2 4 2 2" xfId="1577"/>
    <cellStyle name="Output 2 4 2 2 2" xfId="2312"/>
    <cellStyle name="Output 2 4 2 2 3" xfId="2425"/>
    <cellStyle name="Output 2 4 2 3" xfId="2193"/>
    <cellStyle name="Output 2 4 2 4" xfId="2351"/>
    <cellStyle name="Output 2 4 3" xfId="1538"/>
    <cellStyle name="Output 2 4 3 2" xfId="2281"/>
    <cellStyle name="Output 2 4 3 3" xfId="2386"/>
    <cellStyle name="Output 2 4 4" xfId="2037"/>
    <cellStyle name="Output 2 4 5" xfId="1856"/>
    <cellStyle name="Output 2 5" xfId="1302"/>
    <cellStyle name="Output 2 5 2" xfId="1561"/>
    <cellStyle name="Output 2 5 2 2" xfId="2296"/>
    <cellStyle name="Output 2 5 2 3" xfId="2409"/>
    <cellStyle name="Output 2 5 3" xfId="2169"/>
    <cellStyle name="Output 2 5 4" xfId="2335"/>
    <cellStyle name="Output 2 6" xfId="1823"/>
    <cellStyle name="Output 3" xfId="335"/>
    <cellStyle name="Output 3 2" xfId="1824"/>
    <cellStyle name="Output 4" xfId="333"/>
    <cellStyle name="Output 4 2" xfId="755"/>
    <cellStyle name="Output 4 2 2" xfId="1554"/>
    <cellStyle name="Output 4 2 2 2" xfId="2290"/>
    <cellStyle name="Output 4 2 2 3" xfId="2402"/>
    <cellStyle name="Output 4 2 3" xfId="2063"/>
    <cellStyle name="Output 4 2 4" xfId="2218"/>
    <cellStyle name="Output 4 3" xfId="1513"/>
    <cellStyle name="Output 4 3 2" xfId="2260"/>
    <cellStyle name="Output 4 3 3" xfId="2361"/>
    <cellStyle name="Output 4 4" xfId="1822"/>
    <cellStyle name="Output 4 5" xfId="2228"/>
    <cellStyle name="Output 5" xfId="1629"/>
    <cellStyle name="Page Number" xfId="504"/>
    <cellStyle name="Page Number 2" xfId="549"/>
    <cellStyle name="Page Number 2 2" xfId="1964"/>
    <cellStyle name="Page Number 3" xfId="550"/>
    <cellStyle name="Percent" xfId="385" builtinId="5"/>
    <cellStyle name="Percent [0]" xfId="506"/>
    <cellStyle name="Percent [1]" xfId="507"/>
    <cellStyle name="Percent [2]" xfId="508"/>
    <cellStyle name="Percent 10" xfId="524"/>
    <cellStyle name="Percent 100" xfId="1082"/>
    <cellStyle name="Percent 101" xfId="1093"/>
    <cellStyle name="Percent 102" xfId="1083"/>
    <cellStyle name="Percent 103" xfId="1094"/>
    <cellStyle name="Percent 104" xfId="1084"/>
    <cellStyle name="Percent 105" xfId="1095"/>
    <cellStyle name="Percent 106" xfId="1085"/>
    <cellStyle name="Percent 107" xfId="1096"/>
    <cellStyle name="Percent 108" xfId="1086"/>
    <cellStyle name="Percent 109" xfId="1097"/>
    <cellStyle name="Percent 11" xfId="544"/>
    <cellStyle name="Percent 110" xfId="1087"/>
    <cellStyle name="Percent 111" xfId="1150"/>
    <cellStyle name="Percent 112" xfId="1116"/>
    <cellStyle name="Percent 113" xfId="1149"/>
    <cellStyle name="Percent 114" xfId="1115"/>
    <cellStyle name="Percent 115" xfId="1151"/>
    <cellStyle name="Percent 116" xfId="1114"/>
    <cellStyle name="Percent 117" xfId="1152"/>
    <cellStyle name="Percent 118" xfId="1161"/>
    <cellStyle name="Percent 119" xfId="1153"/>
    <cellStyle name="Percent 12" xfId="523"/>
    <cellStyle name="Percent 120" xfId="1162"/>
    <cellStyle name="Percent 121" xfId="1154"/>
    <cellStyle name="Percent 122" xfId="1163"/>
    <cellStyle name="Percent 123" xfId="1155"/>
    <cellStyle name="Percent 124" xfId="1164"/>
    <cellStyle name="Percent 125" xfId="1156"/>
    <cellStyle name="Percent 126" xfId="1165"/>
    <cellStyle name="Percent 127" xfId="1157"/>
    <cellStyle name="Percent 128" xfId="1166"/>
    <cellStyle name="Percent 129" xfId="1158"/>
    <cellStyle name="Percent 13" xfId="559"/>
    <cellStyle name="Percent 130" xfId="1222"/>
    <cellStyle name="Percent 131" xfId="1185"/>
    <cellStyle name="Percent 132" xfId="1221"/>
    <cellStyle name="Percent 133" xfId="1184"/>
    <cellStyle name="Percent 134" xfId="1223"/>
    <cellStyle name="Percent 135" xfId="1183"/>
    <cellStyle name="Percent 136" xfId="1224"/>
    <cellStyle name="Percent 137" xfId="1230"/>
    <cellStyle name="Percent 138" xfId="1225"/>
    <cellStyle name="Percent 139" xfId="1231"/>
    <cellStyle name="Percent 14" xfId="560"/>
    <cellStyle name="Percent 140" xfId="1226"/>
    <cellStyle name="Percent 141" xfId="1232"/>
    <cellStyle name="Percent 142" xfId="1228"/>
    <cellStyle name="Percent 143" xfId="1187"/>
    <cellStyle name="Percent 144" xfId="1235"/>
    <cellStyle name="Percent 145" xfId="1186"/>
    <cellStyle name="Percent 146" xfId="1238"/>
    <cellStyle name="Percent 147" xfId="1306"/>
    <cellStyle name="Percent 148" xfId="1346"/>
    <cellStyle name="Percent 148 2" xfId="1468"/>
    <cellStyle name="Percent 148 3" xfId="1451"/>
    <cellStyle name="Percent 149" xfId="1348"/>
    <cellStyle name="Percent 149 2" xfId="1482"/>
    <cellStyle name="Percent 149 3" xfId="1453"/>
    <cellStyle name="Percent 15" xfId="561"/>
    <cellStyle name="Percent 150" xfId="1350"/>
    <cellStyle name="Percent 150 2" xfId="1469"/>
    <cellStyle name="Percent 150 3" xfId="1455"/>
    <cellStyle name="Percent 151" xfId="1370"/>
    <cellStyle name="Percent 152" xfId="1373"/>
    <cellStyle name="Percent 153" xfId="1371"/>
    <cellStyle name="Percent 154" xfId="1374"/>
    <cellStyle name="Percent 155" xfId="1376"/>
    <cellStyle name="Percent 156" xfId="1378"/>
    <cellStyle name="Percent 157" xfId="1380"/>
    <cellStyle name="Percent 158" xfId="1382"/>
    <cellStyle name="Percent 159" xfId="1384"/>
    <cellStyle name="Percent 16" xfId="562"/>
    <cellStyle name="Percent 160" xfId="1386"/>
    <cellStyle name="Percent 161" xfId="1388"/>
    <cellStyle name="Percent 162" xfId="1390"/>
    <cellStyle name="Percent 163" xfId="1392"/>
    <cellStyle name="Percent 164" xfId="1433"/>
    <cellStyle name="Percent 164 2" xfId="1495"/>
    <cellStyle name="Percent 164 3" xfId="1464"/>
    <cellStyle name="Percent 165" xfId="1598"/>
    <cellStyle name="Percent 166" xfId="1603"/>
    <cellStyle name="Percent 167" xfId="1606"/>
    <cellStyle name="Percent 168" xfId="1604"/>
    <cellStyle name="Percent 169" xfId="1611"/>
    <cellStyle name="Percent 17" xfId="563"/>
    <cellStyle name="Percent 170" xfId="1614"/>
    <cellStyle name="Percent 171" xfId="1616"/>
    <cellStyle name="Percent 172" xfId="1618"/>
    <cellStyle name="Percent 18" xfId="564"/>
    <cellStyle name="Percent 19" xfId="565"/>
    <cellStyle name="Percent 2" xfId="337"/>
    <cellStyle name="Percent 2 2" xfId="338"/>
    <cellStyle name="Percent 2 2 2" xfId="339"/>
    <cellStyle name="Percent 2 2 3" xfId="340"/>
    <cellStyle name="Percent 2 3" xfId="341"/>
    <cellStyle name="Percent 2 4" xfId="342"/>
    <cellStyle name="Percent 2 4 2" xfId="343"/>
    <cellStyle name="Percent 2 4 2 2" xfId="910"/>
    <cellStyle name="Percent 2 5" xfId="344"/>
    <cellStyle name="Percent 2 6" xfId="345"/>
    <cellStyle name="Percent 2 7" xfId="505"/>
    <cellStyle name="Percent 20" xfId="566"/>
    <cellStyle name="Percent 21" xfId="567"/>
    <cellStyle name="Percent 22" xfId="568"/>
    <cellStyle name="Percent 23" xfId="569"/>
    <cellStyle name="Percent 24" xfId="570"/>
    <cellStyle name="Percent 25" xfId="571"/>
    <cellStyle name="Percent 26" xfId="572"/>
    <cellStyle name="Percent 27" xfId="573"/>
    <cellStyle name="Percent 28" xfId="520"/>
    <cellStyle name="Percent 29" xfId="530"/>
    <cellStyle name="Percent 3" xfId="346"/>
    <cellStyle name="Percent 3 2" xfId="404"/>
    <cellStyle name="Percent 3 3" xfId="515"/>
    <cellStyle name="Percent 30" xfId="519"/>
    <cellStyle name="Percent 31" xfId="558"/>
    <cellStyle name="Percent 32" xfId="596"/>
    <cellStyle name="Percent 33" xfId="603"/>
    <cellStyle name="Percent 33 2" xfId="920"/>
    <cellStyle name="Percent 33 3" xfId="772"/>
    <cellStyle name="Percent 34" xfId="598"/>
    <cellStyle name="Percent 34 2" xfId="780"/>
    <cellStyle name="Percent 35" xfId="690"/>
    <cellStyle name="Percent 35 2" xfId="763"/>
    <cellStyle name="Percent 36" xfId="778"/>
    <cellStyle name="Percent 37" xfId="764"/>
    <cellStyle name="Percent 38" xfId="779"/>
    <cellStyle name="Percent 38 2" xfId="922"/>
    <cellStyle name="Percent 39" xfId="762"/>
    <cellStyle name="Percent 39 2" xfId="912"/>
    <cellStyle name="Percent 4" xfId="347"/>
    <cellStyle name="Percent 4 2" xfId="348"/>
    <cellStyle name="Percent 4 3" xfId="516"/>
    <cellStyle name="Percent 4 3 2" xfId="756"/>
    <cellStyle name="Percent 4 4" xfId="704"/>
    <cellStyle name="Percent 4 4 2" xfId="866"/>
    <cellStyle name="Percent 4 4 3" xfId="1478"/>
    <cellStyle name="Percent 4 4 4" xfId="1443"/>
    <cellStyle name="Percent 40" xfId="799"/>
    <cellStyle name="Percent 41" xfId="783"/>
    <cellStyle name="Percent 42" xfId="798"/>
    <cellStyle name="Percent 43" xfId="782"/>
    <cellStyle name="Percent 44" xfId="800"/>
    <cellStyle name="Percent 45" xfId="781"/>
    <cellStyle name="Percent 46" xfId="801"/>
    <cellStyle name="Percent 47" xfId="805"/>
    <cellStyle name="Percent 48" xfId="802"/>
    <cellStyle name="Percent 49" xfId="806"/>
    <cellStyle name="Percent 5" xfId="349"/>
    <cellStyle name="Percent 5 2" xfId="551"/>
    <cellStyle name="Percent 5 2 2" xfId="757"/>
    <cellStyle name="Percent 5 3" xfId="873"/>
    <cellStyle name="Percent 50" xfId="803"/>
    <cellStyle name="Percent 51" xfId="849"/>
    <cellStyle name="Percent 51 2" xfId="931"/>
    <cellStyle name="Percent 52" xfId="854"/>
    <cellStyle name="Percent 52 2" xfId="934"/>
    <cellStyle name="Percent 53" xfId="848"/>
    <cellStyle name="Percent 53 2" xfId="930"/>
    <cellStyle name="Percent 54" xfId="855"/>
    <cellStyle name="Percent 54 2" xfId="935"/>
    <cellStyle name="Percent 55" xfId="847"/>
    <cellStyle name="Percent 55 2" xfId="929"/>
    <cellStyle name="Percent 56" xfId="876"/>
    <cellStyle name="Percent 57" xfId="856"/>
    <cellStyle name="Percent 58" xfId="869"/>
    <cellStyle name="Percent 59" xfId="813"/>
    <cellStyle name="Percent 6" xfId="336"/>
    <cellStyle name="Percent 6 2" xfId="527"/>
    <cellStyle name="Percent 60" xfId="901"/>
    <cellStyle name="Percent 61" xfId="938"/>
    <cellStyle name="Percent 62" xfId="939"/>
    <cellStyle name="Percent 63" xfId="877"/>
    <cellStyle name="Percent 64" xfId="924"/>
    <cellStyle name="Percent 65" xfId="941"/>
    <cellStyle name="Percent 66" xfId="850"/>
    <cellStyle name="Percent 67" xfId="942"/>
    <cellStyle name="Percent 68" xfId="816"/>
    <cellStyle name="Percent 69" xfId="868"/>
    <cellStyle name="Percent 7" xfId="388"/>
    <cellStyle name="Percent 7 2" xfId="540"/>
    <cellStyle name="Percent 7 3" xfId="1473"/>
    <cellStyle name="Percent 7 4" xfId="1438"/>
    <cellStyle name="Percent 70" xfId="815"/>
    <cellStyle name="Percent 71" xfId="977"/>
    <cellStyle name="Percent 72" xfId="944"/>
    <cellStyle name="Percent 73" xfId="976"/>
    <cellStyle name="Percent 74" xfId="943"/>
    <cellStyle name="Percent 75" xfId="978"/>
    <cellStyle name="Percent 76" xfId="1024"/>
    <cellStyle name="Percent 77" xfId="984"/>
    <cellStyle name="Percent 78" xfId="1023"/>
    <cellStyle name="Percent 79" xfId="983"/>
    <cellStyle name="Percent 8" xfId="525"/>
    <cellStyle name="Percent 80" xfId="1025"/>
    <cellStyle name="Percent 81" xfId="982"/>
    <cellStyle name="Percent 82" xfId="1026"/>
    <cellStyle name="Percent 83" xfId="1031"/>
    <cellStyle name="Percent 84" xfId="1019"/>
    <cellStyle name="Percent 85" xfId="1032"/>
    <cellStyle name="Percent 86" xfId="1020"/>
    <cellStyle name="Percent 87" xfId="1033"/>
    <cellStyle name="Percent 88" xfId="1021"/>
    <cellStyle name="Percent 89" xfId="1034"/>
    <cellStyle name="Percent 9" xfId="542"/>
    <cellStyle name="Percent 90" xfId="1022"/>
    <cellStyle name="Percent 91" xfId="1030"/>
    <cellStyle name="Percent 92" xfId="1081"/>
    <cellStyle name="Percent 93" xfId="1045"/>
    <cellStyle name="Percent 94" xfId="1078"/>
    <cellStyle name="Percent 95" xfId="1090"/>
    <cellStyle name="Percent 96" xfId="1079"/>
    <cellStyle name="Percent 97" xfId="1091"/>
    <cellStyle name="Percent 98" xfId="1080"/>
    <cellStyle name="Percent 99" xfId="1092"/>
    <cellStyle name="semestre" xfId="623"/>
    <cellStyle name="semestre 2" xfId="1989"/>
    <cellStyle name="sh0 -SideHeading" xfId="350"/>
    <cellStyle name="sh0 -SideHeading 2" xfId="351"/>
    <cellStyle name="sh0 -SideHeading 2 2" xfId="1826"/>
    <cellStyle name="sh0 -SideHeading 3" xfId="1825"/>
    <cellStyle name="sh1 -SideHeading" xfId="352"/>
    <cellStyle name="sh1 -SideHeading 2" xfId="353"/>
    <cellStyle name="sh1 -SideHeading 2 2" xfId="1828"/>
    <cellStyle name="sh1 -SideHeading 3" xfId="1827"/>
    <cellStyle name="sh2 -SideHeading" xfId="354"/>
    <cellStyle name="sh2 -SideHeading 2" xfId="355"/>
    <cellStyle name="sh2 -SideHeading 2 2" xfId="1830"/>
    <cellStyle name="sh2 -SideHeading 3" xfId="1829"/>
    <cellStyle name="sh3 -SideHeading" xfId="356"/>
    <cellStyle name="sh3 -SideHeading 2" xfId="357"/>
    <cellStyle name="sh3 -SideHeading 2 2" xfId="1832"/>
    <cellStyle name="sh3 -SideHeading 3" xfId="1831"/>
    <cellStyle name="st0 -SideText" xfId="358"/>
    <cellStyle name="st0 -SideText 2" xfId="359"/>
    <cellStyle name="st0 -SideText 2 2" xfId="1834"/>
    <cellStyle name="st0 -SideText 3" xfId="1833"/>
    <cellStyle name="st1 -SideText" xfId="360"/>
    <cellStyle name="st1 -SideText 2" xfId="361"/>
    <cellStyle name="st1 -SideText 2 2" xfId="1836"/>
    <cellStyle name="st1 -SideText 3" xfId="1835"/>
    <cellStyle name="st2 -SideText" xfId="362"/>
    <cellStyle name="st2 -SideText 2" xfId="363"/>
    <cellStyle name="st2 -SideText 2 2" xfId="1838"/>
    <cellStyle name="st2 -SideText 3" xfId="1837"/>
    <cellStyle name="st3 -SideText" xfId="364"/>
    <cellStyle name="st3 -SideText 2" xfId="365"/>
    <cellStyle name="st3 -SideText 2 2" xfId="1840"/>
    <cellStyle name="st3 -SideText 3" xfId="1839"/>
    <cellStyle name="st4 -SideText" xfId="366"/>
    <cellStyle name="st4 -SideText 2" xfId="367"/>
    <cellStyle name="st4 -SideText 2 2" xfId="1842"/>
    <cellStyle name="st4 -SideText 3" xfId="1841"/>
    <cellStyle name="Style 1" xfId="368"/>
    <cellStyle name="Style 1 10" xfId="1227"/>
    <cellStyle name="Style 1 11" xfId="1434"/>
    <cellStyle name="Style 1 12" xfId="1600"/>
    <cellStyle name="Style 1 2" xfId="369"/>
    <cellStyle name="Style 1 3" xfId="407"/>
    <cellStyle name="Style 1 3 2" xfId="758"/>
    <cellStyle name="Style 1 3 3" xfId="1862"/>
    <cellStyle name="Style 1 4" xfId="597"/>
    <cellStyle name="Style 1 5" xfId="624"/>
    <cellStyle name="Style 1 5 2" xfId="851"/>
    <cellStyle name="Style 1 5 3" xfId="1990"/>
    <cellStyle name="Style 1 6" xfId="979"/>
    <cellStyle name="Style 1 7" xfId="1028"/>
    <cellStyle name="Style 1 8" xfId="1088"/>
    <cellStyle name="Style 1 9" xfId="1159"/>
    <cellStyle name="Sum" xfId="509"/>
    <cellStyle name="Sum 2" xfId="552"/>
    <cellStyle name="Sum 2 2" xfId="1965"/>
    <cellStyle name="Sum 3" xfId="1945"/>
    <cellStyle name="tête chapitre" xfId="625"/>
    <cellStyle name="tête chapitre 2" xfId="1991"/>
    <cellStyle name="Text" xfId="510"/>
    <cellStyle name="Text 2" xfId="553"/>
    <cellStyle name="Text 2 2" xfId="727"/>
    <cellStyle name="Text 2 2 2" xfId="1335"/>
    <cellStyle name="Text 2 2 2 2" xfId="1583"/>
    <cellStyle name="Text 2 2 2 2 2" xfId="2431"/>
    <cellStyle name="Text 2 2 3" xfId="1545"/>
    <cellStyle name="Text 2 2 3 2" xfId="2393"/>
    <cellStyle name="Text 2 3" xfId="1249"/>
    <cellStyle name="Text 2 3 2" xfId="1557"/>
    <cellStyle name="Text 2 3 2 2" xfId="2405"/>
    <cellStyle name="Text 2 4" xfId="1526"/>
    <cellStyle name="Text 2 4 2" xfId="2374"/>
    <cellStyle name="Text rjustify" xfId="511"/>
    <cellStyle name="Text rjustify 2" xfId="554"/>
    <cellStyle name="Text rjustify 2 2" xfId="728"/>
    <cellStyle name="Text rjustify 2 2 2" xfId="1336"/>
    <cellStyle name="Text rjustify 2 2 2 2" xfId="1584"/>
    <cellStyle name="Text rjustify 2 2 2 2 2" xfId="2432"/>
    <cellStyle name="Text rjustify 2 2 3" xfId="1546"/>
    <cellStyle name="Text rjustify 2 2 3 2" xfId="2394"/>
    <cellStyle name="Text rjustify 2 3" xfId="753"/>
    <cellStyle name="Text rjustify 2 3 2" xfId="1552"/>
    <cellStyle name="Text rjustify 2 3 2 2" xfId="2400"/>
    <cellStyle name="Text rjustify 2 4" xfId="1527"/>
    <cellStyle name="Text rjustify 2 4 2" xfId="2375"/>
    <cellStyle name="Time" xfId="512"/>
    <cellStyle name="Time 2" xfId="555"/>
    <cellStyle name="Time 2 2" xfId="1966"/>
    <cellStyle name="Time 3" xfId="1946"/>
    <cellStyle name="Title" xfId="2" builtinId="15" customBuiltin="1"/>
    <cellStyle name="Title 2" xfId="371"/>
    <cellStyle name="Title 2 2" xfId="556"/>
    <cellStyle name="Title 2 2 2" xfId="759"/>
    <cellStyle name="Title 2 2 2 2" xfId="2064"/>
    <cellStyle name="Title 2 2 3" xfId="1967"/>
    <cellStyle name="Title 2 3" xfId="874"/>
    <cellStyle name="Title 2 3 2" xfId="2086"/>
    <cellStyle name="Title 2 4" xfId="1844"/>
    <cellStyle name="Title 3" xfId="372"/>
    <cellStyle name="Title 3 2" xfId="1845"/>
    <cellStyle name="Title 4" xfId="370"/>
    <cellStyle name="Title 4 2" xfId="1843"/>
    <cellStyle name="Title 5" xfId="1620"/>
    <cellStyle name="titre" xfId="626"/>
    <cellStyle name="titre 2" xfId="1992"/>
    <cellStyle name="Top rows" xfId="513"/>
    <cellStyle name="Top rows 2" xfId="557"/>
    <cellStyle name="Top rows 2 2" xfId="1968"/>
    <cellStyle name="Top rows 3" xfId="1947"/>
    <cellStyle name="Total" xfId="18" builtinId="25" customBuiltin="1"/>
    <cellStyle name="Total 2" xfId="374"/>
    <cellStyle name="Total 2 2" xfId="473"/>
    <cellStyle name="Total 2 2 2" xfId="1320"/>
    <cellStyle name="Total 2 2 2 2" xfId="1568"/>
    <cellStyle name="Total 2 2 2 2 2" xfId="2303"/>
    <cellStyle name="Total 2 2 2 2 3" xfId="2416"/>
    <cellStyle name="Total 2 2 2 3" xfId="2184"/>
    <cellStyle name="Total 2 2 2 4" xfId="2342"/>
    <cellStyle name="Total 2 2 3" xfId="1521"/>
    <cellStyle name="Total 2 2 3 2" xfId="2268"/>
    <cellStyle name="Total 2 2 3 3" xfId="2369"/>
    <cellStyle name="Total 2 2 4" xfId="1924"/>
    <cellStyle name="Total 2 2 5" xfId="2105"/>
    <cellStyle name="Total 2 3" xfId="665"/>
    <cellStyle name="Total 2 3 2" xfId="1325"/>
    <cellStyle name="Total 2 3 2 2" xfId="1573"/>
    <cellStyle name="Total 2 3 2 2 2" xfId="2308"/>
    <cellStyle name="Total 2 3 2 2 3" xfId="2421"/>
    <cellStyle name="Total 2 3 2 3" xfId="2189"/>
    <cellStyle name="Total 2 3 2 4" xfId="2347"/>
    <cellStyle name="Total 2 3 3" xfId="1534"/>
    <cellStyle name="Total 2 3 3 2" xfId="2277"/>
    <cellStyle name="Total 2 3 3 3" xfId="2382"/>
    <cellStyle name="Total 2 3 4" xfId="2030"/>
    <cellStyle name="Total 2 3 5" xfId="2112"/>
    <cellStyle name="Total 2 4" xfId="686"/>
    <cellStyle name="Total 2 4 2" xfId="1330"/>
    <cellStyle name="Total 2 4 2 2" xfId="1578"/>
    <cellStyle name="Total 2 4 2 2 2" xfId="2313"/>
    <cellStyle name="Total 2 4 2 2 3" xfId="2426"/>
    <cellStyle name="Total 2 4 2 3" xfId="2194"/>
    <cellStyle name="Total 2 4 2 4" xfId="2352"/>
    <cellStyle name="Total 2 4 3" xfId="1539"/>
    <cellStyle name="Total 2 4 3 2" xfId="2282"/>
    <cellStyle name="Total 2 4 3 3" xfId="2387"/>
    <cellStyle name="Total 2 4 4" xfId="2038"/>
    <cellStyle name="Total 2 4 5" xfId="1742"/>
    <cellStyle name="Total 2 5" xfId="761"/>
    <cellStyle name="Total 2 5 2" xfId="1556"/>
    <cellStyle name="Total 2 5 2 2" xfId="2292"/>
    <cellStyle name="Total 2 5 2 3" xfId="2404"/>
    <cellStyle name="Total 2 5 3" xfId="2066"/>
    <cellStyle name="Total 2 5 4" xfId="2111"/>
    <cellStyle name="Total 2 6" xfId="1303"/>
    <cellStyle name="Total 2 6 2" xfId="1562"/>
    <cellStyle name="Total 2 6 2 2" xfId="2297"/>
    <cellStyle name="Total 2 6 2 3" xfId="2410"/>
    <cellStyle name="Total 2 6 3" xfId="2170"/>
    <cellStyle name="Total 2 6 4" xfId="2336"/>
    <cellStyle name="Total 2 7" xfId="1515"/>
    <cellStyle name="Total 2 7 2" xfId="2262"/>
    <cellStyle name="Total 2 7 3" xfId="2363"/>
    <cellStyle name="Total 2 8" xfId="1847"/>
    <cellStyle name="Total 2 9" xfId="2219"/>
    <cellStyle name="Total 3" xfId="375"/>
    <cellStyle name="Total 3 2" xfId="1848"/>
    <cellStyle name="Total 4" xfId="373"/>
    <cellStyle name="Total 4 2" xfId="760"/>
    <cellStyle name="Total 4 2 2" xfId="1555"/>
    <cellStyle name="Total 4 2 2 2" xfId="2291"/>
    <cellStyle name="Total 4 2 2 3" xfId="2403"/>
    <cellStyle name="Total 4 2 3" xfId="2065"/>
    <cellStyle name="Total 4 2 4" xfId="2115"/>
    <cellStyle name="Total 4 3" xfId="1514"/>
    <cellStyle name="Total 4 3 2" xfId="2261"/>
    <cellStyle name="Total 4 3 3" xfId="2362"/>
    <cellStyle name="Total 4 4" xfId="1846"/>
    <cellStyle name="Total 4 5" xfId="1970"/>
    <cellStyle name="Total 5" xfId="414"/>
    <cellStyle name="Total 5 2" xfId="1866"/>
    <cellStyle name="Total 6" xfId="1636"/>
    <cellStyle name="ttn -TopTextNoWrap" xfId="376"/>
    <cellStyle name="ttn -TopTextNoWrap 2" xfId="377"/>
    <cellStyle name="ttn -TopTextNoWrap 2 2" xfId="1850"/>
    <cellStyle name="ttn -TopTextNoWrap 3" xfId="1849"/>
    <cellStyle name="ttw -TopTextWrap" xfId="378"/>
    <cellStyle name="ttw -TopTextWrap 2" xfId="379"/>
    <cellStyle name="ttw -TopTextWrap 2 2" xfId="1852"/>
    <cellStyle name="ttw -TopTextWrap 3" xfId="1851"/>
    <cellStyle name="Warning Text" xfId="15" builtinId="11" customBuiltin="1"/>
    <cellStyle name="Warning Text 2" xfId="381"/>
    <cellStyle name="Warning Text 2 2" xfId="474"/>
    <cellStyle name="Warning Text 2 2 2" xfId="1925"/>
    <cellStyle name="Warning Text 2 3" xfId="666"/>
    <cellStyle name="Warning Text 2 3 2" xfId="2031"/>
    <cellStyle name="Warning Text 2 4" xfId="1304"/>
    <cellStyle name="Warning Text 2 4 2" xfId="2171"/>
    <cellStyle name="Warning Text 2 5" xfId="1854"/>
    <cellStyle name="Warning Text 3" xfId="380"/>
    <cellStyle name="Warning Text 3 2" xfId="1853"/>
    <cellStyle name="Warning Text 4" xfId="1633"/>
    <cellStyle name="Year" xfId="514"/>
  </cellStyles>
  <dxfs count="2">
    <dxf>
      <font>
        <color rgb="FFFF0000"/>
      </font>
    </dxf>
    <dxf>
      <fill>
        <patternFill patternType="solid">
          <fgColor rgb="FF92D050"/>
          <bgColor rgb="FF000000"/>
        </patternFill>
      </fill>
    </dxf>
  </dxfs>
  <tableStyles count="0" defaultTableStyle="TableStyleMedium9" defaultPivotStyle="PivotStyleLight16"/>
  <colors>
    <mruColors>
      <color rgb="FF8C73FF"/>
      <color rgb="FF0207C4"/>
      <color rgb="FFC0C0C0"/>
      <color rgb="FF88CCEE"/>
      <color rgb="FFFDCFE4"/>
      <color rgb="FFFFFF99"/>
      <color rgb="FF999933"/>
      <color rgb="FF332288"/>
      <color rgb="FFAA4499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0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10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10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10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10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10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3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3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3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4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4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4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4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4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4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4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4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4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4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4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4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4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4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5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5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5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5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5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5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5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5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5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5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5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5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5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5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6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6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6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6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6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6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6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6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6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6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6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6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6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6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6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6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6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6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7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7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7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7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7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7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7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7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7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7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7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7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7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7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7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7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8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8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8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8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8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8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8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8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8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8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8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8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8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8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8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8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8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8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8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8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8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8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8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8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9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9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90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9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9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9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9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9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9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9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9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9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9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9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9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9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9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9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9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9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11736111110656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Alpine!$B$26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29987761336995455"/>
                  <c:y val="-0.35391289312851798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Average electricity bill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Alpine!$C$26:$F$26</c:f>
              <c:numCache>
                <c:formatCode>0</c:formatCode>
                <c:ptCount val="4"/>
                <c:pt idx="0">
                  <c:v>1723.6642240027372</c:v>
                </c:pt>
                <c:pt idx="1">
                  <c:v>1771.6122177225611</c:v>
                </c:pt>
                <c:pt idx="2">
                  <c:v>1751.4187814933573</c:v>
                </c:pt>
                <c:pt idx="3">
                  <c:v>1832.8</c:v>
                </c:pt>
              </c:numCache>
            </c:numRef>
          </c:val>
        </c:ser>
        <c:ser>
          <c:idx val="1"/>
          <c:order val="1"/>
          <c:tx>
            <c:strRef>
              <c:f>Alpine!$B$27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0888242086758577"/>
                  <c:y val="-5.038624530814892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Alpine!$C$27:$F$27</c:f>
              <c:numCache>
                <c:formatCode>0</c:formatCode>
                <c:ptCount val="4"/>
                <c:pt idx="0">
                  <c:v>566.6486840979727</c:v>
                </c:pt>
                <c:pt idx="1">
                  <c:v>562.23202690644507</c:v>
                </c:pt>
                <c:pt idx="2">
                  <c:v>548.54097167955592</c:v>
                </c:pt>
                <c:pt idx="3">
                  <c:v>557.6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085440"/>
        <c:axId val="109086976"/>
      </c:areaChart>
      <c:catAx>
        <c:axId val="10908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09086976"/>
        <c:crosses val="autoZero"/>
        <c:auto val="1"/>
        <c:lblAlgn val="ctr"/>
        <c:lblOffset val="100"/>
        <c:noMultiLvlLbl val="0"/>
      </c:catAx>
      <c:valAx>
        <c:axId val="109086976"/>
        <c:scaling>
          <c:orientation val="minMax"/>
          <c:max val="250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09085440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/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Alpine!$B$99</c:f>
              <c:strCache>
                <c:ptCount val="1"/>
                <c:pt idx="0">
                  <c:v>Medium</c:v>
                </c:pt>
              </c:strCache>
            </c:strRef>
          </c:tx>
          <c:marker>
            <c:symbol val="none"/>
          </c:marker>
          <c:cat>
            <c:numRef>
              <c:f>Alpine!$C$97:$F$97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Alpine!$C$99:$F$99</c:f>
              <c:numCache>
                <c:formatCode>General</c:formatCode>
                <c:ptCount val="4"/>
                <c:pt idx="0">
                  <c:v>26315</c:v>
                </c:pt>
                <c:pt idx="1">
                  <c:v>25982</c:v>
                </c:pt>
                <c:pt idx="2">
                  <c:v>25606</c:v>
                </c:pt>
                <c:pt idx="3">
                  <c:v>24960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47488"/>
        <c:axId val="114449024"/>
      </c:lineChart>
      <c:catAx>
        <c:axId val="1144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449024"/>
        <c:crosses val="autoZero"/>
        <c:auto val="1"/>
        <c:lblAlgn val="ctr"/>
        <c:lblOffset val="100"/>
        <c:noMultiLvlLbl val="0"/>
      </c:catAx>
      <c:valAx>
        <c:axId val="11444902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447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29986E-2"/>
          <c:y val="5.8338380979806134E-2"/>
          <c:w val="0.83883540276753665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Buller!$B$90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8028632354795E-3"/>
                  <c:y val="-3.249269005847964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Buller!$V$89:$Y$89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Buller!$V$90:$Y$90</c:f>
              <c:numCache>
                <c:formatCode>0.0</c:formatCode>
                <c:ptCount val="4"/>
                <c:pt idx="0">
                  <c:v>100</c:v>
                </c:pt>
                <c:pt idx="1">
                  <c:v>100.24852911180648</c:v>
                </c:pt>
                <c:pt idx="2">
                  <c:v>106.73782571450249</c:v>
                </c:pt>
                <c:pt idx="3">
                  <c:v>111.3804328153835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690681384833E-3"/>
                  <c:y val="3.930068226120860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Buller!$V$89:$Y$89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Buller!$V$91:$Y$91</c:f>
              <c:numCache>
                <c:formatCode>0.0</c:formatCode>
                <c:ptCount val="4"/>
                <c:pt idx="0">
                  <c:v>100</c:v>
                </c:pt>
                <c:pt idx="1">
                  <c:v>99.038379984724457</c:v>
                </c:pt>
                <c:pt idx="2">
                  <c:v>105.21298720706194</c:v>
                </c:pt>
                <c:pt idx="3">
                  <c:v>92.691436535952363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41664"/>
        <c:axId val="121455744"/>
      </c:lineChart>
      <c:catAx>
        <c:axId val="12144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1455744"/>
        <c:crosses val="autoZero"/>
        <c:auto val="1"/>
        <c:lblAlgn val="ctr"/>
        <c:lblOffset val="100"/>
        <c:noMultiLvlLbl val="0"/>
      </c:catAx>
      <c:valAx>
        <c:axId val="121455744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144166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0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5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Total!$B$114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Total!$V$113:$Y$113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Total!$V$114:$Y$114</c:f>
              <c:numCache>
                <c:formatCode>General</c:formatCode>
                <c:ptCount val="4"/>
                <c:pt idx="0">
                  <c:v>1801694</c:v>
                </c:pt>
                <c:pt idx="1">
                  <c:v>1828716</c:v>
                </c:pt>
                <c:pt idx="2">
                  <c:v>1840967.49</c:v>
                </c:pt>
                <c:pt idx="3">
                  <c:v>1846179.371</c:v>
                </c:pt>
              </c:numCache>
            </c:numRef>
          </c:val>
        </c:ser>
        <c:ser>
          <c:idx val="1"/>
          <c:order val="1"/>
          <c:tx>
            <c:v>Larger</c:v>
          </c:tx>
          <c:spPr>
            <a:solidFill>
              <a:schemeClr val="accent2"/>
            </a:solidFill>
          </c:spPr>
          <c:invertIfNegative val="0"/>
          <c:cat>
            <c:numRef>
              <c:f>Total!$V$113:$Y$113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Total!$V$117:$Y$117</c:f>
              <c:numCache>
                <c:formatCode>General</c:formatCode>
                <c:ptCount val="4"/>
                <c:pt idx="0">
                  <c:v>148760.9987</c:v>
                </c:pt>
                <c:pt idx="1">
                  <c:v>151062.06450000001</c:v>
                </c:pt>
                <c:pt idx="2">
                  <c:v>156049.51420000001</c:v>
                </c:pt>
                <c:pt idx="3">
                  <c:v>159815.6286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0942208"/>
        <c:axId val="190956288"/>
      </c:barChart>
      <c:catAx>
        <c:axId val="19094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0956288"/>
        <c:crosses val="autoZero"/>
        <c:auto val="1"/>
        <c:lblAlgn val="ctr"/>
        <c:lblOffset val="100"/>
        <c:noMultiLvlLbl val="0"/>
      </c:catAx>
      <c:valAx>
        <c:axId val="19095628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0942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3.527777777777924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0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4479583333336461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Total!$B$136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6304976331734255E-6"/>
                  <c:y val="-3.275618900677620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Total!$V$135:$Y$135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Total!$V$136:$Y$136</c:f>
              <c:numCache>
                <c:formatCode>General</c:formatCode>
                <c:ptCount val="4"/>
                <c:pt idx="0">
                  <c:v>100</c:v>
                </c:pt>
                <c:pt idx="1">
                  <c:v>98.755647322470324</c:v>
                </c:pt>
                <c:pt idx="2">
                  <c:v>104.05246285382455</c:v>
                </c:pt>
                <c:pt idx="3">
                  <c:v>103.17137899485809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Total!$B$137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7.5602878426619703E-3"/>
                  <c:y val="3.155676256103340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Total!$V$135:$Y$135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Total!$V$139:$Y$139</c:f>
              <c:numCache>
                <c:formatCode>General</c:formatCode>
                <c:ptCount val="4"/>
                <c:pt idx="0">
                  <c:v>100</c:v>
                </c:pt>
                <c:pt idx="1">
                  <c:v>97.307809180909985</c:v>
                </c:pt>
                <c:pt idx="2">
                  <c:v>99.603911832943879</c:v>
                </c:pt>
                <c:pt idx="3">
                  <c:v>99.815164618123646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986112"/>
        <c:axId val="190987648"/>
      </c:lineChart>
      <c:catAx>
        <c:axId val="19098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0987648"/>
        <c:crosses val="autoZero"/>
        <c:auto val="1"/>
        <c:lblAlgn val="ctr"/>
        <c:lblOffset val="100"/>
        <c:noMultiLvlLbl val="0"/>
      </c:catAx>
      <c:valAx>
        <c:axId val="190987648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0986112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0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682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Total!$B$129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Total!$V$128:$Y$128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Total!$V$129:$Y$129</c:f>
              <c:numCache>
                <c:formatCode>General</c:formatCode>
                <c:ptCount val="4"/>
                <c:pt idx="0">
                  <c:v>14667083.239000002</c:v>
                </c:pt>
                <c:pt idx="1">
                  <c:v>14484572.995999999</c:v>
                </c:pt>
                <c:pt idx="2">
                  <c:v>15261461.339000002</c:v>
                </c:pt>
                <c:pt idx="3">
                  <c:v>15132232.036</c:v>
                </c:pt>
              </c:numCache>
            </c:numRef>
          </c:val>
        </c:ser>
        <c:ser>
          <c:idx val="1"/>
          <c:order val="1"/>
          <c:tx>
            <c:v>Larger</c:v>
          </c:tx>
          <c:invertIfNegative val="0"/>
          <c:cat>
            <c:numRef>
              <c:f>Total!$V$128:$Y$128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Total!$V$132:$Y$132</c:f>
              <c:numCache>
                <c:formatCode>General</c:formatCode>
                <c:ptCount val="4"/>
                <c:pt idx="0">
                  <c:v>15843130.953999998</c:v>
                </c:pt>
                <c:pt idx="1">
                  <c:v>15416603.637000002</c:v>
                </c:pt>
                <c:pt idx="2">
                  <c:v>15780378.186999999</c:v>
                </c:pt>
                <c:pt idx="3">
                  <c:v>15813847.2424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1431040"/>
        <c:axId val="191432576"/>
      </c:barChart>
      <c:catAx>
        <c:axId val="1914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1432576"/>
        <c:crosses val="autoZero"/>
        <c:auto val="1"/>
        <c:lblAlgn val="ctr"/>
        <c:lblOffset val="100"/>
        <c:noMultiLvlLbl val="0"/>
      </c:catAx>
      <c:valAx>
        <c:axId val="19143257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14310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0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8104022131339965"/>
          <c:h val="0.82404629629630843"/>
        </c:manualLayout>
      </c:layout>
      <c:lineChart>
        <c:grouping val="standard"/>
        <c:varyColors val="0"/>
        <c:ser>
          <c:idx val="0"/>
          <c:order val="0"/>
          <c:tx>
            <c:strRef>
              <c:f>Total!$B$76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25174235956522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Total!$V$75:$Y$75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Total!$V$76:$Y$76</c:f>
              <c:numCache>
                <c:formatCode>General</c:formatCode>
                <c:ptCount val="4"/>
                <c:pt idx="0">
                  <c:v>100</c:v>
                </c:pt>
                <c:pt idx="1">
                  <c:v>99.841369973907248</c:v>
                </c:pt>
                <c:pt idx="2">
                  <c:v>107.86594134670766</c:v>
                </c:pt>
                <c:pt idx="3">
                  <c:v>108.59787410719399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4709471312275166E-7"/>
                  <c:y val="4.660056209347266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Total!$V$75:$Y$75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Total!$V$79:$Y$79</c:f>
              <c:numCache>
                <c:formatCode>General</c:formatCode>
                <c:ptCount val="4"/>
                <c:pt idx="0">
                  <c:v>100</c:v>
                </c:pt>
                <c:pt idx="1">
                  <c:v>94.761535273612665</c:v>
                </c:pt>
                <c:pt idx="2">
                  <c:v>98.119026416571259</c:v>
                </c:pt>
                <c:pt idx="3">
                  <c:v>94.850261101534613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470592"/>
        <c:axId val="191488768"/>
      </c:lineChart>
      <c:catAx>
        <c:axId val="19147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1488768"/>
        <c:crosses val="autoZero"/>
        <c:auto val="1"/>
        <c:lblAlgn val="ctr"/>
        <c:lblOffset val="100"/>
        <c:noMultiLvlLbl val="0"/>
      </c:catAx>
      <c:valAx>
        <c:axId val="191488768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1470592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0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448877056550858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88777455273942"/>
          <c:y val="0.16445370370370369"/>
          <c:w val="0.76612107967925835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Total!$B$70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Total!$V$69:$Y$69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Total!$V$70:$Y$70</c:f>
              <c:numCache>
                <c:formatCode>General</c:formatCode>
                <c:ptCount val="4"/>
                <c:pt idx="0">
                  <c:v>641.1181455209786</c:v>
                </c:pt>
                <c:pt idx="1">
                  <c:v>640.10113963945332</c:v>
                </c:pt>
                <c:pt idx="2">
                  <c:v>691.54812281075863</c:v>
                </c:pt>
                <c:pt idx="3">
                  <c:v>696.24067655124918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21152"/>
        <c:axId val="191522688"/>
      </c:lineChart>
      <c:catAx>
        <c:axId val="19152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91522688"/>
        <c:crosses val="autoZero"/>
        <c:auto val="1"/>
        <c:lblAlgn val="ctr"/>
        <c:lblOffset val="100"/>
        <c:noMultiLvlLbl val="0"/>
      </c:catAx>
      <c:valAx>
        <c:axId val="191522688"/>
        <c:scaling>
          <c:orientation val="minMax"/>
          <c:max val="750"/>
          <c:min val="6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91521152"/>
        <c:crosses val="autoZero"/>
        <c:crossBetween val="midCat"/>
        <c:maj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0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Larger</a:t>
            </a:r>
          </a:p>
        </c:rich>
      </c:tx>
      <c:layout>
        <c:manualLayout>
          <c:xMode val="edge"/>
          <c:yMode val="edge"/>
          <c:x val="0.4398359259506286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8240420181991"/>
          <c:y val="0.17621296296296732"/>
          <c:w val="0.83397100949897662"/>
          <c:h val="0.57282407407409586"/>
        </c:manualLayout>
      </c:layout>
      <c:lineChart>
        <c:grouping val="standard"/>
        <c:varyColors val="0"/>
        <c:ser>
          <c:idx val="1"/>
          <c:order val="0"/>
          <c:tx>
            <c:strRef>
              <c:f>Total!$B$71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Total!$V$69:$Y$69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Total!$V$73:$Y$73</c:f>
              <c:numCache>
                <c:formatCode>General</c:formatCode>
                <c:ptCount val="4"/>
                <c:pt idx="0">
                  <c:v>4620.6585446187173</c:v>
                </c:pt>
                <c:pt idx="1">
                  <c:v>4378.6069766320634</c:v>
                </c:pt>
                <c:pt idx="2">
                  <c:v>4533.7451780139963</c:v>
                </c:pt>
                <c:pt idx="3">
                  <c:v>4382.7066941812227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43168"/>
        <c:axId val="191544704"/>
      </c:lineChart>
      <c:catAx>
        <c:axId val="19154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91544704"/>
        <c:crosses val="autoZero"/>
        <c:auto val="1"/>
        <c:lblAlgn val="ctr"/>
        <c:lblOffset val="100"/>
        <c:noMultiLvlLbl val="0"/>
      </c:catAx>
      <c:valAx>
        <c:axId val="191544704"/>
        <c:scaling>
          <c:orientation val="minMax"/>
          <c:max val="5200"/>
          <c:min val="4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91543168"/>
        <c:crosses val="autoZero"/>
        <c:crossBetween val="midCat"/>
        <c:majorUnit val="4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10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716"/>
          <c:h val="0.702040277777789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Total!$V$53:$Y$53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Total!$V$54:$Y$54</c:f>
              <c:numCache>
                <c:formatCode>General</c:formatCode>
                <c:ptCount val="4"/>
                <c:pt idx="0" formatCode="0">
                  <c:v>1155098.7160762739</c:v>
                </c:pt>
                <c:pt idx="1">
                  <c:v>1170563.1956769025</c:v>
                </c:pt>
                <c:pt idx="2">
                  <c:v>1273117.611865134</c:v>
                </c:pt>
                <c:pt idx="3">
                  <c:v>1285385.1742999998</c:v>
                </c:pt>
              </c:numCache>
            </c:numRef>
          </c:val>
        </c:ser>
        <c:ser>
          <c:idx val="1"/>
          <c:order val="1"/>
          <c:tx>
            <c:v>Larger Connection Points</c:v>
          </c:tx>
          <c:invertIfNegative val="0"/>
          <c:cat>
            <c:numRef>
              <c:f>Total!$V$53:$Y$53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Total!$V$57:$Y$57</c:f>
              <c:numCache>
                <c:formatCode>General</c:formatCode>
                <c:ptCount val="4"/>
                <c:pt idx="0">
                  <c:v>687373.77974916878</c:v>
                </c:pt>
                <c:pt idx="1">
                  <c:v>661441.40952414286</c:v>
                </c:pt>
                <c:pt idx="2">
                  <c:v>707488.73253567668</c:v>
                </c:pt>
                <c:pt idx="3">
                  <c:v>700425.02529999998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599360"/>
        <c:axId val="191600896"/>
      </c:barChart>
      <c:catAx>
        <c:axId val="19159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1600896"/>
        <c:crosses val="autoZero"/>
        <c:auto val="1"/>
        <c:lblAlgn val="ctr"/>
        <c:lblOffset val="100"/>
        <c:noMultiLvlLbl val="0"/>
      </c:catAx>
      <c:valAx>
        <c:axId val="1916008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1599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4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 orientation="portrait"/>
  </c:printSettings>
</c:chartSpace>
</file>

<file path=xl/charts/chart10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2745341990076648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Total!$B$61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56787643764014E-6"/>
                  <c:y val="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Total!$V$60:$Y$60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Total!$V$61:$Y$61</c:f>
              <c:numCache>
                <c:formatCode>General</c:formatCode>
                <c:ptCount val="4"/>
                <c:pt idx="0">
                  <c:v>100</c:v>
                </c:pt>
                <c:pt idx="1">
                  <c:v>101.33880155742527</c:v>
                </c:pt>
                <c:pt idx="2">
                  <c:v>110.21721296598402</c:v>
                </c:pt>
                <c:pt idx="3">
                  <c:v>111.27924881314843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444337379734034E-3"/>
                  <c:y val="3.243101851851885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Total!$V$60:$Y$60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Total!$V$64:$Y$64</c:f>
              <c:numCache>
                <c:formatCode>General</c:formatCode>
                <c:ptCount val="4"/>
                <c:pt idx="0">
                  <c:v>100</c:v>
                </c:pt>
                <c:pt idx="1">
                  <c:v>96.227326239518632</c:v>
                </c:pt>
                <c:pt idx="2">
                  <c:v>102.92634857178406</c:v>
                </c:pt>
                <c:pt idx="3">
                  <c:v>101.89871157954174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618432"/>
        <c:axId val="191104128"/>
      </c:lineChart>
      <c:catAx>
        <c:axId val="19161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1104128"/>
        <c:crosses val="autoZero"/>
        <c:auto val="1"/>
        <c:lblAlgn val="ctr"/>
        <c:lblOffset val="100"/>
        <c:noMultiLvlLbl val="0"/>
      </c:catAx>
      <c:valAx>
        <c:axId val="191104128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1618432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10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03"/>
          <c:y val="6.4675925925925928E-2"/>
          <c:w val="0.83176107888302875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Total!$B$305</c:f>
              <c:strCache>
                <c:ptCount val="1"/>
                <c:pt idx="0">
                  <c:v>Non-exempt average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55504406251268501"/>
                  <c:y val="2.6360080233013887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Exempt average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Total!$C$302:$F$302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Total!$C$305:$F$305</c:f>
              <c:numCache>
                <c:formatCode>0.00</c:formatCode>
                <c:ptCount val="4"/>
                <c:pt idx="0">
                  <c:v>2.2142696843750005</c:v>
                </c:pt>
                <c:pt idx="1">
                  <c:v>2.6848478770588233</c:v>
                </c:pt>
                <c:pt idx="2">
                  <c:v>1.9319064523529415</c:v>
                </c:pt>
                <c:pt idx="3">
                  <c:v>2.1609641335294119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Total!$B$306</c:f>
              <c:strCache>
                <c:ptCount val="1"/>
                <c:pt idx="0">
                  <c:v>Exempt average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0.26671341654909425"/>
                  <c:y val="-0.16271204821360877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Non-exempt average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Total!$C$302:$F$302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Total!$C$306:$F$306</c:f>
              <c:numCache>
                <c:formatCode>0.00</c:formatCode>
                <c:ptCount val="4"/>
                <c:pt idx="0">
                  <c:v>2.2120914900000002</c:v>
                </c:pt>
                <c:pt idx="1">
                  <c:v>2.3275498358333331</c:v>
                </c:pt>
                <c:pt idx="2">
                  <c:v>2.0587821549999998</c:v>
                </c:pt>
                <c:pt idx="3">
                  <c:v>2.1491749783333338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145856"/>
        <c:axId val="191147392"/>
      </c:lineChart>
      <c:catAx>
        <c:axId val="19114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1147392"/>
        <c:crosses val="autoZero"/>
        <c:auto val="1"/>
        <c:lblAlgn val="ctr"/>
        <c:lblOffset val="100"/>
        <c:noMultiLvlLbl val="0"/>
      </c:catAx>
      <c:valAx>
        <c:axId val="191147392"/>
        <c:scaling>
          <c:orientation val="minMax"/>
          <c:max val="3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1145856"/>
        <c:crosses val="autoZero"/>
        <c:crossBetween val="midCat"/>
        <c:majorUnit val="0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10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3159722222223"/>
          <c:y val="6.4675925925925928E-2"/>
          <c:w val="0.7654208333333552"/>
          <c:h val="0.80984259259260005"/>
        </c:manualLayout>
      </c:layout>
      <c:lineChart>
        <c:grouping val="standard"/>
        <c:varyColors val="0"/>
        <c:ser>
          <c:idx val="1"/>
          <c:order val="0"/>
          <c:tx>
            <c:strRef>
              <c:f>Total!$B$296</c:f>
              <c:strCache>
                <c:ptCount val="1"/>
                <c:pt idx="0">
                  <c:v>Non-exempt average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4674054080308624"/>
                  <c:y val="0.10478900408081709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Exempt</a:t>
                    </a:r>
                    <a:r>
                      <a:rPr lang="en-NZ" baseline="0"/>
                      <a:t> average</a:t>
                    </a:r>
                    <a:endParaRPr lang="en-NZ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Total!$C$293:$F$293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Total!$C$296:$F$296</c:f>
              <c:numCache>
                <c:formatCode>0.00</c:formatCode>
                <c:ptCount val="4"/>
                <c:pt idx="0">
                  <c:v>220.67559570624999</c:v>
                </c:pt>
                <c:pt idx="1">
                  <c:v>218.05225676470587</c:v>
                </c:pt>
                <c:pt idx="2">
                  <c:v>178.12505260588236</c:v>
                </c:pt>
                <c:pt idx="3">
                  <c:v>190.62067929411762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Total!$B$297</c:f>
              <c:strCache>
                <c:ptCount val="1"/>
                <c:pt idx="0">
                  <c:v>Exempt average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4674054080308641"/>
                  <c:y val="-3.965395670183905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Non-exempt average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Total!$C$293:$F$293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Total!$C$297:$F$297</c:f>
              <c:numCache>
                <c:formatCode>0.00</c:formatCode>
                <c:ptCount val="4"/>
                <c:pt idx="0">
                  <c:v>206.02758333333338</c:v>
                </c:pt>
                <c:pt idx="1">
                  <c:v>230.89393687499998</c:v>
                </c:pt>
                <c:pt idx="2">
                  <c:v>160.07203299999998</c:v>
                </c:pt>
                <c:pt idx="3">
                  <c:v>188.70338516666666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209856"/>
        <c:axId val="191211392"/>
      </c:lineChart>
      <c:catAx>
        <c:axId val="19120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1211392"/>
        <c:crosses val="autoZero"/>
        <c:auto val="1"/>
        <c:lblAlgn val="ctr"/>
        <c:lblOffset val="100"/>
        <c:noMultiLvlLbl val="0"/>
      </c:catAx>
      <c:valAx>
        <c:axId val="191211392"/>
        <c:scaling>
          <c:orientation val="minMax"/>
          <c:max val="3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1209856"/>
        <c:crosses val="autoZero"/>
        <c:crossBetween val="midCat"/>
        <c:maj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227523283556909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Buller!$B$120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3.527731481481576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Buller!$V$119:$Y$119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Buller!$V$120:$Y$120</c:f>
              <c:numCache>
                <c:formatCode>0.0</c:formatCode>
                <c:ptCount val="4"/>
                <c:pt idx="0">
                  <c:v>100</c:v>
                </c:pt>
                <c:pt idx="1">
                  <c:v>102.79902062929777</c:v>
                </c:pt>
                <c:pt idx="2">
                  <c:v>106.31381537820378</c:v>
                </c:pt>
                <c:pt idx="3">
                  <c:v>102.24085970291429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Buller!$B$121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801338294663E-3"/>
                  <c:y val="-2.939861111111112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Buller!$V$119:$Y$119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Buller!$V$121:$Y$121</c:f>
              <c:numCache>
                <c:formatCode>0.0</c:formatCode>
                <c:ptCount val="4"/>
                <c:pt idx="0">
                  <c:v>100</c:v>
                </c:pt>
                <c:pt idx="1">
                  <c:v>114.67482716551443</c:v>
                </c:pt>
                <c:pt idx="2">
                  <c:v>114.23342822285483</c:v>
                </c:pt>
                <c:pt idx="3">
                  <c:v>132.05694997966651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97472"/>
        <c:axId val="121499008"/>
      </c:lineChart>
      <c:catAx>
        <c:axId val="12149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1499008"/>
        <c:crosses val="autoZero"/>
        <c:auto val="1"/>
        <c:lblAlgn val="ctr"/>
        <c:lblOffset val="100"/>
        <c:noMultiLvlLbl val="0"/>
      </c:catAx>
      <c:valAx>
        <c:axId val="121499008"/>
        <c:scaling>
          <c:orientation val="minMax"/>
          <c:max val="14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149747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0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03"/>
          <c:y val="6.4675925925925928E-2"/>
          <c:w val="0.74798643632820261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Total!$B$321</c:f>
              <c:strCache>
                <c:ptCount val="1"/>
                <c:pt idx="0">
                  <c:v>Median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2055374693482472E-2"/>
                  <c:y val="3.5477582846004117E-4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Median</a:t>
                    </a:r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Total!$C$302:$F$302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Total!$C$321:$F$321</c:f>
              <c:numCache>
                <c:formatCode>0.00</c:formatCode>
                <c:ptCount val="4"/>
                <c:pt idx="0">
                  <c:v>1.7791999999999999</c:v>
                </c:pt>
                <c:pt idx="1">
                  <c:v>2.0699540000000001</c:v>
                </c:pt>
                <c:pt idx="2">
                  <c:v>2.02</c:v>
                </c:pt>
                <c:pt idx="3">
                  <c:v>2.0700000000000003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Total!$B$319</c:f>
              <c:strCache>
                <c:ptCount val="1"/>
                <c:pt idx="0">
                  <c:v>Minimum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21938305221499821"/>
                  <c:y val="6.2660818713450289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Minimum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Total!$C$302:$F$302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Total!$C$319:$F$319</c:f>
              <c:numCache>
                <c:formatCode>0.00</c:formatCode>
                <c:ptCount val="4"/>
                <c:pt idx="0">
                  <c:v>0.184</c:v>
                </c:pt>
                <c:pt idx="1">
                  <c:v>0.38800000000000001</c:v>
                </c:pt>
                <c:pt idx="2">
                  <c:v>0.56999999999999995</c:v>
                </c:pt>
                <c:pt idx="3">
                  <c:v>0.53600000000000003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Total!$B$323</c:f>
              <c:strCache>
                <c:ptCount val="1"/>
                <c:pt idx="0">
                  <c:v>Maximum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6.7685185185185175E-3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Total!$C$302:$F$302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Total!$C$323:$F$323</c:f>
              <c:numCache>
                <c:formatCode>0.00</c:formatCode>
                <c:ptCount val="4"/>
                <c:pt idx="0">
                  <c:v>6.3956900000000001</c:v>
                </c:pt>
                <c:pt idx="1">
                  <c:v>10.88180624</c:v>
                </c:pt>
                <c:pt idx="2">
                  <c:v>4.19263034</c:v>
                </c:pt>
                <c:pt idx="3">
                  <c:v>4.9260000000000002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Total!$B$320</c:f>
              <c:strCache>
                <c:ptCount val="1"/>
                <c:pt idx="0">
                  <c:v>Lower Quartile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7636800642701681E-2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Q1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Total!$C$302:$F$302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Total!$C$320:$F$320</c:f>
              <c:numCache>
                <c:formatCode>0.00</c:formatCode>
                <c:ptCount val="4"/>
                <c:pt idx="0">
                  <c:v>1.4327244699999999</c:v>
                </c:pt>
                <c:pt idx="1">
                  <c:v>1.52</c:v>
                </c:pt>
                <c:pt idx="2">
                  <c:v>1.34</c:v>
                </c:pt>
                <c:pt idx="3">
                  <c:v>1.4785322299999999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Total!$B$323</c:f>
              <c:strCache>
                <c:ptCount val="1"/>
                <c:pt idx="0">
                  <c:v>Maximum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2046000803377212E-2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Q3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Total!$C$302:$F$302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Total!$C$322:$F$322</c:f>
              <c:numCache>
                <c:formatCode>0.00</c:formatCode>
                <c:ptCount val="4"/>
                <c:pt idx="0">
                  <c:v>2.7474999999999996</c:v>
                </c:pt>
                <c:pt idx="1">
                  <c:v>3.0920000000000001</c:v>
                </c:pt>
                <c:pt idx="2">
                  <c:v>2.4788800000000002</c:v>
                </c:pt>
                <c:pt idx="3">
                  <c:v>2.84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274368"/>
        <c:axId val="191321216"/>
      </c:lineChart>
      <c:catAx>
        <c:axId val="19127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1321216"/>
        <c:crosses val="autoZero"/>
        <c:auto val="1"/>
        <c:lblAlgn val="ctr"/>
        <c:lblOffset val="100"/>
        <c:noMultiLvlLbl val="0"/>
      </c:catAx>
      <c:valAx>
        <c:axId val="191321216"/>
        <c:scaling>
          <c:orientation val="minMax"/>
          <c:max val="11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1274368"/>
        <c:crosses val="autoZero"/>
        <c:crossBetween val="midCat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10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3159722222223"/>
          <c:y val="6.4675925925925928E-2"/>
          <c:w val="0.74335537645256189"/>
          <c:h val="0.80984259259260005"/>
        </c:manualLayout>
      </c:layout>
      <c:lineChart>
        <c:grouping val="standard"/>
        <c:varyColors val="0"/>
        <c:ser>
          <c:idx val="1"/>
          <c:order val="0"/>
          <c:tx>
            <c:strRef>
              <c:f>Total!$B$313</c:f>
              <c:strCache>
                <c:ptCount val="1"/>
                <c:pt idx="0">
                  <c:v>Median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2051222037053852E-2"/>
                  <c:y val="-1.1851851851851906E-3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Median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Total!$C$293:$F$293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Total!$C$313:$F$313</c:f>
              <c:numCache>
                <c:formatCode>0.00</c:formatCode>
                <c:ptCount val="4"/>
                <c:pt idx="0">
                  <c:v>153.80500000000001</c:v>
                </c:pt>
                <c:pt idx="1">
                  <c:v>200.942508</c:v>
                </c:pt>
                <c:pt idx="2">
                  <c:v>139.89975200000001</c:v>
                </c:pt>
                <c:pt idx="3">
                  <c:v>177.40687600000001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Total!$B$311</c:f>
              <c:strCache>
                <c:ptCount val="1"/>
                <c:pt idx="0">
                  <c:v>Minimum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9.5536062378168661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Minimum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Total!$C$293:$F$293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Total!$C$311:$F$311</c:f>
              <c:numCache>
                <c:formatCode>0.00</c:formatCode>
                <c:ptCount val="4"/>
                <c:pt idx="0">
                  <c:v>16.935000000000002</c:v>
                </c:pt>
                <c:pt idx="1">
                  <c:v>26.35</c:v>
                </c:pt>
                <c:pt idx="2">
                  <c:v>29.991</c:v>
                </c:pt>
                <c:pt idx="3">
                  <c:v>34.738355999999996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Total!$B$315</c:f>
              <c:strCache>
                <c:ptCount val="1"/>
                <c:pt idx="0">
                  <c:v>Maximum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7.7037037037037655E-3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Total!$C$293:$F$293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Total!$C$315:$F$315</c:f>
              <c:numCache>
                <c:formatCode>0.00</c:formatCode>
                <c:ptCount val="4"/>
                <c:pt idx="0">
                  <c:v>818.30200000000002</c:v>
                </c:pt>
                <c:pt idx="1">
                  <c:v>915.15621999999996</c:v>
                </c:pt>
                <c:pt idx="2">
                  <c:v>463.03188299999999</c:v>
                </c:pt>
                <c:pt idx="3">
                  <c:v>440.017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Total!$B$312</c:f>
              <c:strCache>
                <c:ptCount val="1"/>
                <c:pt idx="0">
                  <c:v>Lower Quartile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7640977629642961E-2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Q1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Total!$C$293:$F$293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Total!$C$312:$F$312</c:f>
              <c:numCache>
                <c:formatCode>0.00</c:formatCode>
                <c:ptCount val="4"/>
                <c:pt idx="0">
                  <c:v>108.575</c:v>
                </c:pt>
                <c:pt idx="1">
                  <c:v>115.81</c:v>
                </c:pt>
                <c:pt idx="2">
                  <c:v>74.980100999999991</c:v>
                </c:pt>
                <c:pt idx="3">
                  <c:v>111.54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Total!$B$314</c:f>
              <c:strCache>
                <c:ptCount val="1"/>
                <c:pt idx="0">
                  <c:v>Upper Quartile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6461466444464492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Q3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Total!$C$293:$F$293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Total!$C$314:$F$314</c:f>
              <c:numCache>
                <c:formatCode>0.00</c:formatCode>
                <c:ptCount val="4"/>
                <c:pt idx="0">
                  <c:v>254.57499999999999</c:v>
                </c:pt>
                <c:pt idx="1">
                  <c:v>254.34</c:v>
                </c:pt>
                <c:pt idx="2">
                  <c:v>279.3</c:v>
                </c:pt>
                <c:pt idx="3">
                  <c:v>273.93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351040"/>
        <c:axId val="192057344"/>
      </c:lineChart>
      <c:catAx>
        <c:axId val="19135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057344"/>
        <c:crosses val="autoZero"/>
        <c:auto val="1"/>
        <c:lblAlgn val="ctr"/>
        <c:lblOffset val="100"/>
        <c:noMultiLvlLbl val="0"/>
      </c:catAx>
      <c:valAx>
        <c:axId val="192057344"/>
        <c:scaling>
          <c:orientation val="minMax"/>
          <c:max val="1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135104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0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9686370101633097"/>
          <c:y val="3.366606182626460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112932372551754E-2"/>
          <c:y val="0.13550222222222241"/>
          <c:w val="0.8314713483113122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Total!$B$191</c:f>
              <c:strCache>
                <c:ptCount val="1"/>
                <c:pt idx="0">
                  <c:v>Median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320007733359111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Median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Total!$C$187:$F$187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Total!$C$191:$F$191</c:f>
              <c:numCache>
                <c:formatCode>0.00</c:formatCode>
                <c:ptCount val="4"/>
                <c:pt idx="0">
                  <c:v>251.03442192274468</c:v>
                </c:pt>
                <c:pt idx="1">
                  <c:v>279.28765812626654</c:v>
                </c:pt>
                <c:pt idx="2">
                  <c:v>267.42431484232475</c:v>
                </c:pt>
                <c:pt idx="3">
                  <c:v>271.86364304616285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Total!$B$189</c:f>
              <c:strCache>
                <c:ptCount val="1"/>
                <c:pt idx="0">
                  <c:v>Minimum</c:v>
                </c:pt>
              </c:strCache>
            </c:strRef>
          </c:tx>
          <c:spPr>
            <a:ln w="19050">
              <a:solidFill>
                <a:srgbClr val="4785D1"/>
              </a:solidFill>
            </a:ln>
          </c:spPr>
          <c:marker>
            <c:symbol val="none"/>
          </c:marker>
          <c:val>
            <c:numRef>
              <c:f>Total!$C$189:$F$189</c:f>
              <c:numCache>
                <c:formatCode>0.00</c:formatCode>
                <c:ptCount val="4"/>
                <c:pt idx="0">
                  <c:v>171.58889486519649</c:v>
                </c:pt>
                <c:pt idx="1">
                  <c:v>117.54100908944923</c:v>
                </c:pt>
                <c:pt idx="2">
                  <c:v>174.19948885299732</c:v>
                </c:pt>
                <c:pt idx="3">
                  <c:v>173.46122349087418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Total!$B$190</c:f>
              <c:strCache>
                <c:ptCount val="1"/>
                <c:pt idx="0">
                  <c:v>Lower Quartile</c:v>
                </c:pt>
              </c:strCache>
            </c:strRef>
          </c:tx>
          <c:spPr>
            <a:ln w="19050">
              <a:solidFill>
                <a:srgbClr val="A9C6E9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tx>
                <c:rich>
                  <a:bodyPr/>
                  <a:lstStyle/>
                  <a:p>
                    <a:r>
                      <a:rPr lang="en-US" sz="700"/>
                      <a:t>Q</a:t>
                    </a:r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Total!$C$190:$F$190</c:f>
              <c:numCache>
                <c:formatCode>0.00</c:formatCode>
                <c:ptCount val="4"/>
                <c:pt idx="0">
                  <c:v>209.26627622915072</c:v>
                </c:pt>
                <c:pt idx="1">
                  <c:v>210.8317010592215</c:v>
                </c:pt>
                <c:pt idx="2">
                  <c:v>222.20303445497589</c:v>
                </c:pt>
                <c:pt idx="3">
                  <c:v>218.18249952288778</c:v>
                </c:pt>
              </c:numCache>
            </c:numRef>
          </c:val>
          <c:smooth val="0"/>
        </c:ser>
        <c:ser>
          <c:idx val="3"/>
          <c:order val="3"/>
          <c:tx>
            <c:v>Q3</c:v>
          </c:tx>
          <c:spPr>
            <a:ln w="19050">
              <a:solidFill>
                <a:schemeClr val="accent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Total!$C$192:$F$192</c:f>
              <c:numCache>
                <c:formatCode>0.00</c:formatCode>
                <c:ptCount val="4"/>
                <c:pt idx="0">
                  <c:v>296.76352271186153</c:v>
                </c:pt>
                <c:pt idx="1">
                  <c:v>326.29175022872352</c:v>
                </c:pt>
                <c:pt idx="2">
                  <c:v>340.27007361453354</c:v>
                </c:pt>
                <c:pt idx="3">
                  <c:v>347.34139585163166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Total!$B$193</c:f>
              <c:strCache>
                <c:ptCount val="1"/>
                <c:pt idx="0">
                  <c:v>Maximum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Total!$C$193:$F$193</c:f>
              <c:numCache>
                <c:formatCode>0.00</c:formatCode>
                <c:ptCount val="4"/>
                <c:pt idx="0">
                  <c:v>669.0700584106105</c:v>
                </c:pt>
                <c:pt idx="1">
                  <c:v>609.66133771418333</c:v>
                </c:pt>
                <c:pt idx="2">
                  <c:v>662.00387723112351</c:v>
                </c:pt>
                <c:pt idx="3">
                  <c:v>686.62546353522873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10976"/>
        <c:axId val="192112512"/>
      </c:lineChart>
      <c:catAx>
        <c:axId val="19211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112512"/>
        <c:crosses val="autoZero"/>
        <c:auto val="1"/>
        <c:lblAlgn val="ctr"/>
        <c:lblOffset val="100"/>
        <c:noMultiLvlLbl val="0"/>
      </c:catAx>
      <c:valAx>
        <c:axId val="192112512"/>
        <c:scaling>
          <c:orientation val="minMax"/>
          <c:max val="7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2110976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10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($000)</a:t>
            </a:r>
            <a:endParaRPr lang="en-NZ"/>
          </a:p>
        </c:rich>
      </c:tx>
      <c:layout>
        <c:manualLayout>
          <c:xMode val="edge"/>
          <c:yMode val="edge"/>
          <c:x val="0.214782054430232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89873213002096"/>
          <c:y val="0.14255777777777778"/>
          <c:w val="0.79916672865224136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9278347736763469E-4"/>
                  <c:y val="-2.0278815491359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Median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Total!$C$187:$F$187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Total!$C$198:$F$198</c:f>
              <c:numCache>
                <c:formatCode>0.00</c:formatCode>
                <c:ptCount val="4"/>
                <c:pt idx="0">
                  <c:v>2500.8808018347518</c:v>
                </c:pt>
                <c:pt idx="1">
                  <c:v>2821.40551666284</c:v>
                </c:pt>
                <c:pt idx="2">
                  <c:v>2965.0839172396618</c:v>
                </c:pt>
                <c:pt idx="3">
                  <c:v>2926.6601941747572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Total!$B$196</c:f>
              <c:strCache>
                <c:ptCount val="1"/>
                <c:pt idx="0">
                  <c:v>Minimum</c:v>
                </c:pt>
              </c:strCache>
            </c:strRef>
          </c:tx>
          <c:spPr>
            <a:ln w="19050">
              <a:solidFill>
                <a:srgbClr val="4785D1"/>
              </a:solidFill>
            </a:ln>
          </c:spPr>
          <c:marker>
            <c:symbol val="none"/>
          </c:marker>
          <c:val>
            <c:numRef>
              <c:f>Total!$C$196:$F$196</c:f>
              <c:numCache>
                <c:formatCode>0.00</c:formatCode>
                <c:ptCount val="4"/>
                <c:pt idx="0">
                  <c:v>1045.2994681412067</c:v>
                </c:pt>
                <c:pt idx="1">
                  <c:v>1279.475006361529</c:v>
                </c:pt>
                <c:pt idx="2">
                  <c:v>1165.6310968981038</c:v>
                </c:pt>
                <c:pt idx="3">
                  <c:v>1170.4668514384778</c:v>
                </c:pt>
              </c:numCache>
            </c:numRef>
          </c:val>
          <c:smooth val="0"/>
        </c:ser>
        <c:ser>
          <c:idx val="2"/>
          <c:order val="2"/>
          <c:tx>
            <c:v>Q1</c:v>
          </c:tx>
          <c:spPr>
            <a:ln w="19050">
              <a:solidFill>
                <a:srgbClr val="A9C6E9"/>
              </a:solidFill>
              <a:prstDash val="dash"/>
            </a:ln>
          </c:spPr>
          <c:marker>
            <c:symbol val="none"/>
          </c:marker>
          <c:dLbls>
            <c:dLbl>
              <c:idx val="3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Total!$C$197:$F$197</c:f>
              <c:numCache>
                <c:formatCode>0.00</c:formatCode>
                <c:ptCount val="4"/>
                <c:pt idx="0">
                  <c:v>1930.6663100676046</c:v>
                </c:pt>
                <c:pt idx="1">
                  <c:v>2098.2366613502513</c:v>
                </c:pt>
                <c:pt idx="2">
                  <c:v>2000.2368020067902</c:v>
                </c:pt>
                <c:pt idx="3">
                  <c:v>1914.0213903743315</c:v>
                </c:pt>
              </c:numCache>
            </c:numRef>
          </c:val>
          <c:smooth val="0"/>
        </c:ser>
        <c:ser>
          <c:idx val="3"/>
          <c:order val="3"/>
          <c:tx>
            <c:v>Q3</c:v>
          </c:tx>
          <c:spPr>
            <a:ln w="19050">
              <a:solidFill>
                <a:schemeClr val="accent1"/>
              </a:solidFill>
              <a:prstDash val="dash"/>
            </a:ln>
          </c:spPr>
          <c:marker>
            <c:symbol val="none"/>
          </c:marker>
          <c:dLbls>
            <c:dLbl>
              <c:idx val="3"/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Total!$C$199:$F$199</c:f>
              <c:numCache>
                <c:formatCode>0.00</c:formatCode>
                <c:ptCount val="4"/>
                <c:pt idx="0">
                  <c:v>3412.5025591135422</c:v>
                </c:pt>
                <c:pt idx="1">
                  <c:v>3448.2197059240152</c:v>
                </c:pt>
                <c:pt idx="2">
                  <c:v>3641.0629597693405</c:v>
                </c:pt>
                <c:pt idx="3">
                  <c:v>3697.3732708617254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Total!$B$200</c:f>
              <c:strCache>
                <c:ptCount val="1"/>
                <c:pt idx="0">
                  <c:v>Maximum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Total!$C$200:$F$200</c:f>
              <c:numCache>
                <c:formatCode>0.00</c:formatCode>
                <c:ptCount val="4"/>
                <c:pt idx="0">
                  <c:v>7741.7007380578134</c:v>
                </c:pt>
                <c:pt idx="1">
                  <c:v>7871.8670306287822</c:v>
                </c:pt>
                <c:pt idx="2">
                  <c:v>8831.7936364568286</c:v>
                </c:pt>
                <c:pt idx="3">
                  <c:v>7232.0331507107421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174720"/>
        <c:axId val="192184704"/>
      </c:lineChart>
      <c:catAx>
        <c:axId val="19217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2184704"/>
        <c:crosses val="autoZero"/>
        <c:auto val="1"/>
        <c:lblAlgn val="ctr"/>
        <c:lblOffset val="100"/>
        <c:noMultiLvlLbl val="0"/>
      </c:catAx>
      <c:valAx>
        <c:axId val="192184704"/>
        <c:scaling>
          <c:orientation val="minMax"/>
          <c:max val="1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crossAx val="192174720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10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126828355917178E-2"/>
          <c:y val="0.13550222222222241"/>
          <c:w val="0.8348590015867296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Total!$B$205</c:f>
              <c:strCache>
                <c:ptCount val="1"/>
                <c:pt idx="0">
                  <c:v>Median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1.8195943127895776E-2"/>
                </c:manualLayout>
              </c:layout>
              <c:tx>
                <c:rich>
                  <a:bodyPr/>
                  <a:lstStyle/>
                  <a:p>
                    <a:r>
                      <a:rPr lang="en-US" sz="700" b="0" i="0" baseline="0"/>
                      <a:t>Median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Total!$C$187:$F$187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Total!$C$205:$F$205</c:f>
              <c:numCache>
                <c:formatCode>0.00</c:formatCode>
                <c:ptCount val="4"/>
                <c:pt idx="0">
                  <c:v>15.191593242450082</c:v>
                </c:pt>
                <c:pt idx="1">
                  <c:v>15.283234618135431</c:v>
                </c:pt>
                <c:pt idx="2">
                  <c:v>16.393353829265248</c:v>
                </c:pt>
                <c:pt idx="3">
                  <c:v>16.819675012449629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Total!$B$203</c:f>
              <c:strCache>
                <c:ptCount val="1"/>
                <c:pt idx="0">
                  <c:v>Minimum</c:v>
                </c:pt>
              </c:strCache>
            </c:strRef>
          </c:tx>
          <c:spPr>
            <a:ln w="19050">
              <a:solidFill>
                <a:srgbClr val="4785D1"/>
              </a:solidFill>
            </a:ln>
          </c:spPr>
          <c:marker>
            <c:symbol val="none"/>
          </c:marker>
          <c:val>
            <c:numRef>
              <c:f>Total!$C$203:$F$203</c:f>
              <c:numCache>
                <c:formatCode>0.00</c:formatCode>
                <c:ptCount val="4"/>
                <c:pt idx="0">
                  <c:v>11.683951308800651</c:v>
                </c:pt>
                <c:pt idx="1">
                  <c:v>11.778302841078288</c:v>
                </c:pt>
                <c:pt idx="2">
                  <c:v>11.048093383043975</c:v>
                </c:pt>
                <c:pt idx="3">
                  <c:v>11.115533143265036</c:v>
                </c:pt>
              </c:numCache>
            </c:numRef>
          </c:val>
          <c:smooth val="0"/>
        </c:ser>
        <c:ser>
          <c:idx val="2"/>
          <c:order val="2"/>
          <c:tx>
            <c:v>Q1</c:v>
          </c:tx>
          <c:spPr>
            <a:ln w="19050">
              <a:solidFill>
                <a:schemeClr val="accent1"/>
              </a:solidFill>
              <a:prstDash val="dash"/>
            </a:ln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7.055579074152473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Total!$C$204:$F$204</c:f>
              <c:numCache>
                <c:formatCode>0.00</c:formatCode>
                <c:ptCount val="4"/>
                <c:pt idx="0">
                  <c:v>12.697530149495153</c:v>
                </c:pt>
                <c:pt idx="1">
                  <c:v>13.802398368535943</c:v>
                </c:pt>
                <c:pt idx="2">
                  <c:v>13.297553923352799</c:v>
                </c:pt>
                <c:pt idx="3">
                  <c:v>13.406770980913686</c:v>
                </c:pt>
              </c:numCache>
            </c:numRef>
          </c:val>
          <c:smooth val="0"/>
        </c:ser>
        <c:ser>
          <c:idx val="3"/>
          <c:order val="3"/>
          <c:tx>
            <c:v>Q3</c:v>
          </c:tx>
          <c:spPr>
            <a:ln w="19050">
              <a:solidFill>
                <a:schemeClr val="accent1"/>
              </a:solidFill>
              <a:prstDash val="dash"/>
            </a:ln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7.055579074152473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Total!$C$206:$F$206</c:f>
              <c:numCache>
                <c:formatCode>0.00</c:formatCode>
                <c:ptCount val="4"/>
                <c:pt idx="0">
                  <c:v>20.096458216772575</c:v>
                </c:pt>
                <c:pt idx="1">
                  <c:v>22.61907924105633</c:v>
                </c:pt>
                <c:pt idx="2">
                  <c:v>21.259567793217361</c:v>
                </c:pt>
                <c:pt idx="3">
                  <c:v>20.647357039032865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Total!$B$207</c:f>
              <c:strCache>
                <c:ptCount val="1"/>
                <c:pt idx="0">
                  <c:v>Maximum</c:v>
                </c:pt>
              </c:strCache>
            </c:strRef>
          </c:tx>
          <c:spPr>
            <a:ln w="19050">
              <a:solidFill>
                <a:srgbClr val="4785D1"/>
              </a:solidFill>
            </a:ln>
          </c:spPr>
          <c:marker>
            <c:symbol val="none"/>
          </c:marker>
          <c:val>
            <c:numRef>
              <c:f>Total!$C$207:$F$207</c:f>
              <c:numCache>
                <c:formatCode>0.00</c:formatCode>
                <c:ptCount val="4"/>
                <c:pt idx="0">
                  <c:v>66.387584462626592</c:v>
                </c:pt>
                <c:pt idx="1">
                  <c:v>42.979738330103153</c:v>
                </c:pt>
                <c:pt idx="2">
                  <c:v>53.510083488273906</c:v>
                </c:pt>
                <c:pt idx="3">
                  <c:v>51.417875441303018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234624"/>
        <c:axId val="192236160"/>
      </c:lineChart>
      <c:catAx>
        <c:axId val="19223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236160"/>
        <c:crosses val="autoZero"/>
        <c:auto val="1"/>
        <c:lblAlgn val="ctr"/>
        <c:lblOffset val="100"/>
        <c:noMultiLvlLbl val="0"/>
      </c:catAx>
      <c:valAx>
        <c:axId val="192236160"/>
        <c:scaling>
          <c:orientation val="minMax"/>
          <c:max val="7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223462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10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9112932372551754E-2"/>
          <c:y val="0.13550222222222241"/>
          <c:w val="0.8314713483113122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Total!$B$259</c:f>
              <c:strCache>
                <c:ptCount val="1"/>
                <c:pt idx="0">
                  <c:v>Median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1.61444982594387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Median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Total!$C$187:$F$187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Total!$C$259:$F$259</c:f>
              <c:numCache>
                <c:formatCode>0.00</c:formatCode>
                <c:ptCount val="4"/>
                <c:pt idx="0">
                  <c:v>272.95092040751058</c:v>
                </c:pt>
                <c:pt idx="1">
                  <c:v>300.20892304018577</c:v>
                </c:pt>
                <c:pt idx="2">
                  <c:v>271.0049918437627</c:v>
                </c:pt>
                <c:pt idx="3">
                  <c:v>307.23827275551412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Total!$B$257</c:f>
              <c:strCache>
                <c:ptCount val="1"/>
                <c:pt idx="0">
                  <c:v>Minimum</c:v>
                </c:pt>
              </c:strCache>
            </c:strRef>
          </c:tx>
          <c:spPr>
            <a:ln w="19050">
              <a:solidFill>
                <a:srgbClr val="4785D1"/>
              </a:solidFill>
            </a:ln>
          </c:spPr>
          <c:marker>
            <c:symbol val="none"/>
          </c:marker>
          <c:val>
            <c:numRef>
              <c:f>Total!$C$257:$F$257</c:f>
              <c:numCache>
                <c:formatCode>0.00</c:formatCode>
                <c:ptCount val="4"/>
                <c:pt idx="0">
                  <c:v>100.7501287392775</c:v>
                </c:pt>
                <c:pt idx="1">
                  <c:v>106.83338111319678</c:v>
                </c:pt>
                <c:pt idx="2">
                  <c:v>115.07827005297472</c:v>
                </c:pt>
                <c:pt idx="3">
                  <c:v>138.62015394393052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Total!$B$190</c:f>
              <c:strCache>
                <c:ptCount val="1"/>
                <c:pt idx="0">
                  <c:v>Lower Quartile</c:v>
                </c:pt>
              </c:strCache>
            </c:strRef>
          </c:tx>
          <c:spPr>
            <a:ln w="19050">
              <a:solidFill>
                <a:srgbClr val="A9C6E9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7.8395037532396142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Q</a:t>
                    </a:r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Total!$C$258:$F$258</c:f>
              <c:numCache>
                <c:formatCode>0.00</c:formatCode>
                <c:ptCount val="4"/>
                <c:pt idx="0">
                  <c:v>210.27269837543426</c:v>
                </c:pt>
                <c:pt idx="1">
                  <c:v>178.81461076462523</c:v>
                </c:pt>
                <c:pt idx="2">
                  <c:v>200.30579304315188</c:v>
                </c:pt>
                <c:pt idx="3">
                  <c:v>223.42606890660625</c:v>
                </c:pt>
              </c:numCache>
            </c:numRef>
          </c:val>
          <c:smooth val="0"/>
        </c:ser>
        <c:ser>
          <c:idx val="3"/>
          <c:order val="3"/>
          <c:spPr>
            <a:ln w="19050">
              <a:solidFill>
                <a:schemeClr val="accent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7.8395037532396142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Q3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Total!$C$260:$F$260</c:f>
              <c:numCache>
                <c:formatCode>0.00</c:formatCode>
                <c:ptCount val="4"/>
                <c:pt idx="0">
                  <c:v>457.34567385579828</c:v>
                </c:pt>
                <c:pt idx="1">
                  <c:v>394.11164900278129</c:v>
                </c:pt>
                <c:pt idx="2">
                  <c:v>407.13618349839385</c:v>
                </c:pt>
                <c:pt idx="3">
                  <c:v>388.71559506413377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Total!$B$261</c:f>
              <c:strCache>
                <c:ptCount val="1"/>
                <c:pt idx="0">
                  <c:v>Maximum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Total!$C$261:$F$261</c:f>
              <c:numCache>
                <c:formatCode>0.00</c:formatCode>
                <c:ptCount val="4"/>
                <c:pt idx="0">
                  <c:v>679.90064729386449</c:v>
                </c:pt>
                <c:pt idx="1">
                  <c:v>999.50819026847205</c:v>
                </c:pt>
                <c:pt idx="2">
                  <c:v>798.22004521833514</c:v>
                </c:pt>
                <c:pt idx="3">
                  <c:v>920.18649562315204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328064"/>
        <c:axId val="192329600"/>
      </c:lineChart>
      <c:catAx>
        <c:axId val="19232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2329600"/>
        <c:crosses val="autoZero"/>
        <c:auto val="1"/>
        <c:lblAlgn val="ctr"/>
        <c:lblOffset val="100"/>
        <c:noMultiLvlLbl val="0"/>
      </c:catAx>
      <c:valAx>
        <c:axId val="192329600"/>
        <c:scaling>
          <c:orientation val="minMax"/>
          <c:max val="101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2328064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10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$ of RAB</a:t>
            </a:r>
            <a:r>
              <a:rPr lang="en-NZ" sz="1000" baseline="0"/>
              <a:t> ($)</a:t>
            </a:r>
            <a:endParaRPr lang="en-NZ"/>
          </a:p>
        </c:rich>
      </c:tx>
      <c:layout>
        <c:manualLayout>
          <c:xMode val="edge"/>
          <c:yMode val="edge"/>
          <c:x val="0.2147820544302324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624811535552002"/>
          <c:y val="0.14255777777777778"/>
          <c:w val="0.83444449554182265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9270833333333568E-4"/>
                  <c:y val="-2.026814909400033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Median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Total!$C$187:$F$187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Total!$C$273:$F$273</c:f>
              <c:numCache>
                <c:formatCode>0.00</c:formatCode>
                <c:ptCount val="4"/>
                <c:pt idx="0">
                  <c:v>6.7821044158270422E-2</c:v>
                </c:pt>
                <c:pt idx="1">
                  <c:v>6.1260165463779229E-2</c:v>
                </c:pt>
                <c:pt idx="2">
                  <c:v>6.0463896008659666E-2</c:v>
                </c:pt>
                <c:pt idx="3">
                  <c:v>6.2064102655132125E-2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Total!$B$271</c:f>
              <c:strCache>
                <c:ptCount val="1"/>
                <c:pt idx="0">
                  <c:v>Minimum</c:v>
                </c:pt>
              </c:strCache>
            </c:strRef>
          </c:tx>
          <c:spPr>
            <a:ln w="19050">
              <a:solidFill>
                <a:srgbClr val="4785D1"/>
              </a:solidFill>
            </a:ln>
          </c:spPr>
          <c:marker>
            <c:symbol val="none"/>
          </c:marker>
          <c:val>
            <c:numRef>
              <c:f>Total!$C$271:$F$271</c:f>
              <c:numCache>
                <c:formatCode>0.00</c:formatCode>
                <c:ptCount val="4"/>
                <c:pt idx="0">
                  <c:v>2.8402324137051727E-2</c:v>
                </c:pt>
                <c:pt idx="1">
                  <c:v>2.5650770583663187E-2</c:v>
                </c:pt>
                <c:pt idx="2">
                  <c:v>2.7914550039664792E-2</c:v>
                </c:pt>
                <c:pt idx="3">
                  <c:v>3.4386406903844792E-2</c:v>
                </c:pt>
              </c:numCache>
            </c:numRef>
          </c:val>
          <c:smooth val="0"/>
        </c:ser>
        <c:ser>
          <c:idx val="2"/>
          <c:order val="2"/>
          <c:spPr>
            <a:ln w="19050">
              <a:solidFill>
                <a:srgbClr val="A9C6E9"/>
              </a:solidFill>
              <a:prstDash val="dash"/>
            </a:ln>
          </c:spPr>
          <c:marker>
            <c:symbol val="none"/>
          </c:marker>
          <c:dLbls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Q1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Total!$C$272:$F$272</c:f>
              <c:numCache>
                <c:formatCode>0.00</c:formatCode>
                <c:ptCount val="4"/>
                <c:pt idx="0">
                  <c:v>5.147422821921302E-2</c:v>
                </c:pt>
                <c:pt idx="1">
                  <c:v>4.9403470073951704E-2</c:v>
                </c:pt>
                <c:pt idx="2">
                  <c:v>5.0009844348680187E-2</c:v>
                </c:pt>
                <c:pt idx="3">
                  <c:v>5.0657522186620139E-2</c:v>
                </c:pt>
              </c:numCache>
            </c:numRef>
          </c:val>
          <c:smooth val="0"/>
        </c:ser>
        <c:ser>
          <c:idx val="3"/>
          <c:order val="3"/>
          <c:spPr>
            <a:ln w="19050">
              <a:solidFill>
                <a:schemeClr val="accent1"/>
              </a:solidFill>
              <a:prstDash val="dash"/>
            </a:ln>
          </c:spPr>
          <c:marker>
            <c:symbol val="none"/>
          </c:marker>
          <c:dLbls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Q3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Total!$C$274:$F$274</c:f>
              <c:numCache>
                <c:formatCode>0.00</c:formatCode>
                <c:ptCount val="4"/>
                <c:pt idx="0">
                  <c:v>7.7740581078809046E-2</c:v>
                </c:pt>
                <c:pt idx="1">
                  <c:v>7.9827415196667709E-2</c:v>
                </c:pt>
                <c:pt idx="2">
                  <c:v>7.6149799327196982E-2</c:v>
                </c:pt>
                <c:pt idx="3">
                  <c:v>7.3389045209143244E-2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Total!$B$275</c:f>
              <c:strCache>
                <c:ptCount val="1"/>
                <c:pt idx="0">
                  <c:v>Maximum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val>
            <c:numRef>
              <c:f>Total!$C$275:$F$275</c:f>
              <c:numCache>
                <c:formatCode>0.00</c:formatCode>
                <c:ptCount val="4"/>
                <c:pt idx="0">
                  <c:v>0.11989387182175221</c:v>
                </c:pt>
                <c:pt idx="1">
                  <c:v>0.11989781869245725</c:v>
                </c:pt>
                <c:pt idx="2">
                  <c:v>0.11965526411427631</c:v>
                </c:pt>
                <c:pt idx="3">
                  <c:v>0.13267629583112181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782272"/>
        <c:axId val="191804544"/>
      </c:lineChart>
      <c:catAx>
        <c:axId val="19178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1804544"/>
        <c:crosses val="autoZero"/>
        <c:auto val="1"/>
        <c:lblAlgn val="ctr"/>
        <c:lblOffset val="100"/>
        <c:noMultiLvlLbl val="0"/>
      </c:catAx>
      <c:valAx>
        <c:axId val="191804544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91782272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10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126828355917178E-2"/>
          <c:y val="0.13550222222222241"/>
          <c:w val="0.85053800909320709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Total!$B$266</c:f>
              <c:strCache>
                <c:ptCount val="1"/>
                <c:pt idx="0">
                  <c:v>Median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1.8243450594182045E-2"/>
                </c:manualLayout>
              </c:layout>
              <c:tx>
                <c:rich>
                  <a:bodyPr/>
                  <a:lstStyle/>
                  <a:p>
                    <a:r>
                      <a:rPr lang="en-US" sz="700" b="0" i="0" baseline="0"/>
                      <a:t>Median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Total!$C$187:$F$187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Total!$C$266:$F$266</c:f>
              <c:numCache>
                <c:formatCode>0</c:formatCode>
                <c:ptCount val="4"/>
                <c:pt idx="0">
                  <c:v>20926.093644185654</c:v>
                </c:pt>
                <c:pt idx="1">
                  <c:v>17970.914918523551</c:v>
                </c:pt>
                <c:pt idx="2">
                  <c:v>18204.802015085941</c:v>
                </c:pt>
                <c:pt idx="3">
                  <c:v>18536.257211166452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Total!$B$264</c:f>
              <c:strCache>
                <c:ptCount val="1"/>
                <c:pt idx="0">
                  <c:v>Minimum</c:v>
                </c:pt>
              </c:strCache>
            </c:strRef>
          </c:tx>
          <c:spPr>
            <a:ln w="19050">
              <a:solidFill>
                <a:srgbClr val="4785D1"/>
              </a:solidFill>
            </a:ln>
          </c:spPr>
          <c:marker>
            <c:symbol val="none"/>
          </c:marker>
          <c:val>
            <c:numRef>
              <c:f>Total!$C$264:$F$264</c:f>
              <c:numCache>
                <c:formatCode>0</c:formatCode>
                <c:ptCount val="4"/>
                <c:pt idx="0">
                  <c:v>5840.115806620749</c:v>
                </c:pt>
                <c:pt idx="1">
                  <c:v>6489.0092251146198</c:v>
                </c:pt>
                <c:pt idx="2">
                  <c:v>6678.1902565663777</c:v>
                </c:pt>
                <c:pt idx="3">
                  <c:v>10530.733971940994</c:v>
                </c:pt>
              </c:numCache>
            </c:numRef>
          </c:val>
          <c:smooth val="0"/>
        </c:ser>
        <c:ser>
          <c:idx val="2"/>
          <c:order val="2"/>
          <c:spPr>
            <a:ln w="19050">
              <a:solidFill>
                <a:schemeClr val="accent1"/>
              </a:solidFill>
              <a:prstDash val="dash"/>
            </a:ln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7.05557907415247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Q1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Total!$C$265:$F$265</c:f>
              <c:numCache>
                <c:formatCode>0</c:formatCode>
                <c:ptCount val="4"/>
                <c:pt idx="0">
                  <c:v>15150.410315355464</c:v>
                </c:pt>
                <c:pt idx="1">
                  <c:v>14853.706805861033</c:v>
                </c:pt>
                <c:pt idx="2">
                  <c:v>13761.912993370488</c:v>
                </c:pt>
                <c:pt idx="3">
                  <c:v>14145.133659749827</c:v>
                </c:pt>
              </c:numCache>
            </c:numRef>
          </c:val>
          <c:smooth val="0"/>
        </c:ser>
        <c:ser>
          <c:idx val="3"/>
          <c:order val="3"/>
          <c:spPr>
            <a:ln w="19050">
              <a:solidFill>
                <a:schemeClr val="accent1"/>
              </a:solidFill>
              <a:prstDash val="dash"/>
            </a:ln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7.05557907415247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Q3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Total!$C$267:$F$267</c:f>
              <c:numCache>
                <c:formatCode>0</c:formatCode>
                <c:ptCount val="4"/>
                <c:pt idx="0">
                  <c:v>25706.530315140706</c:v>
                </c:pt>
                <c:pt idx="1">
                  <c:v>29363.865346140588</c:v>
                </c:pt>
                <c:pt idx="2">
                  <c:v>26341.39980417574</c:v>
                </c:pt>
                <c:pt idx="3">
                  <c:v>24809.148769588846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Total!$B$268</c:f>
              <c:strCache>
                <c:ptCount val="1"/>
                <c:pt idx="0">
                  <c:v>Maximum</c:v>
                </c:pt>
              </c:strCache>
            </c:strRef>
          </c:tx>
          <c:spPr>
            <a:ln w="19050">
              <a:solidFill>
                <a:srgbClr val="4785D1"/>
              </a:solidFill>
            </a:ln>
          </c:spPr>
          <c:marker>
            <c:symbol val="none"/>
          </c:marker>
          <c:val>
            <c:numRef>
              <c:f>Total!$C$268:$F$268</c:f>
              <c:numCache>
                <c:formatCode>0</c:formatCode>
                <c:ptCount val="4"/>
                <c:pt idx="0">
                  <c:v>38529.660961205351</c:v>
                </c:pt>
                <c:pt idx="1">
                  <c:v>42102.724149291476</c:v>
                </c:pt>
                <c:pt idx="2">
                  <c:v>49099.267347032517</c:v>
                </c:pt>
                <c:pt idx="3">
                  <c:v>50904.532269428913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928960"/>
        <c:axId val="191824256"/>
      </c:lineChart>
      <c:catAx>
        <c:axId val="19192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1824256"/>
        <c:crosses val="autoZero"/>
        <c:auto val="1"/>
        <c:lblAlgn val="ctr"/>
        <c:lblOffset val="100"/>
        <c:noMultiLvlLbl val="0"/>
      </c:catAx>
      <c:valAx>
        <c:axId val="191824256"/>
        <c:scaling>
          <c:orientation val="minMax"/>
          <c:max val="51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1928960"/>
        <c:crosses val="autoZero"/>
        <c:crossBetween val="midCat"/>
        <c:maj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10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77326388888889"/>
          <c:y val="6.8714424951267478E-2"/>
          <c:w val="0.84781701388889208"/>
          <c:h val="0.77623879142300389"/>
        </c:manualLayout>
      </c:layout>
      <c:lineChart>
        <c:grouping val="standard"/>
        <c:varyColors val="0"/>
        <c:ser>
          <c:idx val="0"/>
          <c:order val="0"/>
          <c:tx>
            <c:strRef>
              <c:f>Total!$B$105</c:f>
              <c:strCache>
                <c:ptCount val="1"/>
                <c:pt idx="0">
                  <c:v>Exempt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3.094541910331385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Total!$C$104:$F$104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Total!$C$105:$F$105</c:f>
              <c:numCache>
                <c:formatCode>0.00</c:formatCode>
                <c:ptCount val="4"/>
                <c:pt idx="0">
                  <c:v>7.2591012359016069</c:v>
                </c:pt>
                <c:pt idx="1">
                  <c:v>7.6494774866018647</c:v>
                </c:pt>
                <c:pt idx="2">
                  <c:v>7.9346588587036502</c:v>
                </c:pt>
                <c:pt idx="3">
                  <c:v>8.1943673383828308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Total!$B$106</c:f>
              <c:strCache>
                <c:ptCount val="1"/>
                <c:pt idx="0">
                  <c:v>Non-exempt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4.332358674463940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Total!$C$104:$F$104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Total!$C$106:$F$106</c:f>
              <c:numCache>
                <c:formatCode>0.00</c:formatCode>
                <c:ptCount val="4"/>
                <c:pt idx="0">
                  <c:v>7.9964301986275101</c:v>
                </c:pt>
                <c:pt idx="1">
                  <c:v>8.1703680887081145</c:v>
                </c:pt>
                <c:pt idx="2">
                  <c:v>8.4254779932683803</c:v>
                </c:pt>
                <c:pt idx="3">
                  <c:v>8.5546402739403486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50752"/>
        <c:axId val="191860736"/>
      </c:lineChart>
      <c:catAx>
        <c:axId val="19185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91860736"/>
        <c:crosses val="autoZero"/>
        <c:auto val="1"/>
        <c:lblAlgn val="ctr"/>
        <c:lblOffset val="100"/>
        <c:noMultiLvlLbl val="0"/>
      </c:catAx>
      <c:valAx>
        <c:axId val="191860736"/>
        <c:scaling>
          <c:orientation val="minMax"/>
          <c:max val="9"/>
          <c:min val="6"/>
        </c:scaling>
        <c:delete val="0"/>
        <c:axPos val="l"/>
        <c:majorGridlines>
          <c:spPr>
            <a:ln>
              <a:solidFill>
                <a:srgbClr val="7F7F7F">
                  <a:lumMod val="40000"/>
                  <a:lumOff val="60000"/>
                </a:srgb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9185075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0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77326388888889"/>
          <c:y val="6.8714424951267478E-2"/>
          <c:w val="0.83458784722222157"/>
          <c:h val="0.77623879142300389"/>
        </c:manualLayout>
      </c:layout>
      <c:lineChart>
        <c:grouping val="standard"/>
        <c:varyColors val="0"/>
        <c:ser>
          <c:idx val="0"/>
          <c:order val="0"/>
          <c:tx>
            <c:strRef>
              <c:f>Total!$B$109</c:f>
              <c:strCache>
                <c:ptCount val="1"/>
                <c:pt idx="0">
                  <c:v>Exempt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2.475633528265114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Total!$C$104:$F$104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Total!$C$109:$F$109</c:f>
              <c:numCache>
                <c:formatCode>0.00</c:formatCode>
                <c:ptCount val="4"/>
                <c:pt idx="0">
                  <c:v>4.7269715677959772</c:v>
                </c:pt>
                <c:pt idx="1">
                  <c:v>4.86594746144696</c:v>
                </c:pt>
                <c:pt idx="2">
                  <c:v>4.9072725196137466</c:v>
                </c:pt>
                <c:pt idx="3">
                  <c:v>5.0347608074631918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Total!$B$110</c:f>
              <c:strCache>
                <c:ptCount val="1"/>
                <c:pt idx="0">
                  <c:v>Non-exempt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5.5701754385964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Total!$C$104:$F$104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Total!$C$110:$F$110</c:f>
              <c:numCache>
                <c:formatCode>0.00</c:formatCode>
                <c:ptCount val="4"/>
                <c:pt idx="0">
                  <c:v>4.2483606970944576</c:v>
                </c:pt>
                <c:pt idx="1">
                  <c:v>4.1524733126988602</c:v>
                </c:pt>
                <c:pt idx="2">
                  <c:v>4.3850290122868953</c:v>
                </c:pt>
                <c:pt idx="3">
                  <c:v>4.2837906646114368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81984"/>
        <c:axId val="191883520"/>
      </c:lineChart>
      <c:catAx>
        <c:axId val="19188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91883520"/>
        <c:crosses val="autoZero"/>
        <c:auto val="1"/>
        <c:lblAlgn val="ctr"/>
        <c:lblOffset val="100"/>
        <c:noMultiLvlLbl val="0"/>
      </c:catAx>
      <c:valAx>
        <c:axId val="191883520"/>
        <c:scaling>
          <c:orientation val="minMax"/>
          <c:max val="6"/>
          <c:min val="4"/>
        </c:scaling>
        <c:delete val="0"/>
        <c:axPos val="l"/>
        <c:majorGridlines>
          <c:spPr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91881984"/>
        <c:crosses val="autoZero"/>
        <c:crossBetween val="midCat"/>
        <c:majorUnit val="0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612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v>Smaller</c:v>
          </c:tx>
          <c:invertIfNegative val="0"/>
          <c:cat>
            <c:numRef>
              <c:f>Buller!$V$112:$Y$112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Buller!$V$113:$Y$113</c:f>
              <c:numCache>
                <c:formatCode>0</c:formatCode>
                <c:ptCount val="4"/>
                <c:pt idx="0">
                  <c:v>33593</c:v>
                </c:pt>
                <c:pt idx="1">
                  <c:v>34533.275000000001</c:v>
                </c:pt>
                <c:pt idx="2">
                  <c:v>35714</c:v>
                </c:pt>
                <c:pt idx="3">
                  <c:v>34345.771999999997</c:v>
                </c:pt>
              </c:numCache>
            </c:numRef>
          </c:val>
        </c:ser>
        <c:ser>
          <c:idx val="1"/>
          <c:order val="1"/>
          <c:tx>
            <c:v>Larger</c:v>
          </c:tx>
          <c:spPr>
            <a:solidFill>
              <a:schemeClr val="accent5"/>
            </a:solidFill>
          </c:spPr>
          <c:invertIfNegative val="0"/>
          <c:cat>
            <c:numRef>
              <c:f>Buller!$V$112:$Y$112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Buller!$V$114:$Y$114</c:f>
              <c:numCache>
                <c:formatCode>0</c:formatCode>
                <c:ptCount val="4"/>
                <c:pt idx="0">
                  <c:v>2459</c:v>
                </c:pt>
                <c:pt idx="1">
                  <c:v>2819.8539999999998</c:v>
                </c:pt>
                <c:pt idx="2">
                  <c:v>2809</c:v>
                </c:pt>
                <c:pt idx="3">
                  <c:v>3247.2804000000001</c:v>
                </c:pt>
              </c:numCache>
            </c:numRef>
          </c:val>
        </c:ser>
        <c:ser>
          <c:idx val="3"/>
          <c:order val="2"/>
          <c:tx>
            <c:strRef>
              <c:f>Buller!$B$116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Buller!$V$112:$Y$112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Buller!$V$116:$Y$116</c:f>
              <c:numCache>
                <c:formatCode>0</c:formatCode>
                <c:ptCount val="4"/>
                <c:pt idx="0">
                  <c:v>7486</c:v>
                </c:pt>
                <c:pt idx="1">
                  <c:v>7813.1970000000001</c:v>
                </c:pt>
                <c:pt idx="2">
                  <c:v>9477</c:v>
                </c:pt>
                <c:pt idx="3">
                  <c:v>18316.886999999999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542144"/>
        <c:axId val="121543680"/>
      </c:barChart>
      <c:catAx>
        <c:axId val="12154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1543680"/>
        <c:crosses val="autoZero"/>
        <c:auto val="1"/>
        <c:lblAlgn val="ctr"/>
        <c:lblOffset val="100"/>
        <c:noMultiLvlLbl val="0"/>
      </c:catAx>
      <c:valAx>
        <c:axId val="12154368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1542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0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77326388888889"/>
          <c:y val="6.8714424951267533E-2"/>
          <c:w val="0.84781701388889252"/>
          <c:h val="0.77623879142300412"/>
        </c:manualLayout>
      </c:layout>
      <c:lineChart>
        <c:grouping val="standard"/>
        <c:varyColors val="0"/>
        <c:ser>
          <c:idx val="0"/>
          <c:order val="0"/>
          <c:tx>
            <c:strRef>
              <c:f>Total!$B$83</c:f>
              <c:strCache>
                <c:ptCount val="1"/>
                <c:pt idx="0">
                  <c:v>Exempt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3.094541910331385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Total!$C$104:$F$104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Total!$C$83:$F$83</c:f>
              <c:numCache>
                <c:formatCode>0.00</c:formatCode>
                <c:ptCount val="4"/>
                <c:pt idx="0">
                  <c:v>549.97968275670667</c:v>
                </c:pt>
                <c:pt idx="1">
                  <c:v>586.29247934028626</c:v>
                </c:pt>
                <c:pt idx="2">
                  <c:v>627.87788192930179</c:v>
                </c:pt>
                <c:pt idx="3">
                  <c:v>629.92143089164335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Total!$B$84</c:f>
              <c:strCache>
                <c:ptCount val="1"/>
                <c:pt idx="0">
                  <c:v>Non-exempt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4.332358674463940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Total!$C$104:$F$104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Total!$C$84:$F$84</c:f>
              <c:numCache>
                <c:formatCode>0.00</c:formatCode>
                <c:ptCount val="4"/>
                <c:pt idx="0">
                  <c:v>660.62499723422025</c:v>
                </c:pt>
                <c:pt idx="1">
                  <c:v>651.6270295164702</c:v>
                </c:pt>
                <c:pt idx="2">
                  <c:v>705.34377552294359</c:v>
                </c:pt>
                <c:pt idx="3">
                  <c:v>710.6434315622655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61824"/>
        <c:axId val="192463616"/>
      </c:lineChart>
      <c:catAx>
        <c:axId val="1924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92463616"/>
        <c:crosses val="autoZero"/>
        <c:auto val="1"/>
        <c:lblAlgn val="ctr"/>
        <c:lblOffset val="100"/>
        <c:noMultiLvlLbl val="0"/>
      </c:catAx>
      <c:valAx>
        <c:axId val="192463616"/>
        <c:scaling>
          <c:orientation val="minMax"/>
          <c:max val="750"/>
          <c:min val="500"/>
        </c:scaling>
        <c:delete val="0"/>
        <c:axPos val="l"/>
        <c:majorGridlines>
          <c:spPr>
            <a:ln>
              <a:solidFill>
                <a:srgbClr val="7F7F7F">
                  <a:lumMod val="40000"/>
                  <a:lumOff val="60000"/>
                </a:srgb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9246182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0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77326388888889"/>
          <c:y val="6.8714424951267533E-2"/>
          <c:w val="0.83458784722222157"/>
          <c:h val="0.77623879142300412"/>
        </c:manualLayout>
      </c:layout>
      <c:lineChart>
        <c:grouping val="standard"/>
        <c:varyColors val="0"/>
        <c:ser>
          <c:idx val="0"/>
          <c:order val="0"/>
          <c:tx>
            <c:strRef>
              <c:f>Total!$B$87</c:f>
              <c:strCache>
                <c:ptCount val="1"/>
                <c:pt idx="0">
                  <c:v>Exempt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2.475633528265114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Total!$C$104:$F$104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Total!$C$87:$F$87</c:f>
              <c:numCache>
                <c:formatCode>0.00</c:formatCode>
                <c:ptCount val="4"/>
                <c:pt idx="0">
                  <c:v>3449.8620036837274</c:v>
                </c:pt>
                <c:pt idx="1">
                  <c:v>3456.1923330421118</c:v>
                </c:pt>
                <c:pt idx="2">
                  <c:v>3633.674056752433</c:v>
                </c:pt>
                <c:pt idx="3">
                  <c:v>3770.9425213434774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Total!$B$88</c:f>
              <c:strCache>
                <c:ptCount val="1"/>
                <c:pt idx="0">
                  <c:v>Non-exempt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5.57017543859649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Total!$C$104:$F$104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Total!$C$88:$F$88</c:f>
              <c:numCache>
                <c:formatCode>0.00</c:formatCode>
                <c:ptCount val="4"/>
                <c:pt idx="0">
                  <c:v>5065.213974115758</c:v>
                </c:pt>
                <c:pt idx="1">
                  <c:v>4733.5260269195933</c:v>
                </c:pt>
                <c:pt idx="2">
                  <c:v>4845.2349106692727</c:v>
                </c:pt>
                <c:pt idx="3">
                  <c:v>4592.9725131791738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488960"/>
        <c:axId val="192490496"/>
      </c:lineChart>
      <c:catAx>
        <c:axId val="19248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92490496"/>
        <c:crosses val="autoZero"/>
        <c:auto val="1"/>
        <c:lblAlgn val="ctr"/>
        <c:lblOffset val="100"/>
        <c:noMultiLvlLbl val="0"/>
      </c:catAx>
      <c:valAx>
        <c:axId val="192490496"/>
        <c:scaling>
          <c:orientation val="minMax"/>
          <c:max val="6000"/>
          <c:min val="3000"/>
        </c:scaling>
        <c:delete val="0"/>
        <c:axPos val="l"/>
        <c:majorGridlines>
          <c:spPr>
            <a:ln>
              <a:solidFill>
                <a:schemeClr val="accent6">
                  <a:lumMod val="40000"/>
                  <a:lumOff val="60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92488960"/>
        <c:crosses val="autoZero"/>
        <c:crossBetween val="midCat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0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'Industry calcs'!$C$77</c:f>
              <c:strCache>
                <c:ptCount val="1"/>
                <c:pt idx="0">
                  <c:v>Reg. Profit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'Industry calcs'!$B$78:$B$106</c:f>
              <c:strCache>
                <c:ptCount val="29"/>
                <c:pt idx="0">
                  <c:v>Vector</c:v>
                </c:pt>
                <c:pt idx="1">
                  <c:v>Powerco</c:v>
                </c:pt>
                <c:pt idx="2">
                  <c:v>Orion*</c:v>
                </c:pt>
                <c:pt idx="3">
                  <c:v>Wellington Electricity</c:v>
                </c:pt>
                <c:pt idx="4">
                  <c:v>Unison</c:v>
                </c:pt>
                <c:pt idx="5">
                  <c:v>WEL Networks</c:v>
                </c:pt>
                <c:pt idx="6">
                  <c:v>Aurora Energy</c:v>
                </c:pt>
                <c:pt idx="7">
                  <c:v>Northpower</c:v>
                </c:pt>
                <c:pt idx="8">
                  <c:v>Electra</c:v>
                </c:pt>
                <c:pt idx="9">
                  <c:v>Counties Power</c:v>
                </c:pt>
                <c:pt idx="10">
                  <c:v>Network Tasman</c:v>
                </c:pt>
                <c:pt idx="11">
                  <c:v>The Power Company</c:v>
                </c:pt>
                <c:pt idx="12">
                  <c:v>Mainpower</c:v>
                </c:pt>
                <c:pt idx="13">
                  <c:v>Top Energy</c:v>
                </c:pt>
                <c:pt idx="14">
                  <c:v>Alpine Energy</c:v>
                </c:pt>
                <c:pt idx="15">
                  <c:v>Eastland Network</c:v>
                </c:pt>
                <c:pt idx="16">
                  <c:v>Horizon Energy</c:v>
                </c:pt>
                <c:pt idx="17">
                  <c:v>The Lines Company</c:v>
                </c:pt>
                <c:pt idx="18">
                  <c:v>Marlborough Lines</c:v>
                </c:pt>
                <c:pt idx="19">
                  <c:v>Waipa Networks</c:v>
                </c:pt>
                <c:pt idx="20">
                  <c:v>Electricity Ashburton</c:v>
                </c:pt>
                <c:pt idx="21">
                  <c:v>Electricity Invercargill</c:v>
                </c:pt>
                <c:pt idx="22">
                  <c:v>OtagoNet</c:v>
                </c:pt>
                <c:pt idx="23">
                  <c:v>Westpower</c:v>
                </c:pt>
                <c:pt idx="24">
                  <c:v>Network Waitaki</c:v>
                </c:pt>
                <c:pt idx="25">
                  <c:v>Nelson Electricity</c:v>
                </c:pt>
                <c:pt idx="26">
                  <c:v>Centralines</c:v>
                </c:pt>
                <c:pt idx="27">
                  <c:v>Scanpower</c:v>
                </c:pt>
                <c:pt idx="28">
                  <c:v>Buller Electricity</c:v>
                </c:pt>
              </c:strCache>
            </c:strRef>
          </c:cat>
          <c:val>
            <c:numRef>
              <c:f>'Industry calcs'!$D$78:$D$106</c:f>
              <c:numCache>
                <c:formatCode>0.0%</c:formatCode>
                <c:ptCount val="29"/>
                <c:pt idx="0">
                  <c:v>0.301288797845153</c:v>
                </c:pt>
                <c:pt idx="1">
                  <c:v>0.14726728149868243</c:v>
                </c:pt>
                <c:pt idx="2">
                  <c:v>7.5337911972771149E-2</c:v>
                </c:pt>
                <c:pt idx="3">
                  <c:v>6.8522526557803234E-2</c:v>
                </c:pt>
                <c:pt idx="4">
                  <c:v>5.004926320482498E-2</c:v>
                </c:pt>
                <c:pt idx="5">
                  <c:v>4.6385650553546057E-2</c:v>
                </c:pt>
                <c:pt idx="6">
                  <c:v>4.0205759936484592E-2</c:v>
                </c:pt>
                <c:pt idx="7">
                  <c:v>1.9676177335550101E-2</c:v>
                </c:pt>
                <c:pt idx="8">
                  <c:v>1.3015809991084384E-2</c:v>
                </c:pt>
                <c:pt idx="9">
                  <c:v>1.2457094072092648E-2</c:v>
                </c:pt>
                <c:pt idx="10">
                  <c:v>1.8014168233494735E-2</c:v>
                </c:pt>
                <c:pt idx="11">
                  <c:v>2.5838782900932313E-2</c:v>
                </c:pt>
                <c:pt idx="12">
                  <c:v>2.0047657484235041E-2</c:v>
                </c:pt>
                <c:pt idx="13">
                  <c:v>1.356003295840026E-2</c:v>
                </c:pt>
                <c:pt idx="14">
                  <c:v>1.2127037454640445E-2</c:v>
                </c:pt>
                <c:pt idx="15">
                  <c:v>1.4372391132855178E-2</c:v>
                </c:pt>
                <c:pt idx="16">
                  <c:v>1.1619319131492932E-2</c:v>
                </c:pt>
                <c:pt idx="17">
                  <c:v>1.5572194953563101E-2</c:v>
                </c:pt>
                <c:pt idx="18">
                  <c:v>1.3602182194067907E-2</c:v>
                </c:pt>
                <c:pt idx="19">
                  <c:v>9.5842148109381194E-3</c:v>
                </c:pt>
                <c:pt idx="20">
                  <c:v>1.8001019999051942E-2</c:v>
                </c:pt>
                <c:pt idx="21">
                  <c:v>6.4281777575794273E-3</c:v>
                </c:pt>
                <c:pt idx="22">
                  <c:v>1.7254473453552251E-2</c:v>
                </c:pt>
                <c:pt idx="23">
                  <c:v>9.4815178701067836E-3</c:v>
                </c:pt>
                <c:pt idx="24">
                  <c:v>6.9279660738463603E-3</c:v>
                </c:pt>
                <c:pt idx="25">
                  <c:v>3.4741695719211372E-3</c:v>
                </c:pt>
                <c:pt idx="26">
                  <c:v>4.1551303526475569E-3</c:v>
                </c:pt>
                <c:pt idx="27">
                  <c:v>3.177009206960236E-3</c:v>
                </c:pt>
                <c:pt idx="28">
                  <c:v>2.5562814917215616E-3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6767744"/>
        <c:axId val="176769280"/>
      </c:barChart>
      <c:catAx>
        <c:axId val="176767744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6769280"/>
        <c:crosses val="autoZero"/>
        <c:auto val="1"/>
        <c:lblAlgn val="ctr"/>
        <c:lblOffset val="100"/>
        <c:noMultiLvlLbl val="0"/>
      </c:catAx>
      <c:valAx>
        <c:axId val="176769280"/>
        <c:scaling>
          <c:orientation val="minMax"/>
          <c:max val="0.28000000000000008"/>
          <c:min val="0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6767744"/>
        <c:crosses val="autoZero"/>
        <c:crossBetween val="between"/>
        <c:majorUnit val="2.0000000000000011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10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Total Revenue</c:v>
          </c:tx>
          <c:spPr>
            <a:solidFill>
              <a:schemeClr val="accent5"/>
            </a:solidFill>
          </c:spPr>
          <c:invertIfNegative val="0"/>
          <c:cat>
            <c:strRef>
              <c:f>'Industry calcs'!$P$110:$P$138</c:f>
              <c:strCache>
                <c:ptCount val="29"/>
                <c:pt idx="0">
                  <c:v>Vector</c:v>
                </c:pt>
                <c:pt idx="1">
                  <c:v>PowerCo</c:v>
                </c:pt>
                <c:pt idx="2">
                  <c:v>Orion*</c:v>
                </c:pt>
                <c:pt idx="3">
                  <c:v>Wellington Electricity</c:v>
                </c:pt>
                <c:pt idx="4">
                  <c:v>Unison</c:v>
                </c:pt>
                <c:pt idx="5">
                  <c:v>WEL Networks</c:v>
                </c:pt>
                <c:pt idx="6">
                  <c:v>Aurora Energy</c:v>
                </c:pt>
                <c:pt idx="7">
                  <c:v>Northpower</c:v>
                </c:pt>
                <c:pt idx="8">
                  <c:v>The Power Company</c:v>
                </c:pt>
                <c:pt idx="9">
                  <c:v>Mainpower</c:v>
                </c:pt>
                <c:pt idx="10">
                  <c:v>Marlborough Lines</c:v>
                </c:pt>
                <c:pt idx="11">
                  <c:v>Alpine Energy</c:v>
                </c:pt>
                <c:pt idx="12">
                  <c:v>Top Energy</c:v>
                </c:pt>
                <c:pt idx="13">
                  <c:v>Eastland Network</c:v>
                </c:pt>
                <c:pt idx="14">
                  <c:v>Counties Power</c:v>
                </c:pt>
                <c:pt idx="15">
                  <c:v>The Lines Company</c:v>
                </c:pt>
                <c:pt idx="16">
                  <c:v>OtagoNet</c:v>
                </c:pt>
                <c:pt idx="17">
                  <c:v>Network Tasman</c:v>
                </c:pt>
                <c:pt idx="18">
                  <c:v>Horizon Energy</c:v>
                </c:pt>
                <c:pt idx="19">
                  <c:v>Electricity Ashburton</c:v>
                </c:pt>
                <c:pt idx="20">
                  <c:v>Electra</c:v>
                </c:pt>
                <c:pt idx="21">
                  <c:v>Westpower</c:v>
                </c:pt>
                <c:pt idx="22">
                  <c:v>Waipa Networks</c:v>
                </c:pt>
                <c:pt idx="23">
                  <c:v>Electricity Invercargill</c:v>
                </c:pt>
                <c:pt idx="24">
                  <c:v>Network Waitaki</c:v>
                </c:pt>
                <c:pt idx="25">
                  <c:v>Centralines</c:v>
                </c:pt>
                <c:pt idx="26">
                  <c:v>Nelson Electricity</c:v>
                </c:pt>
                <c:pt idx="27">
                  <c:v>Buller Electricity</c:v>
                </c:pt>
                <c:pt idx="28">
                  <c:v>Scanpower</c:v>
                </c:pt>
              </c:strCache>
            </c:strRef>
          </c:cat>
          <c:val>
            <c:numRef>
              <c:f>'Industry calcs'!$Q$110:$Q$138</c:f>
              <c:numCache>
                <c:formatCode>0.0</c:formatCode>
                <c:ptCount val="29"/>
                <c:pt idx="0">
                  <c:v>576.80600000000004</c:v>
                </c:pt>
                <c:pt idx="1">
                  <c:v>307.50698019000004</c:v>
                </c:pt>
                <c:pt idx="2">
                  <c:v>200.53023712645845</c:v>
                </c:pt>
                <c:pt idx="3">
                  <c:v>151.72333209000001</c:v>
                </c:pt>
                <c:pt idx="4">
                  <c:v>111.29488428000001</c:v>
                </c:pt>
                <c:pt idx="5">
                  <c:v>79.2515523</c:v>
                </c:pt>
                <c:pt idx="6">
                  <c:v>77.435000000000002</c:v>
                </c:pt>
                <c:pt idx="7">
                  <c:v>47.776600000000002</c:v>
                </c:pt>
                <c:pt idx="8">
                  <c:v>42.936878</c:v>
                </c:pt>
                <c:pt idx="9">
                  <c:v>42.164999999999999</c:v>
                </c:pt>
                <c:pt idx="10">
                  <c:v>34.771000000000001</c:v>
                </c:pt>
                <c:pt idx="11">
                  <c:v>34.530084000000002</c:v>
                </c:pt>
                <c:pt idx="12">
                  <c:v>32.631</c:v>
                </c:pt>
                <c:pt idx="13">
                  <c:v>30.968</c:v>
                </c:pt>
                <c:pt idx="14">
                  <c:v>30.914999999999999</c:v>
                </c:pt>
                <c:pt idx="15">
                  <c:v>30.817</c:v>
                </c:pt>
                <c:pt idx="16">
                  <c:v>29.491375999999999</c:v>
                </c:pt>
                <c:pt idx="17">
                  <c:v>29.02077478</c:v>
                </c:pt>
                <c:pt idx="18">
                  <c:v>28.615608209999998</c:v>
                </c:pt>
                <c:pt idx="19">
                  <c:v>27.105</c:v>
                </c:pt>
                <c:pt idx="20">
                  <c:v>22.716382000000003</c:v>
                </c:pt>
                <c:pt idx="21">
                  <c:v>17.738</c:v>
                </c:pt>
                <c:pt idx="22">
                  <c:v>16.83098146</c:v>
                </c:pt>
                <c:pt idx="23">
                  <c:v>16.381</c:v>
                </c:pt>
                <c:pt idx="24">
                  <c:v>11.621258800000001</c:v>
                </c:pt>
                <c:pt idx="25">
                  <c:v>9.2110000000000003</c:v>
                </c:pt>
                <c:pt idx="26">
                  <c:v>8.8989999999999991</c:v>
                </c:pt>
                <c:pt idx="27">
                  <c:v>6.5328739699999998</c:v>
                </c:pt>
                <c:pt idx="28">
                  <c:v>5.1230000000000002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6785664"/>
        <c:axId val="176795648"/>
      </c:barChart>
      <c:catAx>
        <c:axId val="176785664"/>
        <c:scaling>
          <c:orientation val="minMax"/>
        </c:scaling>
        <c:delete val="0"/>
        <c:axPos val="l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6795648"/>
        <c:crosses val="autoZero"/>
        <c:auto val="1"/>
        <c:lblAlgn val="ctr"/>
        <c:lblOffset val="100"/>
        <c:noMultiLvlLbl val="0"/>
      </c:catAx>
      <c:valAx>
        <c:axId val="176795648"/>
        <c:scaling>
          <c:orientation val="minMax"/>
          <c:max val="6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6785664"/>
        <c:crosses val="autoZero"/>
        <c:crossBetween val="between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32965488029063"/>
          <c:h val="0.82404629629630821"/>
        </c:manualLayout>
      </c:layout>
      <c:lineChart>
        <c:grouping val="standard"/>
        <c:varyColors val="0"/>
        <c:ser>
          <c:idx val="0"/>
          <c:order val="0"/>
          <c:tx>
            <c:strRef>
              <c:f>Buller!$B$76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4.641812865497076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Buller!$V$75:$Y$75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Buller!$V$76:$Y$76</c:f>
              <c:numCache>
                <c:formatCode>0.0</c:formatCode>
                <c:ptCount val="4"/>
                <c:pt idx="0">
                  <c:v>100</c:v>
                </c:pt>
                <c:pt idx="1">
                  <c:v>101.26552885741494</c:v>
                </c:pt>
                <c:pt idx="2">
                  <c:v>110.84883979924744</c:v>
                </c:pt>
                <c:pt idx="3">
                  <c:v>110.03950908458779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3803755425958087"/>
                  <c:y val="-0.4774883040935681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Buller!$V$75:$Y$75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Buller!$V$77:$Y$77</c:f>
              <c:numCache>
                <c:formatCode>0.0</c:formatCode>
                <c:ptCount val="4"/>
                <c:pt idx="0">
                  <c:v>100</c:v>
                </c:pt>
                <c:pt idx="1">
                  <c:v>164.04857599723405</c:v>
                </c:pt>
                <c:pt idx="2">
                  <c:v>173.60546987665631</c:v>
                </c:pt>
                <c:pt idx="3">
                  <c:v>113.66223512588003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90144"/>
        <c:axId val="121591680"/>
      </c:lineChart>
      <c:catAx>
        <c:axId val="12159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1591680"/>
        <c:crosses val="autoZero"/>
        <c:auto val="1"/>
        <c:lblAlgn val="ctr"/>
        <c:lblOffset val="100"/>
        <c:noMultiLvlLbl val="0"/>
      </c:catAx>
      <c:valAx>
        <c:axId val="121591680"/>
        <c:scaling>
          <c:orientation val="minMax"/>
          <c:max val="18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1590144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Smaller </a:t>
            </a:r>
          </a:p>
        </c:rich>
      </c:tx>
      <c:layout>
        <c:manualLayout>
          <c:xMode val="edge"/>
          <c:yMode val="edge"/>
          <c:x val="0.449999588537292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618058489960488"/>
          <c:y val="0.16445370370370369"/>
          <c:w val="0.80305591168091173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Buller!$B$70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Buller!$V$69:$Y$69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Buller!$V$70:$Y$70</c:f>
              <c:numCache>
                <c:formatCode>0</c:formatCode>
                <c:ptCount val="4"/>
                <c:pt idx="0">
                  <c:v>902.42526016924603</c:v>
                </c:pt>
                <c:pt idx="1">
                  <c:v>913.84571225328966</c:v>
                </c:pt>
                <c:pt idx="2">
                  <c:v>1000.3279309529495</c:v>
                </c:pt>
                <c:pt idx="3">
                  <c:v>993.02432614555255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32256"/>
        <c:axId val="121633792"/>
      </c:lineChart>
      <c:catAx>
        <c:axId val="1216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21633792"/>
        <c:crosses val="autoZero"/>
        <c:auto val="1"/>
        <c:lblAlgn val="ctr"/>
        <c:lblOffset val="100"/>
        <c:noMultiLvlLbl val="0"/>
      </c:catAx>
      <c:valAx>
        <c:axId val="121633792"/>
        <c:scaling>
          <c:orientation val="minMax"/>
          <c:max val="1200"/>
          <c:min val="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21632256"/>
        <c:crosses val="autoZero"/>
        <c:crossBetween val="midCat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Larger</a:t>
            </a:r>
          </a:p>
        </c:rich>
      </c:tx>
      <c:layout>
        <c:manualLayout>
          <c:xMode val="edge"/>
          <c:yMode val="edge"/>
          <c:x val="0.4583522204821386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28541257396566"/>
          <c:y val="0.17621296296296726"/>
          <c:w val="0.83456954600594857"/>
          <c:h val="0.57282407407409552"/>
        </c:manualLayout>
      </c:layout>
      <c:lineChart>
        <c:grouping val="standard"/>
        <c:varyColors val="0"/>
        <c:ser>
          <c:idx val="1"/>
          <c:order val="0"/>
          <c:tx>
            <c:strRef>
              <c:f>Buller!$B$71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Buller!$V$69:$Y$69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Buller!$V$71:$Y$71</c:f>
              <c:numCache>
                <c:formatCode>0</c:formatCode>
                <c:ptCount val="4"/>
                <c:pt idx="0">
                  <c:v>16171.480710558581</c:v>
                </c:pt>
                <c:pt idx="1">
                  <c:v>26529.08382333874</c:v>
                </c:pt>
                <c:pt idx="2">
                  <c:v>28074.57507357806</c:v>
                </c:pt>
                <c:pt idx="3">
                  <c:v>18380.866428571429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34080"/>
        <c:axId val="121144064"/>
      </c:lineChart>
      <c:catAx>
        <c:axId val="1211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21144064"/>
        <c:crosses val="autoZero"/>
        <c:auto val="1"/>
        <c:lblAlgn val="ctr"/>
        <c:lblOffset val="100"/>
        <c:noMultiLvlLbl val="0"/>
      </c:catAx>
      <c:valAx>
        <c:axId val="121144064"/>
        <c:scaling>
          <c:orientation val="minMax"/>
          <c:max val="30000"/>
          <c:min val="1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21134080"/>
        <c:crosses val="autoZero"/>
        <c:crossBetween val="midCat"/>
        <c:majorUnit val="3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87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Buller!$B$105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2084218378135675"/>
                  <c:y val="-3.218323586744645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Buller!$V$104:$Y$104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Buller!$V$105:$Y$105</c:f>
              <c:numCache>
                <c:formatCode>0.0</c:formatCode>
                <c:ptCount val="4"/>
                <c:pt idx="0">
                  <c:v>100</c:v>
                </c:pt>
                <c:pt idx="1">
                  <c:v>101.76662017666203</c:v>
                </c:pt>
                <c:pt idx="2">
                  <c:v>102.37099023709901</c:v>
                </c:pt>
                <c:pt idx="3">
                  <c:v>103.48675034867503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8.3626088948349098E-3"/>
                  <c:y val="-2.197124756335296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Buller!$V$104:$Y$104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Buller!$V$106:$Y$106</c:f>
              <c:numCache>
                <c:formatCode>0.0</c:formatCode>
                <c:ptCount val="4"/>
                <c:pt idx="0">
                  <c:v>100</c:v>
                </c:pt>
                <c:pt idx="1">
                  <c:v>69.230769230769226</c:v>
                </c:pt>
                <c:pt idx="2">
                  <c:v>69.230769230769226</c:v>
                </c:pt>
                <c:pt idx="3">
                  <c:v>107.69230769230769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77984"/>
        <c:axId val="121179520"/>
      </c:lineChart>
      <c:catAx>
        <c:axId val="12117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1179520"/>
        <c:crosses val="autoZero"/>
        <c:auto val="1"/>
        <c:lblAlgn val="ctr"/>
        <c:lblOffset val="100"/>
        <c:noMultiLvlLbl val="0"/>
      </c:catAx>
      <c:valAx>
        <c:axId val="121179520"/>
        <c:scaling>
          <c:orientation val="minMax"/>
          <c:max val="12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117798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551"/>
        </c:manualLayout>
      </c:layout>
      <c:barChart>
        <c:barDir val="col"/>
        <c:grouping val="stacked"/>
        <c:varyColors val="0"/>
        <c:ser>
          <c:idx val="0"/>
          <c:order val="0"/>
          <c:tx>
            <c:v>Smaller</c:v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Buller!$V$97:$Y$97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Buller!$V$98:$Y$98</c:f>
              <c:numCache>
                <c:formatCode>General</c:formatCode>
                <c:ptCount val="4"/>
                <c:pt idx="0">
                  <c:v>4302</c:v>
                </c:pt>
                <c:pt idx="1">
                  <c:v>4378</c:v>
                </c:pt>
                <c:pt idx="2">
                  <c:v>4404</c:v>
                </c:pt>
                <c:pt idx="3">
                  <c:v>4452</c:v>
                </c:pt>
              </c:numCache>
            </c:numRef>
          </c:val>
        </c:ser>
        <c:ser>
          <c:idx val="1"/>
          <c:order val="1"/>
          <c:tx>
            <c:v>Larger</c:v>
          </c:tx>
          <c:spPr>
            <a:solidFill>
              <a:schemeClr val="accent4"/>
            </a:solidFill>
          </c:spPr>
          <c:invertIfNegative val="0"/>
          <c:cat>
            <c:numRef>
              <c:f>Buller!$V$97:$Y$97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Buller!$V$99:$Y$99</c:f>
              <c:numCache>
                <c:formatCode>General</c:formatCode>
                <c:ptCount val="4"/>
                <c:pt idx="0">
                  <c:v>13</c:v>
                </c:pt>
                <c:pt idx="1">
                  <c:v>9</c:v>
                </c:pt>
                <c:pt idx="2">
                  <c:v>9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221504"/>
        <c:axId val="121223040"/>
      </c:barChart>
      <c:catAx>
        <c:axId val="1212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1223040"/>
        <c:crosses val="autoZero"/>
        <c:auto val="1"/>
        <c:lblAlgn val="ctr"/>
        <c:lblOffset val="100"/>
        <c:noMultiLvlLbl val="0"/>
      </c:catAx>
      <c:valAx>
        <c:axId val="121223040"/>
        <c:scaling>
          <c:orientation val="minMax"/>
          <c:max val="5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1221504"/>
        <c:crosses val="autoZero"/>
        <c:crossBetween val="between"/>
        <c:majorUnit val="1000"/>
      </c:valAx>
    </c:plotArea>
    <c:legend>
      <c:legendPos val="t"/>
      <c:layout>
        <c:manualLayout>
          <c:xMode val="edge"/>
          <c:yMode val="edge"/>
          <c:x val="0"/>
          <c:y val="3.5277777777779212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Centralines!$B$26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93318120603"/>
                  <c:y val="-0.3894088431956098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Centralines!$C$26:$F$26</c:f>
              <c:numCache>
                <c:formatCode>0</c:formatCode>
                <c:ptCount val="4"/>
                <c:pt idx="0">
                  <c:v>1981.9766758860596</c:v>
                </c:pt>
                <c:pt idx="1">
                  <c:v>2018.2219671906098</c:v>
                </c:pt>
                <c:pt idx="2">
                  <c:v>1971.3242111503323</c:v>
                </c:pt>
                <c:pt idx="3">
                  <c:v>2130.4</c:v>
                </c:pt>
              </c:numCache>
            </c:numRef>
          </c:val>
        </c:ser>
        <c:ser>
          <c:idx val="1"/>
          <c:order val="1"/>
          <c:tx>
            <c:strRef>
              <c:f>Centralines!$B$27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2203658579321676"/>
                  <c:y val="-0.14886090933050969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Centralines!$C$27:$F$27</c:f>
              <c:numCache>
                <c:formatCode>0</c:formatCode>
                <c:ptCount val="4"/>
                <c:pt idx="0">
                  <c:v>768.4687633657436</c:v>
                </c:pt>
                <c:pt idx="1">
                  <c:v>842.93280252591092</c:v>
                </c:pt>
                <c:pt idx="2">
                  <c:v>938.95869149308817</c:v>
                </c:pt>
                <c:pt idx="3">
                  <c:v>1042.4000000000001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51776"/>
        <c:axId val="119053312"/>
      </c:areaChart>
      <c:catAx>
        <c:axId val="11905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9053312"/>
        <c:crosses val="autoZero"/>
        <c:auto val="1"/>
        <c:lblAlgn val="ctr"/>
        <c:lblOffset val="100"/>
        <c:noMultiLvlLbl val="0"/>
      </c:catAx>
      <c:valAx>
        <c:axId val="119053312"/>
        <c:scaling>
          <c:orientation val="minMax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9051776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1737581549532435"/>
          <c:w val="0.8694851268591427"/>
          <c:h val="0.780359463261481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Centralines!$B$28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Centralines!$C$25:$F$25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Centralines!$C$28:$F$28</c:f>
              <c:numCache>
                <c:formatCode>0</c:formatCode>
                <c:ptCount val="4"/>
                <c:pt idx="0">
                  <c:v>629.6096489977474</c:v>
                </c:pt>
                <c:pt idx="1">
                  <c:v>659.397680005491</c:v>
                </c:pt>
                <c:pt idx="2">
                  <c:v>731.93134111179972</c:v>
                </c:pt>
                <c:pt idx="3">
                  <c:v>808</c:v>
                </c:pt>
              </c:numCache>
            </c:numRef>
          </c:val>
        </c:ser>
        <c:ser>
          <c:idx val="1"/>
          <c:order val="1"/>
          <c:tx>
            <c:strRef>
              <c:f>Centralines!$B$29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Centralines!$C$25:$F$25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Centralines!$C$29:$F$29</c:f>
              <c:numCache>
                <c:formatCode>0</c:formatCode>
                <c:ptCount val="4"/>
                <c:pt idx="0">
                  <c:v>138.85911436799634</c:v>
                </c:pt>
                <c:pt idx="1">
                  <c:v>183.53512252042</c:v>
                </c:pt>
                <c:pt idx="2">
                  <c:v>207.02735038128853</c:v>
                </c:pt>
                <c:pt idx="3">
                  <c:v>234.4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03488"/>
        <c:axId val="119105024"/>
      </c:barChart>
      <c:catAx>
        <c:axId val="1191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9105024"/>
        <c:crosses val="autoZero"/>
        <c:auto val="1"/>
        <c:lblAlgn val="ctr"/>
        <c:lblOffset val="100"/>
        <c:noMultiLvlLbl val="0"/>
      </c:catAx>
      <c:valAx>
        <c:axId val="119105024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910348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/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Alpine!$B$100</c:f>
              <c:strCache>
                <c:ptCount val="1"/>
                <c:pt idx="0">
                  <c:v>Large</c:v>
                </c:pt>
              </c:strCache>
            </c:strRef>
          </c:tx>
          <c:marker>
            <c:symbol val="none"/>
          </c:marker>
          <c:cat>
            <c:numRef>
              <c:f>Alpine!$C$97:$F$97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Alpine!$C$100:$F$100</c:f>
              <c:numCache>
                <c:formatCode>General</c:formatCode>
                <c:ptCount val="4"/>
                <c:pt idx="0">
                  <c:v>153</c:v>
                </c:pt>
                <c:pt idx="1">
                  <c:v>152</c:v>
                </c:pt>
                <c:pt idx="2">
                  <c:v>148</c:v>
                </c:pt>
                <c:pt idx="3">
                  <c:v>143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61312"/>
        <c:axId val="114475392"/>
      </c:lineChart>
      <c:catAx>
        <c:axId val="1144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475392"/>
        <c:crosses val="autoZero"/>
        <c:auto val="1"/>
        <c:lblAlgn val="ctr"/>
        <c:lblOffset val="100"/>
        <c:noMultiLvlLbl val="0"/>
      </c:catAx>
      <c:valAx>
        <c:axId val="11447539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4613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345"/>
          <c:w val="0.89745624999998308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Centralines!$B$40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Centralines!$C$39:$F$39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Centralines!$C$40:$F$40</c:f>
              <c:numCache>
                <c:formatCode>0</c:formatCode>
                <c:ptCount val="4"/>
                <c:pt idx="0">
                  <c:v>7326.5132697100171</c:v>
                </c:pt>
                <c:pt idx="1">
                  <c:v>8049.7653499897015</c:v>
                </c:pt>
                <c:pt idx="2">
                  <c:v>8794.5870496618245</c:v>
                </c:pt>
                <c:pt idx="3">
                  <c:v>9562</c:v>
                </c:pt>
              </c:numCache>
            </c:numRef>
          </c:val>
        </c:ser>
        <c:ser>
          <c:idx val="1"/>
          <c:order val="1"/>
          <c:tx>
            <c:strRef>
              <c:f>Centralines!$B$41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Centralines!$C$39:$F$39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Centralines!$C$41:$F$41</c:f>
              <c:numCache>
                <c:formatCode>0</c:formatCode>
                <c:ptCount val="4"/>
                <c:pt idx="0">
                  <c:v>704.19142915514237</c:v>
                </c:pt>
                <c:pt idx="1">
                  <c:v>675.44300971103007</c:v>
                </c:pt>
                <c:pt idx="2">
                  <c:v>274.99793430519247</c:v>
                </c:pt>
                <c:pt idx="3">
                  <c:v>389</c:v>
                </c:pt>
              </c:numCache>
            </c:numRef>
          </c:val>
        </c:ser>
        <c:ser>
          <c:idx val="3"/>
          <c:order val="2"/>
          <c:tx>
            <c:strRef>
              <c:f>Centralines!$B$42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Centralines!$C$39:$F$39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Centralines!$C$42:$F$42</c:f>
              <c:numCache>
                <c:formatCode>0</c:formatCode>
                <c:ptCount val="4"/>
                <c:pt idx="0">
                  <c:v>23.771505252202672</c:v>
                </c:pt>
                <c:pt idx="1">
                  <c:v>27.146131858054765</c:v>
                </c:pt>
                <c:pt idx="2">
                  <c:v>242.67334402198807</c:v>
                </c:pt>
                <c:pt idx="3">
                  <c:v>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175488"/>
        <c:axId val="122177024"/>
      </c:barChart>
      <c:catAx>
        <c:axId val="1221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2177024"/>
        <c:crosses val="autoZero"/>
        <c:auto val="1"/>
        <c:lblAlgn val="ctr"/>
        <c:lblOffset val="100"/>
        <c:noMultiLvlLbl val="0"/>
      </c:catAx>
      <c:valAx>
        <c:axId val="12217702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2175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842"/>
          <c:h val="0.2117129629629683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743E-2"/>
          <c:y val="9.9262962962965245E-2"/>
          <c:w val="0.86941313257319897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Centralines!$B$45</c:f>
              <c:strCache>
                <c:ptCount val="1"/>
                <c:pt idx="0">
                  <c:v>Centralines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Centralines!$B$46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2118356965423018E-3"/>
                  <c:y val="-5.5133999705669692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Centralines!$C$45:$F$45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Centralines!$C$46:$F$46</c:f>
              <c:numCache>
                <c:formatCode>0.0</c:formatCode>
                <c:ptCount val="4"/>
                <c:pt idx="0">
                  <c:v>100</c:v>
                </c:pt>
                <c:pt idx="1">
                  <c:v>109.87170914259889</c:v>
                </c:pt>
                <c:pt idx="2">
                  <c:v>120.03782325790988</c:v>
                </c:pt>
                <c:pt idx="3">
                  <c:v>130.51228664980584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Centralines!$B$47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Centralines!$C$45:$F$45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Centralines!$C$47:$F$47</c:f>
              <c:numCache>
                <c:formatCode>0.0</c:formatCode>
                <c:ptCount val="4"/>
                <c:pt idx="0">
                  <c:v>100</c:v>
                </c:pt>
                <c:pt idx="1">
                  <c:v>95.917527783801148</c:v>
                </c:pt>
                <c:pt idx="2">
                  <c:v>39.051587809741278</c:v>
                </c:pt>
                <c:pt idx="3">
                  <c:v>55.240660975766907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356096"/>
        <c:axId val="122357632"/>
      </c:lineChart>
      <c:catAx>
        <c:axId val="12235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2357632"/>
        <c:crossesAt val="0"/>
        <c:auto val="1"/>
        <c:lblAlgn val="ctr"/>
        <c:lblOffset val="100"/>
        <c:noMultiLvlLbl val="0"/>
      </c:catAx>
      <c:valAx>
        <c:axId val="122357632"/>
        <c:scaling>
          <c:orientation val="minMax"/>
          <c:max val="15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2356096"/>
        <c:crosses val="autoZero"/>
        <c:crossBetween val="midCat"/>
        <c:maj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894"/>
          <c:h val="0.702040277777790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Centralines!$B$54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Centralines!$C$53:$F$53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Centralines!$C$54:$F$54</c:f>
              <c:numCache>
                <c:formatCode>0</c:formatCode>
                <c:ptCount val="4"/>
                <c:pt idx="0">
                  <c:v>5515.9016781386326</c:v>
                </c:pt>
                <c:pt idx="1">
                  <c:v>6244.4362354039376</c:v>
                </c:pt>
                <c:pt idx="2">
                  <c:v>6721.2570396917345</c:v>
                </c:pt>
                <c:pt idx="3">
                  <c:v>7603</c:v>
                </c:pt>
              </c:numCache>
            </c:numRef>
          </c:val>
        </c:ser>
        <c:ser>
          <c:idx val="1"/>
          <c:order val="1"/>
          <c:tx>
            <c:strRef>
              <c:f>Centralines!$B$55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Centralines!$C$53:$F$53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Centralines!$C$55:$F$55</c:f>
              <c:numCache>
                <c:formatCode>0</c:formatCode>
                <c:ptCount val="4"/>
                <c:pt idx="0">
                  <c:v>653.96891210686886</c:v>
                </c:pt>
                <c:pt idx="1">
                  <c:v>644.60269370306798</c:v>
                </c:pt>
                <c:pt idx="2">
                  <c:v>604.16938374066979</c:v>
                </c:pt>
                <c:pt idx="3">
                  <c:v>863</c:v>
                </c:pt>
              </c:numCache>
            </c:numRef>
          </c:val>
        </c:ser>
        <c:ser>
          <c:idx val="2"/>
          <c:order val="2"/>
          <c:tx>
            <c:strRef>
              <c:f>Centralines!$B$56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Centralines!$C$53:$F$53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Centralines!$C$56:$F$56</c:f>
              <c:numCache>
                <c:formatCode>0</c:formatCode>
                <c:ptCount val="4"/>
                <c:pt idx="0">
                  <c:v>170.05608919905333</c:v>
                </c:pt>
                <c:pt idx="1">
                  <c:v>140.95062447937397</c:v>
                </c:pt>
                <c:pt idx="2">
                  <c:v>257.76535259087598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Centralines!$B$57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Centralines!$C$53:$F$53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Centralines!$C$57:$F$57</c:f>
              <c:numCache>
                <c:formatCode>0</c:formatCode>
                <c:ptCount val="4"/>
                <c:pt idx="0">
                  <c:v>986.58657948447433</c:v>
                </c:pt>
                <c:pt idx="1">
                  <c:v>1019.7757237367009</c:v>
                </c:pt>
                <c:pt idx="2">
                  <c:v>1211.3952736385436</c:v>
                </c:pt>
                <c:pt idx="3">
                  <c:v>1096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402688"/>
        <c:axId val="122404224"/>
      </c:barChart>
      <c:catAx>
        <c:axId val="12240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2404224"/>
        <c:crosses val="autoZero"/>
        <c:auto val="1"/>
        <c:lblAlgn val="ctr"/>
        <c:lblOffset val="100"/>
        <c:noMultiLvlLbl val="0"/>
      </c:catAx>
      <c:valAx>
        <c:axId val="12240422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2402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78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78776326423162757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Centralines!$B$61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75652979340337E-6"/>
                  <c:y val="-2.35185185185185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Centralines!$C$61:$F$61</c:f>
              <c:numCache>
                <c:formatCode>0.0</c:formatCode>
                <c:ptCount val="4"/>
                <c:pt idx="0">
                  <c:v>100</c:v>
                </c:pt>
                <c:pt idx="1">
                  <c:v>113.20789600280099</c:v>
                </c:pt>
                <c:pt idx="2">
                  <c:v>121.85237213945146</c:v>
                </c:pt>
                <c:pt idx="3">
                  <c:v>137.83784490092052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Centralines!$B$62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37826489671355E-6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Centralines!$C$62:$F$62</c:f>
              <c:numCache>
                <c:formatCode>0.0</c:formatCode>
                <c:ptCount val="4"/>
                <c:pt idx="0">
                  <c:v>100</c:v>
                </c:pt>
                <c:pt idx="1">
                  <c:v>98.567788432996608</c:v>
                </c:pt>
                <c:pt idx="2">
                  <c:v>92.385031238600973</c:v>
                </c:pt>
                <c:pt idx="3">
                  <c:v>131.96345942801821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Centralines!$B$63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2.1113896002590858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2.6469249098503997E-2"/>
                  <c:y val="-5.87976851851858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Centralines!$C$63:$E$63</c:f>
              <c:numCache>
                <c:formatCode>0.0</c:formatCode>
                <c:ptCount val="3"/>
                <c:pt idx="0">
                  <c:v>100</c:v>
                </c:pt>
                <c:pt idx="1">
                  <c:v>82.884785333613692</c:v>
                </c:pt>
                <c:pt idx="2">
                  <c:v>151.57666732483634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Centralines!$B$64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Centralines!$C$64:$F$64</c:f>
              <c:numCache>
                <c:formatCode>0.0</c:formatCode>
                <c:ptCount val="4"/>
                <c:pt idx="0">
                  <c:v>100</c:v>
                </c:pt>
                <c:pt idx="1">
                  <c:v>103.36403767721724</c:v>
                </c:pt>
                <c:pt idx="2">
                  <c:v>122.7865145167026</c:v>
                </c:pt>
                <c:pt idx="3">
                  <c:v>111.09009820229846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61184"/>
        <c:axId val="121963264"/>
      </c:lineChart>
      <c:catAx>
        <c:axId val="12246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1963264"/>
        <c:crosses val="autoZero"/>
        <c:auto val="1"/>
        <c:lblAlgn val="ctr"/>
        <c:lblOffset val="100"/>
        <c:noMultiLvlLbl val="0"/>
      </c:catAx>
      <c:valAx>
        <c:axId val="121963264"/>
        <c:scaling>
          <c:orientation val="minMax"/>
          <c:max val="160"/>
          <c:min val="8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246118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460351024323088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Centralines!$B$84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354918846777024E-3"/>
                  <c:y val="-2.805987248455941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Centralines!$C$84:$F$84</c:f>
              <c:numCache>
                <c:formatCode>0.00</c:formatCode>
                <c:ptCount val="4"/>
                <c:pt idx="0">
                  <c:v>9.1167743889485156</c:v>
                </c:pt>
                <c:pt idx="1">
                  <c:v>9.6855381540563013</c:v>
                </c:pt>
                <c:pt idx="2">
                  <c:v>10.907413121649656</c:v>
                </c:pt>
                <c:pt idx="3">
                  <c:v>11.502095278437542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Centralines!$B$85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90609520707183E-3"/>
                  <c:y val="-4.06340904562661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Centralines!$C$85:$F$85</c:f>
              <c:numCache>
                <c:formatCode>0.00</c:formatCode>
                <c:ptCount val="4"/>
                <c:pt idx="0">
                  <c:v>6.8085626649904958</c:v>
                </c:pt>
                <c:pt idx="1">
                  <c:v>7.6404682084844397</c:v>
                </c:pt>
                <c:pt idx="2">
                  <c:v>8.2933340252665708</c:v>
                </c:pt>
                <c:pt idx="3">
                  <c:v>8.4607843137254903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Centralines!$B$86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2.1383941771021472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4.1513218553147734E-3"/>
                  <c:y val="-2.8505678421996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Centralines!$C$86:$E$86</c:f>
              <c:numCache>
                <c:formatCode>0.00</c:formatCode>
                <c:ptCount val="3"/>
                <c:pt idx="0">
                  <c:v>5.2846045047598063</c:v>
                </c:pt>
                <c:pt idx="1">
                  <c:v>6.1520402457913157</c:v>
                </c:pt>
                <c:pt idx="2">
                  <c:v>5.8649682045705571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Centralines!$B$87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99660429540984E-3"/>
                  <c:y val="-2.887427774457130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Centralines!$C$87:$F$87</c:f>
              <c:numCache>
                <c:formatCode>0.00</c:formatCode>
                <c:ptCount val="4"/>
                <c:pt idx="0">
                  <c:v>3.069569664138819</c:v>
                </c:pt>
                <c:pt idx="1">
                  <c:v>2.9842528591968032</c:v>
                </c:pt>
                <c:pt idx="2">
                  <c:v>3.5084432160523158</c:v>
                </c:pt>
                <c:pt idx="3">
                  <c:v>3.323024680128555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36224"/>
        <c:axId val="122037760"/>
      </c:lineChart>
      <c:catAx>
        <c:axId val="1220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2037760"/>
        <c:crosses val="autoZero"/>
        <c:auto val="1"/>
        <c:lblAlgn val="ctr"/>
        <c:lblOffset val="100"/>
        <c:noMultiLvlLbl val="0"/>
      </c:catAx>
      <c:valAx>
        <c:axId val="12203776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2036224"/>
        <c:crosses val="autoZero"/>
        <c:crossBetween val="midCat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444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Centralines!$B$90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-2.75353656106803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Centralines!$C$90:$F$90</c:f>
              <c:numCache>
                <c:formatCode>0.0</c:formatCode>
                <c:ptCount val="4"/>
                <c:pt idx="0">
                  <c:v>100</c:v>
                </c:pt>
                <c:pt idx="1">
                  <c:v>106.23865131287278</c:v>
                </c:pt>
                <c:pt idx="2">
                  <c:v>119.64114341659895</c:v>
                </c:pt>
                <c:pt idx="3">
                  <c:v>126.16408817114689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Centralines!$B$91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5036252654544E-3"/>
                  <c:y val="3.475393504682208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Centralines!$C$91:$F$91</c:f>
              <c:numCache>
                <c:formatCode>0.0</c:formatCode>
                <c:ptCount val="4"/>
                <c:pt idx="0">
                  <c:v>100</c:v>
                </c:pt>
                <c:pt idx="1">
                  <c:v>112.21851930322369</c:v>
                </c:pt>
                <c:pt idx="2">
                  <c:v>121.80741271444472</c:v>
                </c:pt>
                <c:pt idx="3">
                  <c:v>124.26682003281968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Centralines!$B$92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2.548287881620338E-2"/>
                  <c:y val="1.3250664489523367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4.3199260519208582E-3"/>
                  <c:y val="-1.577605100617656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Centralines!$C$92:$E$92</c:f>
              <c:numCache>
                <c:formatCode>0.0</c:formatCode>
                <c:ptCount val="3"/>
                <c:pt idx="0">
                  <c:v>100</c:v>
                </c:pt>
                <c:pt idx="1">
                  <c:v>116.41439279420467</c:v>
                </c:pt>
                <c:pt idx="2">
                  <c:v>110.98215957860273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Centralines!$B$93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2.16557083084280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Centralines!$C$93:$F$93</c:f>
              <c:numCache>
                <c:formatCode>0.0</c:formatCode>
                <c:ptCount val="4"/>
                <c:pt idx="0">
                  <c:v>100</c:v>
                </c:pt>
                <c:pt idx="1">
                  <c:v>97.220561372535201</c:v>
                </c:pt>
                <c:pt idx="2">
                  <c:v>114.29755959086938</c:v>
                </c:pt>
                <c:pt idx="3">
                  <c:v>108.25702113722329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02528"/>
        <c:axId val="122104064"/>
      </c:lineChart>
      <c:catAx>
        <c:axId val="12210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2104064"/>
        <c:crosses val="autoZero"/>
        <c:auto val="1"/>
        <c:lblAlgn val="ctr"/>
        <c:lblOffset val="100"/>
        <c:noMultiLvlLbl val="0"/>
      </c:catAx>
      <c:valAx>
        <c:axId val="122104064"/>
        <c:scaling>
          <c:orientation val="minMax"/>
          <c:max val="13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2102528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834364860253561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Centralines!$B$120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0472109426725574"/>
                  <c:y val="-9.6248774463798623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Centralines!$C$120:$F$120</c:f>
              <c:numCache>
                <c:formatCode>0.0</c:formatCode>
                <c:ptCount val="4"/>
                <c:pt idx="0">
                  <c:v>100</c:v>
                </c:pt>
                <c:pt idx="1">
                  <c:v>106.55998980013759</c:v>
                </c:pt>
                <c:pt idx="2">
                  <c:v>101.84821764462151</c:v>
                </c:pt>
                <c:pt idx="3">
                  <c:v>109.25283644418502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Centralines!$B$121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19541807344663445"/>
                  <c:y val="0.33550025522355237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Centralines!$C$121:$F$121</c:f>
              <c:numCache>
                <c:formatCode>0.0</c:formatCode>
                <c:ptCount val="4"/>
                <c:pt idx="0">
                  <c:v>100</c:v>
                </c:pt>
                <c:pt idx="1">
                  <c:v>87.835581011952527</c:v>
                </c:pt>
                <c:pt idx="2">
                  <c:v>75.845163426285751</c:v>
                </c:pt>
                <c:pt idx="3">
                  <c:v>106.19363993797042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Centralines!$B$122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2.1116248104941435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1.7017546479607951E-5"/>
                  <c:y val="-5.879629629629784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Centralines!$C$122:$E$122</c:f>
              <c:numCache>
                <c:formatCode>0.0</c:formatCode>
                <c:ptCount val="3"/>
                <c:pt idx="0">
                  <c:v>100</c:v>
                </c:pt>
                <c:pt idx="1">
                  <c:v>71.198056652785169</c:v>
                </c:pt>
                <c:pt idx="2">
                  <c:v>136.57750750244023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Centralines!$B$123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6436408668237108E-6"/>
                  <c:y val="-0.12565676795815708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800"/>
                      <a:t>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Centralines!$C$123:$F$123</c:f>
              <c:numCache>
                <c:formatCode>0.0</c:formatCode>
                <c:ptCount val="4"/>
                <c:pt idx="0">
                  <c:v>100</c:v>
                </c:pt>
                <c:pt idx="1">
                  <c:v>106.31911214865457</c:v>
                </c:pt>
                <c:pt idx="2">
                  <c:v>107.42706577132498</c:v>
                </c:pt>
                <c:pt idx="3">
                  <c:v>102.61699152194856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44256"/>
        <c:axId val="122145792"/>
      </c:lineChart>
      <c:catAx>
        <c:axId val="12214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2145792"/>
        <c:crosses val="autoZero"/>
        <c:auto val="1"/>
        <c:lblAlgn val="ctr"/>
        <c:lblOffset val="100"/>
        <c:noMultiLvlLbl val="0"/>
      </c:catAx>
      <c:valAx>
        <c:axId val="122145792"/>
        <c:scaling>
          <c:orientation val="minMax"/>
          <c:max val="140"/>
          <c:min val="7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2144256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6001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Centralines!$B$113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Centralines!$C$112:$F$112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Centralines!$C$113:$F$113</c:f>
              <c:numCache>
                <c:formatCode>General</c:formatCode>
                <c:ptCount val="4"/>
                <c:pt idx="0">
                  <c:v>60502.777000000002</c:v>
                </c:pt>
                <c:pt idx="1">
                  <c:v>64471.752999999997</c:v>
                </c:pt>
                <c:pt idx="2">
                  <c:v>61621</c:v>
                </c:pt>
                <c:pt idx="3">
                  <c:v>66101</c:v>
                </c:pt>
              </c:numCache>
            </c:numRef>
          </c:val>
        </c:ser>
        <c:ser>
          <c:idx val="1"/>
          <c:order val="1"/>
          <c:tx>
            <c:strRef>
              <c:f>Centralines!$B$114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Centralines!$C$112:$F$112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Centralines!$C$114:$F$114</c:f>
              <c:numCache>
                <c:formatCode>General</c:formatCode>
                <c:ptCount val="4"/>
                <c:pt idx="0">
                  <c:v>9605.0949999999993</c:v>
                </c:pt>
                <c:pt idx="1">
                  <c:v>8436.6910000000007</c:v>
                </c:pt>
                <c:pt idx="2">
                  <c:v>7285</c:v>
                </c:pt>
                <c:pt idx="3">
                  <c:v>10200</c:v>
                </c:pt>
              </c:numCache>
            </c:numRef>
          </c:val>
        </c:ser>
        <c:ser>
          <c:idx val="2"/>
          <c:order val="2"/>
          <c:tx>
            <c:strRef>
              <c:f>Centralines!$B$115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Centralines!$C$112:$F$112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Centralines!$C$115:$F$115</c:f>
              <c:numCache>
                <c:formatCode>General</c:formatCode>
                <c:ptCount val="4"/>
                <c:pt idx="0">
                  <c:v>3217.953</c:v>
                </c:pt>
                <c:pt idx="1">
                  <c:v>2291.12</c:v>
                </c:pt>
                <c:pt idx="2">
                  <c:v>4395</c:v>
                </c:pt>
                <c:pt idx="3">
                  <c:v>0</c:v>
                </c:pt>
              </c:numCache>
            </c:numRef>
          </c:val>
        </c:ser>
        <c:ser>
          <c:idx val="3"/>
          <c:order val="3"/>
          <c:tx>
            <c:strRef>
              <c:f>Centralines!$B$116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Centralines!$C$112:$F$112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Centralines!$C$116:$F$116</c:f>
              <c:numCache>
                <c:formatCode>General</c:formatCode>
                <c:ptCount val="4"/>
                <c:pt idx="0">
                  <c:v>32140.876</c:v>
                </c:pt>
                <c:pt idx="1">
                  <c:v>34171.894</c:v>
                </c:pt>
                <c:pt idx="2">
                  <c:v>34528</c:v>
                </c:pt>
                <c:pt idx="3">
                  <c:v>32982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800384"/>
        <c:axId val="122818560"/>
      </c:barChart>
      <c:catAx>
        <c:axId val="1228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2818560"/>
        <c:crosses val="autoZero"/>
        <c:auto val="1"/>
        <c:lblAlgn val="ctr"/>
        <c:lblOffset val="100"/>
        <c:noMultiLvlLbl val="0"/>
      </c:catAx>
      <c:valAx>
        <c:axId val="12281856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28003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Centralines!$U$138:$U$144</c:f>
              <c:strCache>
                <c:ptCount val="7"/>
                <c:pt idx="0">
                  <c:v>General management, admin and overheads</c:v>
                </c:pt>
                <c:pt idx="1">
                  <c:v>Refurbishment and renewal maintenance</c:v>
                </c:pt>
                <c:pt idx="2">
                  <c:v>Routine and preventative maintenance</c:v>
                </c:pt>
                <c:pt idx="3">
                  <c:v>System management and operations</c:v>
                </c:pt>
                <c:pt idx="4">
                  <c:v>Fault and emergency maintenance</c:v>
                </c:pt>
                <c:pt idx="5">
                  <c:v>Pass-through costs</c:v>
                </c:pt>
                <c:pt idx="6">
                  <c:v>Other</c:v>
                </c:pt>
              </c:strCache>
            </c:strRef>
          </c:cat>
          <c:val>
            <c:numRef>
              <c:f>Centralines!$V$138:$V$144</c:f>
              <c:numCache>
                <c:formatCode>General</c:formatCode>
                <c:ptCount val="7"/>
                <c:pt idx="0">
                  <c:v>1409</c:v>
                </c:pt>
                <c:pt idx="1">
                  <c:v>621</c:v>
                </c:pt>
                <c:pt idx="2">
                  <c:v>526</c:v>
                </c:pt>
                <c:pt idx="3">
                  <c:v>391</c:v>
                </c:pt>
                <c:pt idx="4">
                  <c:v>233</c:v>
                </c:pt>
                <c:pt idx="5">
                  <c:v>66</c:v>
                </c:pt>
                <c:pt idx="6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22843136"/>
        <c:axId val="122844672"/>
      </c:barChart>
      <c:catAx>
        <c:axId val="122843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2844672"/>
        <c:crosses val="autoZero"/>
        <c:auto val="1"/>
        <c:lblAlgn val="ctr"/>
        <c:lblOffset val="100"/>
        <c:noMultiLvlLbl val="0"/>
      </c:catAx>
      <c:valAx>
        <c:axId val="122844672"/>
        <c:scaling>
          <c:orientation val="minMax"/>
          <c:max val="142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2843136"/>
        <c:crosses val="autoZero"/>
        <c:crossBetween val="between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22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Centralines!$U$186:$U$191</c:f>
              <c:strCache>
                <c:ptCount val="6"/>
                <c:pt idx="0">
                  <c:v>Reliability, safety and environment</c:v>
                </c:pt>
                <c:pt idx="1">
                  <c:v>System growth</c:v>
                </c:pt>
                <c:pt idx="2">
                  <c:v>Asset replacement and renewal</c:v>
                </c:pt>
                <c:pt idx="3">
                  <c:v>Non-network capex</c:v>
                </c:pt>
                <c:pt idx="4">
                  <c:v>Customer connection</c:v>
                </c:pt>
                <c:pt idx="5">
                  <c:v>Asset relocations</c:v>
                </c:pt>
              </c:strCache>
            </c:strRef>
          </c:cat>
          <c:val>
            <c:numRef>
              <c:f>Centralines!$V$186:$V$191</c:f>
              <c:numCache>
                <c:formatCode>General</c:formatCode>
                <c:ptCount val="6"/>
                <c:pt idx="0">
                  <c:v>3.3220000000000001</c:v>
                </c:pt>
                <c:pt idx="1">
                  <c:v>0.98399999999999999</c:v>
                </c:pt>
                <c:pt idx="2">
                  <c:v>0.57299999999999995</c:v>
                </c:pt>
                <c:pt idx="3">
                  <c:v>0.438</c:v>
                </c:pt>
                <c:pt idx="4">
                  <c:v>0.22700000000000001</c:v>
                </c:pt>
                <c:pt idx="5">
                  <c:v>1.9E-2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22561664"/>
        <c:axId val="122563200"/>
      </c:barChart>
      <c:catAx>
        <c:axId val="122561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2563200"/>
        <c:crosses val="autoZero"/>
        <c:auto val="1"/>
        <c:lblAlgn val="ctr"/>
        <c:lblOffset val="100"/>
        <c:noMultiLvlLbl val="0"/>
      </c:catAx>
      <c:valAx>
        <c:axId val="122563200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25616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447958333333635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Alpine!$B$120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45652558574768E-6"/>
                  <c:y val="5.29166666666668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Alpine!$C$120:$F$120</c:f>
              <c:numCache>
                <c:formatCode>0.0</c:formatCode>
                <c:ptCount val="4"/>
                <c:pt idx="0">
                  <c:v>100</c:v>
                </c:pt>
                <c:pt idx="1">
                  <c:v>128.32788566301352</c:v>
                </c:pt>
                <c:pt idx="2">
                  <c:v>155.21374094725374</c:v>
                </c:pt>
                <c:pt idx="3">
                  <c:v>189.64942639236045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Alpine!$B$121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9092416740972538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Alpine!$C$121:$F$121</c:f>
              <c:numCache>
                <c:formatCode>0.0</c:formatCode>
                <c:ptCount val="4"/>
                <c:pt idx="0">
                  <c:v>100</c:v>
                </c:pt>
                <c:pt idx="1">
                  <c:v>102.31059131504267</c:v>
                </c:pt>
                <c:pt idx="2">
                  <c:v>106.55264627727097</c:v>
                </c:pt>
                <c:pt idx="3">
                  <c:v>107.10215572443286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Alpine!$B$122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2185048590174969"/>
                  <c:y val="-0.12935185185185186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Alpine!$C$122:$F$122</c:f>
              <c:numCache>
                <c:formatCode>0.0</c:formatCode>
                <c:ptCount val="4"/>
                <c:pt idx="0">
                  <c:v>100</c:v>
                </c:pt>
                <c:pt idx="1">
                  <c:v>118.01323885159573</c:v>
                </c:pt>
                <c:pt idx="2">
                  <c:v>120.26119896391596</c:v>
                </c:pt>
                <c:pt idx="3">
                  <c:v>105.65334743818109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Alpine!$B$123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45652558574768E-6"/>
                  <c:y val="2.35180555555555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Alpine!$C$123:$F$123</c:f>
              <c:numCache>
                <c:formatCode>0.0</c:formatCode>
                <c:ptCount val="4"/>
                <c:pt idx="0">
                  <c:v>100</c:v>
                </c:pt>
                <c:pt idx="1">
                  <c:v>104.58462681737004</c:v>
                </c:pt>
                <c:pt idx="2">
                  <c:v>102.44093921923505</c:v>
                </c:pt>
                <c:pt idx="3">
                  <c:v>102.95573587755152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82912"/>
        <c:axId val="114984448"/>
      </c:lineChart>
      <c:catAx>
        <c:axId val="11498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984448"/>
        <c:crosses val="autoZero"/>
        <c:auto val="1"/>
        <c:lblAlgn val="ctr"/>
        <c:lblOffset val="100"/>
        <c:noMultiLvlLbl val="0"/>
      </c:catAx>
      <c:valAx>
        <c:axId val="114984448"/>
        <c:scaling>
          <c:orientation val="minMax"/>
          <c:max val="20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4982912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82046176886"/>
          <c:h val="0.82404629629630965"/>
        </c:manualLayout>
      </c:layout>
      <c:lineChart>
        <c:grouping val="standard"/>
        <c:varyColors val="0"/>
        <c:ser>
          <c:idx val="0"/>
          <c:order val="0"/>
          <c:tx>
            <c:strRef>
              <c:f>Centralines!$B$76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879629629629732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Centralines!$C$76:$F$76</c:f>
              <c:numCache>
                <c:formatCode>0.0</c:formatCode>
                <c:ptCount val="4"/>
                <c:pt idx="0">
                  <c:v>100</c:v>
                </c:pt>
                <c:pt idx="1">
                  <c:v>113.2652164564733</c:v>
                </c:pt>
                <c:pt idx="2">
                  <c:v>121.88321303343766</c:v>
                </c:pt>
                <c:pt idx="3">
                  <c:v>132.99198316612254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Centralines!$B$77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351898148148147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Centralines!$C$77:$F$77</c:f>
              <c:numCache>
                <c:formatCode>0.0</c:formatCode>
                <c:ptCount val="4"/>
                <c:pt idx="0">
                  <c:v>100</c:v>
                </c:pt>
                <c:pt idx="1">
                  <c:v>62.329630920865483</c:v>
                </c:pt>
                <c:pt idx="2">
                  <c:v>58.419946224409436</c:v>
                </c:pt>
                <c:pt idx="3">
                  <c:v>118.21726573759965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Centralines!$B$78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2.1198110530620432E-2"/>
                  <c:y val="-1.2328816326847599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939861111111100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Centralines!$C$78:$E$78</c:f>
              <c:numCache>
                <c:formatCode>0.0</c:formatCode>
                <c:ptCount val="3"/>
                <c:pt idx="0">
                  <c:v>100</c:v>
                </c:pt>
                <c:pt idx="1">
                  <c:v>72.524187166911986</c:v>
                </c:pt>
                <c:pt idx="2">
                  <c:v>132.6295839092318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Centralines!$B$79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Centralines!$C$79:$F$79</c:f>
              <c:numCache>
                <c:formatCode>0.0</c:formatCode>
                <c:ptCount val="4"/>
                <c:pt idx="0">
                  <c:v>100</c:v>
                </c:pt>
                <c:pt idx="1">
                  <c:v>82.691230141773786</c:v>
                </c:pt>
                <c:pt idx="2">
                  <c:v>98.229211613362068</c:v>
                </c:pt>
                <c:pt idx="3">
                  <c:v>88.872078561838777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11584"/>
        <c:axId val="122613120"/>
      </c:lineChart>
      <c:catAx>
        <c:axId val="12261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2613120"/>
        <c:crosses val="autoZero"/>
        <c:auto val="1"/>
        <c:lblAlgn val="ctr"/>
        <c:lblOffset val="100"/>
        <c:noMultiLvlLbl val="0"/>
      </c:catAx>
      <c:valAx>
        <c:axId val="122613120"/>
        <c:scaling>
          <c:orientation val="minMax"/>
          <c:max val="15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261158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32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465"/>
          <c:y val="0.16445370370370369"/>
          <c:w val="0.70330041907982266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Centralines!$B$70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Centralines!$C$69:$F$69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Centralines!$C$70:$F$70</c:f>
              <c:numCache>
                <c:formatCode>0</c:formatCode>
                <c:ptCount val="4"/>
                <c:pt idx="0">
                  <c:v>697.86205442037351</c:v>
                </c:pt>
                <c:pt idx="1">
                  <c:v>790.43496650682755</c:v>
                </c:pt>
                <c:pt idx="2">
                  <c:v>850.57669446870852</c:v>
                </c:pt>
                <c:pt idx="3">
                  <c:v>928.1005859375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657792"/>
        <c:axId val="122667776"/>
      </c:lineChart>
      <c:catAx>
        <c:axId val="12265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22667776"/>
        <c:crosses val="autoZero"/>
        <c:auto val="1"/>
        <c:lblAlgn val="ctr"/>
        <c:lblOffset val="100"/>
        <c:noMultiLvlLbl val="0"/>
      </c:catAx>
      <c:valAx>
        <c:axId val="122667776"/>
        <c:scaling>
          <c:orientation val="minMax"/>
          <c:max val="1000"/>
          <c:min val="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22657792"/>
        <c:crosses val="autoZero"/>
        <c:crossBetween val="midCat"/>
        <c:majorUnit val="1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93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904"/>
          <c:y val="0.17621296296296779"/>
          <c:w val="0.73692152777777775"/>
          <c:h val="0.5728240740740983"/>
        </c:manualLayout>
      </c:layout>
      <c:lineChart>
        <c:grouping val="standard"/>
        <c:varyColors val="0"/>
        <c:ser>
          <c:idx val="1"/>
          <c:order val="0"/>
          <c:tx>
            <c:strRef>
              <c:f>Centralines!$B$71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Centralines!$C$69:$F$69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Centralines!$C$71:$F$71</c:f>
              <c:numCache>
                <c:formatCode>0</c:formatCode>
                <c:ptCount val="4"/>
                <c:pt idx="0">
                  <c:v>15208.579351322533</c:v>
                </c:pt>
                <c:pt idx="1">
                  <c:v>9479.4513779862937</c:v>
                </c:pt>
                <c:pt idx="2">
                  <c:v>8884.8438785392609</c:v>
                </c:pt>
                <c:pt idx="3">
                  <c:v>17979.166666666668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00928"/>
        <c:axId val="122702464"/>
      </c:lineChart>
      <c:catAx>
        <c:axId val="1227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22702464"/>
        <c:crosses val="autoZero"/>
        <c:auto val="1"/>
        <c:lblAlgn val="ctr"/>
        <c:lblOffset val="100"/>
        <c:noMultiLvlLbl val="0"/>
      </c:catAx>
      <c:valAx>
        <c:axId val="122702464"/>
        <c:scaling>
          <c:orientation val="minMax"/>
          <c:max val="20000"/>
          <c:min val="8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22700928"/>
        <c:crosses val="autoZero"/>
        <c:crossBetween val="midCat"/>
        <c:majorUnit val="3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95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Centralines!$B$72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Centralines!$C$69:$F$69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Centralines!$C$72:$E$72</c:f>
              <c:numCache>
                <c:formatCode>0</c:formatCode>
                <c:ptCount val="3"/>
                <c:pt idx="0">
                  <c:v>24293.727028436191</c:v>
                </c:pt>
                <c:pt idx="1">
                  <c:v>17618.828059921747</c:v>
                </c:pt>
                <c:pt idx="2">
                  <c:v>32220.669073859499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727040"/>
        <c:axId val="122732928"/>
      </c:lineChart>
      <c:catAx>
        <c:axId val="12272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22732928"/>
        <c:crosses val="autoZero"/>
        <c:auto val="1"/>
        <c:lblAlgn val="ctr"/>
        <c:lblOffset val="100"/>
        <c:noMultiLvlLbl val="0"/>
      </c:catAx>
      <c:valAx>
        <c:axId val="122732928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22727040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Centralines!$B$73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Centralines!$C$69:$F$69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Centralines!$C$73:$F$73</c:f>
              <c:numCache>
                <c:formatCode>0</c:formatCode>
                <c:ptCount val="4"/>
                <c:pt idx="0">
                  <c:v>246646.64487111859</c:v>
                </c:pt>
                <c:pt idx="1">
                  <c:v>203955.14474734018</c:v>
                </c:pt>
                <c:pt idx="2">
                  <c:v>242279.05472770872</c:v>
                </c:pt>
                <c:pt idx="3">
                  <c:v>219200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285888"/>
        <c:axId val="123287424"/>
      </c:lineChart>
      <c:catAx>
        <c:axId val="12328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23287424"/>
        <c:crosses val="autoZero"/>
        <c:auto val="1"/>
        <c:lblAlgn val="ctr"/>
        <c:lblOffset val="100"/>
        <c:noMultiLvlLbl val="0"/>
      </c:catAx>
      <c:valAx>
        <c:axId val="123287424"/>
        <c:scaling>
          <c:orientation val="minMax"/>
          <c:max val="400000"/>
          <c:min val="16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23285888"/>
        <c:crosses val="autoZero"/>
        <c:crossBetween val="midCat"/>
        <c:majorUnit val="4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58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Centralines!$B$105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3648293266830941E-3"/>
                  <c:y val="4.115705243369185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Centralines!$C$105:$F$105</c:f>
              <c:numCache>
                <c:formatCode>0.0</c:formatCode>
                <c:ptCount val="4"/>
                <c:pt idx="0">
                  <c:v>100</c:v>
                </c:pt>
                <c:pt idx="1">
                  <c:v>99.949392712550605</c:v>
                </c:pt>
                <c:pt idx="2">
                  <c:v>99.974696356275302</c:v>
                </c:pt>
                <c:pt idx="3">
                  <c:v>103.64372469635627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Centralines!$B$106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8513453767774704"/>
                  <c:y val="0.35169659063263747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Centralines!$C$106:$F$106</c:f>
              <c:numCache>
                <c:formatCode>0.0</c:formatCode>
                <c:ptCount val="4"/>
                <c:pt idx="0">
                  <c:v>100</c:v>
                </c:pt>
                <c:pt idx="1">
                  <c:v>158.13953488372093</c:v>
                </c:pt>
                <c:pt idx="2">
                  <c:v>158.13953488372093</c:v>
                </c:pt>
                <c:pt idx="3">
                  <c:v>111.62790697674419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Centralines!$B$107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2.106115728903445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8.8727995457130103E-5"/>
                  <c:y val="-6.132916666666634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Centralines!$C$107:$E$107</c:f>
              <c:numCache>
                <c:formatCode>0.0</c:formatCode>
                <c:ptCount val="3"/>
                <c:pt idx="0">
                  <c:v>100</c:v>
                </c:pt>
                <c:pt idx="1">
                  <c:v>114.28571428571428</c:v>
                </c:pt>
                <c:pt idx="2">
                  <c:v>114.28571428571428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35040"/>
        <c:axId val="123336576"/>
      </c:lineChart>
      <c:catAx>
        <c:axId val="12333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3336576"/>
        <c:crosses val="autoZero"/>
        <c:auto val="1"/>
        <c:lblAlgn val="ctr"/>
        <c:lblOffset val="100"/>
        <c:noMultiLvlLbl val="0"/>
      </c:catAx>
      <c:valAx>
        <c:axId val="123336576"/>
        <c:scaling>
          <c:orientation val="minMax"/>
          <c:max val="16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333504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2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Centralines!$B$98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Centralines!$C$97:$F$97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Centralines!$C$98:$F$98</c:f>
              <c:numCache>
                <c:formatCode>General</c:formatCode>
                <c:ptCount val="4"/>
                <c:pt idx="0">
                  <c:v>7904</c:v>
                </c:pt>
                <c:pt idx="1">
                  <c:v>7900</c:v>
                </c:pt>
                <c:pt idx="2">
                  <c:v>7902</c:v>
                </c:pt>
                <c:pt idx="3">
                  <c:v>8192</c:v>
                </c:pt>
              </c:numCache>
            </c:numRef>
          </c:val>
        </c:ser>
        <c:ser>
          <c:idx val="1"/>
          <c:order val="1"/>
          <c:tx>
            <c:strRef>
              <c:f>Centralines!$B$99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Centralines!$C$97:$F$97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Centralines!$C$99:$F$99</c:f>
              <c:numCache>
                <c:formatCode>General</c:formatCode>
                <c:ptCount val="4"/>
                <c:pt idx="0">
                  <c:v>43</c:v>
                </c:pt>
                <c:pt idx="1">
                  <c:v>68</c:v>
                </c:pt>
                <c:pt idx="2">
                  <c:v>68</c:v>
                </c:pt>
                <c:pt idx="3">
                  <c:v>48</c:v>
                </c:pt>
              </c:numCache>
            </c:numRef>
          </c:val>
        </c:ser>
        <c:ser>
          <c:idx val="2"/>
          <c:order val="2"/>
          <c:tx>
            <c:strRef>
              <c:f>Centralines!$B$100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Centralines!$C$97:$F$97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Centralines!$C$100:$F$100</c:f>
              <c:numCache>
                <c:formatCode>General</c:formatCode>
                <c:ptCount val="4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269120"/>
        <c:axId val="123270656"/>
      </c:barChart>
      <c:catAx>
        <c:axId val="12326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3270656"/>
        <c:crosses val="autoZero"/>
        <c:auto val="1"/>
        <c:lblAlgn val="ctr"/>
        <c:lblOffset val="100"/>
        <c:noMultiLvlLbl val="0"/>
      </c:catAx>
      <c:valAx>
        <c:axId val="12327065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3269120"/>
        <c:crosses val="autoZero"/>
        <c:crossBetween val="between"/>
        <c:majorUnit val="2000"/>
      </c:valAx>
    </c:plotArea>
    <c:legend>
      <c:legendPos val="t"/>
      <c:layout>
        <c:manualLayout>
          <c:xMode val="edge"/>
          <c:yMode val="edge"/>
          <c:x val="0"/>
          <c:y val="3.5277777777779448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Centralines!$B$209</c:f>
              <c:strCache>
                <c:ptCount val="1"/>
                <c:pt idx="0">
                  <c:v>Centralines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Centralines!$C$204:$F$204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Centralines!$C$209:$F$209</c:f>
              <c:numCache>
                <c:formatCode>_(* #,##0.00_);_(* \(#,##0.00\);_(* "-"??_);_(@_)</c:formatCode>
                <c:ptCount val="4"/>
                <c:pt idx="0">
                  <c:v>31660.809026994939</c:v>
                </c:pt>
                <c:pt idx="1">
                  <c:v>42102.724149291476</c:v>
                </c:pt>
                <c:pt idx="2">
                  <c:v>49099.267347032517</c:v>
                </c:pt>
                <c:pt idx="3">
                  <c:v>50904.532269428913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Centralines!$B$210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738681930318359E-5"/>
                  <c:y val="-4.59275122383113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Centralines!$C$204:$F$204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74592"/>
        <c:axId val="123392768"/>
      </c:lineChart>
      <c:catAx>
        <c:axId val="12337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3392768"/>
        <c:crosses val="autoZero"/>
        <c:auto val="1"/>
        <c:lblAlgn val="ctr"/>
        <c:lblOffset val="100"/>
        <c:noMultiLvlLbl val="0"/>
      </c:catAx>
      <c:valAx>
        <c:axId val="123392768"/>
        <c:scaling>
          <c:orientation val="minMax"/>
          <c:max val="55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3374592"/>
        <c:crosses val="autoZero"/>
        <c:crossBetween val="midCat"/>
        <c:majorUnit val="1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3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Centralines!$C$204:$F$204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Centralines!$C$212:$F$212</c:f>
              <c:numCache>
                <c:formatCode>_(* #,##0.00_);_(* \(#,##0.00\);_(* "-"??_);_(@_)</c:formatCode>
                <c:ptCount val="4"/>
                <c:pt idx="0">
                  <c:v>8.2633598305317635E-2</c:v>
                </c:pt>
                <c:pt idx="1">
                  <c:v>0.10603717733913956</c:v>
                </c:pt>
                <c:pt idx="2">
                  <c:v>0.11965526411427631</c:v>
                </c:pt>
                <c:pt idx="3">
                  <c:v>0.10936334217833692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4.9597769221799724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Centralines!$C$204:$F$204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493376"/>
        <c:axId val="123507456"/>
      </c:lineChart>
      <c:catAx>
        <c:axId val="12349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3507456"/>
        <c:crosses val="autoZero"/>
        <c:auto val="1"/>
        <c:lblAlgn val="ctr"/>
        <c:lblOffset val="100"/>
        <c:noMultiLvlLbl val="0"/>
      </c:catAx>
      <c:valAx>
        <c:axId val="123507456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3493376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32"/>
          <c:w val="0.79809047321242665"/>
          <c:h val="0.72979551178440372"/>
        </c:manualLayout>
      </c:layout>
      <c:lineChart>
        <c:grouping val="standard"/>
        <c:varyColors val="0"/>
        <c:ser>
          <c:idx val="0"/>
          <c:order val="0"/>
          <c:tx>
            <c:strRef>
              <c:f>Centralines!$B$206</c:f>
              <c:strCache>
                <c:ptCount val="1"/>
                <c:pt idx="0">
                  <c:v>Centralines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Centralines!$C$204:$F$204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Centralines!$C$206:$F$206</c:f>
              <c:numCache>
                <c:formatCode>_(* #,##0.00_);_(* \(#,##0.00\);_(* "-"??_);_(@_)</c:formatCode>
                <c:ptCount val="4"/>
                <c:pt idx="0">
                  <c:v>419.59802451221111</c:v>
                </c:pt>
                <c:pt idx="1">
                  <c:v>576.97485603054974</c:v>
                </c:pt>
                <c:pt idx="2">
                  <c:v>663.19991215873347</c:v>
                </c:pt>
                <c:pt idx="3">
                  <c:v>674.71194663432379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Centralines!$B$207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5988850572340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Centralines!$C$204:$F$204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38816"/>
        <c:axId val="123540608"/>
      </c:lineChart>
      <c:catAx>
        <c:axId val="12353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3540608"/>
        <c:crosses val="autoZero"/>
        <c:auto val="1"/>
        <c:lblAlgn val="ctr"/>
        <c:lblOffset val="100"/>
        <c:noMultiLvlLbl val="0"/>
      </c:catAx>
      <c:valAx>
        <c:axId val="123540608"/>
        <c:scaling>
          <c:orientation val="minMax"/>
          <c:max val="7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3538816"/>
        <c:crosses val="autoZero"/>
        <c:crossBetween val="midCat"/>
        <c:majorUnit val="14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557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Alpine!$B$113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Alpine!$C$112:$F$112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Alpine!$C$113:$F$113</c:f>
              <c:numCache>
                <c:formatCode>General</c:formatCode>
                <c:ptCount val="4"/>
                <c:pt idx="0">
                  <c:v>15603</c:v>
                </c:pt>
                <c:pt idx="1">
                  <c:v>20023</c:v>
                </c:pt>
                <c:pt idx="2">
                  <c:v>24218</c:v>
                </c:pt>
                <c:pt idx="3">
                  <c:v>29591</c:v>
                </c:pt>
              </c:numCache>
            </c:numRef>
          </c:val>
        </c:ser>
        <c:ser>
          <c:idx val="1"/>
          <c:order val="1"/>
          <c:tx>
            <c:strRef>
              <c:f>Alpine!$B$114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Alpine!$C$112:$F$112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Alpine!$C$114:$F$114</c:f>
              <c:numCache>
                <c:formatCode>General</c:formatCode>
                <c:ptCount val="4"/>
                <c:pt idx="0">
                  <c:v>354498</c:v>
                </c:pt>
                <c:pt idx="1">
                  <c:v>362689</c:v>
                </c:pt>
                <c:pt idx="2">
                  <c:v>377727</c:v>
                </c:pt>
                <c:pt idx="3">
                  <c:v>379675</c:v>
                </c:pt>
              </c:numCache>
            </c:numRef>
          </c:val>
        </c:ser>
        <c:ser>
          <c:idx val="2"/>
          <c:order val="2"/>
          <c:tx>
            <c:strRef>
              <c:f>Alpine!$B$115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Alpine!$C$112:$F$112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Alpine!$C$115:$F$115</c:f>
              <c:numCache>
                <c:formatCode>General</c:formatCode>
                <c:ptCount val="4"/>
                <c:pt idx="0">
                  <c:v>128561</c:v>
                </c:pt>
                <c:pt idx="1">
                  <c:v>151719</c:v>
                </c:pt>
                <c:pt idx="2">
                  <c:v>154609</c:v>
                </c:pt>
                <c:pt idx="3">
                  <c:v>135829</c:v>
                </c:pt>
              </c:numCache>
            </c:numRef>
          </c:val>
        </c:ser>
        <c:ser>
          <c:idx val="3"/>
          <c:order val="3"/>
          <c:tx>
            <c:strRef>
              <c:f>Alpine!$B$116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Alpine!$C$112:$F$112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Alpine!$C$116:$F$116</c:f>
              <c:numCache>
                <c:formatCode>General</c:formatCode>
                <c:ptCount val="4"/>
                <c:pt idx="0">
                  <c:v>166862</c:v>
                </c:pt>
                <c:pt idx="1">
                  <c:v>174512</c:v>
                </c:pt>
                <c:pt idx="2">
                  <c:v>170935</c:v>
                </c:pt>
                <c:pt idx="3">
                  <c:v>171794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725632"/>
        <c:axId val="114727168"/>
      </c:barChart>
      <c:catAx>
        <c:axId val="11472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727168"/>
        <c:crosses val="autoZero"/>
        <c:auto val="1"/>
        <c:lblAlgn val="ctr"/>
        <c:lblOffset val="100"/>
        <c:noMultiLvlLbl val="0"/>
      </c:catAx>
      <c:valAx>
        <c:axId val="11472716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4725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409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Centralines!$B$162</c:f>
              <c:strCache>
                <c:ptCount val="1"/>
                <c:pt idx="0">
                  <c:v>Centralines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Centralines!$C$160:$F$160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Centralines!$C$162:$F$162</c:f>
              <c:numCache>
                <c:formatCode>_(* #,##0.00_);_(* \(#,##0.00\);_(* "-"??_);_(@_)</c:formatCode>
                <c:ptCount val="4"/>
                <c:pt idx="0">
                  <c:v>278.05225238381001</c:v>
                </c:pt>
                <c:pt idx="1">
                  <c:v>349.23889917736443</c:v>
                </c:pt>
                <c:pt idx="2">
                  <c:v>334.53548590409702</c:v>
                </c:pt>
                <c:pt idx="3">
                  <c:v>394.29957550030321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Centralines!$B$163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004853801169590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Centralines!$C$160:$F$160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87200"/>
        <c:axId val="123597184"/>
      </c:lineChart>
      <c:catAx>
        <c:axId val="12358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3597184"/>
        <c:crosses val="autoZero"/>
        <c:auto val="1"/>
        <c:lblAlgn val="ctr"/>
        <c:lblOffset val="100"/>
        <c:noMultiLvlLbl val="0"/>
      </c:catAx>
      <c:valAx>
        <c:axId val="123597184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358720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9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Centralines!$C$160:$F$160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Centralines!$C$165:$F$165</c:f>
              <c:numCache>
                <c:formatCode>_(* #,##0.00_);_(* \(#,##0.00\);_(* "-"??_);_(@_)</c:formatCode>
                <c:ptCount val="4"/>
                <c:pt idx="0">
                  <c:v>1292.3372412512322</c:v>
                </c:pt>
                <c:pt idx="1">
                  <c:v>1575.6159553549223</c:v>
                </c:pt>
                <c:pt idx="2">
                  <c:v>1453.6985006150476</c:v>
                </c:pt>
                <c:pt idx="3">
                  <c:v>1881.9102749638205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2730151815203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Centralines!$C$160:$F$160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41280"/>
        <c:axId val="123042816"/>
      </c:lineChart>
      <c:catAx>
        <c:axId val="12304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3042816"/>
        <c:crosses val="autoZero"/>
        <c:auto val="1"/>
        <c:lblAlgn val="ctr"/>
        <c:lblOffset val="100"/>
        <c:noMultiLvlLbl val="0"/>
      </c:catAx>
      <c:valAx>
        <c:axId val="123042816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23041280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26327073267044"/>
          <c:y val="0.13550222222222241"/>
          <c:w val="0.7695508593816110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Centralines!$B$168</c:f>
              <c:strCache>
                <c:ptCount val="1"/>
                <c:pt idx="0">
                  <c:v>Centralines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Centralines!$C$160:$F$160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Centralines!$C$168:$F$168</c:f>
              <c:numCache>
                <c:formatCode>_(* #,##0.00_);_(* \(#,##0.00\);_(* "-"??_);_(@_)</c:formatCode>
                <c:ptCount val="4"/>
                <c:pt idx="0">
                  <c:v>20.980459268090314</c:v>
                </c:pt>
                <c:pt idx="1">
                  <c:v>25.484488415017246</c:v>
                </c:pt>
                <c:pt idx="2">
                  <c:v>24.766962356809454</c:v>
                </c:pt>
                <c:pt idx="3">
                  <c:v>29.74845126872432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Centralines!$B$169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63120173503103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Centralines!$C$160:$F$160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159680"/>
        <c:axId val="123161216"/>
      </c:lineChart>
      <c:catAx>
        <c:axId val="1231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3161216"/>
        <c:crosses val="autoZero"/>
        <c:auto val="1"/>
        <c:lblAlgn val="ctr"/>
        <c:lblOffset val="100"/>
        <c:noMultiLvlLbl val="0"/>
      </c:catAx>
      <c:valAx>
        <c:axId val="123161216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3159680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813"/>
          <c:h val="0.77599166666669928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Centralines!$B$178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Centralines!$C$178:$D$178</c:f>
              <c:numCache>
                <c:formatCode>_-* #,##0_-;\-* #,##0_-;_-* "-"??_-;_-@_-</c:formatCode>
                <c:ptCount val="2"/>
                <c:pt idx="0">
                  <c:v>1074.3201420064131</c:v>
                </c:pt>
                <c:pt idx="1">
                  <c:v>1380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23869056"/>
        <c:axId val="123870592"/>
      </c:barChart>
      <c:lineChart>
        <c:grouping val="standard"/>
        <c:varyColors val="0"/>
        <c:ser>
          <c:idx val="1"/>
          <c:order val="0"/>
          <c:tx>
            <c:strRef>
              <c:f>Centralines!$B$179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Centralines!$C$177:$D$177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Centralines!$C$179:$D$179</c:f>
              <c:numCache>
                <c:formatCode>_-* #,##0_-;\-* #,##0_-;_-* "-"??_-;_-@_-</c:formatCode>
                <c:ptCount val="2"/>
                <c:pt idx="0">
                  <c:v>1077.618112150036</c:v>
                </c:pt>
                <c:pt idx="1">
                  <c:v>1233.3827600980842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Centralines!$B$180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Centralines!$C$177:$D$177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Centralines!$C$180:$D$180</c:f>
              <c:numCache>
                <c:formatCode>_-* #,##0_-;\-* #,##0_-;_-* "-"??_-;_-@_-</c:formatCode>
                <c:ptCount val="2"/>
                <c:pt idx="1">
                  <c:v>1304.5060000000001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869056"/>
        <c:axId val="123870592"/>
      </c:lineChart>
      <c:catAx>
        <c:axId val="12386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3870592"/>
        <c:crosses val="autoZero"/>
        <c:auto val="1"/>
        <c:lblAlgn val="ctr"/>
        <c:lblOffset val="100"/>
        <c:noMultiLvlLbl val="0"/>
      </c:catAx>
      <c:valAx>
        <c:axId val="123870592"/>
        <c:scaling>
          <c:orientation val="minMax"/>
          <c:max val="145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3869056"/>
        <c:crosses val="autoZero"/>
        <c:crossBetween val="between"/>
        <c:majorUnit val="200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326"/>
          <c:y val="3.5277777777779476E-2"/>
          <c:w val="0.7717227593675065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Centralines!$V$177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3.9488324413215842E-2"/>
                  <c:y val="5.879629629629780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Centralines!$W$177:$AC$177</c:f>
              <c:numCache>
                <c:formatCode>General</c:formatCode>
                <c:ptCount val="7"/>
                <c:pt idx="0">
                  <c:v>1077.618112150036</c:v>
                </c:pt>
                <c:pt idx="1">
                  <c:v>1233.3827600980842</c:v>
                </c:pt>
                <c:pt idx="2">
                  <c:v>1188.0741316590768</c:v>
                </c:pt>
                <c:pt idx="3">
                  <c:v>1247.4783476597233</c:v>
                </c:pt>
                <c:pt idx="4">
                  <c:v>1309.8524688097866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Centralines!$V$178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7.5150962292341084E-2"/>
                  <c:y val="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Centralines!$W$178:$AC$178</c:f>
              <c:numCache>
                <c:formatCode>General</c:formatCode>
                <c:ptCount val="7"/>
                <c:pt idx="1">
                  <c:v>1304.5060000000001</c:v>
                </c:pt>
                <c:pt idx="2">
                  <c:v>1331.2460000000001</c:v>
                </c:pt>
                <c:pt idx="3">
                  <c:v>1358.6640000000002</c:v>
                </c:pt>
                <c:pt idx="4">
                  <c:v>1386.779</c:v>
                </c:pt>
                <c:pt idx="5">
                  <c:v>1415.6120000000001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Centralines!$V$179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90331674135473E-5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Centralines!$W$179:$AC$179</c:f>
              <c:numCache>
                <c:formatCode>General</c:formatCode>
                <c:ptCount val="7"/>
                <c:pt idx="2">
                  <c:v>1232.7966386554622</c:v>
                </c:pt>
                <c:pt idx="3">
                  <c:v>1367.7101486748545</c:v>
                </c:pt>
                <c:pt idx="4">
                  <c:v>1397.0391725921138</c:v>
                </c:pt>
                <c:pt idx="5">
                  <c:v>1425.3905623787975</c:v>
                </c:pt>
                <c:pt idx="6">
                  <c:v>1455.6972204266322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Centralines!$V$176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4.4221618692303115E-2"/>
                  <c:y val="-0.3577050880326215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Centralines!$C$178:$I$178</c:f>
              <c:numCache>
                <c:formatCode>_-* #,##0_-;\-* #,##0_-;_-* "-"??_-;_-@_-</c:formatCode>
                <c:ptCount val="7"/>
                <c:pt idx="0">
                  <c:v>1074.3201420064131</c:v>
                </c:pt>
                <c:pt idx="1">
                  <c:v>1380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19744"/>
        <c:axId val="123950208"/>
      </c:lineChart>
      <c:catAx>
        <c:axId val="12391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3950208"/>
        <c:crosses val="autoZero"/>
        <c:auto val="1"/>
        <c:lblAlgn val="ctr"/>
        <c:lblOffset val="100"/>
        <c:noMultiLvlLbl val="0"/>
      </c:catAx>
      <c:valAx>
        <c:axId val="123950208"/>
        <c:scaling>
          <c:orientation val="minMax"/>
          <c:max val="1600"/>
          <c:min val="8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3919744"/>
        <c:crosses val="autoZero"/>
        <c:crossBetween val="midCat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7066"/>
          <c:h val="0.7757828703703907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Centralines!$B$222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Centralines!$C$222:$D$222</c:f>
              <c:numCache>
                <c:formatCode>_-* #,##0_-;\-* #,##0_-;_-* "-"??_-;_-@_-</c:formatCode>
                <c:ptCount val="2"/>
                <c:pt idx="0">
                  <c:v>5218.0039400177839</c:v>
                </c:pt>
                <c:pt idx="1">
                  <c:v>5125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23989376"/>
        <c:axId val="124003456"/>
      </c:barChart>
      <c:lineChart>
        <c:grouping val="standard"/>
        <c:varyColors val="0"/>
        <c:ser>
          <c:idx val="1"/>
          <c:order val="0"/>
          <c:tx>
            <c:strRef>
              <c:f>Centralines!$B$223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Centralines!$C$221:$D$221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Centralines!$C$223:$D$223</c:f>
              <c:numCache>
                <c:formatCode>_-* #,##0_-;\-* #,##0_-;_-* "-"??_-;_-@_-</c:formatCode>
                <c:ptCount val="2"/>
                <c:pt idx="0">
                  <c:v>6375.5488731103987</c:v>
                </c:pt>
                <c:pt idx="1">
                  <c:v>5094.1769286734389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Centralines!$B$224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Centralines!$C$221:$D$221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Centralines!$C$224:$D$224</c:f>
              <c:numCache>
                <c:formatCode>_-* #,##0_-;\-* #,##0_-;_-* "-"??_-;_-@_-</c:formatCode>
                <c:ptCount val="2"/>
                <c:pt idx="1">
                  <c:v>6059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89376"/>
        <c:axId val="124003456"/>
      </c:lineChart>
      <c:catAx>
        <c:axId val="12398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003456"/>
        <c:crosses val="autoZero"/>
        <c:auto val="1"/>
        <c:lblAlgn val="ctr"/>
        <c:lblOffset val="100"/>
        <c:noMultiLvlLbl val="0"/>
      </c:catAx>
      <c:valAx>
        <c:axId val="12400345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3989376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733E-3"/>
          <c:w val="0.90316284722220508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Centralines!$V$221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9.6939228184055065E-2"/>
                  <c:y val="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Centralines!$W$221:$AC$221</c:f>
              <c:numCache>
                <c:formatCode>General</c:formatCode>
                <c:ptCount val="7"/>
                <c:pt idx="0">
                  <c:v>6375.5488731103987</c:v>
                </c:pt>
                <c:pt idx="1">
                  <c:v>5094.1769286734389</c:v>
                </c:pt>
                <c:pt idx="2">
                  <c:v>4839.4680822397668</c:v>
                </c:pt>
                <c:pt idx="3">
                  <c:v>3311.2150036377348</c:v>
                </c:pt>
                <c:pt idx="4">
                  <c:v>3311.2150036377348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Centralines!$V$222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66708222007815365"/>
                  <c:y val="-0.5526851851851856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Centralines!$W$222:$AC$222</c:f>
              <c:numCache>
                <c:formatCode>General</c:formatCode>
                <c:ptCount val="7"/>
                <c:pt idx="1">
                  <c:v>6059</c:v>
                </c:pt>
                <c:pt idx="2">
                  <c:v>3378</c:v>
                </c:pt>
                <c:pt idx="3">
                  <c:v>4129</c:v>
                </c:pt>
                <c:pt idx="4">
                  <c:v>3484</c:v>
                </c:pt>
                <c:pt idx="5">
                  <c:v>3653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Centralines!$V$223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6.7767796222722313E-3"/>
                  <c:y val="0.1822680555555575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Centralines!$W$223:$AC$223</c:f>
              <c:numCache>
                <c:formatCode>General</c:formatCode>
                <c:ptCount val="7"/>
                <c:pt idx="2">
                  <c:v>3270.186166774402</c:v>
                </c:pt>
                <c:pt idx="3">
                  <c:v>4157.877957336781</c:v>
                </c:pt>
                <c:pt idx="4">
                  <c:v>3399.2338720103426</c:v>
                </c:pt>
                <c:pt idx="5">
                  <c:v>3678.8372333548805</c:v>
                </c:pt>
                <c:pt idx="6">
                  <c:v>2967.1195862960567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Centralines!$V$220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2090631288923655E-2"/>
                  <c:y val="5.111813038969267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Centralines!$W$220:$AC$220</c:f>
              <c:numCache>
                <c:formatCode>General</c:formatCode>
                <c:ptCount val="7"/>
                <c:pt idx="0">
                  <c:v>5218.0039400177839</c:v>
                </c:pt>
                <c:pt idx="1">
                  <c:v>5125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79872"/>
        <c:axId val="123681408"/>
      </c:lineChart>
      <c:catAx>
        <c:axId val="12367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3681408"/>
        <c:crosses val="autoZero"/>
        <c:auto val="1"/>
        <c:lblAlgn val="ctr"/>
        <c:lblOffset val="100"/>
        <c:noMultiLvlLbl val="0"/>
      </c:catAx>
      <c:valAx>
        <c:axId val="123681408"/>
        <c:scaling>
          <c:orientation val="minMax"/>
          <c:max val="6500"/>
          <c:min val="2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3679872"/>
        <c:crosses val="autoZero"/>
        <c:crossBetween val="midCat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17"/>
          <c:y val="6.4675925925925928E-2"/>
          <c:w val="0.79206254113289798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Centralines!$B$237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6992963127147276E-2"/>
                  <c:y val="0.1763888888888889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Centralines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Centralines!$C$236:$F$236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Centralines!$C$237:$F$237</c:f>
              <c:numCache>
                <c:formatCode>_(* #,##0.00_);_(* \(#,##0.00\);_(* "-"??_);_(@_)</c:formatCode>
                <c:ptCount val="4"/>
                <c:pt idx="0">
                  <c:v>2.6799999999999997</c:v>
                </c:pt>
                <c:pt idx="1">
                  <c:v>4.93</c:v>
                </c:pt>
                <c:pt idx="2">
                  <c:v>2.34</c:v>
                </c:pt>
                <c:pt idx="3">
                  <c:v>4.72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Centralines!$B$238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0.12730904441759144"/>
                  <c:y val="7.082037037037038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Centralines!$C$238:$F$238</c:f>
              <c:numCache>
                <c:formatCode>_(* #,##0.00_);_(* \(#,##0.00\);_(* "-"??_);_(@_)</c:formatCode>
                <c:ptCount val="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4.5259999999999998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Centralines!$B$239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5627816357534E-3"/>
                  <c:y val="2.35180555555555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Centralines!$C$236:$F$236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724544"/>
        <c:axId val="123726080"/>
      </c:lineChart>
      <c:catAx>
        <c:axId val="12372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3726080"/>
        <c:crosses val="autoZero"/>
        <c:auto val="1"/>
        <c:lblAlgn val="ctr"/>
        <c:lblOffset val="100"/>
        <c:noMultiLvlLbl val="0"/>
      </c:catAx>
      <c:valAx>
        <c:axId val="123726080"/>
        <c:scaling>
          <c:orientation val="minMax"/>
          <c:max val="5.05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3724544"/>
        <c:crosses val="autoZero"/>
        <c:crossBetween val="midCat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2"/>
          <c:y val="6.4675925925925928E-2"/>
          <c:w val="0.79206254113289798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Centralines!$B$230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383308055763167"/>
                  <c:y val="8.8194444444445685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Centralines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Centralines!$C$229:$F$229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Centralines!$C$230:$F$230</c:f>
              <c:numCache>
                <c:formatCode>_(* #,##0.00_);_(* \(#,##0.00\);_(* "-"??_);_(@_)</c:formatCode>
                <c:ptCount val="4"/>
                <c:pt idx="0">
                  <c:v>157.09</c:v>
                </c:pt>
                <c:pt idx="1">
                  <c:v>198.76</c:v>
                </c:pt>
                <c:pt idx="2">
                  <c:v>133</c:v>
                </c:pt>
                <c:pt idx="3">
                  <c:v>191.45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Centralines!$B$231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0.55968132083760946"/>
                  <c:y val="-7.055555555555549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Centralines!$C$229:$F$229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Centralines!$C$231:$F$231</c:f>
              <c:numCache>
                <c:formatCode>_(* #,##0.00_);_(* \(#,##0.00\);_(* "-"??_);_(@_)</c:formatCode>
                <c:ptCount val="4"/>
                <c:pt idx="0">
                  <c:v>313</c:v>
                </c:pt>
                <c:pt idx="1">
                  <c:v>313</c:v>
                </c:pt>
                <c:pt idx="2">
                  <c:v>313</c:v>
                </c:pt>
                <c:pt idx="3">
                  <c:v>197.54900000000001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Centralines!$B$232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6744068251115072"/>
                  <c:y val="-9.521340986907185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Centralines!$C$229:$F$229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Centralines!$C$232:$F$232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801984"/>
        <c:axId val="123803520"/>
      </c:lineChart>
      <c:catAx>
        <c:axId val="12380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3803520"/>
        <c:crosses val="autoZero"/>
        <c:auto val="1"/>
        <c:lblAlgn val="ctr"/>
        <c:lblOffset val="100"/>
        <c:noMultiLvlLbl val="0"/>
      </c:catAx>
      <c:valAx>
        <c:axId val="123803520"/>
        <c:scaling>
          <c:orientation val="minMax"/>
          <c:max val="51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3801984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11736111110656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Counties!$B$26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295467930677348"/>
                  <c:y val="-0.3957615894039737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Counties!$C$26:$F$26</c:f>
              <c:numCache>
                <c:formatCode>0</c:formatCode>
                <c:ptCount val="4"/>
                <c:pt idx="0">
                  <c:v>1904.7848079609937</c:v>
                </c:pt>
                <c:pt idx="1">
                  <c:v>1953.6940078248333</c:v>
                </c:pt>
                <c:pt idx="2">
                  <c:v>1937.0098353587882</c:v>
                </c:pt>
                <c:pt idx="3">
                  <c:v>2018.08</c:v>
                </c:pt>
              </c:numCache>
            </c:numRef>
          </c:val>
        </c:ser>
        <c:ser>
          <c:idx val="1"/>
          <c:order val="1"/>
          <c:tx>
            <c:strRef>
              <c:f>Counties!$B$27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0881145833333334"/>
                  <c:y val="-6.6668981481481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Counties!$C$27:$F$27</c:f>
              <c:numCache>
                <c:formatCode>0</c:formatCode>
                <c:ptCount val="4"/>
                <c:pt idx="0">
                  <c:v>688.25821904137297</c:v>
                </c:pt>
                <c:pt idx="1">
                  <c:v>693.44718237353254</c:v>
                </c:pt>
                <c:pt idx="2">
                  <c:v>717.26011155722017</c:v>
                </c:pt>
                <c:pt idx="3">
                  <c:v>771.99999999999989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640064"/>
        <c:axId val="121641600"/>
      </c:areaChart>
      <c:catAx>
        <c:axId val="12164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1641600"/>
        <c:crosses val="autoZero"/>
        <c:auto val="1"/>
        <c:lblAlgn val="ctr"/>
        <c:lblOffset val="100"/>
        <c:noMultiLvlLbl val="0"/>
      </c:catAx>
      <c:valAx>
        <c:axId val="121641600"/>
        <c:scaling>
          <c:orientation val="minMax"/>
          <c:max val="250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1640064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Alpine!$W$138:$W$144</c:f>
              <c:strCache>
                <c:ptCount val="7"/>
                <c:pt idx="0">
                  <c:v>System management and operations</c:v>
                </c:pt>
                <c:pt idx="1">
                  <c:v>General management, admin and overheads</c:v>
                </c:pt>
                <c:pt idx="2">
                  <c:v>Routine and preventative maintenance</c:v>
                </c:pt>
                <c:pt idx="3">
                  <c:v>Refurbishment and renewal maintenance</c:v>
                </c:pt>
                <c:pt idx="4">
                  <c:v>Fault and emergency maintenance</c:v>
                </c:pt>
                <c:pt idx="5">
                  <c:v>Other</c:v>
                </c:pt>
                <c:pt idx="6">
                  <c:v>Pass-through costs</c:v>
                </c:pt>
              </c:strCache>
            </c:strRef>
          </c:cat>
          <c:val>
            <c:numRef>
              <c:f>Alpine!$X$138:$X$144</c:f>
              <c:numCache>
                <c:formatCode>General</c:formatCode>
                <c:ptCount val="7"/>
                <c:pt idx="0">
                  <c:v>3176.0970000000002</c:v>
                </c:pt>
                <c:pt idx="1">
                  <c:v>3074.7080000000001</c:v>
                </c:pt>
                <c:pt idx="2">
                  <c:v>2897.585</c:v>
                </c:pt>
                <c:pt idx="3">
                  <c:v>1404.713</c:v>
                </c:pt>
                <c:pt idx="4">
                  <c:v>656.97299999999996</c:v>
                </c:pt>
                <c:pt idx="5">
                  <c:v>646.995</c:v>
                </c:pt>
                <c:pt idx="6">
                  <c:v>200.76900000000001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14825472"/>
        <c:axId val="114831360"/>
      </c:barChart>
      <c:catAx>
        <c:axId val="114825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4831360"/>
        <c:crosses val="autoZero"/>
        <c:auto val="1"/>
        <c:lblAlgn val="ctr"/>
        <c:lblOffset val="100"/>
        <c:noMultiLvlLbl val="0"/>
      </c:catAx>
      <c:valAx>
        <c:axId val="114831360"/>
        <c:scaling>
          <c:orientation val="minMax"/>
          <c:max val="35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825472"/>
        <c:crosses val="autoZero"/>
        <c:crossBetween val="between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2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Counties!$B$28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Counties!$C$25:$F$25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Counties!$C$28:$F$28</c:f>
              <c:numCache>
                <c:formatCode>0</c:formatCode>
                <c:ptCount val="4"/>
                <c:pt idx="0">
                  <c:v>407.09007442046129</c:v>
                </c:pt>
                <c:pt idx="1">
                  <c:v>411.08545541904027</c:v>
                </c:pt>
                <c:pt idx="2">
                  <c:v>423.02045215704231</c:v>
                </c:pt>
                <c:pt idx="3">
                  <c:v>608.79999999999973</c:v>
                </c:pt>
              </c:numCache>
            </c:numRef>
          </c:val>
        </c:ser>
        <c:ser>
          <c:idx val="1"/>
          <c:order val="1"/>
          <c:tx>
            <c:strRef>
              <c:f>Counties!$B$29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Counties!$C$25:$F$25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Counties!$C$29:$F$29</c:f>
              <c:numCache>
                <c:formatCode>0</c:formatCode>
                <c:ptCount val="4"/>
                <c:pt idx="0">
                  <c:v>281.16814462091179</c:v>
                </c:pt>
                <c:pt idx="1">
                  <c:v>282.36172695449227</c:v>
                </c:pt>
                <c:pt idx="2">
                  <c:v>294.23965940017786</c:v>
                </c:pt>
                <c:pt idx="3">
                  <c:v>163.20000000000005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658752"/>
        <c:axId val="6165632"/>
      </c:barChart>
      <c:catAx>
        <c:axId val="12165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6165632"/>
        <c:crosses val="autoZero"/>
        <c:auto val="1"/>
        <c:lblAlgn val="ctr"/>
        <c:lblOffset val="100"/>
        <c:noMultiLvlLbl val="0"/>
      </c:catAx>
      <c:valAx>
        <c:axId val="6165632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165875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245"/>
          <c:w val="0.89745624999998508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Counties!$B$40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Counties!$C$39:$F$39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Counties!$C$40:$F$40</c:f>
              <c:numCache>
                <c:formatCode>0</c:formatCode>
                <c:ptCount val="4"/>
                <c:pt idx="0">
                  <c:v>27066.746314618915</c:v>
                </c:pt>
                <c:pt idx="1">
                  <c:v>29475.657629212703</c:v>
                </c:pt>
                <c:pt idx="2">
                  <c:v>30190.877975263396</c:v>
                </c:pt>
                <c:pt idx="3">
                  <c:v>29866</c:v>
                </c:pt>
              </c:numCache>
            </c:numRef>
          </c:val>
        </c:ser>
        <c:ser>
          <c:idx val="1"/>
          <c:order val="1"/>
          <c:tx>
            <c:strRef>
              <c:f>Counties!$B$41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Counties!$C$39:$F$39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Counties!$C$41:$F$41</c:f>
              <c:numCache>
                <c:formatCode>0</c:formatCode>
                <c:ptCount val="4"/>
                <c:pt idx="0">
                  <c:v>1816.5963331527471</c:v>
                </c:pt>
                <c:pt idx="1">
                  <c:v>1023.5612602100347</c:v>
                </c:pt>
                <c:pt idx="2">
                  <c:v>939.08439540298014</c:v>
                </c:pt>
                <c:pt idx="3">
                  <c:v>764</c:v>
                </c:pt>
              </c:numCache>
            </c:numRef>
          </c:val>
        </c:ser>
        <c:ser>
          <c:idx val="3"/>
          <c:order val="2"/>
          <c:tx>
            <c:strRef>
              <c:f>Counties!$B$42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Counties!$C$39:$F$39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Counties!$C$42:$F$42</c:f>
              <c:numCache>
                <c:formatCode>0</c:formatCode>
                <c:ptCount val="4"/>
                <c:pt idx="0">
                  <c:v>448.48906503949127</c:v>
                </c:pt>
                <c:pt idx="1">
                  <c:v>374.75214496533727</c:v>
                </c:pt>
                <c:pt idx="2">
                  <c:v>378.67666082832579</c:v>
                </c:pt>
                <c:pt idx="3">
                  <c:v>285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184320"/>
        <c:axId val="6198400"/>
      </c:barChart>
      <c:catAx>
        <c:axId val="618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6198400"/>
        <c:crosses val="autoZero"/>
        <c:auto val="1"/>
        <c:lblAlgn val="ctr"/>
        <c:lblOffset val="100"/>
        <c:noMultiLvlLbl val="0"/>
      </c:catAx>
      <c:valAx>
        <c:axId val="619840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6184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4042"/>
          <c:h val="0.21171296296296757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133E-2"/>
          <c:y val="9.9262962962965245E-2"/>
          <c:w val="0.8447958333333635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Counties!$B$46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890048271938037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Counties!$C$46:$F$46</c:f>
              <c:numCache>
                <c:formatCode>0.0</c:formatCode>
                <c:ptCount val="4"/>
                <c:pt idx="0">
                  <c:v>100</c:v>
                </c:pt>
                <c:pt idx="1">
                  <c:v>108.89989246063432</c:v>
                </c:pt>
                <c:pt idx="2">
                  <c:v>111.54232438701771</c:v>
                </c:pt>
                <c:pt idx="3">
                  <c:v>110.34203983309656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Counties!$B$47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Counties!$C$45:$F$45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Counties!$C$47:$F$47</c:f>
              <c:numCache>
                <c:formatCode>0.0</c:formatCode>
                <c:ptCount val="4"/>
                <c:pt idx="0">
                  <c:v>100</c:v>
                </c:pt>
                <c:pt idx="1">
                  <c:v>56.345003098933887</c:v>
                </c:pt>
                <c:pt idx="2">
                  <c:v>51.694720410074609</c:v>
                </c:pt>
                <c:pt idx="3">
                  <c:v>42.056674124958704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Counties!$B$48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773297107954834E-3"/>
                  <c:y val="-4.11574074074074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Counties!$C$48:$F$48</c:f>
              <c:numCache>
                <c:formatCode>0.0</c:formatCode>
                <c:ptCount val="4"/>
                <c:pt idx="0">
                  <c:v>100</c:v>
                </c:pt>
                <c:pt idx="1">
                  <c:v>83.55881428956107</c:v>
                </c:pt>
                <c:pt idx="2">
                  <c:v>84.433867031960247</c:v>
                </c:pt>
                <c:pt idx="3">
                  <c:v>63.546699845380758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77984"/>
        <c:axId val="123847808"/>
      </c:lineChart>
      <c:catAx>
        <c:axId val="11957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3847808"/>
        <c:crossesAt val="0"/>
        <c:auto val="1"/>
        <c:lblAlgn val="ctr"/>
        <c:lblOffset val="100"/>
        <c:noMultiLvlLbl val="0"/>
      </c:catAx>
      <c:valAx>
        <c:axId val="12384780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95779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 orientation="portrait"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672"/>
          <c:h val="0.70204027777778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Counties!$B$54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Counties!$C$53:$F$53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Counties!$C$54:$F$54</c:f>
              <c:numCache>
                <c:formatCode>0</c:formatCode>
                <c:ptCount val="4"/>
                <c:pt idx="0">
                  <c:v>13282.17615693878</c:v>
                </c:pt>
                <c:pt idx="1">
                  <c:v>14016.353078454247</c:v>
                </c:pt>
                <c:pt idx="2">
                  <c:v>15692.36241410902</c:v>
                </c:pt>
                <c:pt idx="3">
                  <c:v>15033.242</c:v>
                </c:pt>
              </c:numCache>
            </c:numRef>
          </c:val>
        </c:ser>
        <c:ser>
          <c:idx val="1"/>
          <c:order val="1"/>
          <c:tx>
            <c:strRef>
              <c:f>Counties!$B$55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Counties!$C$53:$F$53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Counties!$C$55:$F$55</c:f>
              <c:numCache>
                <c:formatCode>0</c:formatCode>
                <c:ptCount val="4"/>
                <c:pt idx="0">
                  <c:v>6268.065923412506</c:v>
                </c:pt>
                <c:pt idx="1">
                  <c:v>6663.5291372091406</c:v>
                </c:pt>
                <c:pt idx="2">
                  <c:v>6961.2240512785957</c:v>
                </c:pt>
                <c:pt idx="3">
                  <c:v>6847.2689</c:v>
                </c:pt>
              </c:numCache>
            </c:numRef>
          </c:val>
        </c:ser>
        <c:ser>
          <c:idx val="2"/>
          <c:order val="2"/>
          <c:tx>
            <c:strRef>
              <c:f>Counties!$B$56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Counties!$C$53:$F$53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Counties!$C$56:$F$56</c:f>
              <c:numCache>
                <c:formatCode>0</c:formatCode>
                <c:ptCount val="4"/>
                <c:pt idx="0">
                  <c:v>5976.9792706224516</c:v>
                </c:pt>
                <c:pt idx="1">
                  <c:v>7096.4145789004024</c:v>
                </c:pt>
                <c:pt idx="2">
                  <c:v>5993.7043474172078</c:v>
                </c:pt>
                <c:pt idx="3">
                  <c:v>6334.9359000000004</c:v>
                </c:pt>
              </c:numCache>
            </c:numRef>
          </c:val>
        </c:ser>
        <c:ser>
          <c:idx val="3"/>
          <c:order val="3"/>
          <c:tx>
            <c:strRef>
              <c:f>Counties!$B$57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Counties!$C$53:$F$53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Counties!$C$57:$F$57</c:f>
              <c:numCache>
                <c:formatCode>0</c:formatCode>
                <c:ptCount val="4"/>
                <c:pt idx="0">
                  <c:v>1539.5249636451767</c:v>
                </c:pt>
                <c:pt idx="1">
                  <c:v>1699.3608346489116</c:v>
                </c:pt>
                <c:pt idx="2">
                  <c:v>1543.5873662256472</c:v>
                </c:pt>
                <c:pt idx="3">
                  <c:v>1650.3175000000001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881728"/>
        <c:axId val="121883264"/>
      </c:barChart>
      <c:catAx>
        <c:axId val="12188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1883264"/>
        <c:crosses val="autoZero"/>
        <c:auto val="1"/>
        <c:lblAlgn val="ctr"/>
        <c:lblOffset val="100"/>
        <c:noMultiLvlLbl val="0"/>
      </c:catAx>
      <c:valAx>
        <c:axId val="12188326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1881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3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79216803345443665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Counties!$B$61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75652979340337E-6"/>
                  <c:y val="-1.763888888888892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Counties!$C$61:$F$61</c:f>
              <c:numCache>
                <c:formatCode>0.0</c:formatCode>
                <c:ptCount val="4"/>
                <c:pt idx="0">
                  <c:v>100</c:v>
                </c:pt>
                <c:pt idx="1">
                  <c:v>105.52753489217896</c:v>
                </c:pt>
                <c:pt idx="2">
                  <c:v>118.14601936227993</c:v>
                </c:pt>
                <c:pt idx="3">
                  <c:v>113.18357641376741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Counties!$B$62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751953969399333E-6"/>
                  <c:y val="-3.12548732943469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Counties!$C$62:$F$62</c:f>
              <c:numCache>
                <c:formatCode>0.0</c:formatCode>
                <c:ptCount val="4"/>
                <c:pt idx="0">
                  <c:v>100</c:v>
                </c:pt>
                <c:pt idx="1">
                  <c:v>106.30917445075838</c:v>
                </c:pt>
                <c:pt idx="2">
                  <c:v>111.05856473648439</c:v>
                </c:pt>
                <c:pt idx="3">
                  <c:v>109.24053741081524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Counties!$B$63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7901818355380027E-3"/>
                  <c:y val="1.114035087719298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Counties!$C$63:$F$63</c:f>
              <c:numCache>
                <c:formatCode>0.0</c:formatCode>
                <c:ptCount val="4"/>
                <c:pt idx="0">
                  <c:v>100</c:v>
                </c:pt>
                <c:pt idx="1">
                  <c:v>118.72911478512407</c:v>
                </c:pt>
                <c:pt idx="2">
                  <c:v>100.27982490882914</c:v>
                </c:pt>
                <c:pt idx="3">
                  <c:v>105.98892204858311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Counties!$B$64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413742690058478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Counties!$C$64:$F$64</c:f>
              <c:numCache>
                <c:formatCode>0.0</c:formatCode>
                <c:ptCount val="4"/>
                <c:pt idx="0">
                  <c:v>100</c:v>
                </c:pt>
                <c:pt idx="1">
                  <c:v>110.38215519580059</c:v>
                </c:pt>
                <c:pt idx="2">
                  <c:v>100.26387377122172</c:v>
                </c:pt>
                <c:pt idx="3">
                  <c:v>107.19654042455386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27904"/>
        <c:axId val="124854272"/>
      </c:lineChart>
      <c:catAx>
        <c:axId val="1248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4854272"/>
        <c:crosses val="autoZero"/>
        <c:auto val="1"/>
        <c:lblAlgn val="ctr"/>
        <c:lblOffset val="100"/>
        <c:noMultiLvlLbl val="0"/>
      </c:catAx>
      <c:valAx>
        <c:axId val="124854272"/>
        <c:scaling>
          <c:orientation val="minMax"/>
          <c:max val="120"/>
          <c:min val="9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4827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643E-2"/>
          <c:y val="5.1489936964064897E-2"/>
          <c:w val="0.84459131069340276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Counties!$B$84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311036732038453E-5"/>
                  <c:y val="2.887427774457133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Counties!$C$84:$F$84</c:f>
              <c:numCache>
                <c:formatCode>0.00</c:formatCode>
                <c:ptCount val="4"/>
                <c:pt idx="0">
                  <c:v>6.3117714053930101</c:v>
                </c:pt>
                <c:pt idx="1">
                  <c:v>6.5491554056618524</c:v>
                </c:pt>
                <c:pt idx="2">
                  <c:v>6.8995941477865879</c:v>
                </c:pt>
                <c:pt idx="3">
                  <c:v>6.7566335113200218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Counties!$B$85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087902367480182E-5"/>
                  <c:y val="-2.798166965531021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Counties!$C$85:$F$85</c:f>
              <c:numCache>
                <c:formatCode>0.00</c:formatCode>
                <c:ptCount val="4"/>
                <c:pt idx="0">
                  <c:v>7.0396858942850953</c:v>
                </c:pt>
                <c:pt idx="1">
                  <c:v>7.3645262849377637</c:v>
                </c:pt>
                <c:pt idx="2">
                  <c:v>7.5935634695647378</c:v>
                </c:pt>
                <c:pt idx="3">
                  <c:v>7.3253404707968803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Counties!$B$86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788216528705431E-5"/>
                  <c:y val="2.842797369994028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Counties!$C$86:$F$86</c:f>
              <c:numCache>
                <c:formatCode>0.00</c:formatCode>
                <c:ptCount val="4"/>
                <c:pt idx="0">
                  <c:v>5.3089064792709904</c:v>
                </c:pt>
                <c:pt idx="1">
                  <c:v>6.0252002514036072</c:v>
                </c:pt>
                <c:pt idx="2">
                  <c:v>5.4081289138275892</c:v>
                </c:pt>
                <c:pt idx="3">
                  <c:v>5.2823389983483251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Counties!$B$87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9221445141629403E-5"/>
                  <c:y val="3.438533572424785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Counties!$C$87:$F$87</c:f>
              <c:numCache>
                <c:formatCode>0.00</c:formatCode>
                <c:ptCount val="4"/>
                <c:pt idx="0">
                  <c:v>2.9151596516732816</c:v>
                </c:pt>
                <c:pt idx="1">
                  <c:v>3.3655136080450654</c:v>
                </c:pt>
                <c:pt idx="2">
                  <c:v>3.346067612678377</c:v>
                </c:pt>
                <c:pt idx="3">
                  <c:v>3.3290844233382098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81920"/>
        <c:axId val="124932864"/>
      </c:lineChart>
      <c:catAx>
        <c:axId val="12488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4932864"/>
        <c:crosses val="autoZero"/>
        <c:auto val="1"/>
        <c:lblAlgn val="ctr"/>
        <c:lblOffset val="100"/>
        <c:noMultiLvlLbl val="0"/>
      </c:catAx>
      <c:valAx>
        <c:axId val="124932864"/>
        <c:scaling>
          <c:orientation val="minMax"/>
          <c:max val="8"/>
          <c:min val="2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4881920"/>
        <c:crosses val="autoZero"/>
        <c:crossBetween val="midCat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29902E-2"/>
          <c:y val="5.8338380979806134E-2"/>
          <c:w val="0.83883540276753665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Counties!$B$90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9176950333434E-3"/>
                  <c:y val="-2.753536561068031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Counties!$C$90:$F$90</c:f>
              <c:numCache>
                <c:formatCode>0.0</c:formatCode>
                <c:ptCount val="4"/>
                <c:pt idx="0">
                  <c:v>100</c:v>
                </c:pt>
                <c:pt idx="1">
                  <c:v>103.76097271308041</c:v>
                </c:pt>
                <c:pt idx="2">
                  <c:v>109.31311837262231</c:v>
                </c:pt>
                <c:pt idx="3">
                  <c:v>107.04813399209776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Counties!$B$91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8529642636833E-3"/>
                  <c:y val="1.577605100617653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Counties!$C$91:$F$91</c:f>
              <c:numCache>
                <c:formatCode>0.0</c:formatCode>
                <c:ptCount val="4"/>
                <c:pt idx="0">
                  <c:v>100</c:v>
                </c:pt>
                <c:pt idx="1">
                  <c:v>104.61441597722958</c:v>
                </c:pt>
                <c:pt idx="2">
                  <c:v>107.86793024003086</c:v>
                </c:pt>
                <c:pt idx="3">
                  <c:v>104.05777446325671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Counties!$B$92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202753909190724E-3"/>
                  <c:y val="3.48316397688782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Counties!$C$92:$F$92</c:f>
              <c:numCache>
                <c:formatCode>0.0</c:formatCode>
                <c:ptCount val="4"/>
                <c:pt idx="0">
                  <c:v>100</c:v>
                </c:pt>
                <c:pt idx="1">
                  <c:v>113.49230345136871</c:v>
                </c:pt>
                <c:pt idx="2">
                  <c:v>101.86898064495993</c:v>
                </c:pt>
                <c:pt idx="3">
                  <c:v>99.499567735344371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Counties!$B$93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737776122814E-3"/>
                  <c:y val="-3.527794381350975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Counties!$C$93:$F$93</c:f>
              <c:numCache>
                <c:formatCode>0.0</c:formatCode>
                <c:ptCount val="4"/>
                <c:pt idx="0">
                  <c:v>100</c:v>
                </c:pt>
                <c:pt idx="1">
                  <c:v>115.44868927207071</c:v>
                </c:pt>
                <c:pt idx="2">
                  <c:v>114.78162476479659</c:v>
                </c:pt>
                <c:pt idx="3">
                  <c:v>114.19904297273524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968960"/>
        <c:axId val="124970496"/>
      </c:lineChart>
      <c:catAx>
        <c:axId val="12496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4970496"/>
        <c:crosses val="autoZero"/>
        <c:auto val="1"/>
        <c:lblAlgn val="ctr"/>
        <c:lblOffset val="100"/>
        <c:noMultiLvlLbl val="0"/>
      </c:catAx>
      <c:valAx>
        <c:axId val="1249704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496896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447958333333635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Counties!$B$120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41020205384421182"/>
                  <c:y val="-3.527777777777883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Counties!$C$120:$F$120</c:f>
              <c:numCache>
                <c:formatCode>0.0</c:formatCode>
                <c:ptCount val="4"/>
                <c:pt idx="0">
                  <c:v>100</c:v>
                </c:pt>
                <c:pt idx="1">
                  <c:v>101.70253047259249</c:v>
                </c:pt>
                <c:pt idx="2">
                  <c:v>108.08036685912515</c:v>
                </c:pt>
                <c:pt idx="3">
                  <c:v>105.73148002946277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Counties!$B$121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6004964261415903"/>
                  <c:y val="1.175925925925926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Counties!$C$121:$F$121</c:f>
              <c:numCache>
                <c:formatCode>0.0</c:formatCode>
                <c:ptCount val="4"/>
                <c:pt idx="0">
                  <c:v>100</c:v>
                </c:pt>
                <c:pt idx="1">
                  <c:v>101.62000471703412</c:v>
                </c:pt>
                <c:pt idx="2">
                  <c:v>102.95790833230383</c:v>
                </c:pt>
                <c:pt idx="3">
                  <c:v>104.98065903705118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Counties!$B$122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17188763835004819"/>
                  <c:y val="0.14111111111111121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Counties!$C$122:$F$122</c:f>
              <c:numCache>
                <c:formatCode>0.0</c:formatCode>
                <c:ptCount val="4"/>
                <c:pt idx="0">
                  <c:v>100</c:v>
                </c:pt>
                <c:pt idx="1">
                  <c:v>104.61424358701059</c:v>
                </c:pt>
                <c:pt idx="2">
                  <c:v>98.440000355290266</c:v>
                </c:pt>
                <c:pt idx="3">
                  <c:v>106.52199246784623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Counties!$B$123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243122740617068E-6"/>
                  <c:y val="-2.351898148148147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Counties!$C$123:$F$123</c:f>
              <c:numCache>
                <c:formatCode>0.0</c:formatCode>
                <c:ptCount val="4"/>
                <c:pt idx="0">
                  <c:v>100</c:v>
                </c:pt>
                <c:pt idx="1">
                  <c:v>95.61144079831854</c:v>
                </c:pt>
                <c:pt idx="2">
                  <c:v>87.351850940145042</c:v>
                </c:pt>
                <c:pt idx="3">
                  <c:v>93.868160042415411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51648"/>
        <c:axId val="125053184"/>
      </c:lineChart>
      <c:catAx>
        <c:axId val="12505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5053184"/>
        <c:crosses val="autoZero"/>
        <c:auto val="1"/>
        <c:lblAlgn val="ctr"/>
        <c:lblOffset val="100"/>
        <c:noMultiLvlLbl val="0"/>
      </c:catAx>
      <c:valAx>
        <c:axId val="125053184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5051648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557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Counties!$B$113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Counties!$C$112:$F$112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Counties!$C$113:$F$113</c:f>
              <c:numCache>
                <c:formatCode>General</c:formatCode>
                <c:ptCount val="4"/>
                <c:pt idx="0">
                  <c:v>210435</c:v>
                </c:pt>
                <c:pt idx="1">
                  <c:v>214017.72</c:v>
                </c:pt>
                <c:pt idx="2">
                  <c:v>227438.92</c:v>
                </c:pt>
                <c:pt idx="3">
                  <c:v>222496.04</c:v>
                </c:pt>
              </c:numCache>
            </c:numRef>
          </c:val>
        </c:ser>
        <c:ser>
          <c:idx val="1"/>
          <c:order val="1"/>
          <c:tx>
            <c:strRef>
              <c:f>Counties!$B$114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Counties!$C$112:$F$112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Counties!$C$114:$F$114</c:f>
              <c:numCache>
                <c:formatCode>General</c:formatCode>
                <c:ptCount val="4"/>
                <c:pt idx="0">
                  <c:v>89039</c:v>
                </c:pt>
                <c:pt idx="1">
                  <c:v>90481.436000000002</c:v>
                </c:pt>
                <c:pt idx="2">
                  <c:v>91672.691999999995</c:v>
                </c:pt>
                <c:pt idx="3">
                  <c:v>93473.729000000007</c:v>
                </c:pt>
              </c:numCache>
            </c:numRef>
          </c:val>
        </c:ser>
        <c:ser>
          <c:idx val="2"/>
          <c:order val="2"/>
          <c:tx>
            <c:strRef>
              <c:f>Counties!$B$115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Counties!$C$112:$F$112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Counties!$C$115:$F$115</c:f>
              <c:numCache>
                <c:formatCode>General</c:formatCode>
                <c:ptCount val="4"/>
                <c:pt idx="0">
                  <c:v>112584</c:v>
                </c:pt>
                <c:pt idx="1">
                  <c:v>117778.9</c:v>
                </c:pt>
                <c:pt idx="2">
                  <c:v>110827.69</c:v>
                </c:pt>
                <c:pt idx="3">
                  <c:v>119926.72</c:v>
                </c:pt>
              </c:numCache>
            </c:numRef>
          </c:val>
        </c:ser>
        <c:ser>
          <c:idx val="3"/>
          <c:order val="3"/>
          <c:tx>
            <c:strRef>
              <c:f>Counties!$B$116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Counties!$C$112:$F$112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Counties!$C$116:$F$116</c:f>
              <c:numCache>
                <c:formatCode>General</c:formatCode>
                <c:ptCount val="4"/>
                <c:pt idx="0">
                  <c:v>52811</c:v>
                </c:pt>
                <c:pt idx="1">
                  <c:v>50493.358</c:v>
                </c:pt>
                <c:pt idx="2">
                  <c:v>46131.385999999999</c:v>
                </c:pt>
                <c:pt idx="3">
                  <c:v>49572.714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105664"/>
        <c:axId val="125107200"/>
      </c:barChart>
      <c:catAx>
        <c:axId val="12510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5107200"/>
        <c:crosses val="autoZero"/>
        <c:auto val="1"/>
        <c:lblAlgn val="ctr"/>
        <c:lblOffset val="100"/>
        <c:noMultiLvlLbl val="0"/>
      </c:catAx>
      <c:valAx>
        <c:axId val="12510720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5105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Counties!$U$138:$U$144</c:f>
              <c:strCache>
                <c:ptCount val="7"/>
                <c:pt idx="0">
                  <c:v>General management, admin and overheads</c:v>
                </c:pt>
                <c:pt idx="1">
                  <c:v>System management and operations</c:v>
                </c:pt>
                <c:pt idx="2">
                  <c:v>Fault and emergency maintenance</c:v>
                </c:pt>
                <c:pt idx="3">
                  <c:v>Routine and preventative maintenance</c:v>
                </c:pt>
                <c:pt idx="4">
                  <c:v>Refurbishment and renewal maintenance</c:v>
                </c:pt>
                <c:pt idx="5">
                  <c:v>Other</c:v>
                </c:pt>
                <c:pt idx="6">
                  <c:v>Pass-through costs</c:v>
                </c:pt>
              </c:strCache>
            </c:strRef>
          </c:cat>
          <c:val>
            <c:numRef>
              <c:f>Counties!$V$138:$V$144</c:f>
              <c:numCache>
                <c:formatCode>General</c:formatCode>
                <c:ptCount val="7"/>
                <c:pt idx="0">
                  <c:v>4188</c:v>
                </c:pt>
                <c:pt idx="1">
                  <c:v>1831</c:v>
                </c:pt>
                <c:pt idx="2">
                  <c:v>1695</c:v>
                </c:pt>
                <c:pt idx="3">
                  <c:v>1342</c:v>
                </c:pt>
                <c:pt idx="4">
                  <c:v>787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25127680"/>
        <c:axId val="125149952"/>
      </c:barChart>
      <c:catAx>
        <c:axId val="125127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5149952"/>
        <c:crosses val="autoZero"/>
        <c:auto val="1"/>
        <c:lblAlgn val="ctr"/>
        <c:lblOffset val="100"/>
        <c:noMultiLvlLbl val="0"/>
      </c:catAx>
      <c:valAx>
        <c:axId val="125149952"/>
        <c:scaling>
          <c:orientation val="minMax"/>
          <c:max val="50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5127680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02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Alpine!$W$186:$W$191</c:f>
              <c:strCache>
                <c:ptCount val="6"/>
                <c:pt idx="0">
                  <c:v>System growth</c:v>
                </c:pt>
                <c:pt idx="1">
                  <c:v>Reliability, safety and environment</c:v>
                </c:pt>
                <c:pt idx="2">
                  <c:v>Customer connection</c:v>
                </c:pt>
                <c:pt idx="3">
                  <c:v>Asset replacement and renewal</c:v>
                </c:pt>
                <c:pt idx="4">
                  <c:v>Non-network capex</c:v>
                </c:pt>
                <c:pt idx="5">
                  <c:v>Asset relocations</c:v>
                </c:pt>
              </c:strCache>
            </c:strRef>
          </c:cat>
          <c:val>
            <c:numRef>
              <c:f>Alpine!$X$186:$X$191</c:f>
              <c:numCache>
                <c:formatCode>General</c:formatCode>
                <c:ptCount val="6"/>
                <c:pt idx="0">
                  <c:v>9.6227999999999998</c:v>
                </c:pt>
                <c:pt idx="1">
                  <c:v>1.856827</c:v>
                </c:pt>
                <c:pt idx="2">
                  <c:v>1.6250450000000001</c:v>
                </c:pt>
                <c:pt idx="3">
                  <c:v>1.598916</c:v>
                </c:pt>
                <c:pt idx="4">
                  <c:v>0.26100000000000001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14843008"/>
        <c:axId val="114857088"/>
      </c:barChart>
      <c:catAx>
        <c:axId val="114843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4857088"/>
        <c:crosses val="autoZero"/>
        <c:auto val="1"/>
        <c:lblAlgn val="ctr"/>
        <c:lblOffset val="100"/>
        <c:noMultiLvlLbl val="0"/>
      </c:catAx>
      <c:valAx>
        <c:axId val="114857088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843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062656250000322"/>
          <c:y val="5.1014483439099333E-2"/>
          <c:w val="0.70720364583333328"/>
          <c:h val="0.8328039561239102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Counties!$U$186:$U$191</c:f>
              <c:strCache>
                <c:ptCount val="6"/>
                <c:pt idx="0">
                  <c:v>Asset replacement and renewal</c:v>
                </c:pt>
                <c:pt idx="1">
                  <c:v>System growth</c:v>
                </c:pt>
                <c:pt idx="2">
                  <c:v>Customer connection</c:v>
                </c:pt>
                <c:pt idx="3">
                  <c:v>Reliability, safety and environment</c:v>
                </c:pt>
                <c:pt idx="4">
                  <c:v>Non-network capex</c:v>
                </c:pt>
                <c:pt idx="5">
                  <c:v>Asset relocations</c:v>
                </c:pt>
              </c:strCache>
            </c:strRef>
          </c:cat>
          <c:val>
            <c:numRef>
              <c:f>Counties!$V$186:$V$191</c:f>
              <c:numCache>
                <c:formatCode>General</c:formatCode>
                <c:ptCount val="6"/>
                <c:pt idx="0">
                  <c:v>4.5941194999999997</c:v>
                </c:pt>
                <c:pt idx="1">
                  <c:v>2.5856104999999996</c:v>
                </c:pt>
                <c:pt idx="2">
                  <c:v>1.9660478000000001</c:v>
                </c:pt>
                <c:pt idx="3">
                  <c:v>1.4076402000000001</c:v>
                </c:pt>
                <c:pt idx="4">
                  <c:v>0.42399999999999999</c:v>
                </c:pt>
                <c:pt idx="5">
                  <c:v>0.3859418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25170048"/>
        <c:axId val="125171584"/>
      </c:barChart>
      <c:catAx>
        <c:axId val="125170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5171584"/>
        <c:crosses val="autoZero"/>
        <c:auto val="1"/>
        <c:lblAlgn val="ctr"/>
        <c:lblOffset val="100"/>
        <c:noMultiLvlLbl val="0"/>
      </c:catAx>
      <c:valAx>
        <c:axId val="125171584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5170048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8104022131339965"/>
          <c:h val="0.82404629629630799"/>
        </c:manualLayout>
      </c:layout>
      <c:lineChart>
        <c:grouping val="standard"/>
        <c:varyColors val="0"/>
        <c:ser>
          <c:idx val="0"/>
          <c:order val="0"/>
          <c:tx>
            <c:strRef>
              <c:f>Counties!$B$76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8783689020990716"/>
                  <c:y val="-0.1881481481481506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Counties!$C$76:$F$76</c:f>
              <c:numCache>
                <c:formatCode>0.0</c:formatCode>
                <c:ptCount val="4"/>
                <c:pt idx="0">
                  <c:v>100</c:v>
                </c:pt>
                <c:pt idx="1">
                  <c:v>104.14111208508039</c:v>
                </c:pt>
                <c:pt idx="2">
                  <c:v>114.83897730068959</c:v>
                </c:pt>
                <c:pt idx="3">
                  <c:v>108.81069783697103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Counties!$B$77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5683643851352433"/>
                  <c:y val="-4.703703703703873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Counties!$C$77:$F$77</c:f>
              <c:numCache>
                <c:formatCode>0.0</c:formatCode>
                <c:ptCount val="4"/>
                <c:pt idx="0">
                  <c:v>100</c:v>
                </c:pt>
                <c:pt idx="1">
                  <c:v>106.55300283252618</c:v>
                </c:pt>
                <c:pt idx="2">
                  <c:v>110.53686614056923</c:v>
                </c:pt>
                <c:pt idx="3">
                  <c:v>107.20138071248002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Counties!$B$78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7455816578493242"/>
                  <c:y val="0.14018274853801169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Counties!$C$78:$F$78</c:f>
              <c:numCache>
                <c:formatCode>0.0</c:formatCode>
                <c:ptCount val="4"/>
                <c:pt idx="0">
                  <c:v>100</c:v>
                </c:pt>
                <c:pt idx="1">
                  <c:v>118.95656519658984</c:v>
                </c:pt>
                <c:pt idx="2">
                  <c:v>101.83756976178185</c:v>
                </c:pt>
                <c:pt idx="3">
                  <c:v>109.33374010139833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Counties!$B$79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3026825745578056"/>
                  <c:y val="0.22930555555555557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Counties!$C$79:$F$79</c:f>
              <c:numCache>
                <c:formatCode>0.0</c:formatCode>
                <c:ptCount val="4"/>
                <c:pt idx="0">
                  <c:v>100</c:v>
                </c:pt>
                <c:pt idx="1">
                  <c:v>110.38215519580056</c:v>
                </c:pt>
                <c:pt idx="2">
                  <c:v>100.26387377122172</c:v>
                </c:pt>
                <c:pt idx="3">
                  <c:v>107.19654042455386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58816"/>
        <c:axId val="124660352"/>
      </c:lineChart>
      <c:catAx>
        <c:axId val="12465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4660352"/>
        <c:crosses val="autoZero"/>
        <c:auto val="1"/>
        <c:lblAlgn val="ctr"/>
        <c:lblOffset val="100"/>
        <c:noMultiLvlLbl val="0"/>
      </c:catAx>
      <c:valAx>
        <c:axId val="124660352"/>
        <c:scaling>
          <c:orientation val="minMax"/>
          <c:max val="12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4658816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20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357"/>
          <c:y val="0.16445370370370369"/>
          <c:w val="0.70330041907982088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Counties!$B$70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Counties!$C$69:$F$69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Counties!$C$70:$F$70</c:f>
              <c:numCache>
                <c:formatCode>0</c:formatCode>
                <c:ptCount val="4"/>
                <c:pt idx="0">
                  <c:v>472.79308571312356</c:v>
                </c:pt>
                <c:pt idx="1">
                  <c:v>492.37197732301422</c:v>
                </c:pt>
                <c:pt idx="2">
                  <c:v>542.95074438132383</c:v>
                </c:pt>
                <c:pt idx="3">
                  <c:v>514.44945588939834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684544"/>
        <c:axId val="124698624"/>
      </c:lineChart>
      <c:catAx>
        <c:axId val="1246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24698624"/>
        <c:crosses val="autoZero"/>
        <c:auto val="1"/>
        <c:lblAlgn val="ctr"/>
        <c:lblOffset val="100"/>
        <c:noMultiLvlLbl val="0"/>
      </c:catAx>
      <c:valAx>
        <c:axId val="124698624"/>
        <c:scaling>
          <c:orientation val="minMax"/>
          <c:max val="600"/>
          <c:min val="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24684544"/>
        <c:crosses val="autoZero"/>
        <c:crossBetween val="midCat"/>
        <c:maj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7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48"/>
          <c:y val="0.17621296296296718"/>
          <c:w val="0.73692152777777775"/>
          <c:h val="0.57282407407409508"/>
        </c:manualLayout>
      </c:layout>
      <c:lineChart>
        <c:grouping val="standard"/>
        <c:varyColors val="0"/>
        <c:ser>
          <c:idx val="1"/>
          <c:order val="0"/>
          <c:tx>
            <c:strRef>
              <c:f>Counties!$B$71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Counties!$C$69:$F$69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Counties!$C$71:$F$71</c:f>
              <c:numCache>
                <c:formatCode>0</c:formatCode>
                <c:ptCount val="4"/>
                <c:pt idx="0">
                  <c:v>896.46251765053</c:v>
                </c:pt>
                <c:pt idx="1">
                  <c:v>955.20773182470475</c:v>
                </c:pt>
                <c:pt idx="2">
                  <c:v>990.92157313574319</c:v>
                </c:pt>
                <c:pt idx="3">
                  <c:v>961.02019649122803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27680"/>
        <c:axId val="124729216"/>
      </c:lineChart>
      <c:catAx>
        <c:axId val="12472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24729216"/>
        <c:crosses val="autoZero"/>
        <c:auto val="1"/>
        <c:lblAlgn val="ctr"/>
        <c:lblOffset val="100"/>
        <c:noMultiLvlLbl val="0"/>
      </c:catAx>
      <c:valAx>
        <c:axId val="124729216"/>
        <c:scaling>
          <c:orientation val="minMax"/>
          <c:max val="1200"/>
          <c:min val="8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2472768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75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Counties!$B$72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Counties!$C$69:$F$69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Counties!$C$72:$F$72</c:f>
              <c:numCache>
                <c:formatCode>0</c:formatCode>
                <c:ptCount val="4"/>
                <c:pt idx="0">
                  <c:v>11428.258643637575</c:v>
                </c:pt>
                <c:pt idx="1">
                  <c:v>13594.663944253645</c:v>
                </c:pt>
                <c:pt idx="2">
                  <c:v>11638.260868771278</c:v>
                </c:pt>
                <c:pt idx="3">
                  <c:v>12494.942603550297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66080"/>
        <c:axId val="124767616"/>
      </c:lineChart>
      <c:catAx>
        <c:axId val="1247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24767616"/>
        <c:crosses val="autoZero"/>
        <c:auto val="1"/>
        <c:lblAlgn val="ctr"/>
        <c:lblOffset val="100"/>
        <c:noMultiLvlLbl val="0"/>
      </c:catAx>
      <c:valAx>
        <c:axId val="124767616"/>
        <c:scaling>
          <c:orientation val="minMax"/>
          <c:max val="15000"/>
          <c:min val="1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24766080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Counties!$B$73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Counties!$C$69:$F$69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Counties!$C$73:$F$73</c:f>
              <c:numCache>
                <c:formatCode>0</c:formatCode>
                <c:ptCount val="4"/>
                <c:pt idx="0">
                  <c:v>307904.99272903538</c:v>
                </c:pt>
                <c:pt idx="1">
                  <c:v>339872.16692978231</c:v>
                </c:pt>
                <c:pt idx="2">
                  <c:v>308717.47324512945</c:v>
                </c:pt>
                <c:pt idx="3">
                  <c:v>330063.50000000006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79904"/>
        <c:axId val="125580416"/>
      </c:lineChart>
      <c:catAx>
        <c:axId val="12477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25580416"/>
        <c:crosses val="autoZero"/>
        <c:auto val="1"/>
        <c:lblAlgn val="ctr"/>
        <c:lblOffset val="100"/>
        <c:noMultiLvlLbl val="0"/>
      </c:catAx>
      <c:valAx>
        <c:axId val="125580416"/>
        <c:scaling>
          <c:orientation val="minMax"/>
          <c:max val="375000"/>
          <c:min val="25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24779904"/>
        <c:crosses val="autoZero"/>
        <c:crossBetween val="midCat"/>
        <c:majorUnit val="2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9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Counties!$B$105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09470824708421E-4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Counties!$C$105:$F$105</c:f>
              <c:numCache>
                <c:formatCode>0.0</c:formatCode>
                <c:ptCount val="4"/>
                <c:pt idx="0">
                  <c:v>100</c:v>
                </c:pt>
                <c:pt idx="1">
                  <c:v>101.3312924927918</c:v>
                </c:pt>
                <c:pt idx="2">
                  <c:v>102.87972092692131</c:v>
                </c:pt>
                <c:pt idx="3">
                  <c:v>104.01879471754529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Counties!$B$106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7671589504626825"/>
                  <c:y val="-5.879629629629784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Counties!$C$106:$F$106</c:f>
              <c:numCache>
                <c:formatCode>0.0</c:formatCode>
                <c:ptCount val="4"/>
                <c:pt idx="0">
                  <c:v>100</c:v>
                </c:pt>
                <c:pt idx="1">
                  <c:v>99.77116704805492</c:v>
                </c:pt>
                <c:pt idx="2">
                  <c:v>100.47196796338673</c:v>
                </c:pt>
                <c:pt idx="3">
                  <c:v>101.90217391304348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Counties!$B$107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639077319345767E-5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Counties!$C$107:$F$107</c:f>
              <c:numCache>
                <c:formatCode>0.0</c:formatCode>
                <c:ptCount val="4"/>
                <c:pt idx="0">
                  <c:v>100</c:v>
                </c:pt>
                <c:pt idx="1">
                  <c:v>99.808795411089875</c:v>
                </c:pt>
                <c:pt idx="2">
                  <c:v>98.470363288718929</c:v>
                </c:pt>
                <c:pt idx="3">
                  <c:v>96.940726577437857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627776"/>
        <c:axId val="125518976"/>
      </c:lineChart>
      <c:catAx>
        <c:axId val="12562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5518976"/>
        <c:crosses val="autoZero"/>
        <c:auto val="1"/>
        <c:lblAlgn val="ctr"/>
        <c:lblOffset val="100"/>
        <c:noMultiLvlLbl val="0"/>
      </c:catAx>
      <c:valAx>
        <c:axId val="125518976"/>
        <c:scaling>
          <c:orientation val="minMax"/>
          <c:max val="12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5627776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6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Counties!$B$98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Counties!$C$97:$F$97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Counties!$C$98:$F$98</c:f>
              <c:numCache>
                <c:formatCode>General</c:formatCode>
                <c:ptCount val="4"/>
                <c:pt idx="0">
                  <c:v>28093</c:v>
                </c:pt>
                <c:pt idx="1">
                  <c:v>28467</c:v>
                </c:pt>
                <c:pt idx="2">
                  <c:v>28902</c:v>
                </c:pt>
                <c:pt idx="3">
                  <c:v>29222</c:v>
                </c:pt>
              </c:numCache>
            </c:numRef>
          </c:val>
        </c:ser>
        <c:ser>
          <c:idx val="1"/>
          <c:order val="1"/>
          <c:tx>
            <c:strRef>
              <c:f>Counties!$B$99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Counties!$C$97:$F$97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Counties!$C$99:$F$99</c:f>
              <c:numCache>
                <c:formatCode>General</c:formatCode>
                <c:ptCount val="4"/>
                <c:pt idx="0">
                  <c:v>6992</c:v>
                </c:pt>
                <c:pt idx="1">
                  <c:v>6976</c:v>
                </c:pt>
                <c:pt idx="2">
                  <c:v>7025</c:v>
                </c:pt>
                <c:pt idx="3">
                  <c:v>7125</c:v>
                </c:pt>
              </c:numCache>
            </c:numRef>
          </c:val>
        </c:ser>
        <c:ser>
          <c:idx val="2"/>
          <c:order val="2"/>
          <c:tx>
            <c:strRef>
              <c:f>Counties!$B$100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Counties!$C$97:$F$97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Counties!$C$100:$F$100</c:f>
              <c:numCache>
                <c:formatCode>General</c:formatCode>
                <c:ptCount val="4"/>
                <c:pt idx="0">
                  <c:v>523</c:v>
                </c:pt>
                <c:pt idx="1">
                  <c:v>522</c:v>
                </c:pt>
                <c:pt idx="2">
                  <c:v>515</c:v>
                </c:pt>
                <c:pt idx="3">
                  <c:v>507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5553664"/>
        <c:axId val="125633280"/>
      </c:barChart>
      <c:catAx>
        <c:axId val="1255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5633280"/>
        <c:crosses val="autoZero"/>
        <c:auto val="1"/>
        <c:lblAlgn val="ctr"/>
        <c:lblOffset val="100"/>
        <c:noMultiLvlLbl val="0"/>
      </c:catAx>
      <c:valAx>
        <c:axId val="12563328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5553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3.5277777777779185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157"/>
          <c:w val="0.79809047321242665"/>
          <c:h val="0.72979551178440139"/>
        </c:manualLayout>
      </c:layout>
      <c:lineChart>
        <c:grouping val="standard"/>
        <c:varyColors val="0"/>
        <c:ser>
          <c:idx val="0"/>
          <c:order val="0"/>
          <c:tx>
            <c:strRef>
              <c:f>Counties!$B$206</c:f>
              <c:strCache>
                <c:ptCount val="1"/>
                <c:pt idx="0">
                  <c:v>Alpine Energy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Counties!$C$204:$F$204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Counties!$C$206:$F$206</c:f>
              <c:numCache>
                <c:formatCode>_(* #,##0.00_);_(* \(#,##0.00\);_(* "-"??_);_(@_)</c:formatCode>
                <c:ptCount val="4"/>
                <c:pt idx="0">
                  <c:v>323.67482240996702</c:v>
                </c:pt>
                <c:pt idx="1">
                  <c:v>350.19770155317951</c:v>
                </c:pt>
                <c:pt idx="2">
                  <c:v>350.72491965210628</c:v>
                </c:pt>
                <c:pt idx="3">
                  <c:v>308.29268292682929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Counties!$B$207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cat>
            <c:numRef>
              <c:f>Counties!$C$204:$F$204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663488"/>
        <c:axId val="125673472"/>
      </c:lineChart>
      <c:catAx>
        <c:axId val="1256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5673472"/>
        <c:crosses val="autoZero"/>
        <c:auto val="1"/>
        <c:lblAlgn val="ctr"/>
        <c:lblOffset val="100"/>
        <c:noMultiLvlLbl val="0"/>
      </c:catAx>
      <c:valAx>
        <c:axId val="125673472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5663488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Counties!$B$209</c:f>
              <c:strCache>
                <c:ptCount val="1"/>
                <c:pt idx="0">
                  <c:v>Alpine Energy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Counties!$C$204:$F$204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Counties!$C$209:$F$209</c:f>
              <c:numCache>
                <c:formatCode>_(* #,##0.00_);_(* \(#,##0.00\);_(* "-"??_);_(@_)</c:formatCode>
                <c:ptCount val="4"/>
                <c:pt idx="0">
                  <c:v>24796.300571744203</c:v>
                </c:pt>
                <c:pt idx="1">
                  <c:v>26644.189880879447</c:v>
                </c:pt>
                <c:pt idx="2">
                  <c:v>26850.783862081247</c:v>
                </c:pt>
                <c:pt idx="3">
                  <c:v>23406.963675098461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Counties!$B$210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cat>
            <c:numRef>
              <c:f>Counties!$C$204:$F$204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699968"/>
        <c:axId val="125701504"/>
      </c:lineChart>
      <c:catAx>
        <c:axId val="12569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5701504"/>
        <c:crosses val="autoZero"/>
        <c:auto val="1"/>
        <c:lblAlgn val="ctr"/>
        <c:lblOffset val="100"/>
        <c:noMultiLvlLbl val="0"/>
      </c:catAx>
      <c:valAx>
        <c:axId val="125701504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5699968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8104022131339965"/>
          <c:h val="0.82404629629630799"/>
        </c:manualLayout>
      </c:layout>
      <c:lineChart>
        <c:grouping val="standard"/>
        <c:varyColors val="0"/>
        <c:ser>
          <c:idx val="0"/>
          <c:order val="0"/>
          <c:tx>
            <c:strRef>
              <c:f>Alpine!$B$76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4.11574074074074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Alpine!$C$76:$F$76</c:f>
              <c:numCache>
                <c:formatCode>0.0</c:formatCode>
                <c:ptCount val="4"/>
                <c:pt idx="0">
                  <c:v>100</c:v>
                </c:pt>
                <c:pt idx="1">
                  <c:v>93.60646110317785</c:v>
                </c:pt>
                <c:pt idx="2">
                  <c:v>124.81562056306046</c:v>
                </c:pt>
                <c:pt idx="3">
                  <c:v>119.34248125897109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Alpine!$B$77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Alpine!$C$77:$F$77</c:f>
              <c:numCache>
                <c:formatCode>0.0</c:formatCode>
                <c:ptCount val="4"/>
                <c:pt idx="0">
                  <c:v>100</c:v>
                </c:pt>
                <c:pt idx="1">
                  <c:v>117.13819707589049</c:v>
                </c:pt>
                <c:pt idx="2">
                  <c:v>123.71398206618363</c:v>
                </c:pt>
                <c:pt idx="3">
                  <c:v>127.88978290930967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Alpine!$B$78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Alpine!$C$78:$F$78</c:f>
              <c:numCache>
                <c:formatCode>0.0</c:formatCode>
                <c:ptCount val="4"/>
                <c:pt idx="0">
                  <c:v>100</c:v>
                </c:pt>
                <c:pt idx="1">
                  <c:v>68.705565606500159</c:v>
                </c:pt>
                <c:pt idx="2">
                  <c:v>80.935016587273168</c:v>
                </c:pt>
                <c:pt idx="3">
                  <c:v>70.947690218286098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Alpine!$B$79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29166666666668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Alpine!$C$79:$F$79</c:f>
              <c:numCache>
                <c:formatCode>0.0</c:formatCode>
                <c:ptCount val="4"/>
                <c:pt idx="0">
                  <c:v>100</c:v>
                </c:pt>
                <c:pt idx="1">
                  <c:v>76.309447009993022</c:v>
                </c:pt>
                <c:pt idx="2">
                  <c:v>83.124766236794827</c:v>
                </c:pt>
                <c:pt idx="3">
                  <c:v>79.954082111708232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27360"/>
        <c:axId val="115328896"/>
      </c:lineChart>
      <c:catAx>
        <c:axId val="11532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5328896"/>
        <c:crosses val="autoZero"/>
        <c:auto val="1"/>
        <c:lblAlgn val="ctr"/>
        <c:lblOffset val="100"/>
        <c:noMultiLvlLbl val="0"/>
      </c:catAx>
      <c:valAx>
        <c:axId val="115328896"/>
        <c:scaling>
          <c:orientation val="minMax"/>
          <c:max val="160"/>
          <c:min val="4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532736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1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Counties!$C$204:$F$204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Counties!$C$212:$F$212</c:f>
              <c:numCache>
                <c:formatCode>_(* #,##0.00_);_(* \(#,##0.00\);_(* "-"??_);_(@_)</c:formatCode>
                <c:ptCount val="4"/>
                <c:pt idx="0">
                  <c:v>6.6255808769822594E-2</c:v>
                </c:pt>
                <c:pt idx="1">
                  <c:v>7.3393451203746518E-2</c:v>
                </c:pt>
                <c:pt idx="2">
                  <c:v>7.2451351716087742E-2</c:v>
                </c:pt>
                <c:pt idx="3">
                  <c:v>6.2064102655132125E-2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cat>
            <c:numRef>
              <c:f>Counties!$C$204:$F$204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50656"/>
        <c:axId val="125756544"/>
      </c:lineChart>
      <c:catAx>
        <c:axId val="12575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5756544"/>
        <c:crosses val="autoZero"/>
        <c:auto val="1"/>
        <c:lblAlgn val="ctr"/>
        <c:lblOffset val="100"/>
        <c:noMultiLvlLbl val="0"/>
      </c:catAx>
      <c:valAx>
        <c:axId val="125756544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5750656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041001986437098"/>
          <c:y val="0.13550222222222241"/>
          <c:w val="0.74561861670999596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Counties!$B$162</c:f>
              <c:strCache>
                <c:ptCount val="1"/>
                <c:pt idx="0">
                  <c:v>Counties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Counties!$C$160:$F$160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Counties!$C$162:$F$162</c:f>
              <c:numCache>
                <c:formatCode>_(* #,##0.00_);_(* \(#,##0.00\);_(* "-"??_);_(@_)</c:formatCode>
                <c:ptCount val="4"/>
                <c:pt idx="0">
                  <c:v>279.93089064954779</c:v>
                </c:pt>
                <c:pt idx="1">
                  <c:v>282.10660446002413</c:v>
                </c:pt>
                <c:pt idx="2">
                  <c:v>268.41324042649518</c:v>
                </c:pt>
                <c:pt idx="3">
                  <c:v>267.04468379500258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Counties!$B$163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cat>
            <c:numRef>
              <c:f>Counties!$C$160:$F$160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279232"/>
        <c:axId val="125285120"/>
      </c:lineChart>
      <c:catAx>
        <c:axId val="1252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5285120"/>
        <c:crosses val="autoZero"/>
        <c:auto val="1"/>
        <c:lblAlgn val="ctr"/>
        <c:lblOffset val="100"/>
        <c:noMultiLvlLbl val="0"/>
      </c:catAx>
      <c:valAx>
        <c:axId val="125285120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5279232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073552701407288"/>
          <c:y val="0.14255777777777778"/>
          <c:w val="0.70529310956027802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Counties!$C$160:$F$160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Counties!$C$165:$F$165</c:f>
              <c:numCache>
                <c:formatCode>_(* #,##0.00_);_(* \(#,##0.00\);_(* "-"??_);_(@_)</c:formatCode>
                <c:ptCount val="4"/>
                <c:pt idx="0">
                  <c:v>3350.8941401654806</c:v>
                </c:pt>
                <c:pt idx="1">
                  <c:v>3372.3325342195267</c:v>
                </c:pt>
                <c:pt idx="2">
                  <c:v>3236.6861586934565</c:v>
                </c:pt>
                <c:pt idx="3">
                  <c:v>3245.4965397032242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cat>
            <c:numRef>
              <c:f>Counties!$C$160:$F$160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380864"/>
        <c:axId val="125390848"/>
      </c:lineChart>
      <c:catAx>
        <c:axId val="1253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390848"/>
        <c:crosses val="autoZero"/>
        <c:auto val="1"/>
        <c:lblAlgn val="ctr"/>
        <c:lblOffset val="100"/>
        <c:noMultiLvlLbl val="0"/>
      </c:catAx>
      <c:valAx>
        <c:axId val="125390848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25380864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132" l="0.70000000000000062" r="0.70000000000000062" t="0.75000000000001132" header="0.30000000000000032" footer="0.30000000000000032"/>
    <c:pageSetup orientation="portrait"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89398678086278"/>
          <c:y val="0.13550222222222241"/>
          <c:w val="0.77613464979349922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Counties!$B$168</c:f>
              <c:strCache>
                <c:ptCount val="1"/>
                <c:pt idx="0">
                  <c:v>Counties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Counties!$C$160:$F$160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Counties!$C$168:$F$168</c:f>
              <c:numCache>
                <c:formatCode>_(* #,##0.00_);_(* \(#,##0.00\);_(* "-"??_);_(@_)</c:formatCode>
                <c:ptCount val="4"/>
                <c:pt idx="0">
                  <c:v>21.44513574512894</c:v>
                </c:pt>
                <c:pt idx="1">
                  <c:v>21.463595856129892</c:v>
                </c:pt>
                <c:pt idx="2">
                  <c:v>20.54916973553404</c:v>
                </c:pt>
                <c:pt idx="3">
                  <c:v>20.27523051755767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Counties!$B$169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cat>
            <c:numRef>
              <c:f>Counties!$C$160:$F$160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433728"/>
        <c:axId val="125435264"/>
      </c:lineChart>
      <c:catAx>
        <c:axId val="12543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5435264"/>
        <c:crosses val="autoZero"/>
        <c:auto val="1"/>
        <c:lblAlgn val="ctr"/>
        <c:lblOffset val="100"/>
        <c:noMultiLvlLbl val="0"/>
      </c:catAx>
      <c:valAx>
        <c:axId val="125435264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5433728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613"/>
          <c:h val="0.7759916666666948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Counties!$B$178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Counties!$C$178:$D$178</c:f>
              <c:numCache>
                <c:formatCode>_-* #,##0_-;\-* #,##0_-;_-* "-"??_-;_-@_-</c:formatCode>
                <c:ptCount val="2"/>
                <c:pt idx="0">
                  <c:v>3538.7865175177167</c:v>
                </c:pt>
                <c:pt idx="1">
                  <c:v>3824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25340672"/>
        <c:axId val="125354752"/>
      </c:barChart>
      <c:lineChart>
        <c:grouping val="standard"/>
        <c:varyColors val="0"/>
        <c:ser>
          <c:idx val="1"/>
          <c:order val="0"/>
          <c:tx>
            <c:strRef>
              <c:f>Counties!$B$179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Counties!$C$177:$D$177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Counties!$C$179:$D$179</c:f>
              <c:numCache>
                <c:formatCode>_-* #,##0_-;\-* #,##0_-;_-* "-"??_-;_-@_-</c:formatCode>
                <c:ptCount val="2"/>
                <c:pt idx="0">
                  <c:v>3403.0706549271104</c:v>
                </c:pt>
                <c:pt idx="1">
                  <c:v>3550.6413192853861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Counties!$B$180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Counties!$C$177:$D$177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Counties!$C$180:$D$180</c:f>
              <c:numCache>
                <c:formatCode>_-* #,##0_-;\-* #,##0_-;_-* "-"??_-;_-@_-</c:formatCode>
                <c:ptCount val="2"/>
                <c:pt idx="1">
                  <c:v>3485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340672"/>
        <c:axId val="125354752"/>
      </c:lineChart>
      <c:catAx>
        <c:axId val="12534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5354752"/>
        <c:crosses val="autoZero"/>
        <c:auto val="1"/>
        <c:lblAlgn val="ctr"/>
        <c:lblOffset val="100"/>
        <c:noMultiLvlLbl val="0"/>
      </c:catAx>
      <c:valAx>
        <c:axId val="125354752"/>
        <c:scaling>
          <c:orientation val="minMax"/>
          <c:max val="4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5340672"/>
        <c:crosses val="autoZero"/>
        <c:crossBetween val="between"/>
        <c:majorUnit val="1000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226"/>
          <c:y val="3.5277777777779212E-2"/>
          <c:w val="0.7717227593675045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Counties!$V$177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8411269169643591E-2"/>
                  <c:y val="3.527771554972877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Counties!$W$177:$AC$177</c:f>
              <c:numCache>
                <c:formatCode>General</c:formatCode>
                <c:ptCount val="7"/>
                <c:pt idx="0">
                  <c:v>3403.0706549271104</c:v>
                </c:pt>
                <c:pt idx="1">
                  <c:v>3550.6413192853861</c:v>
                </c:pt>
                <c:pt idx="2">
                  <c:v>3639.2799978443049</c:v>
                </c:pt>
                <c:pt idx="3">
                  <c:v>3729.956347174691</c:v>
                </c:pt>
                <c:pt idx="4">
                  <c:v>3820.632696505078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Counties!$V$178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3443806440661443"/>
                  <c:y val="-3.277460914170809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Counties!$W$178:$AC$178</c:f>
              <c:numCache>
                <c:formatCode>General</c:formatCode>
                <c:ptCount val="7"/>
                <c:pt idx="1">
                  <c:v>3485</c:v>
                </c:pt>
                <c:pt idx="2">
                  <c:v>3572</c:v>
                </c:pt>
                <c:pt idx="3">
                  <c:v>3661</c:v>
                </c:pt>
                <c:pt idx="4">
                  <c:v>3750</c:v>
                </c:pt>
                <c:pt idx="5">
                  <c:v>3838.9999999999991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Counties!$V$179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0.48735933157455114"/>
                  <c:y val="0.3282577922611200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Counties!$W$179:$AC$179</c:f>
              <c:numCache>
                <c:formatCode>General</c:formatCode>
                <c:ptCount val="7"/>
                <c:pt idx="2">
                  <c:v>3492.1716829993534</c:v>
                </c:pt>
                <c:pt idx="3">
                  <c:v>3579.1185520361992</c:v>
                </c:pt>
                <c:pt idx="4">
                  <c:v>3666.1279896574015</c:v>
                </c:pt>
                <c:pt idx="5">
                  <c:v>3753.1374272786038</c:v>
                </c:pt>
                <c:pt idx="6">
                  <c:v>3840.1468648998061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Counties!$V$176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6.6024921444175724E-2"/>
                  <c:y val="-0.2705050871227788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Counties!$C$178:$I$178</c:f>
              <c:numCache>
                <c:formatCode>_-* #,##0_-;\-* #,##0_-;_-* "-"??_-;_-@_-</c:formatCode>
                <c:ptCount val="7"/>
                <c:pt idx="0">
                  <c:v>3538.7865175177167</c:v>
                </c:pt>
                <c:pt idx="1">
                  <c:v>3824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40800"/>
        <c:axId val="126142336"/>
      </c:lineChart>
      <c:catAx>
        <c:axId val="1261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6142336"/>
        <c:crosses val="autoZero"/>
        <c:auto val="1"/>
        <c:lblAlgn val="ctr"/>
        <c:lblOffset val="100"/>
        <c:noMultiLvlLbl val="0"/>
      </c:catAx>
      <c:valAx>
        <c:axId val="126142336"/>
        <c:scaling>
          <c:orientation val="minMax"/>
          <c:max val="4000"/>
          <c:min val="3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6140800"/>
        <c:crosses val="autoZero"/>
        <c:crossBetween val="midCat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6855"/>
          <c:h val="0.77578287037038796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Counties!$B$222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Counties!$C$222:$D$222</c:f>
              <c:numCache>
                <c:formatCode>_-* #,##0_-;\-* #,##0_-;_-* "-"??_-;_-@_-</c:formatCode>
                <c:ptCount val="2"/>
                <c:pt idx="0">
                  <c:v>11072.584787259841</c:v>
                </c:pt>
                <c:pt idx="1">
                  <c:v>10939.36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26194432"/>
        <c:axId val="126195968"/>
      </c:barChart>
      <c:lineChart>
        <c:grouping val="standard"/>
        <c:varyColors val="0"/>
        <c:ser>
          <c:idx val="1"/>
          <c:order val="0"/>
          <c:tx>
            <c:strRef>
              <c:f>Counties!$B$223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Counties!$C$221:$D$221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Counties!$C$223:$D$223</c:f>
              <c:numCache>
                <c:formatCode>_-* #,##0_-;\-* #,##0_-;_-* "-"??_-;_-@_-</c:formatCode>
                <c:ptCount val="2"/>
                <c:pt idx="0">
                  <c:v>12501.517717118912</c:v>
                </c:pt>
                <c:pt idx="1">
                  <c:v>13677.253752256742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Counties!$B$224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Counties!$C$221:$D$221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Counties!$C$224:$D$224</c:f>
              <c:numCache>
                <c:formatCode>_-* #,##0_-;\-* #,##0_-;_-* "-"??_-;_-@_-</c:formatCode>
                <c:ptCount val="2"/>
                <c:pt idx="1">
                  <c:v>11624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94432"/>
        <c:axId val="126195968"/>
      </c:lineChart>
      <c:catAx>
        <c:axId val="12619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195968"/>
        <c:crosses val="autoZero"/>
        <c:auto val="1"/>
        <c:lblAlgn val="ctr"/>
        <c:lblOffset val="100"/>
        <c:noMultiLvlLbl val="0"/>
      </c:catAx>
      <c:valAx>
        <c:axId val="12619596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6194432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404E-3"/>
          <c:w val="0.90316284722220719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Counties!$V$221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28669057122945729"/>
                  <c:y val="-0.566966114400335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Counties!$W$221:$AC$221</c:f>
              <c:numCache>
                <c:formatCode>General</c:formatCode>
                <c:ptCount val="7"/>
                <c:pt idx="0">
                  <c:v>12501.517717118912</c:v>
                </c:pt>
                <c:pt idx="1">
                  <c:v>13677.253752256742</c:v>
                </c:pt>
                <c:pt idx="2">
                  <c:v>15895.258387001157</c:v>
                </c:pt>
                <c:pt idx="3">
                  <c:v>12884.34511330872</c:v>
                </c:pt>
                <c:pt idx="4">
                  <c:v>11794.191250572605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Counties!$V$222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28221539322682498"/>
                  <c:y val="-6.562654720131547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Counties!$W$222:$AC$222</c:f>
              <c:numCache>
                <c:formatCode>General</c:formatCode>
                <c:ptCount val="7"/>
                <c:pt idx="1">
                  <c:v>11624</c:v>
                </c:pt>
                <c:pt idx="2">
                  <c:v>13960.4</c:v>
                </c:pt>
                <c:pt idx="3">
                  <c:v>14799.65</c:v>
                </c:pt>
                <c:pt idx="4">
                  <c:v>12125.15</c:v>
                </c:pt>
                <c:pt idx="5">
                  <c:v>14201.4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Counties!$V$223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5702769478500765E-2"/>
                  <c:y val="0.3704166666666756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Counties!$W$223:$AC$223</c:f>
              <c:numCache>
                <c:formatCode>General</c:formatCode>
                <c:ptCount val="7"/>
                <c:pt idx="2">
                  <c:v>12789.409696186167</c:v>
                </c:pt>
                <c:pt idx="3">
                  <c:v>13439.34086619263</c:v>
                </c:pt>
                <c:pt idx="4">
                  <c:v>12963.966270200386</c:v>
                </c:pt>
                <c:pt idx="5">
                  <c:v>14330.94319327731</c:v>
                </c:pt>
                <c:pt idx="6">
                  <c:v>11993.175578539107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Counties!$V$220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1431378063869002"/>
                  <c:y val="2.351866053844874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Counties!$W$220:$AC$220</c:f>
              <c:numCache>
                <c:formatCode>General</c:formatCode>
                <c:ptCount val="7"/>
                <c:pt idx="0">
                  <c:v>11072.584787259841</c:v>
                </c:pt>
                <c:pt idx="1">
                  <c:v>10939.36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87072"/>
        <c:axId val="125894656"/>
      </c:lineChart>
      <c:catAx>
        <c:axId val="12598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5894656"/>
        <c:crosses val="autoZero"/>
        <c:auto val="1"/>
        <c:lblAlgn val="ctr"/>
        <c:lblOffset val="100"/>
        <c:noMultiLvlLbl val="0"/>
      </c:catAx>
      <c:valAx>
        <c:axId val="125894656"/>
        <c:scaling>
          <c:orientation val="minMax"/>
          <c:max val="16000"/>
          <c:min val="1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5987072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394"/>
          <c:y val="6.4675925925925928E-2"/>
          <c:w val="0.83176107888302875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Counties!$B$237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4023304984677413E-3"/>
                  <c:y val="-3.5277777777778761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Counties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Counties!$C$236:$F$236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Counties!$C$237:$F$237</c:f>
              <c:numCache>
                <c:formatCode>_(* #,##0.00_);_(* \(#,##0.00\);_(* "-"??_);_(@_)</c:formatCode>
                <c:ptCount val="4"/>
                <c:pt idx="0">
                  <c:v>2.1968000000000001</c:v>
                </c:pt>
                <c:pt idx="1">
                  <c:v>3.6193340000000003</c:v>
                </c:pt>
                <c:pt idx="2">
                  <c:v>2.1146691</c:v>
                </c:pt>
                <c:pt idx="3">
                  <c:v>2.9518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Counties!$B$239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4031224539459023E-3"/>
                  <c:y val="5.291666666666683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Counties!$C$236:$F$236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15904"/>
        <c:axId val="125917440"/>
      </c:lineChart>
      <c:catAx>
        <c:axId val="12591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5917440"/>
        <c:crosses val="autoZero"/>
        <c:auto val="1"/>
        <c:lblAlgn val="ctr"/>
        <c:lblOffset val="100"/>
        <c:noMultiLvlLbl val="0"/>
      </c:catAx>
      <c:valAx>
        <c:axId val="12591744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591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3159722222223"/>
          <c:y val="6.4675925925925928E-2"/>
          <c:w val="0.76542083333335442"/>
          <c:h val="0.80984259259260005"/>
        </c:manualLayout>
      </c:layout>
      <c:lineChart>
        <c:grouping val="standard"/>
        <c:varyColors val="0"/>
        <c:ser>
          <c:idx val="1"/>
          <c:order val="0"/>
          <c:tx>
            <c:strRef>
              <c:f>Counties!$B$230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398611111111108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Counties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Counties!$C$230:$F$230</c:f>
              <c:numCache>
                <c:formatCode>_(* #,##0.00_);_(* \(#,##0.00\);_(* "-"??_);_(@_)</c:formatCode>
                <c:ptCount val="4"/>
                <c:pt idx="0">
                  <c:v>167.78100000000001</c:v>
                </c:pt>
                <c:pt idx="1">
                  <c:v>171.67810499999999</c:v>
                </c:pt>
                <c:pt idx="2">
                  <c:v>78.294295000000005</c:v>
                </c:pt>
                <c:pt idx="3">
                  <c:v>138.17529999999999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Counties!$B$232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879629629629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Counties!$C$229:$F$229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Counties!$C$232:$F$232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61280"/>
        <c:axId val="126571264"/>
      </c:lineChart>
      <c:catAx>
        <c:axId val="12656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6571264"/>
        <c:crosses val="autoZero"/>
        <c:auto val="1"/>
        <c:lblAlgn val="ctr"/>
        <c:lblOffset val="100"/>
        <c:noMultiLvlLbl val="0"/>
      </c:catAx>
      <c:valAx>
        <c:axId val="12657126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65612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20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357"/>
          <c:y val="0.16445370370370369"/>
          <c:w val="0.70330041907982088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Alpine!$B$70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Alpine!$C$69:$F$69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Alpine!$C$70:$F$70</c:f>
              <c:numCache>
                <c:formatCode>0</c:formatCode>
                <c:ptCount val="4"/>
                <c:pt idx="0">
                  <c:v>270.80204665390357</c:v>
                </c:pt>
                <c:pt idx="1">
                  <c:v>253.48821246769577</c:v>
                </c:pt>
                <c:pt idx="2">
                  <c:v>338.00325502853826</c:v>
                </c:pt>
                <c:pt idx="3">
                  <c:v>323.18188177684505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07008"/>
        <c:axId val="114908544"/>
      </c:lineChart>
      <c:catAx>
        <c:axId val="11490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14908544"/>
        <c:crosses val="autoZero"/>
        <c:auto val="1"/>
        <c:lblAlgn val="ctr"/>
        <c:lblOffset val="100"/>
        <c:noMultiLvlLbl val="0"/>
      </c:catAx>
      <c:valAx>
        <c:axId val="114908544"/>
        <c:scaling>
          <c:orientation val="minMax"/>
          <c:max val="400"/>
          <c:min val="2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14907008"/>
        <c:crosses val="autoZero"/>
        <c:crossBetween val="midCat"/>
        <c:majorUnit val="4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11736111110656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Eastland!$B$26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2633611111111138"/>
                  <c:y val="-0.4236546296296352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Eastland!$C$26:$F$26</c:f>
              <c:numCache>
                <c:formatCode>0</c:formatCode>
                <c:ptCount val="4"/>
                <c:pt idx="0">
                  <c:v>2279.7977063821536</c:v>
                </c:pt>
                <c:pt idx="1">
                  <c:v>2353.4422523776029</c:v>
                </c:pt>
                <c:pt idx="2">
                  <c:v>2286.6347863090746</c:v>
                </c:pt>
                <c:pt idx="3">
                  <c:v>2389.0517727326196</c:v>
                </c:pt>
              </c:numCache>
            </c:numRef>
          </c:val>
        </c:ser>
        <c:ser>
          <c:idx val="1"/>
          <c:order val="1"/>
          <c:tx>
            <c:strRef>
              <c:f>Eastland!$B$27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1322118055555581"/>
                  <c:y val="-9.018750000000000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Eastland!$C$27:$F$27</c:f>
              <c:numCache>
                <c:formatCode>0</c:formatCode>
                <c:ptCount val="4"/>
                <c:pt idx="0">
                  <c:v>918.54010435972737</c:v>
                </c:pt>
                <c:pt idx="1">
                  <c:v>950.89463930262855</c:v>
                </c:pt>
                <c:pt idx="2">
                  <c:v>974.00662876236152</c:v>
                </c:pt>
                <c:pt idx="3">
                  <c:v>1040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067840"/>
        <c:axId val="124069376"/>
      </c:areaChart>
      <c:catAx>
        <c:axId val="12406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4069376"/>
        <c:crosses val="autoZero"/>
        <c:auto val="1"/>
        <c:lblAlgn val="ctr"/>
        <c:lblOffset val="100"/>
        <c:noMultiLvlLbl val="0"/>
      </c:catAx>
      <c:valAx>
        <c:axId val="124069376"/>
        <c:scaling>
          <c:orientation val="minMax"/>
          <c:max val="2700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4067840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2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Eastland!$B$28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Eastland!$C$25:$F$25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Eastland!$C$28:$F$28</c:f>
              <c:numCache>
                <c:formatCode>0</c:formatCode>
                <c:ptCount val="4"/>
                <c:pt idx="0">
                  <c:v>689.98317698383278</c:v>
                </c:pt>
                <c:pt idx="1">
                  <c:v>728.32716040908747</c:v>
                </c:pt>
                <c:pt idx="2">
                  <c:v>750.67791220931804</c:v>
                </c:pt>
                <c:pt idx="3">
                  <c:v>820</c:v>
                </c:pt>
              </c:numCache>
            </c:numRef>
          </c:val>
        </c:ser>
        <c:ser>
          <c:idx val="1"/>
          <c:order val="1"/>
          <c:tx>
            <c:strRef>
              <c:f>Eastland!$B$29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Eastland!$C$25:$F$25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Eastland!$C$29:$F$29</c:f>
              <c:numCache>
                <c:formatCode>0</c:formatCode>
                <c:ptCount val="4"/>
                <c:pt idx="0">
                  <c:v>228.55692737589456</c:v>
                </c:pt>
                <c:pt idx="1">
                  <c:v>222.56747889354102</c:v>
                </c:pt>
                <c:pt idx="2">
                  <c:v>223.32871655304356</c:v>
                </c:pt>
                <c:pt idx="3">
                  <c:v>220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102912"/>
        <c:axId val="124104704"/>
      </c:barChart>
      <c:catAx>
        <c:axId val="12410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4104704"/>
        <c:crosses val="autoZero"/>
        <c:auto val="1"/>
        <c:lblAlgn val="ctr"/>
        <c:lblOffset val="100"/>
        <c:noMultiLvlLbl val="0"/>
      </c:catAx>
      <c:valAx>
        <c:axId val="124104704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410291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245"/>
          <c:w val="0.89745624999998508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Eastland!$B$40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Eastland!$C$39:$F$39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Eastland!$C$40:$F$40</c:f>
              <c:numCache>
                <c:formatCode>0</c:formatCode>
                <c:ptCount val="4"/>
                <c:pt idx="0">
                  <c:v>26290.515240512101</c:v>
                </c:pt>
                <c:pt idx="1">
                  <c:v>27243.754272770944</c:v>
                </c:pt>
                <c:pt idx="2">
                  <c:v>28155.515884778095</c:v>
                </c:pt>
                <c:pt idx="3">
                  <c:v>29453</c:v>
                </c:pt>
              </c:numCache>
            </c:numRef>
          </c:val>
        </c:ser>
        <c:ser>
          <c:idx val="1"/>
          <c:order val="1"/>
          <c:tx>
            <c:strRef>
              <c:f>Eastland!$B$41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Eastland!$C$39:$F$39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Eastland!$C$41:$F$41</c:f>
              <c:numCache>
                <c:formatCode>0</c:formatCode>
                <c:ptCount val="4"/>
                <c:pt idx="0">
                  <c:v>821.68371589062178</c:v>
                </c:pt>
                <c:pt idx="1">
                  <c:v>1231.6774243942614</c:v>
                </c:pt>
                <c:pt idx="2">
                  <c:v>199.69173560399878</c:v>
                </c:pt>
                <c:pt idx="3">
                  <c:v>1234</c:v>
                </c:pt>
              </c:numCache>
            </c:numRef>
          </c:val>
        </c:ser>
        <c:ser>
          <c:idx val="3"/>
          <c:order val="2"/>
          <c:tx>
            <c:strRef>
              <c:f>Eastland!$B$42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Eastland!$C$39:$F$39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Eastland!$C$42:$F$42</c:f>
              <c:numCache>
                <c:formatCode>0</c:formatCode>
                <c:ptCount val="4"/>
                <c:pt idx="0">
                  <c:v>461.42624960793813</c:v>
                </c:pt>
                <c:pt idx="1">
                  <c:v>551.22822431189491</c:v>
                </c:pt>
                <c:pt idx="2">
                  <c:v>528.77556519630286</c:v>
                </c:pt>
                <c:pt idx="3">
                  <c:v>281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515456"/>
        <c:axId val="124256256"/>
      </c:barChart>
      <c:catAx>
        <c:axId val="12651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4256256"/>
        <c:crosses val="autoZero"/>
        <c:auto val="1"/>
        <c:lblAlgn val="ctr"/>
        <c:lblOffset val="100"/>
        <c:noMultiLvlLbl val="0"/>
      </c:catAx>
      <c:valAx>
        <c:axId val="12425625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6515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4042"/>
          <c:h val="0.21171296296296757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133E-2"/>
          <c:y val="9.9262962962965245E-2"/>
          <c:w val="0.80176112499523156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Eastland!$B$46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6.2588330304865912E-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Eastland!$C$46:$F$46</c:f>
              <c:numCache>
                <c:formatCode>0.0</c:formatCode>
                <c:ptCount val="4"/>
                <c:pt idx="0">
                  <c:v>100</c:v>
                </c:pt>
                <c:pt idx="1">
                  <c:v>103.62579060751902</c:v>
                </c:pt>
                <c:pt idx="2">
                  <c:v>107.09381549659453</c:v>
                </c:pt>
                <c:pt idx="3">
                  <c:v>112.02899498376777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Eastland!$B$47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Eastland!$C$45:$F$45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Eastland!$C$47:$F$47</c:f>
              <c:numCache>
                <c:formatCode>0.0</c:formatCode>
                <c:ptCount val="4"/>
                <c:pt idx="0">
                  <c:v>100</c:v>
                </c:pt>
                <c:pt idx="1">
                  <c:v>149.89677908600731</c:v>
                </c:pt>
                <c:pt idx="2">
                  <c:v>24.302749554620682</c:v>
                </c:pt>
                <c:pt idx="3">
                  <c:v>150.17943962324594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Eastland!$B$48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772982313220934E-3"/>
                  <c:y val="1.711772479489015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Eastland!$C$48:$F$48</c:f>
              <c:numCache>
                <c:formatCode>0.0</c:formatCode>
                <c:ptCount val="4"/>
                <c:pt idx="0">
                  <c:v>100</c:v>
                </c:pt>
                <c:pt idx="1">
                  <c:v>119.46182619221581</c:v>
                </c:pt>
                <c:pt idx="2">
                  <c:v>114.59590035148406</c:v>
                </c:pt>
                <c:pt idx="3">
                  <c:v>60.898139245168295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307712"/>
        <c:axId val="126943232"/>
      </c:lineChart>
      <c:catAx>
        <c:axId val="12430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6943232"/>
        <c:crossesAt val="0"/>
        <c:auto val="1"/>
        <c:lblAlgn val="ctr"/>
        <c:lblOffset val="100"/>
        <c:noMultiLvlLbl val="0"/>
      </c:catAx>
      <c:valAx>
        <c:axId val="12694323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430771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 orientation="portrait"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672"/>
          <c:h val="0.70204027777778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Eastland!$B$54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Eastland!$C$53:$F$53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Eastland!$C$54:$F$54</c:f>
              <c:numCache>
                <c:formatCode>0</c:formatCode>
                <c:ptCount val="4"/>
                <c:pt idx="0">
                  <c:v>20799.758489920445</c:v>
                </c:pt>
                <c:pt idx="1">
                  <c:v>21437.691262269196</c:v>
                </c:pt>
                <c:pt idx="2">
                  <c:v>22375.66274150521</c:v>
                </c:pt>
                <c:pt idx="3">
                  <c:v>23259</c:v>
                </c:pt>
              </c:numCache>
            </c:numRef>
          </c:val>
        </c:ser>
        <c:ser>
          <c:idx val="1"/>
          <c:order val="1"/>
          <c:tx>
            <c:strRef>
              <c:f>Eastland!$B$55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Eastland!$C$53:$F$53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Eastland!$C$55:$F$55</c:f>
              <c:numCache>
                <c:formatCode>0</c:formatCode>
                <c:ptCount val="4"/>
                <c:pt idx="0">
                  <c:v>1851.0954920019387</c:v>
                </c:pt>
                <c:pt idx="1">
                  <c:v>2010.7892099663663</c:v>
                </c:pt>
                <c:pt idx="2">
                  <c:v>2119.1776023281504</c:v>
                </c:pt>
                <c:pt idx="3">
                  <c:v>2258</c:v>
                </c:pt>
              </c:numCache>
            </c:numRef>
          </c:val>
        </c:ser>
        <c:ser>
          <c:idx val="2"/>
          <c:order val="2"/>
          <c:tx>
            <c:strRef>
              <c:f>Eastland!$B$56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Eastland!$C$53:$F$53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Eastland!$C$56:$F$56</c:f>
              <c:numCache>
                <c:formatCode>0</c:formatCode>
                <c:ptCount val="4"/>
                <c:pt idx="0">
                  <c:v>2028.9817798180832</c:v>
                </c:pt>
                <c:pt idx="1">
                  <c:v>2140.5510330153056</c:v>
                </c:pt>
                <c:pt idx="2">
                  <c:v>2138.5354746571093</c:v>
                </c:pt>
                <c:pt idx="3">
                  <c:v>2329</c:v>
                </c:pt>
              </c:numCache>
            </c:numRef>
          </c:val>
        </c:ser>
        <c:ser>
          <c:idx val="3"/>
          <c:order val="3"/>
          <c:tx>
            <c:strRef>
              <c:f>Eastland!$B$57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Eastland!$C$53:$F$53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Eastland!$C$57:$F$57</c:f>
              <c:numCache>
                <c:formatCode>0</c:formatCode>
                <c:ptCount val="4"/>
                <c:pt idx="0">
                  <c:v>1610.6794787716346</c:v>
                </c:pt>
                <c:pt idx="1">
                  <c:v>1654.7227675200763</c:v>
                </c:pt>
                <c:pt idx="2">
                  <c:v>1522.1400662876233</c:v>
                </c:pt>
                <c:pt idx="3">
                  <c:v>1607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984192"/>
        <c:axId val="126985728"/>
      </c:barChart>
      <c:catAx>
        <c:axId val="1269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6985728"/>
        <c:crosses val="autoZero"/>
        <c:auto val="1"/>
        <c:lblAlgn val="ctr"/>
        <c:lblOffset val="100"/>
        <c:noMultiLvlLbl val="0"/>
      </c:catAx>
      <c:valAx>
        <c:axId val="12698572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6984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3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 orientation="portrait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2745341990076648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Eastland!$B$61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62817349428819E-6"/>
                  <c:y val="3.018395808913239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Eastland!$C$61:$F$61</c:f>
              <c:numCache>
                <c:formatCode>0.0</c:formatCode>
                <c:ptCount val="4"/>
                <c:pt idx="0">
                  <c:v>100</c:v>
                </c:pt>
                <c:pt idx="1">
                  <c:v>103.0670200938049</c:v>
                </c:pt>
                <c:pt idx="2">
                  <c:v>107.57655071980017</c:v>
                </c:pt>
                <c:pt idx="3">
                  <c:v>111.82341377315174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Eastland!$B$62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28393821881842E-6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Eastland!$C$62:$F$62</c:f>
              <c:numCache>
                <c:formatCode>0.0</c:formatCode>
                <c:ptCount val="4"/>
                <c:pt idx="0">
                  <c:v>100</c:v>
                </c:pt>
                <c:pt idx="1">
                  <c:v>108.62698432654712</c:v>
                </c:pt>
                <c:pt idx="2">
                  <c:v>114.48234904598486</c:v>
                </c:pt>
                <c:pt idx="3">
                  <c:v>121.98182156221442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Eastland!$B$63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070984554706391E-6"/>
                  <c:y val="-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Eastland!$C$63:$F$63</c:f>
              <c:numCache>
                <c:formatCode>0.0</c:formatCode>
                <c:ptCount val="4"/>
                <c:pt idx="0">
                  <c:v>100</c:v>
                </c:pt>
                <c:pt idx="1">
                  <c:v>105.4987804379015</c:v>
                </c:pt>
                <c:pt idx="2">
                  <c:v>105.39944202203968</c:v>
                </c:pt>
                <c:pt idx="3">
                  <c:v>114.7866394447769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Eastland!$B$64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Eastland!$C$64:$F$64</c:f>
              <c:numCache>
                <c:formatCode>0.0</c:formatCode>
                <c:ptCount val="4"/>
                <c:pt idx="0">
                  <c:v>100</c:v>
                </c:pt>
                <c:pt idx="1">
                  <c:v>102.73445395740876</c:v>
                </c:pt>
                <c:pt idx="2">
                  <c:v>94.502977553824991</c:v>
                </c:pt>
                <c:pt idx="3">
                  <c:v>99.771557356995643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038592"/>
        <c:axId val="127040128"/>
      </c:lineChart>
      <c:catAx>
        <c:axId val="12703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7040128"/>
        <c:crosses val="autoZero"/>
        <c:auto val="1"/>
        <c:lblAlgn val="ctr"/>
        <c:lblOffset val="100"/>
        <c:noMultiLvlLbl val="0"/>
      </c:catAx>
      <c:valAx>
        <c:axId val="127040128"/>
        <c:scaling>
          <c:orientation val="minMax"/>
          <c:max val="130"/>
          <c:min val="8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703859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643E-2"/>
          <c:y val="5.1489936964064897E-2"/>
          <c:w val="0.84459131069340276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Eastland!$B$84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161744022504418E-5"/>
                  <c:y val="-2.80593743773660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Eastland!$C$84:$F$84</c:f>
              <c:numCache>
                <c:formatCode>0.00</c:formatCode>
                <c:ptCount val="4"/>
                <c:pt idx="0">
                  <c:v>12.530050476159763</c:v>
                </c:pt>
                <c:pt idx="1">
                  <c:v>13.040613392296475</c:v>
                </c:pt>
                <c:pt idx="2">
                  <c:v>13.19802211982282</c:v>
                </c:pt>
                <c:pt idx="3">
                  <c:v>13.894265232974911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Eastland!$B$85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194092827005783E-5"/>
                  <c:y val="-2.798166965531021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Eastland!$C$85:$F$85</c:f>
              <c:numCache>
                <c:formatCode>0.00</c:formatCode>
                <c:ptCount val="4"/>
                <c:pt idx="0">
                  <c:v>7.0215661798806615</c:v>
                </c:pt>
                <c:pt idx="1">
                  <c:v>7.6411289276284782</c:v>
                </c:pt>
                <c:pt idx="2">
                  <c:v>8.1135480007969321</c:v>
                </c:pt>
                <c:pt idx="3">
                  <c:v>8.6295192234197042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Eastland!$B$86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655070927428586E-5"/>
                  <c:y val="-4.11576011157601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Eastland!$C$86:$F$86</c:f>
              <c:numCache>
                <c:formatCode>0.00</c:formatCode>
                <c:ptCount val="4"/>
                <c:pt idx="0">
                  <c:v>4.6146783565731511</c:v>
                </c:pt>
                <c:pt idx="1">
                  <c:v>4.8868754303516777</c:v>
                </c:pt>
                <c:pt idx="2">
                  <c:v>4.9783166297858541</c:v>
                </c:pt>
                <c:pt idx="3">
                  <c:v>5.2643475509143105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Eastland!$B$87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9167980137533837E-5"/>
                  <c:y val="4.70372584180118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Eastland!$C$87:$F$87</c:f>
              <c:numCache>
                <c:formatCode>0.00</c:formatCode>
                <c:ptCount val="4"/>
                <c:pt idx="0">
                  <c:v>3.3989184577775693</c:v>
                </c:pt>
                <c:pt idx="1">
                  <c:v>3.5794494181242906</c:v>
                </c:pt>
                <c:pt idx="2">
                  <c:v>3.6934389650772186</c:v>
                </c:pt>
                <c:pt idx="3">
                  <c:v>3.6305718094119239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158144"/>
        <c:axId val="127159680"/>
      </c:lineChart>
      <c:catAx>
        <c:axId val="12715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7159680"/>
        <c:crosses val="autoZero"/>
        <c:auto val="1"/>
        <c:lblAlgn val="ctr"/>
        <c:lblOffset val="100"/>
        <c:noMultiLvlLbl val="0"/>
      </c:catAx>
      <c:valAx>
        <c:axId val="12715968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715814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29902E-2"/>
          <c:y val="5.8338380979806134E-2"/>
          <c:w val="0.83883540276753665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Eastland!$B$90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-2.120940426379757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Eastland!$C$90:$F$90</c:f>
              <c:numCache>
                <c:formatCode>0.0</c:formatCode>
                <c:ptCount val="4"/>
                <c:pt idx="0">
                  <c:v>100</c:v>
                </c:pt>
                <c:pt idx="1">
                  <c:v>104.07470757686197</c:v>
                </c:pt>
                <c:pt idx="2">
                  <c:v>105.33095732482458</c:v>
                </c:pt>
                <c:pt idx="3">
                  <c:v>110.8875439840467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Eastland!$B$91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6698344326971E-3"/>
                  <c:y val="-3.48316397688782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Eastland!$C$91:$F$91</c:f>
              <c:numCache>
                <c:formatCode>0.0</c:formatCode>
                <c:ptCount val="4"/>
                <c:pt idx="0">
                  <c:v>100</c:v>
                </c:pt>
                <c:pt idx="1">
                  <c:v>108.82371157482058</c:v>
                </c:pt>
                <c:pt idx="2">
                  <c:v>115.55182694204601</c:v>
                </c:pt>
                <c:pt idx="3">
                  <c:v>122.90020491648164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Eastland!$B$92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200616792511424E-3"/>
                  <c:y val="-2.21020123530583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Eastland!$C$92:$F$92</c:f>
              <c:numCache>
                <c:formatCode>0.0</c:formatCode>
                <c:ptCount val="4"/>
                <c:pt idx="0">
                  <c:v>100</c:v>
                </c:pt>
                <c:pt idx="1">
                  <c:v>105.89850587074632</c:v>
                </c:pt>
                <c:pt idx="2">
                  <c:v>107.88003507752033</c:v>
                </c:pt>
                <c:pt idx="3">
                  <c:v>114.07832018055539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Eastland!$B$93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2.16557083084280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Eastland!$C$93:$F$93</c:f>
              <c:numCache>
                <c:formatCode>0.0</c:formatCode>
                <c:ptCount val="4"/>
                <c:pt idx="0">
                  <c:v>100</c:v>
                </c:pt>
                <c:pt idx="1">
                  <c:v>105.31142369519404</c:v>
                </c:pt>
                <c:pt idx="2">
                  <c:v>108.66512424344023</c:v>
                </c:pt>
                <c:pt idx="3">
                  <c:v>106.81550188720399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38720"/>
        <c:axId val="126665088"/>
      </c:lineChart>
      <c:catAx>
        <c:axId val="12663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6665088"/>
        <c:crosses val="autoZero"/>
        <c:auto val="1"/>
        <c:lblAlgn val="ctr"/>
        <c:lblOffset val="100"/>
        <c:noMultiLvlLbl val="0"/>
      </c:catAx>
      <c:valAx>
        <c:axId val="126665088"/>
        <c:scaling>
          <c:orientation val="minMax"/>
          <c:max val="13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663872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834364860253561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Eastland!$B$120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5571314560688929"/>
                  <c:y val="-5.87962962962977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Eastland!$C$120:$F$120</c:f>
              <c:numCache>
                <c:formatCode>0.0</c:formatCode>
                <c:ptCount val="4"/>
                <c:pt idx="0">
                  <c:v>100</c:v>
                </c:pt>
                <c:pt idx="1">
                  <c:v>99.031765251597889</c:v>
                </c:pt>
                <c:pt idx="2">
                  <c:v>102.13194055385877</c:v>
                </c:pt>
                <c:pt idx="3">
                  <c:v>100.84398098783727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Eastland!$B$121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801338294663E-3"/>
                  <c:y val="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Eastland!$C$121:$F$121</c:f>
              <c:numCache>
                <c:formatCode>0.0</c:formatCode>
                <c:ptCount val="4"/>
                <c:pt idx="0">
                  <c:v>100</c:v>
                </c:pt>
                <c:pt idx="1">
                  <c:v>99.819223912301339</c:v>
                </c:pt>
                <c:pt idx="2">
                  <c:v>99.074460418010091</c:v>
                </c:pt>
                <c:pt idx="3">
                  <c:v>99.25274058339339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Eastland!$B$122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9098987357503964"/>
                  <c:y val="9.995370370370380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Eastland!$C$122:$F$122</c:f>
              <c:numCache>
                <c:formatCode>0.0</c:formatCode>
                <c:ptCount val="4"/>
                <c:pt idx="0">
                  <c:v>100</c:v>
                </c:pt>
                <c:pt idx="1">
                  <c:v>99.62253911935953</c:v>
                </c:pt>
                <c:pt idx="2">
                  <c:v>97.700600436681214</c:v>
                </c:pt>
                <c:pt idx="3">
                  <c:v>100.62090611353712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Eastland!$B$123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-2.351898148148147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800"/>
                      <a:t>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Eastland!$C$123:$F$123</c:f>
              <c:numCache>
                <c:formatCode>0.0</c:formatCode>
                <c:ptCount val="4"/>
                <c:pt idx="0">
                  <c:v>100</c:v>
                </c:pt>
                <c:pt idx="1">
                  <c:v>97.553000759685986</c:v>
                </c:pt>
                <c:pt idx="2">
                  <c:v>86.967164683042114</c:v>
                </c:pt>
                <c:pt idx="3">
                  <c:v>93.405503502996538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82848"/>
        <c:axId val="126829696"/>
      </c:lineChart>
      <c:catAx>
        <c:axId val="12678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6829696"/>
        <c:crosses val="autoZero"/>
        <c:auto val="1"/>
        <c:lblAlgn val="ctr"/>
        <c:lblOffset val="100"/>
        <c:noMultiLvlLbl val="0"/>
      </c:catAx>
      <c:valAx>
        <c:axId val="126829696"/>
        <c:scaling>
          <c:orientation val="minMax"/>
          <c:max val="115"/>
          <c:min val="8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6782848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557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Eastland!$B$113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Eastland!$C$112:$F$112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Eastland!$C$113:$F$113</c:f>
              <c:numCache>
                <c:formatCode>General</c:formatCode>
                <c:ptCount val="4"/>
                <c:pt idx="0">
                  <c:v>165999</c:v>
                </c:pt>
                <c:pt idx="1">
                  <c:v>164391.74</c:v>
                </c:pt>
                <c:pt idx="2">
                  <c:v>169538</c:v>
                </c:pt>
                <c:pt idx="3">
                  <c:v>167400</c:v>
                </c:pt>
              </c:numCache>
            </c:numRef>
          </c:val>
        </c:ser>
        <c:ser>
          <c:idx val="1"/>
          <c:order val="1"/>
          <c:tx>
            <c:strRef>
              <c:f>Eastland!$B$114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Eastland!$C$112:$F$112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Eastland!$C$114:$F$114</c:f>
              <c:numCache>
                <c:formatCode>General</c:formatCode>
                <c:ptCount val="4"/>
                <c:pt idx="0">
                  <c:v>26363</c:v>
                </c:pt>
                <c:pt idx="1">
                  <c:v>26315.342000000001</c:v>
                </c:pt>
                <c:pt idx="2">
                  <c:v>26119</c:v>
                </c:pt>
                <c:pt idx="3">
                  <c:v>26166</c:v>
                </c:pt>
              </c:numCache>
            </c:numRef>
          </c:val>
        </c:ser>
        <c:ser>
          <c:idx val="2"/>
          <c:order val="2"/>
          <c:tx>
            <c:strRef>
              <c:f>Eastland!$B$115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Eastland!$C$112:$F$112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Eastland!$C$115:$F$115</c:f>
              <c:numCache>
                <c:formatCode>General</c:formatCode>
                <c:ptCount val="4"/>
                <c:pt idx="0">
                  <c:v>43968</c:v>
                </c:pt>
                <c:pt idx="1">
                  <c:v>43802.038</c:v>
                </c:pt>
                <c:pt idx="2">
                  <c:v>42957</c:v>
                </c:pt>
                <c:pt idx="3">
                  <c:v>44241</c:v>
                </c:pt>
              </c:numCache>
            </c:numRef>
          </c:val>
        </c:ser>
        <c:ser>
          <c:idx val="3"/>
          <c:order val="3"/>
          <c:tx>
            <c:strRef>
              <c:f>Eastland!$B$116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Eastland!$C$112:$F$112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Eastland!$C$116:$F$116</c:f>
              <c:numCache>
                <c:formatCode>General</c:formatCode>
                <c:ptCount val="4"/>
                <c:pt idx="0">
                  <c:v>47388</c:v>
                </c:pt>
                <c:pt idx="1">
                  <c:v>46228.415999999997</c:v>
                </c:pt>
                <c:pt idx="2">
                  <c:v>41212</c:v>
                </c:pt>
                <c:pt idx="3">
                  <c:v>44263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865792"/>
        <c:axId val="126867328"/>
      </c:barChart>
      <c:catAx>
        <c:axId val="12686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6867328"/>
        <c:crosses val="autoZero"/>
        <c:auto val="1"/>
        <c:lblAlgn val="ctr"/>
        <c:lblOffset val="100"/>
        <c:noMultiLvlLbl val="0"/>
      </c:catAx>
      <c:valAx>
        <c:axId val="12686732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6865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7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48"/>
          <c:y val="0.17621296296296718"/>
          <c:w val="0.73692152777777775"/>
          <c:h val="0.57282407407409508"/>
        </c:manualLayout>
      </c:layout>
      <c:lineChart>
        <c:grouping val="standard"/>
        <c:varyColors val="0"/>
        <c:ser>
          <c:idx val="1"/>
          <c:order val="0"/>
          <c:tx>
            <c:strRef>
              <c:f>Alpine!$B$71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Alpine!$C$69:$F$69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Alpine!$C$71:$F$71</c:f>
              <c:numCache>
                <c:formatCode>0</c:formatCode>
                <c:ptCount val="4"/>
                <c:pt idx="0">
                  <c:v>719.04657153971402</c:v>
                </c:pt>
                <c:pt idx="1">
                  <c:v>842.27819003762409</c:v>
                </c:pt>
                <c:pt idx="2">
                  <c:v>889.56114656215004</c:v>
                </c:pt>
                <c:pt idx="3">
                  <c:v>919.58709935897434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20832"/>
        <c:axId val="114939008"/>
      </c:lineChart>
      <c:catAx>
        <c:axId val="11492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14939008"/>
        <c:crosses val="autoZero"/>
        <c:auto val="1"/>
        <c:lblAlgn val="ctr"/>
        <c:lblOffset val="100"/>
        <c:noMultiLvlLbl val="0"/>
      </c:catAx>
      <c:valAx>
        <c:axId val="114939008"/>
        <c:scaling>
          <c:orientation val="minMax"/>
          <c:max val="1000"/>
          <c:min val="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14920832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Eastland!$U$138:$U$144</c:f>
              <c:strCache>
                <c:ptCount val="7"/>
                <c:pt idx="0">
                  <c:v>General management, admin and overheads</c:v>
                </c:pt>
                <c:pt idx="1">
                  <c:v>System management and operations</c:v>
                </c:pt>
                <c:pt idx="2">
                  <c:v>Routine and preventative maintenance</c:v>
                </c:pt>
                <c:pt idx="3">
                  <c:v>Fault and emergency maintenance</c:v>
                </c:pt>
                <c:pt idx="4">
                  <c:v>Other</c:v>
                </c:pt>
                <c:pt idx="5">
                  <c:v>Refurbishment and renewal maintenance</c:v>
                </c:pt>
                <c:pt idx="6">
                  <c:v>Pass-through costs</c:v>
                </c:pt>
              </c:strCache>
            </c:strRef>
          </c:cat>
          <c:val>
            <c:numRef>
              <c:f>Eastland!$V$138:$V$144</c:f>
              <c:numCache>
                <c:formatCode>General</c:formatCode>
                <c:ptCount val="7"/>
                <c:pt idx="0">
                  <c:v>2189</c:v>
                </c:pt>
                <c:pt idx="1">
                  <c:v>1242</c:v>
                </c:pt>
                <c:pt idx="2">
                  <c:v>1019</c:v>
                </c:pt>
                <c:pt idx="3">
                  <c:v>937</c:v>
                </c:pt>
                <c:pt idx="4">
                  <c:v>158</c:v>
                </c:pt>
                <c:pt idx="5">
                  <c:v>143</c:v>
                </c:pt>
                <c:pt idx="6">
                  <c:v>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27551360"/>
        <c:axId val="127552896"/>
      </c:barChart>
      <c:catAx>
        <c:axId val="127551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7552896"/>
        <c:crosses val="autoZero"/>
        <c:auto val="1"/>
        <c:lblAlgn val="ctr"/>
        <c:lblOffset val="100"/>
        <c:noMultiLvlLbl val="0"/>
      </c:catAx>
      <c:valAx>
        <c:axId val="127552896"/>
        <c:scaling>
          <c:orientation val="minMax"/>
          <c:max val="25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7551360"/>
        <c:crosses val="autoZero"/>
        <c:crossBetween val="between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02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Eastland!$U$186:$U$191</c:f>
              <c:strCache>
                <c:ptCount val="6"/>
                <c:pt idx="0">
                  <c:v>Asset replacement and renewal</c:v>
                </c:pt>
                <c:pt idx="1">
                  <c:v>System growth</c:v>
                </c:pt>
                <c:pt idx="2">
                  <c:v>Non-network capex</c:v>
                </c:pt>
                <c:pt idx="3">
                  <c:v>Reliability, safety and environment</c:v>
                </c:pt>
                <c:pt idx="4">
                  <c:v>Customer connection</c:v>
                </c:pt>
                <c:pt idx="5">
                  <c:v>Asset relocations</c:v>
                </c:pt>
              </c:strCache>
            </c:strRef>
          </c:cat>
          <c:val>
            <c:numRef>
              <c:f>Eastland!$V$186:$V$191</c:f>
              <c:numCache>
                <c:formatCode>General</c:formatCode>
                <c:ptCount val="6"/>
                <c:pt idx="0">
                  <c:v>3.8010000000000002</c:v>
                </c:pt>
                <c:pt idx="1">
                  <c:v>0.64300000000000002</c:v>
                </c:pt>
                <c:pt idx="2">
                  <c:v>0.51200000000000001</c:v>
                </c:pt>
                <c:pt idx="3">
                  <c:v>8.4000000000000005E-2</c:v>
                </c:pt>
                <c:pt idx="4">
                  <c:v>7.8E-2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27585280"/>
        <c:axId val="127591168"/>
      </c:barChart>
      <c:catAx>
        <c:axId val="127585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7591168"/>
        <c:crosses val="autoZero"/>
        <c:auto val="1"/>
        <c:lblAlgn val="ctr"/>
        <c:lblOffset val="100"/>
        <c:noMultiLvlLbl val="0"/>
      </c:catAx>
      <c:valAx>
        <c:axId val="127591168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75852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68744841764"/>
          <c:h val="0.82404629629630799"/>
        </c:manualLayout>
      </c:layout>
      <c:lineChart>
        <c:grouping val="standard"/>
        <c:varyColors val="0"/>
        <c:ser>
          <c:idx val="0"/>
          <c:order val="0"/>
          <c:tx>
            <c:strRef>
              <c:f>Eastland!$B$76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17560940602349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Eastland!$C$76:$F$76</c:f>
              <c:numCache>
                <c:formatCode>0.0</c:formatCode>
                <c:ptCount val="4"/>
                <c:pt idx="0">
                  <c:v>100</c:v>
                </c:pt>
                <c:pt idx="1">
                  <c:v>102.69007696911494</c:v>
                </c:pt>
                <c:pt idx="2">
                  <c:v>106.67721075578265</c:v>
                </c:pt>
                <c:pt idx="3">
                  <c:v>110.60100741472991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Eastland!$B$77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4.410496854292755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Eastland!$C$77:$F$77</c:f>
              <c:numCache>
                <c:formatCode>0.0</c:formatCode>
                <c:ptCount val="4"/>
                <c:pt idx="0">
                  <c:v>100</c:v>
                </c:pt>
                <c:pt idx="1">
                  <c:v>104.48881349505963</c:v>
                </c:pt>
                <c:pt idx="2">
                  <c:v>106.07997480407772</c:v>
                </c:pt>
                <c:pt idx="3">
                  <c:v>110.00146408735407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Eastland!$B$78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879629629629784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Eastland!$C$78:$F$78</c:f>
              <c:numCache>
                <c:formatCode>0.0</c:formatCode>
                <c:ptCount val="4"/>
                <c:pt idx="0">
                  <c:v>100</c:v>
                </c:pt>
                <c:pt idx="1">
                  <c:v>104.42226227016782</c:v>
                </c:pt>
                <c:pt idx="2">
                  <c:v>102.23745876137849</c:v>
                </c:pt>
                <c:pt idx="3">
                  <c:v>103.09540764947553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Eastland!$B$79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5.29166666666668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Eastland!$C$79:$F$79</c:f>
              <c:numCache>
                <c:formatCode>0.0</c:formatCode>
                <c:ptCount val="4"/>
                <c:pt idx="0">
                  <c:v>100</c:v>
                </c:pt>
                <c:pt idx="1">
                  <c:v>102.73445395740875</c:v>
                </c:pt>
                <c:pt idx="2">
                  <c:v>94.502977553824991</c:v>
                </c:pt>
                <c:pt idx="3">
                  <c:v>99.771557356995643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668224"/>
        <c:axId val="127669760"/>
      </c:lineChart>
      <c:catAx>
        <c:axId val="12766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7669760"/>
        <c:crosses val="autoZero"/>
        <c:auto val="1"/>
        <c:lblAlgn val="ctr"/>
        <c:lblOffset val="100"/>
        <c:noMultiLvlLbl val="0"/>
      </c:catAx>
      <c:valAx>
        <c:axId val="127669760"/>
        <c:scaling>
          <c:orientation val="minMax"/>
          <c:max val="115"/>
          <c:min val="8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766822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20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357"/>
          <c:y val="0.16445370370370369"/>
          <c:w val="0.70330041907982088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Eastland!$B$70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Eastland!$C$69:$F$69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Eastland!$C$70:$F$70</c:f>
              <c:numCache>
                <c:formatCode>0</c:formatCode>
                <c:ptCount val="4"/>
                <c:pt idx="0">
                  <c:v>839.00441651891583</c:v>
                </c:pt>
                <c:pt idx="1">
                  <c:v>861.57428109754835</c:v>
                </c:pt>
                <c:pt idx="2">
                  <c:v>895.02650966020838</c:v>
                </c:pt>
                <c:pt idx="3">
                  <c:v>927.94733692399757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689856"/>
        <c:axId val="127691392"/>
      </c:lineChart>
      <c:catAx>
        <c:axId val="12768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27691392"/>
        <c:crosses val="autoZero"/>
        <c:auto val="1"/>
        <c:lblAlgn val="ctr"/>
        <c:lblOffset val="100"/>
        <c:noMultiLvlLbl val="0"/>
      </c:catAx>
      <c:valAx>
        <c:axId val="127691392"/>
        <c:scaling>
          <c:orientation val="minMax"/>
          <c:max val="1000"/>
          <c:min val="8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27689856"/>
        <c:crosses val="autoZero"/>
        <c:crossBetween val="midCat"/>
        <c:majorUnit val="4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7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48"/>
          <c:y val="0.17621296296296718"/>
          <c:w val="0.73692152777777775"/>
          <c:h val="0.57282407407409508"/>
        </c:manualLayout>
      </c:layout>
      <c:lineChart>
        <c:grouping val="standard"/>
        <c:varyColors val="0"/>
        <c:ser>
          <c:idx val="1"/>
          <c:order val="0"/>
          <c:tx>
            <c:strRef>
              <c:f>Eastland!$B$71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Eastland!$C$69:$F$69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Eastland!$C$71:$F$71</c:f>
              <c:numCache>
                <c:formatCode>0</c:formatCode>
                <c:ptCount val="4"/>
                <c:pt idx="0">
                  <c:v>6109.2260462110189</c:v>
                </c:pt>
                <c:pt idx="1">
                  <c:v>6383.4578094170365</c:v>
                </c:pt>
                <c:pt idx="2">
                  <c:v>6480.6654505448023</c:v>
                </c:pt>
                <c:pt idx="3">
                  <c:v>6720.2380952380945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728640"/>
        <c:axId val="127283968"/>
      </c:lineChart>
      <c:catAx>
        <c:axId val="12772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27283968"/>
        <c:crosses val="autoZero"/>
        <c:auto val="1"/>
        <c:lblAlgn val="ctr"/>
        <c:lblOffset val="100"/>
        <c:noMultiLvlLbl val="0"/>
      </c:catAx>
      <c:valAx>
        <c:axId val="127283968"/>
        <c:scaling>
          <c:orientation val="minMax"/>
          <c:max val="7500"/>
          <c:min val="6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27728640"/>
        <c:crosses val="autoZero"/>
        <c:crossBetween val="midCat"/>
        <c:majorUnit val="3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75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Eastland!$B$72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Eastland!$C$69:$F$69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Eastland!$C$72:$F$72</c:f>
              <c:numCache>
                <c:formatCode>0</c:formatCode>
                <c:ptCount val="4"/>
                <c:pt idx="0">
                  <c:v>20917.337936268897</c:v>
                </c:pt>
                <c:pt idx="1">
                  <c:v>21842.357479748018</c:v>
                </c:pt>
                <c:pt idx="2">
                  <c:v>21385.354746571091</c:v>
                </c:pt>
                <c:pt idx="3">
                  <c:v>21564.814814814814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00352"/>
        <c:axId val="127301888"/>
      </c:lineChart>
      <c:catAx>
        <c:axId val="12730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27301888"/>
        <c:crosses val="autoZero"/>
        <c:auto val="1"/>
        <c:lblAlgn val="ctr"/>
        <c:lblOffset val="100"/>
        <c:noMultiLvlLbl val="0"/>
      </c:catAx>
      <c:valAx>
        <c:axId val="127301888"/>
        <c:scaling>
          <c:orientation val="minMax"/>
          <c:max val="25000"/>
          <c:min val="2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27300352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Eastland!$B$73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Eastland!$C$69:$F$69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Eastland!$C$73:$F$73</c:f>
              <c:numCache>
                <c:formatCode>0</c:formatCode>
                <c:ptCount val="4"/>
                <c:pt idx="0">
                  <c:v>322135.89575432695</c:v>
                </c:pt>
                <c:pt idx="1">
                  <c:v>330944.55350401526</c:v>
                </c:pt>
                <c:pt idx="2">
                  <c:v>304428.01325752464</c:v>
                </c:pt>
                <c:pt idx="3">
                  <c:v>321400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30560"/>
        <c:axId val="127340544"/>
      </c:lineChart>
      <c:catAx>
        <c:axId val="12733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27340544"/>
        <c:crosses val="autoZero"/>
        <c:auto val="1"/>
        <c:lblAlgn val="ctr"/>
        <c:lblOffset val="100"/>
        <c:noMultiLvlLbl val="0"/>
      </c:catAx>
      <c:valAx>
        <c:axId val="127340544"/>
        <c:scaling>
          <c:orientation val="minMax"/>
          <c:max val="350000"/>
          <c:min val="28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27330560"/>
        <c:crosses val="autoZero"/>
        <c:crossBetween val="midCat"/>
        <c:majorUnit val="1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9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Eastland!$B$105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09470824708421E-4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Eastland!$C$105:$F$105</c:f>
              <c:numCache>
                <c:formatCode>0.0</c:formatCode>
                <c:ptCount val="4"/>
                <c:pt idx="0">
                  <c:v>100</c:v>
                </c:pt>
                <c:pt idx="1">
                  <c:v>100.36706869428423</c:v>
                </c:pt>
                <c:pt idx="2">
                  <c:v>100.84304788027913</c:v>
                </c:pt>
                <c:pt idx="3">
                  <c:v>101.10523980476786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Eastland!$B$106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1.7697591513781495E-2"/>
                  <c:y val="-9.407407407407426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Eastland!$C$106:$F$106</c:f>
              <c:numCache>
                <c:formatCode>0.0</c:formatCode>
                <c:ptCount val="4"/>
                <c:pt idx="0">
                  <c:v>100</c:v>
                </c:pt>
                <c:pt idx="1">
                  <c:v>103.96039603960396</c:v>
                </c:pt>
                <c:pt idx="2">
                  <c:v>107.92079207920793</c:v>
                </c:pt>
                <c:pt idx="3">
                  <c:v>110.8910891089109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Eastland!$B$107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13685672466275287"/>
                  <c:y val="0.15316009213936188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Eastland!$C$107:$F$107</c:f>
              <c:numCache>
                <c:formatCode>0.0</c:formatCode>
                <c:ptCount val="4"/>
                <c:pt idx="0">
                  <c:v>100</c:v>
                </c:pt>
                <c:pt idx="1">
                  <c:v>101.03092783505154</c:v>
                </c:pt>
                <c:pt idx="2">
                  <c:v>103.09278350515463</c:v>
                </c:pt>
                <c:pt idx="3">
                  <c:v>111.34020618556701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92000"/>
        <c:axId val="127410176"/>
      </c:lineChart>
      <c:catAx>
        <c:axId val="1273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7410176"/>
        <c:crosses val="autoZero"/>
        <c:auto val="1"/>
        <c:lblAlgn val="ctr"/>
        <c:lblOffset val="100"/>
        <c:noMultiLvlLbl val="0"/>
      </c:catAx>
      <c:valAx>
        <c:axId val="127410176"/>
        <c:scaling>
          <c:orientation val="minMax"/>
          <c:max val="12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7392000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6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Eastland!$B$98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Eastland!$C$97:$F$97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Eastland!$C$98:$F$98</c:f>
              <c:numCache>
                <c:formatCode>General</c:formatCode>
                <c:ptCount val="4"/>
                <c:pt idx="0">
                  <c:v>24791</c:v>
                </c:pt>
                <c:pt idx="1">
                  <c:v>24882</c:v>
                </c:pt>
                <c:pt idx="2">
                  <c:v>25000</c:v>
                </c:pt>
                <c:pt idx="3">
                  <c:v>25065</c:v>
                </c:pt>
              </c:numCache>
            </c:numRef>
          </c:val>
        </c:ser>
        <c:ser>
          <c:idx val="1"/>
          <c:order val="1"/>
          <c:tx>
            <c:strRef>
              <c:f>Eastland!$B$99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Eastland!$C$97:$F$97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Eastland!$C$99:$F$99</c:f>
              <c:numCache>
                <c:formatCode>General</c:formatCode>
                <c:ptCount val="4"/>
                <c:pt idx="0">
                  <c:v>303</c:v>
                </c:pt>
                <c:pt idx="1">
                  <c:v>315</c:v>
                </c:pt>
                <c:pt idx="2">
                  <c:v>327</c:v>
                </c:pt>
                <c:pt idx="3">
                  <c:v>336</c:v>
                </c:pt>
              </c:numCache>
            </c:numRef>
          </c:val>
        </c:ser>
        <c:ser>
          <c:idx val="2"/>
          <c:order val="2"/>
          <c:tx>
            <c:strRef>
              <c:f>Eastland!$B$100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Eastland!$C$97:$F$97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Eastland!$C$100:$F$100</c:f>
              <c:numCache>
                <c:formatCode>General</c:formatCode>
                <c:ptCount val="4"/>
                <c:pt idx="0">
                  <c:v>97</c:v>
                </c:pt>
                <c:pt idx="1">
                  <c:v>98</c:v>
                </c:pt>
                <c:pt idx="2">
                  <c:v>100</c:v>
                </c:pt>
                <c:pt idx="3">
                  <c:v>108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440768"/>
        <c:axId val="127442304"/>
      </c:barChart>
      <c:catAx>
        <c:axId val="12744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7442304"/>
        <c:crosses val="autoZero"/>
        <c:auto val="1"/>
        <c:lblAlgn val="ctr"/>
        <c:lblOffset val="100"/>
        <c:noMultiLvlLbl val="0"/>
      </c:catAx>
      <c:valAx>
        <c:axId val="127442304"/>
        <c:scaling>
          <c:orientation val="minMax"/>
          <c:max val="2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7440768"/>
        <c:crosses val="autoZero"/>
        <c:crossBetween val="between"/>
        <c:majorUnit val="5000"/>
      </c:valAx>
    </c:plotArea>
    <c:legend>
      <c:legendPos val="t"/>
      <c:layout>
        <c:manualLayout>
          <c:xMode val="edge"/>
          <c:yMode val="edge"/>
          <c:x val="0"/>
          <c:y val="3.5277777777779185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Eastland!$B$209</c:f>
              <c:strCache>
                <c:ptCount val="1"/>
                <c:pt idx="0">
                  <c:v>Alpine Energy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Eastland!$C$204:$F$204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Eastland!$C$209:$F$209</c:f>
              <c:numCache>
                <c:formatCode>_(* #,##0.00_);_(* \(#,##0.00\);_(* "-"??_);_(@_)</c:formatCode>
                <c:ptCount val="4"/>
                <c:pt idx="0">
                  <c:v>16710.115878982077</c:v>
                </c:pt>
                <c:pt idx="1">
                  <c:v>14931.47653676401</c:v>
                </c:pt>
                <c:pt idx="2">
                  <c:v>18204.802015085941</c:v>
                </c:pt>
                <c:pt idx="3">
                  <c:v>18144.432233133623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Eastland!$B$210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43037352694495018"/>
                  <c:y val="-2.834222003270513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Eastland!$C$204:$F$204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070784"/>
        <c:axId val="128072320"/>
      </c:lineChart>
      <c:catAx>
        <c:axId val="1280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8072320"/>
        <c:crosses val="autoZero"/>
        <c:auto val="1"/>
        <c:lblAlgn val="ctr"/>
        <c:lblOffset val="100"/>
        <c:noMultiLvlLbl val="0"/>
      </c:catAx>
      <c:valAx>
        <c:axId val="128072320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8070784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75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Alpine!$B$72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Alpine!$C$69:$F$69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Alpine!$C$72:$F$72</c:f>
              <c:numCache>
                <c:formatCode>0</c:formatCode>
                <c:ptCount val="4"/>
                <c:pt idx="0">
                  <c:v>46083.435227474125</c:v>
                </c:pt>
                <c:pt idx="1">
                  <c:v>31661.88482394124</c:v>
                </c:pt>
                <c:pt idx="2">
                  <c:v>37297.63594534147</c:v>
                </c:pt>
                <c:pt idx="3">
                  <c:v>32695.13286713287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56800"/>
        <c:axId val="115358336"/>
      </c:lineChart>
      <c:catAx>
        <c:axId val="11535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15358336"/>
        <c:crosses val="autoZero"/>
        <c:auto val="1"/>
        <c:lblAlgn val="ctr"/>
        <c:lblOffset val="100"/>
        <c:noMultiLvlLbl val="0"/>
      </c:catAx>
      <c:valAx>
        <c:axId val="115358336"/>
        <c:scaling>
          <c:orientation val="minMax"/>
          <c:max val="50000"/>
          <c:min val="2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15356800"/>
        <c:crosses val="autoZero"/>
        <c:crossBetween val="midCat"/>
        <c:maj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1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Eastland!$C$204:$F$204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Eastland!$C$212:$F$212</c:f>
              <c:numCache>
                <c:formatCode>_(* #,##0.00_);_(* \(#,##0.00\);_(* "-"??_);_(@_)</c:formatCode>
                <c:ptCount val="4"/>
                <c:pt idx="0">
                  <c:v>4.1683479795950454E-2</c:v>
                </c:pt>
                <c:pt idx="1">
                  <c:v>3.6105301944670189E-2</c:v>
                </c:pt>
                <c:pt idx="2">
                  <c:v>4.3398799554485293E-2</c:v>
                </c:pt>
                <c:pt idx="3">
                  <c:v>4.2428108066165302E-2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Eastland!$C$204:$F$204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136320"/>
        <c:axId val="128137856"/>
      </c:lineChart>
      <c:catAx>
        <c:axId val="12813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8137856"/>
        <c:crosses val="autoZero"/>
        <c:auto val="1"/>
        <c:lblAlgn val="ctr"/>
        <c:lblOffset val="100"/>
        <c:noMultiLvlLbl val="0"/>
      </c:catAx>
      <c:valAx>
        <c:axId val="128137856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8136320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157"/>
          <c:w val="0.79809047321242665"/>
          <c:h val="0.72979551178440139"/>
        </c:manualLayout>
      </c:layout>
      <c:lineChart>
        <c:grouping val="standard"/>
        <c:varyColors val="0"/>
        <c:ser>
          <c:idx val="0"/>
          <c:order val="0"/>
          <c:tx>
            <c:strRef>
              <c:f>Eastland!$B$206</c:f>
              <c:strCache>
                <c:ptCount val="1"/>
                <c:pt idx="0">
                  <c:v>Alpine Energy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Eastland!$C$204:$F$204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Eastland!$C$206:$F$206</c:f>
              <c:numCache>
                <c:formatCode>_(* #,##0.00_);_(* \(#,##0.00\);_(* "-"??_);_(@_)</c:formatCode>
                <c:ptCount val="4"/>
                <c:pt idx="0">
                  <c:v>188.16322658172078</c:v>
                </c:pt>
                <c:pt idx="1">
                  <c:v>165.68481943766565</c:v>
                </c:pt>
                <c:pt idx="2">
                  <c:v>200.30579304315188</c:v>
                </c:pt>
                <c:pt idx="3">
                  <c:v>200.59575135219879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Eastland!$B$207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Eastland!$C$204:$F$204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186240"/>
        <c:axId val="128187776"/>
      </c:lineChart>
      <c:catAx>
        <c:axId val="12818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8187776"/>
        <c:crosses val="autoZero"/>
        <c:auto val="1"/>
        <c:lblAlgn val="ctr"/>
        <c:lblOffset val="100"/>
        <c:noMultiLvlLbl val="0"/>
      </c:catAx>
      <c:valAx>
        <c:axId val="128187776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8186240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347968359648258"/>
          <c:y val="0.13550222222222241"/>
          <c:w val="0.76254895297788416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Eastland!$B$162</c:f>
              <c:strCache>
                <c:ptCount val="1"/>
                <c:pt idx="0">
                  <c:v>Eastland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Eastland!$C$160:$F$160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Eastland!$C$162:$F$162</c:f>
              <c:numCache>
                <c:formatCode>_(* #,##0.00_);_(* \(#,##0.00\);_(* "-"??_);_(@_)</c:formatCode>
                <c:ptCount val="4"/>
                <c:pt idx="0">
                  <c:v>209.96652792815735</c:v>
                </c:pt>
                <c:pt idx="1">
                  <c:v>250.98911354635985</c:v>
                </c:pt>
                <c:pt idx="2">
                  <c:v>233.91710511579274</c:v>
                </c:pt>
                <c:pt idx="3">
                  <c:v>228.26683389511641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Eastland!$B$163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43955421588185489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Eastland!$C$160:$F$160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226432"/>
        <c:axId val="128227968"/>
      </c:lineChart>
      <c:catAx>
        <c:axId val="12822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8227968"/>
        <c:crosses val="autoZero"/>
        <c:auto val="1"/>
        <c:lblAlgn val="ctr"/>
        <c:lblOffset val="100"/>
        <c:noMultiLvlLbl val="0"/>
      </c:catAx>
      <c:valAx>
        <c:axId val="128227968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8226432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94357218820599"/>
          <c:y val="0.14255777777777778"/>
          <c:w val="0.7090850643861448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Eastland!$C$160:$F$160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Eastland!$C$165:$F$165</c:f>
              <c:numCache>
                <c:formatCode>_(* #,##0.00_);_(* \(#,##0.00\);_(* "-"??_);_(@_)</c:formatCode>
                <c:ptCount val="4"/>
                <c:pt idx="0">
                  <c:v>1448.2115077136198</c:v>
                </c:pt>
                <c:pt idx="1">
                  <c:v>1732.9859840792158</c:v>
                </c:pt>
                <c:pt idx="2">
                  <c:v>1624.6426039880869</c:v>
                </c:pt>
                <c:pt idx="3">
                  <c:v>1594.0310543743587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2340130127319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Eastland!$C$160:$F$160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873024"/>
        <c:axId val="127874560"/>
      </c:lineChart>
      <c:catAx>
        <c:axId val="12787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7874560"/>
        <c:crosses val="autoZero"/>
        <c:auto val="1"/>
        <c:lblAlgn val="ctr"/>
        <c:lblOffset val="100"/>
        <c:noMultiLvlLbl val="0"/>
      </c:catAx>
      <c:valAx>
        <c:axId val="127874560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27873024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42407595027189"/>
          <c:y val="0.13550222222222241"/>
          <c:w val="0.79260456062409024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Eastland!$B$168</c:f>
              <c:strCache>
                <c:ptCount val="1"/>
                <c:pt idx="0">
                  <c:v>Eastland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Eastland!$C$160:$F$160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Eastland!$C$168:$F$168</c:f>
              <c:numCache>
                <c:formatCode>_(* #,##0.00_);_(* \(#,##0.00\);_(* "-"??_);_(@_)</c:formatCode>
                <c:ptCount val="4"/>
                <c:pt idx="0">
                  <c:v>18.646390562734307</c:v>
                </c:pt>
                <c:pt idx="1">
                  <c:v>22.61907924105633</c:v>
                </c:pt>
                <c:pt idx="2">
                  <c:v>21.259567793217361</c:v>
                </c:pt>
                <c:pt idx="3">
                  <c:v>20.647357039032865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Eastland!$B$169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78649798676819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Eastland!$C$160:$F$160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25248"/>
        <c:axId val="127931136"/>
      </c:lineChart>
      <c:catAx>
        <c:axId val="12792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7931136"/>
        <c:crosses val="autoZero"/>
        <c:auto val="1"/>
        <c:lblAlgn val="ctr"/>
        <c:lblOffset val="100"/>
        <c:noMultiLvlLbl val="0"/>
      </c:catAx>
      <c:valAx>
        <c:axId val="127931136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7925248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613"/>
          <c:h val="0.7759916666666948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Eastland!$B$178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Eastland!$C$178:$D$178</c:f>
              <c:numCache>
                <c:formatCode>_-* #,##0_-;\-* #,##0_-;_-* "-"??_-;_-@_-</c:formatCode>
                <c:ptCount val="2"/>
                <c:pt idx="0">
                  <c:v>2171.1382070006193</c:v>
                </c:pt>
                <c:pt idx="1">
                  <c:v>2099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28589824"/>
        <c:axId val="128591360"/>
      </c:barChart>
      <c:lineChart>
        <c:grouping val="standard"/>
        <c:varyColors val="0"/>
        <c:ser>
          <c:idx val="1"/>
          <c:order val="0"/>
          <c:tx>
            <c:strRef>
              <c:f>Eastland!$B$179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Eastland!$C$177:$D$177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Eastland!$C$179:$D$179</c:f>
              <c:numCache>
                <c:formatCode>_-* #,##0_-;\-* #,##0_-;_-* "-"??_-;_-@_-</c:formatCode>
                <c:ptCount val="2"/>
                <c:pt idx="0">
                  <c:v>2244.7113667106787</c:v>
                </c:pt>
                <c:pt idx="1">
                  <c:v>2244.7113667106787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Eastland!$B$180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Eastland!$C$177:$D$177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Eastland!$C$180:$D$180</c:f>
              <c:numCache>
                <c:formatCode>_-* #,##0_-;\-* #,##0_-;_-* "-"??_-;_-@_-</c:formatCode>
                <c:ptCount val="2"/>
                <c:pt idx="1">
                  <c:v>2754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589824"/>
        <c:axId val="128591360"/>
      </c:lineChart>
      <c:catAx>
        <c:axId val="12858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8591360"/>
        <c:crosses val="autoZero"/>
        <c:auto val="1"/>
        <c:lblAlgn val="ctr"/>
        <c:lblOffset val="100"/>
        <c:noMultiLvlLbl val="0"/>
      </c:catAx>
      <c:valAx>
        <c:axId val="12859136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8589824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226"/>
          <c:y val="3.5277777777779212E-2"/>
          <c:w val="0.7717227593675045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Eastland!$V$177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11910032969754603"/>
                  <c:y val="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Eastland!$W$177:$AC$177</c:f>
              <c:numCache>
                <c:formatCode>General</c:formatCode>
                <c:ptCount val="7"/>
                <c:pt idx="0">
                  <c:v>2244.7113667106787</c:v>
                </c:pt>
                <c:pt idx="1">
                  <c:v>2244.7113667106787</c:v>
                </c:pt>
                <c:pt idx="2">
                  <c:v>2244.7113667106787</c:v>
                </c:pt>
                <c:pt idx="3">
                  <c:v>2244.7113667106787</c:v>
                </c:pt>
                <c:pt idx="4">
                  <c:v>2244.7113667106787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Eastland!$V$178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63966111111111801"/>
                  <c:y val="-0.1646296296296275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Eastland!$W$178:$AC$178</c:f>
              <c:numCache>
                <c:formatCode>General</c:formatCode>
                <c:ptCount val="7"/>
                <c:pt idx="1">
                  <c:v>2754</c:v>
                </c:pt>
                <c:pt idx="2">
                  <c:v>2754</c:v>
                </c:pt>
                <c:pt idx="3">
                  <c:v>2754</c:v>
                </c:pt>
                <c:pt idx="4">
                  <c:v>2554</c:v>
                </c:pt>
                <c:pt idx="5">
                  <c:v>2554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Eastland!$V$179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6.1764012145764463E-2"/>
                  <c:y val="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Eastland!$W$179:$AC$179</c:f>
              <c:numCache>
                <c:formatCode>General</c:formatCode>
                <c:ptCount val="7"/>
                <c:pt idx="2">
                  <c:v>2692.4043956043956</c:v>
                </c:pt>
                <c:pt idx="3">
                  <c:v>2692.4043956043956</c:v>
                </c:pt>
                <c:pt idx="4">
                  <c:v>2496.8775694893343</c:v>
                </c:pt>
                <c:pt idx="5">
                  <c:v>2496.8775694893343</c:v>
                </c:pt>
                <c:pt idx="6">
                  <c:v>2496.8775694893343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Eastland!$V$176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0616592478430115"/>
                  <c:y val="4.703649709161865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Eastland!$C$178:$I$178</c:f>
              <c:numCache>
                <c:formatCode>_-* #,##0_-;\-* #,##0_-;_-* "-"??_-;_-@_-</c:formatCode>
                <c:ptCount val="7"/>
                <c:pt idx="0">
                  <c:v>2171.1382070006193</c:v>
                </c:pt>
                <c:pt idx="1">
                  <c:v>2099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631936"/>
        <c:axId val="128633472"/>
      </c:lineChart>
      <c:catAx>
        <c:axId val="12863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8633472"/>
        <c:crosses val="autoZero"/>
        <c:auto val="1"/>
        <c:lblAlgn val="ctr"/>
        <c:lblOffset val="100"/>
        <c:noMultiLvlLbl val="0"/>
      </c:catAx>
      <c:valAx>
        <c:axId val="128633472"/>
        <c:scaling>
          <c:orientation val="minMax"/>
          <c:max val="3000"/>
          <c:min val="16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863193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6855"/>
          <c:h val="0.77578287037038796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Eastland!$B$222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Eastland!$C$222:$D$222</c:f>
              <c:numCache>
                <c:formatCode>_-* #,##0_-;\-* #,##0_-;_-* "-"??_-;_-@_-</c:formatCode>
                <c:ptCount val="2"/>
                <c:pt idx="0">
                  <c:v>4758.9800867667263</c:v>
                </c:pt>
                <c:pt idx="1">
                  <c:v>4606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28689664"/>
        <c:axId val="128691200"/>
      </c:barChart>
      <c:lineChart>
        <c:grouping val="standard"/>
        <c:varyColors val="0"/>
        <c:ser>
          <c:idx val="1"/>
          <c:order val="0"/>
          <c:tx>
            <c:strRef>
              <c:f>Eastland!$B$223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Eastland!$C$221:$D$221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Eastland!$C$223:$D$223</c:f>
              <c:numCache>
                <c:formatCode>_-* #,##0_-;\-* #,##0_-;_-* "-"??_-;_-@_-</c:formatCode>
                <c:ptCount val="2"/>
                <c:pt idx="0">
                  <c:v>5610.7264692409253</c:v>
                </c:pt>
                <c:pt idx="1">
                  <c:v>5899.0568834038413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Eastland!$B$224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Eastland!$C$221:$D$221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Eastland!$C$224:$D$224</c:f>
              <c:numCache>
                <c:formatCode>_-* #,##0_-;\-* #,##0_-;_-* "-"??_-;_-@_-</c:formatCode>
                <c:ptCount val="2"/>
                <c:pt idx="1">
                  <c:v>5277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689664"/>
        <c:axId val="128691200"/>
      </c:lineChart>
      <c:catAx>
        <c:axId val="12868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691200"/>
        <c:crosses val="autoZero"/>
        <c:auto val="1"/>
        <c:lblAlgn val="ctr"/>
        <c:lblOffset val="100"/>
        <c:noMultiLvlLbl val="0"/>
      </c:catAx>
      <c:valAx>
        <c:axId val="12869120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8689664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404E-3"/>
          <c:w val="0.90316284722220719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Eastland!$V$221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4591498784333275"/>
                  <c:y val="-0.2234259259259259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Eastland!$W$221:$AC$221</c:f>
              <c:numCache>
                <c:formatCode>General</c:formatCode>
                <c:ptCount val="7"/>
                <c:pt idx="0">
                  <c:v>5610.7264692409253</c:v>
                </c:pt>
                <c:pt idx="1">
                  <c:v>5899.0568834038413</c:v>
                </c:pt>
                <c:pt idx="2">
                  <c:v>6489.9814071299606</c:v>
                </c:pt>
                <c:pt idx="3">
                  <c:v>5557.7470291827212</c:v>
                </c:pt>
                <c:pt idx="4">
                  <c:v>5843.0209371884339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Eastland!$V$222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8.3862742172593971E-2"/>
                  <c:y val="3.527777777777876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Eastland!$W$222:$AC$222</c:f>
              <c:numCache>
                <c:formatCode>General</c:formatCode>
                <c:ptCount val="7"/>
                <c:pt idx="1">
                  <c:v>5277</c:v>
                </c:pt>
                <c:pt idx="2">
                  <c:v>5630</c:v>
                </c:pt>
                <c:pt idx="3">
                  <c:v>5575</c:v>
                </c:pt>
                <c:pt idx="4">
                  <c:v>5545</c:v>
                </c:pt>
                <c:pt idx="5">
                  <c:v>5575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Eastland!$V$223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3.7164517904956472E-2"/>
                  <c:y val="-4.703703703703881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Eastland!$W$223:$AC$223</c:f>
              <c:numCache>
                <c:formatCode>General</c:formatCode>
                <c:ptCount val="7"/>
                <c:pt idx="2">
                  <c:v>5779.7729799612152</c:v>
                </c:pt>
                <c:pt idx="3">
                  <c:v>5723.0702003878469</c:v>
                </c:pt>
                <c:pt idx="4">
                  <c:v>5692.7635423400125</c:v>
                </c:pt>
                <c:pt idx="5">
                  <c:v>5723.0702003878469</c:v>
                </c:pt>
                <c:pt idx="6">
                  <c:v>5758.2650290885585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Eastland!$V$220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1514690995142032"/>
                  <c:y val="4.70370104120885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Eastland!$W$220:$AC$220</c:f>
              <c:numCache>
                <c:formatCode>General</c:formatCode>
                <c:ptCount val="7"/>
                <c:pt idx="0">
                  <c:v>4758.9800867667263</c:v>
                </c:pt>
                <c:pt idx="1">
                  <c:v>4606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347136"/>
        <c:axId val="128381696"/>
      </c:lineChart>
      <c:catAx>
        <c:axId val="1283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8381696"/>
        <c:crosses val="autoZero"/>
        <c:auto val="1"/>
        <c:lblAlgn val="ctr"/>
        <c:lblOffset val="100"/>
        <c:noMultiLvlLbl val="0"/>
      </c:catAx>
      <c:valAx>
        <c:axId val="128381696"/>
        <c:scaling>
          <c:orientation val="minMax"/>
          <c:max val="7000"/>
          <c:min val="4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8347136"/>
        <c:crosses val="autoZero"/>
        <c:crossBetween val="midCat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394"/>
          <c:y val="6.4675925925925928E-2"/>
          <c:w val="0.7876379893423181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Eastland!$B$237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888897181675324E-3"/>
                  <c:y val="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Eastland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Eastland!$C$236:$F$236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Eastland!$C$237:$F$237</c:f>
              <c:numCache>
                <c:formatCode>_(* #,##0.00_);_(* \(#,##0.00\);_(* "-"??_);_(@_)</c:formatCode>
                <c:ptCount val="4"/>
                <c:pt idx="0">
                  <c:v>3.91</c:v>
                </c:pt>
                <c:pt idx="1">
                  <c:v>3.4</c:v>
                </c:pt>
                <c:pt idx="2">
                  <c:v>3.46</c:v>
                </c:pt>
                <c:pt idx="3">
                  <c:v>3.48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Eastland!$B$238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5890097703437694"/>
                  <c:y val="-3.527777777777881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Eastland!$C$238:$F$238</c:f>
              <c:numCache>
                <c:formatCode>_(* #,##0.00_);_(* \(#,##0.00\);_(* "-"??_);_(@_)</c:formatCode>
                <c:ptCount val="4"/>
                <c:pt idx="0">
                  <c:v>4.08</c:v>
                </c:pt>
                <c:pt idx="1">
                  <c:v>4.08</c:v>
                </c:pt>
                <c:pt idx="2">
                  <c:v>4.08</c:v>
                </c:pt>
                <c:pt idx="3">
                  <c:v>4.26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Eastland!$B$239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5643068100684E-3"/>
                  <c:y val="-5.87962962962978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Eastland!$C$236:$F$236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24576"/>
        <c:axId val="128450944"/>
      </c:lineChart>
      <c:catAx>
        <c:axId val="12842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8450944"/>
        <c:crosses val="autoZero"/>
        <c:auto val="1"/>
        <c:lblAlgn val="ctr"/>
        <c:lblOffset val="100"/>
        <c:noMultiLvlLbl val="0"/>
      </c:catAx>
      <c:valAx>
        <c:axId val="12845094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842457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2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Alpine!$B$28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Alpine!$C$25:$F$25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Alpine!$C$28:$F$28</c:f>
              <c:numCache>
                <c:formatCode>0</c:formatCode>
                <c:ptCount val="4"/>
                <c:pt idx="0">
                  <c:v>358.79125203159305</c:v>
                </c:pt>
                <c:pt idx="1">
                  <c:v>362.08739103576079</c:v>
                </c:pt>
                <c:pt idx="2">
                  <c:v>332.54786990380205</c:v>
                </c:pt>
                <c:pt idx="3">
                  <c:v>445.6</c:v>
                </c:pt>
              </c:numCache>
            </c:numRef>
          </c:val>
        </c:ser>
        <c:ser>
          <c:idx val="1"/>
          <c:order val="1"/>
          <c:tx>
            <c:strRef>
              <c:f>Alpine!$B$29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Alpine!$C$25:$F$25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Alpine!$C$29:$F$29</c:f>
              <c:numCache>
                <c:formatCode>0</c:formatCode>
                <c:ptCount val="4"/>
                <c:pt idx="0">
                  <c:v>207.85743206637963</c:v>
                </c:pt>
                <c:pt idx="1">
                  <c:v>200.14463587068425</c:v>
                </c:pt>
                <c:pt idx="2">
                  <c:v>215.99310177575379</c:v>
                </c:pt>
                <c:pt idx="3">
                  <c:v>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136896"/>
        <c:axId val="109142784"/>
      </c:barChart>
      <c:catAx>
        <c:axId val="1091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09142784"/>
        <c:crosses val="autoZero"/>
        <c:auto val="1"/>
        <c:lblAlgn val="ctr"/>
        <c:lblOffset val="100"/>
        <c:noMultiLvlLbl val="0"/>
      </c:catAx>
      <c:valAx>
        <c:axId val="109142784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09136896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Alpine!$B$73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Alpine!$C$69:$F$69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Alpine!$C$73:$F$73</c:f>
              <c:numCache>
                <c:formatCode>0</c:formatCode>
                <c:ptCount val="4"/>
                <c:pt idx="0">
                  <c:v>925871.17561518063</c:v>
                </c:pt>
                <c:pt idx="1">
                  <c:v>706527.17413686577</c:v>
                </c:pt>
                <c:pt idx="2">
                  <c:v>769628.25038398302</c:v>
                </c:pt>
                <c:pt idx="3">
                  <c:v>740271.79999999993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75104"/>
        <c:axId val="115393280"/>
      </c:lineChart>
      <c:catAx>
        <c:axId val="115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15393280"/>
        <c:crosses val="autoZero"/>
        <c:auto val="1"/>
        <c:lblAlgn val="ctr"/>
        <c:lblOffset val="100"/>
        <c:noMultiLvlLbl val="0"/>
      </c:catAx>
      <c:valAx>
        <c:axId val="115393280"/>
        <c:scaling>
          <c:orientation val="minMax"/>
          <c:max val="1000000"/>
          <c:min val="5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15375104"/>
        <c:crosses val="autoZero"/>
        <c:crossBetween val="midCat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3159722222223"/>
          <c:y val="6.4675925925925928E-2"/>
          <c:w val="0.76542083333335442"/>
          <c:h val="0.80984259259260005"/>
        </c:manualLayout>
      </c:layout>
      <c:lineChart>
        <c:grouping val="standard"/>
        <c:varyColors val="0"/>
        <c:ser>
          <c:idx val="1"/>
          <c:order val="0"/>
          <c:tx>
            <c:strRef>
              <c:f>Eastland!$B$230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3519444444444444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Eastland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Eastland!$C$230:$F$230</c:f>
              <c:numCache>
                <c:formatCode>_(* #,##0.00_);_(* \(#,##0.00\);_(* "-"??_);_(@_)</c:formatCode>
                <c:ptCount val="4"/>
                <c:pt idx="0">
                  <c:v>244.97</c:v>
                </c:pt>
                <c:pt idx="1">
                  <c:v>243.09</c:v>
                </c:pt>
                <c:pt idx="2">
                  <c:v>312.27</c:v>
                </c:pt>
                <c:pt idx="3">
                  <c:v>333.99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Eastland!$B$231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27777777777881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Eastland!$C$231:$F$231</c:f>
              <c:numCache>
                <c:formatCode>_(* #,##0.00_);_(* \(#,##0.00\);_(* "-"??_);_(@_)</c:formatCode>
                <c:ptCount val="4"/>
                <c:pt idx="0">
                  <c:v>377.59</c:v>
                </c:pt>
                <c:pt idx="1">
                  <c:v>377.59</c:v>
                </c:pt>
                <c:pt idx="2">
                  <c:v>377.59</c:v>
                </c:pt>
                <c:pt idx="3">
                  <c:v>302.38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Eastland!$B$232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879629629629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Eastland!$C$229:$F$229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Eastland!$C$232:$F$232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81536"/>
        <c:axId val="128516096"/>
      </c:lineChart>
      <c:catAx>
        <c:axId val="1284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8516096"/>
        <c:crosses val="autoZero"/>
        <c:auto val="1"/>
        <c:lblAlgn val="ctr"/>
        <c:lblOffset val="100"/>
        <c:noMultiLvlLbl val="0"/>
      </c:catAx>
      <c:valAx>
        <c:axId val="1285160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848153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11736111110656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Electra!$B$26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2192638888889868"/>
                  <c:y val="-0.3648583333333381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Electra!$C$26:$F$26</c:f>
              <c:numCache>
                <c:formatCode>0</c:formatCode>
                <c:ptCount val="4"/>
                <c:pt idx="0">
                  <c:v>1793.4387727752273</c:v>
                </c:pt>
                <c:pt idx="1">
                  <c:v>1815.4198091838832</c:v>
                </c:pt>
                <c:pt idx="2">
                  <c:v>1828.0817778325252</c:v>
                </c:pt>
                <c:pt idx="3">
                  <c:v>1908.0800000000004</c:v>
                </c:pt>
              </c:numCache>
            </c:numRef>
          </c:val>
        </c:ser>
        <c:ser>
          <c:idx val="1"/>
          <c:order val="1"/>
          <c:tx>
            <c:strRef>
              <c:f>Electra!$B$27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132213024092263"/>
                  <c:y val="-5.922892748092182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Electra!$C$27:$F$27</c:f>
              <c:numCache>
                <c:formatCode>0</c:formatCode>
                <c:ptCount val="4"/>
                <c:pt idx="0">
                  <c:v>622.70981722790896</c:v>
                </c:pt>
                <c:pt idx="1">
                  <c:v>594.6205779394603</c:v>
                </c:pt>
                <c:pt idx="2">
                  <c:v>619.45191452669019</c:v>
                </c:pt>
                <c:pt idx="3">
                  <c:v>648.00000000000011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348288"/>
        <c:axId val="126223104"/>
      </c:areaChart>
      <c:catAx>
        <c:axId val="12634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6223104"/>
        <c:crosses val="autoZero"/>
        <c:auto val="1"/>
        <c:lblAlgn val="ctr"/>
        <c:lblOffset val="100"/>
        <c:noMultiLvlLbl val="0"/>
      </c:catAx>
      <c:valAx>
        <c:axId val="126223104"/>
        <c:scaling>
          <c:orientation val="minMax"/>
          <c:max val="2500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6348288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2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Electra!$B$28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Electra!$C$25:$F$25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Electra!$C$28:$F$28</c:f>
              <c:numCache>
                <c:formatCode>0</c:formatCode>
                <c:ptCount val="4"/>
                <c:pt idx="0">
                  <c:v>454.52641783809975</c:v>
                </c:pt>
                <c:pt idx="1">
                  <c:v>450.11781179216132</c:v>
                </c:pt>
                <c:pt idx="2">
                  <c:v>467.03414082078081</c:v>
                </c:pt>
                <c:pt idx="3">
                  <c:v>493.60000000000008</c:v>
                </c:pt>
              </c:numCache>
            </c:numRef>
          </c:val>
        </c:ser>
        <c:ser>
          <c:idx val="1"/>
          <c:order val="1"/>
          <c:tx>
            <c:strRef>
              <c:f>Electra!$B$29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Electra!$C$25:$F$25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Electra!$C$29:$F$29</c:f>
              <c:numCache>
                <c:formatCode>0</c:formatCode>
                <c:ptCount val="4"/>
                <c:pt idx="0">
                  <c:v>168.18339938980921</c:v>
                </c:pt>
                <c:pt idx="1">
                  <c:v>144.50276614729901</c:v>
                </c:pt>
                <c:pt idx="2">
                  <c:v>152.41777370590933</c:v>
                </c:pt>
                <c:pt idx="3">
                  <c:v>154.40000000000003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260736"/>
        <c:axId val="126262272"/>
      </c:barChart>
      <c:catAx>
        <c:axId val="1262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6262272"/>
        <c:crosses val="autoZero"/>
        <c:auto val="1"/>
        <c:lblAlgn val="ctr"/>
        <c:lblOffset val="100"/>
        <c:noMultiLvlLbl val="0"/>
      </c:catAx>
      <c:valAx>
        <c:axId val="126262272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6260736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256"/>
          <c:w val="0.89745624999998486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Electra!$B$40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Electra!$C$39:$F$39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Electra!$C$40:$F$40</c:f>
              <c:numCache>
                <c:formatCode>0</c:formatCode>
                <c:ptCount val="4"/>
                <c:pt idx="0">
                  <c:v>19924.342334122208</c:v>
                </c:pt>
                <c:pt idx="1">
                  <c:v>19164.264122451776</c:v>
                </c:pt>
                <c:pt idx="2">
                  <c:v>20732.281264315159</c:v>
                </c:pt>
                <c:pt idx="3">
                  <c:v>28435.382000000001</c:v>
                </c:pt>
              </c:numCache>
            </c:numRef>
          </c:val>
        </c:ser>
        <c:ser>
          <c:idx val="1"/>
          <c:order val="1"/>
          <c:tx>
            <c:strRef>
              <c:f>Electra!$B$41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Electra!$C$39:$F$39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Electra!$C$41:$F$41</c:f>
              <c:numCache>
                <c:formatCode>0</c:formatCode>
                <c:ptCount val="4"/>
                <c:pt idx="0">
                  <c:v>946.57067092469561</c:v>
                </c:pt>
                <c:pt idx="1">
                  <c:v>903.1422884206188</c:v>
                </c:pt>
                <c:pt idx="2">
                  <c:v>1478.3301447010317</c:v>
                </c:pt>
                <c:pt idx="3">
                  <c:v>696</c:v>
                </c:pt>
              </c:numCache>
            </c:numRef>
          </c:val>
        </c:ser>
        <c:ser>
          <c:idx val="3"/>
          <c:order val="2"/>
          <c:tx>
            <c:strRef>
              <c:f>Electra!$B$42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Electra!$C$39:$F$39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Electra!$C$42:$F$42</c:f>
              <c:numCache>
                <c:formatCode>0</c:formatCode>
                <c:ptCount val="4"/>
                <c:pt idx="0">
                  <c:v>576.78281200992274</c:v>
                </c:pt>
                <c:pt idx="1">
                  <c:v>634.27579106321627</c:v>
                </c:pt>
                <c:pt idx="2">
                  <c:v>669.37484842768981</c:v>
                </c:pt>
                <c:pt idx="3">
                  <c:v>640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487232"/>
        <c:axId val="131488768"/>
      </c:barChart>
      <c:catAx>
        <c:axId val="1314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1488768"/>
        <c:crosses val="autoZero"/>
        <c:auto val="1"/>
        <c:lblAlgn val="ctr"/>
        <c:lblOffset val="100"/>
        <c:noMultiLvlLbl val="0"/>
      </c:catAx>
      <c:valAx>
        <c:axId val="13148876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1487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402"/>
          <c:h val="0.21171296296296768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23E-2"/>
          <c:y val="9.9262962962965245E-2"/>
          <c:w val="0.80176112499523156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Electra!$B$46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890094157810693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Electra!$C$46:$F$46</c:f>
              <c:numCache>
                <c:formatCode>0.0</c:formatCode>
                <c:ptCount val="4"/>
                <c:pt idx="0">
                  <c:v>100</c:v>
                </c:pt>
                <c:pt idx="1">
                  <c:v>96.185177914912998</c:v>
                </c:pt>
                <c:pt idx="2">
                  <c:v>104.05503437274959</c:v>
                </c:pt>
                <c:pt idx="3">
                  <c:v>142.71679096429637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Electra!$B$47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Electra!$C$45:$F$45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Electra!$C$47:$F$47</c:f>
              <c:numCache>
                <c:formatCode>0.0</c:formatCode>
                <c:ptCount val="4"/>
                <c:pt idx="0">
                  <c:v>100</c:v>
                </c:pt>
                <c:pt idx="1">
                  <c:v>95.412029567570272</c:v>
                </c:pt>
                <c:pt idx="2">
                  <c:v>156.17747201662877</c:v>
                </c:pt>
                <c:pt idx="3">
                  <c:v>73.528582849507103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Electra!$B$48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3327099010166373E-2"/>
                  <c:y val="1.711772479489015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Electra!$C$48:$F$48</c:f>
              <c:numCache>
                <c:formatCode>0.0</c:formatCode>
                <c:ptCount val="4"/>
                <c:pt idx="0">
                  <c:v>100</c:v>
                </c:pt>
                <c:pt idx="1">
                  <c:v>109.96787315019792</c:v>
                </c:pt>
                <c:pt idx="2">
                  <c:v>116.05318925768788</c:v>
                </c:pt>
                <c:pt idx="3">
                  <c:v>110.96031065311803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24096"/>
        <c:axId val="131525632"/>
      </c:lineChart>
      <c:catAx>
        <c:axId val="13152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1525632"/>
        <c:crossesAt val="0"/>
        <c:auto val="1"/>
        <c:lblAlgn val="ctr"/>
        <c:lblOffset val="100"/>
        <c:noMultiLvlLbl val="0"/>
      </c:catAx>
      <c:valAx>
        <c:axId val="131525632"/>
        <c:scaling>
          <c:orientation val="minMax"/>
          <c:max val="16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1524096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694"/>
          <c:h val="0.70204027777778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Electra!$B$54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Electra!$C$53:$F$53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Electra!$C$54:$F$54</c:f>
              <c:numCache>
                <c:formatCode>0</c:formatCode>
                <c:ptCount val="4"/>
                <c:pt idx="0">
                  <c:v>16446.395882638077</c:v>
                </c:pt>
                <c:pt idx="1">
                  <c:v>16094.618436406063</c:v>
                </c:pt>
                <c:pt idx="2">
                  <c:v>17531.100482336769</c:v>
                </c:pt>
                <c:pt idx="3">
                  <c:v>23678</c:v>
                </c:pt>
              </c:numCache>
            </c:numRef>
          </c:val>
        </c:ser>
        <c:ser>
          <c:idx val="2"/>
          <c:order val="1"/>
          <c:tx>
            <c:strRef>
              <c:f>Electra!$B$56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Electra!$C$53:$F$53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Electra!$C$56:$F$56</c:f>
              <c:numCache>
                <c:formatCode>0</c:formatCode>
                <c:ptCount val="4"/>
                <c:pt idx="0">
                  <c:v>2978.7867468848904</c:v>
                </c:pt>
                <c:pt idx="1">
                  <c:v>2663.7507035486296</c:v>
                </c:pt>
                <c:pt idx="2">
                  <c:v>2723.3469860688201</c:v>
                </c:pt>
                <c:pt idx="3">
                  <c:v>4077</c:v>
                </c:pt>
              </c:numCache>
            </c:numRef>
          </c:val>
        </c:ser>
        <c:ser>
          <c:idx val="3"/>
          <c:order val="2"/>
          <c:tx>
            <c:strRef>
              <c:f>Electra!$B$57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Electra!$C$53:$F$53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Electra!$C$57:$F$57</c:f>
              <c:numCache>
                <c:formatCode>0</c:formatCode>
                <c:ptCount val="4"/>
                <c:pt idx="0">
                  <c:v>499.15970459924148</c:v>
                </c:pt>
                <c:pt idx="1">
                  <c:v>405.89498249708271</c:v>
                </c:pt>
                <c:pt idx="2">
                  <c:v>477.83379590956855</c:v>
                </c:pt>
                <c:pt idx="3">
                  <c:v>680.38199999999995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6478208"/>
        <c:axId val="126479744"/>
      </c:barChart>
      <c:catAx>
        <c:axId val="12647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6479744"/>
        <c:crosses val="autoZero"/>
        <c:auto val="1"/>
        <c:lblAlgn val="ctr"/>
        <c:lblOffset val="100"/>
        <c:noMultiLvlLbl val="0"/>
      </c:catAx>
      <c:valAx>
        <c:axId val="12647974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6478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3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 orientation="portrait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2745341990076648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Electra!$B$61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58603409250189864"/>
                  <c:y val="0.5174074074074074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Electra!$C$61:$F$61</c:f>
              <c:numCache>
                <c:formatCode>0.0</c:formatCode>
                <c:ptCount val="4"/>
                <c:pt idx="0">
                  <c:v>100</c:v>
                </c:pt>
                <c:pt idx="1">
                  <c:v>97.8610666510626</c:v>
                </c:pt>
                <c:pt idx="2">
                  <c:v>106.59539395402599</c:v>
                </c:pt>
                <c:pt idx="3">
                  <c:v>143.97075303894448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Electra!$B$62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28393821881842E-6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Electra!$C$62:$F$62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Electra!$B$63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45825417135625324"/>
                  <c:y val="0.6467592592592710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Electra!$C$63:$F$63</c:f>
              <c:numCache>
                <c:formatCode>0.0</c:formatCode>
                <c:ptCount val="4"/>
                <c:pt idx="0">
                  <c:v>100</c:v>
                </c:pt>
                <c:pt idx="1">
                  <c:v>89.424014872306174</c:v>
                </c:pt>
                <c:pt idx="2">
                  <c:v>91.424704669335583</c:v>
                </c:pt>
                <c:pt idx="3">
                  <c:v>136.86780378835718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Electra!$B$64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070932832247849"/>
                  <c:y val="0.5350462962962966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Electra!$C$64:$F$64</c:f>
              <c:numCache>
                <c:formatCode>0.0</c:formatCode>
                <c:ptCount val="4"/>
                <c:pt idx="0">
                  <c:v>100</c:v>
                </c:pt>
                <c:pt idx="1">
                  <c:v>81.315654840961599</c:v>
                </c:pt>
                <c:pt idx="2">
                  <c:v>95.727638170073277</c:v>
                </c:pt>
                <c:pt idx="3">
                  <c:v>136.3054737253392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2976"/>
        <c:axId val="131281664"/>
      </c:lineChart>
      <c:catAx>
        <c:axId val="1315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1281664"/>
        <c:crosses val="autoZero"/>
        <c:auto val="1"/>
        <c:lblAlgn val="ctr"/>
        <c:lblOffset val="100"/>
        <c:noMultiLvlLbl val="0"/>
      </c:catAx>
      <c:valAx>
        <c:axId val="131281664"/>
        <c:scaling>
          <c:orientation val="minMax"/>
          <c:max val="150"/>
          <c:min val="8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1582976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685E-2"/>
          <c:y val="5.1489936964064897E-2"/>
          <c:w val="0.84459131069340321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Electra!$B$84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161744022504438E-5"/>
                  <c:y val="-2.80593743773660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Electra!$C$84:$F$84</c:f>
              <c:numCache>
                <c:formatCode>0.00</c:formatCode>
                <c:ptCount val="4"/>
                <c:pt idx="0">
                  <c:v>5.5099757047741509</c:v>
                </c:pt>
                <c:pt idx="1">
                  <c:v>5.298988719061688</c:v>
                </c:pt>
                <c:pt idx="2">
                  <c:v>5.6244226689905457</c:v>
                </c:pt>
                <c:pt idx="3">
                  <c:v>7.8671822409940066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Electra!$B$86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655070927428634E-5"/>
                  <c:y val="-4.11576011157601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Electra!$C$86:$F$86</c:f>
              <c:numCache>
                <c:formatCode>0.00</c:formatCode>
                <c:ptCount val="4"/>
                <c:pt idx="0">
                  <c:v>3.3358568658001366</c:v>
                </c:pt>
                <c:pt idx="1">
                  <c:v>3.1393644119606714</c:v>
                </c:pt>
                <c:pt idx="2">
                  <c:v>3.0806744110008033</c:v>
                </c:pt>
                <c:pt idx="3">
                  <c:v>4.339579862463312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Electra!$B$87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9167980137533891E-5"/>
                  <c:y val="4.70372584180118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Electra!$C$87:$F$87</c:f>
              <c:numCache>
                <c:formatCode>0.00</c:formatCode>
                <c:ptCount val="4"/>
                <c:pt idx="0">
                  <c:v>3.4219490272108142</c:v>
                </c:pt>
                <c:pt idx="1">
                  <c:v>3.1611758761455042</c:v>
                </c:pt>
                <c:pt idx="2">
                  <c:v>2.9898247773092761</c:v>
                </c:pt>
                <c:pt idx="3">
                  <c:v>4.3142738711873641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2736"/>
        <c:axId val="131359104"/>
      </c:lineChart>
      <c:catAx>
        <c:axId val="1313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1359104"/>
        <c:crosses val="autoZero"/>
        <c:auto val="1"/>
        <c:lblAlgn val="ctr"/>
        <c:lblOffset val="100"/>
        <c:noMultiLvlLbl val="0"/>
      </c:catAx>
      <c:valAx>
        <c:axId val="13135910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133273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29986E-2"/>
          <c:y val="5.8338380979806134E-2"/>
          <c:w val="0.83883540276753665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Electra!$B$90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737776122814E-3"/>
                  <c:y val="-2.753536561068033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Electra!$C$90:$F$90</c:f>
              <c:numCache>
                <c:formatCode>0.0</c:formatCode>
                <c:ptCount val="4"/>
                <c:pt idx="0">
                  <c:v>100</c:v>
                </c:pt>
                <c:pt idx="1">
                  <c:v>96.170818221037663</c:v>
                </c:pt>
                <c:pt idx="2">
                  <c:v>102.07708654898843</c:v>
                </c:pt>
                <c:pt idx="3">
                  <c:v>142.78070653156311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Electra!$B$91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6698344327006E-3"/>
                  <c:y val="-3.48316397688782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Electra!$C$91:$F$91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Electra!$B$92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201089397533416E-3"/>
                  <c:y val="-2.210201235305835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Electra!$C$92:$F$92</c:f>
              <c:numCache>
                <c:formatCode>0.0</c:formatCode>
                <c:ptCount val="4"/>
                <c:pt idx="0">
                  <c:v>100</c:v>
                </c:pt>
                <c:pt idx="1">
                  <c:v>94.109685704625264</c:v>
                </c:pt>
                <c:pt idx="2">
                  <c:v>92.350317622572049</c:v>
                </c:pt>
                <c:pt idx="3">
                  <c:v>130.08891079690923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Electra!$B$93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737776122814E-3"/>
                  <c:y val="0.12919705120541938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Electra!$C$93:$F$93</c:f>
              <c:numCache>
                <c:formatCode>0.0</c:formatCode>
                <c:ptCount val="4"/>
                <c:pt idx="0">
                  <c:v>100</c:v>
                </c:pt>
                <c:pt idx="1">
                  <c:v>92.379396975475615</c:v>
                </c:pt>
                <c:pt idx="2">
                  <c:v>87.371984606861403</c:v>
                </c:pt>
                <c:pt idx="3">
                  <c:v>126.07650893923082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78560"/>
        <c:axId val="131429504"/>
      </c:lineChart>
      <c:catAx>
        <c:axId val="13137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1429504"/>
        <c:crosses val="autoZero"/>
        <c:auto val="1"/>
        <c:lblAlgn val="ctr"/>
        <c:lblOffset val="100"/>
        <c:noMultiLvlLbl val="0"/>
      </c:catAx>
      <c:valAx>
        <c:axId val="131429504"/>
        <c:scaling>
          <c:orientation val="minMax"/>
          <c:max val="15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137856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834364860253561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Electra!$B$120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5057576146579001E-4"/>
                  <c:y val="2.351851851851846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Electra!$C$120:$F$120</c:f>
              <c:numCache>
                <c:formatCode>0.0</c:formatCode>
                <c:ptCount val="4"/>
                <c:pt idx="0">
                  <c:v>100</c:v>
                </c:pt>
                <c:pt idx="1">
                  <c:v>101.75754814328405</c:v>
                </c:pt>
                <c:pt idx="2">
                  <c:v>104.42636791251792</c:v>
                </c:pt>
                <c:pt idx="3">
                  <c:v>100.833478511411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Electra!$B$121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801338294663E-3"/>
                  <c:y val="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Electra!$C$121:$F$121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Electra!$B$122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729081591939959E-4"/>
                  <c:y val="-5.879629629629784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Electra!$C$122:$F$122</c:f>
              <c:numCache>
                <c:formatCode>0.0</c:formatCode>
                <c:ptCount val="4"/>
                <c:pt idx="0">
                  <c:v>100</c:v>
                </c:pt>
                <c:pt idx="1">
                  <c:v>95.021053574628198</c:v>
                </c:pt>
                <c:pt idx="2">
                  <c:v>98.997715463178636</c:v>
                </c:pt>
                <c:pt idx="3">
                  <c:v>105.2109691363555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Electra!$B$123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097175893961748E-6"/>
                  <c:y val="-4.177680311890838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800"/>
                      <a:t>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Electra!$C$123:$F$123</c:f>
              <c:numCache>
                <c:formatCode>0.0</c:formatCode>
                <c:ptCount val="4"/>
                <c:pt idx="0">
                  <c:v>100</c:v>
                </c:pt>
                <c:pt idx="1">
                  <c:v>88.023582642078566</c:v>
                </c:pt>
                <c:pt idx="2">
                  <c:v>109.56330979639407</c:v>
                </c:pt>
                <c:pt idx="3">
                  <c:v>108.11329951326523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62912"/>
        <c:axId val="131864448"/>
      </c:lineChart>
      <c:catAx>
        <c:axId val="13186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1864448"/>
        <c:crosses val="autoZero"/>
        <c:auto val="1"/>
        <c:lblAlgn val="ctr"/>
        <c:lblOffset val="100"/>
        <c:noMultiLvlLbl val="0"/>
      </c:catAx>
      <c:valAx>
        <c:axId val="131864448"/>
        <c:scaling>
          <c:orientation val="minMax"/>
          <c:max val="115"/>
          <c:min val="8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1862912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9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Alpine!$B$105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09470824708421E-4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Alpine!$C$105:$F$105</c:f>
              <c:numCache>
                <c:formatCode>0.0</c:formatCode>
                <c:ptCount val="4"/>
                <c:pt idx="0">
                  <c:v>100</c:v>
                </c:pt>
                <c:pt idx="1">
                  <c:v>122.27488151658767</c:v>
                </c:pt>
                <c:pt idx="2">
                  <c:v>143.8388625592417</c:v>
                </c:pt>
                <c:pt idx="3">
                  <c:v>169.37203791469196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Alpine!$B$106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6345880107826841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Alpine!$C$106:$F$106</c:f>
              <c:numCache>
                <c:formatCode>0.0</c:formatCode>
                <c:ptCount val="4"/>
                <c:pt idx="0">
                  <c:v>100</c:v>
                </c:pt>
                <c:pt idx="1">
                  <c:v>98.734562036861107</c:v>
                </c:pt>
                <c:pt idx="2">
                  <c:v>97.305719171575149</c:v>
                </c:pt>
                <c:pt idx="3">
                  <c:v>94.850845525365756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Alpine!$B$107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639077319345767E-5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Alpine!$C$107:$F$107</c:f>
              <c:numCache>
                <c:formatCode>0.0</c:formatCode>
                <c:ptCount val="4"/>
                <c:pt idx="0">
                  <c:v>100</c:v>
                </c:pt>
                <c:pt idx="1">
                  <c:v>99.346405228758172</c:v>
                </c:pt>
                <c:pt idx="2">
                  <c:v>96.732026143790847</c:v>
                </c:pt>
                <c:pt idx="3">
                  <c:v>93.464052287581694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06176"/>
        <c:axId val="115524352"/>
      </c:lineChart>
      <c:catAx>
        <c:axId val="1155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5524352"/>
        <c:crosses val="autoZero"/>
        <c:auto val="1"/>
        <c:lblAlgn val="ctr"/>
        <c:lblOffset val="100"/>
        <c:noMultiLvlLbl val="0"/>
      </c:catAx>
      <c:valAx>
        <c:axId val="115524352"/>
        <c:scaling>
          <c:orientation val="minMax"/>
          <c:max val="18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5506176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612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Electra!$B$113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Electra!$C$112:$F$112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Electra!$C$113:$F$113</c:f>
              <c:numCache>
                <c:formatCode>General</c:formatCode>
                <c:ptCount val="4"/>
                <c:pt idx="0">
                  <c:v>298484</c:v>
                </c:pt>
                <c:pt idx="1">
                  <c:v>303730</c:v>
                </c:pt>
                <c:pt idx="2">
                  <c:v>311696</c:v>
                </c:pt>
                <c:pt idx="3">
                  <c:v>300971.8</c:v>
                </c:pt>
              </c:numCache>
            </c:numRef>
          </c:val>
        </c:ser>
        <c:ser>
          <c:idx val="2"/>
          <c:order val="1"/>
          <c:tx>
            <c:strRef>
              <c:f>Electra!$B$115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Electra!$C$112:$F$112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Electra!$C$115:$F$115</c:f>
              <c:numCache>
                <c:formatCode>General</c:formatCode>
                <c:ptCount val="4"/>
                <c:pt idx="0">
                  <c:v>89296</c:v>
                </c:pt>
                <c:pt idx="1">
                  <c:v>84850</c:v>
                </c:pt>
                <c:pt idx="2">
                  <c:v>88401</c:v>
                </c:pt>
                <c:pt idx="3">
                  <c:v>93949.187000000005</c:v>
                </c:pt>
              </c:numCache>
            </c:numRef>
          </c:val>
        </c:ser>
        <c:ser>
          <c:idx val="3"/>
          <c:order val="2"/>
          <c:tx>
            <c:strRef>
              <c:f>Electra!$B$116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Electra!$C$112:$F$112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Electra!$C$116:$F$116</c:f>
              <c:numCache>
                <c:formatCode>General</c:formatCode>
                <c:ptCount val="4"/>
                <c:pt idx="0">
                  <c:v>14587</c:v>
                </c:pt>
                <c:pt idx="1">
                  <c:v>12840</c:v>
                </c:pt>
                <c:pt idx="2">
                  <c:v>15982</c:v>
                </c:pt>
                <c:pt idx="3">
                  <c:v>15770.486999999999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907584"/>
        <c:axId val="131909120"/>
      </c:barChart>
      <c:catAx>
        <c:axId val="13190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1909120"/>
        <c:crosses val="autoZero"/>
        <c:auto val="1"/>
        <c:lblAlgn val="ctr"/>
        <c:lblOffset val="100"/>
        <c:noMultiLvlLbl val="0"/>
      </c:catAx>
      <c:valAx>
        <c:axId val="13190912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1907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Electra!$U$138:$U$144</c:f>
              <c:strCache>
                <c:ptCount val="7"/>
                <c:pt idx="0">
                  <c:v>General management, admin and overheads</c:v>
                </c:pt>
                <c:pt idx="1">
                  <c:v>Routine and preventative maintenance</c:v>
                </c:pt>
                <c:pt idx="2">
                  <c:v>Fault and emergency maintenance</c:v>
                </c:pt>
                <c:pt idx="3">
                  <c:v>System management and operations</c:v>
                </c:pt>
                <c:pt idx="4">
                  <c:v>Refurbishment and renewal maintenance</c:v>
                </c:pt>
                <c:pt idx="5">
                  <c:v>Other</c:v>
                </c:pt>
                <c:pt idx="6">
                  <c:v>Pass-through costs</c:v>
                </c:pt>
              </c:strCache>
            </c:strRef>
          </c:cat>
          <c:val>
            <c:numRef>
              <c:f>Electra!$V$138:$V$144</c:f>
              <c:numCache>
                <c:formatCode>General</c:formatCode>
                <c:ptCount val="7"/>
                <c:pt idx="0">
                  <c:v>2290</c:v>
                </c:pt>
                <c:pt idx="1">
                  <c:v>1838</c:v>
                </c:pt>
                <c:pt idx="2">
                  <c:v>1445</c:v>
                </c:pt>
                <c:pt idx="3">
                  <c:v>1247</c:v>
                </c:pt>
                <c:pt idx="4">
                  <c:v>619</c:v>
                </c:pt>
                <c:pt idx="5">
                  <c:v>219</c:v>
                </c:pt>
                <c:pt idx="6">
                  <c:v>120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32011520"/>
        <c:axId val="132013056"/>
      </c:barChart>
      <c:catAx>
        <c:axId val="132011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2013056"/>
        <c:crosses val="autoZero"/>
        <c:auto val="1"/>
        <c:lblAlgn val="ctr"/>
        <c:lblOffset val="100"/>
        <c:noMultiLvlLbl val="0"/>
      </c:catAx>
      <c:valAx>
        <c:axId val="132013056"/>
        <c:scaling>
          <c:orientation val="minMax"/>
          <c:max val="25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2011520"/>
        <c:crosses val="autoZero"/>
        <c:crossBetween val="between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04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Electra!$U$186:$U$191</c:f>
              <c:strCache>
                <c:ptCount val="6"/>
                <c:pt idx="0">
                  <c:v>System growth</c:v>
                </c:pt>
                <c:pt idx="1">
                  <c:v>Asset replacement and renewal</c:v>
                </c:pt>
                <c:pt idx="2">
                  <c:v>Reliability, safety and environment</c:v>
                </c:pt>
                <c:pt idx="3">
                  <c:v>Asset relocations</c:v>
                </c:pt>
                <c:pt idx="4">
                  <c:v>Non-network capex</c:v>
                </c:pt>
                <c:pt idx="5">
                  <c:v>Customer connection</c:v>
                </c:pt>
              </c:strCache>
            </c:strRef>
          </c:cat>
          <c:val>
            <c:numRef>
              <c:f>Electra!$V$186:$V$191</c:f>
              <c:numCache>
                <c:formatCode>General</c:formatCode>
                <c:ptCount val="6"/>
                <c:pt idx="0">
                  <c:v>2.5289999999999999</c:v>
                </c:pt>
                <c:pt idx="1">
                  <c:v>2.1110000000000002</c:v>
                </c:pt>
                <c:pt idx="2">
                  <c:v>0.873</c:v>
                </c:pt>
                <c:pt idx="3">
                  <c:v>0.217</c:v>
                </c:pt>
                <c:pt idx="4">
                  <c:v>0.159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32029056"/>
        <c:axId val="132047232"/>
      </c:barChart>
      <c:catAx>
        <c:axId val="132029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2047232"/>
        <c:crosses val="autoZero"/>
        <c:auto val="1"/>
        <c:lblAlgn val="ctr"/>
        <c:lblOffset val="100"/>
        <c:noMultiLvlLbl val="0"/>
      </c:catAx>
      <c:valAx>
        <c:axId val="132047232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20290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220743409786635"/>
          <c:h val="0.82404629629630821"/>
        </c:manualLayout>
      </c:layout>
      <c:lineChart>
        <c:grouping val="standard"/>
        <c:varyColors val="0"/>
        <c:ser>
          <c:idx val="0"/>
          <c:order val="0"/>
          <c:tx>
            <c:strRef>
              <c:f>Electra!$B$76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5.3895982327288575E-17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Electra!$C$76:$F$76</c:f>
              <c:numCache>
                <c:formatCode>0.0</c:formatCode>
                <c:ptCount val="4"/>
                <c:pt idx="0">
                  <c:v>100</c:v>
                </c:pt>
                <c:pt idx="1">
                  <c:v>96.876682191084797</c:v>
                </c:pt>
                <c:pt idx="2">
                  <c:v>104.40478069996469</c:v>
                </c:pt>
                <c:pt idx="3">
                  <c:v>140.07706234646105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Electra!$B$77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0370370370388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Electra!$C$77:$F$77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Electra!$B$78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8796296296297883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Electra!$C$78:$F$78</c:f>
              <c:numCache>
                <c:formatCode>0.0</c:formatCode>
                <c:ptCount val="4"/>
                <c:pt idx="0">
                  <c:v>100</c:v>
                </c:pt>
                <c:pt idx="1">
                  <c:v>126.75854108149403</c:v>
                </c:pt>
                <c:pt idx="2">
                  <c:v>129.59451886878321</c:v>
                </c:pt>
                <c:pt idx="3">
                  <c:v>194.01011186999634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Electra!$B$79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5.29166666666668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Electra!$C$79:$F$79</c:f>
              <c:numCache>
                <c:formatCode>0.0</c:formatCode>
                <c:ptCount val="4"/>
                <c:pt idx="0">
                  <c:v>100</c:v>
                </c:pt>
                <c:pt idx="1">
                  <c:v>81.315654840961599</c:v>
                </c:pt>
                <c:pt idx="2">
                  <c:v>95.727638170073305</c:v>
                </c:pt>
                <c:pt idx="3">
                  <c:v>136.3054737253392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107648"/>
        <c:axId val="132125824"/>
      </c:lineChart>
      <c:catAx>
        <c:axId val="13210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2125824"/>
        <c:crosses val="autoZero"/>
        <c:auto val="1"/>
        <c:lblAlgn val="ctr"/>
        <c:lblOffset val="100"/>
        <c:noMultiLvlLbl val="0"/>
      </c:catAx>
      <c:valAx>
        <c:axId val="132125824"/>
        <c:scaling>
          <c:orientation val="minMax"/>
          <c:max val="2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21076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22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374"/>
          <c:y val="0.16445370370370369"/>
          <c:w val="0.7033004190798211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Electra!$B$70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Electra!$C$69:$F$69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Electra!$C$70:$F$70</c:f>
              <c:numCache>
                <c:formatCode>0</c:formatCode>
                <c:ptCount val="4"/>
                <c:pt idx="0">
                  <c:v>401.71948907274248</c:v>
                </c:pt>
                <c:pt idx="1">
                  <c:v>389.17251272865036</c:v>
                </c:pt>
                <c:pt idx="2">
                  <c:v>419.41435159541538</c:v>
                </c:pt>
                <c:pt idx="3">
                  <c:v>562.7168591663102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158208"/>
        <c:axId val="132159744"/>
      </c:lineChart>
      <c:catAx>
        <c:axId val="13215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2159744"/>
        <c:crosses val="autoZero"/>
        <c:auto val="1"/>
        <c:lblAlgn val="ctr"/>
        <c:lblOffset val="100"/>
        <c:noMultiLvlLbl val="0"/>
      </c:catAx>
      <c:valAx>
        <c:axId val="132159744"/>
        <c:scaling>
          <c:orientation val="minMax"/>
          <c:max val="750"/>
          <c:min val="25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32158208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7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Electra!$B$72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Electra!$C$69:$F$69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Electra!$C$72:$F$72</c:f>
              <c:numCache>
                <c:formatCode>0</c:formatCode>
                <c:ptCount val="4"/>
                <c:pt idx="0">
                  <c:v>5253.5921461814642</c:v>
                </c:pt>
                <c:pt idx="1">
                  <c:v>6659.3767588715746</c:v>
                </c:pt>
                <c:pt idx="2">
                  <c:v>6808.3674651720503</c:v>
                </c:pt>
                <c:pt idx="3">
                  <c:v>10192.5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180224"/>
        <c:axId val="131670016"/>
      </c:lineChart>
      <c:catAx>
        <c:axId val="13218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1670016"/>
        <c:crosses val="autoZero"/>
        <c:auto val="1"/>
        <c:lblAlgn val="ctr"/>
        <c:lblOffset val="100"/>
        <c:noMultiLvlLbl val="0"/>
      </c:catAx>
      <c:valAx>
        <c:axId val="131670016"/>
        <c:scaling>
          <c:orientation val="minMax"/>
          <c:max val="15000"/>
          <c:min val="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321802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Electra!$B$73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Electra!$C$69:$F$69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Electra!$C$73:$F$73</c:f>
              <c:numCache>
                <c:formatCode>0</c:formatCode>
                <c:ptCount val="4"/>
                <c:pt idx="0">
                  <c:v>99831.94091984829</c:v>
                </c:pt>
                <c:pt idx="1">
                  <c:v>81178.996499416535</c:v>
                </c:pt>
                <c:pt idx="2">
                  <c:v>95566.759181913716</c:v>
                </c:pt>
                <c:pt idx="3">
                  <c:v>136076.39999999997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98688"/>
        <c:axId val="131700224"/>
      </c:lineChart>
      <c:catAx>
        <c:axId val="13169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1700224"/>
        <c:crosses val="autoZero"/>
        <c:auto val="1"/>
        <c:lblAlgn val="ctr"/>
        <c:lblOffset val="100"/>
        <c:noMultiLvlLbl val="0"/>
      </c:catAx>
      <c:valAx>
        <c:axId val="131700224"/>
        <c:scaling>
          <c:orientation val="minMax"/>
          <c:max val="150000"/>
          <c:min val="5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31698688"/>
        <c:crosses val="autoZero"/>
        <c:crossBetween val="midCat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87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Electra!$B$105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09470824708421E-4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Electra!$C$105:$F$105</c:f>
              <c:numCache>
                <c:formatCode>0.0</c:formatCode>
                <c:ptCount val="4"/>
                <c:pt idx="0">
                  <c:v>100</c:v>
                </c:pt>
                <c:pt idx="1">
                  <c:v>101.01612115290671</c:v>
                </c:pt>
                <c:pt idx="2">
                  <c:v>102.0981924767953</c:v>
                </c:pt>
                <c:pt idx="3">
                  <c:v>102.77967757694186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Electra!$B$106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1.7697591513781495E-2"/>
                  <c:y val="-9.407407407407426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Electra!$C$106:$F$106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Electra!$B$107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7113129532976496E-4"/>
                  <c:y val="-3.749583333333324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Electra!$C$107:$F$107</c:f>
              <c:numCache>
                <c:formatCode>0.0</c:formatCode>
                <c:ptCount val="4"/>
                <c:pt idx="0">
                  <c:v>100</c:v>
                </c:pt>
                <c:pt idx="1">
                  <c:v>70.546737213403873</c:v>
                </c:pt>
                <c:pt idx="2">
                  <c:v>70.546737213403873</c:v>
                </c:pt>
                <c:pt idx="3">
                  <c:v>70.546737213403873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68704"/>
        <c:axId val="131770240"/>
      </c:lineChart>
      <c:catAx>
        <c:axId val="1317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1770240"/>
        <c:crosses val="autoZero"/>
        <c:auto val="1"/>
        <c:lblAlgn val="ctr"/>
        <c:lblOffset val="100"/>
        <c:noMultiLvlLbl val="0"/>
      </c:catAx>
      <c:valAx>
        <c:axId val="131770240"/>
        <c:scaling>
          <c:orientation val="minMax"/>
          <c:max val="11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176870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5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Electra!$B$98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Electra!$C$97:$F$97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Electra!$C$98:$F$98</c:f>
              <c:numCache>
                <c:formatCode>General</c:formatCode>
                <c:ptCount val="4"/>
                <c:pt idx="0">
                  <c:v>40940</c:v>
                </c:pt>
                <c:pt idx="1">
                  <c:v>41356</c:v>
                </c:pt>
                <c:pt idx="2">
                  <c:v>41799</c:v>
                </c:pt>
                <c:pt idx="3">
                  <c:v>42078</c:v>
                </c:pt>
              </c:numCache>
            </c:numRef>
          </c:val>
        </c:ser>
        <c:ser>
          <c:idx val="2"/>
          <c:order val="1"/>
          <c:tx>
            <c:strRef>
              <c:f>Electra!$B$100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Electra!$C$97:$F$97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Electra!$C$100:$F$100</c:f>
              <c:numCache>
                <c:formatCode>General</c:formatCode>
                <c:ptCount val="4"/>
                <c:pt idx="0">
                  <c:v>567</c:v>
                </c:pt>
                <c:pt idx="1">
                  <c:v>400</c:v>
                </c:pt>
                <c:pt idx="2">
                  <c:v>400</c:v>
                </c:pt>
                <c:pt idx="3">
                  <c:v>400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807872"/>
        <c:axId val="131813760"/>
      </c:barChart>
      <c:catAx>
        <c:axId val="13180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1813760"/>
        <c:crosses val="autoZero"/>
        <c:auto val="1"/>
        <c:lblAlgn val="ctr"/>
        <c:lblOffset val="100"/>
        <c:noMultiLvlLbl val="0"/>
      </c:catAx>
      <c:valAx>
        <c:axId val="131813760"/>
        <c:scaling>
          <c:orientation val="minMax"/>
          <c:max val="5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1807872"/>
        <c:crosses val="autoZero"/>
        <c:crossBetween val="between"/>
        <c:majorUnit val="10000"/>
      </c:valAx>
    </c:plotArea>
    <c:legend>
      <c:legendPos val="t"/>
      <c:layout>
        <c:manualLayout>
          <c:xMode val="edge"/>
          <c:yMode val="edge"/>
          <c:x val="0"/>
          <c:y val="3.5277777777779212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Electra!$B$209</c:f>
              <c:strCache>
                <c:ptCount val="1"/>
                <c:pt idx="0">
                  <c:v>Alpine Energy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Electra!$C$204:$F$204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Electra!$C$209:$F$209</c:f>
              <c:numCache>
                <c:formatCode>_(* #,##0.00_);_(* \(#,##0.00\);_(* "-"??_);_(@_)</c:formatCode>
                <c:ptCount val="4"/>
                <c:pt idx="0">
                  <c:v>23318.744102439035</c:v>
                </c:pt>
                <c:pt idx="1">
                  <c:v>20455.702661892508</c:v>
                </c:pt>
                <c:pt idx="2">
                  <c:v>15311.461686360048</c:v>
                </c:pt>
                <c:pt idx="3">
                  <c:v>14339.231205953889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Electra!$B$210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cat>
            <c:numRef>
              <c:f>Electra!$C$204:$F$204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43584"/>
        <c:axId val="131845120"/>
      </c:lineChart>
      <c:catAx>
        <c:axId val="13184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1845120"/>
        <c:crosses val="autoZero"/>
        <c:auto val="1"/>
        <c:lblAlgn val="ctr"/>
        <c:lblOffset val="100"/>
        <c:noMultiLvlLbl val="0"/>
      </c:catAx>
      <c:valAx>
        <c:axId val="131845120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1843584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6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Alpine!$B$98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Alpine!$C$97:$F$97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Alpine!$C$98:$F$98</c:f>
              <c:numCache>
                <c:formatCode>General</c:formatCode>
                <c:ptCount val="4"/>
                <c:pt idx="0">
                  <c:v>3376</c:v>
                </c:pt>
                <c:pt idx="1">
                  <c:v>4128</c:v>
                </c:pt>
                <c:pt idx="2">
                  <c:v>4856</c:v>
                </c:pt>
                <c:pt idx="3">
                  <c:v>5718</c:v>
                </c:pt>
              </c:numCache>
            </c:numRef>
          </c:val>
        </c:ser>
        <c:ser>
          <c:idx val="1"/>
          <c:order val="1"/>
          <c:tx>
            <c:strRef>
              <c:f>Alpine!$B$99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Alpine!$C$97:$F$97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Alpine!$C$99:$F$99</c:f>
              <c:numCache>
                <c:formatCode>General</c:formatCode>
                <c:ptCount val="4"/>
                <c:pt idx="0">
                  <c:v>26315</c:v>
                </c:pt>
                <c:pt idx="1">
                  <c:v>25982</c:v>
                </c:pt>
                <c:pt idx="2">
                  <c:v>25606</c:v>
                </c:pt>
                <c:pt idx="3">
                  <c:v>24960</c:v>
                </c:pt>
              </c:numCache>
            </c:numRef>
          </c:val>
        </c:ser>
        <c:ser>
          <c:idx val="2"/>
          <c:order val="2"/>
          <c:tx>
            <c:strRef>
              <c:f>Alpine!$B$100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Alpine!$C$97:$F$97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Alpine!$C$100:$F$100</c:f>
              <c:numCache>
                <c:formatCode>General</c:formatCode>
                <c:ptCount val="4"/>
                <c:pt idx="0">
                  <c:v>153</c:v>
                </c:pt>
                <c:pt idx="1">
                  <c:v>152</c:v>
                </c:pt>
                <c:pt idx="2">
                  <c:v>148</c:v>
                </c:pt>
                <c:pt idx="3">
                  <c:v>143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546752"/>
        <c:axId val="115573120"/>
      </c:barChart>
      <c:catAx>
        <c:axId val="1155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5573120"/>
        <c:crosses val="autoZero"/>
        <c:auto val="1"/>
        <c:lblAlgn val="ctr"/>
        <c:lblOffset val="100"/>
        <c:noMultiLvlLbl val="0"/>
      </c:catAx>
      <c:valAx>
        <c:axId val="11557312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5546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3.5277777777779185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17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Electra!$C$204:$F$204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Electra!$C$212:$F$212</c:f>
              <c:numCache>
                <c:formatCode>_(* #,##0.00_);_(* \(#,##0.00\);_(* "-"??_);_(@_)</c:formatCode>
                <c:ptCount val="4"/>
                <c:pt idx="0">
                  <c:v>7.1107751406712813E-2</c:v>
                </c:pt>
                <c:pt idx="1">
                  <c:v>6.1030315169497619E-2</c:v>
                </c:pt>
                <c:pt idx="2">
                  <c:v>4.717443397657696E-2</c:v>
                </c:pt>
                <c:pt idx="3">
                  <c:v>4.4146985999280783E-2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cat>
            <c:numRef>
              <c:f>Electra!$C$204:$F$204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74752"/>
        <c:axId val="132476288"/>
      </c:lineChart>
      <c:catAx>
        <c:axId val="1324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2476288"/>
        <c:crosses val="autoZero"/>
        <c:auto val="1"/>
        <c:lblAlgn val="ctr"/>
        <c:lblOffset val="100"/>
        <c:noMultiLvlLbl val="0"/>
      </c:catAx>
      <c:valAx>
        <c:axId val="132476288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2474752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168"/>
          <c:w val="0.79809047321242665"/>
          <c:h val="0.72979551178440172"/>
        </c:manualLayout>
      </c:layout>
      <c:lineChart>
        <c:grouping val="standard"/>
        <c:varyColors val="0"/>
        <c:ser>
          <c:idx val="0"/>
          <c:order val="0"/>
          <c:tx>
            <c:strRef>
              <c:f>Electra!$B$206</c:f>
              <c:strCache>
                <c:ptCount val="1"/>
                <c:pt idx="0">
                  <c:v>Alpine Energy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Electra!$C$204:$F$204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Electra!$C$206:$F$206</c:f>
              <c:numCache>
                <c:formatCode>_(* #,##0.00_);_(* \(#,##0.00\);_(* "-"??_);_(@_)</c:formatCode>
                <c:ptCount val="4"/>
                <c:pt idx="0">
                  <c:v>226.02363432901541</c:v>
                </c:pt>
                <c:pt idx="1">
                  <c:v>196.62671302260222</c:v>
                </c:pt>
                <c:pt idx="2">
                  <c:v>150.95198718128617</c:v>
                </c:pt>
                <c:pt idx="3">
                  <c:v>138.62015394393052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Electra!$B$207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cat>
            <c:numRef>
              <c:f>Electra!$C$204:$F$204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58688"/>
        <c:axId val="132660224"/>
      </c:lineChart>
      <c:catAx>
        <c:axId val="13265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2660224"/>
        <c:crosses val="autoZero"/>
        <c:auto val="1"/>
        <c:lblAlgn val="ctr"/>
        <c:lblOffset val="100"/>
        <c:noMultiLvlLbl val="0"/>
      </c:catAx>
      <c:valAx>
        <c:axId val="132660224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2658688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586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Electra!$B$162</c:f>
              <c:strCache>
                <c:ptCount val="1"/>
                <c:pt idx="0">
                  <c:v>Electra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Electra!$C$160:$F$160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Electra!$C$162:$F$162</c:f>
              <c:numCache>
                <c:formatCode>_(* #,##0.00_);_(* \(#,##0.00\);_(* "-"??_);_(@_)</c:formatCode>
                <c:ptCount val="4"/>
                <c:pt idx="0">
                  <c:v>171.58889486519649</c:v>
                </c:pt>
                <c:pt idx="1">
                  <c:v>198.34191443834933</c:v>
                </c:pt>
                <c:pt idx="2">
                  <c:v>199.35415163010734</c:v>
                </c:pt>
                <c:pt idx="3">
                  <c:v>183.08499870536451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Electra!$B$163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cat>
            <c:numRef>
              <c:f>Electra!$C$160:$F$160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03360"/>
        <c:axId val="132704896"/>
      </c:lineChart>
      <c:catAx>
        <c:axId val="13270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2704896"/>
        <c:crosses val="autoZero"/>
        <c:auto val="1"/>
        <c:lblAlgn val="ctr"/>
        <c:lblOffset val="100"/>
        <c:noMultiLvlLbl val="0"/>
      </c:catAx>
      <c:valAx>
        <c:axId val="132704896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270336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362374746451368"/>
          <c:y val="0.14255777777777778"/>
          <c:w val="0.7224048891098371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Electra!$C$160:$F$160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Electra!$C$165:$F$165</c:f>
              <c:numCache>
                <c:formatCode>_(* #,##0.00_);_(* \(#,##0.00\);_(* "-"??_);_(@_)</c:formatCode>
                <c:ptCount val="4"/>
                <c:pt idx="0">
                  <c:v>2784.5966394230004</c:v>
                </c:pt>
                <c:pt idx="1">
                  <c:v>3234.2665712065236</c:v>
                </c:pt>
                <c:pt idx="2">
                  <c:v>3265.2394983494592</c:v>
                </c:pt>
                <c:pt idx="3">
                  <c:v>3014.1912682234947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cat>
            <c:numRef>
              <c:f>Electra!$C$160:$F$160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37280"/>
        <c:axId val="132747264"/>
      </c:lineChart>
      <c:catAx>
        <c:axId val="13273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747264"/>
        <c:crosses val="autoZero"/>
        <c:auto val="1"/>
        <c:lblAlgn val="ctr"/>
        <c:lblOffset val="100"/>
        <c:noMultiLvlLbl val="0"/>
      </c:catAx>
      <c:valAx>
        <c:axId val="132747264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32737280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32138115045529"/>
          <c:y val="0.13550222222222241"/>
          <c:w val="0.76281482506980836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Electra!$B$168</c:f>
              <c:strCache>
                <c:ptCount val="1"/>
                <c:pt idx="0">
                  <c:v>Electra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Electra!$C$160:$F$160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Electra!$C$168:$F$168</c:f>
              <c:numCache>
                <c:formatCode>_(* #,##0.00_);_(* \(#,##0.00\);_(* "-"??_);_(@_)</c:formatCode>
                <c:ptCount val="4"/>
                <c:pt idx="0">
                  <c:v>17.702739547835773</c:v>
                </c:pt>
                <c:pt idx="1">
                  <c:v>20.634140523292078</c:v>
                </c:pt>
                <c:pt idx="2">
                  <c:v>20.221022006390733</c:v>
                </c:pt>
                <c:pt idx="3">
                  <c:v>18.93879102053139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Electra!$B$169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cat>
            <c:numRef>
              <c:f>Electra!$C$160:$F$160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55296"/>
        <c:axId val="132856832"/>
      </c:lineChart>
      <c:catAx>
        <c:axId val="13285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2856832"/>
        <c:crosses val="autoZero"/>
        <c:auto val="1"/>
        <c:lblAlgn val="ctr"/>
        <c:lblOffset val="100"/>
        <c:noMultiLvlLbl val="0"/>
      </c:catAx>
      <c:valAx>
        <c:axId val="132856832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2855296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635"/>
          <c:h val="0.77599166666669539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Electra!$B$178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Electra!$C$178:$D$178</c:f>
              <c:numCache>
                <c:formatCode>_-* #,##0_-;\-* #,##0_-;_-* "-"??_-;_-@_-</c:formatCode>
                <c:ptCount val="2"/>
                <c:pt idx="0">
                  <c:v>4584.7592358060947</c:v>
                </c:pt>
                <c:pt idx="1">
                  <c:v>3902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32778624"/>
        <c:axId val="132792704"/>
      </c:barChart>
      <c:lineChart>
        <c:grouping val="standard"/>
        <c:varyColors val="0"/>
        <c:ser>
          <c:idx val="1"/>
          <c:order val="0"/>
          <c:tx>
            <c:strRef>
              <c:f>Electra!$B$179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Electra!$C$177:$D$177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Electra!$C$179:$D$179</c:f>
              <c:numCache>
                <c:formatCode>_-* #,##0_-;\-* #,##0_-;_-* "-"??_-;_-@_-</c:formatCode>
                <c:ptCount val="2"/>
                <c:pt idx="0">
                  <c:v>4823.1667160680117</c:v>
                </c:pt>
                <c:pt idx="1">
                  <c:v>4458.4236479749934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Electra!$B$180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Electra!$C$177:$D$177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Electra!$C$180:$D$180</c:f>
              <c:numCache>
                <c:formatCode>_-* #,##0_-;\-* #,##0_-;_-* "-"??_-;_-@_-</c:formatCode>
                <c:ptCount val="2"/>
                <c:pt idx="1">
                  <c:v>4958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778624"/>
        <c:axId val="132792704"/>
      </c:lineChart>
      <c:catAx>
        <c:axId val="1327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2792704"/>
        <c:crosses val="autoZero"/>
        <c:auto val="1"/>
        <c:lblAlgn val="ctr"/>
        <c:lblOffset val="100"/>
        <c:noMultiLvlLbl val="0"/>
      </c:catAx>
      <c:valAx>
        <c:axId val="13279270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2778624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237"/>
          <c:y val="3.527777777777924E-2"/>
          <c:w val="0.7717227593675049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Electra!$V$177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6.1579093159084226E-2"/>
                  <c:y val="0.1320780296309826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Electra!$W$177:$AC$177</c:f>
              <c:numCache>
                <c:formatCode>General</c:formatCode>
                <c:ptCount val="7"/>
                <c:pt idx="0">
                  <c:v>4823.1667160680117</c:v>
                </c:pt>
                <c:pt idx="1">
                  <c:v>4458.4236479749934</c:v>
                </c:pt>
                <c:pt idx="2">
                  <c:v>4458.4236479749934</c:v>
                </c:pt>
                <c:pt idx="3">
                  <c:v>4458.4236479749934</c:v>
                </c:pt>
                <c:pt idx="4">
                  <c:v>4545.0246557624414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Electra!$V$178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58233472222221316"/>
                  <c:y val="-0.1587500000000016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Electra!$W$178:$AC$178</c:f>
              <c:numCache>
                <c:formatCode>General</c:formatCode>
                <c:ptCount val="7"/>
                <c:pt idx="1">
                  <c:v>4958</c:v>
                </c:pt>
                <c:pt idx="2">
                  <c:v>4508</c:v>
                </c:pt>
                <c:pt idx="3">
                  <c:v>4508</c:v>
                </c:pt>
                <c:pt idx="4">
                  <c:v>4508</c:v>
                </c:pt>
                <c:pt idx="5">
                  <c:v>4508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Electra!$V$179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6.1764012145764463E-2"/>
                  <c:y val="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Electra!$W$179:$AC$179</c:f>
              <c:numCache>
                <c:formatCode>General</c:formatCode>
                <c:ptCount val="7"/>
                <c:pt idx="2">
                  <c:v>4665.2700711053649</c:v>
                </c:pt>
                <c:pt idx="3">
                  <c:v>4383.7114414996768</c:v>
                </c:pt>
                <c:pt idx="4">
                  <c:v>4407.1746606334837</c:v>
                </c:pt>
                <c:pt idx="5">
                  <c:v>4407.1746606334837</c:v>
                </c:pt>
                <c:pt idx="6">
                  <c:v>4407.1746606334837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Electra!$V$176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144761242426211"/>
                  <c:y val="0.1961787800821478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Electra!$C$178:$I$178</c:f>
              <c:numCache>
                <c:formatCode>_-* #,##0_-;\-* #,##0_-;_-* "-"??_-;_-@_-</c:formatCode>
                <c:ptCount val="7"/>
                <c:pt idx="0">
                  <c:v>4584.7592358060947</c:v>
                </c:pt>
                <c:pt idx="1">
                  <c:v>3902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56128"/>
        <c:axId val="132257664"/>
      </c:lineChart>
      <c:catAx>
        <c:axId val="13225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2257664"/>
        <c:crosses val="autoZero"/>
        <c:auto val="1"/>
        <c:lblAlgn val="ctr"/>
        <c:lblOffset val="100"/>
        <c:noMultiLvlLbl val="0"/>
      </c:catAx>
      <c:valAx>
        <c:axId val="132257664"/>
        <c:scaling>
          <c:orientation val="minMax"/>
          <c:max val="6000"/>
          <c:min val="3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2256128"/>
        <c:crosses val="autoZero"/>
        <c:crossBetween val="midCat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6878"/>
          <c:h val="0.7757828703703884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Electra!$B$222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Electra!$C$222:$D$222</c:f>
              <c:numCache>
                <c:formatCode>_-* #,##0_-;\-* #,##0_-;_-* "-"??_-;_-@_-</c:formatCode>
                <c:ptCount val="2"/>
                <c:pt idx="0">
                  <c:v>6109.955808250922</c:v>
                </c:pt>
                <c:pt idx="1">
                  <c:v>5730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32325760"/>
        <c:axId val="132327296"/>
      </c:barChart>
      <c:lineChart>
        <c:grouping val="standard"/>
        <c:varyColors val="0"/>
        <c:ser>
          <c:idx val="1"/>
          <c:order val="0"/>
          <c:tx>
            <c:strRef>
              <c:f>Electra!$B$223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Electra!$C$221:$D$221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Electra!$C$223:$D$223</c:f>
              <c:numCache>
                <c:formatCode>_-* #,##0_-;\-* #,##0_-;_-* "-"??_-;_-@_-</c:formatCode>
                <c:ptCount val="2"/>
                <c:pt idx="0">
                  <c:v>6042.7126727924324</c:v>
                </c:pt>
                <c:pt idx="1">
                  <c:v>7456.8561881921787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Electra!$B$224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Electra!$C$221:$D$221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Electra!$C$224:$D$224</c:f>
              <c:numCache>
                <c:formatCode>_-* #,##0_-;\-* #,##0_-;_-* "-"??_-;_-@_-</c:formatCode>
                <c:ptCount val="2"/>
                <c:pt idx="1">
                  <c:v>7458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325760"/>
        <c:axId val="132327296"/>
      </c:lineChart>
      <c:catAx>
        <c:axId val="1323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327296"/>
        <c:crosses val="autoZero"/>
        <c:auto val="1"/>
        <c:lblAlgn val="ctr"/>
        <c:lblOffset val="100"/>
        <c:noMultiLvlLbl val="0"/>
      </c:catAx>
      <c:valAx>
        <c:axId val="1323272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2325760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439E-3"/>
          <c:w val="0.90316284722220697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Electra!$V$221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2.1619839831940244E-2"/>
                  <c:y val="-6.565350877192976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Electra!$W$221:$AC$221</c:f>
              <c:numCache>
                <c:formatCode>General</c:formatCode>
                <c:ptCount val="7"/>
                <c:pt idx="0">
                  <c:v>6042.7126727924324</c:v>
                </c:pt>
                <c:pt idx="1">
                  <c:v>7456.8561881921787</c:v>
                </c:pt>
                <c:pt idx="2">
                  <c:v>6813.9710597935909</c:v>
                </c:pt>
                <c:pt idx="3">
                  <c:v>5642.3103661987006</c:v>
                </c:pt>
                <c:pt idx="4">
                  <c:v>4916.899571555603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Electra!$V$222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69930736248030201"/>
                  <c:y val="-0.622956158923296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Electra!$W$222:$AC$222</c:f>
              <c:numCache>
                <c:formatCode>General</c:formatCode>
                <c:ptCount val="7"/>
                <c:pt idx="1">
                  <c:v>7458</c:v>
                </c:pt>
                <c:pt idx="2">
                  <c:v>7086</c:v>
                </c:pt>
                <c:pt idx="3">
                  <c:v>6941</c:v>
                </c:pt>
                <c:pt idx="4">
                  <c:v>5246</c:v>
                </c:pt>
                <c:pt idx="5">
                  <c:v>4017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Electra!$V$223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5837327414268829E-2"/>
                  <c:y val="-0.2830764182749966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Electra!$W$223:$AC$223</c:f>
              <c:numCache>
                <c:formatCode>General</c:formatCode>
                <c:ptCount val="7"/>
                <c:pt idx="2">
                  <c:v>7801.5203619909498</c:v>
                </c:pt>
                <c:pt idx="3">
                  <c:v>7773.1689722042656</c:v>
                </c:pt>
                <c:pt idx="4">
                  <c:v>5456.1760827407888</c:v>
                </c:pt>
                <c:pt idx="5">
                  <c:v>3399.2338720103426</c:v>
                </c:pt>
                <c:pt idx="6">
                  <c:v>4785.5190691661282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Electra!$V$220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1533163180241864"/>
                  <c:y val="7.702923976608187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Electra!$W$220:$AC$220</c:f>
              <c:numCache>
                <c:formatCode>General</c:formatCode>
                <c:ptCount val="7"/>
                <c:pt idx="0">
                  <c:v>6109.955808250922</c:v>
                </c:pt>
                <c:pt idx="1">
                  <c:v>5730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376448"/>
        <c:axId val="132377984"/>
      </c:lineChart>
      <c:catAx>
        <c:axId val="1323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2377984"/>
        <c:crosses val="autoZero"/>
        <c:auto val="1"/>
        <c:lblAlgn val="ctr"/>
        <c:lblOffset val="100"/>
        <c:noMultiLvlLbl val="0"/>
      </c:catAx>
      <c:valAx>
        <c:axId val="132377984"/>
        <c:scaling>
          <c:orientation val="minMax"/>
          <c:max val="8000"/>
          <c:min val="3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2376448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398"/>
          <c:y val="6.4675925925925928E-2"/>
          <c:w val="0.78763798934231788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Electra!$B$237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890460417287834E-3"/>
                  <c:y val="1.1759259259259261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Electra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Electra!$C$236:$F$236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Electra!$C$237:$F$237</c:f>
              <c:numCache>
                <c:formatCode>_(* #,##0.00_);_(* \(#,##0.00\);_(* "-"??_);_(@_)</c:formatCode>
                <c:ptCount val="4"/>
                <c:pt idx="0">
                  <c:v>1.6099999999999999</c:v>
                </c:pt>
                <c:pt idx="1">
                  <c:v>2.94</c:v>
                </c:pt>
                <c:pt idx="2">
                  <c:v>3.15</c:v>
                </c:pt>
                <c:pt idx="3">
                  <c:v>1.617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Electra!$B$239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5643068100684E-3"/>
                  <c:y val="-5.87962962962978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Electra!$C$236:$F$236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44544"/>
        <c:axId val="132446080"/>
      </c:lineChart>
      <c:catAx>
        <c:axId val="1324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2446080"/>
        <c:crosses val="autoZero"/>
        <c:auto val="1"/>
        <c:lblAlgn val="ctr"/>
        <c:lblOffset val="100"/>
        <c:noMultiLvlLbl val="0"/>
      </c:catAx>
      <c:valAx>
        <c:axId val="13244608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244454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157"/>
          <c:w val="0.79809047321242665"/>
          <c:h val="0.72979551178440139"/>
        </c:manualLayout>
      </c:layout>
      <c:lineChart>
        <c:grouping val="standard"/>
        <c:varyColors val="0"/>
        <c:ser>
          <c:idx val="0"/>
          <c:order val="0"/>
          <c:tx>
            <c:strRef>
              <c:f>Alpine!$B$206</c:f>
              <c:strCache>
                <c:ptCount val="1"/>
                <c:pt idx="0">
                  <c:v>Alpine Energy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486855880615096E-2"/>
                  <c:y val="-5.647683062060672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Alpine</a:t>
                    </a:r>
                    <a:endParaRPr lang="en-US" sz="80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Alpine!$C$206:$F$206</c:f>
              <c:numCache>
                <c:formatCode>_(* #,##0.00_);_(* \(#,##0.00\);_(* "-"??_);_(@_)</c:formatCode>
                <c:ptCount val="4"/>
                <c:pt idx="0">
                  <c:v>385.78084239444354</c:v>
                </c:pt>
                <c:pt idx="1">
                  <c:v>347.91791271244387</c:v>
                </c:pt>
                <c:pt idx="2">
                  <c:v>394.801790276068</c:v>
                </c:pt>
                <c:pt idx="3">
                  <c:v>485.45344838772462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Alpine!$B$207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834222003270513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Industry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Alpine!$C$204:$F$204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607040"/>
        <c:axId val="115608576"/>
      </c:lineChart>
      <c:catAx>
        <c:axId val="11560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5608576"/>
        <c:crosses val="autoZero"/>
        <c:auto val="1"/>
        <c:lblAlgn val="ctr"/>
        <c:lblOffset val="100"/>
        <c:noMultiLvlLbl val="0"/>
      </c:catAx>
      <c:valAx>
        <c:axId val="115608576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560704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3159722222223"/>
          <c:y val="6.4675925925925928E-2"/>
          <c:w val="0.76542083333335476"/>
          <c:h val="0.80984259259260005"/>
        </c:manualLayout>
      </c:layout>
      <c:lineChart>
        <c:grouping val="standard"/>
        <c:varyColors val="0"/>
        <c:ser>
          <c:idx val="1"/>
          <c:order val="0"/>
          <c:tx>
            <c:strRef>
              <c:f>Electra!$B$230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9.2592592581816609E-7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Electra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Electra!$C$230:$F$230</c:f>
              <c:numCache>
                <c:formatCode>_(* #,##0.00_);_(* \(#,##0.00\);_(* "-"??_);_(@_)</c:formatCode>
                <c:ptCount val="4"/>
                <c:pt idx="0">
                  <c:v>103.97</c:v>
                </c:pt>
                <c:pt idx="1">
                  <c:v>683.12</c:v>
                </c:pt>
                <c:pt idx="2">
                  <c:v>163.29</c:v>
                </c:pt>
                <c:pt idx="3">
                  <c:v>74.712999999999994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Electra!$B$232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879629629629835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Electra!$C$229:$F$229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Electra!$C$232:$F$232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57856"/>
        <c:axId val="133259648"/>
      </c:lineChart>
      <c:catAx>
        <c:axId val="13325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3259648"/>
        <c:crosses val="autoZero"/>
        <c:auto val="1"/>
        <c:lblAlgn val="ctr"/>
        <c:lblOffset val="100"/>
        <c:noMultiLvlLbl val="0"/>
      </c:catAx>
      <c:valAx>
        <c:axId val="13325964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325785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11736111110656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Ashburton!$B$26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2191710041068122"/>
                  <c:y val="-0.347987767170409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Ashburton!$C$26:$F$26</c:f>
              <c:numCache>
                <c:formatCode>0</c:formatCode>
                <c:ptCount val="4"/>
                <c:pt idx="0">
                  <c:v>1763.9851159077298</c:v>
                </c:pt>
                <c:pt idx="1">
                  <c:v>1795.4883931635659</c:v>
                </c:pt>
                <c:pt idx="2">
                  <c:v>1824.6119156045374</c:v>
                </c:pt>
                <c:pt idx="3">
                  <c:v>1869.6</c:v>
                </c:pt>
              </c:numCache>
            </c:numRef>
          </c:val>
        </c:ser>
        <c:ser>
          <c:idx val="1"/>
          <c:order val="1"/>
          <c:tx>
            <c:strRef>
              <c:f>Ashburton!$B$27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2203528553315336"/>
                  <c:y val="-4.90220804131498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Ashburton!$C$27:$F$27</c:f>
              <c:numCache>
                <c:formatCode>0</c:formatCode>
                <c:ptCount val="4"/>
                <c:pt idx="0">
                  <c:v>551.9865415870662</c:v>
                </c:pt>
                <c:pt idx="1">
                  <c:v>531.50442720845615</c:v>
                </c:pt>
                <c:pt idx="2">
                  <c:v>521.64371749616009</c:v>
                </c:pt>
                <c:pt idx="3">
                  <c:v>522.4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888192"/>
        <c:axId val="128889984"/>
      </c:areaChart>
      <c:catAx>
        <c:axId val="12888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8889984"/>
        <c:crosses val="autoZero"/>
        <c:auto val="1"/>
        <c:lblAlgn val="ctr"/>
        <c:lblOffset val="100"/>
        <c:noMultiLvlLbl val="0"/>
      </c:catAx>
      <c:valAx>
        <c:axId val="128889984"/>
        <c:scaling>
          <c:orientation val="minMax"/>
          <c:max val="2500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8888192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2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Ashburton!$B$28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Ashburton!$C$25:$F$25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Ashburton!$C$28:$F$28</c:f>
              <c:numCache>
                <c:formatCode>0</c:formatCode>
                <c:ptCount val="4"/>
                <c:pt idx="0">
                  <c:v>423.47717487382738</c:v>
                </c:pt>
                <c:pt idx="1">
                  <c:v>407.76355274898748</c:v>
                </c:pt>
                <c:pt idx="2">
                  <c:v>433.61634016868311</c:v>
                </c:pt>
                <c:pt idx="3">
                  <c:v>434.40000000000009</c:v>
                </c:pt>
              </c:numCache>
            </c:numRef>
          </c:val>
        </c:ser>
        <c:ser>
          <c:idx val="1"/>
          <c:order val="1"/>
          <c:tx>
            <c:strRef>
              <c:f>Ashburton!$B$29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Ashburton!$C$25:$F$25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Ashburton!$C$29:$F$29</c:f>
              <c:numCache>
                <c:formatCode>0</c:formatCode>
                <c:ptCount val="4"/>
                <c:pt idx="0">
                  <c:v>128.50936671323885</c:v>
                </c:pt>
                <c:pt idx="1">
                  <c:v>123.7408744594687</c:v>
                </c:pt>
                <c:pt idx="2">
                  <c:v>88.027377327477026</c:v>
                </c:pt>
                <c:pt idx="3">
                  <c:v>87.999999999999986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070976"/>
        <c:axId val="129072512"/>
      </c:barChart>
      <c:catAx>
        <c:axId val="12907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9072512"/>
        <c:crosses val="autoZero"/>
        <c:auto val="1"/>
        <c:lblAlgn val="ctr"/>
        <c:lblOffset val="100"/>
        <c:noMultiLvlLbl val="0"/>
      </c:catAx>
      <c:valAx>
        <c:axId val="129072512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9070976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256"/>
          <c:w val="0.89745624999998486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Ashburton!$B$40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Ashburton!$C$39:$F$39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Ashburton!$C$40:$F$40</c:f>
              <c:numCache>
                <c:formatCode>0</c:formatCode>
                <c:ptCount val="4"/>
                <c:pt idx="0">
                  <c:v>26664.615494283025</c:v>
                </c:pt>
                <c:pt idx="1">
                  <c:v>27844.81103713363</c:v>
                </c:pt>
                <c:pt idx="2">
                  <c:v>28354.7786906847</c:v>
                </c:pt>
                <c:pt idx="3">
                  <c:v>28836</c:v>
                </c:pt>
              </c:numCache>
            </c:numRef>
          </c:val>
        </c:ser>
        <c:ser>
          <c:idx val="1"/>
          <c:order val="1"/>
          <c:tx>
            <c:strRef>
              <c:f>Ashburton!$B$41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Ashburton!$C$39:$F$39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Ashburton!$C$41:$F$41</c:f>
              <c:numCache>
                <c:formatCode>0</c:formatCode>
                <c:ptCount val="4"/>
                <c:pt idx="0">
                  <c:v>728.79473068917332</c:v>
                </c:pt>
                <c:pt idx="1">
                  <c:v>1053.6660031573886</c:v>
                </c:pt>
                <c:pt idx="2">
                  <c:v>438.09921586591571</c:v>
                </c:pt>
                <c:pt idx="3">
                  <c:v>795</c:v>
                </c:pt>
              </c:numCache>
            </c:numRef>
          </c:val>
        </c:ser>
        <c:ser>
          <c:idx val="3"/>
          <c:order val="2"/>
          <c:tx>
            <c:strRef>
              <c:f>Ashburton!$B$42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Ashburton!$C$39:$F$39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Ashburton!$C$42:$F$42</c:f>
              <c:numCache>
                <c:formatCode>0</c:formatCode>
                <c:ptCount val="4"/>
                <c:pt idx="0">
                  <c:v>541.20555444669378</c:v>
                </c:pt>
                <c:pt idx="1">
                  <c:v>520.08538678014952</c:v>
                </c:pt>
                <c:pt idx="2">
                  <c:v>416.70367276548728</c:v>
                </c:pt>
                <c:pt idx="3">
                  <c:v>659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638016"/>
        <c:axId val="133639552"/>
      </c:barChart>
      <c:catAx>
        <c:axId val="13363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3639552"/>
        <c:crosses val="autoZero"/>
        <c:auto val="1"/>
        <c:lblAlgn val="ctr"/>
        <c:lblOffset val="100"/>
        <c:noMultiLvlLbl val="0"/>
      </c:catAx>
      <c:valAx>
        <c:axId val="13363955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3638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402"/>
          <c:h val="0.21171296296296768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23E-2"/>
          <c:y val="9.9262962962965245E-2"/>
          <c:w val="0.80176112499523156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Ashburton!$B$46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2851574490064486"/>
                  <c:y val="-3.559091826808365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Ashburton!$C$46:$F$46</c:f>
              <c:numCache>
                <c:formatCode>0.0</c:formatCode>
                <c:ptCount val="4"/>
                <c:pt idx="0">
                  <c:v>100</c:v>
                </c:pt>
                <c:pt idx="1">
                  <c:v>104.42607373469774</c:v>
                </c:pt>
                <c:pt idx="2">
                  <c:v>106.33859954501894</c:v>
                </c:pt>
                <c:pt idx="3">
                  <c:v>108.14331827204681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Ashburton!$B$47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Ashburton!$C$45:$F$45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Ashburton!$C$47:$F$47</c:f>
              <c:numCache>
                <c:formatCode>0.0</c:formatCode>
                <c:ptCount val="4"/>
                <c:pt idx="0">
                  <c:v>100</c:v>
                </c:pt>
                <c:pt idx="1">
                  <c:v>144.57651225894648</c:v>
                </c:pt>
                <c:pt idx="2">
                  <c:v>60.112840751693419</c:v>
                </c:pt>
                <c:pt idx="3">
                  <c:v>109.08421349976291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Ashburton!$B$48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773272301718524E-3"/>
                  <c:y val="-1.784731017014479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Ashburton!$C$48:$F$48</c:f>
              <c:numCache>
                <c:formatCode>0.0</c:formatCode>
                <c:ptCount val="4"/>
                <c:pt idx="0">
                  <c:v>100</c:v>
                </c:pt>
                <c:pt idx="1">
                  <c:v>96.097570046534969</c:v>
                </c:pt>
                <c:pt idx="2">
                  <c:v>76.995453823733925</c:v>
                </c:pt>
                <c:pt idx="3">
                  <c:v>121.76519523598282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74880"/>
        <c:axId val="133676416"/>
      </c:lineChart>
      <c:catAx>
        <c:axId val="13367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3676416"/>
        <c:crossesAt val="0"/>
        <c:auto val="1"/>
        <c:lblAlgn val="ctr"/>
        <c:lblOffset val="100"/>
        <c:noMultiLvlLbl val="0"/>
      </c:catAx>
      <c:valAx>
        <c:axId val="133676416"/>
        <c:scaling>
          <c:orientation val="minMax"/>
          <c:max val="15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367488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694"/>
          <c:h val="0.70204027777778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Ashburton!$B$54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Ashburton!$C$53:$F$53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Ashburton!$C$54:$F$54</c:f>
              <c:numCache>
                <c:formatCode>0</c:formatCode>
                <c:ptCount val="4"/>
                <c:pt idx="0">
                  <c:v>7224.3394827635366</c:v>
                </c:pt>
                <c:pt idx="1">
                  <c:v>7373.5858329329376</c:v>
                </c:pt>
                <c:pt idx="2">
                  <c:v>7526.5360722427304</c:v>
                </c:pt>
                <c:pt idx="3">
                  <c:v>7655.8152</c:v>
                </c:pt>
              </c:numCache>
            </c:numRef>
          </c:val>
        </c:ser>
        <c:ser>
          <c:idx val="1"/>
          <c:order val="1"/>
          <c:tx>
            <c:strRef>
              <c:f>Ashburton!$B$55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Ashburton!$C$53:$F$53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Ashburton!$C$55:$F$55</c:f>
              <c:numCache>
                <c:formatCode>0</c:formatCode>
                <c:ptCount val="4"/>
                <c:pt idx="0">
                  <c:v>4948.4730974309259</c:v>
                </c:pt>
                <c:pt idx="1">
                  <c:v>4971.43496465097</c:v>
                </c:pt>
                <c:pt idx="2">
                  <c:v>4978.4418136132135</c:v>
                </c:pt>
                <c:pt idx="3">
                  <c:v>5040.7983999999997</c:v>
                </c:pt>
              </c:numCache>
            </c:numRef>
          </c:val>
        </c:ser>
        <c:ser>
          <c:idx val="2"/>
          <c:order val="2"/>
          <c:tx>
            <c:strRef>
              <c:f>Ashburton!$B$56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Ashburton!$C$53:$F$53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Ashburton!$C$56:$F$56</c:f>
              <c:numCache>
                <c:formatCode>0</c:formatCode>
                <c:ptCount val="4"/>
                <c:pt idx="0">
                  <c:v>12878.967237888854</c:v>
                </c:pt>
                <c:pt idx="1">
                  <c:v>13810.810350744729</c:v>
                </c:pt>
                <c:pt idx="2">
                  <c:v>14423.697384602945</c:v>
                </c:pt>
                <c:pt idx="3">
                  <c:v>14724.16</c:v>
                </c:pt>
              </c:numCache>
            </c:numRef>
          </c:val>
        </c:ser>
        <c:ser>
          <c:idx val="3"/>
          <c:order val="3"/>
          <c:tx>
            <c:strRef>
              <c:f>Ashburton!$B$57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Ashburton!$C$53:$F$53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Ashburton!$C$57:$F$57</c:f>
              <c:numCache>
                <c:formatCode>0</c:formatCode>
                <c:ptCount val="4"/>
                <c:pt idx="0">
                  <c:v>1611.7575774856718</c:v>
                </c:pt>
                <c:pt idx="1">
                  <c:v>1688.9798888049963</c:v>
                </c:pt>
                <c:pt idx="2">
                  <c:v>1426.103623992886</c:v>
                </c:pt>
                <c:pt idx="3">
                  <c:v>1415.2262000000001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406080"/>
        <c:axId val="133420160"/>
      </c:barChart>
      <c:catAx>
        <c:axId val="13340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3420160"/>
        <c:crosses val="autoZero"/>
        <c:auto val="1"/>
        <c:lblAlgn val="ctr"/>
        <c:lblOffset val="100"/>
        <c:noMultiLvlLbl val="0"/>
      </c:catAx>
      <c:valAx>
        <c:axId val="13342016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3406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3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 orientation="portrait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1422738982387166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Ashburton!$B$61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56787643764014E-6"/>
                  <c:y val="5.8796296296297883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Ashburton!$C$61:$F$61</c:f>
              <c:numCache>
                <c:formatCode>0.0</c:formatCode>
                <c:ptCount val="4"/>
                <c:pt idx="0">
                  <c:v>100</c:v>
                </c:pt>
                <c:pt idx="1">
                  <c:v>102.06588229312155</c:v>
                </c:pt>
                <c:pt idx="2">
                  <c:v>104.18303417496094</c:v>
                </c:pt>
                <c:pt idx="3">
                  <c:v>105.97252826041628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Ashburton!$B$62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28393821881842E-6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Ashburton!$C$62:$F$62</c:f>
              <c:numCache>
                <c:formatCode>0.0</c:formatCode>
                <c:ptCount val="4"/>
                <c:pt idx="0">
                  <c:v>100</c:v>
                </c:pt>
                <c:pt idx="1">
                  <c:v>100.46401923922686</c:v>
                </c:pt>
                <c:pt idx="2">
                  <c:v>100.60561542100423</c:v>
                </c:pt>
                <c:pt idx="3">
                  <c:v>101.86573314134021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Ashburton!$B$63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070984554706442E-6"/>
                  <c:y val="-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Ashburton!$C$63:$F$63</c:f>
              <c:numCache>
                <c:formatCode>0.0</c:formatCode>
                <c:ptCount val="4"/>
                <c:pt idx="0">
                  <c:v>100</c:v>
                </c:pt>
                <c:pt idx="1">
                  <c:v>107.23538693471065</c:v>
                </c:pt>
                <c:pt idx="2">
                  <c:v>111.99420821701933</c:v>
                </c:pt>
                <c:pt idx="3">
                  <c:v>114.32717956361238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Ashburton!$B$64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Ashburton!$C$64:$F$64</c:f>
              <c:numCache>
                <c:formatCode>0.0</c:formatCode>
                <c:ptCount val="4"/>
                <c:pt idx="0">
                  <c:v>100</c:v>
                </c:pt>
                <c:pt idx="1">
                  <c:v>104.79118649094801</c:v>
                </c:pt>
                <c:pt idx="2">
                  <c:v>88.481273109172875</c:v>
                </c:pt>
                <c:pt idx="3">
                  <c:v>87.806393453272364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89408"/>
        <c:axId val="133490944"/>
      </c:lineChart>
      <c:catAx>
        <c:axId val="13348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3490944"/>
        <c:crosses val="autoZero"/>
        <c:auto val="1"/>
        <c:lblAlgn val="ctr"/>
        <c:lblOffset val="100"/>
        <c:noMultiLvlLbl val="0"/>
      </c:catAx>
      <c:valAx>
        <c:axId val="133490944"/>
        <c:scaling>
          <c:orientation val="minMax"/>
          <c:max val="130"/>
          <c:min val="8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3489408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685E-2"/>
          <c:y val="5.1489936964064897E-2"/>
          <c:w val="0.78661800808854265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Ashburton!$B$84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161744022504398E-5"/>
                  <c:y val="-9.0814903367205727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Ashburton!$C$84:$F$84</c:f>
              <c:numCache>
                <c:formatCode>0.00</c:formatCode>
                <c:ptCount val="4"/>
                <c:pt idx="0">
                  <c:v>6.3739505799974259</c:v>
                </c:pt>
                <c:pt idx="1">
                  <c:v>6.2224363522533404</c:v>
                </c:pt>
                <c:pt idx="2">
                  <c:v>6.2272414484683081</c:v>
                </c:pt>
                <c:pt idx="3">
                  <c:v>6.3275022648062453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Ashburton!$B$85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194092827005735E-5"/>
                  <c:y val="-2.6778242677825341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Ashburton!$C$85:$F$85</c:f>
              <c:numCache>
                <c:formatCode>0.00</c:formatCode>
                <c:ptCount val="4"/>
                <c:pt idx="0">
                  <c:v>6.5993091571049076</c:v>
                </c:pt>
                <c:pt idx="1">
                  <c:v>6.1942760510418138</c:v>
                </c:pt>
                <c:pt idx="2">
                  <c:v>6.315471615544066</c:v>
                </c:pt>
                <c:pt idx="3">
                  <c:v>5.9715450245136923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Ashburton!$B$86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742616033757145E-5"/>
                  <c:y val="1.577605100617653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Ashburton!$C$86:$F$86</c:f>
              <c:numCache>
                <c:formatCode>0.00</c:formatCode>
                <c:ptCount val="4"/>
                <c:pt idx="0">
                  <c:v>6.0924854981488119</c:v>
                </c:pt>
                <c:pt idx="1">
                  <c:v>5.6409593229190405</c:v>
                </c:pt>
                <c:pt idx="2">
                  <c:v>5.8109191752845692</c:v>
                </c:pt>
                <c:pt idx="3">
                  <c:v>5.659126793617955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Ashburton!$B$87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9226441631506185E-5"/>
                  <c:y val="-4.15262004383343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Ashburton!$C$87:$F$87</c:f>
              <c:numCache>
                <c:formatCode>0.00</c:formatCode>
                <c:ptCount val="4"/>
                <c:pt idx="0">
                  <c:v>2.0657646361388466</c:v>
                </c:pt>
                <c:pt idx="1">
                  <c:v>2.0767863693182185</c:v>
                </c:pt>
                <c:pt idx="2">
                  <c:v>1.7620448376355191</c:v>
                </c:pt>
                <c:pt idx="3">
                  <c:v>1.8268913112736935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63904"/>
        <c:axId val="133565440"/>
      </c:lineChart>
      <c:catAx>
        <c:axId val="13356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3565440"/>
        <c:crosses val="autoZero"/>
        <c:auto val="1"/>
        <c:lblAlgn val="ctr"/>
        <c:lblOffset val="100"/>
        <c:noMultiLvlLbl val="0"/>
      </c:catAx>
      <c:valAx>
        <c:axId val="13356544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3563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29986E-2"/>
          <c:y val="5.8338380979806134E-2"/>
          <c:w val="0.7946456352800689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Ashburton!$B$90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-2.120940426379757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Ashburton!$C$90:$F$90</c:f>
              <c:numCache>
                <c:formatCode>0.0</c:formatCode>
                <c:ptCount val="4"/>
                <c:pt idx="0">
                  <c:v>100</c:v>
                </c:pt>
                <c:pt idx="1">
                  <c:v>97.622914927838252</c:v>
                </c:pt>
                <c:pt idx="2">
                  <c:v>97.698301395848333</c:v>
                </c:pt>
                <c:pt idx="3">
                  <c:v>99.271279019060117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Ashburton!$B$91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6327593588554E-3"/>
                  <c:y val="-2.850581894567140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Ashburton!$C$91:$F$91</c:f>
              <c:numCache>
                <c:formatCode>0.0</c:formatCode>
                <c:ptCount val="4"/>
                <c:pt idx="0">
                  <c:v>100</c:v>
                </c:pt>
                <c:pt idx="1">
                  <c:v>93.862492324260501</c:v>
                </c:pt>
                <c:pt idx="2">
                  <c:v>95.698980987195327</c:v>
                </c:pt>
                <c:pt idx="3">
                  <c:v>90.487426522284437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Ashburton!$B$92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3111274858796464E-2"/>
                  <c:y val="-2.842819764793003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Ashburton!$C$92:$F$92</c:f>
              <c:numCache>
                <c:formatCode>0.0</c:formatCode>
                <c:ptCount val="4"/>
                <c:pt idx="0">
                  <c:v>100</c:v>
                </c:pt>
                <c:pt idx="1">
                  <c:v>92.58880180565113</c:v>
                </c:pt>
                <c:pt idx="2">
                  <c:v>95.3784654399293</c:v>
                </c:pt>
                <c:pt idx="3">
                  <c:v>92.886996535937058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Ashburton!$B$93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3.430763100219166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Ashburton!$C$93:$F$93</c:f>
              <c:numCache>
                <c:formatCode>0.0</c:formatCode>
                <c:ptCount val="4"/>
                <c:pt idx="0">
                  <c:v>100</c:v>
                </c:pt>
                <c:pt idx="1">
                  <c:v>100.53354254335444</c:v>
                </c:pt>
                <c:pt idx="2">
                  <c:v>85.297463554656687</c:v>
                </c:pt>
                <c:pt idx="3">
                  <c:v>88.436566262861632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609728"/>
        <c:axId val="134180864"/>
      </c:lineChart>
      <c:catAx>
        <c:axId val="13360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4180864"/>
        <c:crosses val="autoZero"/>
        <c:auto val="1"/>
        <c:lblAlgn val="ctr"/>
        <c:lblOffset val="100"/>
        <c:noMultiLvlLbl val="0"/>
      </c:catAx>
      <c:valAx>
        <c:axId val="134180864"/>
        <c:scaling>
          <c:orientation val="minMax"/>
          <c:max val="11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36097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834364860253561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Ashburton!$B$120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4183996770208534E-3"/>
                  <c:y val="-2.351898148148147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Ashburton!$C$120:$F$120</c:f>
              <c:numCache>
                <c:formatCode>0.0</c:formatCode>
                <c:ptCount val="4"/>
                <c:pt idx="0">
                  <c:v>100</c:v>
                </c:pt>
                <c:pt idx="1">
                  <c:v>104.55115212301077</c:v>
                </c:pt>
                <c:pt idx="2">
                  <c:v>106.63750821300171</c:v>
                </c:pt>
                <c:pt idx="3">
                  <c:v>106.75044112211903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Ashburton!$B$121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801338294663E-3"/>
                  <c:y val="-3.52777777777787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Ashburton!$C$121:$F$121</c:f>
              <c:numCache>
                <c:formatCode>0.0</c:formatCode>
                <c:ptCount val="4"/>
                <c:pt idx="0">
                  <c:v>100</c:v>
                </c:pt>
                <c:pt idx="1">
                  <c:v>107.03318945778734</c:v>
                </c:pt>
                <c:pt idx="2">
                  <c:v>105.12715431574493</c:v>
                </c:pt>
                <c:pt idx="3">
                  <c:v>112.57446150958181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Ashburton!$B$122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009866764143629E-5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Ashburton!$C$122:$F$122</c:f>
              <c:numCache>
                <c:formatCode>0.0</c:formatCode>
                <c:ptCount val="4"/>
                <c:pt idx="0">
                  <c:v>100</c:v>
                </c:pt>
                <c:pt idx="1">
                  <c:v>115.81895957548245</c:v>
                </c:pt>
                <c:pt idx="2">
                  <c:v>117.42085354429909</c:v>
                </c:pt>
                <c:pt idx="3">
                  <c:v>123.0820069840242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Ashburton!$B$123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6842987772189748E-6"/>
                  <c:y val="2.42375560934076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800"/>
                      <a:t>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Ashburton!$C$123:$F$123</c:f>
              <c:numCache>
                <c:formatCode>0.0</c:formatCode>
                <c:ptCount val="4"/>
                <c:pt idx="0">
                  <c:v>100</c:v>
                </c:pt>
                <c:pt idx="1">
                  <c:v>104.23504816390756</c:v>
                </c:pt>
                <c:pt idx="2">
                  <c:v>103.73259581450047</c:v>
                </c:pt>
                <c:pt idx="3">
                  <c:v>99.287429582333402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24896"/>
        <c:axId val="134247168"/>
      </c:lineChart>
      <c:catAx>
        <c:axId val="13422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4247168"/>
        <c:crosses val="autoZero"/>
        <c:auto val="1"/>
        <c:lblAlgn val="ctr"/>
        <c:lblOffset val="100"/>
        <c:noMultiLvlLbl val="0"/>
      </c:catAx>
      <c:valAx>
        <c:axId val="134247168"/>
        <c:scaling>
          <c:orientation val="minMax"/>
          <c:max val="13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4224896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Alpine!$B$209</c:f>
              <c:strCache>
                <c:ptCount val="1"/>
                <c:pt idx="0">
                  <c:v>Alpine Energy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102565049191554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</a:t>
                    </a:r>
                    <a:r>
                      <a:rPr lang="en-US"/>
                      <a:t>lpine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Alpine!$C$209:$F$209</c:f>
              <c:numCache>
                <c:formatCode>_(* #,##0.00_);_(* \(#,##0.00\);_(* "-"??_);_(@_)</c:formatCode>
                <c:ptCount val="4"/>
                <c:pt idx="0">
                  <c:v>17302.414886062328</c:v>
                </c:pt>
                <c:pt idx="1">
                  <c:v>14853.706805861033</c:v>
                </c:pt>
                <c:pt idx="2">
                  <c:v>16614.487379605496</c:v>
                </c:pt>
                <c:pt idx="3">
                  <c:v>20874.344563802762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Alpine!$B$210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Industry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Alpine!$C$204:$F$204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646464"/>
        <c:axId val="115648000"/>
      </c:lineChart>
      <c:catAx>
        <c:axId val="11564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5648000"/>
        <c:crosses val="autoZero"/>
        <c:auto val="1"/>
        <c:lblAlgn val="ctr"/>
        <c:lblOffset val="100"/>
        <c:noMultiLvlLbl val="0"/>
      </c:catAx>
      <c:valAx>
        <c:axId val="115648000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5646464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612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Ashburton!$B$113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Ashburton!$C$112:$F$112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Ashburton!$C$113:$F$113</c:f>
              <c:numCache>
                <c:formatCode>General</c:formatCode>
                <c:ptCount val="4"/>
                <c:pt idx="0">
                  <c:v>113341.63</c:v>
                </c:pt>
                <c:pt idx="1">
                  <c:v>118499.98</c:v>
                </c:pt>
                <c:pt idx="2">
                  <c:v>120864.69</c:v>
                </c:pt>
                <c:pt idx="3">
                  <c:v>120992.69</c:v>
                </c:pt>
              </c:numCache>
            </c:numRef>
          </c:val>
        </c:ser>
        <c:ser>
          <c:idx val="1"/>
          <c:order val="1"/>
          <c:tx>
            <c:strRef>
              <c:f>Ashburton!$B$114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Ashburton!$C$112:$F$112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Ashburton!$C$114:$F$114</c:f>
              <c:numCache>
                <c:formatCode>General</c:formatCode>
                <c:ptCount val="4"/>
                <c:pt idx="0">
                  <c:v>74984.714000000007</c:v>
                </c:pt>
                <c:pt idx="1">
                  <c:v>80258.531000000003</c:v>
                </c:pt>
                <c:pt idx="2">
                  <c:v>78829.296000000002</c:v>
                </c:pt>
                <c:pt idx="3">
                  <c:v>84413.638000000006</c:v>
                </c:pt>
              </c:numCache>
            </c:numRef>
          </c:val>
        </c:ser>
        <c:ser>
          <c:idx val="2"/>
          <c:order val="2"/>
          <c:tx>
            <c:strRef>
              <c:f>Ashburton!$B$115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Ashburton!$C$112:$F$112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Ashburton!$C$115:$F$115</c:f>
              <c:numCache>
                <c:formatCode>General</c:formatCode>
                <c:ptCount val="4"/>
                <c:pt idx="0">
                  <c:v>211391.02</c:v>
                </c:pt>
                <c:pt idx="1">
                  <c:v>244830.88</c:v>
                </c:pt>
                <c:pt idx="2">
                  <c:v>248217.14</c:v>
                </c:pt>
                <c:pt idx="3">
                  <c:v>260184.31</c:v>
                </c:pt>
              </c:numCache>
            </c:numRef>
          </c:val>
        </c:ser>
        <c:ser>
          <c:idx val="3"/>
          <c:order val="3"/>
          <c:tx>
            <c:strRef>
              <c:f>Ashburton!$B$116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Ashburton!$C$112:$F$112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Ashburton!$C$116:$F$116</c:f>
              <c:numCache>
                <c:formatCode>General</c:formatCode>
                <c:ptCount val="4"/>
                <c:pt idx="0">
                  <c:v>78022.323999999993</c:v>
                </c:pt>
                <c:pt idx="1">
                  <c:v>81326.607000000004</c:v>
                </c:pt>
                <c:pt idx="2">
                  <c:v>80934.581999999995</c:v>
                </c:pt>
                <c:pt idx="3">
                  <c:v>77466.36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287360"/>
        <c:axId val="134288896"/>
      </c:barChart>
      <c:catAx>
        <c:axId val="13428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4288896"/>
        <c:crosses val="autoZero"/>
        <c:auto val="1"/>
        <c:lblAlgn val="ctr"/>
        <c:lblOffset val="100"/>
        <c:noMultiLvlLbl val="0"/>
      </c:catAx>
      <c:valAx>
        <c:axId val="1342888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4287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Ashburton!$U$138:$U$144</c:f>
              <c:strCache>
                <c:ptCount val="7"/>
                <c:pt idx="0">
                  <c:v>General management, admin and overheads</c:v>
                </c:pt>
                <c:pt idx="1">
                  <c:v>Routine and preventative maintenance</c:v>
                </c:pt>
                <c:pt idx="2">
                  <c:v>System management and operations</c:v>
                </c:pt>
                <c:pt idx="3">
                  <c:v>Fault and emergency maintenance</c:v>
                </c:pt>
                <c:pt idx="4">
                  <c:v>Pass-through costs</c:v>
                </c:pt>
                <c:pt idx="5">
                  <c:v>Refurbishment and renewal maintenance</c:v>
                </c:pt>
                <c:pt idx="6">
                  <c:v>Other</c:v>
                </c:pt>
              </c:strCache>
            </c:strRef>
          </c:cat>
          <c:val>
            <c:numRef>
              <c:f>Ashburton!$V$138:$V$144</c:f>
              <c:numCache>
                <c:formatCode>General</c:formatCode>
                <c:ptCount val="7"/>
                <c:pt idx="0">
                  <c:v>3029</c:v>
                </c:pt>
                <c:pt idx="1">
                  <c:v>1322</c:v>
                </c:pt>
                <c:pt idx="2">
                  <c:v>1277</c:v>
                </c:pt>
                <c:pt idx="3">
                  <c:v>471</c:v>
                </c:pt>
                <c:pt idx="4">
                  <c:v>287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34329856"/>
        <c:axId val="134331392"/>
      </c:barChart>
      <c:catAx>
        <c:axId val="134329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4331392"/>
        <c:crosses val="autoZero"/>
        <c:auto val="1"/>
        <c:lblAlgn val="ctr"/>
        <c:lblOffset val="100"/>
        <c:noMultiLvlLbl val="0"/>
      </c:catAx>
      <c:valAx>
        <c:axId val="134331392"/>
        <c:scaling>
          <c:orientation val="minMax"/>
          <c:max val="31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4329856"/>
        <c:crosses val="autoZero"/>
        <c:crossBetween val="between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50362847222223"/>
          <c:y val="5.1014483439099333E-2"/>
          <c:w val="0.70279392361111936"/>
          <c:h val="0.8328039561239104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Ashburton!$U$186:$U$191</c:f>
              <c:strCache>
                <c:ptCount val="6"/>
                <c:pt idx="0">
                  <c:v>System growth</c:v>
                </c:pt>
                <c:pt idx="1">
                  <c:v>Non-network capex</c:v>
                </c:pt>
                <c:pt idx="2">
                  <c:v>Asset replacement and renewal</c:v>
                </c:pt>
                <c:pt idx="3">
                  <c:v>Customer connection</c:v>
                </c:pt>
                <c:pt idx="4">
                  <c:v>Reliability, safety and environment</c:v>
                </c:pt>
                <c:pt idx="5">
                  <c:v>Asset relocations</c:v>
                </c:pt>
              </c:strCache>
            </c:strRef>
          </c:cat>
          <c:val>
            <c:numRef>
              <c:f>Ashburton!$V$186:$V$191</c:f>
              <c:numCache>
                <c:formatCode>General</c:formatCode>
                <c:ptCount val="6"/>
                <c:pt idx="0">
                  <c:v>5.3109999999999999</c:v>
                </c:pt>
                <c:pt idx="1">
                  <c:v>3.5569999999999999</c:v>
                </c:pt>
                <c:pt idx="2">
                  <c:v>3.3420000000000001</c:v>
                </c:pt>
                <c:pt idx="3">
                  <c:v>3.2650000000000001</c:v>
                </c:pt>
                <c:pt idx="4">
                  <c:v>0.90800000000000003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34347392"/>
        <c:axId val="133837184"/>
      </c:barChart>
      <c:catAx>
        <c:axId val="134347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3837184"/>
        <c:crosses val="autoZero"/>
        <c:auto val="1"/>
        <c:lblAlgn val="ctr"/>
        <c:lblOffset val="100"/>
        <c:noMultiLvlLbl val="0"/>
      </c:catAx>
      <c:valAx>
        <c:axId val="133837184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43473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2201985723286564"/>
          <c:h val="0.82404629629630821"/>
        </c:manualLayout>
      </c:layout>
      <c:lineChart>
        <c:grouping val="standard"/>
        <c:varyColors val="0"/>
        <c:ser>
          <c:idx val="0"/>
          <c:order val="0"/>
          <c:tx>
            <c:strRef>
              <c:f>Ashburton!$B$76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4.5649492001734546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Ashburton!$C$76:$F$76</c:f>
              <c:numCache>
                <c:formatCode>0.0</c:formatCode>
                <c:ptCount val="4"/>
                <c:pt idx="0">
                  <c:v>100</c:v>
                </c:pt>
                <c:pt idx="1">
                  <c:v>100.27204146372306</c:v>
                </c:pt>
                <c:pt idx="2">
                  <c:v>101.58680334824422</c:v>
                </c:pt>
                <c:pt idx="3">
                  <c:v>101.50063769686777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Ashburton!$B$77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983640424531631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Ashburton!$C$77:$F$77</c:f>
              <c:numCache>
                <c:formatCode>0.0</c:formatCode>
                <c:ptCount val="4"/>
                <c:pt idx="0">
                  <c:v>100</c:v>
                </c:pt>
                <c:pt idx="1">
                  <c:v>95.265775371516057</c:v>
                </c:pt>
                <c:pt idx="2">
                  <c:v>92.470668012345755</c:v>
                </c:pt>
                <c:pt idx="3">
                  <c:v>91.780612665126966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Ashburton!$B$78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1.175925925925926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Ashburton!$C$78:$F$78</c:f>
              <c:numCache>
                <c:formatCode>0.0</c:formatCode>
                <c:ptCount val="4"/>
                <c:pt idx="0">
                  <c:v>100</c:v>
                </c:pt>
                <c:pt idx="1">
                  <c:v>96.115256164831294</c:v>
                </c:pt>
                <c:pt idx="2">
                  <c:v>95.597266129997166</c:v>
                </c:pt>
                <c:pt idx="3">
                  <c:v>93.750661500419668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Ashburton!$B$79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2772704811639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Ashburton!$C$79:$F$79</c:f>
              <c:numCache>
                <c:formatCode>0.0</c:formatCode>
                <c:ptCount val="4"/>
                <c:pt idx="0">
                  <c:v>100</c:v>
                </c:pt>
                <c:pt idx="1">
                  <c:v>104.79118649094804</c:v>
                </c:pt>
                <c:pt idx="2">
                  <c:v>88.481273109172889</c:v>
                </c:pt>
                <c:pt idx="3">
                  <c:v>87.806393453272364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93504"/>
        <c:axId val="133903488"/>
      </c:lineChart>
      <c:catAx>
        <c:axId val="13389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3903488"/>
        <c:crosses val="autoZero"/>
        <c:auto val="1"/>
        <c:lblAlgn val="ctr"/>
        <c:lblOffset val="100"/>
        <c:noMultiLvlLbl val="0"/>
      </c:catAx>
      <c:valAx>
        <c:axId val="133903488"/>
        <c:scaling>
          <c:orientation val="minMax"/>
          <c:max val="115"/>
          <c:min val="8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38935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22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374"/>
          <c:y val="0.16445370370370369"/>
          <c:w val="0.7033004190798211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Ashburton!$B$70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Ashburton!$C$69:$F$69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Ashburton!$C$70:$F$70</c:f>
              <c:numCache>
                <c:formatCode>0</c:formatCode>
                <c:ptCount val="4"/>
                <c:pt idx="0">
                  <c:v>527.51657413388364</c:v>
                </c:pt>
                <c:pt idx="1">
                  <c:v>528.95163794353925</c:v>
                </c:pt>
                <c:pt idx="2">
                  <c:v>535.88722479478326</c:v>
                </c:pt>
                <c:pt idx="3">
                  <c:v>535.43268670256214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44064"/>
        <c:axId val="133945600"/>
      </c:lineChart>
      <c:catAx>
        <c:axId val="13394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3945600"/>
        <c:crosses val="autoZero"/>
        <c:auto val="1"/>
        <c:lblAlgn val="ctr"/>
        <c:lblOffset val="100"/>
        <c:noMultiLvlLbl val="0"/>
      </c:catAx>
      <c:valAx>
        <c:axId val="133945600"/>
        <c:scaling>
          <c:orientation val="minMax"/>
          <c:max val="800"/>
          <c:min val="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33944064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76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54"/>
          <c:y val="0.17621296296296726"/>
          <c:w val="0.73692152777777775"/>
          <c:h val="0.57282407407409552"/>
        </c:manualLayout>
      </c:layout>
      <c:lineChart>
        <c:grouping val="standard"/>
        <c:varyColors val="0"/>
        <c:ser>
          <c:idx val="1"/>
          <c:order val="0"/>
          <c:tx>
            <c:strRef>
              <c:f>Ashburton!$B$71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Ashburton!$C$69:$F$69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Ashburton!$C$71:$F$71</c:f>
              <c:numCache>
                <c:formatCode>0</c:formatCode>
                <c:ptCount val="4"/>
                <c:pt idx="0">
                  <c:v>2755.2745531352593</c:v>
                </c:pt>
                <c:pt idx="1">
                  <c:v>2624.8336666583791</c:v>
                </c:pt>
                <c:pt idx="2">
                  <c:v>2547.8207848583488</c:v>
                </c:pt>
                <c:pt idx="3">
                  <c:v>2528.8078654738802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2368"/>
        <c:axId val="133972352"/>
      </c:lineChart>
      <c:catAx>
        <c:axId val="13396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3972352"/>
        <c:crosses val="autoZero"/>
        <c:auto val="1"/>
        <c:lblAlgn val="ctr"/>
        <c:lblOffset val="100"/>
        <c:noMultiLvlLbl val="0"/>
      </c:catAx>
      <c:valAx>
        <c:axId val="133972352"/>
        <c:scaling>
          <c:orientation val="minMax"/>
          <c:max val="4000"/>
          <c:min val="2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33962368"/>
        <c:crosses val="autoZero"/>
        <c:crossBetween val="midCat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7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Ashburton!$B$72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Ashburton!$C$69:$F$69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Ashburton!$C$72:$F$72</c:f>
              <c:numCache>
                <c:formatCode>0</c:formatCode>
                <c:ptCount val="4"/>
                <c:pt idx="0">
                  <c:v>10419.876406058944</c:v>
                </c:pt>
                <c:pt idx="1">
                  <c:v>10015.09089974237</c:v>
                </c:pt>
                <c:pt idx="2">
                  <c:v>9961.1169783169516</c:v>
                </c:pt>
                <c:pt idx="3">
                  <c:v>9768.7030582064144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9216"/>
        <c:axId val="134010752"/>
      </c:lineChart>
      <c:catAx>
        <c:axId val="1340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4010752"/>
        <c:crosses val="autoZero"/>
        <c:auto val="1"/>
        <c:lblAlgn val="ctr"/>
        <c:lblOffset val="100"/>
        <c:noMultiLvlLbl val="0"/>
      </c:catAx>
      <c:valAx>
        <c:axId val="134010752"/>
        <c:scaling>
          <c:orientation val="minMax"/>
          <c:max val="16000"/>
          <c:min val="8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34009216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Ashburton!$B$73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Ashburton!$C$69:$F$69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Ashburton!$C$73:$F$73</c:f>
              <c:numCache>
                <c:formatCode>0</c:formatCode>
                <c:ptCount val="4"/>
                <c:pt idx="0">
                  <c:v>322351.51549713436</c:v>
                </c:pt>
                <c:pt idx="1">
                  <c:v>337795.97776099929</c:v>
                </c:pt>
                <c:pt idx="2">
                  <c:v>285220.7247985772</c:v>
                </c:pt>
                <c:pt idx="3">
                  <c:v>283045.24000000005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18944"/>
        <c:axId val="134020480"/>
      </c:lineChart>
      <c:catAx>
        <c:axId val="1340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4020480"/>
        <c:crosses val="autoZero"/>
        <c:auto val="1"/>
        <c:lblAlgn val="ctr"/>
        <c:lblOffset val="100"/>
        <c:noMultiLvlLbl val="0"/>
      </c:catAx>
      <c:valAx>
        <c:axId val="134020480"/>
        <c:scaling>
          <c:orientation val="minMax"/>
          <c:max val="400000"/>
          <c:min val="2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34018944"/>
        <c:crosses val="autoZero"/>
        <c:crossBetween val="midCat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87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Ashburton!$B$105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11059849042758E-4"/>
                  <c:y val="-3.57576178099526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Ashburton!$C$105:$F$105</c:f>
              <c:numCache>
                <c:formatCode>0.0</c:formatCode>
                <c:ptCount val="4"/>
                <c:pt idx="0">
                  <c:v>100</c:v>
                </c:pt>
                <c:pt idx="1">
                  <c:v>101.78897407813071</c:v>
                </c:pt>
                <c:pt idx="2">
                  <c:v>102.55567725447243</c:v>
                </c:pt>
                <c:pt idx="3">
                  <c:v>104.40577583059509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Ashburton!$B$106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7670985131727962"/>
                  <c:y val="-9.407407407407426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Ashburton!$C$106:$F$106</c:f>
              <c:numCache>
                <c:formatCode>0.0</c:formatCode>
                <c:ptCount val="4"/>
                <c:pt idx="0">
                  <c:v>100</c:v>
                </c:pt>
                <c:pt idx="1">
                  <c:v>105.456570155902</c:v>
                </c:pt>
                <c:pt idx="2">
                  <c:v>108.79732739420935</c:v>
                </c:pt>
                <c:pt idx="3">
                  <c:v>110.98829064587974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Ashburton!$B$107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687940179117881E-5"/>
                  <c:y val="-4.11574074074074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Ashburton!$C$107:$F$107</c:f>
              <c:numCache>
                <c:formatCode>0.0</c:formatCode>
                <c:ptCount val="4"/>
                <c:pt idx="0">
                  <c:v>100</c:v>
                </c:pt>
                <c:pt idx="1">
                  <c:v>111.56957928802589</c:v>
                </c:pt>
                <c:pt idx="2">
                  <c:v>117.15210355987055</c:v>
                </c:pt>
                <c:pt idx="3">
                  <c:v>121.94813106796116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80384"/>
        <c:axId val="134081920"/>
      </c:lineChart>
      <c:catAx>
        <c:axId val="13408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4081920"/>
        <c:crosses val="autoZero"/>
        <c:auto val="1"/>
        <c:lblAlgn val="ctr"/>
        <c:lblOffset val="100"/>
        <c:noMultiLvlLbl val="0"/>
      </c:catAx>
      <c:valAx>
        <c:axId val="134081920"/>
        <c:scaling>
          <c:orientation val="minMax"/>
          <c:max val="13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4080384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5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Ashburton!$B$98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Ashburton!$C$97:$F$97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Ashburton!$C$98:$F$98</c:f>
              <c:numCache>
                <c:formatCode>General</c:formatCode>
                <c:ptCount val="4"/>
                <c:pt idx="0">
                  <c:v>13695</c:v>
                </c:pt>
                <c:pt idx="1">
                  <c:v>13940</c:v>
                </c:pt>
                <c:pt idx="2">
                  <c:v>14045</c:v>
                </c:pt>
                <c:pt idx="3">
                  <c:v>14298.370999999999</c:v>
                </c:pt>
              </c:numCache>
            </c:numRef>
          </c:val>
        </c:ser>
        <c:ser>
          <c:idx val="1"/>
          <c:order val="1"/>
          <c:tx>
            <c:strRef>
              <c:f>Ashburton!$B$99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Ashburton!$C$97:$F$97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Ashburton!$C$99:$F$99</c:f>
              <c:numCache>
                <c:formatCode>General</c:formatCode>
                <c:ptCount val="4"/>
                <c:pt idx="0">
                  <c:v>1796</c:v>
                </c:pt>
                <c:pt idx="1">
                  <c:v>1894</c:v>
                </c:pt>
                <c:pt idx="2">
                  <c:v>1954</c:v>
                </c:pt>
                <c:pt idx="3">
                  <c:v>1993.3497</c:v>
                </c:pt>
              </c:numCache>
            </c:numRef>
          </c:val>
        </c:ser>
        <c:ser>
          <c:idx val="2"/>
          <c:order val="2"/>
          <c:tx>
            <c:strRef>
              <c:f>Ashburton!$B$100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Ashburton!$C$97:$F$97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Ashburton!$C$100:$F$100</c:f>
              <c:numCache>
                <c:formatCode>General</c:formatCode>
                <c:ptCount val="4"/>
                <c:pt idx="0">
                  <c:v>1236</c:v>
                </c:pt>
                <c:pt idx="1">
                  <c:v>1379</c:v>
                </c:pt>
                <c:pt idx="2">
                  <c:v>1448</c:v>
                </c:pt>
                <c:pt idx="3">
                  <c:v>1507.2789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796800"/>
        <c:axId val="134798336"/>
      </c:barChart>
      <c:catAx>
        <c:axId val="13479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4798336"/>
        <c:crosses val="autoZero"/>
        <c:auto val="1"/>
        <c:lblAlgn val="ctr"/>
        <c:lblOffset val="100"/>
        <c:noMultiLvlLbl val="0"/>
      </c:catAx>
      <c:valAx>
        <c:axId val="13479833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4796800"/>
        <c:crosses val="autoZero"/>
        <c:crossBetween val="between"/>
        <c:majorUnit val="5000"/>
      </c:valAx>
    </c:plotArea>
    <c:legend>
      <c:legendPos val="t"/>
      <c:layout>
        <c:manualLayout>
          <c:xMode val="edge"/>
          <c:yMode val="edge"/>
          <c:x val="0"/>
          <c:y val="3.5277777777779212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1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77054044656618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</a:t>
                    </a:r>
                    <a:r>
                      <a:rPr lang="en-US"/>
                      <a:t>lpine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Alpine!$C$212:$F$212</c:f>
              <c:numCache>
                <c:formatCode>_(* #,##0.00_);_(* \(#,##0.00\);_(* "-"??_);_(@_)</c:formatCode>
                <c:ptCount val="4"/>
                <c:pt idx="0">
                  <c:v>0.10092884720176248</c:v>
                </c:pt>
                <c:pt idx="1">
                  <c:v>8.7213494410385645E-2</c:v>
                </c:pt>
                <c:pt idx="2">
                  <c:v>9.8199365518921708E-2</c:v>
                </c:pt>
                <c:pt idx="3">
                  <c:v>0.11331751867405236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Industry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Alpine!$C$204:$F$204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01152"/>
        <c:axId val="115202688"/>
      </c:lineChart>
      <c:catAx>
        <c:axId val="11520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5202688"/>
        <c:crosses val="autoZero"/>
        <c:auto val="1"/>
        <c:lblAlgn val="ctr"/>
        <c:lblOffset val="100"/>
        <c:noMultiLvlLbl val="0"/>
      </c:catAx>
      <c:valAx>
        <c:axId val="115202688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5201152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Ashburton!$B$209</c:f>
              <c:strCache>
                <c:ptCount val="1"/>
                <c:pt idx="0">
                  <c:v>Electricity Ashburton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Ashburton!$C$204:$F$204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Ashburton!$C$209:$F$209</c:f>
              <c:numCache>
                <c:formatCode>_(* #,##0.00_);_(* \(#,##0.00\);_(* "-"??_);_(@_)</c:formatCode>
                <c:ptCount val="4"/>
                <c:pt idx="0">
                  <c:v>23812.335286912446</c:v>
                </c:pt>
                <c:pt idx="1">
                  <c:v>32785.30676453597</c:v>
                </c:pt>
                <c:pt idx="2">
                  <c:v>26341.39980417574</c:v>
                </c:pt>
                <c:pt idx="3">
                  <c:v>30168.104011800246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Ashburton!$B$210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834222003270513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Ashburton!$C$204:$F$204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45184"/>
        <c:axId val="134846720"/>
      </c:lineChart>
      <c:catAx>
        <c:axId val="1348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4846720"/>
        <c:crosses val="autoZero"/>
        <c:auto val="1"/>
        <c:lblAlgn val="ctr"/>
        <c:lblOffset val="100"/>
        <c:noMultiLvlLbl val="0"/>
      </c:catAx>
      <c:valAx>
        <c:axId val="134846720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4845184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17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Ashburton!$C$204:$F$204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Ashburton!$C$212:$F$212</c:f>
              <c:numCache>
                <c:formatCode>_(* #,##0.00_);_(* \(#,##0.00\);_(* "-"??_);_(@_)</c:formatCode>
                <c:ptCount val="4"/>
                <c:pt idx="0">
                  <c:v>7.3715236755009447E-2</c:v>
                </c:pt>
                <c:pt idx="1">
                  <c:v>0.10715026697079126</c:v>
                </c:pt>
                <c:pt idx="2">
                  <c:v>8.2458735804393626E-2</c:v>
                </c:pt>
                <c:pt idx="3">
                  <c:v>8.8977123163173383E-2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Ashburton!$C$204:$F$204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90240"/>
        <c:axId val="134891776"/>
      </c:lineChart>
      <c:catAx>
        <c:axId val="1348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4891776"/>
        <c:crosses val="autoZero"/>
        <c:auto val="1"/>
        <c:lblAlgn val="ctr"/>
        <c:lblOffset val="100"/>
        <c:noMultiLvlLbl val="0"/>
      </c:catAx>
      <c:valAx>
        <c:axId val="134891776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4890240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168"/>
          <c:w val="0.79809047321242665"/>
          <c:h val="0.72979551178440172"/>
        </c:manualLayout>
      </c:layout>
      <c:lineChart>
        <c:grouping val="standard"/>
        <c:varyColors val="0"/>
        <c:ser>
          <c:idx val="0"/>
          <c:order val="0"/>
          <c:tx>
            <c:strRef>
              <c:f>Ashburton!$B$206</c:f>
              <c:strCache>
                <c:ptCount val="1"/>
                <c:pt idx="0">
                  <c:v>Electricity Ashburton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Ashburton!$C$204:$F$204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Ashburton!$C$206:$F$206</c:f>
              <c:numCache>
                <c:formatCode>_(* #,##0.00_);_(* \(#,##0.00\);_(* "-"??_);_(@_)</c:formatCode>
                <c:ptCount val="4"/>
                <c:pt idx="0">
                  <c:v>679.90064729386449</c:v>
                </c:pt>
                <c:pt idx="1">
                  <c:v>999.50819026847205</c:v>
                </c:pt>
                <c:pt idx="2">
                  <c:v>798.22004521833514</c:v>
                </c:pt>
                <c:pt idx="3">
                  <c:v>920.18649562315204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Ashburton!$B$207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Ashburton!$C$204:$F$204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36064"/>
        <c:axId val="134937600"/>
      </c:lineChart>
      <c:catAx>
        <c:axId val="13493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4937600"/>
        <c:crosses val="autoZero"/>
        <c:auto val="1"/>
        <c:lblAlgn val="ctr"/>
        <c:lblOffset val="100"/>
        <c:noMultiLvlLbl val="0"/>
      </c:catAx>
      <c:valAx>
        <c:axId val="134937600"/>
        <c:scaling>
          <c:orientation val="minMax"/>
          <c:max val="1001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4936064"/>
        <c:crosses val="autoZero"/>
        <c:crossBetween val="midCat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586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Ashburton!$B$162</c:f>
              <c:strCache>
                <c:ptCount val="1"/>
                <c:pt idx="0">
                  <c:v>Electricity Ashburton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Ashburton!$C$160:$F$160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Ashburton!$C$162:$F$162</c:f>
              <c:numCache>
                <c:formatCode>_(* #,##0.00_);_(* \(#,##0.00\);_(* "-"??_);_(@_)</c:formatCode>
                <c:ptCount val="4"/>
                <c:pt idx="0">
                  <c:v>338.40392338773472</c:v>
                </c:pt>
                <c:pt idx="1">
                  <c:v>359.87841643820178</c:v>
                </c:pt>
                <c:pt idx="2">
                  <c:v>361.89322462579241</c:v>
                </c:pt>
                <c:pt idx="3">
                  <c:v>358.68344998165469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Ashburton!$B$163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Ashburton!$C$160:$F$160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00832"/>
        <c:axId val="135002368"/>
      </c:lineChart>
      <c:catAx>
        <c:axId val="1350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5002368"/>
        <c:crosses val="autoZero"/>
        <c:auto val="1"/>
        <c:lblAlgn val="ctr"/>
        <c:lblOffset val="100"/>
        <c:noMultiLvlLbl val="0"/>
      </c:catAx>
      <c:valAx>
        <c:axId val="135002368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5000832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94357218820599"/>
          <c:y val="0.14255777777777778"/>
          <c:w val="0.7090850643861448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Ashburton!$C$160:$F$160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Ashburton!$C$165:$F$165</c:f>
              <c:numCache>
                <c:formatCode>_(* #,##0.00_);_(* \(#,##0.00\);_(* "-"??_);_(@_)</c:formatCode>
                <c:ptCount val="4"/>
                <c:pt idx="0">
                  <c:v>1984.7083480400916</c:v>
                </c:pt>
                <c:pt idx="1">
                  <c:v>2145.9347443231027</c:v>
                </c:pt>
                <c:pt idx="2">
                  <c:v>2153.0512566200755</c:v>
                </c:pt>
                <c:pt idx="3">
                  <c:v>2157.0680628272248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2340130127319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Ashburton!$C$160:$F$160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01824"/>
        <c:axId val="135120000"/>
      </c:lineChart>
      <c:catAx>
        <c:axId val="1351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5120000"/>
        <c:crosses val="autoZero"/>
        <c:auto val="1"/>
        <c:lblAlgn val="ctr"/>
        <c:lblOffset val="100"/>
        <c:noMultiLvlLbl val="0"/>
      </c:catAx>
      <c:valAx>
        <c:axId val="135120000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35101824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32138115045529"/>
          <c:y val="0.13550222222222241"/>
          <c:w val="0.76281482506980836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Ashburton!$B$168</c:f>
              <c:strCache>
                <c:ptCount val="1"/>
                <c:pt idx="0">
                  <c:v>Electricity Ashburton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Ashburton!$C$160:$F$160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Ashburton!$C$168:$F$168</c:f>
              <c:numCache>
                <c:formatCode>_(* #,##0.00_);_(* \(#,##0.00\);_(* "-"??_);_(@_)</c:formatCode>
                <c:ptCount val="4"/>
                <c:pt idx="0">
                  <c:v>11.85200766933891</c:v>
                </c:pt>
                <c:pt idx="1">
                  <c:v>11.804529863524865</c:v>
                </c:pt>
                <c:pt idx="2">
                  <c:v>11.942539119877528</c:v>
                </c:pt>
                <c:pt idx="3">
                  <c:v>11.759354954486748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Ashburton!$B$169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Ashburton!$C$160:$F$160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219840"/>
        <c:axId val="135225728"/>
      </c:lineChart>
      <c:catAx>
        <c:axId val="13521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5225728"/>
        <c:crosses val="autoZero"/>
        <c:auto val="1"/>
        <c:lblAlgn val="ctr"/>
        <c:lblOffset val="100"/>
        <c:noMultiLvlLbl val="0"/>
      </c:catAx>
      <c:valAx>
        <c:axId val="135225728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5219840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635"/>
          <c:h val="0.77599166666669539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Ashburton!$B$178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Ashburton!$C$178:$D$178</c:f>
              <c:numCache>
                <c:formatCode>_-* #,##0_-;\-* #,##0_-;_-* "-"??_-;_-@_-</c:formatCode>
                <c:ptCount val="2"/>
                <c:pt idx="0">
                  <c:v>2158.9121823718033</c:v>
                </c:pt>
                <c:pt idx="1">
                  <c:v>1793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35151616"/>
        <c:axId val="135152768"/>
      </c:barChart>
      <c:lineChart>
        <c:grouping val="standard"/>
        <c:varyColors val="0"/>
        <c:ser>
          <c:idx val="1"/>
          <c:order val="0"/>
          <c:tx>
            <c:strRef>
              <c:f>Ashburton!$B$179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Ashburton!$C$177:$D$177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Ashburton!$C$179:$D$179</c:f>
              <c:numCache>
                <c:formatCode>_-* #,##0_-;\-* #,##0_-;_-* "-"??_-;_-@_-</c:formatCode>
                <c:ptCount val="2"/>
                <c:pt idx="0">
                  <c:v>1822.6965050793563</c:v>
                </c:pt>
                <c:pt idx="1">
                  <c:v>1819.6399989221522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Ashburton!$B$180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Ashburton!$C$177:$D$177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Ashburton!$C$180:$D$180</c:f>
              <c:numCache>
                <c:formatCode>_-* #,##0_-;\-* #,##0_-;_-* "-"??_-;_-@_-</c:formatCode>
                <c:ptCount val="2"/>
                <c:pt idx="1">
                  <c:v>1788.5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51616"/>
        <c:axId val="135152768"/>
      </c:lineChart>
      <c:catAx>
        <c:axId val="13515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5152768"/>
        <c:crosses val="autoZero"/>
        <c:auto val="1"/>
        <c:lblAlgn val="ctr"/>
        <c:lblOffset val="100"/>
        <c:noMultiLvlLbl val="0"/>
      </c:catAx>
      <c:valAx>
        <c:axId val="13515276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5151616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237"/>
          <c:y val="3.527777777777924E-2"/>
          <c:w val="0.7717227593675049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Ashburton!$V$177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4453819444444479"/>
                  <c:y val="-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Ashburton!$W$177:$AC$177</c:f>
              <c:numCache>
                <c:formatCode>General</c:formatCode>
                <c:ptCount val="7"/>
                <c:pt idx="0">
                  <c:v>1822.6965050793563</c:v>
                </c:pt>
                <c:pt idx="1">
                  <c:v>1819.6399989221522</c:v>
                </c:pt>
                <c:pt idx="2">
                  <c:v>1820.658834307887</c:v>
                </c:pt>
                <c:pt idx="3">
                  <c:v>1819.6399989221522</c:v>
                </c:pt>
                <c:pt idx="4">
                  <c:v>1815.5646573792135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Ashburton!$V$178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6782083333333325"/>
                  <c:y val="3.527777777777851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Ashburton!$W$178:$AC$178</c:f>
              <c:numCache>
                <c:formatCode>General</c:formatCode>
                <c:ptCount val="7"/>
                <c:pt idx="1">
                  <c:v>1788.5</c:v>
                </c:pt>
                <c:pt idx="2">
                  <c:v>1786</c:v>
                </c:pt>
                <c:pt idx="3">
                  <c:v>1786.5</c:v>
                </c:pt>
                <c:pt idx="4">
                  <c:v>1785.6999999999998</c:v>
                </c:pt>
                <c:pt idx="5">
                  <c:v>1781.8999999999999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Ashburton!$V$179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2076388888888892E-2"/>
                  <c:y val="-4.11574074074074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Ashburton!$W$179:$AC$179</c:f>
              <c:numCache>
                <c:formatCode>General</c:formatCode>
                <c:ptCount val="7"/>
                <c:pt idx="2">
                  <c:v>1889.7667744020684</c:v>
                </c:pt>
                <c:pt idx="3">
                  <c:v>1778.3164835164835</c:v>
                </c:pt>
                <c:pt idx="4">
                  <c:v>1778.3164835164835</c:v>
                </c:pt>
                <c:pt idx="5">
                  <c:v>1782.2270200387848</c:v>
                </c:pt>
                <c:pt idx="6">
                  <c:v>1781.2493859082094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Ashburton!$V$176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245018805343034E-3"/>
                  <c:y val="9.4239453641506866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Ashburton!$C$178:$I$178</c:f>
              <c:numCache>
                <c:formatCode>_-* #,##0_-;\-* #,##0_-;_-* "-"??_-;_-@_-</c:formatCode>
                <c:ptCount val="7"/>
                <c:pt idx="0">
                  <c:v>2158.9121823718033</c:v>
                </c:pt>
                <c:pt idx="1">
                  <c:v>1793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40800"/>
        <c:axId val="135342336"/>
      </c:lineChart>
      <c:catAx>
        <c:axId val="1353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5342336"/>
        <c:crosses val="autoZero"/>
        <c:auto val="1"/>
        <c:lblAlgn val="ctr"/>
        <c:lblOffset val="100"/>
        <c:noMultiLvlLbl val="0"/>
      </c:catAx>
      <c:valAx>
        <c:axId val="135342336"/>
        <c:scaling>
          <c:orientation val="minMax"/>
          <c:max val="2400"/>
          <c:min val="12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534080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6878"/>
          <c:h val="0.7757828703703884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Ashburton!$B$222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Ashburton!$C$222:$D$222</c:f>
              <c:numCache>
                <c:formatCode>_-* #,##0_-;\-* #,##0_-;_-* "-"??_-;_-@_-</c:formatCode>
                <c:ptCount val="2"/>
                <c:pt idx="0">
                  <c:v>13466.966128641101</c:v>
                </c:pt>
                <c:pt idx="1">
                  <c:v>12826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35402624"/>
        <c:axId val="135404160"/>
      </c:barChart>
      <c:lineChart>
        <c:grouping val="standard"/>
        <c:varyColors val="0"/>
        <c:ser>
          <c:idx val="1"/>
          <c:order val="0"/>
          <c:tx>
            <c:strRef>
              <c:f>Ashburton!$B$223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Ashburton!$C$221:$D$221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Ashburton!$C$223:$D$223</c:f>
              <c:numCache>
                <c:formatCode>_-* #,##0_-;\-* #,##0_-;_-* "-"??_-;_-@_-</c:formatCode>
                <c:ptCount val="2"/>
                <c:pt idx="0">
                  <c:v>13776.692085904448</c:v>
                </c:pt>
                <c:pt idx="1">
                  <c:v>8449.2018538977645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Ashburton!$B$224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Ashburton!$C$221:$D$221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Ashburton!$C$224:$D$224</c:f>
              <c:numCache>
                <c:formatCode>_-* #,##0_-;\-* #,##0_-;_-* "-"??_-;_-@_-</c:formatCode>
                <c:ptCount val="2"/>
                <c:pt idx="1">
                  <c:v>12760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02624"/>
        <c:axId val="135404160"/>
      </c:lineChart>
      <c:catAx>
        <c:axId val="13540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5404160"/>
        <c:crosses val="autoZero"/>
        <c:auto val="1"/>
        <c:lblAlgn val="ctr"/>
        <c:lblOffset val="100"/>
        <c:noMultiLvlLbl val="0"/>
      </c:catAx>
      <c:valAx>
        <c:axId val="13540416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5402624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439E-3"/>
          <c:w val="0.90316284722220697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Ashburton!$V$221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6.6053599232378996E-2"/>
                  <c:y val="5.879629629629766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Ashburton!$W$221:$AC$221</c:f>
              <c:numCache>
                <c:formatCode>General</c:formatCode>
                <c:ptCount val="7"/>
                <c:pt idx="0">
                  <c:v>13776.692085904448</c:v>
                </c:pt>
                <c:pt idx="1">
                  <c:v>8449.2018538977645</c:v>
                </c:pt>
                <c:pt idx="2">
                  <c:v>10080.357306459</c:v>
                </c:pt>
                <c:pt idx="3">
                  <c:v>6392.1732100994304</c:v>
                </c:pt>
                <c:pt idx="4">
                  <c:v>8876.0938805205988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Ashburton!$V$222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9428304531892679"/>
                  <c:y val="0.123472222222223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Ashburton!$W$222:$AC$222</c:f>
              <c:numCache>
                <c:formatCode>General</c:formatCode>
                <c:ptCount val="7"/>
                <c:pt idx="1">
                  <c:v>12760</c:v>
                </c:pt>
                <c:pt idx="2">
                  <c:v>16249.1</c:v>
                </c:pt>
                <c:pt idx="3">
                  <c:v>9693.2000000000007</c:v>
                </c:pt>
                <c:pt idx="4">
                  <c:v>11021.2</c:v>
                </c:pt>
                <c:pt idx="5">
                  <c:v>12214.2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Ashburton!$V$223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5837227605284453E-2"/>
                  <c:y val="0.1940277777777777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Ashburton!$W$223:$AC$223</c:f>
              <c:numCache>
                <c:formatCode>General</c:formatCode>
                <c:ptCount val="7"/>
                <c:pt idx="2">
                  <c:v>12519.582676147382</c:v>
                </c:pt>
                <c:pt idx="3">
                  <c:v>13988.966774402068</c:v>
                </c:pt>
                <c:pt idx="4">
                  <c:v>13414.117905623787</c:v>
                </c:pt>
                <c:pt idx="5">
                  <c:v>11730.631932773109</c:v>
                </c:pt>
                <c:pt idx="6">
                  <c:v>9378.4442146089204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Ashburton!$V$220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8.8336242517070042E-3"/>
                  <c:y val="-3.527777777777846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Ashburton!$W$220:$AC$220</c:f>
              <c:numCache>
                <c:formatCode>General</c:formatCode>
                <c:ptCount val="7"/>
                <c:pt idx="0">
                  <c:v>13466.966128641101</c:v>
                </c:pt>
                <c:pt idx="1">
                  <c:v>12826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49216"/>
        <c:axId val="135487872"/>
      </c:lineChart>
      <c:catAx>
        <c:axId val="13544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5487872"/>
        <c:crosses val="autoZero"/>
        <c:auto val="1"/>
        <c:lblAlgn val="ctr"/>
        <c:lblOffset val="100"/>
        <c:noMultiLvlLbl val="0"/>
      </c:catAx>
      <c:valAx>
        <c:axId val="135487872"/>
        <c:scaling>
          <c:orientation val="minMax"/>
          <c:max val="18000"/>
          <c:min val="6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5449216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608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Alpine!$B$162</c:f>
              <c:strCache>
                <c:ptCount val="1"/>
                <c:pt idx="0">
                  <c:v>Alpine Energy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497996101390465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</a:t>
                    </a:r>
                    <a:r>
                      <a:rPr lang="en-US"/>
                      <a:t>lpine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Alpine!$C$160:$F$160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Alpine!$C$162:$F$162</c:f>
              <c:numCache>
                <c:formatCode>_(* #,##0.00_);_(* \(#,##0.00\);_(* "-"??_);_(@_)</c:formatCode>
                <c:ptCount val="4"/>
                <c:pt idx="0">
                  <c:v>276.19755657619226</c:v>
                </c:pt>
                <c:pt idx="1">
                  <c:v>281.45639954676784</c:v>
                </c:pt>
                <c:pt idx="2">
                  <c:v>342.39830919290625</c:v>
                </c:pt>
                <c:pt idx="3">
                  <c:v>391.15811328099659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Alpine!$B$163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273015181520344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53632"/>
        <c:axId val="115255168"/>
      </c:lineChart>
      <c:catAx>
        <c:axId val="11525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5255168"/>
        <c:crosses val="autoZero"/>
        <c:auto val="1"/>
        <c:lblAlgn val="ctr"/>
        <c:lblOffset val="100"/>
        <c:noMultiLvlLbl val="0"/>
      </c:catAx>
      <c:valAx>
        <c:axId val="115255168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5253632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398"/>
          <c:y val="6.4675925925925928E-2"/>
          <c:w val="0.77882050888626053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Ashburton!$B$237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19348856020737545"/>
                  <c:y val="0.1879658411564811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Ashburton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Ashburton!$C$236:$F$236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Ashburton!$C$237:$F$237</c:f>
              <c:numCache>
                <c:formatCode>_(* #,##0.00_);_(* \(#,##0.00\);_(* "-"??_);_(@_)</c:formatCode>
                <c:ptCount val="4"/>
                <c:pt idx="0">
                  <c:v>1.44</c:v>
                </c:pt>
                <c:pt idx="1">
                  <c:v>2.34</c:v>
                </c:pt>
                <c:pt idx="2">
                  <c:v>1.47053061</c:v>
                </c:pt>
                <c:pt idx="3">
                  <c:v>2.13319722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Ashburton!$B$238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0.35691431511208344"/>
                  <c:y val="4.11574074074074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Ashburton!$C$238:$F$238</c:f>
              <c:numCache>
                <c:formatCode>_(* #,##0.00_);_(* \(#,##0.00\);_(* "-"??_);_(@_)</c:formatCode>
                <c:ptCount val="4"/>
                <c:pt idx="0">
                  <c:v>1.64</c:v>
                </c:pt>
                <c:pt idx="1">
                  <c:v>1.64</c:v>
                </c:pt>
                <c:pt idx="2">
                  <c:v>1.64</c:v>
                </c:pt>
                <c:pt idx="3">
                  <c:v>1.9970000000000001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Ashburton!$B$239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7704645102223008"/>
                  <c:y val="-1.807779430260142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Ashburton!$C$236:$F$236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22560"/>
        <c:axId val="135540736"/>
      </c:lineChart>
      <c:catAx>
        <c:axId val="1355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5540736"/>
        <c:crosses val="autoZero"/>
        <c:auto val="1"/>
        <c:lblAlgn val="ctr"/>
        <c:lblOffset val="100"/>
        <c:noMultiLvlLbl val="0"/>
      </c:catAx>
      <c:valAx>
        <c:axId val="135540736"/>
        <c:scaling>
          <c:orientation val="minMax"/>
          <c:max val="4"/>
          <c:min val="1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552256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3159722222223"/>
          <c:y val="6.4675925925925928E-2"/>
          <c:w val="0.76542083333335476"/>
          <c:h val="0.80984259259260005"/>
        </c:manualLayout>
      </c:layout>
      <c:lineChart>
        <c:grouping val="standard"/>
        <c:varyColors val="0"/>
        <c:ser>
          <c:idx val="1"/>
          <c:order val="0"/>
          <c:tx>
            <c:strRef>
              <c:f>Ashburton!$B$230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3888807110792238E-3"/>
                  <c:y val="-3.4238559654320114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Ashburton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Ashburton!$C$230:$F$230</c:f>
              <c:numCache>
                <c:formatCode>_(* #,##0.00_);_(* \(#,##0.00\);_(* "-"??_);_(@_)</c:formatCode>
                <c:ptCount val="4"/>
                <c:pt idx="0">
                  <c:v>199.26999999999998</c:v>
                </c:pt>
                <c:pt idx="1">
                  <c:v>337.32</c:v>
                </c:pt>
                <c:pt idx="2">
                  <c:v>186.06482299999999</c:v>
                </c:pt>
                <c:pt idx="3">
                  <c:v>262.67931599999997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Ashburton!$B$231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1014066486862643E-4"/>
                  <c:y val="7.6320994780514134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Ashburton!$C$231:$F$231</c:f>
              <c:numCache>
                <c:formatCode>_(* #,##0.00_);_(* \(#,##0.00\);_(* "-"??_);_(@_)</c:formatCode>
                <c:ptCount val="4"/>
                <c:pt idx="0">
                  <c:v>198.6</c:v>
                </c:pt>
                <c:pt idx="1">
                  <c:v>198.6</c:v>
                </c:pt>
                <c:pt idx="2">
                  <c:v>198.6</c:v>
                </c:pt>
                <c:pt idx="3">
                  <c:v>222.07300000000001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Ashburton!$B$232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5600350694444447"/>
                  <c:y val="-0.1469907407407430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Ashburton!$C$229:$F$229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Ashburton!$C$232:$F$232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83616"/>
        <c:axId val="135585152"/>
      </c:lineChart>
      <c:catAx>
        <c:axId val="13558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5585152"/>
        <c:crosses val="autoZero"/>
        <c:auto val="1"/>
        <c:lblAlgn val="ctr"/>
        <c:lblOffset val="100"/>
        <c:noMultiLvlLbl val="0"/>
      </c:catAx>
      <c:valAx>
        <c:axId val="135585152"/>
        <c:scaling>
          <c:orientation val="minMax"/>
          <c:max val="400"/>
          <c:min val="1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55836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11736111110656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Invercargill!$B$26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05155532062845"/>
                  <c:y val="-0.3540020027681081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Invercargill!$C$26:$F$26</c:f>
              <c:numCache>
                <c:formatCode>0</c:formatCode>
                <c:ptCount val="4"/>
                <c:pt idx="0">
                  <c:v>1810.1277408685239</c:v>
                </c:pt>
                <c:pt idx="1">
                  <c:v>1782.8236392339893</c:v>
                </c:pt>
                <c:pt idx="2">
                  <c:v>1756.0646708523075</c:v>
                </c:pt>
                <c:pt idx="3">
                  <c:v>1849.4666666666665</c:v>
                </c:pt>
              </c:numCache>
            </c:numRef>
          </c:val>
        </c:ser>
        <c:ser>
          <c:idx val="1"/>
          <c:order val="1"/>
          <c:tx>
            <c:strRef>
              <c:f>Invercargill!$B$27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1763090277778211"/>
                  <c:y val="-3.13912037037042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Invercargill!$C$27:$F$27</c:f>
              <c:numCache>
                <c:formatCode>0</c:formatCode>
                <c:ptCount val="4"/>
                <c:pt idx="0">
                  <c:v>618.39742237176006</c:v>
                </c:pt>
                <c:pt idx="1">
                  <c:v>622.02627496739638</c:v>
                </c:pt>
                <c:pt idx="2">
                  <c:v>592.55466034329436</c:v>
                </c:pt>
                <c:pt idx="3">
                  <c:v>638.4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39072"/>
        <c:axId val="133153152"/>
      </c:areaChart>
      <c:catAx>
        <c:axId val="13313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3153152"/>
        <c:crosses val="autoZero"/>
        <c:auto val="1"/>
        <c:lblAlgn val="ctr"/>
        <c:lblOffset val="100"/>
        <c:noMultiLvlLbl val="0"/>
      </c:catAx>
      <c:valAx>
        <c:axId val="133153152"/>
        <c:scaling>
          <c:orientation val="minMax"/>
          <c:max val="2700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3139072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3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Invercargill!$B$28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Invercargill!$C$25:$F$25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Invercargill!$C$28:$F$28</c:f>
              <c:numCache>
                <c:formatCode>0</c:formatCode>
                <c:ptCount val="4"/>
                <c:pt idx="0">
                  <c:v>476.08839211884458</c:v>
                </c:pt>
                <c:pt idx="1">
                  <c:v>472.54065481501806</c:v>
                </c:pt>
                <c:pt idx="2">
                  <c:v>449.10263803185029</c:v>
                </c:pt>
                <c:pt idx="3">
                  <c:v>483.2</c:v>
                </c:pt>
              </c:numCache>
            </c:numRef>
          </c:val>
        </c:ser>
        <c:ser>
          <c:idx val="1"/>
          <c:order val="1"/>
          <c:tx>
            <c:strRef>
              <c:f>Invercargill!$B$29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Invercargill!$C$25:$F$25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Invercargill!$C$29:$F$29</c:f>
              <c:numCache>
                <c:formatCode>0</c:formatCode>
                <c:ptCount val="4"/>
                <c:pt idx="0">
                  <c:v>142.30903025291548</c:v>
                </c:pt>
                <c:pt idx="1">
                  <c:v>149.48562015237829</c:v>
                </c:pt>
                <c:pt idx="2">
                  <c:v>143.45202231144401</c:v>
                </c:pt>
                <c:pt idx="3">
                  <c:v>155.19999999999999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067904"/>
        <c:axId val="133069440"/>
      </c:barChart>
      <c:catAx>
        <c:axId val="13306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3069440"/>
        <c:crosses val="autoZero"/>
        <c:auto val="1"/>
        <c:lblAlgn val="ctr"/>
        <c:lblOffset val="100"/>
        <c:noMultiLvlLbl val="0"/>
      </c:catAx>
      <c:valAx>
        <c:axId val="133069440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306790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267"/>
          <c:w val="0.89745624999998452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Invercargill!$B$40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Invercargill!$C$39:$F$39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Invercargill!$C$40:$F$40</c:f>
              <c:numCache>
                <c:formatCode>0</c:formatCode>
                <c:ptCount val="4"/>
                <c:pt idx="0">
                  <c:v>14896.089931852526</c:v>
                </c:pt>
                <c:pt idx="1">
                  <c:v>15165.523783375656</c:v>
                </c:pt>
                <c:pt idx="2">
                  <c:v>15628.934817170109</c:v>
                </c:pt>
                <c:pt idx="3">
                  <c:v>16254</c:v>
                </c:pt>
              </c:numCache>
            </c:numRef>
          </c:val>
        </c:ser>
        <c:ser>
          <c:idx val="1"/>
          <c:order val="1"/>
          <c:tx>
            <c:strRef>
              <c:f>Invercargill!$B$41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Invercargill!$C$39:$F$39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Invercargill!$C$41:$F$41</c:f>
              <c:numCache>
                <c:formatCode>0</c:formatCode>
                <c:ptCount val="4"/>
                <c:pt idx="0">
                  <c:v>30.186763993042682</c:v>
                </c:pt>
                <c:pt idx="1">
                  <c:v>117.3046880362413</c:v>
                </c:pt>
                <c:pt idx="2">
                  <c:v>136.52394168844816</c:v>
                </c:pt>
                <c:pt idx="3">
                  <c:v>41</c:v>
                </c:pt>
              </c:numCache>
            </c:numRef>
          </c:val>
        </c:ser>
        <c:ser>
          <c:idx val="3"/>
          <c:order val="2"/>
          <c:tx>
            <c:strRef>
              <c:f>Invercargill!$B$42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Invercargill!$C$39:$F$39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Invercargill!$C$42:$F$42</c:f>
              <c:numCache>
                <c:formatCode>0</c:formatCode>
                <c:ptCount val="4"/>
                <c:pt idx="0">
                  <c:v>344.99158849191639</c:v>
                </c:pt>
                <c:pt idx="1">
                  <c:v>87.199945088887333</c:v>
                </c:pt>
                <c:pt idx="2">
                  <c:v>87.619843173183142</c:v>
                </c:pt>
                <c:pt idx="3">
                  <c:v>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170304"/>
        <c:axId val="133171840"/>
      </c:barChart>
      <c:catAx>
        <c:axId val="13317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3171840"/>
        <c:crosses val="autoZero"/>
        <c:auto val="1"/>
        <c:lblAlgn val="ctr"/>
        <c:lblOffset val="100"/>
        <c:noMultiLvlLbl val="0"/>
      </c:catAx>
      <c:valAx>
        <c:axId val="13317184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3170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998"/>
          <c:h val="0.21171296296296777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 orientation="portrait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299E-2"/>
          <c:y val="9.9262962962965245E-2"/>
          <c:w val="0.83312599801438991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Invercargill!$B$46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14338242817295371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Invercargill!$C$46:$F$46</c:f>
              <c:numCache>
                <c:formatCode>0.0</c:formatCode>
                <c:ptCount val="4"/>
                <c:pt idx="0">
                  <c:v>100</c:v>
                </c:pt>
                <c:pt idx="1">
                  <c:v>101.80875553756556</c:v>
                </c:pt>
                <c:pt idx="2">
                  <c:v>104.91971308356921</c:v>
                </c:pt>
                <c:pt idx="3">
                  <c:v>109.11588258636809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Invercargill!$B$47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Invercargill!$C$45:$F$45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Invercargill!$C$47:$F$47</c:f>
              <c:numCache>
                <c:formatCode>0.0</c:formatCode>
                <c:ptCount val="4"/>
                <c:pt idx="0">
                  <c:v>100</c:v>
                </c:pt>
                <c:pt idx="1">
                  <c:v>388.5964327387897</c:v>
                </c:pt>
                <c:pt idx="2">
                  <c:v>452.26424972187687</c:v>
                </c:pt>
                <c:pt idx="3">
                  <c:v>135.82111686250803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Invercargill!$B$48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773272301718524E-3"/>
                  <c:y val="-1.784731017014479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Invercargill!$C$48:$F$48</c:f>
              <c:numCache>
                <c:formatCode>0.0</c:formatCode>
                <c:ptCount val="4"/>
                <c:pt idx="0">
                  <c:v>100</c:v>
                </c:pt>
                <c:pt idx="1">
                  <c:v>25.275962660443398</c:v>
                </c:pt>
                <c:pt idx="2">
                  <c:v>25.397675217590471</c:v>
                </c:pt>
                <c:pt idx="3">
                  <c:v>24.92814400952129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5120"/>
        <c:axId val="134486656"/>
      </c:lineChart>
      <c:catAx>
        <c:axId val="13448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4486656"/>
        <c:crossesAt val="0"/>
        <c:auto val="1"/>
        <c:lblAlgn val="ctr"/>
        <c:lblOffset val="100"/>
        <c:noMultiLvlLbl val="0"/>
      </c:catAx>
      <c:valAx>
        <c:axId val="134486656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4485120"/>
        <c:crosses val="autoZero"/>
        <c:crossBetween val="midCat"/>
        <c:maj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 orientation="portrait"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716"/>
          <c:h val="0.702040277777789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Invercargill!$B$54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Invercargill!$C$53:$F$53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Invercargill!$C$54:$F$54</c:f>
              <c:numCache>
                <c:formatCode>0</c:formatCode>
                <c:ptCount val="4"/>
                <c:pt idx="0">
                  <c:v>9703.0362336688431</c:v>
                </c:pt>
                <c:pt idx="1">
                  <c:v>9736.9533837325798</c:v>
                </c:pt>
                <c:pt idx="2">
                  <c:v>10170.497748376491</c:v>
                </c:pt>
                <c:pt idx="3">
                  <c:v>10685.285</c:v>
                </c:pt>
              </c:numCache>
            </c:numRef>
          </c:val>
        </c:ser>
        <c:ser>
          <c:idx val="1"/>
          <c:order val="1"/>
          <c:tx>
            <c:strRef>
              <c:f>Invercargill!$B$55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Invercargill!$C$53:$F$53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Invercargill!$C$55:$F$55</c:f>
              <c:numCache>
                <c:formatCode>0</c:formatCode>
                <c:ptCount val="4"/>
                <c:pt idx="0">
                  <c:v>2540.4205975307232</c:v>
                </c:pt>
                <c:pt idx="1">
                  <c:v>2586.5900673759347</c:v>
                </c:pt>
                <c:pt idx="2">
                  <c:v>2993.4569557274117</c:v>
                </c:pt>
                <c:pt idx="3">
                  <c:v>3009.2372</c:v>
                </c:pt>
              </c:numCache>
            </c:numRef>
          </c:val>
        </c:ser>
        <c:ser>
          <c:idx val="2"/>
          <c:order val="2"/>
          <c:tx>
            <c:strRef>
              <c:f>Invercargill!$B$56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Invercargill!$C$53:$F$53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Invercargill!$C$56:$F$56</c:f>
              <c:numCache>
                <c:formatCode>0</c:formatCode>
                <c:ptCount val="4"/>
                <c:pt idx="0">
                  <c:v>2257.3160798095291</c:v>
                </c:pt>
                <c:pt idx="1">
                  <c:v>2421.0607992312434</c:v>
                </c:pt>
                <c:pt idx="2">
                  <c:v>2004.6854664385219</c:v>
                </c:pt>
                <c:pt idx="3">
                  <c:v>2099.9636999999998</c:v>
                </c:pt>
              </c:numCache>
            </c:numRef>
          </c:val>
        </c:ser>
        <c:ser>
          <c:idx val="3"/>
          <c:order val="3"/>
          <c:tx>
            <c:strRef>
              <c:f>Invercargill!$B$57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Invercargill!$C$53:$F$53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Invercargill!$C$57:$F$57</c:f>
              <c:numCache>
                <c:formatCode>0</c:formatCode>
                <c:ptCount val="4"/>
                <c:pt idx="0">
                  <c:v>395.31704240540614</c:v>
                </c:pt>
                <c:pt idx="1">
                  <c:v>420.512703768275</c:v>
                </c:pt>
                <c:pt idx="2">
                  <c:v>460.29469756945372</c:v>
                </c:pt>
                <c:pt idx="3">
                  <c:v>459.84805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523520"/>
        <c:axId val="134541696"/>
      </c:barChart>
      <c:catAx>
        <c:axId val="13452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4541696"/>
        <c:crosses val="autoZero"/>
        <c:auto val="1"/>
        <c:lblAlgn val="ctr"/>
        <c:lblOffset val="100"/>
        <c:noMultiLvlLbl val="0"/>
      </c:catAx>
      <c:valAx>
        <c:axId val="1345416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4523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4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 orientation="portrait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77016039091215149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Invercargill!$B$61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016192873640094E-3"/>
                  <c:y val="-1.175992153673181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Invercargill!$C$61:$F$61</c:f>
              <c:numCache>
                <c:formatCode>0.0</c:formatCode>
                <c:ptCount val="4"/>
                <c:pt idx="0">
                  <c:v>100</c:v>
                </c:pt>
                <c:pt idx="1">
                  <c:v>100.3495519262934</c:v>
                </c:pt>
                <c:pt idx="2">
                  <c:v>104.81768287214666</c:v>
                </c:pt>
                <c:pt idx="3">
                  <c:v>110.12310726948358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Invercargill!$B$62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28393821881842E-6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Invercargill!$C$62:$F$62</c:f>
              <c:numCache>
                <c:formatCode>0.0</c:formatCode>
                <c:ptCount val="4"/>
                <c:pt idx="0">
                  <c:v>100</c:v>
                </c:pt>
                <c:pt idx="1">
                  <c:v>101.81739472157044</c:v>
                </c:pt>
                <c:pt idx="2">
                  <c:v>117.83312411484295</c:v>
                </c:pt>
                <c:pt idx="3">
                  <c:v>118.45429071567773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Invercargill!$B$63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026583577977477E-3"/>
                  <c:y val="-1.763892543597349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Invercargill!$C$63:$F$63</c:f>
              <c:numCache>
                <c:formatCode>0.0</c:formatCode>
                <c:ptCount val="4"/>
                <c:pt idx="0">
                  <c:v>100</c:v>
                </c:pt>
                <c:pt idx="1">
                  <c:v>107.25395618656697</c:v>
                </c:pt>
                <c:pt idx="2">
                  <c:v>88.80836336432229</c:v>
                </c:pt>
                <c:pt idx="3">
                  <c:v>93.029227000287591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Invercargill!$B$64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1.763888888888888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Invercargill!$C$64:$F$64</c:f>
              <c:numCache>
                <c:formatCode>0.0</c:formatCode>
                <c:ptCount val="4"/>
                <c:pt idx="0">
                  <c:v>100</c:v>
                </c:pt>
                <c:pt idx="1">
                  <c:v>106.37353280029606</c:v>
                </c:pt>
                <c:pt idx="2">
                  <c:v>116.43684642804031</c:v>
                </c:pt>
                <c:pt idx="3">
                  <c:v>116.32386177988651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200192"/>
        <c:axId val="136201728"/>
      </c:lineChart>
      <c:catAx>
        <c:axId val="13620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6201728"/>
        <c:crosses val="autoZero"/>
        <c:auto val="1"/>
        <c:lblAlgn val="ctr"/>
        <c:lblOffset val="100"/>
        <c:noMultiLvlLbl val="0"/>
      </c:catAx>
      <c:valAx>
        <c:axId val="136201728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620019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4E-2"/>
          <c:y val="5.1489936964064897E-2"/>
          <c:w val="0.84543354430379769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Invercargill!$B$84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4993470218457252E-5"/>
                  <c:y val="2.84225972472723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Invercargill!$C$84:$F$84</c:f>
              <c:numCache>
                <c:formatCode>0.00</c:formatCode>
                <c:ptCount val="4"/>
                <c:pt idx="0">
                  <c:v>6.8648270397394695</c:v>
                </c:pt>
                <c:pt idx="1">
                  <c:v>6.587130067475333</c:v>
                </c:pt>
                <c:pt idx="2">
                  <c:v>6.730965584461436</c:v>
                </c:pt>
                <c:pt idx="3">
                  <c:v>7.090226683464226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Invercargill!$B$85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342098964333773E-5"/>
                  <c:y val="3.55039902782749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Invercargill!$C$85:$F$85</c:f>
              <c:numCache>
                <c:formatCode>0.00</c:formatCode>
                <c:ptCount val="4"/>
                <c:pt idx="0">
                  <c:v>6.4210903393394458</c:v>
                </c:pt>
                <c:pt idx="1">
                  <c:v>6.4279546857920256</c:v>
                </c:pt>
                <c:pt idx="2">
                  <c:v>6.0469232146213328</c:v>
                </c:pt>
                <c:pt idx="3">
                  <c:v>6.0733442717569597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Invercargill!$B$86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840140029870432E-5"/>
                  <c:y val="2.797637774474243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Invercargill!$C$86:$F$86</c:f>
              <c:numCache>
                <c:formatCode>0.00</c:formatCode>
                <c:ptCount val="4"/>
                <c:pt idx="0">
                  <c:v>3.1888216497389363</c:v>
                </c:pt>
                <c:pt idx="1">
                  <c:v>3.6917699845522041</c:v>
                </c:pt>
                <c:pt idx="2">
                  <c:v>3.4525968746400841</c:v>
                </c:pt>
                <c:pt idx="3">
                  <c:v>3.665712424497674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Invercargill!$B$87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9340793008025164E-5"/>
                  <c:y val="2.78337219942025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Invercargill!$C$87:$F$87</c:f>
              <c:numCache>
                <c:formatCode>0.00</c:formatCode>
                <c:ptCount val="4"/>
                <c:pt idx="0">
                  <c:v>2.5052882079298691</c:v>
                </c:pt>
                <c:pt idx="1">
                  <c:v>2.6345571391132268</c:v>
                </c:pt>
                <c:pt idx="2">
                  <c:v>2.893382422939021</c:v>
                </c:pt>
                <c:pt idx="3">
                  <c:v>2.8395538155002815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246016"/>
        <c:axId val="136247552"/>
      </c:lineChart>
      <c:catAx>
        <c:axId val="13624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6247552"/>
        <c:crosses val="autoZero"/>
        <c:auto val="1"/>
        <c:lblAlgn val="ctr"/>
        <c:lblOffset val="100"/>
        <c:noMultiLvlLbl val="0"/>
      </c:catAx>
      <c:valAx>
        <c:axId val="13624755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6246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055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Invercargill!$B$90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-2.2315202231520492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Invercargill!$C$90:$F$90</c:f>
              <c:numCache>
                <c:formatCode>0.0</c:formatCode>
                <c:ptCount val="4"/>
                <c:pt idx="0">
                  <c:v>100</c:v>
                </c:pt>
                <c:pt idx="1">
                  <c:v>95.954785595374943</c:v>
                </c:pt>
                <c:pt idx="2">
                  <c:v>98.05003892300374</c:v>
                </c:pt>
                <c:pt idx="3">
                  <c:v>103.28339872832851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Invercargill!$B$91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8185608876222E-3"/>
                  <c:y val="3.430222365251557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Invercargill!$C$91:$F$91</c:f>
              <c:numCache>
                <c:formatCode>0.0</c:formatCode>
                <c:ptCount val="4"/>
                <c:pt idx="0">
                  <c:v>100</c:v>
                </c:pt>
                <c:pt idx="1">
                  <c:v>100.10690312843793</c:v>
                </c:pt>
                <c:pt idx="2">
                  <c:v>94.172841294168677</c:v>
                </c:pt>
                <c:pt idx="3">
                  <c:v>94.584314357765919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Invercargill!$B$92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200616792511424E-3"/>
                  <c:y val="-2.842797369994023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Invercargill!$C$92:$F$92</c:f>
              <c:numCache>
                <c:formatCode>0.0</c:formatCode>
                <c:ptCount val="4"/>
                <c:pt idx="0">
                  <c:v>100</c:v>
                </c:pt>
                <c:pt idx="1">
                  <c:v>115.77223156567705</c:v>
                </c:pt>
                <c:pt idx="2">
                  <c:v>108.27187136423082</c:v>
                </c:pt>
                <c:pt idx="3">
                  <c:v>114.95507830605014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Invercargill!$B$93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6472579259045E-3"/>
                  <c:y val="2.14291032140772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Invercargill!$C$93:$F$93</c:f>
              <c:numCache>
                <c:formatCode>0.0</c:formatCode>
                <c:ptCount val="4"/>
                <c:pt idx="0">
                  <c:v>100</c:v>
                </c:pt>
                <c:pt idx="1">
                  <c:v>105.15984271886121</c:v>
                </c:pt>
                <c:pt idx="2">
                  <c:v>115.49100074716895</c:v>
                </c:pt>
                <c:pt idx="3">
                  <c:v>113.34240134577639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324608"/>
        <c:axId val="136326144"/>
      </c:lineChart>
      <c:catAx>
        <c:axId val="13632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6326144"/>
        <c:crosses val="autoZero"/>
        <c:auto val="1"/>
        <c:lblAlgn val="ctr"/>
        <c:lblOffset val="100"/>
        <c:noMultiLvlLbl val="0"/>
      </c:catAx>
      <c:valAx>
        <c:axId val="136326144"/>
        <c:scaling>
          <c:orientation val="minMax"/>
          <c:max val="12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63246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725058907738344"/>
          <c:y val="0.14255777777777778"/>
          <c:w val="0.66912555315805444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60605202492799948"/>
                  <c:y val="0.16212872727635289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</a:t>
                    </a:r>
                    <a:r>
                      <a:rPr lang="en-US"/>
                      <a:t>lpine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Alpine!$C$165:$F$165</c:f>
              <c:numCache>
                <c:formatCode>_(* #,##0.00_);_(* \(#,##0.00\);_(* "-"??_);_(@_)</c:formatCode>
                <c:ptCount val="4"/>
                <c:pt idx="0">
                  <c:v>2052.7671691153873</c:v>
                </c:pt>
                <c:pt idx="1">
                  <c:v>2098.2366613502513</c:v>
                </c:pt>
                <c:pt idx="2">
                  <c:v>2552.9771641356124</c:v>
                </c:pt>
                <c:pt idx="3">
                  <c:v>2926.6601941747572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57941237548060587"/>
                  <c:y val="-2.8156562927293759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948928"/>
        <c:axId val="115979392"/>
      </c:lineChart>
      <c:catAx>
        <c:axId val="11594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5979392"/>
        <c:crosses val="autoZero"/>
        <c:auto val="1"/>
        <c:lblAlgn val="ctr"/>
        <c:lblOffset val="100"/>
        <c:noMultiLvlLbl val="0"/>
      </c:catAx>
      <c:valAx>
        <c:axId val="115979392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15948928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834364860253561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Invercargill!$B$120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-2.351898148148147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Invercargill!$C$120:$F$120</c:f>
              <c:numCache>
                <c:formatCode>0.0</c:formatCode>
                <c:ptCount val="4"/>
                <c:pt idx="0">
                  <c:v>100</c:v>
                </c:pt>
                <c:pt idx="1">
                  <c:v>104.58003871682902</c:v>
                </c:pt>
                <c:pt idx="2">
                  <c:v>106.90223484200484</c:v>
                </c:pt>
                <c:pt idx="3">
                  <c:v>106.62227291643053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Invercargill!$B$121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801338294663E-3"/>
                  <c:y val="-3.527777777777876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Invercargill!$C$121:$F$121</c:f>
              <c:numCache>
                <c:formatCode>0.0</c:formatCode>
                <c:ptCount val="4"/>
                <c:pt idx="0">
                  <c:v>100</c:v>
                </c:pt>
                <c:pt idx="1">
                  <c:v>101.70866497681776</c:v>
                </c:pt>
                <c:pt idx="2">
                  <c:v>125.12431662411714</c:v>
                </c:pt>
                <c:pt idx="3">
                  <c:v>125.23671765238309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Invercargill!$B$122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009866764143629E-5"/>
                  <c:y val="-1.763935185185195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Invercargill!$C$122:$F$122</c:f>
              <c:numCache>
                <c:formatCode>0.0</c:formatCode>
                <c:ptCount val="4"/>
                <c:pt idx="0">
                  <c:v>100</c:v>
                </c:pt>
                <c:pt idx="1">
                  <c:v>92.642211984764515</c:v>
                </c:pt>
                <c:pt idx="2">
                  <c:v>82.023486105239158</c:v>
                </c:pt>
                <c:pt idx="3">
                  <c:v>80.926591822774157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Invercargill!$B$123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2.35180555555555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800"/>
                      <a:t>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Invercargill!$C$123:$F$123</c:f>
              <c:numCache>
                <c:formatCode>0.0</c:formatCode>
                <c:ptCount val="4"/>
                <c:pt idx="0">
                  <c:v>100</c:v>
                </c:pt>
                <c:pt idx="1">
                  <c:v>101.15413835743325</c:v>
                </c:pt>
                <c:pt idx="2">
                  <c:v>100.81897782056799</c:v>
                </c:pt>
                <c:pt idx="3">
                  <c:v>102.63048991260959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93600"/>
        <c:axId val="136007680"/>
      </c:lineChart>
      <c:catAx>
        <c:axId val="13599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6007680"/>
        <c:crosses val="autoZero"/>
        <c:auto val="1"/>
        <c:lblAlgn val="ctr"/>
        <c:lblOffset val="100"/>
        <c:noMultiLvlLbl val="0"/>
      </c:catAx>
      <c:valAx>
        <c:axId val="136007680"/>
        <c:scaling>
          <c:orientation val="minMax"/>
          <c:max val="13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5993600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682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Invercargill!$B$113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Invercargill!$C$112:$F$112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Invercargill!$C$113:$F$113</c:f>
              <c:numCache>
                <c:formatCode>General</c:formatCode>
                <c:ptCount val="4"/>
                <c:pt idx="0">
                  <c:v>141344.22</c:v>
                </c:pt>
                <c:pt idx="1">
                  <c:v>147817.84</c:v>
                </c:pt>
                <c:pt idx="2">
                  <c:v>151100.13</c:v>
                </c:pt>
                <c:pt idx="3">
                  <c:v>150704.42000000001</c:v>
                </c:pt>
              </c:numCache>
            </c:numRef>
          </c:val>
        </c:ser>
        <c:ser>
          <c:idx val="1"/>
          <c:order val="1"/>
          <c:tx>
            <c:strRef>
              <c:f>Invercargill!$B$114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Invercargill!$C$112:$F$112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Invercargill!$C$114:$F$114</c:f>
              <c:numCache>
                <c:formatCode>General</c:formatCode>
                <c:ptCount val="4"/>
                <c:pt idx="0">
                  <c:v>39563.695</c:v>
                </c:pt>
                <c:pt idx="1">
                  <c:v>40239.705999999998</c:v>
                </c:pt>
                <c:pt idx="2">
                  <c:v>49503.803</c:v>
                </c:pt>
                <c:pt idx="3">
                  <c:v>49548.273000000001</c:v>
                </c:pt>
              </c:numCache>
            </c:numRef>
          </c:val>
        </c:ser>
        <c:ser>
          <c:idx val="2"/>
          <c:order val="2"/>
          <c:tx>
            <c:strRef>
              <c:f>Invercargill!$B$115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Invercargill!$C$112:$F$112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Invercargill!$C$115:$F$115</c:f>
              <c:numCache>
                <c:formatCode>General</c:formatCode>
                <c:ptCount val="4"/>
                <c:pt idx="0">
                  <c:v>70788.407999999996</c:v>
                </c:pt>
                <c:pt idx="1">
                  <c:v>65579.947</c:v>
                </c:pt>
                <c:pt idx="2">
                  <c:v>58063.12</c:v>
                </c:pt>
                <c:pt idx="3">
                  <c:v>57286.646000000001</c:v>
                </c:pt>
              </c:numCache>
            </c:numRef>
          </c:val>
        </c:ser>
        <c:ser>
          <c:idx val="3"/>
          <c:order val="3"/>
          <c:tx>
            <c:strRef>
              <c:f>Invercargill!$B$116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Invercargill!$C$112:$F$112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Invercargill!$C$116:$F$116</c:f>
              <c:numCache>
                <c:formatCode>General</c:formatCode>
                <c:ptCount val="4"/>
                <c:pt idx="0">
                  <c:v>15779.304</c:v>
                </c:pt>
                <c:pt idx="1">
                  <c:v>15961.419</c:v>
                </c:pt>
                <c:pt idx="2">
                  <c:v>15908.532999999999</c:v>
                </c:pt>
                <c:pt idx="3">
                  <c:v>16194.377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059904"/>
        <c:axId val="136073984"/>
      </c:barChart>
      <c:catAx>
        <c:axId val="13605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6073984"/>
        <c:crosses val="autoZero"/>
        <c:auto val="1"/>
        <c:lblAlgn val="ctr"/>
        <c:lblOffset val="100"/>
        <c:noMultiLvlLbl val="0"/>
      </c:catAx>
      <c:valAx>
        <c:axId val="13607398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6059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Invercargill!$U$138:$U$144</c:f>
              <c:strCache>
                <c:ptCount val="7"/>
                <c:pt idx="0">
                  <c:v>General management, admin and overheads</c:v>
                </c:pt>
                <c:pt idx="1">
                  <c:v>System management and operations</c:v>
                </c:pt>
                <c:pt idx="2">
                  <c:v>Routine and preventative maintenance</c:v>
                </c:pt>
                <c:pt idx="3">
                  <c:v>Fault and emergency maintenance</c:v>
                </c:pt>
                <c:pt idx="4">
                  <c:v>Refurbishment and renewal maintenance</c:v>
                </c:pt>
                <c:pt idx="5">
                  <c:v>Other</c:v>
                </c:pt>
                <c:pt idx="6">
                  <c:v>Pass-through costs</c:v>
                </c:pt>
              </c:strCache>
            </c:strRef>
          </c:cat>
          <c:val>
            <c:numRef>
              <c:f>Invercargill!$V$138:$V$144</c:f>
              <c:numCache>
                <c:formatCode>General</c:formatCode>
                <c:ptCount val="7"/>
                <c:pt idx="0">
                  <c:v>2002</c:v>
                </c:pt>
                <c:pt idx="1">
                  <c:v>1081</c:v>
                </c:pt>
                <c:pt idx="2">
                  <c:v>565</c:v>
                </c:pt>
                <c:pt idx="3">
                  <c:v>464</c:v>
                </c:pt>
                <c:pt idx="4">
                  <c:v>253</c:v>
                </c:pt>
                <c:pt idx="5">
                  <c:v>222</c:v>
                </c:pt>
                <c:pt idx="6">
                  <c:v>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36082176"/>
        <c:axId val="136083712"/>
      </c:barChart>
      <c:catAx>
        <c:axId val="136082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6083712"/>
        <c:crosses val="autoZero"/>
        <c:auto val="1"/>
        <c:lblAlgn val="ctr"/>
        <c:lblOffset val="100"/>
        <c:noMultiLvlLbl val="0"/>
      </c:catAx>
      <c:valAx>
        <c:axId val="136083712"/>
        <c:scaling>
          <c:orientation val="minMax"/>
          <c:max val="205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6082176"/>
        <c:crosses val="autoZero"/>
        <c:crossBetween val="between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07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Invercargill!$U$186:$U$191</c:f>
              <c:strCache>
                <c:ptCount val="6"/>
                <c:pt idx="0">
                  <c:v>Reliability, safety and environment</c:v>
                </c:pt>
                <c:pt idx="1">
                  <c:v>Asset replacement and renewal</c:v>
                </c:pt>
                <c:pt idx="2">
                  <c:v>Non-network capex</c:v>
                </c:pt>
                <c:pt idx="3">
                  <c:v>Customer connection</c:v>
                </c:pt>
                <c:pt idx="4">
                  <c:v>System growth</c:v>
                </c:pt>
                <c:pt idx="5">
                  <c:v>Asset relocations</c:v>
                </c:pt>
              </c:strCache>
            </c:strRef>
          </c:cat>
          <c:val>
            <c:numRef>
              <c:f>Invercargill!$V$186:$V$191</c:f>
              <c:numCache>
                <c:formatCode>General</c:formatCode>
                <c:ptCount val="6"/>
                <c:pt idx="0">
                  <c:v>1.5229999999999999</c:v>
                </c:pt>
                <c:pt idx="1">
                  <c:v>1.393</c:v>
                </c:pt>
                <c:pt idx="2">
                  <c:v>0.496</c:v>
                </c:pt>
                <c:pt idx="3">
                  <c:v>0.378</c:v>
                </c:pt>
                <c:pt idx="4">
                  <c:v>7.8E-2</c:v>
                </c:pt>
                <c:pt idx="5">
                  <c:v>4.0000000000000001E-3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36107904"/>
        <c:axId val="136109440"/>
      </c:barChart>
      <c:catAx>
        <c:axId val="136107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6109440"/>
        <c:crosses val="autoZero"/>
        <c:auto val="1"/>
        <c:lblAlgn val="ctr"/>
        <c:lblOffset val="100"/>
        <c:noMultiLvlLbl val="0"/>
      </c:catAx>
      <c:valAx>
        <c:axId val="136109440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61079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78666861379402664"/>
          <c:h val="0.82404629629630843"/>
        </c:manualLayout>
      </c:layout>
      <c:lineChart>
        <c:grouping val="standard"/>
        <c:varyColors val="0"/>
        <c:ser>
          <c:idx val="0"/>
          <c:order val="0"/>
          <c:tx>
            <c:strRef>
              <c:f>Invercargill!$B$76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1.175925925925926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Invercargill!$C$76:$F$76</c:f>
              <c:numCache>
                <c:formatCode>0.0</c:formatCode>
                <c:ptCount val="4"/>
                <c:pt idx="0">
                  <c:v>100</c:v>
                </c:pt>
                <c:pt idx="1">
                  <c:v>100.0357394274493</c:v>
                </c:pt>
                <c:pt idx="2">
                  <c:v>103.99874270869151</c:v>
                </c:pt>
                <c:pt idx="3">
                  <c:v>108.85476114095263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Invercargill!$B$77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1.175925925925930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Invercargill!$C$77:$F$77</c:f>
              <c:numCache>
                <c:formatCode>0.0</c:formatCode>
                <c:ptCount val="4"/>
                <c:pt idx="0">
                  <c:v>100</c:v>
                </c:pt>
                <c:pt idx="1">
                  <c:v>96.788357411436195</c:v>
                </c:pt>
                <c:pt idx="2">
                  <c:v>112.1947183380581</c:v>
                </c:pt>
                <c:pt idx="3">
                  <c:v>112.42145295085339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Invercargill!$B$78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1.175925925925926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Invercargill!$C$78:$F$78</c:f>
              <c:numCache>
                <c:formatCode>0.0</c:formatCode>
                <c:ptCount val="4"/>
                <c:pt idx="0">
                  <c:v>100</c:v>
                </c:pt>
                <c:pt idx="1">
                  <c:v>105.27692473612333</c:v>
                </c:pt>
                <c:pt idx="2">
                  <c:v>87.171342841477639</c:v>
                </c:pt>
                <c:pt idx="3">
                  <c:v>89.257771851627282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Invercargill!$B$79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5.8796296296297805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Invercargill!$C$79:$F$79</c:f>
              <c:numCache>
                <c:formatCode>0.0</c:formatCode>
                <c:ptCount val="4"/>
                <c:pt idx="0">
                  <c:v>100</c:v>
                </c:pt>
                <c:pt idx="1">
                  <c:v>106.37353280029609</c:v>
                </c:pt>
                <c:pt idx="2">
                  <c:v>116.43684642804031</c:v>
                </c:pt>
                <c:pt idx="3">
                  <c:v>116.32386177988651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170112"/>
        <c:axId val="136728960"/>
      </c:lineChart>
      <c:catAx>
        <c:axId val="1361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6728960"/>
        <c:crosses val="autoZero"/>
        <c:auto val="1"/>
        <c:lblAlgn val="ctr"/>
        <c:lblOffset val="100"/>
        <c:noMultiLvlLbl val="0"/>
      </c:catAx>
      <c:valAx>
        <c:axId val="136728960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617011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24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385"/>
          <c:y val="0.16445370370370369"/>
          <c:w val="0.70330041907982133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Invercargill!$B$70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Invercargill!$C$69:$F$69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Invercargill!$C$70:$F$70</c:f>
              <c:numCache>
                <c:formatCode>0</c:formatCode>
                <c:ptCount val="4"/>
                <c:pt idx="0">
                  <c:v>621.19310074704504</c:v>
                </c:pt>
                <c:pt idx="1">
                  <c:v>621.41511160460652</c:v>
                </c:pt>
                <c:pt idx="2">
                  <c:v>646.03301457006228</c:v>
                </c:pt>
                <c:pt idx="3">
                  <c:v>676.19826604227308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769536"/>
        <c:axId val="136771072"/>
      </c:lineChart>
      <c:catAx>
        <c:axId val="13676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6771072"/>
        <c:crosses val="autoZero"/>
        <c:auto val="1"/>
        <c:lblAlgn val="ctr"/>
        <c:lblOffset val="100"/>
        <c:noMultiLvlLbl val="0"/>
      </c:catAx>
      <c:valAx>
        <c:axId val="136771072"/>
        <c:scaling>
          <c:orientation val="minMax"/>
          <c:max val="800"/>
          <c:min val="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36769536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7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62"/>
          <c:y val="0.17621296296296732"/>
          <c:w val="0.73692152777777775"/>
          <c:h val="0.57282407407409586"/>
        </c:manualLayout>
      </c:layout>
      <c:lineChart>
        <c:grouping val="standard"/>
        <c:varyColors val="0"/>
        <c:ser>
          <c:idx val="1"/>
          <c:order val="0"/>
          <c:tx>
            <c:strRef>
              <c:f>Invercargill!$B$71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Invercargill!$C$69:$F$69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Invercargill!$C$71:$F$71</c:f>
              <c:numCache>
                <c:formatCode>0</c:formatCode>
                <c:ptCount val="4"/>
                <c:pt idx="0">
                  <c:v>2163.9017014742103</c:v>
                </c:pt>
                <c:pt idx="1">
                  <c:v>2094.4049128550078</c:v>
                </c:pt>
                <c:pt idx="2">
                  <c:v>2427.7834190814369</c:v>
                </c:pt>
                <c:pt idx="3">
                  <c:v>2432.6897332255453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787840"/>
        <c:axId val="136789376"/>
      </c:lineChart>
      <c:catAx>
        <c:axId val="13678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6789376"/>
        <c:crosses val="autoZero"/>
        <c:auto val="1"/>
        <c:lblAlgn val="ctr"/>
        <c:lblOffset val="100"/>
        <c:noMultiLvlLbl val="0"/>
      </c:catAx>
      <c:valAx>
        <c:axId val="136789376"/>
        <c:scaling>
          <c:orientation val="minMax"/>
          <c:max val="3000"/>
          <c:min val="1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36787840"/>
        <c:crosses val="autoZero"/>
        <c:crossBetween val="midCat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80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Invercargill!$B$72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Invercargill!$C$69:$F$69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Invercargill!$C$72:$F$72</c:f>
              <c:numCache>
                <c:formatCode>0</c:formatCode>
                <c:ptCount val="4"/>
                <c:pt idx="0">
                  <c:v>10597.728074223141</c:v>
                </c:pt>
                <c:pt idx="1">
                  <c:v>11156.96220843891</c:v>
                </c:pt>
                <c:pt idx="2">
                  <c:v>9238.1818729885799</c:v>
                </c:pt>
                <c:pt idx="3">
                  <c:v>9459.2959459459453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01664"/>
        <c:axId val="136832128"/>
      </c:lineChart>
      <c:catAx>
        <c:axId val="13680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6832128"/>
        <c:crosses val="autoZero"/>
        <c:auto val="1"/>
        <c:lblAlgn val="ctr"/>
        <c:lblOffset val="100"/>
        <c:noMultiLvlLbl val="0"/>
      </c:catAx>
      <c:valAx>
        <c:axId val="136832128"/>
        <c:scaling>
          <c:orientation val="minMax"/>
          <c:max val="16000"/>
          <c:min val="8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3680166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Invercargill!$B$73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Invercargill!$C$69:$F$69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Invercargill!$C$73:$F$73</c:f>
              <c:numCache>
                <c:formatCode>0</c:formatCode>
                <c:ptCount val="4"/>
                <c:pt idx="0">
                  <c:v>79063.40848108122</c:v>
                </c:pt>
                <c:pt idx="1">
                  <c:v>84102.540753655005</c:v>
                </c:pt>
                <c:pt idx="2">
                  <c:v>92058.939513890742</c:v>
                </c:pt>
                <c:pt idx="3">
                  <c:v>91969.61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812736"/>
        <c:axId val="127814272"/>
      </c:lineChart>
      <c:catAx>
        <c:axId val="12781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27814272"/>
        <c:crosses val="autoZero"/>
        <c:auto val="1"/>
        <c:lblAlgn val="ctr"/>
        <c:lblOffset val="100"/>
        <c:noMultiLvlLbl val="0"/>
      </c:catAx>
      <c:valAx>
        <c:axId val="127814272"/>
        <c:scaling>
          <c:orientation val="minMax"/>
          <c:max val="120000"/>
          <c:min val="6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27812736"/>
        <c:crosses val="autoZero"/>
        <c:crossBetween val="midCat"/>
        <c:majorUnit val="1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84"/>
          <c:y val="6.4675925925925928E-2"/>
          <c:w val="0.79603953503347968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Invercargill!$B$105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1631162507608E-4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Invercargill!$C$105:$F$105</c:f>
              <c:numCache>
                <c:formatCode>0.0</c:formatCode>
                <c:ptCount val="4"/>
                <c:pt idx="0">
                  <c:v>100</c:v>
                </c:pt>
                <c:pt idx="1">
                  <c:v>100.31370038412292</c:v>
                </c:pt>
                <c:pt idx="2">
                  <c:v>100.78745198463508</c:v>
                </c:pt>
                <c:pt idx="3">
                  <c:v>101.1651728553137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Invercargill!$B$106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9438510631262193"/>
                  <c:y val="-4.115750071983870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Invercargill!$C$106:$F$106</c:f>
              <c:numCache>
                <c:formatCode>0.0</c:formatCode>
                <c:ptCount val="4"/>
                <c:pt idx="0">
                  <c:v>100</c:v>
                </c:pt>
                <c:pt idx="1">
                  <c:v>105.19591141396933</c:v>
                </c:pt>
                <c:pt idx="2">
                  <c:v>105.02555366269166</c:v>
                </c:pt>
                <c:pt idx="3">
                  <c:v>105.36626916524703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Invercargill!$B$107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68794017911784E-5"/>
                  <c:y val="5.8796296296297805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Invercargill!$C$107:$F$107</c:f>
              <c:numCache>
                <c:formatCode>0.0</c:formatCode>
                <c:ptCount val="4"/>
                <c:pt idx="0">
                  <c:v>100</c:v>
                </c:pt>
                <c:pt idx="1">
                  <c:v>101.87793427230048</c:v>
                </c:pt>
                <c:pt idx="2">
                  <c:v>101.87793427230048</c:v>
                </c:pt>
                <c:pt idx="3">
                  <c:v>104.22535211267605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82272"/>
        <c:axId val="136583808"/>
      </c:lineChart>
      <c:catAx>
        <c:axId val="13658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6583808"/>
        <c:crosses val="autoZero"/>
        <c:auto val="1"/>
        <c:lblAlgn val="ctr"/>
        <c:lblOffset val="100"/>
        <c:noMultiLvlLbl val="0"/>
      </c:catAx>
      <c:valAx>
        <c:axId val="136583808"/>
        <c:scaling>
          <c:orientation val="minMax"/>
          <c:max val="115"/>
          <c:min val="9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6582272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20078265003841"/>
          <c:y val="0.13550222222222241"/>
          <c:w val="0.73617535958538793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Alpine!$B$168</c:f>
              <c:strCache>
                <c:ptCount val="1"/>
                <c:pt idx="0">
                  <c:v>Alpine Energy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38888888888891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</a:t>
                    </a:r>
                    <a:r>
                      <a:rPr lang="en-US"/>
                      <a:t>lpine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Alpine!$C$168:$F$168</c:f>
              <c:numCache>
                <c:formatCode>_(* #,##0.00_);_(* \(#,##0.00\);_(* "-"??_);_(@_)</c:formatCode>
                <c:ptCount val="4"/>
                <c:pt idx="0">
                  <c:v>12.387563583346001</c:v>
                </c:pt>
                <c:pt idx="1">
                  <c:v>12.01625637756776</c:v>
                </c:pt>
                <c:pt idx="2">
                  <c:v>14.409185892763773</c:v>
                </c:pt>
                <c:pt idx="3">
                  <c:v>16.819675012449629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Alpine!$B$169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4.927301518152034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Industry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Alpine!$C$160:$F$160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01024"/>
        <c:axId val="116015104"/>
      </c:lineChart>
      <c:catAx>
        <c:axId val="11600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6015104"/>
        <c:crosses val="autoZero"/>
        <c:auto val="1"/>
        <c:lblAlgn val="ctr"/>
        <c:lblOffset val="100"/>
        <c:noMultiLvlLbl val="0"/>
      </c:catAx>
      <c:valAx>
        <c:axId val="116015104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6001024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5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Invercargill!$B$98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Invercargill!$C$97:$F$97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Invercargill!$C$98:$F$98</c:f>
              <c:numCache>
                <c:formatCode>General</c:formatCode>
                <c:ptCount val="4"/>
                <c:pt idx="0">
                  <c:v>15620</c:v>
                </c:pt>
                <c:pt idx="1">
                  <c:v>15669</c:v>
                </c:pt>
                <c:pt idx="2">
                  <c:v>15743</c:v>
                </c:pt>
                <c:pt idx="3">
                  <c:v>15802</c:v>
                </c:pt>
              </c:numCache>
            </c:numRef>
          </c:val>
        </c:ser>
        <c:ser>
          <c:idx val="1"/>
          <c:order val="1"/>
          <c:tx>
            <c:strRef>
              <c:f>Invercargill!$B$99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Invercargill!$C$97:$F$97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Invercargill!$C$99:$F$99</c:f>
              <c:numCache>
                <c:formatCode>General</c:formatCode>
                <c:ptCount val="4"/>
                <c:pt idx="0">
                  <c:v>1174</c:v>
                </c:pt>
                <c:pt idx="1">
                  <c:v>1235</c:v>
                </c:pt>
                <c:pt idx="2">
                  <c:v>1233</c:v>
                </c:pt>
                <c:pt idx="3">
                  <c:v>1237</c:v>
                </c:pt>
              </c:numCache>
            </c:numRef>
          </c:val>
        </c:ser>
        <c:ser>
          <c:idx val="2"/>
          <c:order val="2"/>
          <c:tx>
            <c:strRef>
              <c:f>Invercargill!$B$100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Invercargill!$C$97:$F$97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Invercargill!$C$100:$F$100</c:f>
              <c:numCache>
                <c:formatCode>General</c:formatCode>
                <c:ptCount val="4"/>
                <c:pt idx="0">
                  <c:v>213</c:v>
                </c:pt>
                <c:pt idx="1">
                  <c:v>217</c:v>
                </c:pt>
                <c:pt idx="2">
                  <c:v>217</c:v>
                </c:pt>
                <c:pt idx="3">
                  <c:v>222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639232"/>
        <c:axId val="136640768"/>
      </c:barChart>
      <c:catAx>
        <c:axId val="13663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6640768"/>
        <c:crosses val="autoZero"/>
        <c:auto val="1"/>
        <c:lblAlgn val="ctr"/>
        <c:lblOffset val="100"/>
        <c:noMultiLvlLbl val="0"/>
      </c:catAx>
      <c:valAx>
        <c:axId val="13664076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6639232"/>
        <c:crosses val="autoZero"/>
        <c:crossBetween val="between"/>
        <c:majorUnit val="5000"/>
      </c:valAx>
    </c:plotArea>
    <c:legend>
      <c:legendPos val="t"/>
      <c:layout>
        <c:manualLayout>
          <c:xMode val="edge"/>
          <c:yMode val="edge"/>
          <c:x val="0"/>
          <c:y val="3.527777777777924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Invercargill!$B$209</c:f>
              <c:strCache>
                <c:ptCount val="1"/>
                <c:pt idx="0">
                  <c:v>Electricity Invercargill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Invercargill!$C$204:$F$204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Invercargill!$C$209:$F$209</c:f>
              <c:numCache>
                <c:formatCode>_(* #,##0.00_);_(* \(#,##0.00\);_(* "-"??_);_(@_)</c:formatCode>
                <c:ptCount val="4"/>
                <c:pt idx="0">
                  <c:v>10931.103313084268</c:v>
                </c:pt>
                <c:pt idx="1">
                  <c:v>11359.018481331897</c:v>
                </c:pt>
                <c:pt idx="2">
                  <c:v>10307.998401470997</c:v>
                </c:pt>
                <c:pt idx="3">
                  <c:v>14145.133659749827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Invercargill!$B$210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834222003270513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Invercargill!$C$204:$F$204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25888"/>
        <c:axId val="137127424"/>
      </c:lineChart>
      <c:catAx>
        <c:axId val="13712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7127424"/>
        <c:crosses val="autoZero"/>
        <c:auto val="1"/>
        <c:lblAlgn val="ctr"/>
        <c:lblOffset val="100"/>
        <c:noMultiLvlLbl val="0"/>
      </c:catAx>
      <c:valAx>
        <c:axId val="137127424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7125888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19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Invercargill!$C$204:$F$204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Invercargill!$C$212:$F$212</c:f>
              <c:numCache>
                <c:formatCode>_(* #,##0.00_);_(* \(#,##0.00\);_(* "-"??_);_(@_)</c:formatCode>
                <c:ptCount val="4"/>
                <c:pt idx="0">
                  <c:v>5.1873328163470157E-2</c:v>
                </c:pt>
                <c:pt idx="1">
                  <c:v>5.3923252989879863E-2</c:v>
                </c:pt>
                <c:pt idx="2">
                  <c:v>4.8884308052649768E-2</c:v>
                </c:pt>
                <c:pt idx="3">
                  <c:v>6.4582316867933753E-2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Invercargill!$C$204:$F$204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175040"/>
        <c:axId val="137176576"/>
      </c:lineChart>
      <c:catAx>
        <c:axId val="13717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7176576"/>
        <c:crosses val="autoZero"/>
        <c:auto val="1"/>
        <c:lblAlgn val="ctr"/>
        <c:lblOffset val="100"/>
        <c:noMultiLvlLbl val="0"/>
      </c:catAx>
      <c:valAx>
        <c:axId val="137176576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7175040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179353814563544"/>
          <c:y val="0.14830799157990177"/>
          <c:w val="0.74314872833768664"/>
          <c:h val="0.72979551178440194"/>
        </c:manualLayout>
      </c:layout>
      <c:lineChart>
        <c:grouping val="standard"/>
        <c:varyColors val="0"/>
        <c:ser>
          <c:idx val="0"/>
          <c:order val="0"/>
          <c:tx>
            <c:strRef>
              <c:f>Invercargill!$B$206</c:f>
              <c:strCache>
                <c:ptCount val="1"/>
                <c:pt idx="0">
                  <c:v>Electricity Invercargill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Invercargill!$C$204:$F$204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Invercargill!$C$206:$F$206</c:f>
              <c:numCache>
                <c:formatCode>_(* #,##0.00_);_(* \(#,##0.00\);_(* "-"??_);_(@_)</c:formatCode>
                <c:ptCount val="4"/>
                <c:pt idx="0">
                  <c:v>171.86713569650786</c:v>
                </c:pt>
                <c:pt idx="1">
                  <c:v>178.81461076462523</c:v>
                </c:pt>
                <c:pt idx="2">
                  <c:v>164.57289810274233</c:v>
                </c:pt>
                <c:pt idx="3">
                  <c:v>224.25576277076334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Invercargill!$B$207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Invercargill!$C$204:$F$204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49536"/>
        <c:axId val="137251072"/>
      </c:lineChart>
      <c:catAx>
        <c:axId val="1372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7251072"/>
        <c:crosses val="autoZero"/>
        <c:auto val="1"/>
        <c:lblAlgn val="ctr"/>
        <c:lblOffset val="100"/>
        <c:noMultiLvlLbl val="0"/>
      </c:catAx>
      <c:valAx>
        <c:axId val="137251072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7249536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553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Invercargill!$B$162</c:f>
              <c:strCache>
                <c:ptCount val="1"/>
                <c:pt idx="0">
                  <c:v>Electricity Invercargill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Invercargill!$C$160:$F$160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Invercargill!$C$162:$F$162</c:f>
              <c:numCache>
                <c:formatCode>_(* #,##0.00_);_(* \(#,##0.00\);_(* "-"??_);_(@_)</c:formatCode>
                <c:ptCount val="4"/>
                <c:pt idx="0">
                  <c:v>210.71468517363149</c:v>
                </c:pt>
                <c:pt idx="1">
                  <c:v>228.76147153413416</c:v>
                </c:pt>
                <c:pt idx="2">
                  <c:v>261.728964657277</c:v>
                </c:pt>
                <c:pt idx="3">
                  <c:v>274.06463570022009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Invercargill!$B$163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Invercargill!$C$160:$F$160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06112"/>
        <c:axId val="137307648"/>
      </c:lineChart>
      <c:catAx>
        <c:axId val="13730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7307648"/>
        <c:crosses val="autoZero"/>
        <c:auto val="1"/>
        <c:lblAlgn val="ctr"/>
        <c:lblOffset val="100"/>
        <c:noMultiLvlLbl val="0"/>
      </c:catAx>
      <c:valAx>
        <c:axId val="137307648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7306112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028365982635984"/>
          <c:y val="0.14255777777777778"/>
          <c:w val="0.71574497674799165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Invercargill!$C$160:$F$160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Invercargill!$C$165:$F$165</c:f>
              <c:numCache>
                <c:formatCode>_(* #,##0.00_);_(* \(#,##0.00\);_(* "-"??_);_(@_)</c:formatCode>
                <c:ptCount val="4"/>
                <c:pt idx="0">
                  <c:v>5584.8920735661886</c:v>
                </c:pt>
                <c:pt idx="1">
                  <c:v>6014.3244564983361</c:v>
                </c:pt>
                <c:pt idx="2">
                  <c:v>6893.6706459558227</c:v>
                </c:pt>
                <c:pt idx="3">
                  <c:v>7232.0331507107421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2340130127319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Invercargill!$C$160:$F$160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37472"/>
        <c:axId val="137347456"/>
      </c:lineChart>
      <c:catAx>
        <c:axId val="13733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7347456"/>
        <c:crosses val="autoZero"/>
        <c:auto val="1"/>
        <c:lblAlgn val="ctr"/>
        <c:lblOffset val="100"/>
        <c:noMultiLvlLbl val="0"/>
      </c:catAx>
      <c:valAx>
        <c:axId val="137347456"/>
        <c:scaling>
          <c:orientation val="minMax"/>
          <c:max val="7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37337472"/>
        <c:crosses val="autoZero"/>
        <c:crossBetween val="midCat"/>
        <c:majorUnit val="15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55389914270671"/>
          <c:y val="0.13550222222222241"/>
          <c:w val="0.76947473743164463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Invercargill!$B$168</c:f>
              <c:strCache>
                <c:ptCount val="1"/>
                <c:pt idx="0">
                  <c:v>Electricity Invercargill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Invercargill!$C$160:$F$160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Invercargill!$C$168:$F$168</c:f>
              <c:numCache>
                <c:formatCode>_(* #,##0.00_);_(* \(#,##0.00\);_(* "-"??_);_(@_)</c:formatCode>
                <c:ptCount val="4"/>
                <c:pt idx="0">
                  <c:v>13.401887358408993</c:v>
                </c:pt>
                <c:pt idx="1">
                  <c:v>14.531842626625961</c:v>
                </c:pt>
                <c:pt idx="2">
                  <c:v>16.393353829265248</c:v>
                </c:pt>
                <c:pt idx="3">
                  <c:v>17.286873057318228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Invercargill!$B$169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815600867515448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Invercargill!$C$160:$F$160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16928"/>
        <c:axId val="137518464"/>
      </c:lineChart>
      <c:catAx>
        <c:axId val="1375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7518464"/>
        <c:crosses val="autoZero"/>
        <c:auto val="1"/>
        <c:lblAlgn val="ctr"/>
        <c:lblOffset val="100"/>
        <c:noMultiLvlLbl val="0"/>
      </c:catAx>
      <c:valAx>
        <c:axId val="137518464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7516928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669"/>
          <c:h val="0.77599166666669595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Invercargill!$B$178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Invercargill!$C$178:$D$178</c:f>
              <c:numCache>
                <c:formatCode>_-* #,##0_-;\-* #,##0_-;_-* "-"??_-;_-@_-</c:formatCode>
                <c:ptCount val="2"/>
                <c:pt idx="0">
                  <c:v>1154.3404920374012</c:v>
                </c:pt>
                <c:pt idx="1">
                  <c:v>1282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37575040"/>
        <c:axId val="137589120"/>
      </c:barChart>
      <c:lineChart>
        <c:grouping val="standard"/>
        <c:varyColors val="0"/>
        <c:ser>
          <c:idx val="1"/>
          <c:order val="0"/>
          <c:tx>
            <c:strRef>
              <c:f>Invercargill!$B$179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Invercargill!$C$177:$D$177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Invercargill!$C$179:$D$179</c:f>
              <c:numCache>
                <c:formatCode>_-* #,##0_-;\-* #,##0_-;_-* "-"??_-;_-@_-</c:formatCode>
                <c:ptCount val="2"/>
                <c:pt idx="0">
                  <c:v>2030.5389237692325</c:v>
                </c:pt>
                <c:pt idx="1">
                  <c:v>2050.9156314839265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Invercargill!$B$180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Invercargill!$C$177:$D$177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Invercargill!$C$180:$D$180</c:f>
              <c:numCache>
                <c:formatCode>_-* #,##0_-;\-* #,##0_-;_-* "-"??_-;_-@_-</c:formatCode>
                <c:ptCount val="2"/>
                <c:pt idx="1">
                  <c:v>1473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75040"/>
        <c:axId val="137589120"/>
      </c:lineChart>
      <c:catAx>
        <c:axId val="13757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7589120"/>
        <c:crosses val="autoZero"/>
        <c:auto val="1"/>
        <c:lblAlgn val="ctr"/>
        <c:lblOffset val="100"/>
        <c:noMultiLvlLbl val="0"/>
      </c:catAx>
      <c:valAx>
        <c:axId val="13758912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7575040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251"/>
          <c:y val="3.5277777777779268E-2"/>
          <c:w val="0.77172275936750512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Invercargill!$V$177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41892361111111132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Invercargill!$W$177:$AC$177</c:f>
              <c:numCache>
                <c:formatCode>General</c:formatCode>
                <c:ptCount val="7"/>
                <c:pt idx="0">
                  <c:v>2030.5389237692325</c:v>
                </c:pt>
                <c:pt idx="1">
                  <c:v>2050.9156314839265</c:v>
                </c:pt>
                <c:pt idx="2">
                  <c:v>2007.1057098973347</c:v>
                </c:pt>
                <c:pt idx="3">
                  <c:v>1999.9738621971919</c:v>
                </c:pt>
                <c:pt idx="4">
                  <c:v>1992.8420144970491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Invercargill!$V$178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6782083333333325"/>
                  <c:y val="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Invercargill!$W$178:$AC$178</c:f>
              <c:numCache>
                <c:formatCode>General</c:formatCode>
                <c:ptCount val="7"/>
                <c:pt idx="1">
                  <c:v>1473</c:v>
                </c:pt>
                <c:pt idx="2">
                  <c:v>1442</c:v>
                </c:pt>
                <c:pt idx="3">
                  <c:v>1432</c:v>
                </c:pt>
                <c:pt idx="4">
                  <c:v>1421</c:v>
                </c:pt>
                <c:pt idx="5">
                  <c:v>1411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Invercargill!$V$179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2076388888888892E-2"/>
                  <c:y val="-4.11574074074074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Invercargill!$W$179:$AC$179</c:f>
              <c:numCache>
                <c:formatCode>General</c:formatCode>
                <c:ptCount val="7"/>
                <c:pt idx="2">
                  <c:v>1581.8120232708468</c:v>
                </c:pt>
                <c:pt idx="3">
                  <c:v>1562.2593406593405</c:v>
                </c:pt>
                <c:pt idx="4">
                  <c:v>1569.1027795733678</c:v>
                </c:pt>
                <c:pt idx="5">
                  <c:v>1562.2593406593405</c:v>
                </c:pt>
                <c:pt idx="6">
                  <c:v>1562.2593406593405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Invercargill!$V$176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1.7643055555555561E-2"/>
                  <c:y val="2.35180555555555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Invercargill!$C$178:$I$178</c:f>
              <c:numCache>
                <c:formatCode>_-* #,##0_-;\-* #,##0_-;_-* "-"??_-;_-@_-</c:formatCode>
                <c:ptCount val="7"/>
                <c:pt idx="0">
                  <c:v>1154.3404920374012</c:v>
                </c:pt>
                <c:pt idx="1">
                  <c:v>1282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41984"/>
        <c:axId val="137643520"/>
      </c:lineChart>
      <c:catAx>
        <c:axId val="1376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7643520"/>
        <c:crosses val="autoZero"/>
        <c:auto val="1"/>
        <c:lblAlgn val="ctr"/>
        <c:lblOffset val="100"/>
        <c:noMultiLvlLbl val="0"/>
      </c:catAx>
      <c:valAx>
        <c:axId val="137643520"/>
        <c:scaling>
          <c:orientation val="minMax"/>
          <c:max val="2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76419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69"/>
          <c:h val="0.7757828703703887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Invercargill!$B$222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Invercargill!$C$222:$D$222</c:f>
              <c:numCache>
                <c:formatCode>_-* #,##0_-;\-* #,##0_-;_-* "-"??_-;_-@_-</c:formatCode>
                <c:ptCount val="2"/>
                <c:pt idx="0">
                  <c:v>2515.5045673789441</c:v>
                </c:pt>
                <c:pt idx="1">
                  <c:v>3376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36905088"/>
        <c:axId val="136906624"/>
      </c:barChart>
      <c:lineChart>
        <c:grouping val="standard"/>
        <c:varyColors val="0"/>
        <c:ser>
          <c:idx val="1"/>
          <c:order val="0"/>
          <c:tx>
            <c:strRef>
              <c:f>Invercargill!$B$223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Invercargill!$C$221:$D$221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Invercargill!$C$223:$D$223</c:f>
              <c:numCache>
                <c:formatCode>_-* #,##0_-;\-* #,##0_-;_-* "-"??_-;_-@_-</c:formatCode>
                <c:ptCount val="2"/>
                <c:pt idx="0">
                  <c:v>3014.7339063889408</c:v>
                </c:pt>
                <c:pt idx="1">
                  <c:v>4068.2096952386078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Invercargill!$B$224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Invercargill!$C$221:$D$221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Invercargill!$C$224:$D$224</c:f>
              <c:numCache>
                <c:formatCode>_-* #,##0_-;\-* #,##0_-;_-* "-"??_-;_-@_-</c:formatCode>
                <c:ptCount val="2"/>
                <c:pt idx="1">
                  <c:v>3952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05088"/>
        <c:axId val="136906624"/>
      </c:lineChart>
      <c:catAx>
        <c:axId val="13690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6906624"/>
        <c:crosses val="autoZero"/>
        <c:auto val="1"/>
        <c:lblAlgn val="ctr"/>
        <c:lblOffset val="100"/>
        <c:noMultiLvlLbl val="0"/>
      </c:catAx>
      <c:valAx>
        <c:axId val="136906624"/>
        <c:scaling>
          <c:orientation val="minMax"/>
          <c:max val="5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6905088"/>
        <c:crosses val="autoZero"/>
        <c:crossBetween val="between"/>
        <c:majorUnit val="1000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482E-3"/>
          <c:w val="0.90316284722220663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613"/>
          <c:h val="0.7759916666666948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Alpine!$B$178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Alpine!$C$178:$D$178</c:f>
              <c:numCache>
                <c:formatCode>_-* #,##0_-;\-* #,##0_-;_-* "-"??_-;_-@_-</c:formatCode>
                <c:ptCount val="2"/>
                <c:pt idx="0">
                  <c:v>4044.8671577160408</c:v>
                </c:pt>
                <c:pt idx="1">
                  <c:v>4959.2709999999997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16063232"/>
        <c:axId val="115749632"/>
      </c:barChart>
      <c:lineChart>
        <c:grouping val="standard"/>
        <c:varyColors val="0"/>
        <c:ser>
          <c:idx val="1"/>
          <c:order val="0"/>
          <c:tx>
            <c:strRef>
              <c:f>Alpine!$B$179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Alpine!$C$177:$D$177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Alpine!$C$179:$D$179</c:f>
              <c:numCache>
                <c:formatCode>_-* #,##0_-;\-* #,##0_-;_-* "-"??_-;_-@_-</c:formatCode>
                <c:ptCount val="2"/>
                <c:pt idx="0">
                  <c:v>2246.5320255449865</c:v>
                </c:pt>
                <c:pt idx="1">
                  <c:v>2337.2083748753735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Alpine!$B$180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Alpine!$C$177:$D$177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Alpine!$C$180:$D$180</c:f>
              <c:numCache>
                <c:formatCode>_-* #,##0_-;\-* #,##0_-;_-* "-"??_-;_-@_-</c:formatCode>
                <c:ptCount val="2"/>
                <c:pt idx="1">
                  <c:v>4336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63232"/>
        <c:axId val="115749632"/>
      </c:lineChart>
      <c:catAx>
        <c:axId val="11606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5749632"/>
        <c:crosses val="autoZero"/>
        <c:auto val="1"/>
        <c:lblAlgn val="ctr"/>
        <c:lblOffset val="100"/>
        <c:noMultiLvlLbl val="0"/>
      </c:catAx>
      <c:valAx>
        <c:axId val="11574963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6063232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226"/>
          <c:y val="3.5277777777779212E-2"/>
          <c:w val="0.7717227593675045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Invercargill!$V$221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21180839938554144"/>
                  <c:y val="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Invercargill!$W$221:$AC$221</c:f>
              <c:numCache>
                <c:formatCode>General</c:formatCode>
                <c:ptCount val="7"/>
                <c:pt idx="0">
                  <c:v>3014.7339063889408</c:v>
                </c:pt>
                <c:pt idx="1">
                  <c:v>4068.2096952386078</c:v>
                </c:pt>
                <c:pt idx="2">
                  <c:v>3038.1671202608386</c:v>
                </c:pt>
                <c:pt idx="3">
                  <c:v>3053.4496510468589</c:v>
                </c:pt>
                <c:pt idx="4">
                  <c:v>2821.1551830993503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Invercargill!$V$222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1919723917941892"/>
                  <c:y val="4.11574074074074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Invercargill!$W$222:$AC$222</c:f>
              <c:numCache>
                <c:formatCode>General</c:formatCode>
                <c:ptCount val="7"/>
                <c:pt idx="1">
                  <c:v>3952</c:v>
                </c:pt>
                <c:pt idx="2">
                  <c:v>3451</c:v>
                </c:pt>
                <c:pt idx="3">
                  <c:v>3344</c:v>
                </c:pt>
                <c:pt idx="4">
                  <c:v>2945</c:v>
                </c:pt>
                <c:pt idx="5">
                  <c:v>2907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Invercargill!$V$223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2.5867912277242632E-3"/>
                  <c:y val="1.76388888888888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Invercargill!$W$223:$AC$223</c:f>
              <c:numCache>
                <c:formatCode>General</c:formatCode>
                <c:ptCount val="7"/>
                <c:pt idx="2">
                  <c:v>4558.7079508726565</c:v>
                </c:pt>
                <c:pt idx="3">
                  <c:v>5120.8475759534585</c:v>
                </c:pt>
                <c:pt idx="4">
                  <c:v>4854.9310924369747</c:v>
                </c:pt>
                <c:pt idx="5">
                  <c:v>3657.3292824822233</c:v>
                </c:pt>
                <c:pt idx="6">
                  <c:v>2757.9058823529413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Invercargill!$V$220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3.9751309132680684E-2"/>
                  <c:y val="-4.11578703703703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Invercargill!$W$220:$AC$220</c:f>
              <c:numCache>
                <c:formatCode>General</c:formatCode>
                <c:ptCount val="7"/>
                <c:pt idx="0">
                  <c:v>2515.5045673789441</c:v>
                </c:pt>
                <c:pt idx="1">
                  <c:v>3376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63968"/>
        <c:axId val="136965504"/>
      </c:lineChart>
      <c:catAx>
        <c:axId val="13696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6965504"/>
        <c:crosses val="autoZero"/>
        <c:auto val="1"/>
        <c:lblAlgn val="ctr"/>
        <c:lblOffset val="100"/>
        <c:noMultiLvlLbl val="0"/>
      </c:catAx>
      <c:valAx>
        <c:axId val="13696550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69639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03"/>
          <c:y val="6.4675925925925928E-2"/>
          <c:w val="0.77882050888626053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Invercargill!$B$237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791163313637778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Invercargill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Invercargill!$C$236:$F$236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Invercargill!$C$237:$F$237</c:f>
              <c:numCache>
                <c:formatCode>_(* #,##0.00_);_(* \(#,##0.00\);_(* "-"??_);_(@_)</c:formatCode>
                <c:ptCount val="4"/>
                <c:pt idx="0">
                  <c:v>1.1499999999999999</c:v>
                </c:pt>
                <c:pt idx="1">
                  <c:v>0.84520000000000006</c:v>
                </c:pt>
                <c:pt idx="2">
                  <c:v>0.84299999999999997</c:v>
                </c:pt>
                <c:pt idx="3">
                  <c:v>1.18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Invercargill!$B$238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7846496820372121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Invercargill!$C$238:$F$238</c:f>
              <c:numCache>
                <c:formatCode>_(* #,##0.00_);_(* \(#,##0.00\);_(* "-"??_);_(@_)</c:formatCode>
                <c:ptCount val="4"/>
                <c:pt idx="0">
                  <c:v>0.99</c:v>
                </c:pt>
                <c:pt idx="1">
                  <c:v>0.99</c:v>
                </c:pt>
                <c:pt idx="2">
                  <c:v>0.99</c:v>
                </c:pt>
                <c:pt idx="3">
                  <c:v>1.1322000000000001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Invercargill!$B$239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-4.629629629629779E-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Invercargill!$C$236:$F$236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37312"/>
        <c:axId val="137038848"/>
      </c:lineChart>
      <c:catAx>
        <c:axId val="1370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7038848"/>
        <c:crosses val="autoZero"/>
        <c:auto val="1"/>
        <c:lblAlgn val="ctr"/>
        <c:lblOffset val="100"/>
        <c:noMultiLvlLbl val="0"/>
      </c:catAx>
      <c:valAx>
        <c:axId val="137038848"/>
        <c:scaling>
          <c:orientation val="minMax"/>
          <c:max val="3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703731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3159722222223"/>
          <c:y val="6.4675925925925928E-2"/>
          <c:w val="0.7698374969614834"/>
          <c:h val="0.80984259259260005"/>
        </c:manualLayout>
      </c:layout>
      <c:lineChart>
        <c:grouping val="standard"/>
        <c:varyColors val="0"/>
        <c:ser>
          <c:idx val="1"/>
          <c:order val="0"/>
          <c:tx>
            <c:strRef>
              <c:f>Invercargill!$B$230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2752946626016579"/>
                  <c:y val="-7.0556658613018214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Invercargill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Invercargill!$C$230:$F$230</c:f>
              <c:numCache>
                <c:formatCode>_(* #,##0.00_);_(* \(#,##0.00\);_(* "-"??_);_(@_)</c:formatCode>
                <c:ptCount val="4"/>
                <c:pt idx="0">
                  <c:v>54.66</c:v>
                </c:pt>
                <c:pt idx="1">
                  <c:v>32.872</c:v>
                </c:pt>
                <c:pt idx="2">
                  <c:v>29.991</c:v>
                </c:pt>
                <c:pt idx="3">
                  <c:v>44.769999999999996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Invercargill!$B$231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055555555555556"/>
                  <c:y val="7.055509259259258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Invercargill!$C$231:$F$231</c:f>
              <c:numCache>
                <c:formatCode>_(* #,##0.00_);_(* \(#,##0.00\);_(* "-"??_);_(@_)</c:formatCode>
                <c:ptCount val="4"/>
                <c:pt idx="0">
                  <c:v>35.44</c:v>
                </c:pt>
                <c:pt idx="1">
                  <c:v>35.44</c:v>
                </c:pt>
                <c:pt idx="2">
                  <c:v>35.44</c:v>
                </c:pt>
                <c:pt idx="3">
                  <c:v>45.645000000000003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Invercargill!$B$232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4775629378034645E-7"/>
                  <c:y val="3.181589838049929E-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Invercargill!$C$229:$F$229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Invercargill!$C$232:$F$232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90176"/>
        <c:axId val="137091712"/>
      </c:lineChart>
      <c:catAx>
        <c:axId val="13709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7091712"/>
        <c:crosses val="autoZero"/>
        <c:auto val="1"/>
        <c:lblAlgn val="ctr"/>
        <c:lblOffset val="100"/>
        <c:noMultiLvlLbl val="0"/>
      </c:catAx>
      <c:valAx>
        <c:axId val="137091712"/>
        <c:scaling>
          <c:orientation val="minMax"/>
          <c:max val="3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709017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Horizon!$B$26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2192908381870278"/>
                  <c:y val="-0.4187705329880572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Horizon!$C$26:$F$26</c:f>
              <c:numCache>
                <c:formatCode>0</c:formatCode>
                <c:ptCount val="4"/>
                <c:pt idx="0">
                  <c:v>2116.3796489027022</c:v>
                </c:pt>
                <c:pt idx="1">
                  <c:v>2160.3440364243706</c:v>
                </c:pt>
                <c:pt idx="2">
                  <c:v>2144.8522540486647</c:v>
                </c:pt>
                <c:pt idx="3">
                  <c:v>2227.5</c:v>
                </c:pt>
              </c:numCache>
            </c:numRef>
          </c:val>
        </c:ser>
        <c:ser>
          <c:idx val="1"/>
          <c:order val="1"/>
          <c:tx>
            <c:strRef>
              <c:f>Horizon!$B$27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2203511579704786"/>
                  <c:y val="-0.10191506946430438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Horizon!$C$27:$F$27</c:f>
              <c:numCache>
                <c:formatCode>0</c:formatCode>
                <c:ptCount val="4"/>
                <c:pt idx="0">
                  <c:v>862.47897122979089</c:v>
                </c:pt>
                <c:pt idx="1">
                  <c:v>883.62611023405816</c:v>
                </c:pt>
                <c:pt idx="2">
                  <c:v>875.38336342324362</c:v>
                </c:pt>
                <c:pt idx="3">
                  <c:v>908.8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731456"/>
        <c:axId val="135745536"/>
      </c:areaChart>
      <c:catAx>
        <c:axId val="13573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5745536"/>
        <c:crosses val="autoZero"/>
        <c:auto val="1"/>
        <c:lblAlgn val="ctr"/>
        <c:lblOffset val="100"/>
        <c:noMultiLvlLbl val="0"/>
      </c:catAx>
      <c:valAx>
        <c:axId val="135745536"/>
        <c:scaling>
          <c:orientation val="minMax"/>
          <c:max val="2500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5731456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3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Horizon!$B$28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Horizon!$C$25:$F$25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Horizon!$C$28:$F$28</c:f>
              <c:numCache>
                <c:formatCode>0</c:formatCode>
                <c:ptCount val="4"/>
                <c:pt idx="0">
                  <c:v>677.9084713866157</c:v>
                </c:pt>
                <c:pt idx="1">
                  <c:v>680.15957169332114</c:v>
                </c:pt>
                <c:pt idx="2">
                  <c:v>688.73272075664897</c:v>
                </c:pt>
                <c:pt idx="3">
                  <c:v>727.2</c:v>
                </c:pt>
              </c:numCache>
            </c:numRef>
          </c:val>
        </c:ser>
        <c:ser>
          <c:idx val="1"/>
          <c:order val="1"/>
          <c:tx>
            <c:strRef>
              <c:f>Horizon!$B$29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Horizon!$C$25:$F$25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Horizon!$C$29:$F$29</c:f>
              <c:numCache>
                <c:formatCode>0</c:formatCode>
                <c:ptCount val="4"/>
                <c:pt idx="0">
                  <c:v>184.57049984317527</c:v>
                </c:pt>
                <c:pt idx="1">
                  <c:v>203.46653854073713</c:v>
                </c:pt>
                <c:pt idx="2">
                  <c:v>186.65064266659479</c:v>
                </c:pt>
                <c:pt idx="3">
                  <c:v>181.60000000000002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783168"/>
        <c:axId val="135784704"/>
      </c:barChart>
      <c:catAx>
        <c:axId val="13578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5784704"/>
        <c:crosses val="autoZero"/>
        <c:auto val="1"/>
        <c:lblAlgn val="ctr"/>
        <c:lblOffset val="100"/>
        <c:noMultiLvlLbl val="0"/>
      </c:catAx>
      <c:valAx>
        <c:axId val="135784704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578316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267"/>
          <c:w val="0.89745624999998452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Horizon!$B$40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Horizon!$C$39:$F$39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Horizon!$C$40:$F$40</c:f>
              <c:numCache>
                <c:formatCode>0</c:formatCode>
                <c:ptCount val="4"/>
                <c:pt idx="0">
                  <c:v>27170.735404180086</c:v>
                </c:pt>
                <c:pt idx="1">
                  <c:v>27299.356694900125</c:v>
                </c:pt>
                <c:pt idx="2">
                  <c:v>27499.13628169545</c:v>
                </c:pt>
                <c:pt idx="3">
                  <c:v>27462.531999999999</c:v>
                </c:pt>
              </c:numCache>
            </c:numRef>
          </c:val>
        </c:ser>
        <c:ser>
          <c:idx val="1"/>
          <c:order val="1"/>
          <c:tx>
            <c:strRef>
              <c:f>Horizon!$B$41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Horizon!$C$39:$F$39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Horizon!$C$41:$F$41</c:f>
              <c:numCache>
                <c:formatCode>0</c:formatCode>
                <c:ptCount val="4"/>
                <c:pt idx="0">
                  <c:v>1146.9911624419035</c:v>
                </c:pt>
                <c:pt idx="1">
                  <c:v>746.55898721394715</c:v>
                </c:pt>
                <c:pt idx="2">
                  <c:v>602.81154106868576</c:v>
                </c:pt>
                <c:pt idx="3">
                  <c:v>1139.837</c:v>
                </c:pt>
              </c:numCache>
            </c:numRef>
          </c:val>
        </c:ser>
        <c:ser>
          <c:idx val="3"/>
          <c:order val="2"/>
          <c:tx>
            <c:strRef>
              <c:f>Horizon!$B$42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Horizon!$C$39:$F$39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Horizon!$C$42:$F$42</c:f>
              <c:numCache>
                <c:formatCode>0</c:formatCode>
                <c:ptCount val="4"/>
                <c:pt idx="0">
                  <c:v>181.69329155712694</c:v>
                </c:pt>
                <c:pt idx="1">
                  <c:v>1662.9596328093894</c:v>
                </c:pt>
                <c:pt idx="2">
                  <c:v>182.92440506857804</c:v>
                </c:pt>
                <c:pt idx="3">
                  <c:v>13.23921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056448"/>
        <c:axId val="138057984"/>
      </c:barChart>
      <c:catAx>
        <c:axId val="13805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8057984"/>
        <c:crosses val="autoZero"/>
        <c:auto val="1"/>
        <c:lblAlgn val="ctr"/>
        <c:lblOffset val="100"/>
        <c:noMultiLvlLbl val="0"/>
      </c:catAx>
      <c:valAx>
        <c:axId val="13805798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8056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998"/>
          <c:h val="0.21171296296296777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 orientation="portrait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299E-2"/>
          <c:y val="9.9262962962965245E-2"/>
          <c:w val="0.80176112499523156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Horizon!$B$46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42258061239821354"/>
                  <c:y val="-5.835578038902252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Horizon!$C$46:$F$46</c:f>
              <c:numCache>
                <c:formatCode>0.0</c:formatCode>
                <c:ptCount val="4"/>
                <c:pt idx="0">
                  <c:v>100</c:v>
                </c:pt>
                <c:pt idx="1">
                  <c:v>100.47338170574601</c:v>
                </c:pt>
                <c:pt idx="2">
                  <c:v>101.20865656608191</c:v>
                </c:pt>
                <c:pt idx="3">
                  <c:v>101.07393705573027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Horizon!$B$47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Horizon!$C$45:$F$45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Horizon!$C$47:$F$47</c:f>
              <c:numCache>
                <c:formatCode>0.0</c:formatCode>
                <c:ptCount val="4"/>
                <c:pt idx="0">
                  <c:v>100</c:v>
                </c:pt>
                <c:pt idx="1">
                  <c:v>65.088469001326004</c:v>
                </c:pt>
                <c:pt idx="2">
                  <c:v>52.55590110958844</c:v>
                </c:pt>
                <c:pt idx="3">
                  <c:v>99.376266995233635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Horizon!$B$48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55550353551996157"/>
                  <c:y val="-0.7521130444358884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Horizon!$C$48:$F$48</c:f>
              <c:numCache>
                <c:formatCode>0.0</c:formatCode>
                <c:ptCount val="4"/>
                <c:pt idx="0">
                  <c:v>100</c:v>
                </c:pt>
                <c:pt idx="1">
                  <c:v>915.25648446218565</c:v>
                </c:pt>
                <c:pt idx="2">
                  <c:v>100.67757785711314</c:v>
                </c:pt>
                <c:pt idx="3">
                  <c:v>7.2865706193876747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71840"/>
        <c:axId val="138373376"/>
      </c:lineChart>
      <c:catAx>
        <c:axId val="13837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8373376"/>
        <c:crossesAt val="0"/>
        <c:auto val="1"/>
        <c:lblAlgn val="ctr"/>
        <c:lblOffset val="100"/>
        <c:noMultiLvlLbl val="0"/>
      </c:catAx>
      <c:valAx>
        <c:axId val="138373376"/>
        <c:scaling>
          <c:orientation val="minMax"/>
          <c:max val="1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837184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 orientation="portrait"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716"/>
          <c:h val="0.702040277777789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Horizon!$B$54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Horizon!$C$53:$F$53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Horizon!$C$54:$F$54</c:f>
              <c:numCache>
                <c:formatCode>0</c:formatCode>
                <c:ptCount val="4"/>
                <c:pt idx="0">
                  <c:v>13098.338764221149</c:v>
                </c:pt>
                <c:pt idx="1">
                  <c:v>13719.919979408329</c:v>
                </c:pt>
                <c:pt idx="2">
                  <c:v>13813.370159790895</c:v>
                </c:pt>
                <c:pt idx="3">
                  <c:v>13889.957</c:v>
                </c:pt>
              </c:numCache>
            </c:numRef>
          </c:val>
        </c:ser>
        <c:ser>
          <c:idx val="1"/>
          <c:order val="1"/>
          <c:tx>
            <c:strRef>
              <c:f>Horizon!$B$55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Horizon!$C$53:$F$53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Horizon!$C$55:$F$55</c:f>
              <c:numCache>
                <c:formatCode>0</c:formatCode>
                <c:ptCount val="4"/>
                <c:pt idx="0">
                  <c:v>5456.2860535485152</c:v>
                </c:pt>
                <c:pt idx="1">
                  <c:v>5705.8779554945413</c:v>
                </c:pt>
                <c:pt idx="2">
                  <c:v>5548.5775107111094</c:v>
                </c:pt>
                <c:pt idx="3">
                  <c:v>5563.13</c:v>
                </c:pt>
              </c:numCache>
            </c:numRef>
          </c:val>
        </c:ser>
        <c:ser>
          <c:idx val="2"/>
          <c:order val="2"/>
          <c:tx>
            <c:strRef>
              <c:f>Horizon!$B$56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Horizon!$C$53:$F$53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Horizon!$C$56:$F$56</c:f>
              <c:numCache>
                <c:formatCode>0</c:formatCode>
                <c:ptCount val="4"/>
                <c:pt idx="0">
                  <c:v>4642.9478998032555</c:v>
                </c:pt>
                <c:pt idx="1">
                  <c:v>4634.6029615210364</c:v>
                </c:pt>
                <c:pt idx="2">
                  <c:v>4700.1012841745032</c:v>
                </c:pt>
                <c:pt idx="3">
                  <c:v>5257.4161999999997</c:v>
                </c:pt>
              </c:numCache>
            </c:numRef>
          </c:val>
        </c:ser>
        <c:ser>
          <c:idx val="3"/>
          <c:order val="3"/>
          <c:tx>
            <c:strRef>
              <c:f>Horizon!$B$57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Horizon!$C$53:$F$53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Horizon!$C$57:$F$57</c:f>
              <c:numCache>
                <c:formatCode>0</c:formatCode>
                <c:ptCount val="4"/>
                <c:pt idx="0">
                  <c:v>3973.1631178466537</c:v>
                </c:pt>
                <c:pt idx="1">
                  <c:v>3238.9554870478405</c:v>
                </c:pt>
                <c:pt idx="2">
                  <c:v>3436.4827501010477</c:v>
                </c:pt>
                <c:pt idx="3">
                  <c:v>2752.0284000000001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422528"/>
        <c:axId val="138444800"/>
      </c:barChart>
      <c:catAx>
        <c:axId val="13842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8444800"/>
        <c:crosses val="autoZero"/>
        <c:auto val="1"/>
        <c:lblAlgn val="ctr"/>
        <c:lblOffset val="100"/>
        <c:noMultiLvlLbl val="0"/>
      </c:catAx>
      <c:valAx>
        <c:axId val="13844480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8422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4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 orientation="portrait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1422738982387166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Horizon!$B$61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56787643764014E-6"/>
                  <c:y val="-2.351851851851848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Horizon!$C$61:$F$61</c:f>
              <c:numCache>
                <c:formatCode>0.0</c:formatCode>
                <c:ptCount val="4"/>
                <c:pt idx="0">
                  <c:v>100</c:v>
                </c:pt>
                <c:pt idx="1">
                  <c:v>104.74549655781588</c:v>
                </c:pt>
                <c:pt idx="2">
                  <c:v>105.45894718743185</c:v>
                </c:pt>
                <c:pt idx="3">
                  <c:v>106.04365370317952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Horizon!$B$62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28393821881842E-6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Horizon!$C$62:$F$62</c:f>
              <c:numCache>
                <c:formatCode>0.0</c:formatCode>
                <c:ptCount val="4"/>
                <c:pt idx="0">
                  <c:v>100</c:v>
                </c:pt>
                <c:pt idx="1">
                  <c:v>104.57439180234518</c:v>
                </c:pt>
                <c:pt idx="2">
                  <c:v>101.69147028320798</c:v>
                </c:pt>
                <c:pt idx="3">
                  <c:v>101.95818081022342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Horizon!$B$63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070984554706501E-6"/>
                  <c:y val="-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Horizon!$C$63:$F$63</c:f>
              <c:numCache>
                <c:formatCode>0.0</c:formatCode>
                <c:ptCount val="4"/>
                <c:pt idx="0">
                  <c:v>100</c:v>
                </c:pt>
                <c:pt idx="1">
                  <c:v>99.820266381137444</c:v>
                </c:pt>
                <c:pt idx="2">
                  <c:v>101.23097190846508</c:v>
                </c:pt>
                <c:pt idx="3">
                  <c:v>113.23444314812971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Horizon!$B$64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27777777777877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Horizon!$C$64:$F$64</c:f>
              <c:numCache>
                <c:formatCode>0.0</c:formatCode>
                <c:ptCount val="4"/>
                <c:pt idx="0">
                  <c:v>100</c:v>
                </c:pt>
                <c:pt idx="1">
                  <c:v>81.520828392348164</c:v>
                </c:pt>
                <c:pt idx="2">
                  <c:v>86.492365104897274</c:v>
                </c:pt>
                <c:pt idx="3">
                  <c:v>69.265427025596793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53344"/>
        <c:axId val="138171520"/>
      </c:lineChart>
      <c:catAx>
        <c:axId val="13815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8171520"/>
        <c:crosses val="autoZero"/>
        <c:auto val="1"/>
        <c:lblAlgn val="ctr"/>
        <c:lblOffset val="100"/>
        <c:noMultiLvlLbl val="0"/>
      </c:catAx>
      <c:valAx>
        <c:axId val="138171520"/>
        <c:scaling>
          <c:orientation val="minMax"/>
          <c:max val="120"/>
          <c:min val="6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815334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4E-2"/>
          <c:y val="5.1489936964064897E-2"/>
          <c:w val="0.84573513582365534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Horizon!$B$84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4993470218457252E-5"/>
                  <c:y val="-3.348231332870624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Horizon!$C$84:$F$84</c:f>
              <c:numCache>
                <c:formatCode>0.00</c:formatCode>
                <c:ptCount val="4"/>
                <c:pt idx="0">
                  <c:v>10.238475555760729</c:v>
                </c:pt>
                <c:pt idx="1">
                  <c:v>10.603391342472394</c:v>
                </c:pt>
                <c:pt idx="2">
                  <c:v>10.433342719130502</c:v>
                </c:pt>
                <c:pt idx="3">
                  <c:v>10.724095650582095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Horizon!$B$85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342098964333773E-5"/>
                  <c:y val="-3.227526315663090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Horizon!$C$85:$F$85</c:f>
              <c:numCache>
                <c:formatCode>0.00</c:formatCode>
                <c:ptCount val="4"/>
                <c:pt idx="0">
                  <c:v>9.3843669828986354</c:v>
                </c:pt>
                <c:pt idx="1">
                  <c:v>9.5438828883560962</c:v>
                </c:pt>
                <c:pt idx="2">
                  <c:v>9.2423895198598824</c:v>
                </c:pt>
                <c:pt idx="3">
                  <c:v>9.3465001828934451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Horizon!$B$86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840140029870432E-5"/>
                  <c:y val="-2.08243773220586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Horizon!$C$86:$F$86</c:f>
              <c:numCache>
                <c:formatCode>0.00</c:formatCode>
                <c:ptCount val="4"/>
                <c:pt idx="0">
                  <c:v>7.8019075950435761</c:v>
                </c:pt>
                <c:pt idx="1">
                  <c:v>7.7515732927729966</c:v>
                </c:pt>
                <c:pt idx="2">
                  <c:v>6.2534901994745917</c:v>
                </c:pt>
                <c:pt idx="3">
                  <c:v>8.2188254356965338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Horizon!$B$87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9226441631506233E-5"/>
                  <c:y val="-4.15262004383343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Horizon!$C$87:$F$87</c:f>
              <c:numCache>
                <c:formatCode>0.00</c:formatCode>
                <c:ptCount val="4"/>
                <c:pt idx="0">
                  <c:v>1.347064275771507</c:v>
                </c:pt>
                <c:pt idx="1">
                  <c:v>1.2309764631891136</c:v>
                </c:pt>
                <c:pt idx="2">
                  <c:v>1.2561287070699172</c:v>
                </c:pt>
                <c:pt idx="3">
                  <c:v>0.95703176877989427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48576"/>
        <c:axId val="138250112"/>
      </c:lineChart>
      <c:catAx>
        <c:axId val="1382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8250112"/>
        <c:crosses val="autoZero"/>
        <c:auto val="1"/>
        <c:lblAlgn val="ctr"/>
        <c:lblOffset val="100"/>
        <c:noMultiLvlLbl val="0"/>
      </c:catAx>
      <c:valAx>
        <c:axId val="13825011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824857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245"/>
          <c:w val="0.89745624999998508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Alpine!$B$40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Alpine!$C$39:$F$39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Alpine!$C$40:$F$40</c:f>
              <c:numCache>
                <c:formatCode>0</c:formatCode>
                <c:ptCount val="4"/>
                <c:pt idx="0">
                  <c:v>31516.059707450597</c:v>
                </c:pt>
                <c:pt idx="1">
                  <c:v>31275.713638547593</c:v>
                </c:pt>
                <c:pt idx="2">
                  <c:v>33787.63789711945</c:v>
                </c:pt>
                <c:pt idx="3">
                  <c:v>33177.610999999997</c:v>
                </c:pt>
              </c:numCache>
            </c:numRef>
          </c:val>
        </c:ser>
        <c:ser>
          <c:idx val="1"/>
          <c:order val="1"/>
          <c:tx>
            <c:strRef>
              <c:f>Alpine!$B$41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Alpine!$C$39:$F$39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Alpine!$C$41:$F$41</c:f>
              <c:numCache>
                <c:formatCode>0</c:formatCode>
                <c:ptCount val="4"/>
                <c:pt idx="0">
                  <c:v>2855.2333999600805</c:v>
                </c:pt>
                <c:pt idx="1">
                  <c:v>3792.5363451163416</c:v>
                </c:pt>
                <c:pt idx="2">
                  <c:v>1637.2684648756431</c:v>
                </c:pt>
                <c:pt idx="3">
                  <c:v>1351.8019999999999</c:v>
                </c:pt>
              </c:numCache>
            </c:numRef>
          </c:val>
        </c:ser>
        <c:ser>
          <c:idx val="3"/>
          <c:order val="2"/>
          <c:tx>
            <c:strRef>
              <c:f>Alpine!$B$42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Alpine!$C$39:$F$39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Alpine!$C$42:$F$42</c:f>
              <c:numCache>
                <c:formatCode>0</c:formatCode>
                <c:ptCount val="4"/>
                <c:pt idx="0">
                  <c:v>17.311031051295942</c:v>
                </c:pt>
                <c:pt idx="1">
                  <c:v>3.9416451369345862</c:v>
                </c:pt>
                <c:pt idx="2">
                  <c:v>3.0565061572040628</c:v>
                </c:pt>
                <c:pt idx="3">
                  <c:v>0.67100000000000004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232320"/>
        <c:axId val="114242304"/>
      </c:barChart>
      <c:catAx>
        <c:axId val="11423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242304"/>
        <c:crosses val="autoZero"/>
        <c:auto val="1"/>
        <c:lblAlgn val="ctr"/>
        <c:lblOffset val="100"/>
        <c:noMultiLvlLbl val="0"/>
      </c:catAx>
      <c:valAx>
        <c:axId val="11424230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4232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4042"/>
          <c:h val="0.21171296296296757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Alpine!$V$177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3.527777777777915E-2"/>
                  <c:y val="0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Alpine!$W$177:$AC$177</c:f>
              <c:numCache>
                <c:formatCode>General</c:formatCode>
                <c:ptCount val="7"/>
                <c:pt idx="0">
                  <c:v>2246.5320255449865</c:v>
                </c:pt>
                <c:pt idx="1">
                  <c:v>2337.2083748753735</c:v>
                </c:pt>
                <c:pt idx="2">
                  <c:v>2429.9223949772299</c:v>
                </c:pt>
                <c:pt idx="3">
                  <c:v>2575.6158551372905</c:v>
                </c:pt>
                <c:pt idx="4">
                  <c:v>2731.4976691546976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Alpine!$V$178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3.9687499999999917E-2"/>
                  <c:y val="1.175925925925926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Alpine!$W$178:$AC$178</c:f>
              <c:numCache>
                <c:formatCode>General</c:formatCode>
                <c:ptCount val="7"/>
                <c:pt idx="1">
                  <c:v>4336</c:v>
                </c:pt>
                <c:pt idx="2">
                  <c:v>4596</c:v>
                </c:pt>
                <c:pt idx="3">
                  <c:v>4872</c:v>
                </c:pt>
                <c:pt idx="4">
                  <c:v>5116</c:v>
                </c:pt>
                <c:pt idx="5">
                  <c:v>5320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Alpine!$V$179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0"/>
                  <c:y val="-3.527777777777883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Alpine!$W$179:$AC$179</c:f>
              <c:numCache>
                <c:formatCode>General</c:formatCode>
                <c:ptCount val="7"/>
                <c:pt idx="2">
                  <c:v>4937.0523594053002</c:v>
                </c:pt>
                <c:pt idx="3">
                  <c:v>5232.2978668390433</c:v>
                </c:pt>
                <c:pt idx="4">
                  <c:v>5495.2814479638009</c:v>
                </c:pt>
                <c:pt idx="5">
                  <c:v>5715.2491273432452</c:v>
                </c:pt>
                <c:pt idx="6">
                  <c:v>5885.3574660633485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Alpine!$V$176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9687500000000014E-2"/>
                  <c:y val="-0.1117129629629629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Alpine!$C$178:$I$178</c:f>
              <c:numCache>
                <c:formatCode>_-* #,##0_-;\-* #,##0_-;_-* "-"??_-;_-@_-</c:formatCode>
                <c:ptCount val="7"/>
                <c:pt idx="0">
                  <c:v>4044.8671577160408</c:v>
                </c:pt>
                <c:pt idx="1">
                  <c:v>4959.2709999999997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22592"/>
        <c:axId val="115824128"/>
      </c:lineChart>
      <c:catAx>
        <c:axId val="11582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5824128"/>
        <c:crosses val="autoZero"/>
        <c:auto val="1"/>
        <c:lblAlgn val="ctr"/>
        <c:lblOffset val="100"/>
        <c:noMultiLvlLbl val="0"/>
      </c:catAx>
      <c:valAx>
        <c:axId val="11582412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582259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055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Horizon!$B$90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0141543824951988"/>
                  <c:y val="1.042040247061167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Horizon!$C$90:$F$90</c:f>
              <c:numCache>
                <c:formatCode>0.0</c:formatCode>
                <c:ptCount val="4"/>
                <c:pt idx="0">
                  <c:v>100</c:v>
                </c:pt>
                <c:pt idx="1">
                  <c:v>103.56416133167738</c:v>
                </c:pt>
                <c:pt idx="2">
                  <c:v>101.90328298689086</c:v>
                </c:pt>
                <c:pt idx="3">
                  <c:v>104.74308984942712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Horizon!$B$91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8185608876222E-3"/>
                  <c:y val="3.430222365251557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Horizon!$C$91:$F$91</c:f>
              <c:numCache>
                <c:formatCode>0.0</c:formatCode>
                <c:ptCount val="4"/>
                <c:pt idx="0">
                  <c:v>100</c:v>
                </c:pt>
                <c:pt idx="1">
                  <c:v>101.69980464050639</c:v>
                </c:pt>
                <c:pt idx="2">
                  <c:v>98.48708534845791</c:v>
                </c:pt>
                <c:pt idx="3">
                  <c:v>99.596490630916335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Horizon!$B$92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0587237870167167"/>
                  <c:y val="0.37643355250049809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Horizon!$C$92:$F$92</c:f>
              <c:numCache>
                <c:formatCode>0.0</c:formatCode>
                <c:ptCount val="4"/>
                <c:pt idx="0">
                  <c:v>100</c:v>
                </c:pt>
                <c:pt idx="1">
                  <c:v>99.354846213475341</c:v>
                </c:pt>
                <c:pt idx="2">
                  <c:v>80.153348694456866</c:v>
                </c:pt>
                <c:pt idx="3">
                  <c:v>105.34379362449535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Horizon!$B$93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2.798166965531021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Horizon!$C$93:$F$93</c:f>
              <c:numCache>
                <c:formatCode>0.0</c:formatCode>
                <c:ptCount val="4"/>
                <c:pt idx="0">
                  <c:v>100</c:v>
                </c:pt>
                <c:pt idx="1">
                  <c:v>91.382162331050893</c:v>
                </c:pt>
                <c:pt idx="2">
                  <c:v>93.249351917561015</c:v>
                </c:pt>
                <c:pt idx="3">
                  <c:v>71.045738944548248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14880"/>
        <c:axId val="138316416"/>
      </c:lineChart>
      <c:catAx>
        <c:axId val="1383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8316416"/>
        <c:crosses val="autoZero"/>
        <c:auto val="1"/>
        <c:lblAlgn val="ctr"/>
        <c:lblOffset val="100"/>
        <c:noMultiLvlLbl val="0"/>
      </c:catAx>
      <c:valAx>
        <c:axId val="138316416"/>
        <c:scaling>
          <c:orientation val="minMax"/>
          <c:max val="12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83148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834364860253561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Horizon!$B$120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1.175833333333334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Horizon!$C$120:$F$120</c:f>
              <c:numCache>
                <c:formatCode>0.0</c:formatCode>
                <c:ptCount val="4"/>
                <c:pt idx="0">
                  <c:v>100</c:v>
                </c:pt>
                <c:pt idx="1">
                  <c:v>101.14067956612436</c:v>
                </c:pt>
                <c:pt idx="2">
                  <c:v>103.48925382609939</c:v>
                </c:pt>
                <c:pt idx="3">
                  <c:v>101.24167031507471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Horizon!$B$121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801338294663E-3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Horizon!$C$121:$F$121</c:f>
              <c:numCache>
                <c:formatCode>0.0</c:formatCode>
                <c:ptCount val="4"/>
                <c:pt idx="0">
                  <c:v>100</c:v>
                </c:pt>
                <c:pt idx="1">
                  <c:v>102.82654147861938</c:v>
                </c:pt>
                <c:pt idx="2">
                  <c:v>103.25360926603994</c:v>
                </c:pt>
                <c:pt idx="3">
                  <c:v>102.37125842923427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Horizon!$B$122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009866764143629E-5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Horizon!$C$122:$F$122</c:f>
              <c:numCache>
                <c:formatCode>0.0</c:formatCode>
                <c:ptCount val="4"/>
                <c:pt idx="0">
                  <c:v>100</c:v>
                </c:pt>
                <c:pt idx="1">
                  <c:v>100.46844234116381</c:v>
                </c:pt>
                <c:pt idx="2">
                  <c:v>126.29662210914698</c:v>
                </c:pt>
                <c:pt idx="3">
                  <c:v>107.49037912167951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Horizon!$B$123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2.939768518518518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800"/>
                      <a:t>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Horizon!$C$123:$F$123</c:f>
              <c:numCache>
                <c:formatCode>0.0</c:formatCode>
                <c:ptCount val="4"/>
                <c:pt idx="0">
                  <c:v>100</c:v>
                </c:pt>
                <c:pt idx="1">
                  <c:v>89.208688340096401</c:v>
                </c:pt>
                <c:pt idx="2">
                  <c:v>92.753851181038343</c:v>
                </c:pt>
                <c:pt idx="3">
                  <c:v>97.494132729985409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532736"/>
        <c:axId val="138534272"/>
      </c:lineChart>
      <c:catAx>
        <c:axId val="1385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8534272"/>
        <c:crosses val="autoZero"/>
        <c:auto val="1"/>
        <c:lblAlgn val="ctr"/>
        <c:lblOffset val="100"/>
        <c:noMultiLvlLbl val="0"/>
      </c:catAx>
      <c:valAx>
        <c:axId val="138534272"/>
        <c:scaling>
          <c:orientation val="minMax"/>
          <c:max val="13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8532736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682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Horizon!$B$113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Horizon!$C$112:$F$112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Horizon!$C$113:$F$113</c:f>
              <c:numCache>
                <c:formatCode>General</c:formatCode>
                <c:ptCount val="4"/>
                <c:pt idx="0">
                  <c:v>127932.51</c:v>
                </c:pt>
                <c:pt idx="1">
                  <c:v>129391.81</c:v>
                </c:pt>
                <c:pt idx="2">
                  <c:v>132396.4</c:v>
                </c:pt>
                <c:pt idx="3">
                  <c:v>129521.01</c:v>
                </c:pt>
              </c:numCache>
            </c:numRef>
          </c:val>
        </c:ser>
        <c:ser>
          <c:idx val="1"/>
          <c:order val="1"/>
          <c:tx>
            <c:strRef>
              <c:f>Horizon!$B$114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Horizon!$C$112:$F$112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Horizon!$C$114:$F$114</c:f>
              <c:numCache>
                <c:formatCode>General</c:formatCode>
                <c:ptCount val="4"/>
                <c:pt idx="0">
                  <c:v>58142.292000000001</c:v>
                </c:pt>
                <c:pt idx="1">
                  <c:v>59785.707999999999</c:v>
                </c:pt>
                <c:pt idx="2">
                  <c:v>60034.014999999999</c:v>
                </c:pt>
                <c:pt idx="3">
                  <c:v>59520.995999999999</c:v>
                </c:pt>
              </c:numCache>
            </c:numRef>
          </c:val>
        </c:ser>
        <c:ser>
          <c:idx val="2"/>
          <c:order val="2"/>
          <c:tx>
            <c:strRef>
              <c:f>Horizon!$B$115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Horizon!$C$112:$F$112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Horizon!$C$115:$F$115</c:f>
              <c:numCache>
                <c:formatCode>General</c:formatCode>
                <c:ptCount val="4"/>
                <c:pt idx="0">
                  <c:v>59510.419000000002</c:v>
                </c:pt>
                <c:pt idx="1">
                  <c:v>59789.190999999999</c:v>
                </c:pt>
                <c:pt idx="2">
                  <c:v>75159.649000000005</c:v>
                </c:pt>
                <c:pt idx="3">
                  <c:v>63967.974999999999</c:v>
                </c:pt>
              </c:numCache>
            </c:numRef>
          </c:val>
        </c:ser>
        <c:ser>
          <c:idx val="3"/>
          <c:order val="3"/>
          <c:tx>
            <c:strRef>
              <c:f>Horizon!$B$116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Horizon!$C$112:$F$112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Horizon!$C$116:$F$116</c:f>
              <c:numCache>
                <c:formatCode>General</c:formatCode>
                <c:ptCount val="4"/>
                <c:pt idx="0">
                  <c:v>294949.78000000003</c:v>
                </c:pt>
                <c:pt idx="1">
                  <c:v>263120.83</c:v>
                </c:pt>
                <c:pt idx="2">
                  <c:v>273577.28000000003</c:v>
                </c:pt>
                <c:pt idx="3">
                  <c:v>287558.73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562176"/>
        <c:axId val="138588544"/>
      </c:barChart>
      <c:catAx>
        <c:axId val="13856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8588544"/>
        <c:crosses val="autoZero"/>
        <c:auto val="1"/>
        <c:lblAlgn val="ctr"/>
        <c:lblOffset val="100"/>
        <c:noMultiLvlLbl val="0"/>
      </c:catAx>
      <c:valAx>
        <c:axId val="13858854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8562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Horizon!$U$138:$U$144</c:f>
              <c:strCache>
                <c:ptCount val="7"/>
                <c:pt idx="0">
                  <c:v>General management, admin and overheads</c:v>
                </c:pt>
                <c:pt idx="1">
                  <c:v>System management and operations</c:v>
                </c:pt>
                <c:pt idx="2">
                  <c:v>Routine and preventative maintenance</c:v>
                </c:pt>
                <c:pt idx="3">
                  <c:v>Fault and emergency maintenance</c:v>
                </c:pt>
                <c:pt idx="4">
                  <c:v>Pass-through costs</c:v>
                </c:pt>
                <c:pt idx="5">
                  <c:v>Refurbishment and renewal maintenance</c:v>
                </c:pt>
                <c:pt idx="6">
                  <c:v>Other</c:v>
                </c:pt>
              </c:strCache>
            </c:strRef>
          </c:cat>
          <c:val>
            <c:numRef>
              <c:f>Horizon!$V$138:$V$144</c:f>
              <c:numCache>
                <c:formatCode>General</c:formatCode>
                <c:ptCount val="7"/>
                <c:pt idx="0">
                  <c:v>2863.7143999999998</c:v>
                </c:pt>
                <c:pt idx="1">
                  <c:v>1728.7253000000001</c:v>
                </c:pt>
                <c:pt idx="2">
                  <c:v>1146.8359</c:v>
                </c:pt>
                <c:pt idx="3">
                  <c:v>698.87699999999995</c:v>
                </c:pt>
                <c:pt idx="4">
                  <c:v>204.94739000000001</c:v>
                </c:pt>
                <c:pt idx="5">
                  <c:v>188.9897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38613120"/>
        <c:axId val="138614656"/>
      </c:barChart>
      <c:catAx>
        <c:axId val="138613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8614656"/>
        <c:crosses val="autoZero"/>
        <c:auto val="1"/>
        <c:lblAlgn val="ctr"/>
        <c:lblOffset val="100"/>
        <c:noMultiLvlLbl val="0"/>
      </c:catAx>
      <c:valAx>
        <c:axId val="138614656"/>
        <c:scaling>
          <c:orientation val="minMax"/>
          <c:max val="30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8613120"/>
        <c:crosses val="autoZero"/>
        <c:crossBetween val="between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07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Horizon!$U$186:$U$191</c:f>
              <c:strCache>
                <c:ptCount val="6"/>
                <c:pt idx="0">
                  <c:v>Reliability, safety and environment</c:v>
                </c:pt>
                <c:pt idx="1">
                  <c:v>Asset replacement and renewal</c:v>
                </c:pt>
                <c:pt idx="2">
                  <c:v>Customer connection</c:v>
                </c:pt>
                <c:pt idx="3">
                  <c:v>System growth</c:v>
                </c:pt>
                <c:pt idx="4">
                  <c:v>Asset relocations</c:v>
                </c:pt>
                <c:pt idx="5">
                  <c:v>Non-network capex</c:v>
                </c:pt>
              </c:strCache>
            </c:strRef>
          </c:cat>
          <c:val>
            <c:numRef>
              <c:f>Horizon!$V$186:$V$191</c:f>
              <c:numCache>
                <c:formatCode>General</c:formatCode>
                <c:ptCount val="6"/>
                <c:pt idx="0">
                  <c:v>3.4876961</c:v>
                </c:pt>
                <c:pt idx="1">
                  <c:v>1.4875571999999999</c:v>
                </c:pt>
                <c:pt idx="2">
                  <c:v>0.46064332000000002</c:v>
                </c:pt>
                <c:pt idx="3">
                  <c:v>0.35108486</c:v>
                </c:pt>
                <c:pt idx="4">
                  <c:v>0.13525012</c:v>
                </c:pt>
                <c:pt idx="5">
                  <c:v>8.603972E-2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38638848"/>
        <c:axId val="138640384"/>
      </c:barChart>
      <c:catAx>
        <c:axId val="138638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8640384"/>
        <c:crosses val="autoZero"/>
        <c:auto val="1"/>
        <c:lblAlgn val="ctr"/>
        <c:lblOffset val="100"/>
        <c:noMultiLvlLbl val="0"/>
      </c:catAx>
      <c:valAx>
        <c:axId val="138640384"/>
        <c:scaling>
          <c:orientation val="minMax"/>
          <c:max val="3.5"/>
          <c:min val="0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86388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68744841764"/>
          <c:h val="0.82404629629630843"/>
        </c:manualLayout>
      </c:layout>
      <c:lineChart>
        <c:grouping val="standard"/>
        <c:varyColors val="0"/>
        <c:ser>
          <c:idx val="0"/>
          <c:order val="0"/>
          <c:tx>
            <c:strRef>
              <c:f>Horizon!$B$76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0542994132029266"/>
                  <c:y val="-2.979164174819988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Horizon!$C$76:$F$76</c:f>
              <c:numCache>
                <c:formatCode>0.0</c:formatCode>
                <c:ptCount val="4"/>
                <c:pt idx="0">
                  <c:v>100</c:v>
                </c:pt>
                <c:pt idx="1">
                  <c:v>104.55802578082954</c:v>
                </c:pt>
                <c:pt idx="2">
                  <c:v>104.29150496764477</c:v>
                </c:pt>
                <c:pt idx="3">
                  <c:v>104.55907295230604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Horizon!$B$77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27777777777877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Horizon!$C$77:$F$77</c:f>
              <c:numCache>
                <c:formatCode>0.0</c:formatCode>
                <c:ptCount val="4"/>
                <c:pt idx="0">
                  <c:v>100</c:v>
                </c:pt>
                <c:pt idx="1">
                  <c:v>104.28442671462899</c:v>
                </c:pt>
                <c:pt idx="2">
                  <c:v>100.39799912878802</c:v>
                </c:pt>
                <c:pt idx="3">
                  <c:v>100.32709611872272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Horizon!$B$78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0984419263456714"/>
                  <c:y val="0.1117125000000000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Horizon!$C$78:$F$78</c:f>
              <c:numCache>
                <c:formatCode>0.0</c:formatCode>
                <c:ptCount val="4"/>
                <c:pt idx="0">
                  <c:v>100</c:v>
                </c:pt>
                <c:pt idx="1">
                  <c:v>103.72203575108418</c:v>
                </c:pt>
                <c:pt idx="2">
                  <c:v>97.856606178182915</c:v>
                </c:pt>
                <c:pt idx="3">
                  <c:v>104.39822937645485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Horizon!$B$79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Horizon!$C$79:$F$79</c:f>
              <c:numCache>
                <c:formatCode>0.0</c:formatCode>
                <c:ptCount val="4"/>
                <c:pt idx="0">
                  <c:v>100</c:v>
                </c:pt>
                <c:pt idx="1">
                  <c:v>81.520828392348179</c:v>
                </c:pt>
                <c:pt idx="2">
                  <c:v>86.492365104897289</c:v>
                </c:pt>
                <c:pt idx="3">
                  <c:v>69.265427025596807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692864"/>
        <c:axId val="138743808"/>
      </c:lineChart>
      <c:catAx>
        <c:axId val="138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8743808"/>
        <c:crosses val="autoZero"/>
        <c:auto val="1"/>
        <c:lblAlgn val="ctr"/>
        <c:lblOffset val="100"/>
        <c:noMultiLvlLbl val="0"/>
      </c:catAx>
      <c:valAx>
        <c:axId val="138743808"/>
        <c:scaling>
          <c:orientation val="minMax"/>
          <c:max val="12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869286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24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385"/>
          <c:y val="0.16445370370370369"/>
          <c:w val="0.70330041907982133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Horizon!$B$70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Horizon!$C$69:$F$69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Horizon!$C$70:$F$70</c:f>
              <c:numCache>
                <c:formatCode>0</c:formatCode>
                <c:ptCount val="4"/>
                <c:pt idx="0">
                  <c:v>634.73244641505858</c:v>
                </c:pt>
                <c:pt idx="1">
                  <c:v>663.66371496194688</c:v>
                </c:pt>
                <c:pt idx="2">
                  <c:v>661.97202088421398</c:v>
                </c:pt>
                <c:pt idx="3">
                  <c:v>663.67036169907794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51360"/>
        <c:axId val="138757248"/>
      </c:lineChart>
      <c:catAx>
        <c:axId val="13875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757248"/>
        <c:crosses val="autoZero"/>
        <c:auto val="1"/>
        <c:lblAlgn val="ctr"/>
        <c:lblOffset val="100"/>
        <c:noMultiLvlLbl val="0"/>
      </c:catAx>
      <c:valAx>
        <c:axId val="138757248"/>
        <c:scaling>
          <c:orientation val="minMax"/>
          <c:max val="800"/>
          <c:min val="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3875136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7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62"/>
          <c:y val="0.17621296296296732"/>
          <c:w val="0.73692152777777775"/>
          <c:h val="0.57282407407409586"/>
        </c:manualLayout>
      </c:layout>
      <c:lineChart>
        <c:grouping val="standard"/>
        <c:varyColors val="0"/>
        <c:ser>
          <c:idx val="1"/>
          <c:order val="0"/>
          <c:tx>
            <c:strRef>
              <c:f>Horizon!$B$71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Horizon!$C$69:$F$69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Horizon!$C$71:$F$71</c:f>
              <c:numCache>
                <c:formatCode>0</c:formatCode>
                <c:ptCount val="4"/>
                <c:pt idx="0">
                  <c:v>1673.7073783891151</c:v>
                </c:pt>
                <c:pt idx="1">
                  <c:v>1745.4161444335348</c:v>
                </c:pt>
                <c:pt idx="2">
                  <c:v>1680.3687191735644</c:v>
                </c:pt>
                <c:pt idx="3">
                  <c:v>1679.1820102626018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82208"/>
        <c:axId val="138783744"/>
      </c:lineChart>
      <c:catAx>
        <c:axId val="13878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783744"/>
        <c:crosses val="autoZero"/>
        <c:auto val="1"/>
        <c:lblAlgn val="ctr"/>
        <c:lblOffset val="100"/>
        <c:noMultiLvlLbl val="0"/>
      </c:catAx>
      <c:valAx>
        <c:axId val="138783744"/>
        <c:scaling>
          <c:orientation val="minMax"/>
          <c:max val="2400"/>
          <c:min val="12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38782208"/>
        <c:crosses val="autoZero"/>
        <c:crossBetween val="midCat"/>
        <c:majorUnit val="3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80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Horizon!$B$72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Horizon!$C$69:$F$69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Horizon!$C$72:$F$72</c:f>
              <c:numCache>
                <c:formatCode>0</c:formatCode>
                <c:ptCount val="4"/>
                <c:pt idx="0">
                  <c:v>14554.695610668512</c:v>
                </c:pt>
                <c:pt idx="1">
                  <c:v>15096.426584759076</c:v>
                </c:pt>
                <c:pt idx="2">
                  <c:v>14242.731164165161</c:v>
                </c:pt>
                <c:pt idx="3">
                  <c:v>15194.84450867052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804224"/>
        <c:axId val="138814208"/>
      </c:lineChart>
      <c:catAx>
        <c:axId val="13880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814208"/>
        <c:crosses val="autoZero"/>
        <c:auto val="1"/>
        <c:lblAlgn val="ctr"/>
        <c:lblOffset val="100"/>
        <c:noMultiLvlLbl val="0"/>
      </c:catAx>
      <c:valAx>
        <c:axId val="138814208"/>
        <c:scaling>
          <c:orientation val="minMax"/>
          <c:max val="20000"/>
          <c:min val="1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388042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Horizon!$B$73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Horizon!$C$69:$F$69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Horizon!$C$73:$F$73</c:f>
              <c:numCache>
                <c:formatCode>0</c:formatCode>
                <c:ptCount val="4"/>
                <c:pt idx="0">
                  <c:v>794632.62356933067</c:v>
                </c:pt>
                <c:pt idx="1">
                  <c:v>647791.09740956814</c:v>
                </c:pt>
                <c:pt idx="2">
                  <c:v>687296.55002020951</c:v>
                </c:pt>
                <c:pt idx="3">
                  <c:v>550405.68000000005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842880"/>
        <c:axId val="138844416"/>
      </c:lineChart>
      <c:catAx>
        <c:axId val="1388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38844416"/>
        <c:crosses val="autoZero"/>
        <c:auto val="1"/>
        <c:lblAlgn val="ctr"/>
        <c:lblOffset val="100"/>
        <c:noMultiLvlLbl val="0"/>
      </c:catAx>
      <c:valAx>
        <c:axId val="138844416"/>
        <c:scaling>
          <c:orientation val="minMax"/>
          <c:max val="1000000"/>
          <c:min val="5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38842880"/>
        <c:crosses val="autoZero"/>
        <c:crossBetween val="midCat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6855"/>
          <c:h val="0.77578287037038796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Alpine!$B$222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Alpine!$C$222:$D$222</c:f>
              <c:numCache>
                <c:formatCode>_-* #,##0_-;\-* #,##0_-;_-* "-"??_-;_-@_-</c:formatCode>
                <c:ptCount val="2"/>
                <c:pt idx="0">
                  <c:v>11864.750695211662</c:v>
                </c:pt>
                <c:pt idx="1">
                  <c:v>14703.588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15863936"/>
        <c:axId val="115865472"/>
      </c:barChart>
      <c:lineChart>
        <c:grouping val="standard"/>
        <c:varyColors val="0"/>
        <c:ser>
          <c:idx val="1"/>
          <c:order val="0"/>
          <c:tx>
            <c:strRef>
              <c:f>Alpine!$B$223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Alpine!$C$221:$D$221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Alpine!$C$223:$D$223</c:f>
              <c:numCache>
                <c:formatCode>_-* #,##0_-;\-* #,##0_-;_-* "-"??_-;_-@_-</c:formatCode>
                <c:ptCount val="2"/>
                <c:pt idx="0">
                  <c:v>15664.594055670823</c:v>
                </c:pt>
                <c:pt idx="1">
                  <c:v>22529.50688475115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Alpine!$B$224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Alpine!$C$221:$D$221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Alpine!$C$224:$D$224</c:f>
              <c:numCache>
                <c:formatCode>_-* #,##0_-;\-* #,##0_-;_-* "-"??_-;_-@_-</c:formatCode>
                <c:ptCount val="2"/>
                <c:pt idx="1">
                  <c:v>23638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63936"/>
        <c:axId val="115865472"/>
      </c:lineChart>
      <c:catAx>
        <c:axId val="11586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5865472"/>
        <c:crosses val="autoZero"/>
        <c:auto val="1"/>
        <c:lblAlgn val="ctr"/>
        <c:lblOffset val="100"/>
        <c:noMultiLvlLbl val="0"/>
      </c:catAx>
      <c:valAx>
        <c:axId val="11586547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5863936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404E-3"/>
          <c:w val="0.90316284722220719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84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Horizon!$B$105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1631162507608E-4"/>
                  <c:y val="1.1758796296296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Horizon!$C$105:$F$105</c:f>
              <c:numCache>
                <c:formatCode>0.0</c:formatCode>
                <c:ptCount val="4"/>
                <c:pt idx="0">
                  <c:v>100</c:v>
                </c:pt>
                <c:pt idx="1">
                  <c:v>100.17929831362666</c:v>
                </c:pt>
                <c:pt idx="2">
                  <c:v>101.11940298507463</c:v>
                </c:pt>
                <c:pt idx="3">
                  <c:v>101.41984880790851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Horizon!$B$106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7670985131727959"/>
                  <c:y val="-4.11574074074074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Horizon!$C$106:$F$106</c:f>
              <c:numCache>
                <c:formatCode>0.0</c:formatCode>
                <c:ptCount val="4"/>
                <c:pt idx="0">
                  <c:v>100</c:v>
                </c:pt>
                <c:pt idx="1">
                  <c:v>100.27805214723926</c:v>
                </c:pt>
                <c:pt idx="2">
                  <c:v>101.28834355828221</c:v>
                </c:pt>
                <c:pt idx="3">
                  <c:v>101.62576687116565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Horizon!$B$107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687940179117989E-5"/>
                  <c:y val="-4.11574074074074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Horizon!$C$107:$F$107</c:f>
              <c:numCache>
                <c:formatCode>0.0</c:formatCode>
                <c:ptCount val="4"/>
                <c:pt idx="0">
                  <c:v>100</c:v>
                </c:pt>
                <c:pt idx="1">
                  <c:v>96.238244514106583</c:v>
                </c:pt>
                <c:pt idx="2">
                  <c:v>103.44827586206897</c:v>
                </c:pt>
                <c:pt idx="3">
                  <c:v>108.4639498432602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055872"/>
        <c:axId val="139057408"/>
      </c:lineChart>
      <c:catAx>
        <c:axId val="13905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9057408"/>
        <c:crosses val="autoZero"/>
        <c:auto val="1"/>
        <c:lblAlgn val="ctr"/>
        <c:lblOffset val="100"/>
        <c:noMultiLvlLbl val="0"/>
      </c:catAx>
      <c:valAx>
        <c:axId val="139057408"/>
        <c:scaling>
          <c:orientation val="minMax"/>
          <c:max val="11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9055872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5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Horizon!$B$98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Horizon!$C$97:$F$97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Horizon!$C$98:$F$98</c:f>
              <c:numCache>
                <c:formatCode>General</c:formatCode>
                <c:ptCount val="4"/>
                <c:pt idx="0">
                  <c:v>20636</c:v>
                </c:pt>
                <c:pt idx="1">
                  <c:v>20673</c:v>
                </c:pt>
                <c:pt idx="2">
                  <c:v>20867</c:v>
                </c:pt>
                <c:pt idx="3">
                  <c:v>20929</c:v>
                </c:pt>
              </c:numCache>
            </c:numRef>
          </c:val>
        </c:ser>
        <c:ser>
          <c:idx val="1"/>
          <c:order val="1"/>
          <c:tx>
            <c:strRef>
              <c:f>Horizon!$B$99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Horizon!$C$97:$F$97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Horizon!$C$99:$F$99</c:f>
              <c:numCache>
                <c:formatCode>General</c:formatCode>
                <c:ptCount val="4"/>
                <c:pt idx="0">
                  <c:v>3260</c:v>
                </c:pt>
                <c:pt idx="1">
                  <c:v>3269.0645</c:v>
                </c:pt>
                <c:pt idx="2">
                  <c:v>3302</c:v>
                </c:pt>
                <c:pt idx="3">
                  <c:v>3313</c:v>
                </c:pt>
              </c:numCache>
            </c:numRef>
          </c:val>
        </c:ser>
        <c:ser>
          <c:idx val="2"/>
          <c:order val="2"/>
          <c:tx>
            <c:strRef>
              <c:f>Horizon!$B$100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Horizon!$C$97:$F$97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Horizon!$C$100:$F$100</c:f>
              <c:numCache>
                <c:formatCode>General</c:formatCode>
                <c:ptCount val="4"/>
                <c:pt idx="0">
                  <c:v>319</c:v>
                </c:pt>
                <c:pt idx="1">
                  <c:v>307</c:v>
                </c:pt>
                <c:pt idx="2">
                  <c:v>330</c:v>
                </c:pt>
                <c:pt idx="3">
                  <c:v>346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9092352"/>
        <c:axId val="139093888"/>
      </c:barChart>
      <c:catAx>
        <c:axId val="13909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9093888"/>
        <c:crosses val="autoZero"/>
        <c:auto val="1"/>
        <c:lblAlgn val="ctr"/>
        <c:lblOffset val="100"/>
        <c:noMultiLvlLbl val="0"/>
      </c:catAx>
      <c:valAx>
        <c:axId val="13909388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9092352"/>
        <c:crosses val="autoZero"/>
        <c:crossBetween val="between"/>
        <c:majorUnit val="5000"/>
      </c:valAx>
    </c:plotArea>
    <c:legend>
      <c:legendPos val="t"/>
      <c:layout>
        <c:manualLayout>
          <c:xMode val="edge"/>
          <c:yMode val="edge"/>
          <c:x val="0"/>
          <c:y val="3.527777777777924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Horizon!$B$209</c:f>
              <c:strCache>
                <c:ptCount val="1"/>
                <c:pt idx="0">
                  <c:v>Horizon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Horizon!$C$204:$F$204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Horizon!$C$209:$F$209</c:f>
              <c:numCache>
                <c:formatCode>_(* #,##0.00_);_(* \(#,##0.00\);_(* "-"??_);_(@_)</c:formatCode>
                <c:ptCount val="4"/>
                <c:pt idx="0">
                  <c:v>5957.5806430141456</c:v>
                </c:pt>
                <c:pt idx="1">
                  <c:v>6489.0092251146198</c:v>
                </c:pt>
                <c:pt idx="2">
                  <c:v>6678.1902565663777</c:v>
                </c:pt>
                <c:pt idx="3">
                  <c:v>11114.722694336631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Horizon!$B$210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834222003270513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Horizon!$C$204:$F$204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28192"/>
        <c:axId val="139134080"/>
      </c:lineChart>
      <c:catAx>
        <c:axId val="13912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9134080"/>
        <c:crosses val="autoZero"/>
        <c:auto val="1"/>
        <c:lblAlgn val="ctr"/>
        <c:lblOffset val="100"/>
        <c:noMultiLvlLbl val="0"/>
      </c:catAx>
      <c:valAx>
        <c:axId val="139134080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9128192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19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Horizon!$C$204:$F$204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Horizon!$C$212:$F$212</c:f>
              <c:numCache>
                <c:formatCode>_(* #,##0.00_);_(* \(#,##0.00\);_(* "-"??_);_(@_)</c:formatCode>
                <c:ptCount val="4"/>
                <c:pt idx="0">
                  <c:v>3.4577661874247496E-2</c:v>
                </c:pt>
                <c:pt idx="1">
                  <c:v>3.639583413350729E-2</c:v>
                </c:pt>
                <c:pt idx="2">
                  <c:v>3.9804742733578168E-2</c:v>
                </c:pt>
                <c:pt idx="3">
                  <c:v>6.1744147568096951E-2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Horizon!$C$204:$F$204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97824"/>
        <c:axId val="139269248"/>
      </c:lineChart>
      <c:catAx>
        <c:axId val="13919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9269248"/>
        <c:crosses val="autoZero"/>
        <c:auto val="1"/>
        <c:lblAlgn val="ctr"/>
        <c:lblOffset val="100"/>
        <c:noMultiLvlLbl val="0"/>
      </c:catAx>
      <c:valAx>
        <c:axId val="139269248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9197824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177"/>
          <c:w val="0.79809047321242665"/>
          <c:h val="0.72979551178440194"/>
        </c:manualLayout>
      </c:layout>
      <c:lineChart>
        <c:grouping val="standard"/>
        <c:varyColors val="0"/>
        <c:ser>
          <c:idx val="0"/>
          <c:order val="0"/>
          <c:tx>
            <c:strRef>
              <c:f>Horizon!$B$206</c:f>
              <c:strCache>
                <c:ptCount val="1"/>
                <c:pt idx="0">
                  <c:v>Horizon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Horizon!$C$204:$F$204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Horizon!$C$206:$F$206</c:f>
              <c:numCache>
                <c:formatCode>_(* #,##0.00_);_(* \(#,##0.00\);_(* "-"??_);_(@_)</c:formatCode>
                <c:ptCount val="4"/>
                <c:pt idx="0">
                  <c:v>132.95957303176021</c:v>
                </c:pt>
                <c:pt idx="1">
                  <c:v>137.00552188426985</c:v>
                </c:pt>
                <c:pt idx="2">
                  <c:v>147.48687903496187</c:v>
                </c:pt>
                <c:pt idx="3">
                  <c:v>244.30819013540437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Horizon!$B$207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Horizon!$C$204:$F$204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09440"/>
        <c:axId val="139310976"/>
      </c:lineChart>
      <c:catAx>
        <c:axId val="13930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9310976"/>
        <c:crosses val="autoZero"/>
        <c:auto val="1"/>
        <c:lblAlgn val="ctr"/>
        <c:lblOffset val="100"/>
        <c:noMultiLvlLbl val="0"/>
      </c:catAx>
      <c:valAx>
        <c:axId val="139310976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9309440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553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Horizon!$B$162</c:f>
              <c:strCache>
                <c:ptCount val="1"/>
                <c:pt idx="0">
                  <c:v>Horizon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Horizon!$C$160:$F$160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Horizon!$C$162:$F$162</c:f>
              <c:numCache>
                <c:formatCode>_(* #,##0.00_);_(* \(#,##0.00\);_(* "-"??_);_(@_)</c:formatCode>
                <c:ptCount val="4"/>
                <c:pt idx="0">
                  <c:v>287.48830915278359</c:v>
                </c:pt>
                <c:pt idx="1">
                  <c:v>299.73217624944641</c:v>
                </c:pt>
                <c:pt idx="2">
                  <c:v>285.46071944009492</c:v>
                </c:pt>
                <c:pt idx="3">
                  <c:v>277.80627414304882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Horizon!$B$163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Horizon!$C$160:$F$160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53472"/>
        <c:axId val="139359360"/>
      </c:lineChart>
      <c:catAx>
        <c:axId val="13935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9359360"/>
        <c:crosses val="autoZero"/>
        <c:auto val="1"/>
        <c:lblAlgn val="ctr"/>
        <c:lblOffset val="100"/>
        <c:noMultiLvlLbl val="0"/>
      </c:catAx>
      <c:valAx>
        <c:axId val="139359360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9353472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725058907738344"/>
          <c:y val="0.14255777777777778"/>
          <c:w val="0.6691255531580553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Horizon!$C$160:$F$160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Horizon!$C$165:$F$165</c:f>
              <c:numCache>
                <c:formatCode>_(* #,##0.00_);_(* \(#,##0.00\);_(* "-"??_);_(@_)</c:formatCode>
                <c:ptCount val="4"/>
                <c:pt idx="0">
                  <c:v>2972.578059972856</c:v>
                </c:pt>
                <c:pt idx="1">
                  <c:v>3104.8618499527806</c:v>
                </c:pt>
                <c:pt idx="2">
                  <c:v>2965.0839172396618</c:v>
                </c:pt>
                <c:pt idx="3">
                  <c:v>2890.2834953526358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44621412824369194"/>
                  <c:y val="4.92730151815203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Horizon!$C$160:$F$160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97376"/>
        <c:axId val="139411456"/>
      </c:lineChart>
      <c:catAx>
        <c:axId val="1393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9411456"/>
        <c:crosses val="autoZero"/>
        <c:auto val="1"/>
        <c:lblAlgn val="ctr"/>
        <c:lblOffset val="100"/>
        <c:noMultiLvlLbl val="0"/>
      </c:catAx>
      <c:valAx>
        <c:axId val="139411456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39397376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20078265003841"/>
          <c:y val="0.13550222222222241"/>
          <c:w val="0.7361753595853886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Horizon!$B$168</c:f>
              <c:strCache>
                <c:ptCount val="1"/>
                <c:pt idx="0">
                  <c:v>Horizon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Horizon!$C$160:$F$160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Horizon!$C$168:$F$168</c:f>
              <c:numCache>
                <c:formatCode>_(* #,##0.00_);_(* \(#,##0.00\);_(* "-"??_);_(@_)</c:formatCode>
                <c:ptCount val="4"/>
                <c:pt idx="0">
                  <c:v>12.881620680989757</c:v>
                </c:pt>
                <c:pt idx="1">
                  <c:v>14.196251581664518</c:v>
                </c:pt>
                <c:pt idx="2">
                  <c:v>12.925631131874219</c:v>
                </c:pt>
                <c:pt idx="3">
                  <c:v>12.638707274346851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Horizon!$B$169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631201735031016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Horizon!$C$160:$F$160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49856"/>
        <c:axId val="139451392"/>
      </c:lineChart>
      <c:catAx>
        <c:axId val="13944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9451392"/>
        <c:crosses val="autoZero"/>
        <c:auto val="1"/>
        <c:lblAlgn val="ctr"/>
        <c:lblOffset val="100"/>
        <c:noMultiLvlLbl val="0"/>
      </c:catAx>
      <c:valAx>
        <c:axId val="139451392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9449856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669"/>
          <c:h val="0.77599166666669595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Horizon!$B$178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Horizon!$C$178:$D$178</c:f>
              <c:numCache>
                <c:formatCode>_-* #,##0_-;\-* #,##0_-;_-* "-"??_-;_-@_-</c:formatCode>
                <c:ptCount val="2"/>
                <c:pt idx="0">
                  <c:v>2096.927368410983</c:v>
                </c:pt>
                <c:pt idx="1">
                  <c:v>2034.7026000000001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39557120"/>
        <c:axId val="139575296"/>
      </c:barChart>
      <c:lineChart>
        <c:grouping val="standard"/>
        <c:varyColors val="0"/>
        <c:ser>
          <c:idx val="1"/>
          <c:order val="0"/>
          <c:tx>
            <c:strRef>
              <c:f>Horizon!$B$179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Horizon!$C$177:$D$177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Horizon!$C$179:$D$179</c:f>
              <c:numCache>
                <c:formatCode>_-* #,##0_-;\-* #,##0_-;_-* "-"??_-;_-@_-</c:formatCode>
                <c:ptCount val="2"/>
                <c:pt idx="0">
                  <c:v>2209.2106650405422</c:v>
                </c:pt>
                <c:pt idx="1">
                  <c:v>2231.4921428709977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Horizon!$B$180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Horizon!$C$177:$D$177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Horizon!$C$180:$D$180</c:f>
              <c:numCache>
                <c:formatCode>_-* #,##0_-;\-* #,##0_-;_-* "-"??_-;_-@_-</c:formatCode>
                <c:ptCount val="2"/>
                <c:pt idx="1">
                  <c:v>2002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57120"/>
        <c:axId val="139575296"/>
      </c:lineChart>
      <c:catAx>
        <c:axId val="1395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9575296"/>
        <c:crosses val="autoZero"/>
        <c:auto val="1"/>
        <c:lblAlgn val="ctr"/>
        <c:lblOffset val="100"/>
        <c:noMultiLvlLbl val="0"/>
      </c:catAx>
      <c:valAx>
        <c:axId val="13957529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9557120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251"/>
          <c:y val="3.5277777777779268E-2"/>
          <c:w val="0.77172275936750512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Horizon!$V$177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11028090277777775"/>
                  <c:y val="-3.527777777777851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Horizon!$W$177:$AC$177</c:f>
              <c:numCache>
                <c:formatCode>General</c:formatCode>
                <c:ptCount val="7"/>
                <c:pt idx="0">
                  <c:v>2209.2106650405422</c:v>
                </c:pt>
                <c:pt idx="1">
                  <c:v>2231.4921428709977</c:v>
                </c:pt>
                <c:pt idx="2">
                  <c:v>2253.3894178774931</c:v>
                </c:pt>
                <c:pt idx="3">
                  <c:v>2274.6637769291501</c:v>
                </c:pt>
                <c:pt idx="4">
                  <c:v>2296.517547664675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Horizon!$V$178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6782083333333325"/>
                  <c:y val="3.527777777777874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Horizon!$W$178:$AC$178</c:f>
              <c:numCache>
                <c:formatCode>General</c:formatCode>
                <c:ptCount val="7"/>
                <c:pt idx="1">
                  <c:v>2002</c:v>
                </c:pt>
                <c:pt idx="2">
                  <c:v>1935.3545000000001</c:v>
                </c:pt>
                <c:pt idx="3">
                  <c:v>2199.7155750000002</c:v>
                </c:pt>
                <c:pt idx="4">
                  <c:v>2222.6014555499996</c:v>
                </c:pt>
                <c:pt idx="5">
                  <c:v>2246.7564192675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Horizon!$V$179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2076388888888892E-2"/>
                  <c:y val="-4.11574074074074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Horizon!$W$179:$AC$179</c:f>
              <c:numCache>
                <c:formatCode>General</c:formatCode>
                <c:ptCount val="7"/>
                <c:pt idx="2">
                  <c:v>2444.0853264382677</c:v>
                </c:pt>
                <c:pt idx="3">
                  <c:v>2488.0788623141561</c:v>
                </c:pt>
                <c:pt idx="4">
                  <c:v>2491.9893988364574</c:v>
                </c:pt>
                <c:pt idx="5">
                  <c:v>2574.1106658047834</c:v>
                </c:pt>
                <c:pt idx="6">
                  <c:v>2558.4685197155786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Horizon!$V$176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8152777777777778E-3"/>
                  <c:y val="4.115694444444445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Horizon!$C$178:$I$178</c:f>
              <c:numCache>
                <c:formatCode>_-* #,##0_-;\-* #,##0_-;_-* "-"??_-;_-@_-</c:formatCode>
                <c:ptCount val="7"/>
                <c:pt idx="0">
                  <c:v>2096.927368410983</c:v>
                </c:pt>
                <c:pt idx="1">
                  <c:v>2034.7026000000001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47392"/>
        <c:axId val="139973760"/>
      </c:lineChart>
      <c:catAx>
        <c:axId val="13994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9973760"/>
        <c:crosses val="autoZero"/>
        <c:auto val="1"/>
        <c:lblAlgn val="ctr"/>
        <c:lblOffset val="100"/>
        <c:noMultiLvlLbl val="0"/>
      </c:catAx>
      <c:valAx>
        <c:axId val="139973760"/>
        <c:scaling>
          <c:orientation val="minMax"/>
          <c:min val="1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9947392"/>
        <c:crosses val="autoZero"/>
        <c:crossBetween val="midCat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Alpine!$V$221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52981887244699311"/>
                  <c:y val="-0.1175925925925925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Alpine!$W$221:$AC$221</c:f>
              <c:numCache>
                <c:formatCode>General</c:formatCode>
                <c:ptCount val="7"/>
                <c:pt idx="0">
                  <c:v>15664.594055670823</c:v>
                </c:pt>
                <c:pt idx="1">
                  <c:v>22529.50688475115</c:v>
                </c:pt>
                <c:pt idx="2">
                  <c:v>23160.165988520919</c:v>
                </c:pt>
                <c:pt idx="3">
                  <c:v>16674.259922933899</c:v>
                </c:pt>
                <c:pt idx="4">
                  <c:v>13479.192153269918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Alpine!$V$222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4.8528245165763755E-2"/>
                  <c:y val="-5.291666666666683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Alpine!$W$222:$AC$222</c:f>
              <c:numCache>
                <c:formatCode>General</c:formatCode>
                <c:ptCount val="7"/>
                <c:pt idx="1">
                  <c:v>23638</c:v>
                </c:pt>
                <c:pt idx="2">
                  <c:v>21574</c:v>
                </c:pt>
                <c:pt idx="3">
                  <c:v>28373</c:v>
                </c:pt>
                <c:pt idx="4">
                  <c:v>19043</c:v>
                </c:pt>
                <c:pt idx="5">
                  <c:v>12396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Alpine!$V$223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5837227605284453E-2"/>
                  <c:y val="5.87962962962978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Alpine!$W$223:$AC$223</c:f>
              <c:numCache>
                <c:formatCode>General</c:formatCode>
                <c:ptCount val="7"/>
                <c:pt idx="2">
                  <c:v>20107.978797672913</c:v>
                </c:pt>
                <c:pt idx="3">
                  <c:v>15503.322042663218</c:v>
                </c:pt>
                <c:pt idx="4">
                  <c:v>14905.009954751131</c:v>
                </c:pt>
                <c:pt idx="5">
                  <c:v>10057.899935358759</c:v>
                </c:pt>
                <c:pt idx="6">
                  <c:v>11128.40930833872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Alpine!$V$220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Alpine!$W$220:$AC$220</c:f>
              <c:numCache>
                <c:formatCode>General</c:formatCode>
                <c:ptCount val="7"/>
                <c:pt idx="0">
                  <c:v>11864.750695211662</c:v>
                </c:pt>
                <c:pt idx="1">
                  <c:v>14703.588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914624"/>
        <c:axId val="115916160"/>
      </c:lineChart>
      <c:catAx>
        <c:axId val="1159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5916160"/>
        <c:crosses val="autoZero"/>
        <c:auto val="1"/>
        <c:lblAlgn val="ctr"/>
        <c:lblOffset val="100"/>
        <c:noMultiLvlLbl val="0"/>
      </c:catAx>
      <c:valAx>
        <c:axId val="11591616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591462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69"/>
          <c:h val="0.7757828703703887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Horizon!$B$222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Horizon!$C$222:$D$222</c:f>
              <c:numCache>
                <c:formatCode>_-* #,##0_-;\-* #,##0_-;_-* "-"??_-;_-@_-</c:formatCode>
                <c:ptCount val="2"/>
                <c:pt idx="0">
                  <c:v>3503.651612459917</c:v>
                </c:pt>
                <c:pt idx="1">
                  <c:v>5922.2316000000001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24354560"/>
        <c:axId val="124356096"/>
      </c:barChart>
      <c:lineChart>
        <c:grouping val="standard"/>
        <c:varyColors val="0"/>
        <c:ser>
          <c:idx val="1"/>
          <c:order val="0"/>
          <c:tx>
            <c:strRef>
              <c:f>Horizon!$B$223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Horizon!$C$221:$D$221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Horizon!$C$223:$D$223</c:f>
              <c:numCache>
                <c:formatCode>_-* #,##0_-;\-* #,##0_-;_-* "-"??_-;_-@_-</c:formatCode>
                <c:ptCount val="2"/>
                <c:pt idx="0">
                  <c:v>5343.7480441938151</c:v>
                </c:pt>
                <c:pt idx="1">
                  <c:v>4841.4621990266141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Horizon!$B$224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Horizon!$C$221:$D$221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Horizon!$C$224:$D$224</c:f>
              <c:numCache>
                <c:formatCode>_-* #,##0_-;\-* #,##0_-;_-* "-"??_-;_-@_-</c:formatCode>
                <c:ptCount val="2"/>
                <c:pt idx="1">
                  <c:v>6214.127819840005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354560"/>
        <c:axId val="124356096"/>
      </c:lineChart>
      <c:catAx>
        <c:axId val="12435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356096"/>
        <c:crosses val="autoZero"/>
        <c:auto val="1"/>
        <c:lblAlgn val="ctr"/>
        <c:lblOffset val="100"/>
        <c:noMultiLvlLbl val="0"/>
      </c:catAx>
      <c:valAx>
        <c:axId val="1243560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4354560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482E-3"/>
          <c:w val="0.90316284722220663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Horizon!$V$221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4.8395105200472237E-2"/>
                  <c:y val="4.21400377963304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Horizon!$W$221:$AC$221</c:f>
              <c:numCache>
                <c:formatCode>General</c:formatCode>
                <c:ptCount val="7"/>
                <c:pt idx="0">
                  <c:v>5343.7480441938151</c:v>
                </c:pt>
                <c:pt idx="1">
                  <c:v>4841.4621990266141</c:v>
                </c:pt>
                <c:pt idx="2">
                  <c:v>4505.2465217341669</c:v>
                </c:pt>
                <c:pt idx="3">
                  <c:v>3599.5018638160295</c:v>
                </c:pt>
                <c:pt idx="4">
                  <c:v>4266.8390414722498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Horizon!$V$222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1478042705356542"/>
                  <c:y val="-1.76388888888888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Horizon!$W$222:$AC$222</c:f>
              <c:numCache>
                <c:formatCode>General</c:formatCode>
                <c:ptCount val="7"/>
                <c:pt idx="1">
                  <c:v>6214.127819840005</c:v>
                </c:pt>
                <c:pt idx="2">
                  <c:v>6330.2864862000006</c:v>
                </c:pt>
                <c:pt idx="3">
                  <c:v>5841.6457833200002</c:v>
                </c:pt>
                <c:pt idx="4">
                  <c:v>4530.9715838000002</c:v>
                </c:pt>
                <c:pt idx="5">
                  <c:v>4700.1680230900001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Horizon!$V$223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1.8300208981291844E-3"/>
                  <c:y val="8.23143518518518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Horizon!$W$223:$AC$223</c:f>
              <c:numCache>
                <c:formatCode>General</c:formatCode>
                <c:ptCount val="7"/>
                <c:pt idx="2">
                  <c:v>6716.3464770523588</c:v>
                </c:pt>
                <c:pt idx="3">
                  <c:v>6535.4841628959275</c:v>
                </c:pt>
                <c:pt idx="4">
                  <c:v>7707.6674854557205</c:v>
                </c:pt>
                <c:pt idx="5">
                  <c:v>7645.0989010989006</c:v>
                </c:pt>
                <c:pt idx="6">
                  <c:v>7438.8180995475113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Horizon!$V$220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8336242517070042E-3"/>
                  <c:y val="-4.11574074074074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Horizon!$W$220:$AC$220</c:f>
              <c:numCache>
                <c:formatCode>General</c:formatCode>
                <c:ptCount val="7"/>
                <c:pt idx="0">
                  <c:v>3503.651612459917</c:v>
                </c:pt>
                <c:pt idx="1">
                  <c:v>5922.2316000000001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1632"/>
        <c:axId val="124423168"/>
      </c:lineChart>
      <c:catAx>
        <c:axId val="12442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4423168"/>
        <c:crosses val="autoZero"/>
        <c:auto val="1"/>
        <c:lblAlgn val="ctr"/>
        <c:lblOffset val="100"/>
        <c:noMultiLvlLbl val="0"/>
      </c:catAx>
      <c:valAx>
        <c:axId val="124423168"/>
        <c:scaling>
          <c:orientation val="minMax"/>
          <c:max val="8000"/>
          <c:min val="3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4421632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03"/>
          <c:y val="6.4675925925925928E-2"/>
          <c:w val="0.80095220910217069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Horizon!$B$237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15422950436660945"/>
                  <c:y val="-2.9594526708609428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Horizon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Horizon!$C$236:$F$236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Horizon!$C$237:$F$237</c:f>
              <c:numCache>
                <c:formatCode>_(* #,##0.00_);_(* \(#,##0.00\);_(* "-"??_);_(@_)</c:formatCode>
                <c:ptCount val="4"/>
                <c:pt idx="0">
                  <c:v>1.5654832999999999</c:v>
                </c:pt>
                <c:pt idx="1">
                  <c:v>2.2192286499999998</c:v>
                </c:pt>
                <c:pt idx="2">
                  <c:v>2.3630308200000001</c:v>
                </c:pt>
                <c:pt idx="3">
                  <c:v>2.3926608199999997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Horizon!$B$238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0.21583666095852963"/>
                  <c:y val="5.29166666666668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Horizon!$C$238:$F$238</c:f>
              <c:numCache>
                <c:formatCode>_(* #,##0.00_);_(* \(#,##0.00\);_(* "-"??_);_(@_)</c:formatCode>
                <c:ptCount val="4"/>
                <c:pt idx="0">
                  <c:v>1.87</c:v>
                </c:pt>
                <c:pt idx="1">
                  <c:v>1.87</c:v>
                </c:pt>
                <c:pt idx="2">
                  <c:v>1.87</c:v>
                </c:pt>
                <c:pt idx="3">
                  <c:v>2.3961999999999999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Horizon!$B$239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7590995803924756"/>
                  <c:y val="-9.838241274549676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Horizon!$C$236:$F$236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78848"/>
        <c:axId val="139680384"/>
      </c:lineChart>
      <c:catAx>
        <c:axId val="13967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9680384"/>
        <c:crosses val="autoZero"/>
        <c:auto val="1"/>
        <c:lblAlgn val="ctr"/>
        <c:lblOffset val="100"/>
        <c:noMultiLvlLbl val="0"/>
      </c:catAx>
      <c:valAx>
        <c:axId val="139680384"/>
        <c:scaling>
          <c:orientation val="minMax"/>
          <c:max val="4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9678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3159722222223"/>
          <c:y val="6.4675925925925928E-2"/>
          <c:w val="0.79192002161653163"/>
          <c:h val="0.80984259259260005"/>
        </c:manualLayout>
      </c:layout>
      <c:lineChart>
        <c:grouping val="standard"/>
        <c:varyColors val="0"/>
        <c:ser>
          <c:idx val="1"/>
          <c:order val="0"/>
          <c:tx>
            <c:strRef>
              <c:f>Horizon!$B$230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7044709709829669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Horizon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Horizon!$C$230:$F$230</c:f>
              <c:numCache>
                <c:formatCode>_(* #,##0.00_);_(* \(#,##0.00\);_(* "-"??_);_(@_)</c:formatCode>
                <c:ptCount val="4"/>
                <c:pt idx="0">
                  <c:v>143.07753199999999</c:v>
                </c:pt>
                <c:pt idx="1">
                  <c:v>133.26300700000002</c:v>
                </c:pt>
                <c:pt idx="2">
                  <c:v>139.89975200000001</c:v>
                </c:pt>
                <c:pt idx="3">
                  <c:v>177.40687600000001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Horizon!$B$231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03703703703873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Horizon!$C$231:$F$231</c:f>
              <c:numCache>
                <c:formatCode>_(* #,##0.00_);_(* \(#,##0.00\);_(* "-"??_);_(@_)</c:formatCode>
                <c:ptCount val="4"/>
                <c:pt idx="0">
                  <c:v>161</c:v>
                </c:pt>
                <c:pt idx="1">
                  <c:v>161</c:v>
                </c:pt>
                <c:pt idx="2">
                  <c:v>161</c:v>
                </c:pt>
                <c:pt idx="3">
                  <c:v>220.0583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Horizon!$B$232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5406292371930916"/>
                  <c:y val="-0.1277798244145148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Horizon!$C$229:$F$229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Horizon!$C$232:$F$232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39904"/>
        <c:axId val="139741440"/>
      </c:lineChart>
      <c:catAx>
        <c:axId val="13973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9741440"/>
        <c:crosses val="autoZero"/>
        <c:auto val="1"/>
        <c:lblAlgn val="ctr"/>
        <c:lblOffset val="100"/>
        <c:noMultiLvlLbl val="0"/>
      </c:catAx>
      <c:valAx>
        <c:axId val="139741440"/>
        <c:scaling>
          <c:orientation val="minMax"/>
          <c:max val="4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9739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LinesCo!$B$26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93318120603"/>
                  <c:y val="-0.3720553279480542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LinesCo!$C$26:$F$26</c:f>
              <c:numCache>
                <c:formatCode>0</c:formatCode>
                <c:ptCount val="4"/>
                <c:pt idx="0">
                  <c:v>1840.154933265582</c:v>
                </c:pt>
                <c:pt idx="1">
                  <c:v>1853.2912851033946</c:v>
                </c:pt>
                <c:pt idx="2">
                  <c:v>1910.724459499771</c:v>
                </c:pt>
                <c:pt idx="3">
                  <c:v>2106.7362359184031</c:v>
                </c:pt>
              </c:numCache>
            </c:numRef>
          </c:val>
        </c:ser>
        <c:ser>
          <c:idx val="1"/>
          <c:order val="1"/>
          <c:tx>
            <c:strRef>
              <c:f>LinesCo!$B$27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1763016379747028"/>
                  <c:y val="-7.839311228146428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LinesCo!$C$27:$F$27</c:f>
              <c:numCache>
                <c:formatCode>0</c:formatCode>
                <c:ptCount val="4"/>
                <c:pt idx="0">
                  <c:v>634.02333704603961</c:v>
                </c:pt>
                <c:pt idx="1">
                  <c:v>651.86200606326292</c:v>
                </c:pt>
                <c:pt idx="2">
                  <c:v>808.18602250895378</c:v>
                </c:pt>
                <c:pt idx="3">
                  <c:v>824.52862424426962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856512"/>
        <c:axId val="137858048"/>
      </c:areaChart>
      <c:catAx>
        <c:axId val="13785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7858048"/>
        <c:crosses val="autoZero"/>
        <c:auto val="1"/>
        <c:lblAlgn val="ctr"/>
        <c:lblOffset val="100"/>
        <c:noMultiLvlLbl val="0"/>
      </c:catAx>
      <c:valAx>
        <c:axId val="137858048"/>
        <c:scaling>
          <c:orientation val="minMax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7856512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6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LinesCo!$B$28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LinesCo!$C$25:$F$25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LinesCo!$C$28:$F$28</c:f>
              <c:numCache>
                <c:formatCode>0</c:formatCode>
                <c:ptCount val="4"/>
                <c:pt idx="0">
                  <c:v>517.46280285884461</c:v>
                </c:pt>
                <c:pt idx="1">
                  <c:v>519.35483810368692</c:v>
                </c:pt>
                <c:pt idx="2">
                  <c:v>650.90759919040079</c:v>
                </c:pt>
                <c:pt idx="3">
                  <c:v>663.15013701013436</c:v>
                </c:pt>
              </c:numCache>
            </c:numRef>
          </c:val>
        </c:ser>
        <c:ser>
          <c:idx val="1"/>
          <c:order val="1"/>
          <c:tx>
            <c:strRef>
              <c:f>LinesCo!$B$29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LinesCo!$C$25:$F$25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LinesCo!$C$29:$F$29</c:f>
              <c:numCache>
                <c:formatCode>0</c:formatCode>
                <c:ptCount val="4"/>
                <c:pt idx="0">
                  <c:v>116.56053418719503</c:v>
                </c:pt>
                <c:pt idx="1">
                  <c:v>132.5071679595759</c:v>
                </c:pt>
                <c:pt idx="2">
                  <c:v>157.27842331855311</c:v>
                </c:pt>
                <c:pt idx="3">
                  <c:v>161.37848723413512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891840"/>
        <c:axId val="137893376"/>
      </c:barChart>
      <c:catAx>
        <c:axId val="13789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7893376"/>
        <c:crosses val="autoZero"/>
        <c:auto val="1"/>
        <c:lblAlgn val="ctr"/>
        <c:lblOffset val="100"/>
        <c:noMultiLvlLbl val="0"/>
      </c:catAx>
      <c:valAx>
        <c:axId val="137893376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789184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356"/>
          <c:w val="0.89745624999998286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LinesCo!$B$40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LinesCo!$C$39:$F$39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LinesCo!$C$40:$F$40</c:f>
              <c:numCache>
                <c:formatCode>0</c:formatCode>
                <c:ptCount val="4"/>
                <c:pt idx="0">
                  <c:v>24492.246585497989</c:v>
                </c:pt>
                <c:pt idx="1">
                  <c:v>25095.936577664896</c:v>
                </c:pt>
                <c:pt idx="2">
                  <c:v>27882.468001401197</c:v>
                </c:pt>
                <c:pt idx="3">
                  <c:v>30653</c:v>
                </c:pt>
              </c:numCache>
            </c:numRef>
          </c:val>
        </c:ser>
        <c:ser>
          <c:idx val="1"/>
          <c:order val="1"/>
          <c:tx>
            <c:strRef>
              <c:f>LinesCo!$B$41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LinesCo!$C$39:$F$39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LinesCo!$C$41:$F$41</c:f>
              <c:numCache>
                <c:formatCode>0</c:formatCode>
                <c:ptCount val="4"/>
                <c:pt idx="0">
                  <c:v>1640.8662427646773</c:v>
                </c:pt>
                <c:pt idx="1">
                  <c:v>852.27565378543454</c:v>
                </c:pt>
                <c:pt idx="2">
                  <c:v>88.481023971329236</c:v>
                </c:pt>
                <c:pt idx="3">
                  <c:v>164</c:v>
                </c:pt>
              </c:numCache>
            </c:numRef>
          </c:val>
        </c:ser>
        <c:ser>
          <c:idx val="3"/>
          <c:order val="2"/>
          <c:tx>
            <c:strRef>
              <c:f>LinesCo!$B$42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LinesCo!$C$39:$F$39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LinesCo!$C$42:$F$42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7932800"/>
        <c:axId val="137934336"/>
      </c:barChart>
      <c:catAx>
        <c:axId val="13793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7934336"/>
        <c:crosses val="autoZero"/>
        <c:auto val="1"/>
        <c:lblAlgn val="ctr"/>
        <c:lblOffset val="100"/>
        <c:noMultiLvlLbl val="0"/>
      </c:catAx>
      <c:valAx>
        <c:axId val="13793433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7932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82"/>
          <c:h val="0.21171296296296843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799E-2"/>
          <c:y val="9.9262962962965245E-2"/>
          <c:w val="0.86941313257319941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LinesCo!$B$45</c:f>
              <c:strCache>
                <c:ptCount val="1"/>
                <c:pt idx="0">
                  <c:v>The Lines Company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LinesCo!$B$46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5.9359649122807084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LinesCo!$C$45:$F$45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LinesCo!$C$46:$F$46</c:f>
              <c:numCache>
                <c:formatCode>0.0</c:formatCode>
                <c:ptCount val="4"/>
                <c:pt idx="0">
                  <c:v>100</c:v>
                </c:pt>
                <c:pt idx="1">
                  <c:v>102.46482081608778</c:v>
                </c:pt>
                <c:pt idx="2">
                  <c:v>113.84201895921862</c:v>
                </c:pt>
                <c:pt idx="3">
                  <c:v>125.1538926533176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LinesCo!$B$47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LinesCo!$C$45:$F$45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LinesCo!$C$47:$F$47</c:f>
              <c:numCache>
                <c:formatCode>0.0</c:formatCode>
                <c:ptCount val="4"/>
                <c:pt idx="0">
                  <c:v>100</c:v>
                </c:pt>
                <c:pt idx="1">
                  <c:v>51.940592814527328</c:v>
                </c:pt>
                <c:pt idx="2">
                  <c:v>5.3923361737425068</c:v>
                </c:pt>
                <c:pt idx="3">
                  <c:v>9.9947208203685278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01088"/>
        <c:axId val="141002624"/>
      </c:lineChart>
      <c:catAx>
        <c:axId val="14100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1002624"/>
        <c:crossesAt val="0"/>
        <c:auto val="1"/>
        <c:lblAlgn val="ctr"/>
        <c:lblOffset val="100"/>
        <c:noMultiLvlLbl val="0"/>
      </c:catAx>
      <c:valAx>
        <c:axId val="141002624"/>
        <c:scaling>
          <c:orientation val="minMax"/>
          <c:max val="15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1001088"/>
        <c:crosses val="autoZero"/>
        <c:crossBetween val="midCat"/>
        <c:maj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916"/>
          <c:h val="0.702040277777790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LinesCo!$B$54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LinesCo!$C$53:$F$53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LinesCo!$C$54:$F$54</c:f>
              <c:numCache>
                <c:formatCode>0</c:formatCode>
                <c:ptCount val="4"/>
                <c:pt idx="0">
                  <c:v>14495.309969205326</c:v>
                </c:pt>
                <c:pt idx="1">
                  <c:v>18717.641575125261</c:v>
                </c:pt>
                <c:pt idx="2">
                  <c:v>17696.151814825789</c:v>
                </c:pt>
                <c:pt idx="3">
                  <c:v>21113</c:v>
                </c:pt>
              </c:numCache>
            </c:numRef>
          </c:val>
        </c:ser>
        <c:ser>
          <c:idx val="1"/>
          <c:order val="1"/>
          <c:tx>
            <c:strRef>
              <c:f>LinesCo!$B$55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LinesCo!$C$53:$F$53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LinesCo!$C$55:$F$55</c:f>
              <c:numCache>
                <c:formatCode>0</c:formatCode>
                <c:ptCount val="4"/>
                <c:pt idx="0">
                  <c:v>2504.6507915371672</c:v>
                </c:pt>
                <c:pt idx="1">
                  <c:v>1408.3683893197881</c:v>
                </c:pt>
                <c:pt idx="2">
                  <c:v>3211.3691358357355</c:v>
                </c:pt>
                <c:pt idx="3">
                  <c:v>3046</c:v>
                </c:pt>
              </c:numCache>
            </c:numRef>
          </c:val>
        </c:ser>
        <c:ser>
          <c:idx val="2"/>
          <c:order val="2"/>
          <c:tx>
            <c:strRef>
              <c:f>LinesCo!$B$56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LinesCo!$C$53:$F$53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LinesCo!$C$56:$F$56</c:f>
              <c:numCache>
                <c:formatCode>0</c:formatCode>
                <c:ptCount val="4"/>
                <c:pt idx="0">
                  <c:v>4172.0738399247239</c:v>
                </c:pt>
                <c:pt idx="1">
                  <c:v>2904.4204758047904</c:v>
                </c:pt>
                <c:pt idx="2">
                  <c:v>3839.9905688340377</c:v>
                </c:pt>
                <c:pt idx="3">
                  <c:v>3429</c:v>
                </c:pt>
              </c:numCache>
            </c:numRef>
          </c:val>
        </c:ser>
        <c:ser>
          <c:idx val="3"/>
          <c:order val="3"/>
          <c:tx>
            <c:strRef>
              <c:f>LinesCo!$B$57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LinesCo!$C$53:$F$53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LinesCo!$C$57:$F$57</c:f>
              <c:numCache>
                <c:formatCode>0</c:formatCode>
                <c:ptCount val="4"/>
                <c:pt idx="0">
                  <c:v>3320.2119848307716</c:v>
                </c:pt>
                <c:pt idx="1">
                  <c:v>2065.5061374150587</c:v>
                </c:pt>
                <c:pt idx="2">
                  <c:v>3134.9564819056341</c:v>
                </c:pt>
                <c:pt idx="3">
                  <c:v>3065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43584"/>
        <c:axId val="141045120"/>
      </c:barChart>
      <c:catAx>
        <c:axId val="14104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1045120"/>
        <c:crosses val="autoZero"/>
        <c:auto val="1"/>
        <c:lblAlgn val="ctr"/>
        <c:lblOffset val="100"/>
        <c:noMultiLvlLbl val="0"/>
      </c:catAx>
      <c:valAx>
        <c:axId val="14104512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1043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83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 orientation="portrait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1876161491766108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LinesCo!$B$61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0390793879875E-6"/>
                  <c:y val="-2.444688109161792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LinesCo!$C$61:$F$61</c:f>
              <c:numCache>
                <c:formatCode>0.0</c:formatCode>
                <c:ptCount val="4"/>
                <c:pt idx="0">
                  <c:v>100</c:v>
                </c:pt>
                <c:pt idx="1">
                  <c:v>129.12895008723581</c:v>
                </c:pt>
                <c:pt idx="2">
                  <c:v>122.0819137529347</c:v>
                </c:pt>
                <c:pt idx="3">
                  <c:v>145.65400839894889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LinesCo!$B$62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751953969399295E-6"/>
                  <c:y val="-3.01154970760235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LinesCo!$C$62:$F$62</c:f>
              <c:numCache>
                <c:formatCode>0.0</c:formatCode>
                <c:ptCount val="4"/>
                <c:pt idx="0">
                  <c:v>100</c:v>
                </c:pt>
                <c:pt idx="1">
                  <c:v>56.23012972820203</c:v>
                </c:pt>
                <c:pt idx="2">
                  <c:v>128.21624262697466</c:v>
                </c:pt>
                <c:pt idx="3">
                  <c:v>121.61375990185815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LinesCo!$B$63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1879884923498131E-6"/>
                  <c:y val="-2.444785575048733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LinesCo!$C$63:$F$63</c:f>
              <c:numCache>
                <c:formatCode>0.0</c:formatCode>
                <c:ptCount val="4"/>
                <c:pt idx="0">
                  <c:v>100</c:v>
                </c:pt>
                <c:pt idx="1">
                  <c:v>69.615749558670188</c:v>
                </c:pt>
                <c:pt idx="2">
                  <c:v>92.040330928163101</c:v>
                </c:pt>
                <c:pt idx="3">
                  <c:v>82.189341118225968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LinesCo!$B$64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527777777777874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LinesCo!$C$64:$F$64</c:f>
              <c:numCache>
                <c:formatCode>0.0</c:formatCode>
                <c:ptCount val="4"/>
                <c:pt idx="0">
                  <c:v>100</c:v>
                </c:pt>
                <c:pt idx="1">
                  <c:v>62.210068117693872</c:v>
                </c:pt>
                <c:pt idx="2">
                  <c:v>94.420371236188402</c:v>
                </c:pt>
                <c:pt idx="3">
                  <c:v>92.313382820230387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93888"/>
        <c:axId val="140727040"/>
      </c:lineChart>
      <c:catAx>
        <c:axId val="1410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0727040"/>
        <c:crosses val="autoZero"/>
        <c:auto val="1"/>
        <c:lblAlgn val="ctr"/>
        <c:lblOffset val="100"/>
        <c:noMultiLvlLbl val="0"/>
      </c:catAx>
      <c:valAx>
        <c:axId val="140727040"/>
        <c:scaling>
          <c:orientation val="minMax"/>
          <c:max val="150"/>
          <c:min val="5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1093888"/>
        <c:crosses val="autoZero"/>
        <c:crossBetween val="midCat"/>
        <c:maj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394"/>
          <c:y val="6.4675925925925928E-2"/>
          <c:w val="0.83176107888302875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Alpine!$B$237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372777219847359E-6"/>
                  <c:y val="-5.2916666666666834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Alpine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Alpine!$C$236:$F$236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Alpine!$C$237:$F$237</c:f>
              <c:numCache>
                <c:formatCode>_(* #,##0.00_);_(* \(#,##0.00\);_(* "-"??_);_(@_)</c:formatCode>
                <c:ptCount val="4"/>
                <c:pt idx="0">
                  <c:v>1.68</c:v>
                </c:pt>
                <c:pt idx="1">
                  <c:v>1.69198465</c:v>
                </c:pt>
                <c:pt idx="2">
                  <c:v>2.1800000000000002</c:v>
                </c:pt>
                <c:pt idx="3">
                  <c:v>1.7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Alpine!$B$238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2785474833572455"/>
                  <c:y val="-5.29166666666668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Alpine!$C$238:$F$238</c:f>
              <c:numCache>
                <c:formatCode>_(* #,##0.00_);_(* \(#,##0.00\);_(* "-"??_);_(@_)</c:formatCode>
                <c:ptCount val="4"/>
                <c:pt idx="0">
                  <c:v>1.1000000000000001</c:v>
                </c:pt>
                <c:pt idx="1">
                  <c:v>1.1000000000000001</c:v>
                </c:pt>
                <c:pt idx="2">
                  <c:v>1.1000000000000001</c:v>
                </c:pt>
                <c:pt idx="3">
                  <c:v>1.694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Alpine!$B$239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3313575287527366E-6"/>
                  <c:y val="-5.87962962962977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Alpine!$C$236:$F$236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372992"/>
        <c:axId val="116374528"/>
      </c:lineChart>
      <c:catAx>
        <c:axId val="11637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6374528"/>
        <c:crosses val="autoZero"/>
        <c:auto val="1"/>
        <c:lblAlgn val="ctr"/>
        <c:lblOffset val="100"/>
        <c:noMultiLvlLbl val="0"/>
      </c:catAx>
      <c:valAx>
        <c:axId val="11637452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637299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46035102432311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LinesCo!$B$84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354918846777024E-3"/>
                  <c:y val="-2.805987248455943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LinesCo!$C$84:$F$84</c:f>
              <c:numCache>
                <c:formatCode>0.00</c:formatCode>
                <c:ptCount val="4"/>
                <c:pt idx="0">
                  <c:v>10.348544644648303</c:v>
                </c:pt>
                <c:pt idx="1">
                  <c:v>9.9235233493424708</c:v>
                </c:pt>
                <c:pt idx="2">
                  <c:v>8.8615898319065529</c:v>
                </c:pt>
                <c:pt idx="3">
                  <c:v>10.828623303619969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LinesCo!$B$85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90609520707183E-3"/>
                  <c:y val="-4.06340904562661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LinesCo!$C$85:$F$85</c:f>
              <c:numCache>
                <c:formatCode>0.00</c:formatCode>
                <c:ptCount val="4"/>
                <c:pt idx="0">
                  <c:v>5.5219603852400176</c:v>
                </c:pt>
                <c:pt idx="1">
                  <c:v>4.8028554418548444</c:v>
                </c:pt>
                <c:pt idx="2">
                  <c:v>10.343906254705068</c:v>
                </c:pt>
                <c:pt idx="3">
                  <c:v>12.784353227566525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LinesCo!$B$86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13218553147734E-3"/>
                  <c:y val="-2.8505678421996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LinesCo!$C$86:$F$86</c:f>
              <c:numCache>
                <c:formatCode>0.00</c:formatCode>
                <c:ptCount val="4"/>
                <c:pt idx="0">
                  <c:v>6.6798069741661985</c:v>
                </c:pt>
                <c:pt idx="1">
                  <c:v>8.219494604840877</c:v>
                </c:pt>
                <c:pt idx="2">
                  <c:v>10.264335539905476</c:v>
                </c:pt>
                <c:pt idx="3">
                  <c:v>8.7474489795918355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LinesCo!$B$87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99660429540984E-3"/>
                  <c:y val="-2.887427774457132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LinesCo!$C$87:$F$87</c:f>
              <c:numCache>
                <c:formatCode>0.00</c:formatCode>
                <c:ptCount val="4"/>
                <c:pt idx="0">
                  <c:v>6.2292907782941302</c:v>
                </c:pt>
                <c:pt idx="1">
                  <c:v>5.1036146516151755</c:v>
                </c:pt>
                <c:pt idx="2">
                  <c:v>7.3164593024309985</c:v>
                </c:pt>
                <c:pt idx="3">
                  <c:v>7.475609756097561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800000"/>
        <c:axId val="140801536"/>
      </c:lineChart>
      <c:catAx>
        <c:axId val="14080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0801536"/>
        <c:crosses val="autoZero"/>
        <c:auto val="1"/>
        <c:lblAlgn val="ctr"/>
        <c:lblOffset val="100"/>
        <c:noMultiLvlLbl val="0"/>
      </c:catAx>
      <c:valAx>
        <c:axId val="14080153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0800000"/>
        <c:crosses val="autoZero"/>
        <c:crossBetween val="midCat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513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LinesCo!$B$90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1.042040247061167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LinesCo!$C$90:$F$90</c:f>
              <c:numCache>
                <c:formatCode>0.0</c:formatCode>
                <c:ptCount val="4"/>
                <c:pt idx="0">
                  <c:v>100</c:v>
                </c:pt>
                <c:pt idx="1">
                  <c:v>95.892936544216099</c:v>
                </c:pt>
                <c:pt idx="2">
                  <c:v>85.631266387677798</c:v>
                </c:pt>
                <c:pt idx="3">
                  <c:v>104.63909347117651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LinesCo!$B$91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3436646013648E-3"/>
                  <c:y val="-3.95151264693598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LinesCo!$C$91:$F$91</c:f>
              <c:numCache>
                <c:formatCode>0.0</c:formatCode>
                <c:ptCount val="4"/>
                <c:pt idx="0">
                  <c:v>100</c:v>
                </c:pt>
                <c:pt idx="1">
                  <c:v>86.977361422090013</c:v>
                </c:pt>
                <c:pt idx="2">
                  <c:v>187.32307972280861</c:v>
                </c:pt>
                <c:pt idx="3">
                  <c:v>231.51837998944353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LinesCo!$B$92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199260519208582E-3"/>
                  <c:y val="-1.577605100617656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LinesCo!$C$92:$F$92</c:f>
              <c:numCache>
                <c:formatCode>0.0</c:formatCode>
                <c:ptCount val="4"/>
                <c:pt idx="0">
                  <c:v>100</c:v>
                </c:pt>
                <c:pt idx="1">
                  <c:v>123.04988207936756</c:v>
                </c:pt>
                <c:pt idx="2">
                  <c:v>153.66215789770951</c:v>
                </c:pt>
                <c:pt idx="3">
                  <c:v>130.95361907046316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LinesCo!$B$93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2.16557083084280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LinesCo!$C$93:$F$93</c:f>
              <c:numCache>
                <c:formatCode>0.0</c:formatCode>
                <c:ptCount val="4"/>
                <c:pt idx="0">
                  <c:v>100</c:v>
                </c:pt>
                <c:pt idx="1">
                  <c:v>81.929305169035345</c:v>
                </c:pt>
                <c:pt idx="2">
                  <c:v>117.45252489938487</c:v>
                </c:pt>
                <c:pt idx="3">
                  <c:v>120.00739766629951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952320"/>
        <c:axId val="140953856"/>
      </c:lineChart>
      <c:catAx>
        <c:axId val="1409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0953856"/>
        <c:crosses val="autoZero"/>
        <c:auto val="1"/>
        <c:lblAlgn val="ctr"/>
        <c:lblOffset val="100"/>
        <c:noMultiLvlLbl val="0"/>
      </c:catAx>
      <c:valAx>
        <c:axId val="140953856"/>
        <c:scaling>
          <c:orientation val="minMax"/>
          <c:max val="24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0952320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3155581925915778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LinesCo!$B$120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097175893961748E-6"/>
                  <c:y val="-3.094639376218324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LinesCo!$C$120:$F$120</c:f>
              <c:numCache>
                <c:formatCode>0.0</c:formatCode>
                <c:ptCount val="4"/>
                <c:pt idx="0">
                  <c:v>100</c:v>
                </c:pt>
                <c:pt idx="1">
                  <c:v>134.65950125293602</c:v>
                </c:pt>
                <c:pt idx="2">
                  <c:v>142.56698388674317</c:v>
                </c:pt>
                <c:pt idx="3">
                  <c:v>139.19655032090867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LinesCo!$B$121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099732670674E-3"/>
                  <c:y val="-3.86817738791422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LinesCo!$C$121:$F$121</c:f>
              <c:numCache>
                <c:formatCode>0.0</c:formatCode>
                <c:ptCount val="4"/>
                <c:pt idx="0">
                  <c:v>100</c:v>
                </c:pt>
                <c:pt idx="1">
                  <c:v>64.649155606508231</c:v>
                </c:pt>
                <c:pt idx="2">
                  <c:v>68.446580537060726</c:v>
                </c:pt>
                <c:pt idx="3">
                  <c:v>52.528771109837294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LinesCo!$B$122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6992005781443384E-5"/>
                  <c:y val="-2.444688109161792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LinesCo!$C$122:$F$122</c:f>
              <c:numCache>
                <c:formatCode>0.0</c:formatCode>
                <c:ptCount val="4"/>
                <c:pt idx="0">
                  <c:v>100</c:v>
                </c:pt>
                <c:pt idx="1">
                  <c:v>56.575226552243109</c:v>
                </c:pt>
                <c:pt idx="2">
                  <c:v>59.89785135611131</c:v>
                </c:pt>
                <c:pt idx="3">
                  <c:v>62.762176182394569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LinesCo!$B$123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-4.115787037037034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700" baseline="0"/>
                      <a:t> 5</a:t>
                    </a:r>
                    <a:endParaRPr lang="en-US" sz="80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LinesCo!$C$123:$F$123</c:f>
              <c:numCache>
                <c:formatCode>0.0</c:formatCode>
                <c:ptCount val="4"/>
                <c:pt idx="0">
                  <c:v>100</c:v>
                </c:pt>
                <c:pt idx="1">
                  <c:v>75.93139962476549</c:v>
                </c:pt>
                <c:pt idx="2">
                  <c:v>80.390243902439025</c:v>
                </c:pt>
                <c:pt idx="3">
                  <c:v>76.923076923076934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12832"/>
        <c:axId val="141114368"/>
      </c:lineChart>
      <c:catAx>
        <c:axId val="1411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1114368"/>
        <c:crosses val="autoZero"/>
        <c:auto val="1"/>
        <c:lblAlgn val="ctr"/>
        <c:lblOffset val="100"/>
        <c:noMultiLvlLbl val="0"/>
      </c:catAx>
      <c:valAx>
        <c:axId val="141114368"/>
        <c:scaling>
          <c:orientation val="minMax"/>
          <c:max val="15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1112832"/>
        <c:crosses val="autoZero"/>
        <c:crossBetween val="midCat"/>
        <c:maj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607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LinesCo!$B$113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LinesCo!$C$112:$F$112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LinesCo!$C$113:$F$113</c:f>
              <c:numCache>
                <c:formatCode>General</c:formatCode>
                <c:ptCount val="4"/>
                <c:pt idx="0">
                  <c:v>140071</c:v>
                </c:pt>
                <c:pt idx="1">
                  <c:v>188618.91</c:v>
                </c:pt>
                <c:pt idx="2">
                  <c:v>199695</c:v>
                </c:pt>
                <c:pt idx="3">
                  <c:v>194974</c:v>
                </c:pt>
              </c:numCache>
            </c:numRef>
          </c:val>
        </c:ser>
        <c:ser>
          <c:idx val="1"/>
          <c:order val="1"/>
          <c:tx>
            <c:strRef>
              <c:f>LinesCo!$B$114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LinesCo!$C$112:$F$112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LinesCo!$C$114:$F$114</c:f>
              <c:numCache>
                <c:formatCode>General</c:formatCode>
                <c:ptCount val="4"/>
                <c:pt idx="0">
                  <c:v>45358</c:v>
                </c:pt>
                <c:pt idx="1">
                  <c:v>29323.563999999998</c:v>
                </c:pt>
                <c:pt idx="2">
                  <c:v>31046</c:v>
                </c:pt>
                <c:pt idx="3">
                  <c:v>23826</c:v>
                </c:pt>
              </c:numCache>
            </c:numRef>
          </c:val>
        </c:ser>
        <c:ser>
          <c:idx val="2"/>
          <c:order val="2"/>
          <c:tx>
            <c:strRef>
              <c:f>LinesCo!$B$115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LinesCo!$C$112:$F$112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LinesCo!$C$115:$F$115</c:f>
              <c:numCache>
                <c:formatCode>General</c:formatCode>
                <c:ptCount val="4"/>
                <c:pt idx="0">
                  <c:v>62458</c:v>
                </c:pt>
                <c:pt idx="1">
                  <c:v>35335.754999999997</c:v>
                </c:pt>
                <c:pt idx="2">
                  <c:v>37411</c:v>
                </c:pt>
                <c:pt idx="3">
                  <c:v>39200</c:v>
                </c:pt>
              </c:numCache>
            </c:numRef>
          </c:val>
        </c:ser>
        <c:ser>
          <c:idx val="3"/>
          <c:order val="3"/>
          <c:tx>
            <c:strRef>
              <c:f>LinesCo!$B$116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LinesCo!$C$112:$F$112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LinesCo!$C$116:$F$116</c:f>
              <c:numCache>
                <c:formatCode>General</c:formatCode>
                <c:ptCount val="4"/>
                <c:pt idx="0">
                  <c:v>53300</c:v>
                </c:pt>
                <c:pt idx="1">
                  <c:v>40471.436000000002</c:v>
                </c:pt>
                <c:pt idx="2">
                  <c:v>42848</c:v>
                </c:pt>
                <c:pt idx="3">
                  <c:v>41000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187328"/>
        <c:axId val="141197312"/>
      </c:barChart>
      <c:catAx>
        <c:axId val="1411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1197312"/>
        <c:crosses val="autoZero"/>
        <c:auto val="1"/>
        <c:lblAlgn val="ctr"/>
        <c:lblOffset val="100"/>
        <c:noMultiLvlLbl val="0"/>
      </c:catAx>
      <c:valAx>
        <c:axId val="14119731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1187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LinesCo!$U$138:$U$144</c:f>
              <c:strCache>
                <c:ptCount val="7"/>
                <c:pt idx="0">
                  <c:v>System management and operations</c:v>
                </c:pt>
                <c:pt idx="1">
                  <c:v>General management, admin and overheads</c:v>
                </c:pt>
                <c:pt idx="2">
                  <c:v>Fault and emergency maintenance</c:v>
                </c:pt>
                <c:pt idx="3">
                  <c:v>Routine and preventative maintenance</c:v>
                </c:pt>
                <c:pt idx="4">
                  <c:v>Refurbishment and renewal maintenance</c:v>
                </c:pt>
                <c:pt idx="5">
                  <c:v>Other</c:v>
                </c:pt>
                <c:pt idx="6">
                  <c:v>Pass-through costs</c:v>
                </c:pt>
              </c:strCache>
            </c:strRef>
          </c:cat>
          <c:val>
            <c:numRef>
              <c:f>LinesCo!$V$138:$V$144</c:f>
              <c:numCache>
                <c:formatCode>General</c:formatCode>
                <c:ptCount val="7"/>
                <c:pt idx="0">
                  <c:v>2822.7276999999999</c:v>
                </c:pt>
                <c:pt idx="1">
                  <c:v>1862.5905</c:v>
                </c:pt>
                <c:pt idx="2">
                  <c:v>1216</c:v>
                </c:pt>
                <c:pt idx="3">
                  <c:v>1120</c:v>
                </c:pt>
                <c:pt idx="4">
                  <c:v>126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41238272"/>
        <c:axId val="141239808"/>
      </c:barChart>
      <c:catAx>
        <c:axId val="141238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1239808"/>
        <c:crosses val="autoZero"/>
        <c:auto val="1"/>
        <c:lblAlgn val="ctr"/>
        <c:lblOffset val="100"/>
        <c:noMultiLvlLbl val="0"/>
      </c:catAx>
      <c:valAx>
        <c:axId val="141239808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1238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502288235218048"/>
          <c:y val="5.1014483439099333E-2"/>
          <c:w val="0.70280721997858253"/>
          <c:h val="0.8328039561239124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LinesCo!$U$186:$U$191</c:f>
              <c:strCache>
                <c:ptCount val="6"/>
                <c:pt idx="0">
                  <c:v>Asset replacement and renewal</c:v>
                </c:pt>
                <c:pt idx="1">
                  <c:v>Reliability, safety and environment</c:v>
                </c:pt>
                <c:pt idx="2">
                  <c:v>Customer connection</c:v>
                </c:pt>
                <c:pt idx="3">
                  <c:v>System growth</c:v>
                </c:pt>
                <c:pt idx="4">
                  <c:v>Non-network capex</c:v>
                </c:pt>
                <c:pt idx="5">
                  <c:v>Asset relocations</c:v>
                </c:pt>
              </c:strCache>
            </c:strRef>
          </c:cat>
          <c:val>
            <c:numRef>
              <c:f>LinesCo!$V$186:$V$191</c:f>
              <c:numCache>
                <c:formatCode>General</c:formatCode>
                <c:ptCount val="6"/>
                <c:pt idx="0">
                  <c:v>3.72</c:v>
                </c:pt>
                <c:pt idx="1">
                  <c:v>2.1259999999999999</c:v>
                </c:pt>
                <c:pt idx="2">
                  <c:v>1.4319999999999999</c:v>
                </c:pt>
                <c:pt idx="3">
                  <c:v>1.087</c:v>
                </c:pt>
                <c:pt idx="4">
                  <c:v>0.35</c:v>
                </c:pt>
                <c:pt idx="5">
                  <c:v>3.6999999999999998E-2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41259904"/>
        <c:axId val="141261440"/>
      </c:barChart>
      <c:catAx>
        <c:axId val="141259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1261440"/>
        <c:crosses val="autoZero"/>
        <c:auto val="1"/>
        <c:lblAlgn val="ctr"/>
        <c:lblOffset val="100"/>
        <c:noMultiLvlLbl val="0"/>
      </c:catAx>
      <c:valAx>
        <c:axId val="141261440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12599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68744841764"/>
          <c:h val="0.82404629629630965"/>
        </c:manualLayout>
      </c:layout>
      <c:lineChart>
        <c:grouping val="standard"/>
        <c:varyColors val="0"/>
        <c:ser>
          <c:idx val="0"/>
          <c:order val="0"/>
          <c:tx>
            <c:strRef>
              <c:f>LinesCo!$B$76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3425220873720851E-4"/>
                  <c:y val="-4.332456140350879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LinesCo!$C$76:$F$76</c:f>
              <c:numCache>
                <c:formatCode>0.0</c:formatCode>
                <c:ptCount val="4"/>
                <c:pt idx="0">
                  <c:v>100</c:v>
                </c:pt>
                <c:pt idx="1">
                  <c:v>123.96854721937329</c:v>
                </c:pt>
                <c:pt idx="2">
                  <c:v>116.29793901589616</c:v>
                </c:pt>
                <c:pt idx="3">
                  <c:v>138.04247782412875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LinesCo!$B$77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69234892787524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LinesCo!$C$77:$F$77</c:f>
              <c:numCache>
                <c:formatCode>0.0</c:formatCode>
                <c:ptCount val="4"/>
                <c:pt idx="0">
                  <c:v>100</c:v>
                </c:pt>
                <c:pt idx="1">
                  <c:v>55.98132384444893</c:v>
                </c:pt>
                <c:pt idx="2">
                  <c:v>100.16893955232395</c:v>
                </c:pt>
                <c:pt idx="3">
                  <c:v>129.68291932662598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LinesCo!$B$78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1.763842592592592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LinesCo!$C$78:$F$78</c:f>
              <c:numCache>
                <c:formatCode>0.0</c:formatCode>
                <c:ptCount val="4"/>
                <c:pt idx="0">
                  <c:v>100</c:v>
                </c:pt>
                <c:pt idx="1">
                  <c:v>68.394420619044411</c:v>
                </c:pt>
                <c:pt idx="2">
                  <c:v>87.360314101307353</c:v>
                </c:pt>
                <c:pt idx="3">
                  <c:v>90.247119659228531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LinesCo!$B$79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115740740740737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LinesCo!$C$79:$F$79</c:f>
              <c:numCache>
                <c:formatCode>0.0</c:formatCode>
                <c:ptCount val="4"/>
                <c:pt idx="0">
                  <c:v>100</c:v>
                </c:pt>
                <c:pt idx="1">
                  <c:v>62.210068117693865</c:v>
                </c:pt>
                <c:pt idx="2">
                  <c:v>94.420371236188416</c:v>
                </c:pt>
                <c:pt idx="3">
                  <c:v>92.313382820230387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07136"/>
        <c:axId val="141708672"/>
      </c:lineChart>
      <c:catAx>
        <c:axId val="14170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1708672"/>
        <c:crosses val="autoZero"/>
        <c:auto val="1"/>
        <c:lblAlgn val="ctr"/>
        <c:lblOffset val="100"/>
        <c:noMultiLvlLbl val="0"/>
      </c:catAx>
      <c:valAx>
        <c:axId val="141708672"/>
        <c:scaling>
          <c:orientation val="minMax"/>
          <c:max val="15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1707136"/>
        <c:crosses val="autoZero"/>
        <c:crossBetween val="midCat"/>
        <c:maj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3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479"/>
          <c:y val="0.16445370370370369"/>
          <c:w val="0.70330041907982288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LinesCo!$B$70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LinesCo!$C$69:$F$69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LinesCo!$C$70:$F$70</c:f>
              <c:numCache>
                <c:formatCode>0</c:formatCode>
                <c:ptCount val="4"/>
                <c:pt idx="0">
                  <c:v>631.82416394409063</c:v>
                </c:pt>
                <c:pt idx="1">
                  <c:v>783.26323702244053</c:v>
                </c:pt>
                <c:pt idx="2">
                  <c:v>734.7984808713943</c:v>
                </c:pt>
                <c:pt idx="3">
                  <c:v>872.18573140000819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61536"/>
        <c:axId val="141763328"/>
      </c:lineChart>
      <c:catAx>
        <c:axId val="14176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763328"/>
        <c:crosses val="autoZero"/>
        <c:auto val="1"/>
        <c:lblAlgn val="ctr"/>
        <c:lblOffset val="100"/>
        <c:noMultiLvlLbl val="0"/>
      </c:catAx>
      <c:valAx>
        <c:axId val="141763328"/>
        <c:scaling>
          <c:orientation val="minMax"/>
          <c:max val="1250"/>
          <c:min val="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1761536"/>
        <c:crosses val="autoZero"/>
        <c:crossBetween val="midCat"/>
        <c:majorUnit val="1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96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909"/>
          <c:y val="0.17621296296296787"/>
          <c:w val="0.73692152777777775"/>
          <c:h val="0.57282407407409874"/>
        </c:manualLayout>
      </c:layout>
      <c:lineChart>
        <c:grouping val="standard"/>
        <c:varyColors val="0"/>
        <c:ser>
          <c:idx val="1"/>
          <c:order val="0"/>
          <c:tx>
            <c:strRef>
              <c:f>LinesCo!$B$71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LinesCo!$C$69:$F$69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LinesCo!$C$71:$F$71</c:f>
              <c:numCache>
                <c:formatCode>0</c:formatCode>
                <c:ptCount val="4"/>
                <c:pt idx="0">
                  <c:v>11131.781295720742</c:v>
                </c:pt>
                <c:pt idx="1">
                  <c:v>6231.7185368132214</c:v>
                </c:pt>
                <c:pt idx="2">
                  <c:v>11150.587277207414</c:v>
                </c:pt>
                <c:pt idx="3">
                  <c:v>14436.018957345972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00576"/>
        <c:axId val="141802112"/>
      </c:lineChart>
      <c:catAx>
        <c:axId val="14180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802112"/>
        <c:crosses val="autoZero"/>
        <c:auto val="1"/>
        <c:lblAlgn val="ctr"/>
        <c:lblOffset val="100"/>
        <c:noMultiLvlLbl val="0"/>
      </c:catAx>
      <c:valAx>
        <c:axId val="141802112"/>
        <c:scaling>
          <c:orientation val="minMax"/>
          <c:max val="15000"/>
          <c:min val="6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1800576"/>
        <c:crosses val="autoZero"/>
        <c:crossBetween val="midCat"/>
        <c:majorUnit val="18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9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LinesCo!$B$72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LinesCo!$C$69:$F$69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LinesCo!$C$72:$F$72</c:f>
              <c:numCache>
                <c:formatCode>0</c:formatCode>
                <c:ptCount val="4"/>
                <c:pt idx="0">
                  <c:v>74501.318570084346</c:v>
                </c:pt>
                <c:pt idx="1">
                  <c:v>50954.745189557725</c:v>
                </c:pt>
                <c:pt idx="2">
                  <c:v>65084.585912441311</c:v>
                </c:pt>
                <c:pt idx="3">
                  <c:v>67235.294117647063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49856"/>
        <c:axId val="141455744"/>
      </c:lineChart>
      <c:catAx>
        <c:axId val="14144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455744"/>
        <c:crosses val="autoZero"/>
        <c:auto val="1"/>
        <c:lblAlgn val="ctr"/>
        <c:lblOffset val="100"/>
        <c:noMultiLvlLbl val="0"/>
      </c:catAx>
      <c:valAx>
        <c:axId val="141455744"/>
        <c:scaling>
          <c:orientation val="minMax"/>
          <c:max val="100000"/>
          <c:min val="4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1449856"/>
        <c:crosses val="autoZero"/>
        <c:crossBetween val="midCat"/>
        <c:majorUnit val="1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3159722222223"/>
          <c:y val="6.4675925925925928E-2"/>
          <c:w val="0.76542083333335442"/>
          <c:h val="0.80984259259260005"/>
        </c:manualLayout>
      </c:layout>
      <c:lineChart>
        <c:grouping val="standard"/>
        <c:varyColors val="0"/>
        <c:ser>
          <c:idx val="1"/>
          <c:order val="0"/>
          <c:tx>
            <c:strRef>
              <c:f>Alpine!$B$230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398611111111108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Alpine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Alpine!$C$230:$F$230</c:f>
              <c:numCache>
                <c:formatCode>_(* #,##0.00_);_(* \(#,##0.00\);_(* "-"??_);_(@_)</c:formatCode>
                <c:ptCount val="4"/>
                <c:pt idx="0">
                  <c:v>149.5</c:v>
                </c:pt>
                <c:pt idx="1">
                  <c:v>200.942508</c:v>
                </c:pt>
                <c:pt idx="2">
                  <c:v>332.37</c:v>
                </c:pt>
                <c:pt idx="3">
                  <c:v>225.53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Alpine!$B$231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8.231481481481461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Alpine!$C$231:$F$231</c:f>
              <c:numCache>
                <c:formatCode>_(* #,##0.00_);_(* \(#,##0.00\);_(* "-"??_);_(@_)</c:formatCode>
                <c:ptCount val="4"/>
                <c:pt idx="0">
                  <c:v>88.2</c:v>
                </c:pt>
                <c:pt idx="1">
                  <c:v>88.2</c:v>
                </c:pt>
                <c:pt idx="2">
                  <c:v>88.2</c:v>
                </c:pt>
                <c:pt idx="3">
                  <c:v>164.221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Alpine!$B$232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1.175925925925926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76000"/>
        <c:axId val="116177536"/>
      </c:lineChart>
      <c:catAx>
        <c:axId val="11617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6177536"/>
        <c:crosses val="autoZero"/>
        <c:auto val="1"/>
        <c:lblAlgn val="ctr"/>
        <c:lblOffset val="100"/>
        <c:noMultiLvlLbl val="0"/>
      </c:catAx>
      <c:valAx>
        <c:axId val="11617753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617600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LinesCo!$B$73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LinesCo!$C$69:$F$69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LinesCo!$C$73:$F$73</c:f>
              <c:numCache>
                <c:formatCode>0</c:formatCode>
                <c:ptCount val="4"/>
                <c:pt idx="0">
                  <c:v>664042.39696615434</c:v>
                </c:pt>
                <c:pt idx="1">
                  <c:v>413101.22748301172</c:v>
                </c:pt>
                <c:pt idx="2">
                  <c:v>626991.29638112686</c:v>
                </c:pt>
                <c:pt idx="3">
                  <c:v>613000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76224"/>
        <c:axId val="141477760"/>
      </c:lineChart>
      <c:catAx>
        <c:axId val="14147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1477760"/>
        <c:crosses val="autoZero"/>
        <c:auto val="1"/>
        <c:lblAlgn val="ctr"/>
        <c:lblOffset val="100"/>
        <c:noMultiLvlLbl val="0"/>
      </c:catAx>
      <c:valAx>
        <c:axId val="141477760"/>
        <c:scaling>
          <c:orientation val="minMax"/>
          <c:max val="750000"/>
          <c:min val="3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1476224"/>
        <c:crosses val="autoZero"/>
        <c:crossBetween val="midCat"/>
        <c:majorUnit val="9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53"/>
          <c:y val="6.4675925925925928E-2"/>
          <c:w val="0.78277689780196058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LinesCo!$B$105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21919363997841E-4"/>
                  <c:y val="-4.6296296296297747E-7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LinesCo!$C$105:$F$105</c:f>
              <c:numCache>
                <c:formatCode>0.0</c:formatCode>
                <c:ptCount val="4"/>
                <c:pt idx="0">
                  <c:v>100</c:v>
                </c:pt>
                <c:pt idx="1">
                  <c:v>104.16267108360213</c:v>
                </c:pt>
                <c:pt idx="2">
                  <c:v>104.97341121087962</c:v>
                </c:pt>
                <c:pt idx="3">
                  <c:v>105.5139046290646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LinesCo!$B$106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20617086083185338"/>
                  <c:y val="0.45675292397660838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LinesCo!$C$106:$F$106</c:f>
              <c:numCache>
                <c:formatCode>0.0</c:formatCode>
                <c:ptCount val="4"/>
                <c:pt idx="0">
                  <c:v>100</c:v>
                </c:pt>
                <c:pt idx="1">
                  <c:v>100.44444444444444</c:v>
                </c:pt>
                <c:pt idx="2">
                  <c:v>128</c:v>
                </c:pt>
                <c:pt idx="3">
                  <c:v>93.777777777777786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LinesCo!$B$107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287238010228107E-3"/>
                  <c:y val="1.85955165692007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LinesCo!$C$107:$F$107</c:f>
              <c:numCache>
                <c:formatCode>0.0</c:formatCode>
                <c:ptCount val="4"/>
                <c:pt idx="0">
                  <c:v>100</c:v>
                </c:pt>
                <c:pt idx="1">
                  <c:v>101.78571428571428</c:v>
                </c:pt>
                <c:pt idx="2">
                  <c:v>105.35714285714286</c:v>
                </c:pt>
                <c:pt idx="3">
                  <c:v>91.071428571428569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82720"/>
        <c:axId val="141584256"/>
      </c:lineChart>
      <c:catAx>
        <c:axId val="14158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1584256"/>
        <c:crosses val="autoZero"/>
        <c:auto val="1"/>
        <c:lblAlgn val="ctr"/>
        <c:lblOffset val="100"/>
        <c:noMultiLvlLbl val="0"/>
      </c:catAx>
      <c:valAx>
        <c:axId val="141584256"/>
        <c:scaling>
          <c:orientation val="minMax"/>
          <c:max val="14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158272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1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LinesCo!$B$98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LinesCo!$C$97:$F$97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LinesCo!$C$98:$F$98</c:f>
              <c:numCache>
                <c:formatCode>General</c:formatCode>
                <c:ptCount val="4"/>
                <c:pt idx="0">
                  <c:v>22942</c:v>
                </c:pt>
                <c:pt idx="1">
                  <c:v>23897</c:v>
                </c:pt>
                <c:pt idx="2">
                  <c:v>24083</c:v>
                </c:pt>
                <c:pt idx="3">
                  <c:v>24207</c:v>
                </c:pt>
              </c:numCache>
            </c:numRef>
          </c:val>
        </c:ser>
        <c:ser>
          <c:idx val="1"/>
          <c:order val="1"/>
          <c:tx>
            <c:strRef>
              <c:f>LinesCo!$B$99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LinesCo!$C$97:$F$97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LinesCo!$C$99:$F$99</c:f>
              <c:numCache>
                <c:formatCode>General</c:formatCode>
                <c:ptCount val="4"/>
                <c:pt idx="0">
                  <c:v>225</c:v>
                </c:pt>
                <c:pt idx="1">
                  <c:v>226</c:v>
                </c:pt>
                <c:pt idx="2">
                  <c:v>288</c:v>
                </c:pt>
                <c:pt idx="3">
                  <c:v>211</c:v>
                </c:pt>
              </c:numCache>
            </c:numRef>
          </c:val>
        </c:ser>
        <c:ser>
          <c:idx val="2"/>
          <c:order val="2"/>
          <c:tx>
            <c:strRef>
              <c:f>LinesCo!$B$100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LinesCo!$C$97:$F$97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LinesCo!$C$100:$F$100</c:f>
              <c:numCache>
                <c:formatCode>General</c:formatCode>
                <c:ptCount val="4"/>
                <c:pt idx="0">
                  <c:v>56</c:v>
                </c:pt>
                <c:pt idx="1">
                  <c:v>57</c:v>
                </c:pt>
                <c:pt idx="2">
                  <c:v>59</c:v>
                </c:pt>
                <c:pt idx="3">
                  <c:v>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1656064"/>
        <c:axId val="141657600"/>
      </c:barChart>
      <c:catAx>
        <c:axId val="14165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1657600"/>
        <c:crosses val="autoZero"/>
        <c:auto val="1"/>
        <c:lblAlgn val="ctr"/>
        <c:lblOffset val="100"/>
        <c:noMultiLvlLbl val="0"/>
      </c:catAx>
      <c:valAx>
        <c:axId val="14165760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1656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3.5277777777779476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LinesCo!$B$209</c:f>
              <c:strCache>
                <c:ptCount val="1"/>
                <c:pt idx="0">
                  <c:v>The Lines Company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LinesCo!$C$204:$F$204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LinesCo!$C$209:$F$209</c:f>
              <c:numCache>
                <c:formatCode>_(* #,##0.00_);_(* \(#,##0.00\);_(* "-"??_);_(@_)</c:formatCode>
                <c:ptCount val="4"/>
                <c:pt idx="0">
                  <c:v>38529.660961205351</c:v>
                </c:pt>
                <c:pt idx="1">
                  <c:v>23882.387070357563</c:v>
                </c:pt>
                <c:pt idx="2">
                  <c:v>23698.569711912314</c:v>
                </c:pt>
                <c:pt idx="3">
                  <c:v>29270.903010033438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LinesCo!$B$210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6.7246510251394824E-3"/>
                  <c:y val="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LinesCo!$C$204:$F$204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22976"/>
        <c:axId val="141828864"/>
      </c:lineChart>
      <c:catAx>
        <c:axId val="14182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1828864"/>
        <c:crosses val="autoZero"/>
        <c:auto val="1"/>
        <c:lblAlgn val="ctr"/>
        <c:lblOffset val="100"/>
        <c:noMultiLvlLbl val="0"/>
      </c:catAx>
      <c:valAx>
        <c:axId val="141828864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1822976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3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LinesCo!$C$204:$F$204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LinesCo!$C$212:$F$212</c:f>
              <c:numCache>
                <c:formatCode>_(* #,##0.00_);_(* \(#,##0.00\);_(* "-"??_);_(@_)</c:formatCode>
                <c:ptCount val="4"/>
                <c:pt idx="0">
                  <c:v>8.3044373505647903E-2</c:v>
                </c:pt>
                <c:pt idx="1">
                  <c:v>4.9198031321630351E-2</c:v>
                </c:pt>
                <c:pt idx="2">
                  <c:v>5.0009844348680187E-2</c:v>
                </c:pt>
                <c:pt idx="3">
                  <c:v>5.7652530203022273E-2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444588449208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LinesCo!$C$204:$F$204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63936"/>
        <c:axId val="141886208"/>
      </c:lineChart>
      <c:catAx>
        <c:axId val="14186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1886208"/>
        <c:crosses val="autoZero"/>
        <c:auto val="1"/>
        <c:lblAlgn val="ctr"/>
        <c:lblOffset val="100"/>
        <c:noMultiLvlLbl val="0"/>
      </c:catAx>
      <c:valAx>
        <c:axId val="141886208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1863936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43"/>
          <c:w val="0.79809047321242665"/>
          <c:h val="0.72979551178440394"/>
        </c:manualLayout>
      </c:layout>
      <c:lineChart>
        <c:grouping val="standard"/>
        <c:varyColors val="0"/>
        <c:ser>
          <c:idx val="0"/>
          <c:order val="0"/>
          <c:tx>
            <c:strRef>
              <c:f>LinesCo!$B$206</c:f>
              <c:strCache>
                <c:ptCount val="1"/>
                <c:pt idx="0">
                  <c:v>The Lines Company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LinesCo!$C$204:$F$204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LinesCo!$C$206:$F$206</c:f>
              <c:numCache>
                <c:formatCode>_(* #,##0.00_);_(* \(#,##0.00\);_(* "-"??_);_(@_)</c:formatCode>
                <c:ptCount val="4"/>
                <c:pt idx="0">
                  <c:v>499.59673652154976</c:v>
                </c:pt>
                <c:pt idx="1">
                  <c:v>290.0741451857707</c:v>
                </c:pt>
                <c:pt idx="2">
                  <c:v>301.6269768939934</c:v>
                </c:pt>
                <c:pt idx="3">
                  <c:v>357.60398790553234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LinesCo!$B$207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LinesCo!$C$204:$F$204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30496"/>
        <c:axId val="141932032"/>
      </c:lineChart>
      <c:catAx>
        <c:axId val="1419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1932032"/>
        <c:crosses val="autoZero"/>
        <c:auto val="1"/>
        <c:lblAlgn val="ctr"/>
        <c:lblOffset val="100"/>
        <c:noMultiLvlLbl val="0"/>
      </c:catAx>
      <c:valAx>
        <c:axId val="141932032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1930496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386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LinesCo!$B$162</c:f>
              <c:strCache>
                <c:ptCount val="1"/>
                <c:pt idx="0">
                  <c:v>The Lines Company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LinesCo!$C$160:$F$160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LinesCo!$C$162:$F$162</c:f>
              <c:numCache>
                <c:formatCode>_(* #,##0.00_);_(* \(#,##0.00\);_(* "-"??_);_(@_)</c:formatCode>
                <c:ptCount val="4"/>
                <c:pt idx="0">
                  <c:v>256.76089573161715</c:v>
                </c:pt>
                <c:pt idx="1">
                  <c:v>283.24937615876013</c:v>
                </c:pt>
                <c:pt idx="2">
                  <c:v>286.40803211015225</c:v>
                </c:pt>
                <c:pt idx="3">
                  <c:v>292.03718640189589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LinesCo!$B$163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LinesCo!$C$160:$F$160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89920"/>
        <c:axId val="142295808"/>
      </c:lineChart>
      <c:catAx>
        <c:axId val="14228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2295808"/>
        <c:crosses val="autoZero"/>
        <c:auto val="1"/>
        <c:lblAlgn val="ctr"/>
        <c:lblOffset val="100"/>
        <c:noMultiLvlLbl val="0"/>
      </c:catAx>
      <c:valAx>
        <c:axId val="142295808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228992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LinesCo!$C$160:$F$160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LinesCo!$C$165:$F$165</c:f>
              <c:numCache>
                <c:formatCode>_(* #,##0.00_);_(* \(#,##0.00\);_(* "-"??_);_(@_)</c:formatCode>
                <c:ptCount val="4"/>
                <c:pt idx="0">
                  <c:v>1367.9121106739519</c:v>
                </c:pt>
                <c:pt idx="1">
                  <c:v>1550.9875186276943</c:v>
                </c:pt>
                <c:pt idx="2">
                  <c:v>1558.3469381664188</c:v>
                </c:pt>
                <c:pt idx="3">
                  <c:v>1429.1777844431115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2730151815203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LinesCo!$C$160:$F$160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354304"/>
        <c:axId val="142355840"/>
      </c:lineChart>
      <c:catAx>
        <c:axId val="14235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355840"/>
        <c:crosses val="autoZero"/>
        <c:auto val="1"/>
        <c:lblAlgn val="ctr"/>
        <c:lblOffset val="100"/>
        <c:noMultiLvlLbl val="0"/>
      </c:catAx>
      <c:valAx>
        <c:axId val="142355840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42354304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26327073267044"/>
          <c:y val="0.13550222222222241"/>
          <c:w val="0.7695508593816110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LinesCo!$B$168</c:f>
              <c:strCache>
                <c:ptCount val="1"/>
                <c:pt idx="0">
                  <c:v>The Lines Company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LinesCo!$C$160:$F$160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LinesCo!$C$168:$F$168</c:f>
              <c:numCache>
                <c:formatCode>_(* #,##0.00_);_(* \(#,##0.00\);_(* "-"??_);_(@_)</c:formatCode>
                <c:ptCount val="4"/>
                <c:pt idx="0">
                  <c:v>19.801791199666663</c:v>
                </c:pt>
                <c:pt idx="1">
                  <c:v>23.32049012685551</c:v>
                </c:pt>
                <c:pt idx="2">
                  <c:v>22.502830432834632</c:v>
                </c:pt>
                <c:pt idx="3">
                  <c:v>23.904073913043483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LinesCo!$B$169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LinesCo!$C$160:$F$160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374016"/>
        <c:axId val="142375552"/>
      </c:lineChart>
      <c:catAx>
        <c:axId val="14237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2375552"/>
        <c:crosses val="autoZero"/>
        <c:auto val="1"/>
        <c:lblAlgn val="ctr"/>
        <c:lblOffset val="100"/>
        <c:noMultiLvlLbl val="0"/>
      </c:catAx>
      <c:valAx>
        <c:axId val="142375552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2374016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835"/>
          <c:h val="0.7759916666666998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LinesCo!$B$178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LinesCo!$C$178:$D$178</c:f>
              <c:numCache>
                <c:formatCode>_-* #,##0_-;\-* #,##0_-;_-* "-"??_-;_-@_-</c:formatCode>
                <c:ptCount val="2"/>
                <c:pt idx="0">
                  <c:v>2611.2750936380044</c:v>
                </c:pt>
                <c:pt idx="1">
                  <c:v>2462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42051200"/>
        <c:axId val="142052736"/>
      </c:barChart>
      <c:lineChart>
        <c:grouping val="standard"/>
        <c:varyColors val="0"/>
        <c:ser>
          <c:idx val="1"/>
          <c:order val="0"/>
          <c:tx>
            <c:strRef>
              <c:f>LinesCo!$B$179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LinesCo!$C$177:$D$177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LinesCo!$C$179:$D$179</c:f>
              <c:numCache>
                <c:formatCode>_-* #,##0_-;\-* #,##0_-;_-* "-"??_-;_-@_-</c:formatCode>
                <c:ptCount val="2"/>
                <c:pt idx="0">
                  <c:v>3338.7235590525715</c:v>
                </c:pt>
                <c:pt idx="1">
                  <c:v>3432.7338546089231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LinesCo!$B$180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LinesCo!$C$177:$D$177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LinesCo!$C$180:$D$180</c:f>
              <c:numCache>
                <c:formatCode>_-* #,##0_-;\-* #,##0_-;_-* "-"??_-;_-@_-</c:formatCode>
                <c:ptCount val="2"/>
                <c:pt idx="1">
                  <c:v>3435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051200"/>
        <c:axId val="142052736"/>
      </c:lineChart>
      <c:catAx>
        <c:axId val="14205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2052736"/>
        <c:crosses val="autoZero"/>
        <c:auto val="1"/>
        <c:lblAlgn val="ctr"/>
        <c:lblOffset val="100"/>
        <c:noMultiLvlLbl val="0"/>
      </c:catAx>
      <c:valAx>
        <c:axId val="14205273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2051200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337"/>
          <c:y val="3.5277777777779504E-2"/>
          <c:w val="0.77172275936750689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11736111110656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Aurora!$B$26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Aurora!$C$25:$F$25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Aurora!$C$26:$F$26</c:f>
              <c:numCache>
                <c:formatCode>0</c:formatCode>
                <c:ptCount val="4"/>
                <c:pt idx="0">
                  <c:v>1732.6611365946935</c:v>
                </c:pt>
                <c:pt idx="1">
                  <c:v>1817.9998707428842</c:v>
                </c:pt>
                <c:pt idx="2">
                  <c:v>1736.4397242928671</c:v>
                </c:pt>
                <c:pt idx="3">
                  <c:v>1897.723890570493</c:v>
                </c:pt>
              </c:numCache>
            </c:numRef>
          </c:val>
        </c:ser>
        <c:ser>
          <c:idx val="1"/>
          <c:order val="1"/>
          <c:tx>
            <c:strRef>
              <c:f>Aurora!$B$27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29558243400447753"/>
                  <c:y val="-1.963191954313831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</a:t>
                    </a:r>
                    <a:r>
                      <a:rPr lang="en-US" sz="800"/>
                      <a:t>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Aurora!$C$27:$F$27</c:f>
              <c:numCache>
                <c:formatCode>0</c:formatCode>
                <c:ptCount val="4"/>
                <c:pt idx="0">
                  <c:v>597.03593214003695</c:v>
                </c:pt>
                <c:pt idx="1">
                  <c:v>616.6006515133372</c:v>
                </c:pt>
                <c:pt idx="2">
                  <c:v>596.92712544550272</c:v>
                </c:pt>
                <c:pt idx="3">
                  <c:v>669.03231656360367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368640"/>
        <c:axId val="110370176"/>
      </c:areaChart>
      <c:catAx>
        <c:axId val="11036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0370176"/>
        <c:crosses val="autoZero"/>
        <c:auto val="1"/>
        <c:lblAlgn val="ctr"/>
        <c:lblOffset val="100"/>
        <c:noMultiLvlLbl val="0"/>
      </c:catAx>
      <c:valAx>
        <c:axId val="110370176"/>
        <c:scaling>
          <c:orientation val="minMax"/>
          <c:max val="250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0368640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LinesCo!$V$177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629156125611219E-2"/>
                  <c:y val="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LinesCo!$W$177:$AC$177</c:f>
              <c:numCache>
                <c:formatCode>General</c:formatCode>
                <c:ptCount val="7"/>
                <c:pt idx="0">
                  <c:v>3338.7235590525715</c:v>
                </c:pt>
                <c:pt idx="1">
                  <c:v>3432.7338546089231</c:v>
                </c:pt>
                <c:pt idx="2">
                  <c:v>3543.5094715852438</c:v>
                </c:pt>
                <c:pt idx="3">
                  <c:v>3602.9966519421869</c:v>
                </c:pt>
                <c:pt idx="4">
                  <c:v>3696.3347794454471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LinesCo!$V$178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8.8386107752147711E-2"/>
                  <c:y val="-3.527777777777873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LinesCo!$W$178:$AC$178</c:f>
              <c:numCache>
                <c:formatCode>General</c:formatCode>
                <c:ptCount val="7"/>
                <c:pt idx="1">
                  <c:v>3435</c:v>
                </c:pt>
                <c:pt idx="2">
                  <c:v>3520</c:v>
                </c:pt>
                <c:pt idx="3">
                  <c:v>3609</c:v>
                </c:pt>
                <c:pt idx="4">
                  <c:v>3678</c:v>
                </c:pt>
                <c:pt idx="5">
                  <c:v>3769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LinesCo!$V$179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90331674135493E-5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LinesCo!$W$179:$AC$179</c:f>
              <c:numCache>
                <c:formatCode>General</c:formatCode>
                <c:ptCount val="7"/>
                <c:pt idx="2">
                  <c:v>3244.767679379444</c:v>
                </c:pt>
                <c:pt idx="3">
                  <c:v>3223.2597285067873</c:v>
                </c:pt>
                <c:pt idx="4">
                  <c:v>3198.8188752424044</c:v>
                </c:pt>
                <c:pt idx="5">
                  <c:v>3191.9754363283773</c:v>
                </c:pt>
                <c:pt idx="6">
                  <c:v>3181.221460892049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LinesCo!$V$176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0578019471976143"/>
                  <c:y val="6.023011608955898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LinesCo!$C$178:$I$178</c:f>
              <c:numCache>
                <c:formatCode>_-* #,##0_-;\-* #,##0_-;_-* "-"??_-;_-@_-</c:formatCode>
                <c:ptCount val="7"/>
                <c:pt idx="0">
                  <c:v>2611.2750936380044</c:v>
                </c:pt>
                <c:pt idx="1">
                  <c:v>2462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71520"/>
        <c:axId val="142189696"/>
      </c:lineChart>
      <c:catAx>
        <c:axId val="14217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2189696"/>
        <c:crosses val="autoZero"/>
        <c:auto val="1"/>
        <c:lblAlgn val="ctr"/>
        <c:lblOffset val="100"/>
        <c:noMultiLvlLbl val="0"/>
      </c:catAx>
      <c:valAx>
        <c:axId val="142189696"/>
        <c:scaling>
          <c:orientation val="minMax"/>
          <c:max val="4000"/>
          <c:min val="2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2171520"/>
        <c:crosses val="autoZero"/>
        <c:crossBetween val="midCat"/>
        <c:majorUnit val="4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7111"/>
          <c:h val="0.77578287037039095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LinesCo!$B$222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LinesCo!$C$222:$D$222</c:f>
              <c:numCache>
                <c:formatCode>_-* #,##0_-;\-* #,##0_-;_-* "-"??_-;_-@_-</c:formatCode>
                <c:ptCount val="2"/>
                <c:pt idx="0">
                  <c:v>7079.8870954703443</c:v>
                </c:pt>
                <c:pt idx="1">
                  <c:v>8402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42441856"/>
        <c:axId val="142455936"/>
      </c:barChart>
      <c:lineChart>
        <c:grouping val="standard"/>
        <c:varyColors val="0"/>
        <c:ser>
          <c:idx val="1"/>
          <c:order val="0"/>
          <c:tx>
            <c:strRef>
              <c:f>LinesCo!$B$223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LinesCo!$C$221:$D$221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LinesCo!$C$223:$D$223</c:f>
              <c:numCache>
                <c:formatCode>_-* #,##0_-;\-* #,##0_-;_-* "-"??_-;_-@_-</c:formatCode>
                <c:ptCount val="2"/>
                <c:pt idx="0">
                  <c:v>7917.4726462024728</c:v>
                </c:pt>
                <c:pt idx="1">
                  <c:v>11381.405445064067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LinesCo!$B$224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LinesCo!$C$221:$D$221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LinesCo!$C$224:$D$224</c:f>
              <c:numCache>
                <c:formatCode>_-* #,##0_-;\-* #,##0_-;_-* "-"??_-;_-@_-</c:formatCode>
                <c:ptCount val="2"/>
                <c:pt idx="1">
                  <c:v>8204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41856"/>
        <c:axId val="142455936"/>
      </c:lineChart>
      <c:catAx>
        <c:axId val="14244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455936"/>
        <c:crosses val="autoZero"/>
        <c:auto val="1"/>
        <c:lblAlgn val="ctr"/>
        <c:lblOffset val="100"/>
        <c:noMultiLvlLbl val="0"/>
      </c:catAx>
      <c:valAx>
        <c:axId val="14245593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2441856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777E-3"/>
          <c:w val="0.9031628472222048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LinesCo!$V$221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3.0661488986306402E-2"/>
                  <c:y val="2.35180555555555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LinesCo!$W$221:$AC$221</c:f>
              <c:numCache>
                <c:formatCode>General</c:formatCode>
                <c:ptCount val="7"/>
                <c:pt idx="0">
                  <c:v>7917.4726462024728</c:v>
                </c:pt>
                <c:pt idx="1">
                  <c:v>11381.405445064067</c:v>
                </c:pt>
                <c:pt idx="2">
                  <c:v>11889.348012734636</c:v>
                </c:pt>
                <c:pt idx="3">
                  <c:v>13113.319803228889</c:v>
                </c:pt>
                <c:pt idx="4">
                  <c:v>14362.522432701891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LinesCo!$V$222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45500152243823361"/>
                  <c:y val="4.11574074074074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LinesCo!$W$222:$AC$222</c:f>
              <c:numCache>
                <c:formatCode>General</c:formatCode>
                <c:ptCount val="7"/>
                <c:pt idx="1">
                  <c:v>8204</c:v>
                </c:pt>
                <c:pt idx="2">
                  <c:v>7710</c:v>
                </c:pt>
                <c:pt idx="3">
                  <c:v>8061</c:v>
                </c:pt>
                <c:pt idx="4">
                  <c:v>8498</c:v>
                </c:pt>
                <c:pt idx="5">
                  <c:v>7789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LinesCo!$V$223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3256335498115553E-2"/>
                  <c:y val="0.1940273148148148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LinesCo!$W$223:$AC$223</c:f>
              <c:numCache>
                <c:formatCode>General</c:formatCode>
                <c:ptCount val="7"/>
                <c:pt idx="2">
                  <c:v>10578.978926955397</c:v>
                </c:pt>
                <c:pt idx="3">
                  <c:v>9968.9352294764049</c:v>
                </c:pt>
                <c:pt idx="4">
                  <c:v>8064.5039431157074</c:v>
                </c:pt>
                <c:pt idx="5">
                  <c:v>9054.847317388494</c:v>
                </c:pt>
                <c:pt idx="6">
                  <c:v>7550.2683904330961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LinesCo!$V$220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418352123975135E-3"/>
                  <c:y val="5.8796296296298421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LinesCo!$W$220:$AC$220</c:f>
              <c:numCache>
                <c:formatCode>General</c:formatCode>
                <c:ptCount val="7"/>
                <c:pt idx="0">
                  <c:v>7079.8870954703443</c:v>
                </c:pt>
                <c:pt idx="1">
                  <c:v>8402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83616"/>
        <c:axId val="142785152"/>
      </c:lineChart>
      <c:catAx>
        <c:axId val="14278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2785152"/>
        <c:crosses val="autoZero"/>
        <c:auto val="1"/>
        <c:lblAlgn val="ctr"/>
        <c:lblOffset val="100"/>
        <c:noMultiLvlLbl val="0"/>
      </c:catAx>
      <c:valAx>
        <c:axId val="142785152"/>
        <c:scaling>
          <c:orientation val="minMax"/>
          <c:max val="14500"/>
          <c:min val="6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2783616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2"/>
          <c:y val="6.4675925925925928E-2"/>
          <c:w val="0.79206254113289776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LinesCo!$B$237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5137638888888891"/>
                  <c:y val="-0.1104761208577000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Lines Company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LinesCo!$C$236:$F$236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LinesCo!$C$237:$F$237</c:f>
              <c:numCache>
                <c:formatCode>_(* #,##0.00_);_(* \(#,##0.00\);_(* "-"??_);_(@_)</c:formatCode>
                <c:ptCount val="4"/>
                <c:pt idx="0">
                  <c:v>3.68</c:v>
                </c:pt>
                <c:pt idx="1">
                  <c:v>4.26</c:v>
                </c:pt>
                <c:pt idx="2">
                  <c:v>2.63</c:v>
                </c:pt>
                <c:pt idx="3">
                  <c:v>3.47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LinesCo!$B$238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5484626057300752"/>
                  <c:y val="0.14699074074074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LinesCo!$C$238:$F$238</c:f>
              <c:numCache>
                <c:formatCode>_(* #,##0.00_);_(* \(#,##0.00\);_(* "-"??_);_(@_)</c:formatCode>
                <c:ptCount val="4"/>
                <c:pt idx="0">
                  <c:v>6.27</c:v>
                </c:pt>
                <c:pt idx="1">
                  <c:v>6.27</c:v>
                </c:pt>
                <c:pt idx="2">
                  <c:v>6.27</c:v>
                </c:pt>
                <c:pt idx="3">
                  <c:v>4.1769999999999996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LinesCo!$B$239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5627816357534E-3"/>
                  <c:y val="2.939768518518518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LinesCo!$C$236:$F$236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96512"/>
        <c:axId val="142498048"/>
      </c:lineChart>
      <c:catAx>
        <c:axId val="1424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2498048"/>
        <c:crosses val="autoZero"/>
        <c:auto val="1"/>
        <c:lblAlgn val="ctr"/>
        <c:lblOffset val="100"/>
        <c:noMultiLvlLbl val="0"/>
      </c:catAx>
      <c:valAx>
        <c:axId val="142498048"/>
        <c:scaling>
          <c:orientation val="minMax"/>
          <c:max val="7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249651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23"/>
          <c:y val="6.4675925925925928E-2"/>
          <c:w val="0.79206254113289776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LinesCo!$B$230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4696666666666667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Lines Company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LinesCo!$C$229:$F$229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LinesCo!$C$230:$F$230</c:f>
              <c:numCache>
                <c:formatCode>_(* #,##0.00_);_(* \(#,##0.00\);_(* "-"??_);_(@_)</c:formatCode>
                <c:ptCount val="4"/>
                <c:pt idx="0">
                  <c:v>267.11</c:v>
                </c:pt>
                <c:pt idx="1">
                  <c:v>285.14</c:v>
                </c:pt>
                <c:pt idx="2">
                  <c:v>293.26</c:v>
                </c:pt>
                <c:pt idx="3">
                  <c:v>292.43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LinesCo!$B$231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5484626057300752"/>
                  <c:y val="0.1881481481481505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LinesCo!$C$229:$F$229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LinesCo!$C$231:$F$231</c:f>
              <c:numCache>
                <c:formatCode>_(* #,##0.00_);_(* \(#,##0.00\);_(* "-"??_);_(@_)</c:formatCode>
                <c:ptCount val="4"/>
                <c:pt idx="0">
                  <c:v>527.30999999999995</c:v>
                </c:pt>
                <c:pt idx="1">
                  <c:v>527.30999999999995</c:v>
                </c:pt>
                <c:pt idx="2">
                  <c:v>527.30999999999995</c:v>
                </c:pt>
                <c:pt idx="3">
                  <c:v>307.673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LinesCo!$B$232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5627816357534E-3"/>
                  <c:y val="4.115694444444445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LinesCo!$C$229:$F$229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LinesCo!$C$232:$F$232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35392"/>
        <c:axId val="142636928"/>
      </c:lineChart>
      <c:catAx>
        <c:axId val="14263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2636928"/>
        <c:crosses val="autoZero"/>
        <c:auto val="1"/>
        <c:lblAlgn val="ctr"/>
        <c:lblOffset val="100"/>
        <c:noMultiLvlLbl val="0"/>
      </c:catAx>
      <c:valAx>
        <c:axId val="142636928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2635392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Mainpower!$B$26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5863858556"/>
                  <c:y val="-0.348246241255362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Mainpower!$C$26:$F$26</c:f>
              <c:numCache>
                <c:formatCode>0</c:formatCode>
                <c:ptCount val="4"/>
                <c:pt idx="0">
                  <c:v>1697.1429956374213</c:v>
                </c:pt>
                <c:pt idx="1">
                  <c:v>1729.0503397625089</c:v>
                </c:pt>
                <c:pt idx="2">
                  <c:v>1739.3557705262585</c:v>
                </c:pt>
                <c:pt idx="3">
                  <c:v>1851.3975822012208</c:v>
                </c:pt>
              </c:numCache>
            </c:numRef>
          </c:val>
        </c:ser>
        <c:ser>
          <c:idx val="1"/>
          <c:order val="1"/>
          <c:tx>
            <c:strRef>
              <c:f>Mainpower!$B$27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2203511579704786"/>
                  <c:y val="-5.48990590319340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Mainpower!$C$27:$F$27</c:f>
              <c:numCache>
                <c:formatCode>0</c:formatCode>
                <c:ptCount val="4"/>
                <c:pt idx="0">
                  <c:v>533.01200422001079</c:v>
                </c:pt>
                <c:pt idx="1">
                  <c:v>551.26029655509376</c:v>
                </c:pt>
                <c:pt idx="2">
                  <c:v>541.03534878823098</c:v>
                </c:pt>
                <c:pt idx="3">
                  <c:v>564.00000000000011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477568"/>
        <c:axId val="140479104"/>
      </c:areaChart>
      <c:catAx>
        <c:axId val="14047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0479104"/>
        <c:crosses val="autoZero"/>
        <c:auto val="1"/>
        <c:lblAlgn val="ctr"/>
        <c:lblOffset val="100"/>
        <c:noMultiLvlLbl val="0"/>
      </c:catAx>
      <c:valAx>
        <c:axId val="140479104"/>
        <c:scaling>
          <c:orientation val="minMax"/>
          <c:max val="2500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0477568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3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Mainpower!$B$28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Mainpower!$C$25:$F$25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Mainpower!$C$28:$F$28</c:f>
              <c:numCache>
                <c:formatCode>0</c:formatCode>
                <c:ptCount val="4"/>
                <c:pt idx="0">
                  <c:v>344.12910952068654</c:v>
                </c:pt>
                <c:pt idx="1">
                  <c:v>374.45681595800693</c:v>
                </c:pt>
                <c:pt idx="2">
                  <c:v>367.65119211454322</c:v>
                </c:pt>
                <c:pt idx="3">
                  <c:v>379.61968103957474</c:v>
                </c:pt>
              </c:numCache>
            </c:numRef>
          </c:val>
        </c:ser>
        <c:ser>
          <c:idx val="1"/>
          <c:order val="1"/>
          <c:tx>
            <c:strRef>
              <c:f>Mainpower!$B$29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Mainpower!$C$25:$F$25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Mainpower!$C$29:$F$29</c:f>
              <c:numCache>
                <c:formatCode>0</c:formatCode>
                <c:ptCount val="4"/>
                <c:pt idx="0">
                  <c:v>188.8828946993242</c:v>
                </c:pt>
                <c:pt idx="1">
                  <c:v>176.80348059708697</c:v>
                </c:pt>
                <c:pt idx="2">
                  <c:v>173.38415667368773</c:v>
                </c:pt>
                <c:pt idx="3">
                  <c:v>184.38031896042529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00352"/>
        <c:axId val="140534912"/>
      </c:barChart>
      <c:catAx>
        <c:axId val="14050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0534912"/>
        <c:crosses val="autoZero"/>
        <c:auto val="1"/>
        <c:lblAlgn val="ctr"/>
        <c:lblOffset val="100"/>
        <c:noMultiLvlLbl val="0"/>
      </c:catAx>
      <c:valAx>
        <c:axId val="140534912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0500352"/>
        <c:crosses val="autoZero"/>
        <c:crossBetween val="between"/>
        <c:majorUnit val="100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284"/>
          <c:w val="0.8974562499999843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Mainpower!$B$40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Mainpower!$C$39:$F$39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Mainpower!$C$40:$F$40</c:f>
              <c:numCache>
                <c:formatCode>0</c:formatCode>
                <c:ptCount val="4"/>
                <c:pt idx="0">
                  <c:v>33642.070371532034</c:v>
                </c:pt>
                <c:pt idx="1">
                  <c:v>35636.748987576349</c:v>
                </c:pt>
                <c:pt idx="2">
                  <c:v>35858.930236318069</c:v>
                </c:pt>
                <c:pt idx="3">
                  <c:v>39081</c:v>
                </c:pt>
              </c:numCache>
            </c:numRef>
          </c:val>
        </c:ser>
        <c:ser>
          <c:idx val="1"/>
          <c:order val="1"/>
          <c:tx>
            <c:strRef>
              <c:f>Mainpower!$B$41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Mainpower!$C$39:$F$39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Mainpower!$C$41:$F$41</c:f>
              <c:numCache>
                <c:formatCode>0</c:formatCode>
                <c:ptCount val="4"/>
                <c:pt idx="0">
                  <c:v>5413.133643180975</c:v>
                </c:pt>
                <c:pt idx="1">
                  <c:v>5354.4918662914388</c:v>
                </c:pt>
                <c:pt idx="2">
                  <c:v>3780.8981164614261</c:v>
                </c:pt>
                <c:pt idx="3">
                  <c:v>3052</c:v>
                </c:pt>
              </c:numCache>
            </c:numRef>
          </c:val>
        </c:ser>
        <c:ser>
          <c:idx val="3"/>
          <c:order val="2"/>
          <c:tx>
            <c:strRef>
              <c:f>Mainpower!$B$42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Mainpower!$C$39:$F$39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Mainpower!$C$42:$F$42</c:f>
              <c:numCache>
                <c:formatCode>0</c:formatCode>
                <c:ptCount val="4"/>
                <c:pt idx="0">
                  <c:v>10.780987140372387</c:v>
                </c:pt>
                <c:pt idx="1">
                  <c:v>11.419040428306674</c:v>
                </c:pt>
                <c:pt idx="2">
                  <c:v>31.58389695777532</c:v>
                </c:pt>
                <c:pt idx="3">
                  <c:v>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574080"/>
        <c:axId val="140584064"/>
      </c:barChart>
      <c:catAx>
        <c:axId val="1405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0584064"/>
        <c:crosses val="autoZero"/>
        <c:auto val="1"/>
        <c:lblAlgn val="ctr"/>
        <c:lblOffset val="100"/>
        <c:noMultiLvlLbl val="0"/>
      </c:catAx>
      <c:valAx>
        <c:axId val="14058406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0574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976"/>
          <c:h val="0.21171296296296788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 orientation="portrait"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383E-2"/>
          <c:y val="9.9262962962965245E-2"/>
          <c:w val="0.80176112499523156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Mainpower!$B$46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890094157810693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Mainpower!$C$46:$F$46</c:f>
              <c:numCache>
                <c:formatCode>0.0</c:formatCode>
                <c:ptCount val="4"/>
                <c:pt idx="0">
                  <c:v>100</c:v>
                </c:pt>
                <c:pt idx="1">
                  <c:v>105.92911968263468</c:v>
                </c:pt>
                <c:pt idx="2">
                  <c:v>106.5895464824363</c:v>
                </c:pt>
                <c:pt idx="3">
                  <c:v>116.16704789093598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Mainpower!$B$47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Mainpower!$C$45:$F$45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Mainpower!$C$47:$F$47</c:f>
              <c:numCache>
                <c:formatCode>0.0</c:formatCode>
                <c:ptCount val="4"/>
                <c:pt idx="0">
                  <c:v>100</c:v>
                </c:pt>
                <c:pt idx="1">
                  <c:v>98.916675981879592</c:v>
                </c:pt>
                <c:pt idx="2">
                  <c:v>69.846753575432103</c:v>
                </c:pt>
                <c:pt idx="3">
                  <c:v>56.381390173964405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Mainpower!$B$48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773272301718524E-3"/>
                  <c:y val="-5.932584475891583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Mainpower!$C$48:$F$48</c:f>
              <c:numCache>
                <c:formatCode>0.0</c:formatCode>
                <c:ptCount val="4"/>
                <c:pt idx="0">
                  <c:v>100</c:v>
                </c:pt>
                <c:pt idx="1">
                  <c:v>105.91831971995329</c:v>
                </c:pt>
                <c:pt idx="2">
                  <c:v>292.95923041685751</c:v>
                </c:pt>
                <c:pt idx="3">
                  <c:v>296.81883099709074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23232"/>
        <c:axId val="140637312"/>
      </c:lineChart>
      <c:catAx>
        <c:axId val="1406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0637312"/>
        <c:crossesAt val="0"/>
        <c:auto val="1"/>
        <c:lblAlgn val="ctr"/>
        <c:lblOffset val="100"/>
        <c:noMultiLvlLbl val="0"/>
      </c:catAx>
      <c:valAx>
        <c:axId val="140637312"/>
        <c:scaling>
          <c:orientation val="minMax"/>
          <c:max val="30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0623232"/>
        <c:crosses val="autoZero"/>
        <c:crossBetween val="midCat"/>
        <c:maj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 orientation="portrait"/>
  </c:printSettings>
  <c:userShapes r:id="rId1"/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761"/>
          <c:h val="0.702040277777789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Mainpower!$B$54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Mainpower!$C$53:$F$53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Mainpower!$C$54:$F$54</c:f>
              <c:numCache>
                <c:formatCode>0</c:formatCode>
                <c:ptCount val="4"/>
                <c:pt idx="0">
                  <c:v>17251.735622023894</c:v>
                </c:pt>
                <c:pt idx="1">
                  <c:v>17252.093898002604</c:v>
                </c:pt>
                <c:pt idx="2">
                  <c:v>18585.595106572171</c:v>
                </c:pt>
                <c:pt idx="3">
                  <c:v>19067</c:v>
                </c:pt>
              </c:numCache>
            </c:numRef>
          </c:val>
        </c:ser>
        <c:ser>
          <c:idx val="1"/>
          <c:order val="1"/>
          <c:tx>
            <c:strRef>
              <c:f>Mainpower!$B$55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Mainpower!$C$53:$F$53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Mainpower!$C$55:$F$55</c:f>
              <c:numCache>
                <c:formatCode>0</c:formatCode>
                <c:ptCount val="4"/>
                <c:pt idx="0">
                  <c:v>8190.3159305409026</c:v>
                </c:pt>
                <c:pt idx="1">
                  <c:v>9992.698469352732</c:v>
                </c:pt>
                <c:pt idx="2">
                  <c:v>8787.4552019616804</c:v>
                </c:pt>
                <c:pt idx="3">
                  <c:v>9938</c:v>
                </c:pt>
              </c:numCache>
            </c:numRef>
          </c:val>
        </c:ser>
        <c:ser>
          <c:idx val="2"/>
          <c:order val="2"/>
          <c:tx>
            <c:strRef>
              <c:f>Mainpower!$B$56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Mainpower!$C$53:$F$53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Mainpower!$C$56:$F$56</c:f>
              <c:numCache>
                <c:formatCode>0</c:formatCode>
                <c:ptCount val="4"/>
                <c:pt idx="0">
                  <c:v>6273.4564169826917</c:v>
                </c:pt>
                <c:pt idx="1">
                  <c:v>6606.4339350676073</c:v>
                </c:pt>
                <c:pt idx="2">
                  <c:v>6604.0909703322459</c:v>
                </c:pt>
                <c:pt idx="3">
                  <c:v>8156</c:v>
                </c:pt>
              </c:numCache>
            </c:numRef>
          </c:val>
        </c:ser>
        <c:ser>
          <c:idx val="3"/>
          <c:order val="3"/>
          <c:tx>
            <c:strRef>
              <c:f>Mainpower!$B$57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Mainpower!$C$53:$F$53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Mainpower!$C$57:$F$57</c:f>
              <c:numCache>
                <c:formatCode>0</c:formatCode>
                <c:ptCount val="4"/>
                <c:pt idx="0">
                  <c:v>1926.5624019845454</c:v>
                </c:pt>
                <c:pt idx="1">
                  <c:v>1785.5226851534073</c:v>
                </c:pt>
                <c:pt idx="2">
                  <c:v>1881.7889574519681</c:v>
                </c:pt>
                <c:pt idx="3">
                  <c:v>1920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23584"/>
        <c:axId val="143125120"/>
      </c:barChart>
      <c:catAx>
        <c:axId val="14312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3125120"/>
        <c:crosses val="autoZero"/>
        <c:auto val="1"/>
        <c:lblAlgn val="ctr"/>
        <c:lblOffset val="100"/>
        <c:noMultiLvlLbl val="0"/>
      </c:catAx>
      <c:valAx>
        <c:axId val="14312512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3123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47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2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Aurora!$B$28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Aurora!$C$25:$F$25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Aurora!$C$28:$F$28</c:f>
              <c:numCache>
                <c:formatCode>0</c:formatCode>
                <c:ptCount val="4"/>
                <c:pt idx="0">
                  <c:v>461.4813022627593</c:v>
                </c:pt>
                <c:pt idx="1">
                  <c:v>445.84831039517013</c:v>
                </c:pt>
                <c:pt idx="2">
                  <c:v>439.57242231638901</c:v>
                </c:pt>
                <c:pt idx="3">
                  <c:v>519.42955801186076</c:v>
                </c:pt>
              </c:numCache>
            </c:numRef>
          </c:val>
        </c:ser>
        <c:ser>
          <c:idx val="1"/>
          <c:order val="1"/>
          <c:tx>
            <c:strRef>
              <c:f>Aurora!$B$29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Aurora!$C$25:$F$25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Aurora!$C$29:$F$29</c:f>
              <c:numCache>
                <c:formatCode>0</c:formatCode>
                <c:ptCount val="4"/>
                <c:pt idx="0">
                  <c:v>135.5546298772777</c:v>
                </c:pt>
                <c:pt idx="1">
                  <c:v>170.75234111816701</c:v>
                </c:pt>
                <c:pt idx="2">
                  <c:v>157.35470312911369</c:v>
                </c:pt>
                <c:pt idx="3">
                  <c:v>149.60275855174282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0416640"/>
        <c:axId val="110418176"/>
      </c:barChart>
      <c:catAx>
        <c:axId val="11041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0418176"/>
        <c:crosses val="autoZero"/>
        <c:auto val="1"/>
        <c:lblAlgn val="ctr"/>
        <c:lblOffset val="100"/>
        <c:noMultiLvlLbl val="0"/>
      </c:catAx>
      <c:valAx>
        <c:axId val="110418176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041664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1422738982387166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Mainpower!$B$61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56787643764014E-6"/>
                  <c:y val="-2.351851851851848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Mainpower!$C$61:$F$61</c:f>
              <c:numCache>
                <c:formatCode>0.0</c:formatCode>
                <c:ptCount val="4"/>
                <c:pt idx="0">
                  <c:v>100</c:v>
                </c:pt>
                <c:pt idx="1">
                  <c:v>100.00207675324128</c:v>
                </c:pt>
                <c:pt idx="2">
                  <c:v>107.73174081595272</c:v>
                </c:pt>
                <c:pt idx="3">
                  <c:v>110.52221305581975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Mainpower!$B$62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28393821881842E-6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Mainpower!$C$62:$F$62</c:f>
              <c:numCache>
                <c:formatCode>0.0</c:formatCode>
                <c:ptCount val="4"/>
                <c:pt idx="0">
                  <c:v>100</c:v>
                </c:pt>
                <c:pt idx="1">
                  <c:v>122.00626391090627</c:v>
                </c:pt>
                <c:pt idx="2">
                  <c:v>107.29079655149935</c:v>
                </c:pt>
                <c:pt idx="3">
                  <c:v>121.33842069439777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Mainpower!$B$63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070984554706552E-6"/>
                  <c:y val="-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Mainpower!$C$63:$F$63</c:f>
              <c:numCache>
                <c:formatCode>0.0</c:formatCode>
                <c:ptCount val="4"/>
                <c:pt idx="0">
                  <c:v>100</c:v>
                </c:pt>
                <c:pt idx="1">
                  <c:v>105.30772027336512</c:v>
                </c:pt>
                <c:pt idx="2">
                  <c:v>105.2703730029032</c:v>
                </c:pt>
                <c:pt idx="3">
                  <c:v>130.0080762165037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Mainpower!$B$64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27777777777880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Mainpower!$C$64:$F$64</c:f>
              <c:numCache>
                <c:formatCode>0.0</c:formatCode>
                <c:ptCount val="4"/>
                <c:pt idx="0">
                  <c:v>100</c:v>
                </c:pt>
                <c:pt idx="1">
                  <c:v>92.679203295680765</c:v>
                </c:pt>
                <c:pt idx="2">
                  <c:v>97.675993028491774</c:v>
                </c:pt>
                <c:pt idx="3">
                  <c:v>99.659372466846364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43520"/>
        <c:axId val="143269888"/>
      </c:lineChart>
      <c:catAx>
        <c:axId val="1432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3269888"/>
        <c:crosses val="autoZero"/>
        <c:auto val="1"/>
        <c:lblAlgn val="ctr"/>
        <c:lblOffset val="100"/>
        <c:noMultiLvlLbl val="0"/>
      </c:catAx>
      <c:valAx>
        <c:axId val="143269888"/>
        <c:scaling>
          <c:orientation val="minMax"/>
          <c:max val="130.5"/>
          <c:min val="9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324352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1779817158932033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Mainpower!$B$84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161744022504391E-5"/>
                  <c:y val="-2.1733413030484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Mainpower!$C$84:$F$84</c:f>
              <c:numCache>
                <c:formatCode>0.00</c:formatCode>
                <c:ptCount val="4"/>
                <c:pt idx="0">
                  <c:v>7.9764639948696354</c:v>
                </c:pt>
                <c:pt idx="1">
                  <c:v>8.0661361108655676</c:v>
                </c:pt>
                <c:pt idx="2">
                  <c:v>7.9452443801848363</c:v>
                </c:pt>
                <c:pt idx="3">
                  <c:v>8.3324229009434987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Mainpower!$B$85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194092827005708E-5"/>
                  <c:y val="2.262602111974498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Mainpower!$C$85:$F$85</c:f>
              <c:numCache>
                <c:formatCode>0.00</c:formatCode>
                <c:ptCount val="4"/>
                <c:pt idx="0">
                  <c:v>7.8143667463729027</c:v>
                </c:pt>
                <c:pt idx="1">
                  <c:v>7.9647211660524562</c:v>
                </c:pt>
                <c:pt idx="2">
                  <c:v>7.9626085792383767</c:v>
                </c:pt>
                <c:pt idx="3">
                  <c:v>8.2457290309733402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Mainpower!$B$86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742616033757125E-5"/>
                  <c:y val="3.1241283124128988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Mainpower!$C$86:$F$86</c:f>
              <c:numCache>
                <c:formatCode>0.00</c:formatCode>
                <c:ptCount val="4"/>
                <c:pt idx="0">
                  <c:v>7.0983564160973662</c:v>
                </c:pt>
                <c:pt idx="1">
                  <c:v>7.2524853280942425</c:v>
                </c:pt>
                <c:pt idx="2">
                  <c:v>7.163254626474874</c:v>
                </c:pt>
                <c:pt idx="3">
                  <c:v>7.4406553907347597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Mainpower!$B$87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922644163150628E-5"/>
                  <c:y val="-4.15262004383343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Mainpower!$C$87:$F$87</c:f>
              <c:numCache>
                <c:formatCode>0.00</c:formatCode>
                <c:ptCount val="4"/>
                <c:pt idx="0">
                  <c:v>2.3344631477995632</c:v>
                </c:pt>
                <c:pt idx="1">
                  <c:v>2.2683961799873047</c:v>
                </c:pt>
                <c:pt idx="2">
                  <c:v>2.366256265186188</c:v>
                </c:pt>
                <c:pt idx="3">
                  <c:v>2.3693758175580624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05728"/>
        <c:axId val="143336192"/>
      </c:lineChart>
      <c:catAx>
        <c:axId val="1433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3336192"/>
        <c:crosses val="autoZero"/>
        <c:auto val="1"/>
        <c:lblAlgn val="ctr"/>
        <c:lblOffset val="100"/>
        <c:noMultiLvlLbl val="0"/>
      </c:catAx>
      <c:valAx>
        <c:axId val="14333619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33057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124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Mainpower!$B$90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1.042040247061167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Mainpower!$C$90:$F$90</c:f>
              <c:numCache>
                <c:formatCode>0.0</c:formatCode>
                <c:ptCount val="4"/>
                <c:pt idx="0">
                  <c:v>100</c:v>
                </c:pt>
                <c:pt idx="1">
                  <c:v>101.12420887317499</c:v>
                </c:pt>
                <c:pt idx="2">
                  <c:v>99.608603327177576</c:v>
                </c:pt>
                <c:pt idx="3">
                  <c:v>104.46261534312463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Mainpower!$B$91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6698344326919E-3"/>
                  <c:y val="-3.48316397688782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Mainpower!$C$91:$F$91</c:f>
              <c:numCache>
                <c:formatCode>0.0</c:formatCode>
                <c:ptCount val="4"/>
                <c:pt idx="0">
                  <c:v>100</c:v>
                </c:pt>
                <c:pt idx="1">
                  <c:v>101.92407682617841</c:v>
                </c:pt>
                <c:pt idx="2">
                  <c:v>101.89704217471341</c:v>
                </c:pt>
                <c:pt idx="3">
                  <c:v>105.52011824631418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Mainpower!$B$92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200616792511424E-3"/>
                  <c:y val="-1.577605100617656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Mainpower!$C$92:$F$92</c:f>
              <c:numCache>
                <c:formatCode>0.0</c:formatCode>
                <c:ptCount val="4"/>
                <c:pt idx="0">
                  <c:v>100</c:v>
                </c:pt>
                <c:pt idx="1">
                  <c:v>102.17133238966909</c:v>
                </c:pt>
                <c:pt idx="2">
                  <c:v>100.91427094630434</c:v>
                </c:pt>
                <c:pt idx="3">
                  <c:v>104.82222861986953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Mainpower!$B$93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2.798166965531021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Mainpower!$C$93:$F$93</c:f>
              <c:numCache>
                <c:formatCode>0.0</c:formatCode>
                <c:ptCount val="4"/>
                <c:pt idx="0">
                  <c:v>100</c:v>
                </c:pt>
                <c:pt idx="1">
                  <c:v>97.169928860323523</c:v>
                </c:pt>
                <c:pt idx="2">
                  <c:v>101.36190273196613</c:v>
                </c:pt>
                <c:pt idx="3">
                  <c:v>101.49553312895119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80480"/>
        <c:axId val="143382016"/>
      </c:lineChart>
      <c:catAx>
        <c:axId val="14338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3382016"/>
        <c:crosses val="autoZero"/>
        <c:auto val="1"/>
        <c:lblAlgn val="ctr"/>
        <c:lblOffset val="100"/>
        <c:noMultiLvlLbl val="0"/>
      </c:catAx>
      <c:valAx>
        <c:axId val="143382016"/>
        <c:scaling>
          <c:orientation val="minMax"/>
          <c:max val="11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33804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817127859017623"/>
          <c:y val="3.2653061224489806E-2"/>
        </c:manualLayout>
      </c:layout>
      <c:overlay val="0"/>
      <c:txPr>
        <a:bodyPr/>
        <a:lstStyle/>
        <a:p>
          <a:pPr>
            <a:defRPr sz="1050"/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Mainpower!$B$98</c:f>
              <c:strCache>
                <c:ptCount val="1"/>
                <c:pt idx="0">
                  <c:v>Small</c:v>
                </c:pt>
              </c:strCache>
            </c:strRef>
          </c:tx>
          <c:marker>
            <c:symbol val="none"/>
          </c:marker>
          <c:cat>
            <c:numRef>
              <c:f>Mainpower!$C$97:$F$97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Mainpower!$C$98:$F$98</c:f>
              <c:numCache>
                <c:formatCode>General</c:formatCode>
                <c:ptCount val="4"/>
                <c:pt idx="0">
                  <c:v>27600</c:v>
                </c:pt>
                <c:pt idx="1">
                  <c:v>27607</c:v>
                </c:pt>
                <c:pt idx="2">
                  <c:v>28009</c:v>
                </c:pt>
                <c:pt idx="3">
                  <c:v>28280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34880"/>
        <c:axId val="143436416"/>
      </c:lineChart>
      <c:catAx>
        <c:axId val="14343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3436416"/>
        <c:crosses val="autoZero"/>
        <c:auto val="1"/>
        <c:lblAlgn val="ctr"/>
        <c:lblOffset val="100"/>
        <c:noMultiLvlLbl val="0"/>
      </c:catAx>
      <c:valAx>
        <c:axId val="14343641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343488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/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Mainpower!$B$99</c:f>
              <c:strCache>
                <c:ptCount val="1"/>
                <c:pt idx="0">
                  <c:v>Medium</c:v>
                </c:pt>
              </c:strCache>
            </c:strRef>
          </c:tx>
          <c:marker>
            <c:symbol val="none"/>
          </c:marker>
          <c:cat>
            <c:numRef>
              <c:f>Mainpower!$C$97:$F$97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Mainpower!$C$99:$F$99</c:f>
              <c:numCache>
                <c:formatCode>General</c:formatCode>
                <c:ptCount val="4"/>
                <c:pt idx="0">
                  <c:v>4481</c:v>
                </c:pt>
                <c:pt idx="1">
                  <c:v>5110</c:v>
                </c:pt>
                <c:pt idx="2">
                  <c:v>5287</c:v>
                </c:pt>
                <c:pt idx="3">
                  <c:v>5409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44608"/>
        <c:axId val="143815040"/>
      </c:lineChart>
      <c:catAx>
        <c:axId val="14344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3815040"/>
        <c:crosses val="autoZero"/>
        <c:auto val="1"/>
        <c:lblAlgn val="ctr"/>
        <c:lblOffset val="100"/>
        <c:noMultiLvlLbl val="0"/>
      </c:catAx>
      <c:valAx>
        <c:axId val="14381504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34446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/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Mainpower!$B$100</c:f>
              <c:strCache>
                <c:ptCount val="1"/>
                <c:pt idx="0">
                  <c:v>Large</c:v>
                </c:pt>
              </c:strCache>
            </c:strRef>
          </c:tx>
          <c:marker>
            <c:symbol val="none"/>
          </c:marker>
          <c:cat>
            <c:numRef>
              <c:f>Mainpower!$C$97:$F$97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Mainpower!$C$100:$F$100</c:f>
              <c:numCache>
                <c:formatCode>General</c:formatCode>
                <c:ptCount val="4"/>
                <c:pt idx="0">
                  <c:v>459</c:v>
                </c:pt>
                <c:pt idx="1">
                  <c:v>526</c:v>
                </c:pt>
                <c:pt idx="2">
                  <c:v>492</c:v>
                </c:pt>
                <c:pt idx="3">
                  <c:v>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35520"/>
        <c:axId val="143837056"/>
      </c:lineChart>
      <c:catAx>
        <c:axId val="14383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3837056"/>
        <c:crosses val="autoZero"/>
        <c:auto val="1"/>
        <c:lblAlgn val="ctr"/>
        <c:lblOffset val="100"/>
        <c:noMultiLvlLbl val="0"/>
      </c:catAx>
      <c:valAx>
        <c:axId val="14383705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38355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834364860253561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Mainpower!$B$120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1.175833333333334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Mainpower!$C$120:$F$120</c:f>
              <c:numCache>
                <c:formatCode>0.0</c:formatCode>
                <c:ptCount val="4"/>
                <c:pt idx="0">
                  <c:v>100</c:v>
                </c:pt>
                <c:pt idx="1">
                  <c:v>98.890342745384515</c:v>
                </c:pt>
                <c:pt idx="2">
                  <c:v>108.15505610704494</c:v>
                </c:pt>
                <c:pt idx="3">
                  <c:v>105.80073329850241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Mainpower!$B$121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801338294663E-3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Mainpower!$C$121:$F$121</c:f>
              <c:numCache>
                <c:formatCode>0.0</c:formatCode>
                <c:ptCount val="4"/>
                <c:pt idx="0">
                  <c:v>100</c:v>
                </c:pt>
                <c:pt idx="1">
                  <c:v>119.70308459989887</c:v>
                </c:pt>
                <c:pt idx="2">
                  <c:v>105.29333753136598</c:v>
                </c:pt>
                <c:pt idx="3">
                  <c:v>114.99079295112153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Mainpower!$B$122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009866764143629E-5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Mainpower!$C$122:$F$122</c:f>
              <c:numCache>
                <c:formatCode>0.0</c:formatCode>
                <c:ptCount val="4"/>
                <c:pt idx="0">
                  <c:v>100</c:v>
                </c:pt>
                <c:pt idx="1">
                  <c:v>103.06973376028242</c:v>
                </c:pt>
                <c:pt idx="2">
                  <c:v>104.31663630500458</c:v>
                </c:pt>
                <c:pt idx="3">
                  <c:v>124.02720103191936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Mainpower!$B$123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2.939768518518518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800"/>
                      <a:t>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Mainpower!$C$123:$F$123</c:f>
              <c:numCache>
                <c:formatCode>0.0</c:formatCode>
                <c:ptCount val="4"/>
                <c:pt idx="0">
                  <c:v>100</c:v>
                </c:pt>
                <c:pt idx="1">
                  <c:v>95.378482193706304</c:v>
                </c:pt>
                <c:pt idx="2">
                  <c:v>96.363614332279141</c:v>
                </c:pt>
                <c:pt idx="3">
                  <c:v>98.190895100997238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66336"/>
        <c:axId val="143567872"/>
      </c:lineChart>
      <c:catAx>
        <c:axId val="14356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3567872"/>
        <c:crosses val="autoZero"/>
        <c:auto val="1"/>
        <c:lblAlgn val="ctr"/>
        <c:lblOffset val="100"/>
        <c:noMultiLvlLbl val="0"/>
      </c:catAx>
      <c:valAx>
        <c:axId val="143567872"/>
        <c:scaling>
          <c:orientation val="minMax"/>
          <c:max val="13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3566336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737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Mainpower!$B$113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Mainpower!$C$112:$F$112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Mainpower!$C$113:$F$113</c:f>
              <c:numCache>
                <c:formatCode>General</c:formatCode>
                <c:ptCount val="4"/>
                <c:pt idx="0">
                  <c:v>216283</c:v>
                </c:pt>
                <c:pt idx="1">
                  <c:v>213883</c:v>
                </c:pt>
                <c:pt idx="2">
                  <c:v>233921</c:v>
                </c:pt>
                <c:pt idx="3">
                  <c:v>228829</c:v>
                </c:pt>
              </c:numCache>
            </c:numRef>
          </c:val>
        </c:ser>
        <c:ser>
          <c:idx val="1"/>
          <c:order val="1"/>
          <c:tx>
            <c:strRef>
              <c:f>Mainpower!$B$114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Mainpower!$C$112:$F$112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Mainpower!$C$114:$F$114</c:f>
              <c:numCache>
                <c:formatCode>General</c:formatCode>
                <c:ptCount val="4"/>
                <c:pt idx="0">
                  <c:v>104811</c:v>
                </c:pt>
                <c:pt idx="1">
                  <c:v>125462</c:v>
                </c:pt>
                <c:pt idx="2">
                  <c:v>110359</c:v>
                </c:pt>
                <c:pt idx="3">
                  <c:v>120523</c:v>
                </c:pt>
              </c:numCache>
            </c:numRef>
          </c:val>
        </c:ser>
        <c:ser>
          <c:idx val="2"/>
          <c:order val="2"/>
          <c:tx>
            <c:strRef>
              <c:f>Mainpower!$B$115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Mainpower!$C$112:$F$112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Mainpower!$C$115:$F$115</c:f>
              <c:numCache>
                <c:formatCode>General</c:formatCode>
                <c:ptCount val="4"/>
                <c:pt idx="0">
                  <c:v>88379</c:v>
                </c:pt>
                <c:pt idx="1">
                  <c:v>91092</c:v>
                </c:pt>
                <c:pt idx="2">
                  <c:v>92194</c:v>
                </c:pt>
                <c:pt idx="3">
                  <c:v>109614</c:v>
                </c:pt>
              </c:numCache>
            </c:numRef>
          </c:val>
        </c:ser>
        <c:ser>
          <c:idx val="3"/>
          <c:order val="3"/>
          <c:tx>
            <c:strRef>
              <c:f>Mainpower!$B$116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Mainpower!$C$112:$F$112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Mainpower!$C$116:$F$116</c:f>
              <c:numCache>
                <c:formatCode>General</c:formatCode>
                <c:ptCount val="4"/>
                <c:pt idx="0">
                  <c:v>82527</c:v>
                </c:pt>
                <c:pt idx="1">
                  <c:v>78713</c:v>
                </c:pt>
                <c:pt idx="2">
                  <c:v>79526</c:v>
                </c:pt>
                <c:pt idx="3">
                  <c:v>81034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628544"/>
        <c:axId val="143642624"/>
      </c:barChart>
      <c:catAx>
        <c:axId val="14362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3642624"/>
        <c:crosses val="autoZero"/>
        <c:auto val="1"/>
        <c:lblAlgn val="ctr"/>
        <c:lblOffset val="100"/>
        <c:noMultiLvlLbl val="0"/>
      </c:catAx>
      <c:valAx>
        <c:axId val="14364262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3628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Mainpower!$U$138:$U$144</c:f>
              <c:strCache>
                <c:ptCount val="7"/>
                <c:pt idx="0">
                  <c:v>General management, admin and overheads</c:v>
                </c:pt>
                <c:pt idx="1">
                  <c:v>Routine and preventative maintenance</c:v>
                </c:pt>
                <c:pt idx="2">
                  <c:v>Fault and emergency maintenance</c:v>
                </c:pt>
                <c:pt idx="3">
                  <c:v>Refurbishment and renewal maintenance</c:v>
                </c:pt>
                <c:pt idx="4">
                  <c:v>System management and operations</c:v>
                </c:pt>
                <c:pt idx="5">
                  <c:v>Other</c:v>
                </c:pt>
                <c:pt idx="6">
                  <c:v>Pass-through costs</c:v>
                </c:pt>
              </c:strCache>
            </c:strRef>
          </c:cat>
          <c:val>
            <c:numRef>
              <c:f>Mainpower!$V$138:$V$144</c:f>
              <c:numCache>
                <c:formatCode>General</c:formatCode>
                <c:ptCount val="7"/>
                <c:pt idx="0">
                  <c:v>6645</c:v>
                </c:pt>
                <c:pt idx="1">
                  <c:v>2323</c:v>
                </c:pt>
                <c:pt idx="2">
                  <c:v>1070</c:v>
                </c:pt>
                <c:pt idx="3">
                  <c:v>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43667200"/>
        <c:axId val="143668736"/>
      </c:barChart>
      <c:catAx>
        <c:axId val="143667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3668736"/>
        <c:crosses val="autoZero"/>
        <c:auto val="1"/>
        <c:lblAlgn val="ctr"/>
        <c:lblOffset val="100"/>
        <c:noMultiLvlLbl val="0"/>
      </c:catAx>
      <c:valAx>
        <c:axId val="143668736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3667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Mainpower!$U$186:$U$191</c:f>
              <c:strCache>
                <c:ptCount val="6"/>
                <c:pt idx="0">
                  <c:v>System growth</c:v>
                </c:pt>
                <c:pt idx="1">
                  <c:v>Asset replacement and renewal</c:v>
                </c:pt>
                <c:pt idx="2">
                  <c:v>Customer connection</c:v>
                </c:pt>
                <c:pt idx="3">
                  <c:v>Reliability, safety and environment</c:v>
                </c:pt>
                <c:pt idx="4">
                  <c:v>Non-network capex</c:v>
                </c:pt>
                <c:pt idx="5">
                  <c:v>Asset relocations</c:v>
                </c:pt>
              </c:strCache>
            </c:strRef>
          </c:cat>
          <c:val>
            <c:numRef>
              <c:f>Mainpower!$V$186:$V$191</c:f>
              <c:numCache>
                <c:formatCode>General</c:formatCode>
                <c:ptCount val="6"/>
                <c:pt idx="0">
                  <c:v>3.2690000000000001</c:v>
                </c:pt>
                <c:pt idx="1">
                  <c:v>3.0979999999999999</c:v>
                </c:pt>
                <c:pt idx="2">
                  <c:v>2.6219999999999999</c:v>
                </c:pt>
                <c:pt idx="3">
                  <c:v>1.5309999999999999</c:v>
                </c:pt>
                <c:pt idx="4">
                  <c:v>1.5049999999999999</c:v>
                </c:pt>
                <c:pt idx="5">
                  <c:v>0.159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43688832"/>
        <c:axId val="143690368"/>
      </c:barChart>
      <c:catAx>
        <c:axId val="143688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3690368"/>
        <c:crosses val="autoZero"/>
        <c:auto val="1"/>
        <c:lblAlgn val="ctr"/>
        <c:lblOffset val="100"/>
        <c:noMultiLvlLbl val="0"/>
      </c:catAx>
      <c:valAx>
        <c:axId val="143690368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36888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245"/>
          <c:w val="0.89745624999998508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Aurora!$B$40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Aurora!$C$39:$F$39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Aurora!$C$40:$F$40</c:f>
              <c:numCache>
                <c:formatCode>0</c:formatCode>
                <c:ptCount val="4"/>
                <c:pt idx="0">
                  <c:v>69747.596304639155</c:v>
                </c:pt>
                <c:pt idx="1">
                  <c:v>74596.438739789941</c:v>
                </c:pt>
                <c:pt idx="2">
                  <c:v>74325.060224731205</c:v>
                </c:pt>
                <c:pt idx="3">
                  <c:v>72117</c:v>
                </c:pt>
              </c:numCache>
            </c:numRef>
          </c:val>
        </c:ser>
        <c:ser>
          <c:idx val="1"/>
          <c:order val="1"/>
          <c:tx>
            <c:strRef>
              <c:f>Aurora!$B$41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Aurora!$C$39:$F$39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Aurora!$C$41:$F$41</c:f>
              <c:numCache>
                <c:formatCode>0</c:formatCode>
                <c:ptCount val="4"/>
                <c:pt idx="0">
                  <c:v>7947.7437198825237</c:v>
                </c:pt>
                <c:pt idx="1">
                  <c:v>6228.5675063490953</c:v>
                </c:pt>
                <c:pt idx="2">
                  <c:v>4302.5418339575863</c:v>
                </c:pt>
                <c:pt idx="3">
                  <c:v>4620</c:v>
                </c:pt>
              </c:numCache>
            </c:numRef>
          </c:val>
        </c:ser>
        <c:ser>
          <c:idx val="3"/>
          <c:order val="2"/>
          <c:tx>
            <c:strRef>
              <c:f>Aurora!$B$42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Aurora!$C$39:$F$39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Aurora!$C$42:$F$42</c:f>
              <c:numCache>
                <c:formatCode>0</c:formatCode>
                <c:ptCount val="4"/>
                <c:pt idx="0">
                  <c:v>630.6877477117846</c:v>
                </c:pt>
                <c:pt idx="1">
                  <c:v>512.8187246894089</c:v>
                </c:pt>
                <c:pt idx="2">
                  <c:v>609.26356066934318</c:v>
                </c:pt>
                <c:pt idx="3">
                  <c:v>698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469888"/>
        <c:axId val="110471424"/>
      </c:barChart>
      <c:catAx>
        <c:axId val="11046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0471424"/>
        <c:crosses val="autoZero"/>
        <c:auto val="1"/>
        <c:lblAlgn val="ctr"/>
        <c:lblOffset val="100"/>
        <c:noMultiLvlLbl val="0"/>
      </c:catAx>
      <c:valAx>
        <c:axId val="11047142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0469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4042"/>
          <c:h val="0.21171296296296757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 orientation="portrait"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68744841764"/>
          <c:h val="0.82404629629630866"/>
        </c:manualLayout>
      </c:layout>
      <c:lineChart>
        <c:grouping val="standard"/>
        <c:varyColors val="0"/>
        <c:ser>
          <c:idx val="0"/>
          <c:order val="0"/>
          <c:tx>
            <c:strRef>
              <c:f>Mainpower!$B$76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1427053824362688"/>
                  <c:y val="1.175925925925926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Mainpower!$C$76:$F$76</c:f>
              <c:numCache>
                <c:formatCode>0.0</c:formatCode>
                <c:ptCount val="4"/>
                <c:pt idx="0">
                  <c:v>100</c:v>
                </c:pt>
                <c:pt idx="1">
                  <c:v>99.976720338662645</c:v>
                </c:pt>
                <c:pt idx="2">
                  <c:v>106.15859354208628</c:v>
                </c:pt>
                <c:pt idx="3">
                  <c:v>107.86467752265294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Mainpower!$B$77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19033286118980169"/>
                  <c:y val="0.22930555555555557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Mainpower!$C$77:$F$77</c:f>
              <c:numCache>
                <c:formatCode>0.0</c:formatCode>
                <c:ptCount val="4"/>
                <c:pt idx="0">
                  <c:v>100</c:v>
                </c:pt>
                <c:pt idx="1">
                  <c:v>106.98827173870275</c:v>
                </c:pt>
                <c:pt idx="2">
                  <c:v>90.934378541189446</c:v>
                </c:pt>
                <c:pt idx="3">
                  <c:v>100.52088429129162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Mainpower!$B$78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6115439093485177"/>
                  <c:y val="0.14699027777778059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Mainpower!$C$78:$F$78</c:f>
              <c:numCache>
                <c:formatCode>0.0</c:formatCode>
                <c:ptCount val="4"/>
                <c:pt idx="0">
                  <c:v>100</c:v>
                </c:pt>
                <c:pt idx="1">
                  <c:v>91.89399924995169</c:v>
                </c:pt>
                <c:pt idx="2">
                  <c:v>98.209555301488948</c:v>
                </c:pt>
                <c:pt idx="3">
                  <c:v>107.909054219485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Mainpower!$B$79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2131728045325791"/>
                  <c:y val="6.467592592592592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Mainpower!$C$79:$F$79</c:f>
              <c:numCache>
                <c:formatCode>0.0</c:formatCode>
                <c:ptCount val="4"/>
                <c:pt idx="0">
                  <c:v>100</c:v>
                </c:pt>
                <c:pt idx="1">
                  <c:v>92.67920329568075</c:v>
                </c:pt>
                <c:pt idx="2">
                  <c:v>97.67599302849176</c:v>
                </c:pt>
                <c:pt idx="3">
                  <c:v>99.659372466846349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77024"/>
        <c:axId val="144178560"/>
      </c:lineChart>
      <c:catAx>
        <c:axId val="14417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4178560"/>
        <c:crosses val="autoZero"/>
        <c:auto val="1"/>
        <c:lblAlgn val="ctr"/>
        <c:lblOffset val="100"/>
        <c:noMultiLvlLbl val="0"/>
      </c:catAx>
      <c:valAx>
        <c:axId val="144178560"/>
        <c:scaling>
          <c:orientation val="minMax"/>
          <c:max val="12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417702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2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399"/>
          <c:y val="0.16445370370370369"/>
          <c:w val="0.70330041907982155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Mainpower!$B$70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Mainpower!$C$69:$F$69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Mainpower!$C$70:$F$70</c:f>
              <c:numCache>
                <c:formatCode>0</c:formatCode>
                <c:ptCount val="4"/>
                <c:pt idx="0">
                  <c:v>625.06288485593825</c:v>
                </c:pt>
                <c:pt idx="1">
                  <c:v>624.91737233319827</c:v>
                </c:pt>
                <c:pt idx="2">
                  <c:v>663.5579673166543</c:v>
                </c:pt>
                <c:pt idx="3">
                  <c:v>674.22206506364921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67264"/>
        <c:axId val="143877248"/>
      </c:lineChart>
      <c:catAx>
        <c:axId val="14386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3877248"/>
        <c:crosses val="autoZero"/>
        <c:auto val="1"/>
        <c:lblAlgn val="ctr"/>
        <c:lblOffset val="100"/>
        <c:noMultiLvlLbl val="0"/>
      </c:catAx>
      <c:valAx>
        <c:axId val="143877248"/>
        <c:scaling>
          <c:orientation val="minMax"/>
          <c:max val="800"/>
          <c:min val="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3867264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8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73"/>
          <c:y val="0.17621296296296743"/>
          <c:w val="0.73692152777777775"/>
          <c:h val="0.5728240740740963"/>
        </c:manualLayout>
      </c:layout>
      <c:lineChart>
        <c:grouping val="standard"/>
        <c:varyColors val="0"/>
        <c:ser>
          <c:idx val="1"/>
          <c:order val="0"/>
          <c:tx>
            <c:strRef>
              <c:f>Mainpower!$B$71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Mainpower!$C$69:$F$69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Mainpower!$C$71:$F$71</c:f>
              <c:numCache>
                <c:formatCode>0</c:formatCode>
                <c:ptCount val="4"/>
                <c:pt idx="0">
                  <c:v>1827.7875319216475</c:v>
                </c:pt>
                <c:pt idx="1">
                  <c:v>1955.5182914584605</c:v>
                </c:pt>
                <c:pt idx="2">
                  <c:v>1662.0872332062947</c:v>
                </c:pt>
                <c:pt idx="3">
                  <c:v>1837.3081900536145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10016"/>
        <c:axId val="143911552"/>
      </c:lineChart>
      <c:catAx>
        <c:axId val="14391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3911552"/>
        <c:crosses val="autoZero"/>
        <c:auto val="1"/>
        <c:lblAlgn val="ctr"/>
        <c:lblOffset val="100"/>
        <c:noMultiLvlLbl val="0"/>
      </c:catAx>
      <c:valAx>
        <c:axId val="143911552"/>
        <c:scaling>
          <c:orientation val="minMax"/>
          <c:max val="2400"/>
          <c:min val="12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3910016"/>
        <c:crosses val="autoZero"/>
        <c:crossBetween val="midCat"/>
        <c:majorUnit val="3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83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Mainpower!$B$72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Mainpower!$C$69:$F$69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Mainpower!$C$72:$F$72</c:f>
              <c:numCache>
                <c:formatCode>0</c:formatCode>
                <c:ptCount val="4"/>
                <c:pt idx="0">
                  <c:v>13667.661039177978</c:v>
                </c:pt>
                <c:pt idx="1">
                  <c:v>12559.760332828151</c:v>
                </c:pt>
                <c:pt idx="2">
                  <c:v>13422.949126691556</c:v>
                </c:pt>
                <c:pt idx="3">
                  <c:v>14748.64376130199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97568"/>
        <c:axId val="144019840"/>
      </c:lineChart>
      <c:catAx>
        <c:axId val="14399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4019840"/>
        <c:crosses val="autoZero"/>
        <c:auto val="1"/>
        <c:lblAlgn val="ctr"/>
        <c:lblOffset val="100"/>
        <c:noMultiLvlLbl val="0"/>
      </c:catAx>
      <c:valAx>
        <c:axId val="144019840"/>
        <c:scaling>
          <c:orientation val="minMax"/>
          <c:max val="20000"/>
          <c:min val="1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3997568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Mainpower!$B$73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Mainpower!$C$69:$F$69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Mainpower!$C$73:$F$73</c:f>
              <c:numCache>
                <c:formatCode>0</c:formatCode>
                <c:ptCount val="4"/>
                <c:pt idx="0">
                  <c:v>385312.48039690912</c:v>
                </c:pt>
                <c:pt idx="1">
                  <c:v>357104.53703068144</c:v>
                </c:pt>
                <c:pt idx="2">
                  <c:v>376357.79149039363</c:v>
                </c:pt>
                <c:pt idx="3">
                  <c:v>384000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32512"/>
        <c:axId val="144034048"/>
      </c:lineChart>
      <c:catAx>
        <c:axId val="1440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4034048"/>
        <c:crosses val="autoZero"/>
        <c:auto val="1"/>
        <c:lblAlgn val="ctr"/>
        <c:lblOffset val="100"/>
        <c:noMultiLvlLbl val="0"/>
      </c:catAx>
      <c:valAx>
        <c:axId val="144034048"/>
        <c:scaling>
          <c:orientation val="minMax"/>
          <c:max val="500000"/>
          <c:min val="25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4032512"/>
        <c:crosses val="autoZero"/>
        <c:crossBetween val="midCat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81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Mainpower!$B$105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1631162507608E-4"/>
                  <c:y val="-2.351898148148147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Mainpower!$C$105:$F$105</c:f>
              <c:numCache>
                <c:formatCode>0.0</c:formatCode>
                <c:ptCount val="4"/>
                <c:pt idx="0">
                  <c:v>100</c:v>
                </c:pt>
                <c:pt idx="1">
                  <c:v>100.02536231884058</c:v>
                </c:pt>
                <c:pt idx="2">
                  <c:v>101.481884057971</c:v>
                </c:pt>
                <c:pt idx="3">
                  <c:v>102.46376811594202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Mainpower!$B$106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21649555587656474"/>
                  <c:y val="5.019195700163198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Mainpower!$C$106:$F$106</c:f>
              <c:numCache>
                <c:formatCode>0.0</c:formatCode>
                <c:ptCount val="4"/>
                <c:pt idx="0">
                  <c:v>100</c:v>
                </c:pt>
                <c:pt idx="1">
                  <c:v>114.03704530238785</c:v>
                </c:pt>
                <c:pt idx="2">
                  <c:v>117.98705646061147</c:v>
                </c:pt>
                <c:pt idx="3">
                  <c:v>120.70966302164696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Mainpower!$B$107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68794017911784E-5"/>
                  <c:y val="-4.115740740740739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Medium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Mainpower!$C$107:$F$107</c:f>
              <c:numCache>
                <c:formatCode>0.0</c:formatCode>
                <c:ptCount val="4"/>
                <c:pt idx="0">
                  <c:v>100</c:v>
                </c:pt>
                <c:pt idx="1">
                  <c:v>114.59694989106754</c:v>
                </c:pt>
                <c:pt idx="2">
                  <c:v>107.18954248366013</c:v>
                </c:pt>
                <c:pt idx="3">
                  <c:v>120.47930283224402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06240"/>
        <c:axId val="144107776"/>
      </c:lineChart>
      <c:catAx>
        <c:axId val="14410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4107776"/>
        <c:crosses val="autoZero"/>
        <c:auto val="1"/>
        <c:lblAlgn val="ctr"/>
        <c:lblOffset val="100"/>
        <c:noMultiLvlLbl val="0"/>
      </c:catAx>
      <c:valAx>
        <c:axId val="144107776"/>
        <c:scaling>
          <c:orientation val="minMax"/>
          <c:max val="125"/>
          <c:min val="9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4106240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4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Mainpower!$B$98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Mainpower!$C$97:$F$97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Mainpower!$C$98:$F$98</c:f>
              <c:numCache>
                <c:formatCode>General</c:formatCode>
                <c:ptCount val="4"/>
                <c:pt idx="0">
                  <c:v>27600</c:v>
                </c:pt>
                <c:pt idx="1">
                  <c:v>27607</c:v>
                </c:pt>
                <c:pt idx="2">
                  <c:v>28009</c:v>
                </c:pt>
                <c:pt idx="3">
                  <c:v>28280</c:v>
                </c:pt>
              </c:numCache>
            </c:numRef>
          </c:val>
        </c:ser>
        <c:ser>
          <c:idx val="1"/>
          <c:order val="1"/>
          <c:tx>
            <c:strRef>
              <c:f>Mainpower!$B$99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Mainpower!$C$97:$F$97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Mainpower!$C$99:$F$99</c:f>
              <c:numCache>
                <c:formatCode>General</c:formatCode>
                <c:ptCount val="4"/>
                <c:pt idx="0">
                  <c:v>4481</c:v>
                </c:pt>
                <c:pt idx="1">
                  <c:v>5110</c:v>
                </c:pt>
                <c:pt idx="2">
                  <c:v>5287</c:v>
                </c:pt>
                <c:pt idx="3">
                  <c:v>5409</c:v>
                </c:pt>
              </c:numCache>
            </c:numRef>
          </c:val>
        </c:ser>
        <c:ser>
          <c:idx val="2"/>
          <c:order val="2"/>
          <c:tx>
            <c:strRef>
              <c:f>Mainpower!$B$100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Mainpower!$C$97:$F$97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Mainpower!$C$100:$F$100</c:f>
              <c:numCache>
                <c:formatCode>General</c:formatCode>
                <c:ptCount val="4"/>
                <c:pt idx="0">
                  <c:v>459</c:v>
                </c:pt>
                <c:pt idx="1">
                  <c:v>526</c:v>
                </c:pt>
                <c:pt idx="2">
                  <c:v>492</c:v>
                </c:pt>
                <c:pt idx="3">
                  <c:v>553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204160"/>
        <c:axId val="144205696"/>
      </c:barChart>
      <c:catAx>
        <c:axId val="14420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4205696"/>
        <c:crosses val="autoZero"/>
        <c:auto val="1"/>
        <c:lblAlgn val="ctr"/>
        <c:lblOffset val="100"/>
        <c:noMultiLvlLbl val="0"/>
      </c:catAx>
      <c:valAx>
        <c:axId val="14420569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4204160"/>
        <c:crosses val="autoZero"/>
        <c:crossBetween val="between"/>
        <c:majorUnit val="5000"/>
      </c:valAx>
    </c:plotArea>
    <c:legend>
      <c:legendPos val="t"/>
      <c:layout>
        <c:manualLayout>
          <c:xMode val="edge"/>
          <c:yMode val="edge"/>
          <c:x val="0"/>
          <c:y val="3.5277777777779268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Mainpower!$B$209</c:f>
              <c:strCache>
                <c:ptCount val="1"/>
                <c:pt idx="0">
                  <c:v>Mainpower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Mainpower!$C$204:$F$204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Mainpower!$C$209:$F$209</c:f>
              <c:numCache>
                <c:formatCode>_(* #,##0.00_);_(* \(#,##0.00\);_(* "-"??_);_(@_)</c:formatCode>
                <c:ptCount val="4"/>
                <c:pt idx="0">
                  <c:v>31389.764387364725</c:v>
                </c:pt>
                <c:pt idx="1">
                  <c:v>31678.04292976722</c:v>
                </c:pt>
                <c:pt idx="2">
                  <c:v>26663.47490108764</c:v>
                </c:pt>
                <c:pt idx="3">
                  <c:v>22562.962962962967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Mainpower!$B$210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67918322220999683"/>
                  <c:y val="-6.376999507358656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Mainpower!$C$204:$F$204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39616"/>
        <c:axId val="144241408"/>
      </c:lineChart>
      <c:catAx>
        <c:axId val="1442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4241408"/>
        <c:crosses val="autoZero"/>
        <c:auto val="1"/>
        <c:lblAlgn val="ctr"/>
        <c:lblOffset val="100"/>
        <c:noMultiLvlLbl val="0"/>
      </c:catAx>
      <c:valAx>
        <c:axId val="144241408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4239616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21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Mainpower!$C$204:$F$204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Mainpower!$C$212:$F$212</c:f>
              <c:numCache>
                <c:formatCode>_(* #,##0.00_);_(* \(#,##0.00\);_(* "-"??_);_(@_)</c:formatCode>
                <c:ptCount val="4"/>
                <c:pt idx="0">
                  <c:v>8.9032650463780852E-2</c:v>
                </c:pt>
                <c:pt idx="1">
                  <c:v>8.90520947016325E-2</c:v>
                </c:pt>
                <c:pt idx="2">
                  <c:v>7.4579126912809088E-2</c:v>
                </c:pt>
                <c:pt idx="3">
                  <c:v>6.322923602798132E-2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67045983980925161"/>
                  <c:y val="2.8341662114987887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Mainpower!$C$204:$F$204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300672"/>
        <c:axId val="144376192"/>
      </c:lineChart>
      <c:catAx>
        <c:axId val="14430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4376192"/>
        <c:crosses val="autoZero"/>
        <c:auto val="1"/>
        <c:lblAlgn val="ctr"/>
        <c:lblOffset val="100"/>
        <c:noMultiLvlLbl val="0"/>
      </c:catAx>
      <c:valAx>
        <c:axId val="144376192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4300672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188"/>
          <c:w val="0.79809047321242665"/>
          <c:h val="0.72979551178440216"/>
        </c:manualLayout>
      </c:layout>
      <c:lineChart>
        <c:grouping val="standard"/>
        <c:varyColors val="0"/>
        <c:ser>
          <c:idx val="0"/>
          <c:order val="0"/>
          <c:tx>
            <c:strRef>
              <c:f>Mainpower!$B$206</c:f>
              <c:strCache>
                <c:ptCount val="1"/>
                <c:pt idx="0">
                  <c:v>Mainpower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Mainpower!$C$204:$F$204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Mainpower!$C$206:$F$206</c:f>
              <c:numCache>
                <c:formatCode>_(* #,##0.00_);_(* \(#,##0.00\);_(* "-"??_);_(@_)</c:formatCode>
                <c:ptCount val="4"/>
                <c:pt idx="0">
                  <c:v>474.53569146054519</c:v>
                </c:pt>
                <c:pt idx="1">
                  <c:v>485.10814357828986</c:v>
                </c:pt>
                <c:pt idx="2">
                  <c:v>407.13618349839385</c:v>
                </c:pt>
                <c:pt idx="3">
                  <c:v>355.76838847198297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Mainpower!$B$207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66573440199599065"/>
                  <c:y val="-4.95988850572340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Mainpower!$C$204:$F$204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24320"/>
        <c:axId val="144430208"/>
      </c:lineChart>
      <c:catAx>
        <c:axId val="14442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4430208"/>
        <c:crosses val="autoZero"/>
        <c:auto val="1"/>
        <c:lblAlgn val="ctr"/>
        <c:lblOffset val="100"/>
        <c:noMultiLvlLbl val="0"/>
      </c:catAx>
      <c:valAx>
        <c:axId val="144430208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4424320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133E-2"/>
          <c:y val="9.9262962962965245E-2"/>
          <c:w val="0.8447958333333635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Aurora!$B$46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2427297588341477"/>
                  <c:y val="-9.386551768441532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Aurora!$C$46:$F$46</c:f>
              <c:numCache>
                <c:formatCode>0.0</c:formatCode>
                <c:ptCount val="4"/>
                <c:pt idx="0">
                  <c:v>100</c:v>
                </c:pt>
                <c:pt idx="1">
                  <c:v>106.95198500314235</c:v>
                </c:pt>
                <c:pt idx="2">
                  <c:v>106.56289845473512</c:v>
                </c:pt>
                <c:pt idx="3">
                  <c:v>103.39711161516149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Aurora!$B$47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Aurora!$C$45:$F$45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Aurora!$C$47:$F$47</c:f>
              <c:numCache>
                <c:formatCode>0.0</c:formatCode>
                <c:ptCount val="4"/>
                <c:pt idx="0">
                  <c:v>100</c:v>
                </c:pt>
                <c:pt idx="1">
                  <c:v>78.369002900374852</c:v>
                </c:pt>
                <c:pt idx="2">
                  <c:v>54.13538716899118</c:v>
                </c:pt>
                <c:pt idx="3">
                  <c:v>58.129705270218359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Aurora!$B$48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56057436485715417"/>
                  <c:y val="0.2327354404126094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Aurora!$C$48:$F$48</c:f>
              <c:numCache>
                <c:formatCode>0.0</c:formatCode>
                <c:ptCount val="4"/>
                <c:pt idx="0">
                  <c:v>100</c:v>
                </c:pt>
                <c:pt idx="1">
                  <c:v>81.311033320368196</c:v>
                </c:pt>
                <c:pt idx="2">
                  <c:v>96.603043721687783</c:v>
                </c:pt>
                <c:pt idx="3">
                  <c:v>110.67283335254771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929280"/>
        <c:axId val="116930816"/>
      </c:lineChart>
      <c:catAx>
        <c:axId val="1169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6930816"/>
        <c:crossesAt val="0"/>
        <c:auto val="1"/>
        <c:lblAlgn val="ctr"/>
        <c:lblOffset val="100"/>
        <c:noMultiLvlLbl val="0"/>
      </c:catAx>
      <c:valAx>
        <c:axId val="116930816"/>
        <c:scaling>
          <c:orientation val="minMax"/>
          <c:max val="120"/>
          <c:min val="4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69292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 orientation="portrait"/>
  </c:printSettings>
  <c:userShapes r:id="rId1"/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531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Mainpower!$B$162</c:f>
              <c:strCache>
                <c:ptCount val="1"/>
                <c:pt idx="0">
                  <c:v>Mainpower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Mainpower!$C$160:$F$160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Mainpower!$C$162:$F$162</c:f>
              <c:numCache>
                <c:formatCode>_(* #,##0.00_);_(* \(#,##0.00\);_(* "-"??_);_(@_)</c:formatCode>
                <c:ptCount val="4"/>
                <c:pt idx="0">
                  <c:v>235.06494007707008</c:v>
                </c:pt>
                <c:pt idx="1">
                  <c:v>279.28765812626654</c:v>
                </c:pt>
                <c:pt idx="2">
                  <c:v>267.42431484232475</c:v>
                </c:pt>
                <c:pt idx="3">
                  <c:v>295.17913977866675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Mainpower!$B$163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Mainpower!$C$160:$F$160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26656"/>
        <c:axId val="144744832"/>
      </c:lineChart>
      <c:catAx>
        <c:axId val="14472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4744832"/>
        <c:crosses val="autoZero"/>
        <c:auto val="1"/>
        <c:lblAlgn val="ctr"/>
        <c:lblOffset val="100"/>
        <c:noMultiLvlLbl val="0"/>
      </c:catAx>
      <c:valAx>
        <c:axId val="144744832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4726656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4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362374746451368"/>
          <c:y val="0.14255777777777778"/>
          <c:w val="0.7224048891098371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Mainpower!$C$160:$F$160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Mainpower!$C$165:$F$165</c:f>
              <c:numCache>
                <c:formatCode>_(* #,##0.00_);_(* \(#,##0.00\);_(* "-"??_);_(@_)</c:formatCode>
                <c:ptCount val="4"/>
                <c:pt idx="0">
                  <c:v>1768.5401961501439</c:v>
                </c:pt>
                <c:pt idx="1">
                  <c:v>2108.9611758760188</c:v>
                </c:pt>
                <c:pt idx="2">
                  <c:v>2000.2368020067902</c:v>
                </c:pt>
                <c:pt idx="3">
                  <c:v>2205.7604189395593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815600867515448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Mainpower!$C$160:$F$160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47360"/>
        <c:axId val="144448896"/>
      </c:lineChart>
      <c:catAx>
        <c:axId val="14444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4448896"/>
        <c:crosses val="autoZero"/>
        <c:auto val="1"/>
        <c:lblAlgn val="ctr"/>
        <c:lblOffset val="100"/>
        <c:noMultiLvlLbl val="0"/>
      </c:catAx>
      <c:valAx>
        <c:axId val="144448896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44447360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987372386639924"/>
          <c:y val="0.13550222222222241"/>
          <c:w val="0.75615491270795188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Mainpower!$B$168</c:f>
              <c:strCache>
                <c:ptCount val="1"/>
                <c:pt idx="0">
                  <c:v>Mainpower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Mainpower!$C$160:$F$160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Mainpower!$C$168:$F$168</c:f>
              <c:numCache>
                <c:formatCode>_(* #,##0.00_);_(* \(#,##0.00\);_(* "-"??_);_(@_)</c:formatCode>
                <c:ptCount val="4"/>
                <c:pt idx="0">
                  <c:v>15.549163566683427</c:v>
                </c:pt>
                <c:pt idx="1">
                  <c:v>18.237761086874421</c:v>
                </c:pt>
                <c:pt idx="2">
                  <c:v>17.513701301292013</c:v>
                </c:pt>
                <c:pt idx="3">
                  <c:v>18.720370370370368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Mainpower!$B$169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1117006506365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Mainpower!$C$160:$F$160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95744"/>
        <c:axId val="144497280"/>
      </c:lineChart>
      <c:catAx>
        <c:axId val="14449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4497280"/>
        <c:crosses val="autoZero"/>
        <c:auto val="1"/>
        <c:lblAlgn val="ctr"/>
        <c:lblOffset val="100"/>
        <c:noMultiLvlLbl val="0"/>
      </c:catAx>
      <c:valAx>
        <c:axId val="144497280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4495744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691"/>
          <c:h val="0.7759916666666965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Mainpower!$B$178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Mainpower!$C$178:$D$178</c:f>
              <c:numCache>
                <c:formatCode>_-* #,##0_-;\-* #,##0_-;_-* "-"??_-;_-@_-</c:formatCode>
                <c:ptCount val="2"/>
                <c:pt idx="0">
                  <c:v>3735.0505241033652</c:v>
                </c:pt>
                <c:pt idx="1">
                  <c:v>3464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44611200"/>
        <c:axId val="144612736"/>
      </c:barChart>
      <c:lineChart>
        <c:grouping val="standard"/>
        <c:varyColors val="0"/>
        <c:ser>
          <c:idx val="1"/>
          <c:order val="0"/>
          <c:tx>
            <c:strRef>
              <c:f>Mainpower!$B$179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Mainpower!$C$177:$D$177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Mainpower!$C$179:$D$179</c:f>
              <c:numCache>
                <c:formatCode>_-* #,##0_-;\-* #,##0_-;_-* "-"??_-;_-@_-</c:formatCode>
                <c:ptCount val="2"/>
                <c:pt idx="0">
                  <c:v>3968.3638274366085</c:v>
                </c:pt>
                <c:pt idx="1">
                  <c:v>4085.5298967960975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Mainpower!$B$180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Mainpower!$C$177:$D$177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Mainpower!$C$180:$D$180</c:f>
              <c:numCache>
                <c:formatCode>_-* #,##0_-;\-* #,##0_-;_-* "-"??_-;_-@_-</c:formatCode>
                <c:ptCount val="2"/>
                <c:pt idx="1">
                  <c:v>3199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11200"/>
        <c:axId val="144612736"/>
      </c:lineChart>
      <c:catAx>
        <c:axId val="14461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4612736"/>
        <c:crosses val="autoZero"/>
        <c:auto val="1"/>
        <c:lblAlgn val="ctr"/>
        <c:lblOffset val="100"/>
        <c:noMultiLvlLbl val="0"/>
      </c:catAx>
      <c:valAx>
        <c:axId val="14461273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4611200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262"/>
          <c:y val="3.5277777777779303E-2"/>
          <c:w val="0.7717227593675053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Mainpower!$V$177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12791979166666897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Mainpower!$W$177:$AC$177</c:f>
              <c:numCache>
                <c:formatCode>General</c:formatCode>
                <c:ptCount val="7"/>
                <c:pt idx="0">
                  <c:v>3968.3638274366085</c:v>
                </c:pt>
                <c:pt idx="1">
                  <c:v>4085.5298967960975</c:v>
                </c:pt>
                <c:pt idx="2">
                  <c:v>4159.9048799547299</c:v>
                </c:pt>
                <c:pt idx="3">
                  <c:v>4236.3175338848314</c:v>
                </c:pt>
                <c:pt idx="4">
                  <c:v>4315.7866939721371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Mainpower!$V$178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60880124273431069"/>
                  <c:y val="0.1469908881102950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Mainpower!$W$178:$AC$178</c:f>
              <c:numCache>
                <c:formatCode>General</c:formatCode>
                <c:ptCount val="7"/>
                <c:pt idx="1">
                  <c:v>3199</c:v>
                </c:pt>
                <c:pt idx="2">
                  <c:v>3312</c:v>
                </c:pt>
                <c:pt idx="3">
                  <c:v>3374</c:v>
                </c:pt>
                <c:pt idx="4">
                  <c:v>3439</c:v>
                </c:pt>
                <c:pt idx="5">
                  <c:v>3510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Mainpower!$V$179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1.3256944444444438E-2"/>
                  <c:y val="-5.291666666666683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Mainpower!$W$179:$AC$179</c:f>
              <c:numCache>
                <c:formatCode>General</c:formatCode>
                <c:ptCount val="7"/>
                <c:pt idx="2">
                  <c:v>3309.291531997414</c:v>
                </c:pt>
                <c:pt idx="3">
                  <c:v>3361.1061409179056</c:v>
                </c:pt>
                <c:pt idx="4">
                  <c:v>3400.2115061409177</c:v>
                </c:pt>
                <c:pt idx="5">
                  <c:v>3430.5181641887525</c:v>
                </c:pt>
                <c:pt idx="6">
                  <c:v>3322.9784098254686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Mainpower!$V$176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0584981821225305"/>
                  <c:y val="6.68260113684392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Mainpower!$C$178:$I$178</c:f>
              <c:numCache>
                <c:formatCode>_-* #,##0_-;\-* #,##0_-;_-* "-"??_-;_-@_-</c:formatCode>
                <c:ptCount val="7"/>
                <c:pt idx="0">
                  <c:v>3735.0505241033652</c:v>
                </c:pt>
                <c:pt idx="1">
                  <c:v>3464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61504"/>
        <c:axId val="144839424"/>
      </c:lineChart>
      <c:catAx>
        <c:axId val="14466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4839424"/>
        <c:crosses val="autoZero"/>
        <c:auto val="1"/>
        <c:lblAlgn val="ctr"/>
        <c:lblOffset val="100"/>
        <c:noMultiLvlLbl val="0"/>
      </c:catAx>
      <c:valAx>
        <c:axId val="144839424"/>
        <c:scaling>
          <c:orientation val="minMax"/>
          <c:max val="5000"/>
          <c:min val="2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4661504"/>
        <c:crosses val="autoZero"/>
        <c:crossBetween val="midCat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6922"/>
          <c:h val="0.77578287037038896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Mainpower!$B$222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Mainpower!$C$222:$D$222</c:f>
              <c:numCache>
                <c:formatCode>_-* #,##0_-;\-* #,##0_-;_-* "-"??_-;_-@_-</c:formatCode>
                <c:ptCount val="2"/>
                <c:pt idx="0">
                  <c:v>13514.851391770631</c:v>
                </c:pt>
                <c:pt idx="1">
                  <c:v>10679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44870784"/>
        <c:axId val="144876672"/>
      </c:barChart>
      <c:lineChart>
        <c:grouping val="standard"/>
        <c:varyColors val="0"/>
        <c:ser>
          <c:idx val="1"/>
          <c:order val="0"/>
          <c:tx>
            <c:strRef>
              <c:f>Mainpower!$B$223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Mainpower!$C$221:$D$221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Mainpower!$C$223:$D$223</c:f>
              <c:numCache>
                <c:formatCode>_-* #,##0_-;\-* #,##0_-;_-* "-"??_-;_-@_-</c:formatCode>
                <c:ptCount val="2"/>
                <c:pt idx="0">
                  <c:v>11909.166823852764</c:v>
                </c:pt>
                <c:pt idx="1">
                  <c:v>14037.513944652526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Mainpower!$B$224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Mainpower!$C$221:$D$221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Mainpower!$C$224:$D$224</c:f>
              <c:numCache>
                <c:formatCode>_-* #,##0_-;\-* #,##0_-;_-* "-"??_-;_-@_-</c:formatCode>
                <c:ptCount val="2"/>
                <c:pt idx="1">
                  <c:v>11636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70784"/>
        <c:axId val="144876672"/>
      </c:lineChart>
      <c:catAx>
        <c:axId val="1448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4876672"/>
        <c:crosses val="autoZero"/>
        <c:auto val="1"/>
        <c:lblAlgn val="ctr"/>
        <c:lblOffset val="100"/>
        <c:noMultiLvlLbl val="0"/>
      </c:catAx>
      <c:valAx>
        <c:axId val="14487667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4870784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517E-3"/>
          <c:w val="0.9031628472222063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Mainpower!$V$221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3.0719102225551652E-2"/>
                  <c:y val="1.175925925925926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Mainpower!$W$221:$AC$221</c:f>
              <c:numCache>
                <c:formatCode>General</c:formatCode>
                <c:ptCount val="7"/>
                <c:pt idx="0">
                  <c:v>11909.166823852764</c:v>
                </c:pt>
                <c:pt idx="1">
                  <c:v>14037.513944652526</c:v>
                </c:pt>
                <c:pt idx="2">
                  <c:v>10028.396701786531</c:v>
                </c:pt>
                <c:pt idx="3">
                  <c:v>11291.752580097544</c:v>
                </c:pt>
                <c:pt idx="4">
                  <c:v>8953.5253698364359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Mainpower!$V$222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5453173618624874"/>
                  <c:y val="-0.1352314814814848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Mainpower!$W$222:$AC$222</c:f>
              <c:numCache>
                <c:formatCode>General</c:formatCode>
                <c:ptCount val="7"/>
                <c:pt idx="1">
                  <c:v>11636</c:v>
                </c:pt>
                <c:pt idx="2">
                  <c:v>13866</c:v>
                </c:pt>
                <c:pt idx="3">
                  <c:v>13871</c:v>
                </c:pt>
                <c:pt idx="4">
                  <c:v>14202</c:v>
                </c:pt>
                <c:pt idx="5">
                  <c:v>12826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Mainpower!$V$223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5837227605284453E-2"/>
                  <c:y val="0.1469902777777805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Mainpower!$W$223:$AC$223</c:f>
              <c:numCache>
                <c:formatCode>General</c:formatCode>
                <c:ptCount val="7"/>
                <c:pt idx="2">
                  <c:v>11113.74479638009</c:v>
                </c:pt>
                <c:pt idx="3">
                  <c:v>16348.975565610859</c:v>
                </c:pt>
                <c:pt idx="4">
                  <c:v>12239.979314802844</c:v>
                </c:pt>
                <c:pt idx="5">
                  <c:v>13119.850032320621</c:v>
                </c:pt>
                <c:pt idx="6">
                  <c:v>11824.484809308338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Mainpower!$V$220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4.8610485287174016E-2"/>
                  <c:y val="0.3082950984379111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Mainpower!$W$220:$AC$220</c:f>
              <c:numCache>
                <c:formatCode>General</c:formatCode>
                <c:ptCount val="7"/>
                <c:pt idx="0">
                  <c:v>13514.851391770631</c:v>
                </c:pt>
                <c:pt idx="1">
                  <c:v>10679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29920"/>
        <c:axId val="144931456"/>
      </c:lineChart>
      <c:catAx>
        <c:axId val="1449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4931456"/>
        <c:crosses val="autoZero"/>
        <c:auto val="1"/>
        <c:lblAlgn val="ctr"/>
        <c:lblOffset val="100"/>
        <c:noMultiLvlLbl val="0"/>
      </c:catAx>
      <c:valAx>
        <c:axId val="144931456"/>
        <c:scaling>
          <c:orientation val="minMax"/>
          <c:max val="18000"/>
          <c:min val="8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49299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08"/>
          <c:y val="6.4675925925925928E-2"/>
          <c:w val="0.78322918557855903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Mainpower!$B$237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1.7654493743324066E-2"/>
                  <c:y val="-2.3518981481481478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Mainpower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Mainpower!$C$236:$F$236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Mainpower!$C$237:$F$237</c:f>
              <c:numCache>
                <c:formatCode>_(* #,##0.00_);_(* \(#,##0.00\);_(* "-"??_);_(@_)</c:formatCode>
                <c:ptCount val="4"/>
                <c:pt idx="0">
                  <c:v>1.2490000000000001</c:v>
                </c:pt>
                <c:pt idx="1">
                  <c:v>1.33</c:v>
                </c:pt>
                <c:pt idx="2">
                  <c:v>1.83</c:v>
                </c:pt>
                <c:pt idx="3">
                  <c:v>2.9000000000000004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Mainpower!$B$239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-4.629629629629779E-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Mainpower!$C$236:$F$236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38720"/>
        <c:axId val="145069184"/>
      </c:lineChart>
      <c:catAx>
        <c:axId val="14503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5069184"/>
        <c:crosses val="autoZero"/>
        <c:auto val="1"/>
        <c:lblAlgn val="ctr"/>
        <c:lblOffset val="100"/>
        <c:noMultiLvlLbl val="0"/>
      </c:catAx>
      <c:valAx>
        <c:axId val="145069184"/>
        <c:scaling>
          <c:orientation val="minMax"/>
          <c:max val="4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503872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3159722222223"/>
          <c:y val="6.4675925925925928E-2"/>
          <c:w val="0.76542083333335564"/>
          <c:h val="0.80984259259260005"/>
        </c:manualLayout>
      </c:layout>
      <c:lineChart>
        <c:grouping val="standard"/>
        <c:varyColors val="0"/>
        <c:ser>
          <c:idx val="1"/>
          <c:order val="0"/>
          <c:tx>
            <c:strRef>
              <c:f>Mainpower!$B$230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399074074074091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Mainpower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Mainpower!$C$230:$F$230</c:f>
              <c:numCache>
                <c:formatCode>_(* #,##0.00_);_(* \(#,##0.00\);_(* "-"??_);_(@_)</c:formatCode>
                <c:ptCount val="4"/>
                <c:pt idx="0">
                  <c:v>110.11</c:v>
                </c:pt>
                <c:pt idx="1">
                  <c:v>146.16000000000003</c:v>
                </c:pt>
                <c:pt idx="2">
                  <c:v>140.11000000000001</c:v>
                </c:pt>
                <c:pt idx="3">
                  <c:v>337.1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Mainpower!$B$232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4722222222223055E-7"/>
                  <c:y val="-1.17597222222222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Mainpower!$C$229:$F$229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Mainpower!$C$232:$F$232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94528"/>
        <c:axId val="145096064"/>
      </c:lineChart>
      <c:catAx>
        <c:axId val="14509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5096064"/>
        <c:crosses val="autoZero"/>
        <c:auto val="1"/>
        <c:lblAlgn val="ctr"/>
        <c:lblOffset val="100"/>
        <c:noMultiLvlLbl val="0"/>
      </c:catAx>
      <c:valAx>
        <c:axId val="145096064"/>
        <c:scaling>
          <c:orientation val="minMax"/>
          <c:max val="4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50945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Marlborough!$B$26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75808049588"/>
                  <c:y val="-0.3942273964514018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Marlborough!$C$26:$F$26</c:f>
              <c:numCache>
                <c:formatCode>0</c:formatCode>
                <c:ptCount val="4"/>
                <c:pt idx="0">
                  <c:v>2029.4130193036979</c:v>
                </c:pt>
                <c:pt idx="1">
                  <c:v>2117.5053332418147</c:v>
                </c:pt>
                <c:pt idx="2">
                  <c:v>2168.0817008434151</c:v>
                </c:pt>
                <c:pt idx="3">
                  <c:v>2214.6285714285714</c:v>
                </c:pt>
              </c:numCache>
            </c:numRef>
          </c:val>
        </c:ser>
        <c:ser>
          <c:idx val="1"/>
          <c:order val="1"/>
          <c:tx>
            <c:strRef>
              <c:f>Marlborough!$B$27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3084928704112088"/>
                  <c:y val="-9.603806816026068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Marlborough!$C$27:$F$27</c:f>
              <c:numCache>
                <c:formatCode>0</c:formatCode>
                <c:ptCount val="4"/>
                <c:pt idx="0">
                  <c:v>752.94414188360747</c:v>
                </c:pt>
                <c:pt idx="1">
                  <c:v>854.559461871096</c:v>
                </c:pt>
                <c:pt idx="2">
                  <c:v>837.89022122820711</c:v>
                </c:pt>
                <c:pt idx="3">
                  <c:v>888.8000000000003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53088"/>
        <c:axId val="142963072"/>
      </c:areaChart>
      <c:catAx>
        <c:axId val="1429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2963072"/>
        <c:crosses val="autoZero"/>
        <c:auto val="1"/>
        <c:lblAlgn val="ctr"/>
        <c:lblOffset val="100"/>
        <c:noMultiLvlLbl val="0"/>
      </c:catAx>
      <c:valAx>
        <c:axId val="142963072"/>
        <c:scaling>
          <c:orientation val="minMax"/>
          <c:max val="2500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2953088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672"/>
          <c:h val="0.70204027777778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Aurora!$B$54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Aurora!$C$53:$F$53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Aurora!$C$54:$F$54</c:f>
              <c:numCache>
                <c:formatCode>0</c:formatCode>
                <c:ptCount val="4"/>
                <c:pt idx="0">
                  <c:v>43499.126913974505</c:v>
                </c:pt>
                <c:pt idx="1">
                  <c:v>45869.989543551361</c:v>
                </c:pt>
                <c:pt idx="2">
                  <c:v>46150.168128587211</c:v>
                </c:pt>
                <c:pt idx="3">
                  <c:v>44422.35</c:v>
                </c:pt>
              </c:numCache>
            </c:numRef>
          </c:val>
        </c:ser>
        <c:ser>
          <c:idx val="1"/>
          <c:order val="1"/>
          <c:tx>
            <c:strRef>
              <c:f>Aurora!$B$55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Aurora!$C$53:$F$53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Aurora!$C$55:$F$55</c:f>
              <c:numCache>
                <c:formatCode>0</c:formatCode>
                <c:ptCount val="4"/>
                <c:pt idx="0">
                  <c:v>9111.0122323287032</c:v>
                </c:pt>
                <c:pt idx="1">
                  <c:v>9701.7174430640371</c:v>
                </c:pt>
                <c:pt idx="2">
                  <c:v>11111.520600361078</c:v>
                </c:pt>
                <c:pt idx="3">
                  <c:v>11030.181</c:v>
                </c:pt>
              </c:numCache>
            </c:numRef>
          </c:val>
        </c:ser>
        <c:ser>
          <c:idx val="2"/>
          <c:order val="2"/>
          <c:tx>
            <c:strRef>
              <c:f>Aurora!$B$56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Aurora!$C$53:$F$53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Aurora!$C$56:$F$56</c:f>
              <c:numCache>
                <c:formatCode>0</c:formatCode>
                <c:ptCount val="4"/>
                <c:pt idx="0">
                  <c:v>15787.677568361323</c:v>
                </c:pt>
                <c:pt idx="1">
                  <c:v>17506.567213947415</c:v>
                </c:pt>
                <c:pt idx="2">
                  <c:v>15669.810492845785</c:v>
                </c:pt>
                <c:pt idx="3">
                  <c:v>15353.165999999999</c:v>
                </c:pt>
              </c:numCache>
            </c:numRef>
          </c:val>
        </c:ser>
        <c:ser>
          <c:idx val="3"/>
          <c:order val="3"/>
          <c:tx>
            <c:strRef>
              <c:f>Aurora!$B$57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Aurora!$C$53:$F$53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Aurora!$C$57:$F$57</c:f>
              <c:numCache>
                <c:formatCode>0</c:formatCode>
                <c:ptCount val="4"/>
                <c:pt idx="0">
                  <c:v>1349.7795899746229</c:v>
                </c:pt>
                <c:pt idx="1">
                  <c:v>1518.1645392271257</c:v>
                </c:pt>
                <c:pt idx="2">
                  <c:v>1393.5610029371344</c:v>
                </c:pt>
                <c:pt idx="3">
                  <c:v>1311.3030000000001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988160"/>
        <c:axId val="117006336"/>
      </c:barChart>
      <c:catAx>
        <c:axId val="11698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7006336"/>
        <c:crosses val="autoZero"/>
        <c:auto val="1"/>
        <c:lblAlgn val="ctr"/>
        <c:lblOffset val="100"/>
        <c:noMultiLvlLbl val="0"/>
      </c:catAx>
      <c:valAx>
        <c:axId val="11700633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6988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3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 orientation="portrait"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Marlborough!$B$28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Marlborough!$C$25:$F$25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Marlborough!$C$28:$F$28</c:f>
              <c:numCache>
                <c:formatCode>0</c:formatCode>
                <c:ptCount val="4"/>
                <c:pt idx="0">
                  <c:v>629.6096489977474</c:v>
                </c:pt>
                <c:pt idx="1">
                  <c:v>710.05669572379691</c:v>
                </c:pt>
                <c:pt idx="2">
                  <c:v>715.62997494004458</c:v>
                </c:pt>
                <c:pt idx="3">
                  <c:v>751.20000000000016</c:v>
                </c:pt>
              </c:numCache>
            </c:numRef>
          </c:val>
        </c:ser>
        <c:ser>
          <c:idx val="1"/>
          <c:order val="1"/>
          <c:tx>
            <c:strRef>
              <c:f>Marlborough!$B$29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Marlborough!$C$25:$F$25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Marlborough!$C$29:$F$29</c:f>
              <c:numCache>
                <c:formatCode>0</c:formatCode>
                <c:ptCount val="4"/>
                <c:pt idx="0">
                  <c:v>123.33449288586012</c:v>
                </c:pt>
                <c:pt idx="1">
                  <c:v>144.50276614729901</c:v>
                </c:pt>
                <c:pt idx="2">
                  <c:v>122.26024628816251</c:v>
                </c:pt>
                <c:pt idx="3">
                  <c:v>137.6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008896"/>
        <c:axId val="143010432"/>
      </c:barChart>
      <c:catAx>
        <c:axId val="14300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3010432"/>
        <c:crosses val="autoZero"/>
        <c:auto val="1"/>
        <c:lblAlgn val="ctr"/>
        <c:lblOffset val="100"/>
        <c:noMultiLvlLbl val="0"/>
      </c:catAx>
      <c:valAx>
        <c:axId val="143010432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3008896"/>
        <c:crosses val="autoZero"/>
        <c:crossBetween val="between"/>
        <c:majorUnit val="100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295"/>
          <c:w val="0.89745624999998408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Marlborough!$B$40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rgbClr val="1F497D"/>
            </a:solidFill>
          </c:spPr>
          <c:invertIfNegative val="0"/>
          <c:cat>
            <c:numRef>
              <c:f>Marlborough!$C$39:$F$39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Marlborough!$C$40:$F$40</c:f>
              <c:numCache>
                <c:formatCode>0</c:formatCode>
                <c:ptCount val="4"/>
                <c:pt idx="0">
                  <c:v>22581.855664224</c:v>
                </c:pt>
                <c:pt idx="1">
                  <c:v>25850.901245109468</c:v>
                </c:pt>
                <c:pt idx="2">
                  <c:v>26204.446121096167</c:v>
                </c:pt>
                <c:pt idx="3">
                  <c:v>27002</c:v>
                </c:pt>
              </c:numCache>
            </c:numRef>
          </c:val>
        </c:ser>
        <c:ser>
          <c:idx val="1"/>
          <c:order val="1"/>
          <c:tx>
            <c:strRef>
              <c:f>Marlborough!$B$41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Marlborough!$C$39:$F$39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Marlborough!$C$41:$F$41</c:f>
              <c:numCache>
                <c:formatCode>0</c:formatCode>
                <c:ptCount val="4"/>
                <c:pt idx="0">
                  <c:v>5805.4289689487041</c:v>
                </c:pt>
                <c:pt idx="1">
                  <c:v>3921.2050545679172</c:v>
                </c:pt>
                <c:pt idx="2">
                  <c:v>1512.5426369540025</c:v>
                </c:pt>
                <c:pt idx="3">
                  <c:v>2500</c:v>
                </c:pt>
              </c:numCache>
            </c:numRef>
          </c:val>
        </c:ser>
        <c:ser>
          <c:idx val="3"/>
          <c:order val="2"/>
          <c:tx>
            <c:strRef>
              <c:f>Marlborough!$B$42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Marlborough!$C$39:$F$39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Marlborough!$C$42:$F$42</c:f>
              <c:numCache>
                <c:formatCode>0</c:formatCode>
                <c:ptCount val="4"/>
                <c:pt idx="0">
                  <c:v>5000.2218357047132</c:v>
                </c:pt>
                <c:pt idx="1">
                  <c:v>4867.625506211818</c:v>
                </c:pt>
                <c:pt idx="2">
                  <c:v>4540.4154444773776</c:v>
                </c:pt>
                <c:pt idx="3">
                  <c:v>5269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062144"/>
        <c:axId val="143063680"/>
      </c:barChart>
      <c:catAx>
        <c:axId val="14306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3063680"/>
        <c:crosses val="autoZero"/>
        <c:auto val="1"/>
        <c:lblAlgn val="ctr"/>
        <c:lblOffset val="100"/>
        <c:noMultiLvlLbl val="0"/>
      </c:catAx>
      <c:valAx>
        <c:axId val="14306368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3062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942"/>
          <c:h val="0.2117129629629679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 orientation="portrait"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466E-2"/>
          <c:y val="9.9262962962965245E-2"/>
          <c:w val="0.80176112499523156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Marlborough!$B$46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890094157810693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Marlborough!$C$46:$F$46</c:f>
              <c:numCache>
                <c:formatCode>0.0</c:formatCode>
                <c:ptCount val="4"/>
                <c:pt idx="0">
                  <c:v>100</c:v>
                </c:pt>
                <c:pt idx="1">
                  <c:v>114.47642580615974</c:v>
                </c:pt>
                <c:pt idx="2">
                  <c:v>116.04204061321394</c:v>
                </c:pt>
                <c:pt idx="3">
                  <c:v>119.57387559950952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Marlborough!$B$47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Marlborough!$C$45:$F$45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Marlborough!$C$47:$F$47</c:f>
              <c:numCache>
                <c:formatCode>0.0</c:formatCode>
                <c:ptCount val="4"/>
                <c:pt idx="0">
                  <c:v>100</c:v>
                </c:pt>
                <c:pt idx="1">
                  <c:v>67.543760771876293</c:v>
                </c:pt>
                <c:pt idx="2">
                  <c:v>26.053934085561753</c:v>
                </c:pt>
                <c:pt idx="3">
                  <c:v>43.063139922504654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Marlborough!$B$48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773272301718524E-3"/>
                  <c:y val="-5.932584475891583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Marlborough!$C$48:$F$48</c:f>
              <c:numCache>
                <c:formatCode>0.0</c:formatCode>
                <c:ptCount val="4"/>
                <c:pt idx="0">
                  <c:v>100</c:v>
                </c:pt>
                <c:pt idx="1">
                  <c:v>97.348191063322943</c:v>
                </c:pt>
                <c:pt idx="2">
                  <c:v>90.804280163251349</c:v>
                </c:pt>
                <c:pt idx="3">
                  <c:v>105.3753247981128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93472"/>
        <c:axId val="145595008"/>
      </c:lineChart>
      <c:catAx>
        <c:axId val="14559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5595008"/>
        <c:crossesAt val="0"/>
        <c:auto val="1"/>
        <c:lblAlgn val="ctr"/>
        <c:lblOffset val="100"/>
        <c:noMultiLvlLbl val="0"/>
      </c:catAx>
      <c:valAx>
        <c:axId val="145595008"/>
        <c:scaling>
          <c:orientation val="minMax"/>
          <c:max val="15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5593472"/>
        <c:crosses val="autoZero"/>
        <c:crossBetween val="midCat"/>
        <c:maj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 orientation="portrait"/>
  </c:printSettings>
  <c:userShapes r:id="rId1"/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783"/>
          <c:h val="0.702040277777789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Marlborough!$B$54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Marlborough!$C$53:$F$53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Marlborough!$C$54:$F$54</c:f>
              <c:numCache>
                <c:formatCode>0</c:formatCode>
                <c:ptCount val="4"/>
                <c:pt idx="0">
                  <c:v>8000.9295637421219</c:v>
                </c:pt>
                <c:pt idx="1">
                  <c:v>9655.9509671219694</c:v>
                </c:pt>
                <c:pt idx="2">
                  <c:v>10857.616633882135</c:v>
                </c:pt>
                <c:pt idx="3">
                  <c:v>11056</c:v>
                </c:pt>
              </c:numCache>
            </c:numRef>
          </c:val>
        </c:ser>
        <c:ser>
          <c:idx val="1"/>
          <c:order val="1"/>
          <c:tx>
            <c:strRef>
              <c:f>Marlborough!$B$55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Marlborough!$C$53:$F$53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Marlborough!$C$55:$F$55</c:f>
              <c:numCache>
                <c:formatCode>0</c:formatCode>
                <c:ptCount val="4"/>
                <c:pt idx="0">
                  <c:v>7069.1266890023089</c:v>
                </c:pt>
                <c:pt idx="1">
                  <c:v>7885.8958912759945</c:v>
                </c:pt>
                <c:pt idx="2">
                  <c:v>6674.4415537172263</c:v>
                </c:pt>
                <c:pt idx="3">
                  <c:v>6796</c:v>
                </c:pt>
              </c:numCache>
            </c:numRef>
          </c:val>
        </c:ser>
        <c:ser>
          <c:idx val="2"/>
          <c:order val="2"/>
          <c:tx>
            <c:strRef>
              <c:f>Marlborough!$B$56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Marlborough!$C$53:$F$53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Marlborough!$C$56:$F$56</c:f>
              <c:numCache>
                <c:formatCode>0</c:formatCode>
                <c:ptCount val="4"/>
                <c:pt idx="0">
                  <c:v>6490.5315930540901</c:v>
                </c:pt>
                <c:pt idx="1">
                  <c:v>7220.3526913309061</c:v>
                </c:pt>
                <c:pt idx="2">
                  <c:v>7718.8598959877108</c:v>
                </c:pt>
                <c:pt idx="3">
                  <c:v>7814</c:v>
                </c:pt>
              </c:numCache>
            </c:numRef>
          </c:val>
        </c:ser>
        <c:ser>
          <c:idx val="3"/>
          <c:order val="3"/>
          <c:tx>
            <c:strRef>
              <c:f>Marlborough!$B$57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Marlborough!$C$53:$F$53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Marlborough!$C$57:$F$57</c:f>
              <c:numCache>
                <c:formatCode>0</c:formatCode>
                <c:ptCount val="4"/>
                <c:pt idx="0">
                  <c:v>1021.2678184254796</c:v>
                </c:pt>
                <c:pt idx="1">
                  <c:v>1088.7016953806024</c:v>
                </c:pt>
                <c:pt idx="2">
                  <c:v>953.52803750909413</c:v>
                </c:pt>
                <c:pt idx="3">
                  <c:v>1336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713792"/>
        <c:axId val="145727872"/>
      </c:barChart>
      <c:catAx>
        <c:axId val="1457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5727872"/>
        <c:crosses val="autoZero"/>
        <c:auto val="1"/>
        <c:lblAlgn val="ctr"/>
        <c:lblOffset val="100"/>
        <c:noMultiLvlLbl val="0"/>
      </c:catAx>
      <c:valAx>
        <c:axId val="14572787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5713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53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1422738982387166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Marlborough!$B$61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56787643764014E-6"/>
                  <c:y val="-2.351851851851848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Marlborough!$C$61:$F$61</c:f>
              <c:numCache>
                <c:formatCode>0.0</c:formatCode>
                <c:ptCount val="4"/>
                <c:pt idx="0">
                  <c:v>100</c:v>
                </c:pt>
                <c:pt idx="1">
                  <c:v>120.68536399670261</c:v>
                </c:pt>
                <c:pt idx="2">
                  <c:v>135.70443968267995</c:v>
                </c:pt>
                <c:pt idx="3">
                  <c:v>138.18394365202971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Marlborough!$B$62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28393821881842E-6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Marlborough!$C$62:$F$62</c:f>
              <c:numCache>
                <c:formatCode>0.0</c:formatCode>
                <c:ptCount val="4"/>
                <c:pt idx="0">
                  <c:v>100</c:v>
                </c:pt>
                <c:pt idx="1">
                  <c:v>111.55403260128811</c:v>
                </c:pt>
                <c:pt idx="2">
                  <c:v>94.416776602701034</c:v>
                </c:pt>
                <c:pt idx="3">
                  <c:v>96.136344685585811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Marlborough!$B$63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070984554706264E-6"/>
                  <c:y val="-3.527777777777876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Marlborough!$C$63:$F$63</c:f>
              <c:numCache>
                <c:formatCode>0.0</c:formatCode>
                <c:ptCount val="4"/>
                <c:pt idx="0">
                  <c:v>100</c:v>
                </c:pt>
                <c:pt idx="1">
                  <c:v>111.24439636127559</c:v>
                </c:pt>
                <c:pt idx="2">
                  <c:v>118.924926029913</c:v>
                </c:pt>
                <c:pt idx="3">
                  <c:v>120.3907551788552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Marlborough!$B$64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39814814814812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Marlborough!$C$64:$F$64</c:f>
              <c:numCache>
                <c:formatCode>0.0</c:formatCode>
                <c:ptCount val="4"/>
                <c:pt idx="0">
                  <c:v>100</c:v>
                </c:pt>
                <c:pt idx="1">
                  <c:v>106.60295720069664</c:v>
                </c:pt>
                <c:pt idx="2">
                  <c:v>93.367089445663538</c:v>
                </c:pt>
                <c:pt idx="3">
                  <c:v>130.81779097472716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76640"/>
        <c:axId val="145778176"/>
      </c:lineChart>
      <c:catAx>
        <c:axId val="14577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5778176"/>
        <c:crosses val="autoZero"/>
        <c:auto val="1"/>
        <c:lblAlgn val="ctr"/>
        <c:lblOffset val="100"/>
        <c:noMultiLvlLbl val="0"/>
      </c:catAx>
      <c:valAx>
        <c:axId val="145778176"/>
        <c:scaling>
          <c:orientation val="minMax"/>
          <c:max val="140"/>
          <c:min val="9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577664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575477737532723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Marlborough!$B$84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332252609514544E-5"/>
                  <c:y val="-3.40656027568248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Marlborough!$C$84:$F$84</c:f>
              <c:numCache>
                <c:formatCode>0.00</c:formatCode>
                <c:ptCount val="4"/>
                <c:pt idx="0">
                  <c:v>7.3379972784165064</c:v>
                </c:pt>
                <c:pt idx="1">
                  <c:v>8.5177270953679489</c:v>
                </c:pt>
                <c:pt idx="2">
                  <c:v>8.2881937037748834</c:v>
                </c:pt>
                <c:pt idx="3">
                  <c:v>8.7188990970387596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Marlborough!$B$85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328738274764577E-5"/>
                  <c:y val="-2.67001851185648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Marlborough!$C$85:$F$85</c:f>
              <c:numCache>
                <c:formatCode>0.00</c:formatCode>
                <c:ptCount val="4"/>
                <c:pt idx="0">
                  <c:v>7.0282280244822415</c:v>
                </c:pt>
                <c:pt idx="1">
                  <c:v>7.9606421014684692</c:v>
                </c:pt>
                <c:pt idx="2">
                  <c:v>7.6232285831797819</c:v>
                </c:pt>
                <c:pt idx="3">
                  <c:v>7.9657738967356266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Marlborough!$B$86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17867440225035161"/>
                  <c:y val="-4.748356246264197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Marlborough!$C$86:$F$86</c:f>
              <c:numCache>
                <c:formatCode>0.00</c:formatCode>
                <c:ptCount val="4"/>
                <c:pt idx="0">
                  <c:v>5.7185864680374729</c:v>
                </c:pt>
                <c:pt idx="1">
                  <c:v>6.219779285572562</c:v>
                </c:pt>
                <c:pt idx="2">
                  <c:v>6.2364042433103961</c:v>
                </c:pt>
                <c:pt idx="3">
                  <c:v>6.0057336540900321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Marlborough!$B$87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17870010626576791"/>
                  <c:y val="0.21137388691143341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Marlborough!$C$87:$F$87</c:f>
              <c:numCache>
                <c:formatCode>0.00</c:formatCode>
                <c:ptCount val="4"/>
                <c:pt idx="0">
                  <c:v>4.0790343029335769</c:v>
                </c:pt>
                <c:pt idx="1">
                  <c:v>4.4320254287240166</c:v>
                </c:pt>
                <c:pt idx="2">
                  <c:v>3.6463787285242604</c:v>
                </c:pt>
                <c:pt idx="3">
                  <c:v>6.1609407424486973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1472"/>
        <c:axId val="146123008"/>
      </c:lineChart>
      <c:catAx>
        <c:axId val="14612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6123008"/>
        <c:crosses val="autoZero"/>
        <c:auto val="1"/>
        <c:lblAlgn val="ctr"/>
        <c:lblOffset val="100"/>
        <c:noMultiLvlLbl val="0"/>
      </c:catAx>
      <c:valAx>
        <c:axId val="14612300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61214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194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Marlborough!$B$90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-2.753536561068029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Marlborough!$C$90:$F$90</c:f>
              <c:numCache>
                <c:formatCode>0.0</c:formatCode>
                <c:ptCount val="4"/>
                <c:pt idx="0">
                  <c:v>100</c:v>
                </c:pt>
                <c:pt idx="1">
                  <c:v>116.0769999250534</c:v>
                </c:pt>
                <c:pt idx="2">
                  <c:v>112.94898852242996</c:v>
                </c:pt>
                <c:pt idx="3">
                  <c:v>118.81851091283376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Marlborough!$B$91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6698344326902E-3"/>
                  <c:y val="-2.217971707511547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Marlborough!$C$91:$F$91</c:f>
              <c:numCache>
                <c:formatCode>0.0</c:formatCode>
                <c:ptCount val="4"/>
                <c:pt idx="0">
                  <c:v>100</c:v>
                </c:pt>
                <c:pt idx="1">
                  <c:v>113.26670212944488</c:v>
                </c:pt>
                <c:pt idx="2">
                  <c:v>108.46586873142002</c:v>
                </c:pt>
                <c:pt idx="3">
                  <c:v>113.33971904422455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Marlborough!$B$92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200616792511424E-3"/>
                  <c:y val="-1.577605100617656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Marlborough!$C$92:$F$92</c:f>
              <c:numCache>
                <c:formatCode>0.0</c:formatCode>
                <c:ptCount val="4"/>
                <c:pt idx="0">
                  <c:v>100</c:v>
                </c:pt>
                <c:pt idx="1">
                  <c:v>108.76427803157955</c:v>
                </c:pt>
                <c:pt idx="2">
                  <c:v>109.05499598838155</c:v>
                </c:pt>
                <c:pt idx="3">
                  <c:v>105.02129656791048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Marlborough!$B$93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-4.160390516039044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Marlborough!$C$93:$F$93</c:f>
              <c:numCache>
                <c:formatCode>0.0</c:formatCode>
                <c:ptCount val="4"/>
                <c:pt idx="0">
                  <c:v>100</c:v>
                </c:pt>
                <c:pt idx="1">
                  <c:v>108.65379154905793</c:v>
                </c:pt>
                <c:pt idx="2">
                  <c:v>89.393186174037382</c:v>
                </c:pt>
                <c:pt idx="3">
                  <c:v>151.03919910695151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860096"/>
        <c:axId val="145861632"/>
      </c:lineChart>
      <c:catAx>
        <c:axId val="1458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5861632"/>
        <c:crosses val="autoZero"/>
        <c:auto val="1"/>
        <c:lblAlgn val="ctr"/>
        <c:lblOffset val="100"/>
        <c:noMultiLvlLbl val="0"/>
      </c:catAx>
      <c:valAx>
        <c:axId val="145861632"/>
        <c:scaling>
          <c:orientation val="minMax"/>
          <c:max val="16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586009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3157023186705226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Marlborough!$B$120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204333924660682E-6"/>
                  <c:y val="-3.05353106844227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Marlborough!$C$120:$F$120</c:f>
              <c:numCache>
                <c:formatCode>0.0</c:formatCode>
                <c:ptCount val="4"/>
                <c:pt idx="0">
                  <c:v>100</c:v>
                </c:pt>
                <c:pt idx="1">
                  <c:v>103.97009233062934</c:v>
                </c:pt>
                <c:pt idx="2">
                  <c:v>120.14666218611694</c:v>
                </c:pt>
                <c:pt idx="3">
                  <c:v>116.29832977237243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Marlborough!$B$121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801338294663E-3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Marlborough!$C$121:$F$121</c:f>
              <c:numCache>
                <c:formatCode>0.0</c:formatCode>
                <c:ptCount val="4"/>
                <c:pt idx="0">
                  <c:v>100</c:v>
                </c:pt>
                <c:pt idx="1">
                  <c:v>98.487932025954578</c:v>
                </c:pt>
                <c:pt idx="2">
                  <c:v>87.047453458832365</c:v>
                </c:pt>
                <c:pt idx="3">
                  <c:v>84.82140726683285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Marlborough!$B$122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009866764143629E-5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Marlborough!$C$122:$F$122</c:f>
              <c:numCache>
                <c:formatCode>0.0</c:formatCode>
                <c:ptCount val="4"/>
                <c:pt idx="0">
                  <c:v>100</c:v>
                </c:pt>
                <c:pt idx="1">
                  <c:v>102.28026919737006</c:v>
                </c:pt>
                <c:pt idx="2">
                  <c:v>109.05041529925228</c:v>
                </c:pt>
                <c:pt idx="3">
                  <c:v>114.63461137237654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Marlborough!$B$123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204333924660682E-6"/>
                  <c:y val="-0.10725384099818208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800"/>
                      <a:t>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Marlborough!$C$123:$F$123</c:f>
              <c:numCache>
                <c:formatCode>0.0</c:formatCode>
                <c:ptCount val="4"/>
                <c:pt idx="0">
                  <c:v>100</c:v>
                </c:pt>
                <c:pt idx="1">
                  <c:v>98.112505491872028</c:v>
                </c:pt>
                <c:pt idx="2">
                  <c:v>104.44542077724968</c:v>
                </c:pt>
                <c:pt idx="3">
                  <c:v>86.611814514518514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18208"/>
        <c:axId val="146022400"/>
      </c:lineChart>
      <c:catAx>
        <c:axId val="14591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6022400"/>
        <c:crosses val="autoZero"/>
        <c:auto val="1"/>
        <c:lblAlgn val="ctr"/>
        <c:lblOffset val="100"/>
        <c:noMultiLvlLbl val="0"/>
      </c:catAx>
      <c:valAx>
        <c:axId val="146022400"/>
        <c:scaling>
          <c:orientation val="minMax"/>
          <c:max val="120.5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5918208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779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Marlborough!$B$113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Marlborough!$C$112:$F$112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Marlborough!$C$113:$F$113</c:f>
              <c:numCache>
                <c:formatCode>General</c:formatCode>
                <c:ptCount val="4"/>
                <c:pt idx="0">
                  <c:v>109034.24000000001</c:v>
                </c:pt>
                <c:pt idx="1">
                  <c:v>113363</c:v>
                </c:pt>
                <c:pt idx="2">
                  <c:v>131001</c:v>
                </c:pt>
                <c:pt idx="3">
                  <c:v>126805</c:v>
                </c:pt>
              </c:numCache>
            </c:numRef>
          </c:val>
        </c:ser>
        <c:ser>
          <c:idx val="1"/>
          <c:order val="1"/>
          <c:tx>
            <c:strRef>
              <c:f>Marlborough!$B$114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Marlborough!$C$112:$F$112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Marlborough!$C$114:$F$114</c:f>
              <c:numCache>
                <c:formatCode>General</c:formatCode>
                <c:ptCount val="4"/>
                <c:pt idx="0">
                  <c:v>100581.92</c:v>
                </c:pt>
                <c:pt idx="1">
                  <c:v>99061.053</c:v>
                </c:pt>
                <c:pt idx="2">
                  <c:v>87554</c:v>
                </c:pt>
                <c:pt idx="3">
                  <c:v>85315</c:v>
                </c:pt>
              </c:numCache>
            </c:numRef>
          </c:val>
        </c:ser>
        <c:ser>
          <c:idx val="2"/>
          <c:order val="2"/>
          <c:tx>
            <c:strRef>
              <c:f>Marlborough!$B$115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Marlborough!$C$112:$F$112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Marlborough!$C$115:$F$115</c:f>
              <c:numCache>
                <c:formatCode>General</c:formatCode>
                <c:ptCount val="4"/>
                <c:pt idx="0">
                  <c:v>113498.88</c:v>
                </c:pt>
                <c:pt idx="1">
                  <c:v>116086.96</c:v>
                </c:pt>
                <c:pt idx="2">
                  <c:v>123771</c:v>
                </c:pt>
                <c:pt idx="3">
                  <c:v>130109</c:v>
                </c:pt>
              </c:numCache>
            </c:numRef>
          </c:val>
        </c:ser>
        <c:ser>
          <c:idx val="3"/>
          <c:order val="3"/>
          <c:tx>
            <c:strRef>
              <c:f>Marlborough!$B$116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Marlborough!$C$112:$F$112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Marlborough!$C$116:$F$116</c:f>
              <c:numCache>
                <c:formatCode>General</c:formatCode>
                <c:ptCount val="4"/>
                <c:pt idx="0">
                  <c:v>25037</c:v>
                </c:pt>
                <c:pt idx="1">
                  <c:v>24564.428</c:v>
                </c:pt>
                <c:pt idx="2">
                  <c:v>26150</c:v>
                </c:pt>
                <c:pt idx="3">
                  <c:v>21685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041856"/>
        <c:axId val="146047744"/>
      </c:barChart>
      <c:catAx>
        <c:axId val="14604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6047744"/>
        <c:crosses val="autoZero"/>
        <c:auto val="1"/>
        <c:lblAlgn val="ctr"/>
        <c:lblOffset val="100"/>
        <c:noMultiLvlLbl val="0"/>
      </c:catAx>
      <c:valAx>
        <c:axId val="14604774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6041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Marlborough!$U$138:$U$144</c:f>
              <c:strCache>
                <c:ptCount val="7"/>
                <c:pt idx="0">
                  <c:v>General management, admin and overheads</c:v>
                </c:pt>
                <c:pt idx="1">
                  <c:v>Routine and preventative maintenance</c:v>
                </c:pt>
                <c:pt idx="2">
                  <c:v>Fault and emergency maintenance</c:v>
                </c:pt>
                <c:pt idx="3">
                  <c:v>Refurbishment and renewal maintenance</c:v>
                </c:pt>
                <c:pt idx="4">
                  <c:v>System management and operations</c:v>
                </c:pt>
                <c:pt idx="5">
                  <c:v>Other</c:v>
                </c:pt>
                <c:pt idx="6">
                  <c:v>Pass-through costs</c:v>
                </c:pt>
              </c:strCache>
            </c:strRef>
          </c:cat>
          <c:val>
            <c:numRef>
              <c:f>Marlborough!$V$138:$V$144</c:f>
              <c:numCache>
                <c:formatCode>General</c:formatCode>
                <c:ptCount val="7"/>
                <c:pt idx="0">
                  <c:v>8264</c:v>
                </c:pt>
                <c:pt idx="1">
                  <c:v>5849</c:v>
                </c:pt>
                <c:pt idx="2">
                  <c:v>1133</c:v>
                </c:pt>
                <c:pt idx="3">
                  <c:v>667.4</c:v>
                </c:pt>
                <c:pt idx="4">
                  <c:v>431</c:v>
                </c:pt>
                <c:pt idx="5">
                  <c:v>175</c:v>
                </c:pt>
                <c:pt idx="6">
                  <c:v>145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46162432"/>
        <c:axId val="146163968"/>
      </c:barChart>
      <c:catAx>
        <c:axId val="146162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6163968"/>
        <c:crosses val="autoZero"/>
        <c:auto val="1"/>
        <c:lblAlgn val="ctr"/>
        <c:lblOffset val="100"/>
        <c:noMultiLvlLbl val="0"/>
      </c:catAx>
      <c:valAx>
        <c:axId val="146163968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61624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133E-2"/>
          <c:y val="9.9262962962965245E-2"/>
          <c:w val="0.8447958333333635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Alpine!$B$46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7.055555555555549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Alpine!$C$46:$F$46</c:f>
              <c:numCache>
                <c:formatCode>0.0</c:formatCode>
                <c:ptCount val="4"/>
                <c:pt idx="0">
                  <c:v>100</c:v>
                </c:pt>
                <c:pt idx="1">
                  <c:v>99.237385411964468</c:v>
                </c:pt>
                <c:pt idx="2">
                  <c:v>107.2076846241405</c:v>
                </c:pt>
                <c:pt idx="3">
                  <c:v>105.27207813404604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Alpine!$B$47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4.662004662004661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Capital contributions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Alpine!$C$47:$F$47</c:f>
              <c:numCache>
                <c:formatCode>0.0</c:formatCode>
                <c:ptCount val="4"/>
                <c:pt idx="0">
                  <c:v>100</c:v>
                </c:pt>
                <c:pt idx="1">
                  <c:v>132.82754205555895</c:v>
                </c:pt>
                <c:pt idx="2">
                  <c:v>57.342718983972873</c:v>
                </c:pt>
                <c:pt idx="3">
                  <c:v>47.344710944432762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Alpine!$B$48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81943615828099E-2"/>
                  <c:y val="-4.115733348016800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Alpine!$C$48:$F$48</c:f>
              <c:numCache>
                <c:formatCode>0.0</c:formatCode>
                <c:ptCount val="4"/>
                <c:pt idx="0">
                  <c:v>100</c:v>
                </c:pt>
                <c:pt idx="1">
                  <c:v>22.769557314377909</c:v>
                </c:pt>
                <c:pt idx="2">
                  <c:v>17.65640734019275</c:v>
                </c:pt>
                <c:pt idx="3">
                  <c:v>3.8761411611572818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269184"/>
        <c:axId val="114299648"/>
      </c:lineChart>
      <c:catAx>
        <c:axId val="11426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299648"/>
        <c:crossesAt val="0"/>
        <c:auto val="1"/>
        <c:lblAlgn val="ctr"/>
        <c:lblOffset val="100"/>
        <c:noMultiLvlLbl val="0"/>
      </c:catAx>
      <c:valAx>
        <c:axId val="11429964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4269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79216803345443665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Aurora!$B$61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33764427834433E-6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Aurora!$C$61:$F$61</c:f>
              <c:numCache>
                <c:formatCode>0.0</c:formatCode>
                <c:ptCount val="4"/>
                <c:pt idx="0">
                  <c:v>100</c:v>
                </c:pt>
                <c:pt idx="1">
                  <c:v>105.45036831259984</c:v>
                </c:pt>
                <c:pt idx="2">
                  <c:v>106.09446994155884</c:v>
                </c:pt>
                <c:pt idx="3">
                  <c:v>102.12239452035736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Aurora!$B$62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37826489671477E-6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Aurora!$C$62:$F$62</c:f>
              <c:numCache>
                <c:formatCode>0.0</c:formatCode>
                <c:ptCount val="4"/>
                <c:pt idx="0">
                  <c:v>100</c:v>
                </c:pt>
                <c:pt idx="1">
                  <c:v>106.48342023556205</c:v>
                </c:pt>
                <c:pt idx="2">
                  <c:v>121.95703745116211</c:v>
                </c:pt>
                <c:pt idx="3">
                  <c:v>121.06427605114489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Aurora!$B$63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042205534793914E-6"/>
                  <c:y val="1.175925925925926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Aurora!$C$63:$F$63</c:f>
              <c:numCache>
                <c:formatCode>0.0</c:formatCode>
                <c:ptCount val="4"/>
                <c:pt idx="0">
                  <c:v>100</c:v>
                </c:pt>
                <c:pt idx="1">
                  <c:v>110.88753958993163</c:v>
                </c:pt>
                <c:pt idx="2">
                  <c:v>99.253423595679806</c:v>
                </c:pt>
                <c:pt idx="3">
                  <c:v>97.247780324370893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Aurora!$B$64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Aurora!$C$64:$F$64</c:f>
              <c:numCache>
                <c:formatCode>0.0</c:formatCode>
                <c:ptCount val="4"/>
                <c:pt idx="0">
                  <c:v>100</c:v>
                </c:pt>
                <c:pt idx="1">
                  <c:v>112.47499595512987</c:v>
                </c:pt>
                <c:pt idx="2">
                  <c:v>103.24359719821624</c:v>
                </c:pt>
                <c:pt idx="3">
                  <c:v>97.149416818834382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030272"/>
        <c:axId val="117085312"/>
      </c:lineChart>
      <c:catAx>
        <c:axId val="11703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7085312"/>
        <c:crosses val="autoZero"/>
        <c:auto val="1"/>
        <c:lblAlgn val="ctr"/>
        <c:lblOffset val="100"/>
        <c:noMultiLvlLbl val="0"/>
      </c:catAx>
      <c:valAx>
        <c:axId val="117085312"/>
        <c:scaling>
          <c:orientation val="minMax"/>
          <c:max val="130"/>
          <c:min val="9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703027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12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Marlborough!$U$186:$U$191</c:f>
              <c:strCache>
                <c:ptCount val="6"/>
                <c:pt idx="0">
                  <c:v>Asset replacement and renewal</c:v>
                </c:pt>
                <c:pt idx="1">
                  <c:v>System growth</c:v>
                </c:pt>
                <c:pt idx="2">
                  <c:v>Reliability, safety and environment</c:v>
                </c:pt>
                <c:pt idx="3">
                  <c:v>Asset relocations</c:v>
                </c:pt>
                <c:pt idx="4">
                  <c:v>Non-network capex</c:v>
                </c:pt>
                <c:pt idx="5">
                  <c:v>Customer connection</c:v>
                </c:pt>
              </c:strCache>
            </c:strRef>
          </c:cat>
          <c:val>
            <c:numRef>
              <c:f>Marlborough!$V$186:$V$191</c:f>
              <c:numCache>
                <c:formatCode>General</c:formatCode>
                <c:ptCount val="6"/>
                <c:pt idx="0">
                  <c:v>4.7080000000000002</c:v>
                </c:pt>
                <c:pt idx="1">
                  <c:v>4.5599999999999996</c:v>
                </c:pt>
                <c:pt idx="2">
                  <c:v>4.1479999999999997</c:v>
                </c:pt>
                <c:pt idx="3">
                  <c:v>0.84299999999999997</c:v>
                </c:pt>
                <c:pt idx="4">
                  <c:v>0.68600000000000005</c:v>
                </c:pt>
                <c:pt idx="5">
                  <c:v>0.29899999999999999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46184064"/>
        <c:axId val="146185600"/>
      </c:barChart>
      <c:catAx>
        <c:axId val="146184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6185600"/>
        <c:crosses val="autoZero"/>
        <c:auto val="1"/>
        <c:lblAlgn val="ctr"/>
        <c:lblOffset val="100"/>
        <c:noMultiLvlLbl val="0"/>
      </c:catAx>
      <c:valAx>
        <c:axId val="146185600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61840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68744841764"/>
          <c:h val="0.82404629629630888"/>
        </c:manualLayout>
      </c:layout>
      <c:lineChart>
        <c:grouping val="standard"/>
        <c:varyColors val="0"/>
        <c:ser>
          <c:idx val="0"/>
          <c:order val="0"/>
          <c:tx>
            <c:strRef>
              <c:f>Marlborough!$B$76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1.175925925925926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Marlborough!$C$76:$F$76</c:f>
              <c:numCache>
                <c:formatCode>0.0</c:formatCode>
                <c:ptCount val="4"/>
                <c:pt idx="0">
                  <c:v>100</c:v>
                </c:pt>
                <c:pt idx="1">
                  <c:v>118.91206939557554</c:v>
                </c:pt>
                <c:pt idx="2">
                  <c:v>119.67836381699225</c:v>
                </c:pt>
                <c:pt idx="3">
                  <c:v>120.26402554744908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Marlborough!$B$77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3016997167138811"/>
                  <c:y val="1.1758796296296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Marlborough!$C$77:$F$77</c:f>
              <c:numCache>
                <c:formatCode>0.0</c:formatCode>
                <c:ptCount val="4"/>
                <c:pt idx="0">
                  <c:v>100</c:v>
                </c:pt>
                <c:pt idx="1">
                  <c:v>110.98711069900189</c:v>
                </c:pt>
                <c:pt idx="2">
                  <c:v>126.06074693719944</c:v>
                </c:pt>
                <c:pt idx="3">
                  <c:v>129.79827266712002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Marlborough!$B$78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5.8791666666666714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Marlborough!$C$78:$F$78</c:f>
              <c:numCache>
                <c:formatCode>0.0</c:formatCode>
                <c:ptCount val="4"/>
                <c:pt idx="0">
                  <c:v>100</c:v>
                </c:pt>
                <c:pt idx="1">
                  <c:v>109.04878327519776</c:v>
                </c:pt>
                <c:pt idx="2">
                  <c:v>115.43852754695139</c:v>
                </c:pt>
                <c:pt idx="3">
                  <c:v>114.62123017028387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Marlborough!$B$79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1246458923513004"/>
                  <c:y val="0.6114814814814816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Marlborough!$C$79:$F$79</c:f>
              <c:numCache>
                <c:formatCode>0.0</c:formatCode>
                <c:ptCount val="4"/>
                <c:pt idx="0">
                  <c:v>100</c:v>
                </c:pt>
                <c:pt idx="1">
                  <c:v>106.60295720069666</c:v>
                </c:pt>
                <c:pt idx="2">
                  <c:v>93.367089445663538</c:v>
                </c:pt>
                <c:pt idx="3">
                  <c:v>130.81779097472716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07712"/>
        <c:axId val="146338176"/>
      </c:lineChart>
      <c:catAx>
        <c:axId val="14630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6338176"/>
        <c:crosses val="autoZero"/>
        <c:auto val="1"/>
        <c:lblAlgn val="ctr"/>
        <c:lblOffset val="100"/>
        <c:noMultiLvlLbl val="0"/>
      </c:catAx>
      <c:valAx>
        <c:axId val="146338176"/>
        <c:scaling>
          <c:orientation val="minMax"/>
          <c:max val="14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630771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26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41"/>
          <c:y val="0.16445370370370369"/>
          <c:w val="0.70330041907982177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Marlborough!$B$70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Marlborough!$C$69:$F$69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Marlborough!$C$70:$F$70</c:f>
              <c:numCache>
                <c:formatCode>0</c:formatCode>
                <c:ptCount val="4"/>
                <c:pt idx="0">
                  <c:v>487.00039952170687</c:v>
                </c:pt>
                <c:pt idx="1">
                  <c:v>579.10225303598224</c:v>
                </c:pt>
                <c:pt idx="2">
                  <c:v>582.83410992979407</c:v>
                </c:pt>
                <c:pt idx="3">
                  <c:v>585.68628489696459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66464"/>
        <c:axId val="146368000"/>
      </c:lineChart>
      <c:catAx>
        <c:axId val="14636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6368000"/>
        <c:crosses val="autoZero"/>
        <c:auto val="1"/>
        <c:lblAlgn val="ctr"/>
        <c:lblOffset val="100"/>
        <c:noMultiLvlLbl val="0"/>
      </c:catAx>
      <c:valAx>
        <c:axId val="146368000"/>
        <c:scaling>
          <c:orientation val="minMax"/>
          <c:max val="800"/>
          <c:min val="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6366464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8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79"/>
          <c:y val="0.17621296296296748"/>
          <c:w val="0.73692152777777775"/>
          <c:h val="0.57282407407409675"/>
        </c:manualLayout>
      </c:layout>
      <c:lineChart>
        <c:grouping val="standard"/>
        <c:varyColors val="0"/>
        <c:ser>
          <c:idx val="1"/>
          <c:order val="0"/>
          <c:tx>
            <c:strRef>
              <c:f>Marlborough!$B$71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Marlborough!$C$69:$F$69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Marlborough!$C$71:$F$71</c:f>
              <c:numCache>
                <c:formatCode>0</c:formatCode>
                <c:ptCount val="4"/>
                <c:pt idx="0">
                  <c:v>1031.6880748689885</c:v>
                </c:pt>
                <c:pt idx="1">
                  <c:v>1145.0407857232458</c:v>
                </c:pt>
                <c:pt idx="2">
                  <c:v>1300.5536932418602</c:v>
                </c:pt>
                <c:pt idx="3">
                  <c:v>1339.1133004926107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84768"/>
        <c:axId val="146386304"/>
      </c:lineChart>
      <c:catAx>
        <c:axId val="14638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6386304"/>
        <c:crosses val="autoZero"/>
        <c:auto val="1"/>
        <c:lblAlgn val="ctr"/>
        <c:lblOffset val="100"/>
        <c:noMultiLvlLbl val="0"/>
      </c:catAx>
      <c:valAx>
        <c:axId val="146386304"/>
        <c:scaling>
          <c:orientation val="minMax"/>
          <c:max val="2000"/>
          <c:min val="1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6384768"/>
        <c:crosses val="autoZero"/>
        <c:crossBetween val="midCat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85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Marlborough!$B$72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Marlborough!$C$69:$F$69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Marlborough!$C$72:$F$72</c:f>
              <c:numCache>
                <c:formatCode>0</c:formatCode>
                <c:ptCount val="4"/>
                <c:pt idx="0">
                  <c:v>21780.307359241913</c:v>
                </c:pt>
                <c:pt idx="1">
                  <c:v>23751.160168851664</c:v>
                </c:pt>
                <c:pt idx="2">
                  <c:v>25142.866110709158</c:v>
                </c:pt>
                <c:pt idx="3">
                  <c:v>24964.85623003195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23168"/>
        <c:axId val="146441344"/>
      </c:lineChart>
      <c:catAx>
        <c:axId val="14642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6441344"/>
        <c:crosses val="autoZero"/>
        <c:auto val="1"/>
        <c:lblAlgn val="ctr"/>
        <c:lblOffset val="100"/>
        <c:noMultiLvlLbl val="0"/>
      </c:catAx>
      <c:valAx>
        <c:axId val="146441344"/>
        <c:scaling>
          <c:orientation val="minMax"/>
          <c:max val="30000"/>
          <c:min val="1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6423168"/>
        <c:crosses val="autoZero"/>
        <c:crossBetween val="midCat"/>
        <c:majorUnit val="3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Marlborough!$B$73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Marlborough!$C$69:$F$69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Marlborough!$C$73:$F$73</c:f>
              <c:numCache>
                <c:formatCode>0</c:formatCode>
                <c:ptCount val="4"/>
                <c:pt idx="0">
                  <c:v>204253.5636850959</c:v>
                </c:pt>
                <c:pt idx="1">
                  <c:v>217740.33907612046</c:v>
                </c:pt>
                <c:pt idx="2">
                  <c:v>190705.60750181883</c:v>
                </c:pt>
                <c:pt idx="3">
                  <c:v>267200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65920"/>
        <c:axId val="146467456"/>
      </c:lineChart>
      <c:catAx>
        <c:axId val="14646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6467456"/>
        <c:crosses val="autoZero"/>
        <c:auto val="1"/>
        <c:lblAlgn val="ctr"/>
        <c:lblOffset val="100"/>
        <c:noMultiLvlLbl val="0"/>
      </c:catAx>
      <c:valAx>
        <c:axId val="146467456"/>
        <c:scaling>
          <c:orientation val="minMax"/>
          <c:max val="300000"/>
          <c:min val="15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6465920"/>
        <c:crosses val="autoZero"/>
        <c:crossBetween val="midCat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78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Marlborough!$B$105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1631162507608E-4"/>
                  <c:y val="-2.351898148148147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Marlborough!$C$105:$F$105</c:f>
              <c:numCache>
                <c:formatCode>0.0</c:formatCode>
                <c:ptCount val="4"/>
                <c:pt idx="0">
                  <c:v>100</c:v>
                </c:pt>
                <c:pt idx="1">
                  <c:v>101.49126544524924</c:v>
                </c:pt>
                <c:pt idx="2">
                  <c:v>113.39095501856474</c:v>
                </c:pt>
                <c:pt idx="3">
                  <c:v>114.90048085702111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Marlborough!$B$106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7670985131727956"/>
                  <c:y val="-1.763981481481481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Marlborough!$C$106:$F$106</c:f>
              <c:numCache>
                <c:formatCode>0.0</c:formatCode>
                <c:ptCount val="4"/>
                <c:pt idx="0">
                  <c:v>100</c:v>
                </c:pt>
                <c:pt idx="1">
                  <c:v>100.51079976649153</c:v>
                </c:pt>
                <c:pt idx="2">
                  <c:v>74.897840046701688</c:v>
                </c:pt>
                <c:pt idx="3">
                  <c:v>74.065966141272625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Marlborough!$B$107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687940179117935E-5"/>
                  <c:y val="-4.115740740740739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Marlborough!$C$107:$F$107</c:f>
              <c:numCache>
                <c:formatCode>0.0</c:formatCode>
                <c:ptCount val="4"/>
                <c:pt idx="0">
                  <c:v>100</c:v>
                </c:pt>
                <c:pt idx="1">
                  <c:v>102.01342281879195</c:v>
                </c:pt>
                <c:pt idx="2">
                  <c:v>103.02013422818791</c:v>
                </c:pt>
                <c:pt idx="3">
                  <c:v>105.03355704697988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19168"/>
        <c:axId val="146520704"/>
      </c:lineChart>
      <c:catAx>
        <c:axId val="14651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6520704"/>
        <c:crosses val="autoZero"/>
        <c:auto val="1"/>
        <c:lblAlgn val="ctr"/>
        <c:lblOffset val="100"/>
        <c:noMultiLvlLbl val="0"/>
      </c:catAx>
      <c:valAx>
        <c:axId val="146520704"/>
        <c:scaling>
          <c:orientation val="minMax"/>
          <c:max val="130"/>
          <c:min val="7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65191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Marlborough!$B$98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Marlborough!$C$97:$F$97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Marlborough!$C$98:$F$98</c:f>
              <c:numCache>
                <c:formatCode>General</c:formatCode>
                <c:ptCount val="4"/>
                <c:pt idx="0">
                  <c:v>16429</c:v>
                </c:pt>
                <c:pt idx="1">
                  <c:v>16674</c:v>
                </c:pt>
                <c:pt idx="2">
                  <c:v>18629</c:v>
                </c:pt>
                <c:pt idx="3">
                  <c:v>18877</c:v>
                </c:pt>
              </c:numCache>
            </c:numRef>
          </c:val>
        </c:ser>
        <c:ser>
          <c:idx val="1"/>
          <c:order val="1"/>
          <c:tx>
            <c:strRef>
              <c:f>Marlborough!$B$99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Marlborough!$C$97:$F$97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Marlborough!$C$99:$F$99</c:f>
              <c:numCache>
                <c:formatCode>General</c:formatCode>
                <c:ptCount val="4"/>
                <c:pt idx="0">
                  <c:v>6852</c:v>
                </c:pt>
                <c:pt idx="1">
                  <c:v>6887</c:v>
                </c:pt>
                <c:pt idx="2">
                  <c:v>5132</c:v>
                </c:pt>
                <c:pt idx="3">
                  <c:v>5075</c:v>
                </c:pt>
              </c:numCache>
            </c:numRef>
          </c:val>
        </c:ser>
        <c:ser>
          <c:idx val="2"/>
          <c:order val="2"/>
          <c:tx>
            <c:strRef>
              <c:f>Marlborough!$B$100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Marlborough!$C$97:$F$97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Marlborough!$C$100:$F$100</c:f>
              <c:numCache>
                <c:formatCode>General</c:formatCode>
                <c:ptCount val="4"/>
                <c:pt idx="0">
                  <c:v>298</c:v>
                </c:pt>
                <c:pt idx="1">
                  <c:v>304</c:v>
                </c:pt>
                <c:pt idx="2">
                  <c:v>307</c:v>
                </c:pt>
                <c:pt idx="3">
                  <c:v>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641664"/>
        <c:axId val="146643200"/>
      </c:barChart>
      <c:catAx>
        <c:axId val="14664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6643200"/>
        <c:crosses val="autoZero"/>
        <c:auto val="1"/>
        <c:lblAlgn val="ctr"/>
        <c:lblOffset val="100"/>
        <c:noMultiLvlLbl val="0"/>
      </c:catAx>
      <c:valAx>
        <c:axId val="14664320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6641664"/>
        <c:crosses val="autoZero"/>
        <c:crossBetween val="between"/>
        <c:majorUnit val="5000"/>
      </c:valAx>
    </c:plotArea>
    <c:legend>
      <c:legendPos val="t"/>
      <c:layout>
        <c:manualLayout>
          <c:xMode val="edge"/>
          <c:yMode val="edge"/>
          <c:x val="0"/>
          <c:y val="3.5277777777779303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Marlborough!$B$209</c:f>
              <c:strCache>
                <c:ptCount val="1"/>
                <c:pt idx="0">
                  <c:v>Marlborough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Marlborough!$C$204:$F$204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Marlborough!$C$209:$F$209</c:f>
              <c:numCache>
                <c:formatCode>_(* #,##0.00_);_(* \(#,##0.00\);_(* "-"??_);_(@_)</c:formatCode>
                <c:ptCount val="4"/>
                <c:pt idx="0">
                  <c:v>37577.628138677261</c:v>
                </c:pt>
                <c:pt idx="1">
                  <c:v>37669.022036691647</c:v>
                </c:pt>
                <c:pt idx="2">
                  <c:v>40238.567280540447</c:v>
                </c:pt>
                <c:pt idx="3">
                  <c:v>41889.017734959358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Marlborough!$B$210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6.7245863585146965E-3"/>
                  <c:y val="-5.66844400654102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Marlborough!$C$204:$F$204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52192"/>
        <c:axId val="146953728"/>
      </c:lineChart>
      <c:catAx>
        <c:axId val="1469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6953728"/>
        <c:crosses val="autoZero"/>
        <c:auto val="1"/>
        <c:lblAlgn val="ctr"/>
        <c:lblOffset val="100"/>
        <c:noMultiLvlLbl val="0"/>
      </c:catAx>
      <c:valAx>
        <c:axId val="146953728"/>
        <c:scaling>
          <c:orientation val="minMax"/>
          <c:max val="45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6952192"/>
        <c:crosses val="autoZero"/>
        <c:crossBetween val="midCat"/>
        <c:majorUnit val="9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23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Marlborough!$C$204:$F$204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Marlborough!$C$212:$F$212</c:f>
              <c:numCache>
                <c:formatCode>_(* #,##0.00_);_(* \(#,##0.00\);_(* "-"??_);_(@_)</c:formatCode>
                <c:ptCount val="4"/>
                <c:pt idx="0">
                  <c:v>8.0579535188555124E-2</c:v>
                </c:pt>
                <c:pt idx="1">
                  <c:v>7.7447650509036889E-2</c:v>
                </c:pt>
                <c:pt idx="2">
                  <c:v>8.2787302528923398E-2</c:v>
                </c:pt>
                <c:pt idx="3">
                  <c:v>7.8842274333772694E-2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426659205447034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Marlborough!$C$204:$F$204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17728"/>
        <c:axId val="147019264"/>
      </c:lineChart>
      <c:catAx>
        <c:axId val="14701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7019264"/>
        <c:crosses val="autoZero"/>
        <c:auto val="1"/>
        <c:lblAlgn val="ctr"/>
        <c:lblOffset val="100"/>
        <c:noMultiLvlLbl val="0"/>
      </c:catAx>
      <c:valAx>
        <c:axId val="147019264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7017728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643E-2"/>
          <c:y val="5.1489936964064897E-2"/>
          <c:w val="0.84459131069340276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Aurora!$B$84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219616977948626E-5"/>
                  <c:y val="-4.70372584180118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Aurora!$C$84:$F$84</c:f>
              <c:numCache>
                <c:formatCode>0.00</c:formatCode>
                <c:ptCount val="4"/>
                <c:pt idx="0">
                  <c:v>6.8517668326835066</c:v>
                </c:pt>
                <c:pt idx="1">
                  <c:v>7.2640128879725472</c:v>
                </c:pt>
                <c:pt idx="2">
                  <c:v>7.0794657903031535</c:v>
                </c:pt>
                <c:pt idx="3">
                  <c:v>7.1772287658774667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Aurora!$B$85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193798557741445E-5"/>
                  <c:y val="3.527794381350980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Aurora!$C$85:$F$85</c:f>
              <c:numCache>
                <c:formatCode>0.00</c:formatCode>
                <c:ptCount val="4"/>
                <c:pt idx="0">
                  <c:v>5.2478859488222094</c:v>
                </c:pt>
                <c:pt idx="1">
                  <c:v>5.5138432317132153</c:v>
                </c:pt>
                <c:pt idx="2">
                  <c:v>6.1599941237823499</c:v>
                </c:pt>
                <c:pt idx="3">
                  <c:v>6.2494031861234935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Aurora!$B$86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655070927428586E-5"/>
                  <c:y val="-4.11576011157601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Aurora!$C$86:$F$86</c:f>
              <c:numCache>
                <c:formatCode>0.00</c:formatCode>
                <c:ptCount val="4"/>
                <c:pt idx="0">
                  <c:v>3.9884692707180363</c:v>
                </c:pt>
                <c:pt idx="1">
                  <c:v>4.4862061737656456</c:v>
                </c:pt>
                <c:pt idx="2">
                  <c:v>4.0395583739603325</c:v>
                </c:pt>
                <c:pt idx="3">
                  <c:v>3.9533238344380397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Aurora!$B$87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9167980137533837E-5"/>
                  <c:y val="4.70372584180118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Aurora!$C$87:$F$87</c:f>
              <c:numCache>
                <c:formatCode>0.00</c:formatCode>
                <c:ptCount val="4"/>
                <c:pt idx="0">
                  <c:v>1.9254783668915179</c:v>
                </c:pt>
                <c:pt idx="1">
                  <c:v>2.2139715032770311</c:v>
                </c:pt>
                <c:pt idx="2">
                  <c:v>2.3328662832080056</c:v>
                </c:pt>
                <c:pt idx="3">
                  <c:v>2.4063761610421861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91040"/>
        <c:axId val="117192576"/>
      </c:lineChart>
      <c:catAx>
        <c:axId val="1171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7192576"/>
        <c:crosses val="autoZero"/>
        <c:auto val="1"/>
        <c:lblAlgn val="ctr"/>
        <c:lblOffset val="100"/>
        <c:noMultiLvlLbl val="0"/>
      </c:catAx>
      <c:valAx>
        <c:axId val="11719257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719104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196"/>
          <c:w val="0.79809047321242665"/>
          <c:h val="0.72979551178440261"/>
        </c:manualLayout>
      </c:layout>
      <c:lineChart>
        <c:grouping val="standard"/>
        <c:varyColors val="0"/>
        <c:ser>
          <c:idx val="0"/>
          <c:order val="0"/>
          <c:tx>
            <c:strRef>
              <c:f>Marlborough!$B$206</c:f>
              <c:strCache>
                <c:ptCount val="1"/>
                <c:pt idx="0">
                  <c:v>Marlborough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Marlborough!$C$204:$F$204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Marlborough!$C$206:$F$206</c:f>
              <c:numCache>
                <c:formatCode>_(* #,##0.00_);_(* \(#,##0.00\);_(* "-"??_);_(@_)</c:formatCode>
                <c:ptCount val="4"/>
                <c:pt idx="0">
                  <c:v>554.72896433352662</c:v>
                </c:pt>
                <c:pt idx="1">
                  <c:v>557.18502587530884</c:v>
                </c:pt>
                <c:pt idx="2">
                  <c:v>615.91601866258543</c:v>
                </c:pt>
                <c:pt idx="3">
                  <c:v>628.1005356407087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Marlborough!$B$207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5988850572340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Marlborough!$C$204:$F$204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51264"/>
        <c:axId val="147052800"/>
      </c:lineChart>
      <c:catAx>
        <c:axId val="14705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7052800"/>
        <c:crosses val="autoZero"/>
        <c:auto val="1"/>
        <c:lblAlgn val="ctr"/>
        <c:lblOffset val="100"/>
        <c:noMultiLvlLbl val="0"/>
      </c:catAx>
      <c:valAx>
        <c:axId val="147052800"/>
        <c:scaling>
          <c:orientation val="minMax"/>
          <c:max val="65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7051264"/>
        <c:crosses val="autoZero"/>
        <c:crossBetween val="midCat"/>
        <c:majorUnit val="13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508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Marlborough!$B$162</c:f>
              <c:strCache>
                <c:ptCount val="1"/>
                <c:pt idx="0">
                  <c:v>Marlborough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Marlborough!$C$160:$F$160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Marlborough!$C$162:$F$162</c:f>
              <c:numCache>
                <c:formatCode>_(* #,##0.00_);_(* \(#,##0.00\);_(* "-"??_);_(@_)</c:formatCode>
                <c:ptCount val="4"/>
                <c:pt idx="0">
                  <c:v>623.11582305976935</c:v>
                </c:pt>
                <c:pt idx="1">
                  <c:v>609.66133771418333</c:v>
                </c:pt>
                <c:pt idx="2">
                  <c:v>662.00387723112351</c:v>
                </c:pt>
                <c:pt idx="3">
                  <c:v>686.62546353522873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Marlborough!$B$163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2730151815203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Marlborough!$C$160:$F$160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10528"/>
        <c:axId val="146712064"/>
      </c:lineChart>
      <c:catAx>
        <c:axId val="1467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6712064"/>
        <c:crosses val="autoZero"/>
        <c:auto val="1"/>
        <c:lblAlgn val="ctr"/>
        <c:lblOffset val="100"/>
        <c:noMultiLvlLbl val="0"/>
      </c:catAx>
      <c:valAx>
        <c:axId val="146712064"/>
        <c:scaling>
          <c:orientation val="minMax"/>
          <c:max val="7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6710528"/>
        <c:crosses val="autoZero"/>
        <c:crossBetween val="midCat"/>
        <c:majorUnit val="14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725058907738344"/>
          <c:y val="0.14255777777777778"/>
          <c:w val="0.66912555315805622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Marlborough!$C$160:$F$160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Marlborough!$C$165:$F$165</c:f>
              <c:numCache>
                <c:formatCode>_(* #,##0.00_);_(* \(#,##0.00\);_(* "-"??_);_(@_)</c:formatCode>
                <c:ptCount val="4"/>
                <c:pt idx="0">
                  <c:v>4242.792025716657</c:v>
                </c:pt>
                <c:pt idx="1">
                  <c:v>4383.3181118185403</c:v>
                </c:pt>
                <c:pt idx="2">
                  <c:v>4779.9698070140485</c:v>
                </c:pt>
                <c:pt idx="3">
                  <c:v>4975.9331143624959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2730151815203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Marlborough!$C$160:$F$160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58272"/>
        <c:axId val="146776448"/>
      </c:lineChart>
      <c:catAx>
        <c:axId val="14675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776448"/>
        <c:crosses val="autoZero"/>
        <c:auto val="1"/>
        <c:lblAlgn val="ctr"/>
        <c:lblOffset val="100"/>
        <c:noMultiLvlLbl val="0"/>
      </c:catAx>
      <c:valAx>
        <c:axId val="146776448"/>
        <c:scaling>
          <c:orientation val="minMax"/>
          <c:max val="9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46758272"/>
        <c:crosses val="autoZero"/>
        <c:crossBetween val="midCat"/>
        <c:majorUnit val="18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20078265003841"/>
          <c:y val="0.13550222222222241"/>
          <c:w val="0.73617535958538904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Marlborough!$B$168</c:f>
              <c:strCache>
                <c:ptCount val="1"/>
                <c:pt idx="0">
                  <c:v>Marlborough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Marlborough!$C$160:$F$160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Marlborough!$C$168:$F$168</c:f>
              <c:numCache>
                <c:formatCode>_(* #,##0.00_);_(* \(#,##0.00\);_(* "-"??_);_(@_)</c:formatCode>
                <c:ptCount val="4"/>
                <c:pt idx="0">
                  <c:v>42.210189465044067</c:v>
                </c:pt>
                <c:pt idx="1">
                  <c:v>41.21673286032248</c:v>
                </c:pt>
                <c:pt idx="2">
                  <c:v>43.249544981450185</c:v>
                </c:pt>
                <c:pt idx="3">
                  <c:v>45.792137702863869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Marlborough!$B$169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631201735031018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Marlborough!$C$160:$F$160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98464"/>
        <c:axId val="146800000"/>
      </c:lineChart>
      <c:catAx>
        <c:axId val="1467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6800000"/>
        <c:crosses val="autoZero"/>
        <c:auto val="1"/>
        <c:lblAlgn val="ctr"/>
        <c:lblOffset val="100"/>
        <c:noMultiLvlLbl val="0"/>
      </c:catAx>
      <c:valAx>
        <c:axId val="146800000"/>
        <c:scaling>
          <c:orientation val="minMax"/>
          <c:max val="5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679846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713"/>
          <c:h val="0.77599166666669706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Marlborough!$B$178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Marlborough!$C$178:$D$178</c:f>
              <c:numCache>
                <c:formatCode>_-* #,##0_-;\-* #,##0_-;_-* "-"??_-;_-@_-</c:formatCode>
                <c:ptCount val="2"/>
                <c:pt idx="0">
                  <c:v>7093.233839023469</c:v>
                </c:pt>
                <c:pt idx="1">
                  <c:v>7649.4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47335808"/>
        <c:axId val="147337600"/>
      </c:barChart>
      <c:lineChart>
        <c:grouping val="standard"/>
        <c:varyColors val="0"/>
        <c:ser>
          <c:idx val="1"/>
          <c:order val="0"/>
          <c:tx>
            <c:strRef>
              <c:f>Marlborough!$B$179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Marlborough!$C$177:$D$177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Marlborough!$C$179:$D$179</c:f>
              <c:numCache>
                <c:formatCode>_-* #,##0_-;\-* #,##0_-;_-* "-"??_-;_-@_-</c:formatCode>
                <c:ptCount val="2"/>
                <c:pt idx="0">
                  <c:v>6347.3444531271043</c:v>
                </c:pt>
                <c:pt idx="1">
                  <c:v>6591.8649457034289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Marlborough!$B$180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Marlborough!$C$177:$D$177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Marlborough!$C$180:$D$180</c:f>
              <c:numCache>
                <c:formatCode>_-* #,##0_-;\-* #,##0_-;_-* "-"??_-;_-@_-</c:formatCode>
                <c:ptCount val="2"/>
                <c:pt idx="1">
                  <c:v>5950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335808"/>
        <c:axId val="147337600"/>
      </c:lineChart>
      <c:catAx>
        <c:axId val="14733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7337600"/>
        <c:crosses val="autoZero"/>
        <c:auto val="1"/>
        <c:lblAlgn val="ctr"/>
        <c:lblOffset val="100"/>
        <c:noMultiLvlLbl val="0"/>
      </c:catAx>
      <c:valAx>
        <c:axId val="14733760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7335808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276"/>
          <c:y val="3.5277777777779344E-2"/>
          <c:w val="0.7717227593675055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Marlborough!$V$177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17642673611111367"/>
                  <c:y val="-4.11574074074074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Marlborough!$W$177:$AC$177</c:f>
              <c:numCache>
                <c:formatCode>General</c:formatCode>
                <c:ptCount val="7"/>
                <c:pt idx="0">
                  <c:v>6347.3444531271043</c:v>
                </c:pt>
                <c:pt idx="1">
                  <c:v>6591.8649457034289</c:v>
                </c:pt>
                <c:pt idx="2">
                  <c:v>6846.573792137101</c:v>
                </c:pt>
                <c:pt idx="3">
                  <c:v>7111.4709924281196</c:v>
                </c:pt>
                <c:pt idx="4">
                  <c:v>7376.3681927191392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Marlborough!$V$178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060847222222238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Marlborough!$W$178:$AC$178</c:f>
              <c:numCache>
                <c:formatCode>General</c:formatCode>
                <c:ptCount val="7"/>
                <c:pt idx="1">
                  <c:v>5950</c:v>
                </c:pt>
                <c:pt idx="2">
                  <c:v>5990</c:v>
                </c:pt>
                <c:pt idx="3">
                  <c:v>6030</c:v>
                </c:pt>
                <c:pt idx="4">
                  <c:v>6070</c:v>
                </c:pt>
                <c:pt idx="5">
                  <c:v>6110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Marlborough!$V$179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77777777779009E-5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Marlborough!$W$179:$AC$179</c:f>
              <c:numCache>
                <c:formatCode>General</c:formatCode>
                <c:ptCount val="7"/>
                <c:pt idx="2">
                  <c:v>6671.3753070458952</c:v>
                </c:pt>
                <c:pt idx="3">
                  <c:v>6759.362378797673</c:v>
                </c:pt>
                <c:pt idx="4">
                  <c:v>6962.710277957337</c:v>
                </c:pt>
                <c:pt idx="5">
                  <c:v>7191.476664511958</c:v>
                </c:pt>
                <c:pt idx="6">
                  <c:v>7299.9940530058175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Marlborough!$V$176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1050351530118277"/>
                  <c:y val="-8.484433734846784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Marlborough!$C$178:$I$178</c:f>
              <c:numCache>
                <c:formatCode>_-* #,##0_-;\-* #,##0_-;_-* "-"??_-;_-@_-</c:formatCode>
                <c:ptCount val="7"/>
                <c:pt idx="0">
                  <c:v>7093.233839023469</c:v>
                </c:pt>
                <c:pt idx="1">
                  <c:v>7649.4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66880"/>
        <c:axId val="147068416"/>
      </c:lineChart>
      <c:catAx>
        <c:axId val="1470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7068416"/>
        <c:crosses val="autoZero"/>
        <c:auto val="1"/>
        <c:lblAlgn val="ctr"/>
        <c:lblOffset val="100"/>
        <c:noMultiLvlLbl val="0"/>
      </c:catAx>
      <c:valAx>
        <c:axId val="147068416"/>
        <c:scaling>
          <c:orientation val="minMax"/>
          <c:max val="10000"/>
          <c:min val="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7066880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6944"/>
          <c:h val="0.7757828703703894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Marlborough!$B$222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Marlborough!$C$222:$D$222</c:f>
              <c:numCache>
                <c:formatCode>_-* #,##0_-;\-* #,##0_-;_-* "-"??_-;_-@_-</c:formatCode>
                <c:ptCount val="2"/>
                <c:pt idx="0">
                  <c:v>14094.553443722883</c:v>
                </c:pt>
                <c:pt idx="1">
                  <c:v>14558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47108224"/>
        <c:axId val="147109760"/>
      </c:barChart>
      <c:lineChart>
        <c:grouping val="standard"/>
        <c:varyColors val="0"/>
        <c:ser>
          <c:idx val="1"/>
          <c:order val="0"/>
          <c:tx>
            <c:strRef>
              <c:f>Marlborough!$B$223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Marlborough!$C$221:$D$221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Marlborough!$C$223:$D$223</c:f>
              <c:numCache>
                <c:formatCode>_-* #,##0_-;\-* #,##0_-;_-* "-"??_-;_-@_-</c:formatCode>
                <c:ptCount val="2"/>
                <c:pt idx="0">
                  <c:v>13912.197192207161</c:v>
                </c:pt>
                <c:pt idx="1">
                  <c:v>10264.766511276979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Marlborough!$B$224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Marlborough!$C$221:$D$221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Marlborough!$C$224:$D$224</c:f>
              <c:numCache>
                <c:formatCode>_-* #,##0_-;\-* #,##0_-;_-* "-"??_-;_-@_-</c:formatCode>
                <c:ptCount val="2"/>
                <c:pt idx="1">
                  <c:v>13724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08224"/>
        <c:axId val="147109760"/>
      </c:lineChart>
      <c:catAx>
        <c:axId val="14710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7109760"/>
        <c:crosses val="autoZero"/>
        <c:auto val="1"/>
        <c:lblAlgn val="ctr"/>
        <c:lblOffset val="100"/>
        <c:noMultiLvlLbl val="0"/>
      </c:catAx>
      <c:valAx>
        <c:axId val="14710976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7108224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543E-3"/>
          <c:w val="0.90316284722220608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Marlborough!$V$221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55190293307625349"/>
                  <c:y val="0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Marlborough!$W$221:$AC$221</c:f>
              <c:numCache>
                <c:formatCode>General</c:formatCode>
                <c:ptCount val="7"/>
                <c:pt idx="0">
                  <c:v>13912.197192207161</c:v>
                </c:pt>
                <c:pt idx="1">
                  <c:v>10264.766511276979</c:v>
                </c:pt>
                <c:pt idx="2">
                  <c:v>10865.879388860445</c:v>
                </c:pt>
                <c:pt idx="3">
                  <c:v>11273.41354315432</c:v>
                </c:pt>
                <c:pt idx="4">
                  <c:v>9938.7391878418784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Marlborough!$V$222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9.269671420478065E-2"/>
                  <c:y val="-4.11574074074074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Marlborough!$W$222:$AC$222</c:f>
              <c:numCache>
                <c:formatCode>General</c:formatCode>
                <c:ptCount val="7"/>
                <c:pt idx="1">
                  <c:v>13724</c:v>
                </c:pt>
                <c:pt idx="2">
                  <c:v>13231</c:v>
                </c:pt>
                <c:pt idx="3">
                  <c:v>10925</c:v>
                </c:pt>
                <c:pt idx="4">
                  <c:v>9395</c:v>
                </c:pt>
                <c:pt idx="5">
                  <c:v>10095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Marlborough!$V$223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5837227605284453E-2"/>
                  <c:y val="-8.231527777777768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Marlborough!$W$223:$AC$223</c:f>
              <c:numCache>
                <c:formatCode>General</c:formatCode>
                <c:ptCount val="7"/>
                <c:pt idx="2">
                  <c:v>12185.720620555914</c:v>
                </c:pt>
                <c:pt idx="3">
                  <c:v>8172.5325145442794</c:v>
                </c:pt>
                <c:pt idx="4">
                  <c:v>11042.377504848093</c:v>
                </c:pt>
                <c:pt idx="5">
                  <c:v>11291.185391079509</c:v>
                </c:pt>
                <c:pt idx="6">
                  <c:v>11775.114285714286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Marlborough!$V$220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0629948165644022"/>
                  <c:y val="-5.799122154747674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Marlborough!$W$220:$AC$220</c:f>
              <c:numCache>
                <c:formatCode>General</c:formatCode>
                <c:ptCount val="7"/>
                <c:pt idx="0">
                  <c:v>14094.553443722883</c:v>
                </c:pt>
                <c:pt idx="1">
                  <c:v>14558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44928"/>
        <c:axId val="147246464"/>
      </c:lineChart>
      <c:catAx>
        <c:axId val="14724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7246464"/>
        <c:crosses val="autoZero"/>
        <c:auto val="1"/>
        <c:lblAlgn val="ctr"/>
        <c:lblOffset val="100"/>
        <c:noMultiLvlLbl val="0"/>
      </c:catAx>
      <c:valAx>
        <c:axId val="147246464"/>
        <c:scaling>
          <c:orientation val="minMax"/>
          <c:max val="16000"/>
          <c:min val="8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7244928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12"/>
          <c:y val="6.4675925925925928E-2"/>
          <c:w val="0.78322918557855903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Marlborough!$B$237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1.7654493743324066E-2"/>
                  <c:y val="-2.3518981481481478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Marlborough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Marlborough!$C$236:$F$236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Marlborough!$C$237:$F$237</c:f>
              <c:numCache>
                <c:formatCode>_(* #,##0.00_);_(* \(#,##0.00\);_(* "-"??_);_(@_)</c:formatCode>
                <c:ptCount val="4"/>
                <c:pt idx="0">
                  <c:v>2.95</c:v>
                </c:pt>
                <c:pt idx="1">
                  <c:v>1.98</c:v>
                </c:pt>
                <c:pt idx="2">
                  <c:v>2.83</c:v>
                </c:pt>
                <c:pt idx="3">
                  <c:v>2.84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Marlborough!$B$239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-4.6296296296297827E-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Marlborough!$C$236:$F$236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92544"/>
        <c:axId val="147294080"/>
      </c:lineChart>
      <c:catAx>
        <c:axId val="14729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7294080"/>
        <c:crosses val="autoZero"/>
        <c:auto val="1"/>
        <c:lblAlgn val="ctr"/>
        <c:lblOffset val="100"/>
        <c:noMultiLvlLbl val="0"/>
      </c:catAx>
      <c:valAx>
        <c:axId val="147294080"/>
        <c:scaling>
          <c:orientation val="minMax"/>
          <c:max val="5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729254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3159722222223"/>
          <c:y val="6.4675925925925928E-2"/>
          <c:w val="0.76542083333335587"/>
          <c:h val="0.80984259259260005"/>
        </c:manualLayout>
      </c:layout>
      <c:lineChart>
        <c:grouping val="standard"/>
        <c:varyColors val="0"/>
        <c:ser>
          <c:idx val="1"/>
          <c:order val="0"/>
          <c:tx>
            <c:strRef>
              <c:f>Marlborough!$B$230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5278703703703812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Marlborough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Marlborough!$C$230:$F$230</c:f>
              <c:numCache>
                <c:formatCode>_(* #,##0.00_);_(* \(#,##0.00\);_(* "-"??_);_(@_)</c:formatCode>
                <c:ptCount val="4"/>
                <c:pt idx="0">
                  <c:v>265.3</c:v>
                </c:pt>
                <c:pt idx="1">
                  <c:v>249.88</c:v>
                </c:pt>
                <c:pt idx="2">
                  <c:v>283.78999999999996</c:v>
                </c:pt>
                <c:pt idx="3">
                  <c:v>422.92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Marlborough!$B$232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4722222222223082E-7"/>
                  <c:y val="-1.17597222222222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Marlborough!$C$229:$F$229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63488"/>
        <c:axId val="147677568"/>
      </c:lineChart>
      <c:catAx>
        <c:axId val="1476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7677568"/>
        <c:crosses val="autoZero"/>
        <c:auto val="1"/>
        <c:lblAlgn val="ctr"/>
        <c:lblOffset val="100"/>
        <c:noMultiLvlLbl val="0"/>
      </c:catAx>
      <c:valAx>
        <c:axId val="147677568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76634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29902E-2"/>
          <c:y val="5.8338380979806134E-2"/>
          <c:w val="0.83883540276753665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Aurora!$B$90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737776122814E-3"/>
                  <c:y val="-3.38613269575612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Aurora!$C$90:$F$90</c:f>
              <c:numCache>
                <c:formatCode>0.0</c:formatCode>
                <c:ptCount val="4"/>
                <c:pt idx="0">
                  <c:v>100</c:v>
                </c:pt>
                <c:pt idx="1">
                  <c:v>106.0166387058385</c:v>
                </c:pt>
                <c:pt idx="2">
                  <c:v>103.3232152111993</c:v>
                </c:pt>
                <c:pt idx="3">
                  <c:v>104.75004391044773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Aurora!$B$91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7544664217008E-3"/>
                  <c:y val="-4.11576011157601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Aurora!$C$91:$F$91</c:f>
              <c:numCache>
                <c:formatCode>0.0</c:formatCode>
                <c:ptCount val="4"/>
                <c:pt idx="0">
                  <c:v>100</c:v>
                </c:pt>
                <c:pt idx="1">
                  <c:v>105.0678937287251</c:v>
                </c:pt>
                <c:pt idx="2">
                  <c:v>117.38048775935854</c:v>
                </c:pt>
                <c:pt idx="3">
                  <c:v>119.08420356440969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Aurora!$B$92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201089397533416E-3"/>
                  <c:y val="1.585375572823298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Aurora!$C$92:$F$92</c:f>
              <c:numCache>
                <c:formatCode>0.0</c:formatCode>
                <c:ptCount val="4"/>
                <c:pt idx="0">
                  <c:v>100</c:v>
                </c:pt>
                <c:pt idx="1">
                  <c:v>112.47939671246365</c:v>
                </c:pt>
                <c:pt idx="2">
                  <c:v>101.28092006668761</c:v>
                </c:pt>
                <c:pt idx="3">
                  <c:v>99.11882394235748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Aurora!$B$93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737776122814E-3"/>
                  <c:y val="-3.527794381350975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Aurora!$C$93:$F$93</c:f>
              <c:numCache>
                <c:formatCode>0.0</c:formatCode>
                <c:ptCount val="4"/>
                <c:pt idx="0">
                  <c:v>100</c:v>
                </c:pt>
                <c:pt idx="1">
                  <c:v>114.98293314254447</c:v>
                </c:pt>
                <c:pt idx="2">
                  <c:v>121.15775089045393</c:v>
                </c:pt>
                <c:pt idx="3">
                  <c:v>124.97549712423033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35168"/>
        <c:axId val="117336704"/>
      </c:lineChart>
      <c:catAx>
        <c:axId val="11733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7336704"/>
        <c:crosses val="autoZero"/>
        <c:auto val="1"/>
        <c:lblAlgn val="ctr"/>
        <c:lblOffset val="100"/>
        <c:noMultiLvlLbl val="0"/>
      </c:catAx>
      <c:valAx>
        <c:axId val="117336704"/>
        <c:scaling>
          <c:orientation val="minMax"/>
          <c:max val="13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7335168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761"/>
          <c:h val="0.70204027777778966"/>
        </c:manualLayout>
      </c:layout>
      <c:barChart>
        <c:barDir val="col"/>
        <c:grouping val="clustered"/>
        <c:varyColors val="0"/>
        <c:ser>
          <c:idx val="0"/>
          <c:order val="0"/>
          <c:tx>
            <c:v>Smaller connection points</c:v>
          </c:tx>
          <c:invertIfNegative val="0"/>
          <c:cat>
            <c:numRef>
              <c:f>Buller!$V$53:$Y$53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Marlborough!$V$54:$Y$54</c:f>
              <c:numCache>
                <c:formatCode>0</c:formatCode>
                <c:ptCount val="4"/>
                <c:pt idx="0">
                  <c:v>15070.056252744431</c:v>
                </c:pt>
                <c:pt idx="1">
                  <c:v>17541.846858397963</c:v>
                </c:pt>
                <c:pt idx="2">
                  <c:v>17532.058187599359</c:v>
                </c:pt>
                <c:pt idx="3">
                  <c:v>17852</c:v>
                </c:pt>
              </c:numCache>
            </c:numRef>
          </c:val>
        </c:ser>
        <c:ser>
          <c:idx val="1"/>
          <c:order val="1"/>
          <c:tx>
            <c:v>Larger connection points</c:v>
          </c:tx>
          <c:spPr>
            <a:solidFill>
              <a:srgbClr val="4785D1"/>
            </a:solidFill>
          </c:spPr>
          <c:invertIfNegative val="0"/>
          <c:cat>
            <c:numRef>
              <c:f>Buller!$V$53:$Y$53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Marlborough!$V$55:$Y$55</c:f>
              <c:numCache>
                <c:formatCode>0</c:formatCode>
                <c:ptCount val="4"/>
                <c:pt idx="0">
                  <c:v>6490.5315930540901</c:v>
                </c:pt>
                <c:pt idx="1">
                  <c:v>7220.3526913309061</c:v>
                </c:pt>
                <c:pt idx="2">
                  <c:v>7718.8598959877108</c:v>
                </c:pt>
                <c:pt idx="3">
                  <c:v>7814</c:v>
                </c:pt>
              </c:numCache>
            </c:numRef>
          </c:val>
        </c:ser>
        <c:ser>
          <c:idx val="3"/>
          <c:order val="2"/>
          <c:tx>
            <c:strRef>
              <c:f>Buller!$B$57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Buller!$V$53:$Y$53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Marlborough!$V$57:$Y$57</c:f>
              <c:numCache>
                <c:formatCode>0</c:formatCode>
                <c:ptCount val="4"/>
                <c:pt idx="0">
                  <c:v>1021.2678184254796</c:v>
                </c:pt>
                <c:pt idx="1">
                  <c:v>1088.7016953806024</c:v>
                </c:pt>
                <c:pt idx="2">
                  <c:v>953.52803750909413</c:v>
                </c:pt>
                <c:pt idx="3">
                  <c:v>1336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712256"/>
        <c:axId val="147394560"/>
      </c:barChart>
      <c:catAx>
        <c:axId val="1477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7394560"/>
        <c:crosses val="autoZero"/>
        <c:auto val="1"/>
        <c:lblAlgn val="ctr"/>
        <c:lblOffset val="100"/>
        <c:noMultiLvlLbl val="0"/>
      </c:catAx>
      <c:valAx>
        <c:axId val="147394560"/>
        <c:scaling>
          <c:orientation val="minMax"/>
          <c:max val="18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7712256"/>
        <c:crosses val="autoZero"/>
        <c:crossBetween val="between"/>
        <c:majorUnit val="2000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47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 orientation="portrait"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2734028431560402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Buller!$B$61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217291938379045E-4"/>
                  <c:y val="3.943332726237037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Buller!$V$60:$Y$60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Marlborough!$V$61:$Y$61</c:f>
              <c:numCache>
                <c:formatCode>0.0</c:formatCode>
                <c:ptCount val="4"/>
                <c:pt idx="0">
                  <c:v>100</c:v>
                </c:pt>
                <c:pt idx="1">
                  <c:v>116.40199986117099</c:v>
                </c:pt>
                <c:pt idx="2">
                  <c:v>116.33704542016272</c:v>
                </c:pt>
                <c:pt idx="3">
                  <c:v>118.46007540117141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1752502526738E-6"/>
                  <c:y val="-3.448242456182500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Buller!$V$60:$Y$60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Marlborough!$V$62:$Y$62</c:f>
              <c:numCache>
                <c:formatCode>0.0</c:formatCode>
                <c:ptCount val="4"/>
                <c:pt idx="0">
                  <c:v>100</c:v>
                </c:pt>
                <c:pt idx="1">
                  <c:v>111.24439636127559</c:v>
                </c:pt>
                <c:pt idx="2">
                  <c:v>118.924926029913</c:v>
                </c:pt>
                <c:pt idx="3">
                  <c:v>120.3907551788552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Buller!$B$64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991295938773958E-4"/>
                  <c:y val="-3.00170565302144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Buller!$V$60:$Y$60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Marlborough!$V$64:$Y$64</c:f>
              <c:numCache>
                <c:formatCode>0.0</c:formatCode>
                <c:ptCount val="4"/>
                <c:pt idx="0">
                  <c:v>100</c:v>
                </c:pt>
                <c:pt idx="1">
                  <c:v>106.60295720069664</c:v>
                </c:pt>
                <c:pt idx="2">
                  <c:v>93.367089445663538</c:v>
                </c:pt>
                <c:pt idx="3">
                  <c:v>130.81779097472716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446016"/>
        <c:axId val="147542016"/>
      </c:lineChart>
      <c:catAx>
        <c:axId val="14744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7542016"/>
        <c:crosses val="autoZero"/>
        <c:auto val="1"/>
        <c:lblAlgn val="ctr"/>
        <c:lblOffset val="100"/>
        <c:noMultiLvlLbl val="0"/>
      </c:catAx>
      <c:valAx>
        <c:axId val="147542016"/>
        <c:scaling>
          <c:orientation val="minMax"/>
          <c:max val="140"/>
          <c:min val="8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7446016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308117366031571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Buller!$B$84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295023615580459E-5"/>
                  <c:y val="-2.80593743773660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Buller!$V$83:$Y$83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Marlborough!$V$84:$Y$84</c:f>
              <c:numCache>
                <c:formatCode>0.00</c:formatCode>
                <c:ptCount val="4"/>
                <c:pt idx="0">
                  <c:v>7.189358040307785</c:v>
                </c:pt>
                <c:pt idx="1">
                  <c:v>8.2579381245484296</c:v>
                </c:pt>
                <c:pt idx="2">
                  <c:v>8.0218060385712331</c:v>
                </c:pt>
                <c:pt idx="3">
                  <c:v>8.4159909485197062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11740388487474968"/>
                  <c:y val="-5.248939923680319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Buller!$V$83:$Y$83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Marlborough!$V$85:$Y$85</c:f>
              <c:numCache>
                <c:formatCode>0.00</c:formatCode>
                <c:ptCount val="4"/>
                <c:pt idx="0">
                  <c:v>5.7185864680374738</c:v>
                </c:pt>
                <c:pt idx="1">
                  <c:v>6.219779285572562</c:v>
                </c:pt>
                <c:pt idx="2">
                  <c:v>6.2364042433103961</c:v>
                </c:pt>
                <c:pt idx="3">
                  <c:v>6.0057336540900321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Buller!$B$87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5282821170722808"/>
                  <c:y val="0.28478682705618968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Buller!$V$83:$Y$83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Marlborough!$V$87:$Y$87</c:f>
              <c:numCache>
                <c:formatCode>0.00</c:formatCode>
                <c:ptCount val="4"/>
                <c:pt idx="0">
                  <c:v>4.0790343029335769</c:v>
                </c:pt>
                <c:pt idx="1">
                  <c:v>4.4320254287240166</c:v>
                </c:pt>
                <c:pt idx="2">
                  <c:v>3.6463787285242604</c:v>
                </c:pt>
                <c:pt idx="3">
                  <c:v>6.1609407424486973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64416"/>
        <c:axId val="147565952"/>
      </c:lineChart>
      <c:catAx>
        <c:axId val="14756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7565952"/>
        <c:crosses val="autoZero"/>
        <c:auto val="1"/>
        <c:lblAlgn val="ctr"/>
        <c:lblOffset val="100"/>
        <c:noMultiLvlLbl val="0"/>
      </c:catAx>
      <c:valAx>
        <c:axId val="14756595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75644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124E-2"/>
          <c:y val="5.8338380979806134E-2"/>
          <c:w val="0.83883540276753665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Buller!$B$90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8028632354795E-3"/>
                  <c:y val="-3.249269005847965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Buller!$V$89:$Y$89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Marlborough!$V$90:$Y$90</c:f>
              <c:numCache>
                <c:formatCode>0.0</c:formatCode>
                <c:ptCount val="4"/>
                <c:pt idx="0">
                  <c:v>100</c:v>
                </c:pt>
                <c:pt idx="1">
                  <c:v>114.8633588458045</c:v>
                </c:pt>
                <c:pt idx="2">
                  <c:v>111.57889193438766</c:v>
                </c:pt>
                <c:pt idx="3">
                  <c:v>117.06178634218372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6906813848409E-3"/>
                  <c:y val="3.930068226120860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Buller!$V$89:$Y$89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Marlborough!$V$91:$Y$91</c:f>
              <c:numCache>
                <c:formatCode>0.0</c:formatCode>
                <c:ptCount val="4"/>
                <c:pt idx="0">
                  <c:v>100</c:v>
                </c:pt>
                <c:pt idx="1">
                  <c:v>108.76427803157954</c:v>
                </c:pt>
                <c:pt idx="2">
                  <c:v>109.05499598838153</c:v>
                </c:pt>
                <c:pt idx="3">
                  <c:v>105.02129656791045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Buller!$B$93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737776122814E-3"/>
                  <c:y val="-3.527794381350983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Buller!$V$89:$Y$89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Marlborough!$V$93:$Y$93</c:f>
              <c:numCache>
                <c:formatCode>0.0</c:formatCode>
                <c:ptCount val="4"/>
                <c:pt idx="0">
                  <c:v>100</c:v>
                </c:pt>
                <c:pt idx="1">
                  <c:v>108.65379154905793</c:v>
                </c:pt>
                <c:pt idx="2">
                  <c:v>89.393186174037382</c:v>
                </c:pt>
                <c:pt idx="3">
                  <c:v>151.03919910695151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45952"/>
        <c:axId val="147647488"/>
      </c:lineChart>
      <c:catAx>
        <c:axId val="1476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7647488"/>
        <c:crosses val="autoZero"/>
        <c:auto val="1"/>
        <c:lblAlgn val="ctr"/>
        <c:lblOffset val="100"/>
        <c:noMultiLvlLbl val="0"/>
      </c:catAx>
      <c:valAx>
        <c:axId val="147647488"/>
        <c:scaling>
          <c:orientation val="minMax"/>
          <c:max val="155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764595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227523283556909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Buller!$B$120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3.527731481481580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Buller!$V$119:$Y$119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Marlborough!$V$120:$Y$120</c:f>
              <c:numCache>
                <c:formatCode>0.0</c:formatCode>
                <c:ptCount val="4"/>
                <c:pt idx="0">
                  <c:v>100</c:v>
                </c:pt>
                <c:pt idx="1">
                  <c:v>101.33954032933339</c:v>
                </c:pt>
                <c:pt idx="2">
                  <c:v>104.26438495963288</c:v>
                </c:pt>
                <c:pt idx="3">
                  <c:v>101.19448805855427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Buller!$B$121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598715102416905E-3"/>
                  <c:y val="-2.280201412950285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Buller!$V$119:$Y$119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Marlborough!$V$121:$Y$121</c:f>
              <c:numCache>
                <c:formatCode>0.0</c:formatCode>
                <c:ptCount val="4"/>
                <c:pt idx="0">
                  <c:v>100</c:v>
                </c:pt>
                <c:pt idx="1">
                  <c:v>102.28026919737006</c:v>
                </c:pt>
                <c:pt idx="2">
                  <c:v>109.05041529925228</c:v>
                </c:pt>
                <c:pt idx="3">
                  <c:v>114.63461137237654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Buller!$B$123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403975334530722E-6"/>
                  <c:y val="3.802901519989039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Buller!$V$119:$Y$119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Marlborough!$V$123:$Y$123</c:f>
              <c:numCache>
                <c:formatCode>0.0</c:formatCode>
                <c:ptCount val="4"/>
                <c:pt idx="0">
                  <c:v>100</c:v>
                </c:pt>
                <c:pt idx="1">
                  <c:v>98.112505491872028</c:v>
                </c:pt>
                <c:pt idx="2">
                  <c:v>104.44542077724968</c:v>
                </c:pt>
                <c:pt idx="3">
                  <c:v>86.611814514518514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64352"/>
        <c:axId val="147765888"/>
      </c:lineChart>
      <c:catAx>
        <c:axId val="14776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7765888"/>
        <c:crosses val="autoZero"/>
        <c:auto val="1"/>
        <c:lblAlgn val="ctr"/>
        <c:lblOffset val="100"/>
        <c:noMultiLvlLbl val="0"/>
      </c:catAx>
      <c:valAx>
        <c:axId val="147765888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776435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737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v>Smaller</c:v>
          </c:tx>
          <c:invertIfNegative val="0"/>
          <c:cat>
            <c:numRef>
              <c:f>Buller!$V$112:$Y$112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Marlborough!$V$113:$Y$113</c:f>
              <c:numCache>
                <c:formatCode>0</c:formatCode>
                <c:ptCount val="4"/>
                <c:pt idx="0">
                  <c:v>209616.16</c:v>
                </c:pt>
                <c:pt idx="1">
                  <c:v>212424.05300000001</c:v>
                </c:pt>
                <c:pt idx="2">
                  <c:v>218555</c:v>
                </c:pt>
                <c:pt idx="3">
                  <c:v>212120</c:v>
                </c:pt>
              </c:numCache>
            </c:numRef>
          </c:val>
        </c:ser>
        <c:ser>
          <c:idx val="1"/>
          <c:order val="1"/>
          <c:tx>
            <c:v>Larger</c:v>
          </c:tx>
          <c:spPr>
            <a:solidFill>
              <a:schemeClr val="accent5"/>
            </a:solidFill>
          </c:spPr>
          <c:invertIfNegative val="0"/>
          <c:cat>
            <c:numRef>
              <c:f>Buller!$V$112:$Y$112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Marlborough!$V$114:$Y$114</c:f>
              <c:numCache>
                <c:formatCode>0</c:formatCode>
                <c:ptCount val="4"/>
                <c:pt idx="0">
                  <c:v>113498.88</c:v>
                </c:pt>
                <c:pt idx="1">
                  <c:v>116086.96</c:v>
                </c:pt>
                <c:pt idx="2">
                  <c:v>123771</c:v>
                </c:pt>
                <c:pt idx="3">
                  <c:v>130109</c:v>
                </c:pt>
              </c:numCache>
            </c:numRef>
          </c:val>
        </c:ser>
        <c:ser>
          <c:idx val="3"/>
          <c:order val="2"/>
          <c:tx>
            <c:strRef>
              <c:f>Buller!$B$116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Buller!$V$112:$Y$112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Marlborough!$V$116:$Y$116</c:f>
              <c:numCache>
                <c:formatCode>0</c:formatCode>
                <c:ptCount val="4"/>
                <c:pt idx="0">
                  <c:v>25037</c:v>
                </c:pt>
                <c:pt idx="1">
                  <c:v>24564.428</c:v>
                </c:pt>
                <c:pt idx="2">
                  <c:v>26150</c:v>
                </c:pt>
                <c:pt idx="3">
                  <c:v>21685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7862272"/>
        <c:axId val="147863808"/>
      </c:barChart>
      <c:catAx>
        <c:axId val="14786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7863808"/>
        <c:crosses val="autoZero"/>
        <c:auto val="1"/>
        <c:lblAlgn val="ctr"/>
        <c:lblOffset val="100"/>
        <c:noMultiLvlLbl val="0"/>
      </c:catAx>
      <c:valAx>
        <c:axId val="14786380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7862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3537020080817759"/>
          <c:h val="0.82404629629630866"/>
        </c:manualLayout>
      </c:layout>
      <c:lineChart>
        <c:grouping val="standard"/>
        <c:varyColors val="0"/>
        <c:ser>
          <c:idx val="0"/>
          <c:order val="0"/>
          <c:tx>
            <c:strRef>
              <c:f>Buller!$B$76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54390990475918688"/>
                  <c:y val="-3.400236573577587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Buller!$V$75:$Y$75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Marlborough!$V$76:$Y$76</c:f>
              <c:numCache>
                <c:formatCode>0.0</c:formatCode>
                <c:ptCount val="4"/>
                <c:pt idx="0">
                  <c:v>100</c:v>
                </c:pt>
                <c:pt idx="1">
                  <c:v>115.01867317889403</c:v>
                </c:pt>
                <c:pt idx="2">
                  <c:v>113.98690099014388</c:v>
                </c:pt>
                <c:pt idx="3">
                  <c:v>115.14149195953038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00170565302144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Buller!$V$75:$Y$75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Marlborough!$V$77:$Y$77</c:f>
              <c:numCache>
                <c:formatCode>0.0</c:formatCode>
                <c:ptCount val="4"/>
                <c:pt idx="0">
                  <c:v>100</c:v>
                </c:pt>
                <c:pt idx="1">
                  <c:v>109.04878327519776</c:v>
                </c:pt>
                <c:pt idx="2">
                  <c:v>115.43852754695139</c:v>
                </c:pt>
                <c:pt idx="3">
                  <c:v>114.62123017028387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Buller!$B$79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930068226120857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Buller!$V$75:$Y$75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Marlborough!$V$79:$Y$79</c:f>
              <c:numCache>
                <c:formatCode>0.0</c:formatCode>
                <c:ptCount val="4"/>
                <c:pt idx="0">
                  <c:v>100</c:v>
                </c:pt>
                <c:pt idx="1">
                  <c:v>106.60295720069664</c:v>
                </c:pt>
                <c:pt idx="2">
                  <c:v>93.367089445663524</c:v>
                </c:pt>
                <c:pt idx="3">
                  <c:v>130.81779097472713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27808"/>
        <c:axId val="147929344"/>
      </c:lineChart>
      <c:catAx>
        <c:axId val="1479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7929344"/>
        <c:crosses val="autoZero"/>
        <c:auto val="1"/>
        <c:lblAlgn val="ctr"/>
        <c:lblOffset val="100"/>
        <c:noMultiLvlLbl val="0"/>
      </c:catAx>
      <c:valAx>
        <c:axId val="147929344"/>
        <c:scaling>
          <c:orientation val="minMax"/>
          <c:max val="14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7927808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Smaller </a:t>
            </a:r>
          </a:p>
        </c:rich>
      </c:tx>
      <c:layout>
        <c:manualLayout>
          <c:xMode val="edge"/>
          <c:yMode val="edge"/>
          <c:x val="0.400015895890292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399"/>
          <c:y val="0.16445370370370369"/>
          <c:w val="0.70330041907982155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Buller!$B$70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Buller!$V$69:$Y$69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Marlborough!$V$70:$Y$70</c:f>
              <c:numCache>
                <c:formatCode>0</c:formatCode>
                <c:ptCount val="4"/>
                <c:pt idx="0">
                  <c:v>647.31138064277434</c:v>
                </c:pt>
                <c:pt idx="1">
                  <c:v>744.52896135129936</c:v>
                </c:pt>
                <c:pt idx="2">
                  <c:v>737.85018255121258</c:v>
                </c:pt>
                <c:pt idx="3">
                  <c:v>745.32398129592514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74016"/>
        <c:axId val="147975552"/>
      </c:lineChart>
      <c:catAx>
        <c:axId val="14797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7975552"/>
        <c:crosses val="autoZero"/>
        <c:auto val="1"/>
        <c:lblAlgn val="ctr"/>
        <c:lblOffset val="100"/>
        <c:noMultiLvlLbl val="0"/>
      </c:catAx>
      <c:valAx>
        <c:axId val="147975552"/>
        <c:scaling>
          <c:orientation val="minMax"/>
          <c:max val="1000"/>
          <c:min val="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7974016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Larger</a:t>
            </a:r>
          </a:p>
        </c:rich>
      </c:tx>
      <c:layout>
        <c:manualLayout>
          <c:xMode val="edge"/>
          <c:yMode val="edge"/>
          <c:x val="0.316318676568618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73"/>
          <c:y val="0.17621296296296743"/>
          <c:w val="0.73692152777777775"/>
          <c:h val="0.5728240740740963"/>
        </c:manualLayout>
      </c:layout>
      <c:lineChart>
        <c:grouping val="standard"/>
        <c:varyColors val="0"/>
        <c:ser>
          <c:idx val="1"/>
          <c:order val="0"/>
          <c:tx>
            <c:strRef>
              <c:f>Buller!$B$71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Buller!$V$69:$Y$69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Marlborough!$V$71:$Y$71</c:f>
              <c:numCache>
                <c:formatCode>0</c:formatCode>
                <c:ptCount val="4"/>
                <c:pt idx="0">
                  <c:v>21780.307359241913</c:v>
                </c:pt>
                <c:pt idx="1">
                  <c:v>23751.160168851664</c:v>
                </c:pt>
                <c:pt idx="2">
                  <c:v>25142.866110709158</c:v>
                </c:pt>
                <c:pt idx="3">
                  <c:v>24964.85623003195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87840"/>
        <c:axId val="147993728"/>
      </c:lineChart>
      <c:catAx>
        <c:axId val="14798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7993728"/>
        <c:crosses val="autoZero"/>
        <c:auto val="1"/>
        <c:lblAlgn val="ctr"/>
        <c:lblOffset val="100"/>
        <c:noMultiLvlLbl val="0"/>
      </c:catAx>
      <c:valAx>
        <c:axId val="147993728"/>
        <c:scaling>
          <c:orientation val="minMax"/>
          <c:max val="30000"/>
          <c:min val="1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7987840"/>
        <c:crosses val="autoZero"/>
        <c:crossBetween val="midCat"/>
        <c:majorUnit val="3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Buller!$B$73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Buller!$V$69:$Y$69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Marlborough!$V$73:$Y$73</c:f>
              <c:numCache>
                <c:formatCode>0</c:formatCode>
                <c:ptCount val="4"/>
                <c:pt idx="0">
                  <c:v>204253.56368509593</c:v>
                </c:pt>
                <c:pt idx="1">
                  <c:v>217740.33907612046</c:v>
                </c:pt>
                <c:pt idx="2">
                  <c:v>190705.60750181883</c:v>
                </c:pt>
                <c:pt idx="3">
                  <c:v>267200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51072"/>
        <c:axId val="148052608"/>
      </c:lineChart>
      <c:catAx>
        <c:axId val="14805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8052608"/>
        <c:crosses val="autoZero"/>
        <c:auto val="1"/>
        <c:lblAlgn val="ctr"/>
        <c:lblOffset val="100"/>
        <c:noMultiLvlLbl val="0"/>
      </c:catAx>
      <c:valAx>
        <c:axId val="148052608"/>
        <c:scaling>
          <c:orientation val="minMax"/>
          <c:max val="300000"/>
          <c:min val="15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8051072"/>
        <c:crosses val="autoZero"/>
        <c:crossBetween val="midCat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447958333333635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Aurora!$B$120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7760341675137973"/>
                  <c:y val="-7.643518518518521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Aurora!$C$120:$F$120</c:f>
              <c:numCache>
                <c:formatCode>0.0</c:formatCode>
                <c:ptCount val="4"/>
                <c:pt idx="0">
                  <c:v>100</c:v>
                </c:pt>
                <c:pt idx="1">
                  <c:v>99.465866490249823</c:v>
                </c:pt>
                <c:pt idx="2">
                  <c:v>102.68212204265508</c:v>
                </c:pt>
                <c:pt idx="3">
                  <c:v>97.491505213747914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Aurora!$B$121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6.1979512174201168E-4"/>
                  <c:y val="-4.691488064806948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Aurora!$C$121:$F$121</c:f>
              <c:numCache>
                <c:formatCode>0.0</c:formatCode>
                <c:ptCount val="4"/>
                <c:pt idx="0">
                  <c:v>100</c:v>
                </c:pt>
                <c:pt idx="1">
                  <c:v>101.34724934192715</c:v>
                </c:pt>
                <c:pt idx="2">
                  <c:v>103.8989015799508</c:v>
                </c:pt>
                <c:pt idx="3">
                  <c:v>101.66274990928099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Aurora!$B$122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7692321527020397"/>
                  <c:y val="4.199422454131457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Aurora!$C$122:$F$122</c:f>
              <c:numCache>
                <c:formatCode>0.0</c:formatCode>
                <c:ptCount val="4"/>
                <c:pt idx="0">
                  <c:v>100</c:v>
                </c:pt>
                <c:pt idx="1">
                  <c:v>98.584756702953015</c:v>
                </c:pt>
                <c:pt idx="2">
                  <c:v>97.998145682648996</c:v>
                </c:pt>
                <c:pt idx="3">
                  <c:v>98.112322620903257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Aurora!$B$123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45652558574768E-6"/>
                  <c:y val="2.35180555555555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Aurora!$C$123:$F$123</c:f>
              <c:numCache>
                <c:formatCode>0.0</c:formatCode>
                <c:ptCount val="4"/>
                <c:pt idx="0">
                  <c:v>100</c:v>
                </c:pt>
                <c:pt idx="1">
                  <c:v>97.818861357184645</c:v>
                </c:pt>
                <c:pt idx="2">
                  <c:v>85.214190953053446</c:v>
                </c:pt>
                <c:pt idx="3">
                  <c:v>77.734771258612568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270400"/>
        <c:axId val="117271936"/>
      </c:lineChart>
      <c:catAx>
        <c:axId val="11727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7271936"/>
        <c:crosses val="autoZero"/>
        <c:auto val="1"/>
        <c:lblAlgn val="ctr"/>
        <c:lblOffset val="100"/>
        <c:noMultiLvlLbl val="0"/>
      </c:catAx>
      <c:valAx>
        <c:axId val="117271936"/>
        <c:scaling>
          <c:orientation val="minMax"/>
          <c:max val="110"/>
          <c:min val="7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727040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81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Buller!$B$105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13216449185487E-4"/>
                  <c:y val="4.77448033435208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Buller!$V$104:$Y$104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Marlborough!$V$105:$Y$105</c:f>
              <c:numCache>
                <c:formatCode>0.0</c:formatCode>
                <c:ptCount val="4"/>
                <c:pt idx="0">
                  <c:v>100</c:v>
                </c:pt>
                <c:pt idx="1">
                  <c:v>101.20269747863064</c:v>
                </c:pt>
                <c:pt idx="2">
                  <c:v>102.06176710622397</c:v>
                </c:pt>
                <c:pt idx="3">
                  <c:v>102.88217860057559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20259450171222232"/>
                  <c:y val="-0.1155849103919574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Buller!$V$104:$Y$104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Marlborough!$V$106:$Y$106</c:f>
              <c:numCache>
                <c:formatCode>0.0</c:formatCode>
                <c:ptCount val="4"/>
                <c:pt idx="0">
                  <c:v>100</c:v>
                </c:pt>
                <c:pt idx="1">
                  <c:v>102.01342281879195</c:v>
                </c:pt>
                <c:pt idx="2">
                  <c:v>103.02013422818791</c:v>
                </c:pt>
                <c:pt idx="3">
                  <c:v>105.03355704697988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99072"/>
        <c:axId val="148100608"/>
      </c:lineChart>
      <c:catAx>
        <c:axId val="1480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8100608"/>
        <c:crosses val="autoZero"/>
        <c:auto val="1"/>
        <c:lblAlgn val="ctr"/>
        <c:lblOffset val="100"/>
        <c:noMultiLvlLbl val="0"/>
      </c:catAx>
      <c:valAx>
        <c:axId val="148100608"/>
        <c:scaling>
          <c:orientation val="minMax"/>
          <c:max val="11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8099072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452"/>
        </c:manualLayout>
      </c:layout>
      <c:barChart>
        <c:barDir val="col"/>
        <c:grouping val="stacked"/>
        <c:varyColors val="0"/>
        <c:ser>
          <c:idx val="0"/>
          <c:order val="0"/>
          <c:tx>
            <c:v>Smaller</c:v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Buller!$V$97:$Y$97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Marlborough!$V$98:$Y$98</c:f>
              <c:numCache>
                <c:formatCode>General</c:formatCode>
                <c:ptCount val="4"/>
                <c:pt idx="0">
                  <c:v>23281</c:v>
                </c:pt>
                <c:pt idx="1">
                  <c:v>23561</c:v>
                </c:pt>
                <c:pt idx="2">
                  <c:v>23761</c:v>
                </c:pt>
                <c:pt idx="3">
                  <c:v>23952</c:v>
                </c:pt>
              </c:numCache>
            </c:numRef>
          </c:val>
        </c:ser>
        <c:ser>
          <c:idx val="1"/>
          <c:order val="1"/>
          <c:tx>
            <c:v>Larger</c:v>
          </c:tx>
          <c:spPr>
            <a:solidFill>
              <a:schemeClr val="accent4"/>
            </a:solidFill>
          </c:spPr>
          <c:invertIfNegative val="0"/>
          <c:cat>
            <c:numRef>
              <c:f>Buller!$V$97:$Y$97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Marlborough!$V$99:$Y$99</c:f>
              <c:numCache>
                <c:formatCode>General</c:formatCode>
                <c:ptCount val="4"/>
                <c:pt idx="0">
                  <c:v>298</c:v>
                </c:pt>
                <c:pt idx="1">
                  <c:v>304</c:v>
                </c:pt>
                <c:pt idx="2">
                  <c:v>307</c:v>
                </c:pt>
                <c:pt idx="3">
                  <c:v>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8453632"/>
        <c:axId val="148471808"/>
      </c:barChart>
      <c:catAx>
        <c:axId val="14845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8471808"/>
        <c:crosses val="autoZero"/>
        <c:auto val="1"/>
        <c:lblAlgn val="ctr"/>
        <c:lblOffset val="100"/>
        <c:noMultiLvlLbl val="0"/>
      </c:catAx>
      <c:valAx>
        <c:axId val="148471808"/>
        <c:scaling>
          <c:orientation val="minMax"/>
          <c:max val="1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8453632"/>
        <c:crosses val="autoZero"/>
        <c:crossBetween val="between"/>
        <c:majorUnit val="2000"/>
      </c:valAx>
    </c:plotArea>
    <c:legend>
      <c:legendPos val="t"/>
      <c:layout>
        <c:manualLayout>
          <c:xMode val="edge"/>
          <c:yMode val="edge"/>
          <c:x val="0"/>
          <c:y val="3.5277777777779268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Nelson!$B$26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75808049588"/>
                  <c:y val="-0.3942273964514018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Nelson!$C$26:$F$26</c:f>
              <c:numCache>
                <c:formatCode>0</c:formatCode>
                <c:ptCount val="4"/>
                <c:pt idx="0">
                  <c:v>1860.6546339330691</c:v>
                </c:pt>
                <c:pt idx="1">
                  <c:v>1988.781604777266</c:v>
                </c:pt>
                <c:pt idx="2">
                  <c:v>2009.143380668804</c:v>
                </c:pt>
                <c:pt idx="3">
                  <c:v>2024</c:v>
                </c:pt>
              </c:numCache>
            </c:numRef>
          </c:val>
        </c:ser>
        <c:ser>
          <c:idx val="1"/>
          <c:order val="1"/>
          <c:tx>
            <c:strRef>
              <c:f>Nelson!$B$27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3084928704112088"/>
                  <c:y val="-6.077606033597940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Nelson!$C$27:$F$27</c:f>
              <c:numCache>
                <c:formatCode>0</c:formatCode>
                <c:ptCount val="4"/>
                <c:pt idx="0">
                  <c:v>600.2853639759345</c:v>
                </c:pt>
                <c:pt idx="1">
                  <c:v>633.65293431258124</c:v>
                </c:pt>
                <c:pt idx="2">
                  <c:v>590.92452372611888</c:v>
                </c:pt>
                <c:pt idx="3">
                  <c:v>636.79999999999995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403264"/>
        <c:axId val="145409152"/>
      </c:areaChart>
      <c:catAx>
        <c:axId val="14540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5409152"/>
        <c:crosses val="autoZero"/>
        <c:auto val="1"/>
        <c:lblAlgn val="ctr"/>
        <c:lblOffset val="100"/>
        <c:noMultiLvlLbl val="0"/>
      </c:catAx>
      <c:valAx>
        <c:axId val="145409152"/>
        <c:scaling>
          <c:orientation val="minMax"/>
          <c:max val="2500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5403264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4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Nelson!$B$28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Nelson!$C$25:$F$25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Nelson!$C$28:$F$28</c:f>
              <c:numCache>
                <c:formatCode>0</c:formatCode>
                <c:ptCount val="4"/>
                <c:pt idx="0">
                  <c:v>482.12574491745312</c:v>
                </c:pt>
                <c:pt idx="1">
                  <c:v>492.4720708353351</c:v>
                </c:pt>
                <c:pt idx="2">
                  <c:v>456.43825280914012</c:v>
                </c:pt>
                <c:pt idx="3">
                  <c:v>504.8</c:v>
                </c:pt>
              </c:numCache>
            </c:numRef>
          </c:val>
        </c:ser>
        <c:ser>
          <c:idx val="1"/>
          <c:order val="1"/>
          <c:tx>
            <c:strRef>
              <c:f>Nelson!$B$29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Nelson!$C$25:$F$25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Nelson!$C$29:$F$29</c:f>
              <c:numCache>
                <c:formatCode>0</c:formatCode>
                <c:ptCount val="4"/>
                <c:pt idx="0">
                  <c:v>118.15961905848137</c:v>
                </c:pt>
                <c:pt idx="1">
                  <c:v>141.18086347724613</c:v>
                </c:pt>
                <c:pt idx="2">
                  <c:v>134.48627091697875</c:v>
                </c:pt>
                <c:pt idx="3">
                  <c:v>132.00000000000003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434496"/>
        <c:axId val="145436032"/>
      </c:barChart>
      <c:catAx>
        <c:axId val="14543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5436032"/>
        <c:crosses val="autoZero"/>
        <c:auto val="1"/>
        <c:lblAlgn val="ctr"/>
        <c:lblOffset val="100"/>
        <c:noMultiLvlLbl val="0"/>
      </c:catAx>
      <c:valAx>
        <c:axId val="145436032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5434496"/>
        <c:crosses val="autoZero"/>
        <c:crossBetween val="between"/>
        <c:majorUnit val="100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0888660562785427"/>
          <c:w val="0.89745624999998386"/>
          <c:h val="0.68859387619511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Nelson!$B$40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Nelson!$C$39:$F$39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Nelson!$C$40:$F$40</c:f>
              <c:numCache>
                <c:formatCode>0</c:formatCode>
                <c:ptCount val="4"/>
                <c:pt idx="0">
                  <c:v>8063.640409740241</c:v>
                </c:pt>
                <c:pt idx="1">
                  <c:v>8606.1249796417032</c:v>
                </c:pt>
                <c:pt idx="2">
                  <c:v>8482.8234216270102</c:v>
                </c:pt>
                <c:pt idx="3">
                  <c:v>8833</c:v>
                </c:pt>
              </c:numCache>
            </c:numRef>
          </c:val>
        </c:ser>
        <c:ser>
          <c:idx val="1"/>
          <c:order val="1"/>
          <c:tx>
            <c:strRef>
              <c:f>Nelson!$B$41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rgbClr val="A9C6E9"/>
            </a:solidFill>
          </c:spPr>
          <c:invertIfNegative val="0"/>
          <c:cat>
            <c:numRef>
              <c:f>Nelson!$C$39:$F$39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Nelson!$C$41:$F$41</c:f>
              <c:numCache>
                <c:formatCode>0</c:formatCode>
                <c:ptCount val="4"/>
                <c:pt idx="0">
                  <c:v>125.97260043910921</c:v>
                </c:pt>
                <c:pt idx="1">
                  <c:v>111.07612052989221</c:v>
                </c:pt>
                <c:pt idx="2">
                  <c:v>137.54277707418285</c:v>
                </c:pt>
                <c:pt idx="3">
                  <c:v>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462016"/>
        <c:axId val="145463552"/>
      </c:barChart>
      <c:catAx>
        <c:axId val="14546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5463552"/>
        <c:crosses val="autoZero"/>
        <c:auto val="1"/>
        <c:lblAlgn val="ctr"/>
        <c:lblOffset val="100"/>
        <c:noMultiLvlLbl val="0"/>
      </c:catAx>
      <c:valAx>
        <c:axId val="14546355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5462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92"/>
          <c:h val="0.1427048575006364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 orientation="portrait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535E-2"/>
          <c:y val="9.9262962962965245E-2"/>
          <c:w val="0.80176112499523156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Nelson!$B$46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Nelson!$C$46:$F$46</c:f>
              <c:numCache>
                <c:formatCode>0.0</c:formatCode>
                <c:ptCount val="4"/>
                <c:pt idx="0">
                  <c:v>100</c:v>
                </c:pt>
                <c:pt idx="1">
                  <c:v>106.72753920482594</c:v>
                </c:pt>
                <c:pt idx="2">
                  <c:v>105.1984338411275</c:v>
                </c:pt>
                <c:pt idx="3">
                  <c:v>109.54109497901759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Nelson!$B$47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Nelson!$C$45:$F$45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Nelson!$C$47:$F$47</c:f>
              <c:numCache>
                <c:formatCode>0.0</c:formatCode>
                <c:ptCount val="4"/>
                <c:pt idx="0">
                  <c:v>100</c:v>
                </c:pt>
                <c:pt idx="1">
                  <c:v>88.174825432441992</c:v>
                </c:pt>
                <c:pt idx="2">
                  <c:v>109.18467713990414</c:v>
                </c:pt>
                <c:pt idx="3">
                  <c:v>52.392345454440395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49984"/>
        <c:axId val="148255872"/>
      </c:lineChart>
      <c:catAx>
        <c:axId val="1482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8255872"/>
        <c:crossesAt val="0"/>
        <c:auto val="1"/>
        <c:lblAlgn val="ctr"/>
        <c:lblOffset val="100"/>
        <c:noMultiLvlLbl val="0"/>
      </c:catAx>
      <c:valAx>
        <c:axId val="148255872"/>
        <c:scaling>
          <c:orientation val="minMax"/>
          <c:max val="15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8249984"/>
        <c:crosses val="autoZero"/>
        <c:crossBetween val="midCat"/>
        <c:maj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 orientation="portrait"/>
  </c:printSettings>
  <c:userShapes r:id="rId1"/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805"/>
          <c:h val="0.7020402777777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Nelson!$B$54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Nelson!$C$53:$F$53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Nelson!$C$54:$F$54</c:f>
              <c:numCache>
                <c:formatCode>0</c:formatCode>
                <c:ptCount val="4"/>
                <c:pt idx="0">
                  <c:v>3786.822811154515</c:v>
                </c:pt>
                <c:pt idx="1">
                  <c:v>4004.3148031848436</c:v>
                </c:pt>
                <c:pt idx="2">
                  <c:v>695.86456845679163</c:v>
                </c:pt>
                <c:pt idx="3">
                  <c:v>767</c:v>
                </c:pt>
              </c:numCache>
            </c:numRef>
          </c:val>
        </c:ser>
        <c:ser>
          <c:idx val="1"/>
          <c:order val="1"/>
          <c:tx>
            <c:strRef>
              <c:f>Nelson!$B$55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Nelson!$C$53:$F$53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Nelson!$C$55:$F$55</c:f>
              <c:numCache>
                <c:formatCode>0</c:formatCode>
                <c:ptCount val="4"/>
                <c:pt idx="0">
                  <c:v>1744.3637193122522</c:v>
                </c:pt>
                <c:pt idx="1">
                  <c:v>1889.5328072757218</c:v>
                </c:pt>
                <c:pt idx="2">
                  <c:v>5195.0416318611724</c:v>
                </c:pt>
                <c:pt idx="3">
                  <c:v>5325</c:v>
                </c:pt>
              </c:numCache>
            </c:numRef>
          </c:val>
        </c:ser>
        <c:ser>
          <c:idx val="2"/>
          <c:order val="2"/>
          <c:tx>
            <c:strRef>
              <c:f>Nelson!$B$56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Nelson!$C$53:$F$53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Nelson!$C$56:$F$56</c:f>
              <c:numCache>
                <c:formatCode>0</c:formatCode>
                <c:ptCount val="4"/>
                <c:pt idx="0">
                  <c:v>1812.2839382965983</c:v>
                </c:pt>
                <c:pt idx="1">
                  <c:v>1936.0644627359457</c:v>
                </c:pt>
                <c:pt idx="2">
                  <c:v>1864.4687558944784</c:v>
                </c:pt>
                <c:pt idx="3">
                  <c:v>1769</c:v>
                </c:pt>
              </c:numCache>
            </c:numRef>
          </c:val>
        </c:ser>
        <c:ser>
          <c:idx val="3"/>
          <c:order val="3"/>
          <c:tx>
            <c:strRef>
              <c:f>Nelson!$B$57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Nelson!$C$53:$F$53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Nelson!$C$57:$F$57</c:f>
              <c:numCache>
                <c:formatCode>0</c:formatCode>
                <c:ptCount val="4"/>
                <c:pt idx="0">
                  <c:v>720.16994097687541</c:v>
                </c:pt>
                <c:pt idx="1">
                  <c:v>776.21298949275831</c:v>
                </c:pt>
                <c:pt idx="2">
                  <c:v>727.44846541456695</c:v>
                </c:pt>
                <c:pt idx="3">
                  <c:v>972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321408"/>
        <c:axId val="148322944"/>
      </c:barChart>
      <c:catAx>
        <c:axId val="1483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8322944"/>
        <c:crosses val="autoZero"/>
        <c:auto val="1"/>
        <c:lblAlgn val="ctr"/>
        <c:lblOffset val="100"/>
        <c:noMultiLvlLbl val="0"/>
      </c:catAx>
      <c:valAx>
        <c:axId val="14832294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83214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58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 orientation="portrait"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3613239996232602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Nelson!$B$61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39525465498292E-6"/>
                  <c:y val="-2.42482184465808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Nelson!$C$61:$F$61</c:f>
              <c:numCache>
                <c:formatCode>0.0</c:formatCode>
                <c:ptCount val="4"/>
                <c:pt idx="0">
                  <c:v>100</c:v>
                </c:pt>
                <c:pt idx="1">
                  <c:v>105.74338971946828</c:v>
                </c:pt>
                <c:pt idx="2">
                  <c:v>18.375947414466921</c:v>
                </c:pt>
                <c:pt idx="3">
                  <c:v>20.254446491151228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Nelson!$B$62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28393821881842E-6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Nelson!$C$62:$F$62</c:f>
              <c:numCache>
                <c:formatCode>0.0</c:formatCode>
                <c:ptCount val="4"/>
                <c:pt idx="0">
                  <c:v>100</c:v>
                </c:pt>
                <c:pt idx="1">
                  <c:v>108.32217996489317</c:v>
                </c:pt>
                <c:pt idx="2">
                  <c:v>297.81871603643617</c:v>
                </c:pt>
                <c:pt idx="3">
                  <c:v>305.26890355753784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Nelson!$B$63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1744068318728529E-6"/>
                  <c:y val="-3.012815228045105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Nelson!$C$63:$F$63</c:f>
              <c:numCache>
                <c:formatCode>0.0</c:formatCode>
                <c:ptCount val="4"/>
                <c:pt idx="0">
                  <c:v>100</c:v>
                </c:pt>
                <c:pt idx="1">
                  <c:v>106.8300845040701</c:v>
                </c:pt>
                <c:pt idx="2">
                  <c:v>102.87950560588919</c:v>
                </c:pt>
                <c:pt idx="3">
                  <c:v>97.611635937286849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Nelson!$B$64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39814814814812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Nelson!$C$64:$F$64</c:f>
              <c:numCache>
                <c:formatCode>0.0</c:formatCode>
                <c:ptCount val="4"/>
                <c:pt idx="0">
                  <c:v>100</c:v>
                </c:pt>
                <c:pt idx="1">
                  <c:v>107.78191997847941</c:v>
                </c:pt>
                <c:pt idx="2">
                  <c:v>101.01066762489678</c:v>
                </c:pt>
                <c:pt idx="3">
                  <c:v>134.96814358587773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79904"/>
        <c:axId val="148406272"/>
      </c:lineChart>
      <c:catAx>
        <c:axId val="14837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8406272"/>
        <c:crosses val="autoZero"/>
        <c:auto val="1"/>
        <c:lblAlgn val="ctr"/>
        <c:lblOffset val="100"/>
        <c:noMultiLvlLbl val="0"/>
      </c:catAx>
      <c:valAx>
        <c:axId val="148406272"/>
        <c:scaling>
          <c:orientation val="minMax"/>
          <c:max val="400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8379904"/>
        <c:crosses val="autoZero"/>
        <c:crossBetween val="midCat"/>
        <c:maj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1779817158932078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Nelson!$B$84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80829817158931072"/>
                  <c:y val="-2.7555289898386131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Nelson!$C$84:$F$84</c:f>
              <c:numCache>
                <c:formatCode>0.00</c:formatCode>
                <c:ptCount val="4"/>
                <c:pt idx="0">
                  <c:v>6.8300533435613637</c:v>
                </c:pt>
                <c:pt idx="1">
                  <c:v>7.1809590198439519</c:v>
                </c:pt>
                <c:pt idx="2">
                  <c:v>6.8258628569970377</c:v>
                </c:pt>
                <c:pt idx="3">
                  <c:v>7.226985772166211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Nelson!$B$85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7258087201125181"/>
                  <c:y val="0.10486302052201669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Nelson!$C$85:$F$85</c:f>
              <c:numCache>
                <c:formatCode>0.00</c:formatCode>
                <c:ptCount val="4"/>
                <c:pt idx="0">
                  <c:v>5.8592593012377323</c:v>
                </c:pt>
                <c:pt idx="1">
                  <c:v>6.263171847432651</c:v>
                </c:pt>
                <c:pt idx="2">
                  <c:v>6.7802037801795585</c:v>
                </c:pt>
                <c:pt idx="3">
                  <c:v>7.2831468665371881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Nelson!$B$86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81278129395218923"/>
                  <c:y val="-3.2018330344690212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Nelson!$C$86:$F$86</c:f>
              <c:numCache>
                <c:formatCode>0.00</c:formatCode>
                <c:ptCount val="4"/>
                <c:pt idx="0">
                  <c:v>4.7827219893486532</c:v>
                </c:pt>
                <c:pt idx="1">
                  <c:v>5.1750482310890709</c:v>
                </c:pt>
                <c:pt idx="2">
                  <c:v>4.8917149931634967</c:v>
                </c:pt>
                <c:pt idx="3">
                  <c:v>5.1150821188989131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Nelson!$B$87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6365682137834956"/>
                  <c:y val="3.438533572424785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Nelson!$C$87:$F$87</c:f>
              <c:numCache>
                <c:formatCode>0.00</c:formatCode>
                <c:ptCount val="4"/>
                <c:pt idx="0">
                  <c:v>2.6673948700947272</c:v>
                </c:pt>
                <c:pt idx="1">
                  <c:v>3.0958457711213487</c:v>
                </c:pt>
                <c:pt idx="2">
                  <c:v>3.2233177250837923</c:v>
                </c:pt>
                <c:pt idx="3">
                  <c:v>3.5422740524781346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35328"/>
        <c:axId val="148861696"/>
      </c:lineChart>
      <c:catAx>
        <c:axId val="1488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8861696"/>
        <c:crosses val="autoZero"/>
        <c:auto val="1"/>
        <c:lblAlgn val="ctr"/>
        <c:lblOffset val="100"/>
        <c:noMultiLvlLbl val="0"/>
      </c:catAx>
      <c:valAx>
        <c:axId val="1488616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88353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263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Nelson!$B$90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1.674636381749352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Nelson!$C$90:$F$90</c:f>
              <c:numCache>
                <c:formatCode>0.0</c:formatCode>
                <c:ptCount val="4"/>
                <c:pt idx="0">
                  <c:v>100</c:v>
                </c:pt>
                <c:pt idx="1">
                  <c:v>105.13767109320433</c:v>
                </c:pt>
                <c:pt idx="2">
                  <c:v>99.938646356718777</c:v>
                </c:pt>
                <c:pt idx="3">
                  <c:v>105.81155678643466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Nelson!$B$91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6698344326937E-3"/>
                  <c:y val="-2.217971707511549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Nelson!$C$91:$F$91</c:f>
              <c:numCache>
                <c:formatCode>0.0</c:formatCode>
                <c:ptCount val="4"/>
                <c:pt idx="0">
                  <c:v>100</c:v>
                </c:pt>
                <c:pt idx="1">
                  <c:v>106.89357690842587</c:v>
                </c:pt>
                <c:pt idx="2">
                  <c:v>115.71776280232694</c:v>
                </c:pt>
                <c:pt idx="3">
                  <c:v>124.30149430319064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Nelson!$B$92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200616792511424E-3"/>
                  <c:y val="-2.21020123530583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Nelson!$C$92:$F$92</c:f>
              <c:numCache>
                <c:formatCode>0.0</c:formatCode>
                <c:ptCount val="4"/>
                <c:pt idx="0">
                  <c:v>100</c:v>
                </c:pt>
                <c:pt idx="1">
                  <c:v>108.20299073653344</c:v>
                </c:pt>
                <c:pt idx="2">
                  <c:v>102.27889064130376</c:v>
                </c:pt>
                <c:pt idx="3">
                  <c:v>106.94918354632448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Nelson!$B$93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-4.160390516039044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Nelson!$C$93:$F$93</c:f>
              <c:numCache>
                <c:formatCode>0.0</c:formatCode>
                <c:ptCount val="4"/>
                <c:pt idx="0">
                  <c:v>100</c:v>
                </c:pt>
                <c:pt idx="1">
                  <c:v>116.06252249451938</c:v>
                </c:pt>
                <c:pt idx="2">
                  <c:v>120.84141576568761</c:v>
                </c:pt>
                <c:pt idx="3">
                  <c:v>132.79901270681898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918272"/>
        <c:axId val="148919808"/>
      </c:lineChart>
      <c:catAx>
        <c:axId val="14891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8919808"/>
        <c:crosses val="autoZero"/>
        <c:auto val="1"/>
        <c:lblAlgn val="ctr"/>
        <c:lblOffset val="100"/>
        <c:noMultiLvlLbl val="0"/>
      </c:catAx>
      <c:valAx>
        <c:axId val="148919808"/>
        <c:scaling>
          <c:orientation val="minMax"/>
          <c:max val="14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891827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557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Aurora!$B$113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Aurora!$C$112:$F$112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Aurora!$C$113:$F$113</c:f>
              <c:numCache>
                <c:formatCode>General</c:formatCode>
                <c:ptCount val="4"/>
                <c:pt idx="0">
                  <c:v>634860</c:v>
                </c:pt>
                <c:pt idx="1">
                  <c:v>631469</c:v>
                </c:pt>
                <c:pt idx="2">
                  <c:v>651887.72</c:v>
                </c:pt>
                <c:pt idx="3">
                  <c:v>618934.56999999995</c:v>
                </c:pt>
              </c:numCache>
            </c:numRef>
          </c:val>
        </c:ser>
        <c:ser>
          <c:idx val="1"/>
          <c:order val="1"/>
          <c:tx>
            <c:strRef>
              <c:f>Aurora!$B$114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Aurora!$C$112:$F$112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Aurora!$C$114:$F$114</c:f>
              <c:numCache>
                <c:formatCode>General</c:formatCode>
                <c:ptCount val="4"/>
                <c:pt idx="0">
                  <c:v>173613</c:v>
                </c:pt>
                <c:pt idx="1">
                  <c:v>175952</c:v>
                </c:pt>
                <c:pt idx="2">
                  <c:v>180382</c:v>
                </c:pt>
                <c:pt idx="3">
                  <c:v>176499.75</c:v>
                </c:pt>
              </c:numCache>
            </c:numRef>
          </c:val>
        </c:ser>
        <c:ser>
          <c:idx val="2"/>
          <c:order val="2"/>
          <c:tx>
            <c:strRef>
              <c:f>Aurora!$B$115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Aurora!$C$112:$F$112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Aurora!$C$115:$F$115</c:f>
              <c:numCache>
                <c:formatCode>General</c:formatCode>
                <c:ptCount val="4"/>
                <c:pt idx="0">
                  <c:v>395833</c:v>
                </c:pt>
                <c:pt idx="1">
                  <c:v>390231</c:v>
                </c:pt>
                <c:pt idx="2">
                  <c:v>387909</c:v>
                </c:pt>
                <c:pt idx="3">
                  <c:v>388360.95</c:v>
                </c:pt>
              </c:numCache>
            </c:numRef>
          </c:val>
        </c:ser>
        <c:ser>
          <c:idx val="3"/>
          <c:order val="3"/>
          <c:tx>
            <c:strRef>
              <c:f>Aurora!$B$116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Aurora!$C$112:$F$112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Aurora!$C$116:$F$116</c:f>
              <c:numCache>
                <c:formatCode>General</c:formatCode>
                <c:ptCount val="4"/>
                <c:pt idx="0">
                  <c:v>70101</c:v>
                </c:pt>
                <c:pt idx="1">
                  <c:v>68572</c:v>
                </c:pt>
                <c:pt idx="2">
                  <c:v>59736</c:v>
                </c:pt>
                <c:pt idx="3">
                  <c:v>54492.851999999999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7406336"/>
        <c:axId val="117412224"/>
      </c:barChart>
      <c:catAx>
        <c:axId val="1174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7412224"/>
        <c:crosses val="autoZero"/>
        <c:auto val="1"/>
        <c:lblAlgn val="ctr"/>
        <c:lblOffset val="100"/>
        <c:noMultiLvlLbl val="0"/>
      </c:catAx>
      <c:valAx>
        <c:axId val="11741222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7406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403062590314736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Nelson!$B$120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6842987772189748E-6"/>
                  <c:y val="-2.423140464023042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Nelson!$C$120:$F$120</c:f>
              <c:numCache>
                <c:formatCode>0.0</c:formatCode>
                <c:ptCount val="4"/>
                <c:pt idx="0">
                  <c:v>100</c:v>
                </c:pt>
                <c:pt idx="1">
                  <c:v>100.57611950118908</c:v>
                </c:pt>
                <c:pt idx="2">
                  <c:v>18.387228649141619</c:v>
                </c:pt>
                <c:pt idx="3">
                  <c:v>19.141998384951378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Nelson!$B$121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096566293505E-3"/>
                  <c:y val="-3.76511783603622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Nelson!$C$121:$F$121</c:f>
              <c:numCache>
                <c:formatCode>0.0</c:formatCode>
                <c:ptCount val="4"/>
                <c:pt idx="0">
                  <c:v>100</c:v>
                </c:pt>
                <c:pt idx="1">
                  <c:v>101.33647230992295</c:v>
                </c:pt>
                <c:pt idx="2">
                  <c:v>257.36646546233379</c:v>
                </c:pt>
                <c:pt idx="3">
                  <c:v>245.58747685924001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Nelson!$B$122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009866764143629E-5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Nelson!$C$122:$F$122</c:f>
              <c:numCache>
                <c:formatCode>0.0</c:formatCode>
                <c:ptCount val="4"/>
                <c:pt idx="0">
                  <c:v>100</c:v>
                </c:pt>
                <c:pt idx="1">
                  <c:v>98.731175337097412</c:v>
                </c:pt>
                <c:pt idx="2">
                  <c:v>100.58723257636008</c:v>
                </c:pt>
                <c:pt idx="3">
                  <c:v>91.269173546338379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Nelson!$B$123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-4.115787037037034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800"/>
                      <a:t>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Nelson!$C$123:$F$123</c:f>
              <c:numCache>
                <c:formatCode>0.0</c:formatCode>
                <c:ptCount val="4"/>
                <c:pt idx="0">
                  <c:v>100</c:v>
                </c:pt>
                <c:pt idx="1">
                  <c:v>92.865395014630167</c:v>
                </c:pt>
                <c:pt idx="2">
                  <c:v>83.589444053483447</c:v>
                </c:pt>
                <c:pt idx="3">
                  <c:v>101.63339382940109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85984"/>
        <c:axId val="149387520"/>
      </c:lineChart>
      <c:catAx>
        <c:axId val="14938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9387520"/>
        <c:crosses val="autoZero"/>
        <c:auto val="1"/>
        <c:lblAlgn val="ctr"/>
        <c:lblOffset val="100"/>
        <c:noMultiLvlLbl val="0"/>
      </c:catAx>
      <c:valAx>
        <c:axId val="149387520"/>
        <c:scaling>
          <c:orientation val="minMax"/>
          <c:max val="3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9385984"/>
        <c:crosses val="autoZero"/>
        <c:crossBetween val="midCat"/>
        <c:maj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834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Nelson!$B$113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Nelson!$C$112:$F$112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Nelson!$C$113:$F$113</c:f>
              <c:numCache>
                <c:formatCode>General</c:formatCode>
                <c:ptCount val="4"/>
                <c:pt idx="0">
                  <c:v>55443.531999999999</c:v>
                </c:pt>
                <c:pt idx="1">
                  <c:v>55762.953000000001</c:v>
                </c:pt>
                <c:pt idx="2">
                  <c:v>10194.529</c:v>
                </c:pt>
                <c:pt idx="3">
                  <c:v>10613</c:v>
                </c:pt>
              </c:numCache>
            </c:numRef>
          </c:val>
        </c:ser>
        <c:ser>
          <c:idx val="1"/>
          <c:order val="1"/>
          <c:tx>
            <c:strRef>
              <c:f>Nelson!$B$114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Nelson!$C$112:$F$112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Nelson!$C$114:$F$114</c:f>
              <c:numCache>
                <c:formatCode>General</c:formatCode>
                <c:ptCount val="4"/>
                <c:pt idx="0">
                  <c:v>29771.062000000002</c:v>
                </c:pt>
                <c:pt idx="1">
                  <c:v>30168.944</c:v>
                </c:pt>
                <c:pt idx="2">
                  <c:v>76620.73</c:v>
                </c:pt>
                <c:pt idx="3">
                  <c:v>73114</c:v>
                </c:pt>
              </c:numCache>
            </c:numRef>
          </c:val>
        </c:ser>
        <c:ser>
          <c:idx val="2"/>
          <c:order val="2"/>
          <c:tx>
            <c:strRef>
              <c:f>Nelson!$B$115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Nelson!$C$112:$F$112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Nelson!$C$115:$F$115</c:f>
              <c:numCache>
                <c:formatCode>General</c:formatCode>
                <c:ptCount val="4"/>
                <c:pt idx="0">
                  <c:v>37892.311999999998</c:v>
                </c:pt>
                <c:pt idx="1">
                  <c:v>37411.525000000001</c:v>
                </c:pt>
                <c:pt idx="2">
                  <c:v>38114.828000000001</c:v>
                </c:pt>
                <c:pt idx="3">
                  <c:v>34584</c:v>
                </c:pt>
              </c:numCache>
            </c:numRef>
          </c:val>
        </c:ser>
        <c:ser>
          <c:idx val="3"/>
          <c:order val="3"/>
          <c:tx>
            <c:strRef>
              <c:f>Nelson!$B$116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Nelson!$C$112:$F$112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Nelson!$C$116:$F$116</c:f>
              <c:numCache>
                <c:formatCode>General</c:formatCode>
                <c:ptCount val="4"/>
                <c:pt idx="0">
                  <c:v>26999</c:v>
                </c:pt>
                <c:pt idx="1">
                  <c:v>25072.727999999999</c:v>
                </c:pt>
                <c:pt idx="2">
                  <c:v>22568.313999999998</c:v>
                </c:pt>
                <c:pt idx="3">
                  <c:v>27440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181952"/>
        <c:axId val="149183488"/>
      </c:barChart>
      <c:catAx>
        <c:axId val="1491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9183488"/>
        <c:crosses val="autoZero"/>
        <c:auto val="1"/>
        <c:lblAlgn val="ctr"/>
        <c:lblOffset val="100"/>
        <c:noMultiLvlLbl val="0"/>
      </c:catAx>
      <c:valAx>
        <c:axId val="14918348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9181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Nelson!$U$138:$U$144</c:f>
              <c:strCache>
                <c:ptCount val="7"/>
                <c:pt idx="0">
                  <c:v>General management, admin and overheads</c:v>
                </c:pt>
                <c:pt idx="1">
                  <c:v>System management and operations</c:v>
                </c:pt>
                <c:pt idx="2">
                  <c:v>Routine and preventative maintenance</c:v>
                </c:pt>
                <c:pt idx="3">
                  <c:v>Refurbishment and renewal maintenance</c:v>
                </c:pt>
                <c:pt idx="4">
                  <c:v>Fault and emergency maintenance</c:v>
                </c:pt>
                <c:pt idx="5">
                  <c:v>Other</c:v>
                </c:pt>
                <c:pt idx="6">
                  <c:v>Pass-through costs</c:v>
                </c:pt>
              </c:strCache>
            </c:strRef>
          </c:cat>
          <c:val>
            <c:numRef>
              <c:f>Nelson!$V$138:$V$144</c:f>
              <c:numCache>
                <c:formatCode>General</c:formatCode>
                <c:ptCount val="7"/>
                <c:pt idx="0">
                  <c:v>1078</c:v>
                </c:pt>
                <c:pt idx="1">
                  <c:v>345</c:v>
                </c:pt>
                <c:pt idx="2">
                  <c:v>180</c:v>
                </c:pt>
                <c:pt idx="3">
                  <c:v>77</c:v>
                </c:pt>
                <c:pt idx="4">
                  <c:v>71</c:v>
                </c:pt>
                <c:pt idx="5">
                  <c:v>0</c:v>
                </c:pt>
                <c:pt idx="6">
                  <c:v>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49212160"/>
        <c:axId val="149230336"/>
      </c:barChart>
      <c:catAx>
        <c:axId val="149212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9230336"/>
        <c:crosses val="autoZero"/>
        <c:auto val="1"/>
        <c:lblAlgn val="ctr"/>
        <c:lblOffset val="100"/>
        <c:noMultiLvlLbl val="0"/>
      </c:catAx>
      <c:valAx>
        <c:axId val="149230336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92121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14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Nelson!$U$186:$U$191</c:f>
              <c:strCache>
                <c:ptCount val="6"/>
                <c:pt idx="0">
                  <c:v>Asset replacement and renewal</c:v>
                </c:pt>
                <c:pt idx="1">
                  <c:v>Reliability, safety and environment</c:v>
                </c:pt>
                <c:pt idx="2">
                  <c:v>System growth</c:v>
                </c:pt>
                <c:pt idx="3">
                  <c:v>Non-network capex</c:v>
                </c:pt>
                <c:pt idx="4">
                  <c:v>Customer connection</c:v>
                </c:pt>
                <c:pt idx="5">
                  <c:v>Asset relocations</c:v>
                </c:pt>
              </c:strCache>
            </c:strRef>
          </c:cat>
          <c:val>
            <c:numRef>
              <c:f>Nelson!$V$186:$V$191</c:f>
              <c:numCache>
                <c:formatCode>General</c:formatCode>
                <c:ptCount val="6"/>
                <c:pt idx="0">
                  <c:v>1.1870000000000001</c:v>
                </c:pt>
                <c:pt idx="1">
                  <c:v>0.45600000000000002</c:v>
                </c:pt>
                <c:pt idx="2">
                  <c:v>0.23499999999999999</c:v>
                </c:pt>
                <c:pt idx="3">
                  <c:v>1.8304999999999998E-2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49262720"/>
        <c:axId val="149264256"/>
      </c:barChart>
      <c:catAx>
        <c:axId val="149262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9264256"/>
        <c:crosses val="autoZero"/>
        <c:auto val="1"/>
        <c:lblAlgn val="ctr"/>
        <c:lblOffset val="100"/>
        <c:noMultiLvlLbl val="0"/>
      </c:catAx>
      <c:valAx>
        <c:axId val="149264256"/>
        <c:scaling>
          <c:orientation val="minMax"/>
          <c:max val="1.2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92627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3960610949172954"/>
          <c:h val="0.8240462962963091"/>
        </c:manualLayout>
      </c:layout>
      <c:lineChart>
        <c:grouping val="standard"/>
        <c:varyColors val="0"/>
        <c:ser>
          <c:idx val="0"/>
          <c:order val="0"/>
          <c:tx>
            <c:strRef>
              <c:f>Nelson!$B$76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625103956994970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Nelson!$C$76:$F$76</c:f>
              <c:numCache>
                <c:formatCode>0.0</c:formatCode>
                <c:ptCount val="4"/>
                <c:pt idx="0">
                  <c:v>100</c:v>
                </c:pt>
                <c:pt idx="1">
                  <c:v>105.20583135032587</c:v>
                </c:pt>
                <c:pt idx="2">
                  <c:v>78.316287060968762</c:v>
                </c:pt>
                <c:pt idx="3">
                  <c:v>74.904186252954602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Nelson!$B$77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600805139392770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Nelson!$C$77:$F$77</c:f>
              <c:numCache>
                <c:formatCode>0.0</c:formatCode>
                <c:ptCount val="4"/>
                <c:pt idx="0">
                  <c:v>100</c:v>
                </c:pt>
                <c:pt idx="1">
                  <c:v>106.5839684701976</c:v>
                </c:pt>
                <c:pt idx="2">
                  <c:v>56.0800457751469</c:v>
                </c:pt>
                <c:pt idx="3">
                  <c:v>59.32119719088427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Nelson!$B$78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649450986536810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Nelson!$C$78:$F$78</c:f>
              <c:numCache>
                <c:formatCode>0.0</c:formatCode>
                <c:ptCount val="4"/>
                <c:pt idx="0">
                  <c:v>100</c:v>
                </c:pt>
                <c:pt idx="1">
                  <c:v>104.50769136267728</c:v>
                </c:pt>
                <c:pt idx="2">
                  <c:v>98.501654303510946</c:v>
                </c:pt>
                <c:pt idx="3">
                  <c:v>97.611635937286863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Nelson!$B$79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600756927453083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Nelson!$C$79:$F$79</c:f>
              <c:numCache>
                <c:formatCode>0.0</c:formatCode>
                <c:ptCount val="4"/>
                <c:pt idx="0">
                  <c:v>100</c:v>
                </c:pt>
                <c:pt idx="1">
                  <c:v>107.78191997847941</c:v>
                </c:pt>
                <c:pt idx="2">
                  <c:v>101.01066762489678</c:v>
                </c:pt>
                <c:pt idx="3">
                  <c:v>134.96814358587773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14048"/>
        <c:axId val="149715584"/>
      </c:lineChart>
      <c:catAx>
        <c:axId val="1497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9715584"/>
        <c:crosses val="autoZero"/>
        <c:auto val="1"/>
        <c:lblAlgn val="ctr"/>
        <c:lblOffset val="100"/>
        <c:noMultiLvlLbl val="0"/>
      </c:catAx>
      <c:valAx>
        <c:axId val="149715584"/>
        <c:scaling>
          <c:orientation val="minMax"/>
          <c:max val="15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9714048"/>
        <c:crosses val="autoZero"/>
        <c:crossBetween val="midCat"/>
        <c:maj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28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426"/>
          <c:y val="0.16445370370370369"/>
          <c:w val="0.70330041907982199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Nelson!$B$70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Nelson!$C$69:$F$69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Nelson!$C$70:$F$70</c:f>
              <c:numCache>
                <c:formatCode>0</c:formatCode>
                <c:ptCount val="4"/>
                <c:pt idx="0">
                  <c:v>509.18687792853501</c:v>
                </c:pt>
                <c:pt idx="1">
                  <c:v>535.69428805148414</c:v>
                </c:pt>
                <c:pt idx="2">
                  <c:v>398.77625699529608</c:v>
                </c:pt>
                <c:pt idx="3">
                  <c:v>381.40228741919441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43872"/>
        <c:axId val="149434368"/>
      </c:lineChart>
      <c:catAx>
        <c:axId val="14974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9434368"/>
        <c:crosses val="autoZero"/>
        <c:auto val="1"/>
        <c:lblAlgn val="ctr"/>
        <c:lblOffset val="100"/>
        <c:noMultiLvlLbl val="0"/>
      </c:catAx>
      <c:valAx>
        <c:axId val="149434368"/>
        <c:scaling>
          <c:orientation val="minMax"/>
          <c:max val="600"/>
          <c:min val="3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9743872"/>
        <c:crosses val="autoZero"/>
        <c:crossBetween val="midCat"/>
        <c:majorUnit val="6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86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84"/>
          <c:y val="0.17621296296296754"/>
          <c:w val="0.73692152777777775"/>
          <c:h val="0.57282407407409708"/>
        </c:manualLayout>
      </c:layout>
      <c:lineChart>
        <c:grouping val="standard"/>
        <c:varyColors val="0"/>
        <c:ser>
          <c:idx val="1"/>
          <c:order val="0"/>
          <c:tx>
            <c:strRef>
              <c:f>Nelson!$B$71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Nelson!$C$69:$F$69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Nelson!$C$71:$F$71</c:f>
              <c:numCache>
                <c:formatCode>0</c:formatCode>
                <c:ptCount val="4"/>
                <c:pt idx="0">
                  <c:v>1293.0791099423664</c:v>
                </c:pt>
                <c:pt idx="1">
                  <c:v>1378.2150308356834</c:v>
                </c:pt>
                <c:pt idx="2">
                  <c:v>725.15935676454114</c:v>
                </c:pt>
                <c:pt idx="3">
                  <c:v>767.07000864304234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63040"/>
        <c:axId val="149464576"/>
      </c:lineChart>
      <c:catAx>
        <c:axId val="14946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9464576"/>
        <c:crosses val="autoZero"/>
        <c:auto val="1"/>
        <c:lblAlgn val="ctr"/>
        <c:lblOffset val="100"/>
        <c:noMultiLvlLbl val="0"/>
      </c:catAx>
      <c:valAx>
        <c:axId val="149464576"/>
        <c:scaling>
          <c:orientation val="minMax"/>
          <c:max val="1400"/>
          <c:min val="7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9463040"/>
        <c:crosses val="autoZero"/>
        <c:crossBetween val="midCat"/>
        <c:majorUnit val="14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8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Nelson!$B$72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Nelson!$C$69:$F$69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Nelson!$C$72:$F$72</c:f>
              <c:numCache>
                <c:formatCode>0</c:formatCode>
                <c:ptCount val="4"/>
                <c:pt idx="0">
                  <c:v>20136.488203295536</c:v>
                </c:pt>
                <c:pt idx="1">
                  <c:v>21044.178942782019</c:v>
                </c:pt>
                <c:pt idx="2">
                  <c:v>19834.77399887743</c:v>
                </c:pt>
                <c:pt idx="3">
                  <c:v>19655.555555555555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01824"/>
        <c:axId val="149503360"/>
      </c:lineChart>
      <c:catAx>
        <c:axId val="1495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9503360"/>
        <c:crosses val="autoZero"/>
        <c:auto val="1"/>
        <c:lblAlgn val="ctr"/>
        <c:lblOffset val="100"/>
        <c:noMultiLvlLbl val="0"/>
      </c:catAx>
      <c:valAx>
        <c:axId val="149503360"/>
        <c:scaling>
          <c:orientation val="minMax"/>
          <c:max val="30000"/>
          <c:min val="1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9501824"/>
        <c:crosses val="autoZero"/>
        <c:crossBetween val="midCat"/>
        <c:majorUnit val="3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Nelson!$B$73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Nelson!$C$69:$F$69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Nelson!$C$73:$F$73</c:f>
              <c:numCache>
                <c:formatCode>0</c:formatCode>
                <c:ptCount val="4"/>
                <c:pt idx="0">
                  <c:v>144033.98819537507</c:v>
                </c:pt>
                <c:pt idx="1">
                  <c:v>155242.59789855164</c:v>
                </c:pt>
                <c:pt idx="2">
                  <c:v>145489.69308291338</c:v>
                </c:pt>
                <c:pt idx="3">
                  <c:v>194400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19744"/>
        <c:axId val="149529728"/>
      </c:lineChart>
      <c:catAx>
        <c:axId val="14951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9529728"/>
        <c:crosses val="autoZero"/>
        <c:auto val="1"/>
        <c:lblAlgn val="ctr"/>
        <c:lblOffset val="100"/>
        <c:noMultiLvlLbl val="0"/>
      </c:catAx>
      <c:valAx>
        <c:axId val="149529728"/>
        <c:scaling>
          <c:orientation val="minMax"/>
          <c:max val="200000"/>
          <c:min val="1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9519744"/>
        <c:crosses val="autoZero"/>
        <c:crossBetween val="midCat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73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Nelson!$B$105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1631162507608E-4"/>
                  <c:y val="-2.351898148148147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Nelson!$C$105:$F$105</c:f>
              <c:numCache>
                <c:formatCode>0.0</c:formatCode>
                <c:ptCount val="4"/>
                <c:pt idx="0">
                  <c:v>100</c:v>
                </c:pt>
                <c:pt idx="1">
                  <c:v>100.51095871991393</c:v>
                </c:pt>
                <c:pt idx="2">
                  <c:v>23.46376226973242</c:v>
                </c:pt>
                <c:pt idx="3">
                  <c:v>27.040473309130025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Nelson!$B$106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7670985131727962"/>
                  <c:y val="-1.763981481481481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Nelson!$C$106:$F$106</c:f>
              <c:numCache>
                <c:formatCode>0.0</c:formatCode>
                <c:ptCount val="4"/>
                <c:pt idx="0">
                  <c:v>100</c:v>
                </c:pt>
                <c:pt idx="1">
                  <c:v>101.6308376575241</c:v>
                </c:pt>
                <c:pt idx="2">
                  <c:v>531.06004447739065</c:v>
                </c:pt>
                <c:pt idx="3">
                  <c:v>514.60340993328396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Nelson!$B$107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687940179118057E-5"/>
                  <c:y val="-4.115740740740739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Nelson!$C$107:$F$107</c:f>
              <c:numCache>
                <c:formatCode>0.0</c:formatCode>
                <c:ptCount val="4"/>
                <c:pt idx="0">
                  <c:v>100</c:v>
                </c:pt>
                <c:pt idx="1">
                  <c:v>102.22222222222221</c:v>
                </c:pt>
                <c:pt idx="2">
                  <c:v>104.44444444444446</c:v>
                </c:pt>
                <c:pt idx="3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34432"/>
        <c:axId val="149644416"/>
      </c:lineChart>
      <c:catAx>
        <c:axId val="14963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9644416"/>
        <c:crosses val="autoZero"/>
        <c:auto val="1"/>
        <c:lblAlgn val="ctr"/>
        <c:lblOffset val="100"/>
        <c:noMultiLvlLbl val="0"/>
      </c:catAx>
      <c:valAx>
        <c:axId val="149644416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9634432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Aurora!$U$138:$U$144</c:f>
              <c:strCache>
                <c:ptCount val="7"/>
                <c:pt idx="0">
                  <c:v>System management and operations</c:v>
                </c:pt>
                <c:pt idx="1">
                  <c:v>General management, admin and overheads</c:v>
                </c:pt>
                <c:pt idx="2">
                  <c:v>Fault and emergency maintenance</c:v>
                </c:pt>
                <c:pt idx="3">
                  <c:v>Routine and preventative maintenance</c:v>
                </c:pt>
                <c:pt idx="4">
                  <c:v>Refurbishment and renewal maintenance</c:v>
                </c:pt>
                <c:pt idx="5">
                  <c:v>Pass-through costs</c:v>
                </c:pt>
                <c:pt idx="6">
                  <c:v>Other</c:v>
                </c:pt>
              </c:strCache>
            </c:strRef>
          </c:cat>
          <c:val>
            <c:numRef>
              <c:f>Aurora!$V$138:$V$144</c:f>
              <c:numCache>
                <c:formatCode>General</c:formatCode>
                <c:ptCount val="7"/>
                <c:pt idx="0">
                  <c:v>4907</c:v>
                </c:pt>
                <c:pt idx="1">
                  <c:v>4453</c:v>
                </c:pt>
                <c:pt idx="2">
                  <c:v>4155</c:v>
                </c:pt>
                <c:pt idx="3">
                  <c:v>3194</c:v>
                </c:pt>
                <c:pt idx="4">
                  <c:v>1103</c:v>
                </c:pt>
                <c:pt idx="5">
                  <c:v>862</c:v>
                </c:pt>
                <c:pt idx="6">
                  <c:v>331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17428608"/>
        <c:axId val="117430144"/>
      </c:barChart>
      <c:catAx>
        <c:axId val="117428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7430144"/>
        <c:crosses val="autoZero"/>
        <c:auto val="1"/>
        <c:lblAlgn val="ctr"/>
        <c:lblOffset val="100"/>
        <c:noMultiLvlLbl val="0"/>
      </c:catAx>
      <c:valAx>
        <c:axId val="117430144"/>
        <c:scaling>
          <c:orientation val="minMax"/>
          <c:max val="50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7428608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3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Nelson!$B$98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Nelson!$C$97:$F$97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Nelson!$C$98:$F$98</c:f>
              <c:numCache>
                <c:formatCode>General</c:formatCode>
                <c:ptCount val="4"/>
                <c:pt idx="0">
                  <c:v>7437</c:v>
                </c:pt>
                <c:pt idx="1">
                  <c:v>7475</c:v>
                </c:pt>
                <c:pt idx="2">
                  <c:v>1745</c:v>
                </c:pt>
                <c:pt idx="3">
                  <c:v>2011</c:v>
                </c:pt>
              </c:numCache>
            </c:numRef>
          </c:val>
        </c:ser>
        <c:ser>
          <c:idx val="1"/>
          <c:order val="1"/>
          <c:tx>
            <c:strRef>
              <c:f>Nelson!$B$99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Nelson!$C$97:$F$97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Nelson!$C$99:$F$99</c:f>
              <c:numCache>
                <c:formatCode>General</c:formatCode>
                <c:ptCount val="4"/>
                <c:pt idx="0">
                  <c:v>1349</c:v>
                </c:pt>
                <c:pt idx="1">
                  <c:v>1371</c:v>
                </c:pt>
                <c:pt idx="2">
                  <c:v>7164</c:v>
                </c:pt>
                <c:pt idx="3">
                  <c:v>6942</c:v>
                </c:pt>
              </c:numCache>
            </c:numRef>
          </c:val>
        </c:ser>
        <c:ser>
          <c:idx val="2"/>
          <c:order val="2"/>
          <c:tx>
            <c:strRef>
              <c:f>Nelson!$B$100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Nelson!$C$97:$F$97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Nelson!$C$100:$F$100</c:f>
              <c:numCache>
                <c:formatCode>General</c:formatCode>
                <c:ptCount val="4"/>
                <c:pt idx="0">
                  <c:v>90</c:v>
                </c:pt>
                <c:pt idx="1">
                  <c:v>92</c:v>
                </c:pt>
                <c:pt idx="2">
                  <c:v>94</c:v>
                </c:pt>
                <c:pt idx="3">
                  <c:v>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027264"/>
        <c:axId val="150037248"/>
      </c:barChart>
      <c:catAx>
        <c:axId val="15002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0037248"/>
        <c:crosses val="autoZero"/>
        <c:auto val="1"/>
        <c:lblAlgn val="ctr"/>
        <c:lblOffset val="100"/>
        <c:noMultiLvlLbl val="0"/>
      </c:catAx>
      <c:valAx>
        <c:axId val="15003724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0027264"/>
        <c:crosses val="autoZero"/>
        <c:crossBetween val="between"/>
        <c:majorUnit val="2000"/>
      </c:valAx>
    </c:plotArea>
    <c:legend>
      <c:legendPos val="t"/>
      <c:layout>
        <c:manualLayout>
          <c:xMode val="edge"/>
          <c:yMode val="edge"/>
          <c:x val="0"/>
          <c:y val="3.5277777777779344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Nelson!$B$209</c:f>
              <c:strCache>
                <c:ptCount val="1"/>
                <c:pt idx="0">
                  <c:v>Nelson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Nelson!$C$204:$F$204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Nelson!$C$209:$F$209</c:f>
              <c:numCache>
                <c:formatCode>_(* #,##0.00_);_(* \(#,##0.00\);_(* "-"??_);_(@_)</c:formatCode>
                <c:ptCount val="4"/>
                <c:pt idx="0">
                  <c:v>5960.870675758244</c:v>
                </c:pt>
                <c:pt idx="1">
                  <c:v>9455.8796944389978</c:v>
                </c:pt>
                <c:pt idx="2">
                  <c:v>10529.484295578131</c:v>
                </c:pt>
                <c:pt idx="3">
                  <c:v>13010.579687274872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Nelson!$B$210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6.7245863585146965E-3"/>
                  <c:y val="-5.66844400654102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Nelson!$C$204:$F$204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67456"/>
        <c:axId val="149766144"/>
      </c:lineChart>
      <c:catAx>
        <c:axId val="15006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9766144"/>
        <c:crosses val="autoZero"/>
        <c:auto val="1"/>
        <c:lblAlgn val="ctr"/>
        <c:lblOffset val="100"/>
        <c:noMultiLvlLbl val="0"/>
      </c:catAx>
      <c:valAx>
        <c:axId val="149766144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0067456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26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Nelson!$C$204:$F$204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Nelson!$C$212:$F$212</c:f>
              <c:numCache>
                <c:formatCode>_(* #,##0.00_);_(* \(#,##0.00\);_(* "-"??_);_(@_)</c:formatCode>
                <c:ptCount val="4"/>
                <c:pt idx="0">
                  <c:v>3.6428107707146648E-2</c:v>
                </c:pt>
                <c:pt idx="1">
                  <c:v>5.7597901584854568E-2</c:v>
                </c:pt>
                <c:pt idx="2">
                  <c:v>6.3606546295598934E-2</c:v>
                </c:pt>
                <c:pt idx="3">
                  <c:v>6.629303127590902E-2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834110419727078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Nelson!$C$204:$F$204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97120"/>
        <c:axId val="149807104"/>
      </c:lineChart>
      <c:catAx>
        <c:axId val="1497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9807104"/>
        <c:crosses val="autoZero"/>
        <c:auto val="1"/>
        <c:lblAlgn val="ctr"/>
        <c:lblOffset val="100"/>
        <c:noMultiLvlLbl val="0"/>
      </c:catAx>
      <c:valAx>
        <c:axId val="149807104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9797120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02"/>
          <c:w val="0.79809047321242665"/>
          <c:h val="0.72979551178440283"/>
        </c:manualLayout>
      </c:layout>
      <c:lineChart>
        <c:grouping val="standard"/>
        <c:varyColors val="0"/>
        <c:ser>
          <c:idx val="0"/>
          <c:order val="0"/>
          <c:tx>
            <c:strRef>
              <c:f>Nelson!$B$206</c:f>
              <c:strCache>
                <c:ptCount val="1"/>
                <c:pt idx="0">
                  <c:v>Nelson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Nelson!$C$204:$F$204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Nelson!$C$206:$F$206</c:f>
              <c:numCache>
                <c:formatCode>_(* #,##0.00_);_(* \(#,##0.00\);_(* "-"??_);_(@_)</c:formatCode>
                <c:ptCount val="4"/>
                <c:pt idx="0">
                  <c:v>100.7501287392775</c:v>
                </c:pt>
                <c:pt idx="1">
                  <c:v>156.92779370589426</c:v>
                </c:pt>
                <c:pt idx="2">
                  <c:v>172.41142284107306</c:v>
                </c:pt>
                <c:pt idx="3">
                  <c:v>209.5827807250221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Nelson!$B$207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5988850572340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Nelson!$C$204:$F$204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37312"/>
        <c:axId val="149838848"/>
      </c:lineChart>
      <c:catAx>
        <c:axId val="1498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9838848"/>
        <c:crosses val="autoZero"/>
        <c:auto val="1"/>
        <c:lblAlgn val="ctr"/>
        <c:lblOffset val="100"/>
        <c:noMultiLvlLbl val="0"/>
      </c:catAx>
      <c:valAx>
        <c:axId val="149838848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9837312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486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Nelson!$B$162</c:f>
              <c:strCache>
                <c:ptCount val="1"/>
                <c:pt idx="0">
                  <c:v>Nelson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Nelson!$C$160:$F$160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Nelson!$C$162:$F$162</c:f>
              <c:numCache>
                <c:formatCode>_(* #,##0.00_);_(* \(#,##0.00\);_(* "-"??_);_(@_)</c:formatCode>
                <c:ptCount val="4"/>
                <c:pt idx="0">
                  <c:v>214.81672254020796</c:v>
                </c:pt>
                <c:pt idx="1">
                  <c:v>217.4159853030649</c:v>
                </c:pt>
                <c:pt idx="2">
                  <c:v>243.51161028938526</c:v>
                </c:pt>
                <c:pt idx="3">
                  <c:v>193.30238726790452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Nelson!$B$163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Nelson!$C$160:$F$160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52768"/>
        <c:axId val="149970944"/>
      </c:lineChart>
      <c:catAx>
        <c:axId val="14995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9970944"/>
        <c:crosses val="autoZero"/>
        <c:auto val="1"/>
        <c:lblAlgn val="ctr"/>
        <c:lblOffset val="100"/>
        <c:noMultiLvlLbl val="0"/>
      </c:catAx>
      <c:valAx>
        <c:axId val="149970944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9952768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6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725058907738344"/>
          <c:y val="0.14255777777777778"/>
          <c:w val="0.66912555315805666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Nelson!$C$160:$F$160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Nelson!$C$165:$F$165</c:f>
              <c:numCache>
                <c:formatCode>_(* #,##0.00_);_(* \(#,##0.00\);_(* "-"??_);_(@_)</c:formatCode>
                <c:ptCount val="4"/>
                <c:pt idx="0">
                  <c:v>7741.7007380578134</c:v>
                </c:pt>
                <c:pt idx="1">
                  <c:v>7871.8670306287822</c:v>
                </c:pt>
                <c:pt idx="2">
                  <c:v>8831.7936364568286</c:v>
                </c:pt>
                <c:pt idx="3">
                  <c:v>6866.3361089191703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2730151815203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Nelson!$C$160:$F$160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00768"/>
        <c:axId val="150002304"/>
      </c:lineChart>
      <c:catAx>
        <c:axId val="1500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002304"/>
        <c:crosses val="autoZero"/>
        <c:auto val="1"/>
        <c:lblAlgn val="ctr"/>
        <c:lblOffset val="100"/>
        <c:noMultiLvlLbl val="0"/>
      </c:catAx>
      <c:valAx>
        <c:axId val="150002304"/>
        <c:scaling>
          <c:orientation val="minMax"/>
          <c:max val="1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50000768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20078265003841"/>
          <c:y val="0.13550222222222241"/>
          <c:w val="0.73617535958538938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Nelson!$B$168</c:f>
              <c:strCache>
                <c:ptCount val="1"/>
                <c:pt idx="0">
                  <c:v>Nelson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Nelson!$C$160:$F$160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Nelson!$C$168:$F$168</c:f>
              <c:numCache>
                <c:formatCode>_(* #,##0.00_);_(* \(#,##0.00\);_(* "-"??_);_(@_)</c:formatCode>
                <c:ptCount val="4"/>
                <c:pt idx="0">
                  <c:v>12.709608593812339</c:v>
                </c:pt>
                <c:pt idx="1">
                  <c:v>13.100671029165689</c:v>
                </c:pt>
                <c:pt idx="2">
                  <c:v>14.871704171808496</c:v>
                </c:pt>
                <c:pt idx="3">
                  <c:v>11.999917667803309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Nelson!$B$169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631201735031021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Nelson!$C$160:$F$160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14688"/>
        <c:axId val="150116224"/>
      </c:lineChart>
      <c:catAx>
        <c:axId val="15011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0116224"/>
        <c:crosses val="autoZero"/>
        <c:auto val="1"/>
        <c:lblAlgn val="ctr"/>
        <c:lblOffset val="100"/>
        <c:noMultiLvlLbl val="0"/>
      </c:catAx>
      <c:valAx>
        <c:axId val="150116224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0114688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735"/>
          <c:h val="0.77599166666669772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Nelson!$B$178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Nelson!$C$178:$D$178</c:f>
              <c:numCache>
                <c:formatCode>_-* #,##0_-;\-* #,##0_-;_-* "-"??_-;_-@_-</c:formatCode>
                <c:ptCount val="2"/>
                <c:pt idx="0">
                  <c:v>508.39885748160918</c:v>
                </c:pt>
                <c:pt idx="1">
                  <c:v>328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50176896"/>
        <c:axId val="150178432"/>
      </c:barChart>
      <c:lineChart>
        <c:grouping val="standard"/>
        <c:varyColors val="0"/>
        <c:ser>
          <c:idx val="1"/>
          <c:order val="0"/>
          <c:tx>
            <c:strRef>
              <c:f>Nelson!$B$179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Nelson!$C$177:$D$177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Nelson!$C$179:$D$179</c:f>
              <c:numCache>
                <c:formatCode>_-* #,##0_-;\-* #,##0_-;_-* "-"??_-;_-@_-</c:formatCode>
                <c:ptCount val="2"/>
                <c:pt idx="0">
                  <c:v>601.11389641885148</c:v>
                </c:pt>
                <c:pt idx="1">
                  <c:v>612.3200668265473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Nelson!$B$180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Nelson!$C$177:$D$177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Nelson!$C$180:$D$180</c:f>
              <c:numCache>
                <c:formatCode>_-* #,##0_-;\-* #,##0_-;_-* "-"??_-;_-@_-</c:formatCode>
                <c:ptCount val="2"/>
                <c:pt idx="1">
                  <c:v>601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76896"/>
        <c:axId val="150178432"/>
      </c:lineChart>
      <c:catAx>
        <c:axId val="15017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0178432"/>
        <c:crosses val="autoZero"/>
        <c:auto val="1"/>
        <c:lblAlgn val="ctr"/>
        <c:lblOffset val="100"/>
        <c:noMultiLvlLbl val="0"/>
      </c:catAx>
      <c:valAx>
        <c:axId val="15017843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0176896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287"/>
          <c:y val="3.5277777777779386E-2"/>
          <c:w val="0.77172275936750589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Nelson!$V$177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22493368055555554"/>
                  <c:y val="-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Nelson!$W$177:$AC$177</c:f>
              <c:numCache>
                <c:formatCode>General</c:formatCode>
                <c:ptCount val="7"/>
                <c:pt idx="0">
                  <c:v>601.11389641885148</c:v>
                </c:pt>
                <c:pt idx="1">
                  <c:v>612.3200668265473</c:v>
                </c:pt>
                <c:pt idx="2">
                  <c:v>624.54609145536358</c:v>
                </c:pt>
                <c:pt idx="3">
                  <c:v>637.79095146991449</c:v>
                </c:pt>
                <c:pt idx="4">
                  <c:v>651.0358114844654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Nelson!$V$178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0167500000000022"/>
                  <c:y val="-3.527777777777849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Nelson!$W$178:$AC$178</c:f>
              <c:numCache>
                <c:formatCode>General</c:formatCode>
                <c:ptCount val="7"/>
                <c:pt idx="1">
                  <c:v>601</c:v>
                </c:pt>
                <c:pt idx="2">
                  <c:v>612.99999999999989</c:v>
                </c:pt>
                <c:pt idx="3">
                  <c:v>626</c:v>
                </c:pt>
                <c:pt idx="4">
                  <c:v>639</c:v>
                </c:pt>
                <c:pt idx="5">
                  <c:v>651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Nelson!$V$179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77777777779009E-5"/>
                  <c:y val="4.11574074074074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Nelson!$W$179:$AC$179</c:f>
              <c:numCache>
                <c:formatCode>General</c:formatCode>
                <c:ptCount val="7"/>
                <c:pt idx="2">
                  <c:v>587.55811247575957</c:v>
                </c:pt>
                <c:pt idx="3">
                  <c:v>599.28972204266324</c:v>
                </c:pt>
                <c:pt idx="4">
                  <c:v>611.99896574014224</c:v>
                </c:pt>
                <c:pt idx="5">
                  <c:v>624.70820943762124</c:v>
                </c:pt>
                <c:pt idx="6">
                  <c:v>636.43981900452491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Nelson!$V$176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0971195102970446"/>
                  <c:y val="0.3800061520728271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Nelson!$C$178:$I$178</c:f>
              <c:numCache>
                <c:formatCode>_-* #,##0_-;\-* #,##0_-;_-* "-"??_-;_-@_-</c:formatCode>
                <c:ptCount val="7"/>
                <c:pt idx="0">
                  <c:v>508.39885748160918</c:v>
                </c:pt>
                <c:pt idx="1">
                  <c:v>328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97920"/>
        <c:axId val="150524288"/>
      </c:lineChart>
      <c:catAx>
        <c:axId val="15049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0524288"/>
        <c:crosses val="autoZero"/>
        <c:auto val="1"/>
        <c:lblAlgn val="ctr"/>
        <c:lblOffset val="100"/>
        <c:noMultiLvlLbl val="0"/>
      </c:catAx>
      <c:valAx>
        <c:axId val="150524288"/>
        <c:scaling>
          <c:orientation val="minMax"/>
          <c:max val="700"/>
          <c:min val="3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049792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6966"/>
          <c:h val="0.7757828703703897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Nelson!$B$222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Nelson!$C$222:$D$222</c:f>
              <c:numCache>
                <c:formatCode>_-* #,##0_-;\-* #,##0_-;_-* "-"??_-;_-@_-</c:formatCode>
                <c:ptCount val="2"/>
                <c:pt idx="0">
                  <c:v>1453.8780954433994</c:v>
                </c:pt>
                <c:pt idx="1">
                  <c:v>1878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50293120"/>
        <c:axId val="150307200"/>
      </c:barChart>
      <c:lineChart>
        <c:grouping val="standard"/>
        <c:varyColors val="0"/>
        <c:ser>
          <c:idx val="1"/>
          <c:order val="0"/>
          <c:tx>
            <c:strRef>
              <c:f>Nelson!$B$223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Nelson!$C$221:$D$221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Nelson!$C$223:$D$223</c:f>
              <c:numCache>
                <c:formatCode>_-* #,##0_-;\-* #,##0_-;_-* "-"??_-;_-@_-</c:formatCode>
                <c:ptCount val="2"/>
                <c:pt idx="0">
                  <c:v>2536.9001104793724</c:v>
                </c:pt>
                <c:pt idx="1">
                  <c:v>4775.2814529384814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Nelson!$B$224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Nelson!$C$221:$D$221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Nelson!$C$224:$D$224</c:f>
              <c:numCache>
                <c:formatCode>_-* #,##0_-;\-* #,##0_-;_-* "-"??_-;_-@_-</c:formatCode>
                <c:ptCount val="2"/>
                <c:pt idx="1">
                  <c:v>6117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93120"/>
        <c:axId val="150307200"/>
      </c:lineChart>
      <c:catAx>
        <c:axId val="15029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0307200"/>
        <c:crosses val="autoZero"/>
        <c:auto val="1"/>
        <c:lblAlgn val="ctr"/>
        <c:lblOffset val="100"/>
        <c:noMultiLvlLbl val="0"/>
      </c:catAx>
      <c:valAx>
        <c:axId val="15030720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0293120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577E-3"/>
          <c:w val="0.9031628472222058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02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Aurora!$U$186:$U$191</c:f>
              <c:strCache>
                <c:ptCount val="6"/>
                <c:pt idx="0">
                  <c:v>Asset replacement and renewal</c:v>
                </c:pt>
                <c:pt idx="1">
                  <c:v>System growth</c:v>
                </c:pt>
                <c:pt idx="2">
                  <c:v>Customer connection</c:v>
                </c:pt>
                <c:pt idx="3">
                  <c:v>Reliability, safety and environment</c:v>
                </c:pt>
                <c:pt idx="4">
                  <c:v>Asset relocations</c:v>
                </c:pt>
                <c:pt idx="5">
                  <c:v>Non-network capex</c:v>
                </c:pt>
              </c:strCache>
            </c:strRef>
          </c:cat>
          <c:val>
            <c:numRef>
              <c:f>Aurora!$V$186:$V$191</c:f>
              <c:numCache>
                <c:formatCode>General</c:formatCode>
                <c:ptCount val="6"/>
                <c:pt idx="0">
                  <c:v>7.0549999999999997</c:v>
                </c:pt>
                <c:pt idx="1">
                  <c:v>5.9960000000000004</c:v>
                </c:pt>
                <c:pt idx="2">
                  <c:v>5.7759999999999998</c:v>
                </c:pt>
                <c:pt idx="3">
                  <c:v>2.0409999999999999</c:v>
                </c:pt>
                <c:pt idx="4">
                  <c:v>1.4259999999999999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17466624"/>
        <c:axId val="117468160"/>
      </c:barChart>
      <c:catAx>
        <c:axId val="117466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7468160"/>
        <c:crosses val="autoZero"/>
        <c:auto val="1"/>
        <c:lblAlgn val="ctr"/>
        <c:lblOffset val="100"/>
        <c:noMultiLvlLbl val="0"/>
      </c:catAx>
      <c:valAx>
        <c:axId val="117468160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74666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Nelson!$V$221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5916542422089347"/>
                  <c:y val="-0.523287037037036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Nelson!$W$221:$AC$221</c:f>
              <c:numCache>
                <c:formatCode>General</c:formatCode>
                <c:ptCount val="7"/>
                <c:pt idx="0">
                  <c:v>2536.9001104793724</c:v>
                </c:pt>
                <c:pt idx="1">
                  <c:v>4775.2814529384814</c:v>
                </c:pt>
                <c:pt idx="2">
                  <c:v>2989.2630217455735</c:v>
                </c:pt>
                <c:pt idx="3">
                  <c:v>978.08197030530016</c:v>
                </c:pt>
                <c:pt idx="4">
                  <c:v>733.56147772897509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Nelson!$V$222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6447985777169396"/>
                  <c:y val="-0.6173611111111111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Nelson!$W$222:$AC$222</c:f>
              <c:numCache>
                <c:formatCode>General</c:formatCode>
                <c:ptCount val="7"/>
                <c:pt idx="1">
                  <c:v>6117</c:v>
                </c:pt>
                <c:pt idx="2">
                  <c:v>6234</c:v>
                </c:pt>
                <c:pt idx="3">
                  <c:v>1771</c:v>
                </c:pt>
                <c:pt idx="4">
                  <c:v>1405</c:v>
                </c:pt>
                <c:pt idx="5">
                  <c:v>1537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Nelson!$V$223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3816758637215259"/>
                  <c:y val="-0.611481944444444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Nelson!$W$223:$AC$223</c:f>
              <c:numCache>
                <c:formatCode>General</c:formatCode>
                <c:ptCount val="7"/>
                <c:pt idx="2">
                  <c:v>5823.7665158371037</c:v>
                </c:pt>
                <c:pt idx="3">
                  <c:v>6081.8619263089849</c:v>
                </c:pt>
                <c:pt idx="4">
                  <c:v>1830.1310924369748</c:v>
                </c:pt>
                <c:pt idx="5">
                  <c:v>1394.1062702003878</c:v>
                </c:pt>
                <c:pt idx="6">
                  <c:v>1605.2752424046541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Nelson!$V$220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0562874865432922"/>
                  <c:y val="-4.922680101727193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Nelson!$W$220:$AC$220</c:f>
              <c:numCache>
                <c:formatCode>General</c:formatCode>
                <c:ptCount val="7"/>
                <c:pt idx="0">
                  <c:v>1453.8780954433994</c:v>
                </c:pt>
                <c:pt idx="1">
                  <c:v>1878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356352"/>
        <c:axId val="150357888"/>
      </c:lineChart>
      <c:catAx>
        <c:axId val="15035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0357888"/>
        <c:crosses val="autoZero"/>
        <c:auto val="1"/>
        <c:lblAlgn val="ctr"/>
        <c:lblOffset val="100"/>
        <c:noMultiLvlLbl val="0"/>
      </c:catAx>
      <c:valAx>
        <c:axId val="150357888"/>
        <c:scaling>
          <c:orientation val="minMax"/>
          <c:max val="7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0356352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08"/>
          <c:y val="6.4675925925925928E-2"/>
          <c:w val="0.79204653896315569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Nelson!$B$237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1.7654493743324066E-2"/>
                  <c:y val="-2.351851851851840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Nelson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Nelson!$C$236:$F$236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Nelson!$C$237:$F$237</c:f>
              <c:numCache>
                <c:formatCode>_(* #,##0.00_);_(* \(#,##0.00\);_(* "-"??_);_(@_)</c:formatCode>
                <c:ptCount val="4"/>
                <c:pt idx="0">
                  <c:v>0.184</c:v>
                </c:pt>
                <c:pt idx="1">
                  <c:v>1.89</c:v>
                </c:pt>
                <c:pt idx="2">
                  <c:v>0.7569999999999999</c:v>
                </c:pt>
                <c:pt idx="3">
                  <c:v>0.58000000000000007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Nelson!$B$238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5789102792636509"/>
                  <c:y val="-3.527777777777860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Nelson!$C$238:$F$238</c:f>
              <c:numCache>
                <c:formatCode>_(* #,##0.00_);_(* \(#,##0.00\);_(* "-"??_);_(@_)</c:formatCode>
                <c:ptCount val="4"/>
                <c:pt idx="0">
                  <c:v>1.28</c:v>
                </c:pt>
                <c:pt idx="1">
                  <c:v>1.28</c:v>
                </c:pt>
                <c:pt idx="2">
                  <c:v>1.28</c:v>
                </c:pt>
                <c:pt idx="3">
                  <c:v>1.1259999999999999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Nelson!$B$239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-6.46763888888888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Nelson!$C$236:$F$236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413312"/>
        <c:axId val="150414848"/>
      </c:lineChart>
      <c:catAx>
        <c:axId val="15041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0414848"/>
        <c:crosses val="autoZero"/>
        <c:auto val="1"/>
        <c:lblAlgn val="ctr"/>
        <c:lblOffset val="100"/>
        <c:noMultiLvlLbl val="0"/>
      </c:catAx>
      <c:valAx>
        <c:axId val="150414848"/>
        <c:scaling>
          <c:orientation val="minMax"/>
          <c:max val="4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041331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99" l="0.70000000000000062" r="0.70000000000000062" t="0.75000000000001299" header="0.30000000000000032" footer="0.30000000000000032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12"/>
          <c:y val="6.4675925925925928E-2"/>
          <c:w val="0.78322918557855903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Nelson!$B$230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Nelson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Nelson!$C$229:$F$229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Nelson!$C$230:$F$230</c:f>
              <c:numCache>
                <c:formatCode>_(* #,##0.00_);_(* \(#,##0.00\);_(* "-"??_);_(@_)</c:formatCode>
                <c:ptCount val="4"/>
                <c:pt idx="0">
                  <c:v>16.935000000000002</c:v>
                </c:pt>
                <c:pt idx="1">
                  <c:v>115.81</c:v>
                </c:pt>
                <c:pt idx="2">
                  <c:v>79.296000000000006</c:v>
                </c:pt>
                <c:pt idx="3">
                  <c:v>114.66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Nelson!$B$231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6430072186765937"/>
                  <c:y val="3.353381464919787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Nelson!$C$229:$F$229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Nelson!$C$231:$F$231</c:f>
              <c:numCache>
                <c:formatCode>_(* #,##0.00_);_(* \(#,##0.00\);_(* "-"??_);_(@_)</c:formatCode>
                <c:ptCount val="4"/>
                <c:pt idx="0">
                  <c:v>61.4</c:v>
                </c:pt>
                <c:pt idx="1">
                  <c:v>61.4</c:v>
                </c:pt>
                <c:pt idx="2">
                  <c:v>61.4</c:v>
                </c:pt>
                <c:pt idx="3">
                  <c:v>71.536000000000001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Nelson!$B$232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-5.291712962962959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Nelson!$C$229:$F$229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875520"/>
        <c:axId val="150889600"/>
      </c:lineChart>
      <c:catAx>
        <c:axId val="15087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0889600"/>
        <c:crosses val="autoZero"/>
        <c:auto val="1"/>
        <c:lblAlgn val="ctr"/>
        <c:lblOffset val="100"/>
        <c:noMultiLvlLbl val="0"/>
      </c:catAx>
      <c:valAx>
        <c:axId val="150889600"/>
        <c:scaling>
          <c:orientation val="minMax"/>
          <c:max val="4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087552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716"/>
          <c:h val="0.70204027777778943"/>
        </c:manualLayout>
      </c:layout>
      <c:barChart>
        <c:barDir val="col"/>
        <c:grouping val="clustered"/>
        <c:varyColors val="0"/>
        <c:ser>
          <c:idx val="0"/>
          <c:order val="0"/>
          <c:tx>
            <c:v>Smaller connection points</c:v>
          </c:tx>
          <c:invertIfNegative val="0"/>
          <c:cat>
            <c:numRef>
              <c:f>Buller!$V$53:$Y$53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Nelson!$V$54:$Y$54</c:f>
              <c:numCache>
                <c:formatCode>0</c:formatCode>
                <c:ptCount val="4"/>
                <c:pt idx="0">
                  <c:v>5531.1865304667672</c:v>
                </c:pt>
                <c:pt idx="1">
                  <c:v>5893.8476104605652</c:v>
                </c:pt>
                <c:pt idx="2">
                  <c:v>5890.9062003179642</c:v>
                </c:pt>
                <c:pt idx="3">
                  <c:v>6092</c:v>
                </c:pt>
              </c:numCache>
            </c:numRef>
          </c:val>
        </c:ser>
        <c:ser>
          <c:idx val="1"/>
          <c:order val="1"/>
          <c:tx>
            <c:v>Larger connection points</c:v>
          </c:tx>
          <c:spPr>
            <a:solidFill>
              <a:srgbClr val="4785D1"/>
            </a:solidFill>
          </c:spPr>
          <c:invertIfNegative val="0"/>
          <c:cat>
            <c:numRef>
              <c:f>Buller!$V$53:$Y$53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Nelson!$V$55:$Y$55</c:f>
              <c:numCache>
                <c:formatCode>0</c:formatCode>
                <c:ptCount val="4"/>
                <c:pt idx="0">
                  <c:v>1812.2839382965983</c:v>
                </c:pt>
                <c:pt idx="1">
                  <c:v>1936.0644627359457</c:v>
                </c:pt>
                <c:pt idx="2">
                  <c:v>1864.4687558944784</c:v>
                </c:pt>
                <c:pt idx="3">
                  <c:v>1769</c:v>
                </c:pt>
              </c:numCache>
            </c:numRef>
          </c:val>
        </c:ser>
        <c:ser>
          <c:idx val="3"/>
          <c:order val="2"/>
          <c:tx>
            <c:strRef>
              <c:f>Buller!$B$57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Buller!$V$53:$Y$53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Nelson!$V$57:$Y$57</c:f>
              <c:numCache>
                <c:formatCode>0</c:formatCode>
                <c:ptCount val="4"/>
                <c:pt idx="0">
                  <c:v>720.16994097687541</c:v>
                </c:pt>
                <c:pt idx="1">
                  <c:v>776.21298949275831</c:v>
                </c:pt>
                <c:pt idx="2">
                  <c:v>727.44846541456695</c:v>
                </c:pt>
                <c:pt idx="3">
                  <c:v>972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916096"/>
        <c:axId val="150536960"/>
      </c:barChart>
      <c:catAx>
        <c:axId val="15091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0536960"/>
        <c:crosses val="autoZero"/>
        <c:auto val="1"/>
        <c:lblAlgn val="ctr"/>
        <c:lblOffset val="100"/>
        <c:noMultiLvlLbl val="0"/>
      </c:catAx>
      <c:valAx>
        <c:axId val="15053696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0916096"/>
        <c:crosses val="autoZero"/>
        <c:crossBetween val="between"/>
        <c:majorUnit val="1000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4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 orientation="portrait"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2734028431560402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Buller!$B$61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225750822987912E-4"/>
                  <c:y val="-4.053849902534138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Buller!$V$60:$Y$60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Nelson!$V$61:$Y$61</c:f>
              <c:numCache>
                <c:formatCode>0.0</c:formatCode>
                <c:ptCount val="4"/>
                <c:pt idx="0">
                  <c:v>100</c:v>
                </c:pt>
                <c:pt idx="1">
                  <c:v>106.55665973288365</c:v>
                </c:pt>
                <c:pt idx="2">
                  <c:v>106.50348108619727</c:v>
                </c:pt>
                <c:pt idx="3">
                  <c:v>110.13911692263805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751953969399261E-6"/>
                  <c:y val="4.54897660818713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Buller!$V$60:$Y$60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Nelson!$V$62:$Y$62</c:f>
              <c:numCache>
                <c:formatCode>0.0</c:formatCode>
                <c:ptCount val="4"/>
                <c:pt idx="0">
                  <c:v>100</c:v>
                </c:pt>
                <c:pt idx="1">
                  <c:v>106.8300845040701</c:v>
                </c:pt>
                <c:pt idx="2">
                  <c:v>102.87950560588919</c:v>
                </c:pt>
                <c:pt idx="3">
                  <c:v>97.611635937286849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Buller!$B$64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991295938773882E-4"/>
                  <c:y val="-3.00170565302144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Buller!$V$60:$Y$60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Nelson!$V$64:$Y$64</c:f>
              <c:numCache>
                <c:formatCode>0.0</c:formatCode>
                <c:ptCount val="4"/>
                <c:pt idx="0">
                  <c:v>100</c:v>
                </c:pt>
                <c:pt idx="1">
                  <c:v>107.78191997847941</c:v>
                </c:pt>
                <c:pt idx="2">
                  <c:v>101.01066762489678</c:v>
                </c:pt>
                <c:pt idx="3">
                  <c:v>134.96814358587773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80224"/>
        <c:axId val="150602496"/>
      </c:lineChart>
      <c:catAx>
        <c:axId val="15058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0602496"/>
        <c:crosses val="autoZero"/>
        <c:auto val="1"/>
        <c:lblAlgn val="ctr"/>
        <c:lblOffset val="100"/>
        <c:noMultiLvlLbl val="0"/>
      </c:catAx>
      <c:valAx>
        <c:axId val="150602496"/>
        <c:scaling>
          <c:orientation val="minMax"/>
          <c:max val="140"/>
          <c:min val="8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058022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4E-2"/>
          <c:y val="5.1489936964064897E-2"/>
          <c:w val="0.83081173660315666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Buller!$B$84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295023615580445E-5"/>
                  <c:y val="-2.80593743773660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Buller!$V$83:$Y$83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Nelson!$V$84:$Y$84</c:f>
              <c:numCache>
                <c:formatCode>0.00</c:formatCode>
                <c:ptCount val="4"/>
                <c:pt idx="0">
                  <c:v>6.4908911382793981</c:v>
                </c:pt>
                <c:pt idx="1">
                  <c:v>6.8587425813031517</c:v>
                </c:pt>
                <c:pt idx="2">
                  <c:v>6.7855654272919521</c:v>
                </c:pt>
                <c:pt idx="3">
                  <c:v>7.2760280435224001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162429519653243E-5"/>
                  <c:y val="-3.40341130604288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Buller!$V$83:$Y$83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Nelson!$V$85:$Y$85</c:f>
              <c:numCache>
                <c:formatCode>0.00</c:formatCode>
                <c:ptCount val="4"/>
                <c:pt idx="0">
                  <c:v>4.7827219893486532</c:v>
                </c:pt>
                <c:pt idx="1">
                  <c:v>5.1750482310890709</c:v>
                </c:pt>
                <c:pt idx="2">
                  <c:v>4.8917149931634958</c:v>
                </c:pt>
                <c:pt idx="3">
                  <c:v>5.1150821188989131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Buller!$B$87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9248552127998073E-5"/>
                  <c:y val="-4.12524366471734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Buller!$V$83:$Y$83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Nelson!$V$87:$Y$87</c:f>
              <c:numCache>
                <c:formatCode>0.00</c:formatCode>
                <c:ptCount val="4"/>
                <c:pt idx="0">
                  <c:v>2.6673948700947272</c:v>
                </c:pt>
                <c:pt idx="1">
                  <c:v>3.0958457711213492</c:v>
                </c:pt>
                <c:pt idx="2">
                  <c:v>3.2233177250837919</c:v>
                </c:pt>
                <c:pt idx="3">
                  <c:v>3.5422740524781342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45376"/>
        <c:axId val="150675840"/>
      </c:lineChart>
      <c:catAx>
        <c:axId val="15064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0675840"/>
        <c:crosses val="autoZero"/>
        <c:auto val="1"/>
        <c:lblAlgn val="ctr"/>
        <c:lblOffset val="100"/>
        <c:noMultiLvlLbl val="0"/>
      </c:catAx>
      <c:valAx>
        <c:axId val="15067584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064537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055E-2"/>
          <c:y val="5.8338380979806134E-2"/>
          <c:w val="0.83883540276753665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Buller!$B$90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8028632354795E-3"/>
                  <c:y val="-3.249269005847964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Buller!$V$89:$Y$89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Nelson!$V$90:$Y$90</c:f>
              <c:numCache>
                <c:formatCode>0.0</c:formatCode>
                <c:ptCount val="4"/>
                <c:pt idx="0">
                  <c:v>100</c:v>
                </c:pt>
                <c:pt idx="1">
                  <c:v>105.66719476859481</c:v>
                </c:pt>
                <c:pt idx="2">
                  <c:v>104.53981252704642</c:v>
                </c:pt>
                <c:pt idx="3">
                  <c:v>112.09598017462864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6906813848374E-3"/>
                  <c:y val="3.930068226120860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Buller!$V$89:$Y$89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Nelson!$V$91:$Y$91</c:f>
              <c:numCache>
                <c:formatCode>0.0</c:formatCode>
                <c:ptCount val="4"/>
                <c:pt idx="0">
                  <c:v>100</c:v>
                </c:pt>
                <c:pt idx="1">
                  <c:v>108.20299073653344</c:v>
                </c:pt>
                <c:pt idx="2">
                  <c:v>102.27889064130373</c:v>
                </c:pt>
                <c:pt idx="3">
                  <c:v>106.94918354632448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Buller!$B$93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737776122814E-3"/>
                  <c:y val="-3.527794381350980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Buller!$V$89:$Y$89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Nelson!$V$93:$Y$93</c:f>
              <c:numCache>
                <c:formatCode>0.0</c:formatCode>
                <c:ptCount val="4"/>
                <c:pt idx="0">
                  <c:v>100</c:v>
                </c:pt>
                <c:pt idx="1">
                  <c:v>116.0625224945194</c:v>
                </c:pt>
                <c:pt idx="2">
                  <c:v>120.84141576568759</c:v>
                </c:pt>
                <c:pt idx="3">
                  <c:v>132.79901270681898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18720"/>
        <c:axId val="150937600"/>
      </c:lineChart>
      <c:catAx>
        <c:axId val="15071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0937600"/>
        <c:crosses val="autoZero"/>
        <c:auto val="1"/>
        <c:lblAlgn val="ctr"/>
        <c:lblOffset val="100"/>
        <c:noMultiLvlLbl val="0"/>
      </c:catAx>
      <c:valAx>
        <c:axId val="150937600"/>
        <c:scaling>
          <c:orientation val="minMax"/>
          <c:max val="14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071872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227523283556909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Buller!$B$120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3.527731481481578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Buller!$V$119:$Y$119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Nelson!$V$120:$Y$120</c:f>
              <c:numCache>
                <c:formatCode>0.0</c:formatCode>
                <c:ptCount val="4"/>
                <c:pt idx="0">
                  <c:v>100</c:v>
                </c:pt>
                <c:pt idx="1">
                  <c:v>100.84176074347077</c:v>
                </c:pt>
                <c:pt idx="2">
                  <c:v>101.87839303676081</c:v>
                </c:pt>
                <c:pt idx="3">
                  <c:v>98.254296675989565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Buller!$B$121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099732670674E-3"/>
                  <c:y val="3.868128654970760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Buller!$V$119:$Y$119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Nelson!$V$121:$Y$121</c:f>
              <c:numCache>
                <c:formatCode>0.0</c:formatCode>
                <c:ptCount val="4"/>
                <c:pt idx="0">
                  <c:v>100</c:v>
                </c:pt>
                <c:pt idx="1">
                  <c:v>98.731175337097412</c:v>
                </c:pt>
                <c:pt idx="2">
                  <c:v>100.58723257636008</c:v>
                </c:pt>
                <c:pt idx="3">
                  <c:v>91.269173546338379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Buller!$B$123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097175893961748E-6"/>
                  <c:y val="-6.034405458089669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Buller!$V$119:$Y$119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Nelson!$V$123:$Y$123</c:f>
              <c:numCache>
                <c:formatCode>0.0</c:formatCode>
                <c:ptCount val="4"/>
                <c:pt idx="0">
                  <c:v>100</c:v>
                </c:pt>
                <c:pt idx="1">
                  <c:v>92.865395014630167</c:v>
                </c:pt>
                <c:pt idx="2">
                  <c:v>83.589444053483447</c:v>
                </c:pt>
                <c:pt idx="3">
                  <c:v>101.63339382940109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972288"/>
        <c:axId val="150973824"/>
      </c:lineChart>
      <c:catAx>
        <c:axId val="15097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0973824"/>
        <c:crosses val="autoZero"/>
        <c:auto val="1"/>
        <c:lblAlgn val="ctr"/>
        <c:lblOffset val="100"/>
        <c:noMultiLvlLbl val="0"/>
      </c:catAx>
      <c:valAx>
        <c:axId val="150973824"/>
        <c:scaling>
          <c:orientation val="minMax"/>
          <c:max val="11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0972288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682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v>Smaller</c:v>
          </c:tx>
          <c:invertIfNegative val="0"/>
          <c:cat>
            <c:numRef>
              <c:f>Buller!$V$112:$Y$112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Nelson!$V$113:$Y$113</c:f>
              <c:numCache>
                <c:formatCode>0</c:formatCode>
                <c:ptCount val="4"/>
                <c:pt idx="0">
                  <c:v>85214.593999999997</c:v>
                </c:pt>
                <c:pt idx="1">
                  <c:v>85931.896999999997</c:v>
                </c:pt>
                <c:pt idx="2">
                  <c:v>86815.258999999991</c:v>
                </c:pt>
                <c:pt idx="3">
                  <c:v>83727</c:v>
                </c:pt>
              </c:numCache>
            </c:numRef>
          </c:val>
        </c:ser>
        <c:ser>
          <c:idx val="1"/>
          <c:order val="1"/>
          <c:tx>
            <c:v>Larger</c:v>
          </c:tx>
          <c:spPr>
            <a:solidFill>
              <a:schemeClr val="accent5"/>
            </a:solidFill>
          </c:spPr>
          <c:invertIfNegative val="0"/>
          <c:cat>
            <c:numRef>
              <c:f>Buller!$V$112:$Y$112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Nelson!$V$114:$Y$114</c:f>
              <c:numCache>
                <c:formatCode>0</c:formatCode>
                <c:ptCount val="4"/>
                <c:pt idx="0">
                  <c:v>37892.311999999998</c:v>
                </c:pt>
                <c:pt idx="1">
                  <c:v>37411.525000000001</c:v>
                </c:pt>
                <c:pt idx="2">
                  <c:v>38114.828000000001</c:v>
                </c:pt>
                <c:pt idx="3">
                  <c:v>34584</c:v>
                </c:pt>
              </c:numCache>
            </c:numRef>
          </c:val>
        </c:ser>
        <c:ser>
          <c:idx val="3"/>
          <c:order val="2"/>
          <c:tx>
            <c:strRef>
              <c:f>Buller!$B$116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Buller!$V$112:$Y$112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Nelson!$V$116:$Y$116</c:f>
              <c:numCache>
                <c:formatCode>0</c:formatCode>
                <c:ptCount val="4"/>
                <c:pt idx="0">
                  <c:v>26999</c:v>
                </c:pt>
                <c:pt idx="1">
                  <c:v>25072.727999999999</c:v>
                </c:pt>
                <c:pt idx="2">
                  <c:v>22568.313999999998</c:v>
                </c:pt>
                <c:pt idx="3">
                  <c:v>27440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021056"/>
        <c:axId val="151022592"/>
      </c:barChart>
      <c:catAx>
        <c:axId val="1510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1022592"/>
        <c:crosses val="autoZero"/>
        <c:auto val="1"/>
        <c:lblAlgn val="ctr"/>
        <c:lblOffset val="100"/>
        <c:noMultiLvlLbl val="0"/>
      </c:catAx>
      <c:valAx>
        <c:axId val="15102259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10210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3537020080817725"/>
          <c:h val="0.82404629629630843"/>
        </c:manualLayout>
      </c:layout>
      <c:lineChart>
        <c:grouping val="standard"/>
        <c:varyColors val="0"/>
        <c:ser>
          <c:idx val="0"/>
          <c:order val="0"/>
          <c:tx>
            <c:strRef>
              <c:f>Buller!$B$76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78508771929825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Buller!$V$75:$Y$75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Nelson!$V$76:$Y$76</c:f>
              <c:numCache>
                <c:formatCode>0.0</c:formatCode>
                <c:ptCount val="4"/>
                <c:pt idx="0">
                  <c:v>100</c:v>
                </c:pt>
                <c:pt idx="1">
                  <c:v>105.83391503652675</c:v>
                </c:pt>
                <c:pt idx="2">
                  <c:v>105.03306598084288</c:v>
                </c:pt>
                <c:pt idx="3">
                  <c:v>108.08469577597431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00170565302144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Buller!$V$75:$Y$75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Nelson!$V$77:$Y$77</c:f>
              <c:numCache>
                <c:formatCode>0.0</c:formatCode>
                <c:ptCount val="4"/>
                <c:pt idx="0">
                  <c:v>100</c:v>
                </c:pt>
                <c:pt idx="1">
                  <c:v>104.50769136267726</c:v>
                </c:pt>
                <c:pt idx="2">
                  <c:v>98.501654303510918</c:v>
                </c:pt>
                <c:pt idx="3">
                  <c:v>97.611635937286849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Buller!$B$79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930068226120857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Buller!$V$75:$Y$75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Nelson!$V$79:$Y$79</c:f>
              <c:numCache>
                <c:formatCode>0.0</c:formatCode>
                <c:ptCount val="4"/>
                <c:pt idx="0">
                  <c:v>100</c:v>
                </c:pt>
                <c:pt idx="1">
                  <c:v>107.78191997847944</c:v>
                </c:pt>
                <c:pt idx="2">
                  <c:v>101.01066762489678</c:v>
                </c:pt>
                <c:pt idx="3">
                  <c:v>134.96814358587773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32352"/>
        <c:axId val="151333888"/>
      </c:lineChart>
      <c:catAx>
        <c:axId val="15133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1333888"/>
        <c:crosses val="autoZero"/>
        <c:auto val="1"/>
        <c:lblAlgn val="ctr"/>
        <c:lblOffset val="100"/>
        <c:noMultiLvlLbl val="0"/>
      </c:catAx>
      <c:valAx>
        <c:axId val="151333888"/>
        <c:scaling>
          <c:orientation val="minMax"/>
          <c:max val="14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133235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8104022131339965"/>
          <c:h val="0.82404629629630799"/>
        </c:manualLayout>
      </c:layout>
      <c:lineChart>
        <c:grouping val="standard"/>
        <c:varyColors val="0"/>
        <c:ser>
          <c:idx val="0"/>
          <c:order val="0"/>
          <c:tx>
            <c:strRef>
              <c:f>Aurora!$B$76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377776706401364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Aurora!$C$76:$F$76</c:f>
              <c:numCache>
                <c:formatCode>0.0</c:formatCode>
                <c:ptCount val="4"/>
                <c:pt idx="0">
                  <c:v>100</c:v>
                </c:pt>
                <c:pt idx="1">
                  <c:v>104.43066687067544</c:v>
                </c:pt>
                <c:pt idx="2">
                  <c:v>104.02373170539072</c:v>
                </c:pt>
                <c:pt idx="3">
                  <c:v>102.80315502472219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Aurora!$B$77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76694348355372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Aurora!$C$77:$F$77</c:f>
              <c:numCache>
                <c:formatCode>0.0</c:formatCode>
                <c:ptCount val="4"/>
                <c:pt idx="0">
                  <c:v>100</c:v>
                </c:pt>
                <c:pt idx="1">
                  <c:v>103.72315454768555</c:v>
                </c:pt>
                <c:pt idx="2">
                  <c:v>115.93694510474526</c:v>
                </c:pt>
                <c:pt idx="3">
                  <c:v>111.6884399018746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Aurora!$B$78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570805259922620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Aurora!$C$78:$F$78</c:f>
              <c:numCache>
                <c:formatCode>0.0</c:formatCode>
                <c:ptCount val="4"/>
                <c:pt idx="0">
                  <c:v>100</c:v>
                </c:pt>
                <c:pt idx="1">
                  <c:v>107.97218643639353</c:v>
                </c:pt>
                <c:pt idx="2">
                  <c:v>95.03767337831944</c:v>
                </c:pt>
                <c:pt idx="3">
                  <c:v>99.160224381880653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Aurora!$B$79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4.577964732966119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Aurora!$C$79:$F$79</c:f>
              <c:numCache>
                <c:formatCode>0.0</c:formatCode>
                <c:ptCount val="4"/>
                <c:pt idx="0">
                  <c:v>100</c:v>
                </c:pt>
                <c:pt idx="1">
                  <c:v>112.47499595512988</c:v>
                </c:pt>
                <c:pt idx="2">
                  <c:v>103.24359719821624</c:v>
                </c:pt>
                <c:pt idx="3">
                  <c:v>97.149416818834382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16128"/>
        <c:axId val="116838400"/>
      </c:lineChart>
      <c:catAx>
        <c:axId val="11681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6838400"/>
        <c:crosses val="autoZero"/>
        <c:auto val="1"/>
        <c:lblAlgn val="ctr"/>
        <c:lblOffset val="100"/>
        <c:noMultiLvlLbl val="0"/>
      </c:catAx>
      <c:valAx>
        <c:axId val="116838400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6816128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Smaller </a:t>
            </a:r>
          </a:p>
        </c:rich>
      </c:tx>
      <c:layout>
        <c:manualLayout>
          <c:xMode val="edge"/>
          <c:yMode val="edge"/>
          <c:x val="0.4000158958902924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385"/>
          <c:y val="0.16445370370370369"/>
          <c:w val="0.70330041907982133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Buller!$B$70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Buller!$V$69:$Y$69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Nelson!$V$70:$Y$70</c:f>
              <c:numCache>
                <c:formatCode>0</c:formatCode>
                <c:ptCount val="4"/>
                <c:pt idx="0">
                  <c:v>629.54547353366343</c:v>
                </c:pt>
                <c:pt idx="1">
                  <c:v>666.27262157591736</c:v>
                </c:pt>
                <c:pt idx="2">
                  <c:v>661.23091259602245</c:v>
                </c:pt>
                <c:pt idx="3">
                  <c:v>680.44230984027695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70368"/>
        <c:axId val="151060864"/>
      </c:lineChart>
      <c:catAx>
        <c:axId val="1513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1060864"/>
        <c:crosses val="autoZero"/>
        <c:auto val="1"/>
        <c:lblAlgn val="ctr"/>
        <c:lblOffset val="100"/>
        <c:noMultiLvlLbl val="0"/>
      </c:catAx>
      <c:valAx>
        <c:axId val="151060864"/>
        <c:scaling>
          <c:orientation val="minMax"/>
          <c:max val="800"/>
          <c:min val="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51370368"/>
        <c:crosses val="autoZero"/>
        <c:crossBetween val="midCat"/>
        <c:majorUnit val="8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Larger</a:t>
            </a:r>
          </a:p>
        </c:rich>
      </c:tx>
      <c:layout>
        <c:manualLayout>
          <c:xMode val="edge"/>
          <c:yMode val="edge"/>
          <c:x val="0.316318676568617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62"/>
          <c:y val="0.17621296296296732"/>
          <c:w val="0.73692152777777775"/>
          <c:h val="0.57282407407409586"/>
        </c:manualLayout>
      </c:layout>
      <c:lineChart>
        <c:grouping val="standard"/>
        <c:varyColors val="0"/>
        <c:ser>
          <c:idx val="1"/>
          <c:order val="0"/>
          <c:tx>
            <c:strRef>
              <c:f>Buller!$B$71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Buller!$V$69:$Y$69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Nelson!$V$71:$Y$71</c:f>
              <c:numCache>
                <c:formatCode>0</c:formatCode>
                <c:ptCount val="4"/>
                <c:pt idx="0">
                  <c:v>20136.488203295539</c:v>
                </c:pt>
                <c:pt idx="1">
                  <c:v>21044.178942782019</c:v>
                </c:pt>
                <c:pt idx="2">
                  <c:v>19834.77399887743</c:v>
                </c:pt>
                <c:pt idx="3">
                  <c:v>19655.555555555555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89536"/>
        <c:axId val="151091072"/>
      </c:lineChart>
      <c:catAx>
        <c:axId val="15108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1091072"/>
        <c:crosses val="autoZero"/>
        <c:auto val="1"/>
        <c:lblAlgn val="ctr"/>
        <c:lblOffset val="100"/>
        <c:noMultiLvlLbl val="0"/>
      </c:catAx>
      <c:valAx>
        <c:axId val="151091072"/>
        <c:scaling>
          <c:orientation val="minMax"/>
          <c:max val="30000"/>
          <c:min val="1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51089536"/>
        <c:crosses val="autoZero"/>
        <c:crossBetween val="midCat"/>
        <c:majorUnit val="3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Buller!$B$73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Buller!$V$69:$Y$69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Nelson!$V$73:$Y$73</c:f>
              <c:numCache>
                <c:formatCode>0</c:formatCode>
                <c:ptCount val="4"/>
                <c:pt idx="0">
                  <c:v>144033.98819537507</c:v>
                </c:pt>
                <c:pt idx="1">
                  <c:v>155242.59789855167</c:v>
                </c:pt>
                <c:pt idx="2">
                  <c:v>145489.69308291338</c:v>
                </c:pt>
                <c:pt idx="3">
                  <c:v>194400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23840"/>
        <c:axId val="151125376"/>
      </c:lineChart>
      <c:catAx>
        <c:axId val="15112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1125376"/>
        <c:crosses val="autoZero"/>
        <c:auto val="1"/>
        <c:lblAlgn val="ctr"/>
        <c:lblOffset val="100"/>
        <c:noMultiLvlLbl val="0"/>
      </c:catAx>
      <c:valAx>
        <c:axId val="151125376"/>
        <c:scaling>
          <c:orientation val="minMax"/>
          <c:max val="200000"/>
          <c:min val="1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51123840"/>
        <c:crosses val="autoZero"/>
        <c:crossBetween val="midCat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84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Buller!$B$105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08875578602972E-4"/>
                  <c:y val="-3.218323586744645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Buller!$V$104:$Y$104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Nelson!$V$105:$Y$105</c:f>
              <c:numCache>
                <c:formatCode>0.0</c:formatCode>
                <c:ptCount val="4"/>
                <c:pt idx="0">
                  <c:v>100</c:v>
                </c:pt>
                <c:pt idx="1">
                  <c:v>100.68290462098794</c:v>
                </c:pt>
                <c:pt idx="2">
                  <c:v>101.39995447302528</c:v>
                </c:pt>
                <c:pt idx="3">
                  <c:v>101.90075119508309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20259453251733753"/>
                  <c:y val="0.21027582846003898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Buller!$V$104:$Y$104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Nelson!$V$106:$Y$106</c:f>
              <c:numCache>
                <c:formatCode>0.0</c:formatCode>
                <c:ptCount val="4"/>
                <c:pt idx="0">
                  <c:v>100</c:v>
                </c:pt>
                <c:pt idx="1">
                  <c:v>102.22222222222221</c:v>
                </c:pt>
                <c:pt idx="2">
                  <c:v>104.44444444444446</c:v>
                </c:pt>
                <c:pt idx="3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20992"/>
        <c:axId val="151222528"/>
      </c:lineChart>
      <c:catAx>
        <c:axId val="15122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1222528"/>
        <c:crosses val="autoZero"/>
        <c:auto val="1"/>
        <c:lblAlgn val="ctr"/>
        <c:lblOffset val="100"/>
        <c:noMultiLvlLbl val="0"/>
      </c:catAx>
      <c:valAx>
        <c:axId val="151222528"/>
        <c:scaling>
          <c:orientation val="minMax"/>
          <c:max val="11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1220992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507"/>
        </c:manualLayout>
      </c:layout>
      <c:barChart>
        <c:barDir val="col"/>
        <c:grouping val="stacked"/>
        <c:varyColors val="0"/>
        <c:ser>
          <c:idx val="0"/>
          <c:order val="0"/>
          <c:tx>
            <c:v>Smaller</c:v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Buller!$V$97:$Y$97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Nelson!$V$98:$Y$98</c:f>
              <c:numCache>
                <c:formatCode>General</c:formatCode>
                <c:ptCount val="4"/>
                <c:pt idx="0">
                  <c:v>8786</c:v>
                </c:pt>
                <c:pt idx="1">
                  <c:v>8846</c:v>
                </c:pt>
                <c:pt idx="2">
                  <c:v>8909</c:v>
                </c:pt>
                <c:pt idx="3">
                  <c:v>8953</c:v>
                </c:pt>
              </c:numCache>
            </c:numRef>
          </c:val>
        </c:ser>
        <c:ser>
          <c:idx val="1"/>
          <c:order val="1"/>
          <c:tx>
            <c:v>Larger</c:v>
          </c:tx>
          <c:spPr>
            <a:solidFill>
              <a:schemeClr val="accent4"/>
            </a:solidFill>
          </c:spPr>
          <c:invertIfNegative val="0"/>
          <c:cat>
            <c:numRef>
              <c:f>Buller!$V$97:$Y$97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Nelson!$V$99:$Y$99</c:f>
              <c:numCache>
                <c:formatCode>General</c:formatCode>
                <c:ptCount val="4"/>
                <c:pt idx="0">
                  <c:v>90</c:v>
                </c:pt>
                <c:pt idx="1">
                  <c:v>92</c:v>
                </c:pt>
                <c:pt idx="2">
                  <c:v>94</c:v>
                </c:pt>
                <c:pt idx="3">
                  <c:v>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264256"/>
        <c:axId val="151282432"/>
      </c:barChart>
      <c:catAx>
        <c:axId val="15126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1282432"/>
        <c:crosses val="autoZero"/>
        <c:auto val="1"/>
        <c:lblAlgn val="ctr"/>
        <c:lblOffset val="100"/>
        <c:noMultiLvlLbl val="0"/>
      </c:catAx>
      <c:valAx>
        <c:axId val="151282432"/>
        <c:scaling>
          <c:orientation val="minMax"/>
          <c:max val="1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1264256"/>
        <c:crosses val="autoZero"/>
        <c:crossBetween val="between"/>
        <c:majorUnit val="2000"/>
      </c:valAx>
    </c:plotArea>
    <c:legend>
      <c:legendPos val="t"/>
      <c:layout>
        <c:manualLayout>
          <c:xMode val="edge"/>
          <c:yMode val="edge"/>
          <c:x val="0"/>
          <c:y val="3.527777777777924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Tasman!$B$26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79562009287"/>
                  <c:y val="-0.353121344251834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Tasman!$C$26:$F$26</c:f>
              <c:numCache>
                <c:formatCode>0</c:formatCode>
                <c:ptCount val="4"/>
                <c:pt idx="0">
                  <c:v>1730.4203092773705</c:v>
                </c:pt>
                <c:pt idx="1">
                  <c:v>1818.9493307708142</c:v>
                </c:pt>
                <c:pt idx="2">
                  <c:v>1854.6879361914255</c:v>
                </c:pt>
                <c:pt idx="3">
                  <c:v>1874.9333333333334</c:v>
                </c:pt>
              </c:numCache>
            </c:numRef>
          </c:val>
        </c:ser>
        <c:ser>
          <c:idx val="1"/>
          <c:order val="1"/>
          <c:tx>
            <c:strRef>
              <c:f>Tasman!$B$27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3084928704112088"/>
                  <c:y val="-6.077606033597940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Tasman!$C$27:$F$27</c:f>
              <c:numCache>
                <c:formatCode>0</c:formatCode>
                <c:ptCount val="4"/>
                <c:pt idx="0">
                  <c:v>571.82355792535145</c:v>
                </c:pt>
                <c:pt idx="1">
                  <c:v>595.45105360697357</c:v>
                </c:pt>
                <c:pt idx="2">
                  <c:v>602.33548004634736</c:v>
                </c:pt>
                <c:pt idx="3">
                  <c:v>620.79999999999995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738432"/>
        <c:axId val="148739968"/>
      </c:areaChart>
      <c:catAx>
        <c:axId val="14873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8739968"/>
        <c:crosses val="autoZero"/>
        <c:auto val="1"/>
        <c:lblAlgn val="ctr"/>
        <c:lblOffset val="100"/>
        <c:noMultiLvlLbl val="0"/>
      </c:catAx>
      <c:valAx>
        <c:axId val="148739968"/>
        <c:scaling>
          <c:orientation val="minMax"/>
          <c:max val="2500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8738432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5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Tasman!$B$28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Tasman!$C$25:$F$25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Tasman!$C$28:$F$28</c:f>
              <c:numCache>
                <c:formatCode>0</c:formatCode>
                <c:ptCount val="4"/>
                <c:pt idx="0">
                  <c:v>451.93898092441043</c:v>
                </c:pt>
                <c:pt idx="1">
                  <c:v>444.30448211956877</c:v>
                </c:pt>
                <c:pt idx="2">
                  <c:v>436.06154509444627</c:v>
                </c:pt>
                <c:pt idx="3">
                  <c:v>454.4</c:v>
                </c:pt>
              </c:numCache>
            </c:numRef>
          </c:val>
        </c:ser>
        <c:ser>
          <c:idx val="1"/>
          <c:order val="1"/>
          <c:tx>
            <c:strRef>
              <c:f>Tasman!$B$29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Tasman!$C$25:$F$25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Tasman!$C$29:$F$29</c:f>
              <c:numCache>
                <c:formatCode>0</c:formatCode>
                <c:ptCount val="4"/>
                <c:pt idx="0">
                  <c:v>119.88457700094094</c:v>
                </c:pt>
                <c:pt idx="1">
                  <c:v>151.14657148740471</c:v>
                </c:pt>
                <c:pt idx="2">
                  <c:v>166.27393495190103</c:v>
                </c:pt>
                <c:pt idx="3">
                  <c:v>166.4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163520"/>
        <c:axId val="119173504"/>
      </c:barChart>
      <c:catAx>
        <c:axId val="1191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9173504"/>
        <c:crosses val="autoZero"/>
        <c:auto val="1"/>
        <c:lblAlgn val="ctr"/>
        <c:lblOffset val="100"/>
        <c:noMultiLvlLbl val="0"/>
      </c:catAx>
      <c:valAx>
        <c:axId val="119173504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9163520"/>
        <c:crosses val="autoZero"/>
        <c:crossBetween val="between"/>
        <c:majorUnit val="100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317"/>
          <c:w val="0.89745624999998352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Tasman!$B$40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Tasman!$C$39:$F$39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Tasman!$C$40:$F$40</c:f>
              <c:numCache>
                <c:formatCode>0</c:formatCode>
                <c:ptCount val="4"/>
                <c:pt idx="0">
                  <c:v>31178.770056171765</c:v>
                </c:pt>
                <c:pt idx="1">
                  <c:v>34170.487101379629</c:v>
                </c:pt>
                <c:pt idx="2">
                  <c:v>36138.517005200607</c:v>
                </c:pt>
                <c:pt idx="3">
                  <c:v>35977.963000000003</c:v>
                </c:pt>
              </c:numCache>
            </c:numRef>
          </c:val>
        </c:ser>
        <c:ser>
          <c:idx val="1"/>
          <c:order val="1"/>
          <c:tx>
            <c:strRef>
              <c:f>Tasman!$B$41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Tasman!$C$39:$F$39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Tasman!$C$41:$F$41</c:f>
              <c:numCache>
                <c:formatCode>0</c:formatCode>
                <c:ptCount val="4"/>
                <c:pt idx="0">
                  <c:v>1917.8648406090499</c:v>
                </c:pt>
                <c:pt idx="1">
                  <c:v>2297.0184621044677</c:v>
                </c:pt>
                <c:pt idx="2">
                  <c:v>1584.4769999461075</c:v>
                </c:pt>
                <c:pt idx="3">
                  <c:v>1949.9745</c:v>
                </c:pt>
              </c:numCache>
            </c:numRef>
          </c:val>
        </c:ser>
        <c:ser>
          <c:idx val="3"/>
          <c:order val="2"/>
          <c:tx>
            <c:strRef>
              <c:f>Tasman!$B$42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Tasman!$C$39:$F$39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Tasman!$C$42:$F$42</c:f>
              <c:numCache>
                <c:formatCode>0</c:formatCode>
                <c:ptCount val="4"/>
                <c:pt idx="0">
                  <c:v>227.23881154515124</c:v>
                </c:pt>
                <c:pt idx="1">
                  <c:v>393.49753792298702</c:v>
                </c:pt>
                <c:pt idx="2">
                  <c:v>283.61858577780168</c:v>
                </c:pt>
                <c:pt idx="3">
                  <c:v>270.76427999999999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188096"/>
        <c:axId val="119198080"/>
      </c:barChart>
      <c:catAx>
        <c:axId val="11918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9198080"/>
        <c:crosses val="autoZero"/>
        <c:auto val="1"/>
        <c:lblAlgn val="ctr"/>
        <c:lblOffset val="100"/>
        <c:noMultiLvlLbl val="0"/>
      </c:catAx>
      <c:valAx>
        <c:axId val="11919808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91880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898"/>
          <c:h val="0.21171296296296813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 orientation="portrait"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605E-2"/>
          <c:y val="9.9262962962965245E-2"/>
          <c:w val="0.8694131325731983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Tasman!$B$45</c:f>
              <c:strCache>
                <c:ptCount val="1"/>
                <c:pt idx="0">
                  <c:v>Tasman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Tasman!$B$46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0.24670018634075641"/>
                  <c:y val="5.8275058275056829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Tasman!$C$45:$F$45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Tasman!$C$46:$F$46</c:f>
              <c:numCache>
                <c:formatCode>0.0</c:formatCode>
                <c:ptCount val="4"/>
                <c:pt idx="0">
                  <c:v>100</c:v>
                </c:pt>
                <c:pt idx="1">
                  <c:v>109.59536582045403</c:v>
                </c:pt>
                <c:pt idx="2">
                  <c:v>115.90744901127705</c:v>
                </c:pt>
                <c:pt idx="3">
                  <c:v>115.3925024469599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Tasman!$B$47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Tasman!$C$45:$F$45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Tasman!$C$47:$F$47</c:f>
              <c:numCache>
                <c:formatCode>0.0</c:formatCode>
                <c:ptCount val="4"/>
                <c:pt idx="0">
                  <c:v>100</c:v>
                </c:pt>
                <c:pt idx="1">
                  <c:v>119.76956944343435</c:v>
                </c:pt>
                <c:pt idx="2">
                  <c:v>82.616718675698252</c:v>
                </c:pt>
                <c:pt idx="3">
                  <c:v>101.67423995221444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Tasman!$B$48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-4.4854579334682974E-3"/>
                  <c:y val="-4.6620046620046617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Tasman!$C$45:$F$45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Tasman!$C$48:$F$48</c:f>
              <c:numCache>
                <c:formatCode>0.0</c:formatCode>
                <c:ptCount val="4"/>
                <c:pt idx="0">
                  <c:v>100</c:v>
                </c:pt>
                <c:pt idx="1">
                  <c:v>173.16475792463868</c:v>
                </c:pt>
                <c:pt idx="2">
                  <c:v>124.81080315870602</c:v>
                </c:pt>
                <c:pt idx="3">
                  <c:v>119.15406446587599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40192"/>
        <c:axId val="152041728"/>
      </c:lineChart>
      <c:catAx>
        <c:axId val="15204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2041728"/>
        <c:crossesAt val="0"/>
        <c:auto val="1"/>
        <c:lblAlgn val="ctr"/>
        <c:lblOffset val="100"/>
        <c:noMultiLvlLbl val="0"/>
      </c:catAx>
      <c:valAx>
        <c:axId val="152041728"/>
        <c:scaling>
          <c:orientation val="minMax"/>
          <c:max val="18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2040192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 orientation="portrait"/>
  </c:printSettings>
  <c:userShapes r:id="rId1"/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839"/>
          <c:h val="0.702040277777790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Tasman!$B$54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Tasman!$C$53:$F$53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Tasman!$C$54:$F$54</c:f>
              <c:numCache>
                <c:formatCode>0</c:formatCode>
                <c:ptCount val="4"/>
                <c:pt idx="0">
                  <c:v>17045.197782783496</c:v>
                </c:pt>
                <c:pt idx="1">
                  <c:v>17934.859087102745</c:v>
                </c:pt>
                <c:pt idx="2">
                  <c:v>18771.763840101314</c:v>
                </c:pt>
                <c:pt idx="3">
                  <c:v>18508.471000000001</c:v>
                </c:pt>
              </c:numCache>
            </c:numRef>
          </c:val>
        </c:ser>
        <c:ser>
          <c:idx val="1"/>
          <c:order val="1"/>
          <c:tx>
            <c:strRef>
              <c:f>Tasman!$B$55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Tasman!$C$53:$F$53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Tasman!$C$55:$F$55</c:f>
              <c:numCache>
                <c:formatCode>0</c:formatCode>
                <c:ptCount val="4"/>
                <c:pt idx="0">
                  <c:v>4616.4058641327583</c:v>
                </c:pt>
                <c:pt idx="1">
                  <c:v>4662.7714504495834</c:v>
                </c:pt>
                <c:pt idx="2">
                  <c:v>4857.479869257093</c:v>
                </c:pt>
                <c:pt idx="3">
                  <c:v>5047.0137999999997</c:v>
                </c:pt>
              </c:numCache>
            </c:numRef>
          </c:val>
        </c:ser>
        <c:ser>
          <c:idx val="2"/>
          <c:order val="2"/>
          <c:tx>
            <c:strRef>
              <c:f>Tasman!$B$56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Tasman!$C$53:$F$53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Tasman!$C$56:$F$56</c:f>
              <c:numCache>
                <c:formatCode>0</c:formatCode>
                <c:ptCount val="4"/>
                <c:pt idx="0">
                  <c:v>7022.3432421658918</c:v>
                </c:pt>
                <c:pt idx="1">
                  <c:v>7260.1189805751919</c:v>
                </c:pt>
                <c:pt idx="2">
                  <c:v>7518.6794250491757</c:v>
                </c:pt>
                <c:pt idx="3">
                  <c:v>7566.6130000000003</c:v>
                </c:pt>
              </c:numCache>
            </c:numRef>
          </c:val>
        </c:ser>
        <c:ser>
          <c:idx val="3"/>
          <c:order val="3"/>
          <c:tx>
            <c:strRef>
              <c:f>Tasman!$B$57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Tasman!$C$53:$F$53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Tasman!$C$57:$F$57</c:f>
              <c:numCache>
                <c:formatCode>0</c:formatCode>
                <c:ptCount val="4"/>
                <c:pt idx="0">
                  <c:v>2494.3951619001455</c:v>
                </c:pt>
                <c:pt idx="1">
                  <c:v>2396.8977982565711</c:v>
                </c:pt>
                <c:pt idx="2">
                  <c:v>2466.6317471100206</c:v>
                </c:pt>
                <c:pt idx="3">
                  <c:v>2441.4474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836928"/>
        <c:axId val="151842816"/>
      </c:barChart>
      <c:catAx>
        <c:axId val="15183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1842816"/>
        <c:crosses val="autoZero"/>
        <c:auto val="1"/>
        <c:lblAlgn val="ctr"/>
        <c:lblOffset val="100"/>
        <c:noMultiLvlLbl val="0"/>
      </c:catAx>
      <c:valAx>
        <c:axId val="15184281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1836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6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20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357"/>
          <c:y val="0.16445370370370369"/>
          <c:w val="0.70330041907982088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Aurora!$B$70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Aurora!$C$69:$F$69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Aurora!$C$70:$F$70</c:f>
              <c:numCache>
                <c:formatCode>0</c:formatCode>
                <c:ptCount val="4"/>
                <c:pt idx="0">
                  <c:v>586.66064593273506</c:v>
                </c:pt>
                <c:pt idx="1">
                  <c:v>612.65362481536727</c:v>
                </c:pt>
                <c:pt idx="2">
                  <c:v>610.26629634618052</c:v>
                </c:pt>
                <c:pt idx="3">
                  <c:v>603.10565330726615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45952"/>
        <c:axId val="116864128"/>
      </c:lineChart>
      <c:catAx>
        <c:axId val="1168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16864128"/>
        <c:crosses val="autoZero"/>
        <c:auto val="1"/>
        <c:lblAlgn val="ctr"/>
        <c:lblOffset val="100"/>
        <c:noMultiLvlLbl val="0"/>
      </c:catAx>
      <c:valAx>
        <c:axId val="116864128"/>
        <c:scaling>
          <c:orientation val="minMax"/>
          <c:max val="800"/>
          <c:min val="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16845952"/>
        <c:crosses val="autoZero"/>
        <c:crossBetween val="midCat"/>
        <c:majorUnit val="8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1422738982387166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Tasman!$B$61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5141254416316849"/>
                  <c:y val="-6.467592592592592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Tasman!$C$61:$F$61</c:f>
              <c:numCache>
                <c:formatCode>0.0</c:formatCode>
                <c:ptCount val="4"/>
                <c:pt idx="0">
                  <c:v>100</c:v>
                </c:pt>
                <c:pt idx="1">
                  <c:v>105.21942494101096</c:v>
                </c:pt>
                <c:pt idx="2">
                  <c:v>110.12934011866813</c:v>
                </c:pt>
                <c:pt idx="3">
                  <c:v>108.58466552200694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Tasman!$B$62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9696267841087496"/>
                  <c:y val="0.2057870370370404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Tasman!$C$62:$F$62</c:f>
              <c:numCache>
                <c:formatCode>0.0</c:formatCode>
                <c:ptCount val="4"/>
                <c:pt idx="0">
                  <c:v>100</c:v>
                </c:pt>
                <c:pt idx="1">
                  <c:v>101.00436546701977</c:v>
                </c:pt>
                <c:pt idx="2">
                  <c:v>105.22211461079198</c:v>
                </c:pt>
                <c:pt idx="3">
                  <c:v>109.32777464851731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Tasman!$B$63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9993099206461576"/>
                  <c:y val="-2.35194444444444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Tasman!$C$63:$F$63</c:f>
              <c:numCache>
                <c:formatCode>0.0</c:formatCode>
                <c:ptCount val="4"/>
                <c:pt idx="0">
                  <c:v>100</c:v>
                </c:pt>
                <c:pt idx="1">
                  <c:v>103.38598855409926</c:v>
                </c:pt>
                <c:pt idx="2">
                  <c:v>107.06795674559196</c:v>
                </c:pt>
                <c:pt idx="3">
                  <c:v>107.75054335945904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Tasman!$B$64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52487011956398388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Tasman!$C$64:$F$64</c:f>
              <c:numCache>
                <c:formatCode>0.0</c:formatCode>
                <c:ptCount val="4"/>
                <c:pt idx="0">
                  <c:v>100</c:v>
                </c:pt>
                <c:pt idx="1">
                  <c:v>96.091342497260783</c:v>
                </c:pt>
                <c:pt idx="2">
                  <c:v>98.886968062871972</c:v>
                </c:pt>
                <c:pt idx="3">
                  <c:v>97.877330636745967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87232"/>
        <c:axId val="151917696"/>
      </c:lineChart>
      <c:catAx>
        <c:axId val="1518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1917696"/>
        <c:crosses val="autoZero"/>
        <c:auto val="1"/>
        <c:lblAlgn val="ctr"/>
        <c:lblOffset val="100"/>
        <c:noMultiLvlLbl val="0"/>
      </c:catAx>
      <c:valAx>
        <c:axId val="151917696"/>
        <c:scaling>
          <c:orientation val="minMax"/>
          <c:max val="115"/>
          <c:min val="85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1887232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460351024323044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Tasman!$B$84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354918846776998E-3"/>
                  <c:y val="-2.805987248455936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Tasman!$C$84:$F$84</c:f>
              <c:numCache>
                <c:formatCode>0.00</c:formatCode>
                <c:ptCount val="4"/>
                <c:pt idx="0">
                  <c:v>6.993831296050633</c:v>
                </c:pt>
                <c:pt idx="1">
                  <c:v>7.3110593358182623</c:v>
                </c:pt>
                <c:pt idx="2">
                  <c:v>7.3876950904588092</c:v>
                </c:pt>
                <c:pt idx="3">
                  <c:v>7.5298822902025302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Tasman!$B$85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90609520707183E-3"/>
                  <c:y val="-4.06340904562661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Tasman!$C$85:$F$85</c:f>
              <c:numCache>
                <c:formatCode>0.00</c:formatCode>
                <c:ptCount val="4"/>
                <c:pt idx="0">
                  <c:v>8.6736398606732301</c:v>
                </c:pt>
                <c:pt idx="1">
                  <c:v>8.9331486301066096</c:v>
                </c:pt>
                <c:pt idx="2">
                  <c:v>9.0076769448078711</c:v>
                </c:pt>
                <c:pt idx="3">
                  <c:v>9.0907867388857788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Tasman!$B$86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13218553147734E-3"/>
                  <c:y val="-2.8505678421996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Tasman!$C$86:$F$86</c:f>
              <c:numCache>
                <c:formatCode>0.00</c:formatCode>
                <c:ptCount val="4"/>
                <c:pt idx="0">
                  <c:v>5.4394847336772632</c:v>
                </c:pt>
                <c:pt idx="1">
                  <c:v>5.784159407366964</c:v>
                </c:pt>
                <c:pt idx="2">
                  <c:v>5.8631123818002413</c:v>
                </c:pt>
                <c:pt idx="3">
                  <c:v>5.6975688426815294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Tasman!$B$87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99660429540984E-3"/>
                  <c:y val="-2.887427774457127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Tasman!$C$87:$F$87</c:f>
              <c:numCache>
                <c:formatCode>0.00</c:formatCode>
                <c:ptCount val="4"/>
                <c:pt idx="0">
                  <c:v>1.4829239066061377</c:v>
                </c:pt>
                <c:pt idx="1">
                  <c:v>1.5747464535365745</c:v>
                </c:pt>
                <c:pt idx="2">
                  <c:v>1.7312490767703002</c:v>
                </c:pt>
                <c:pt idx="3">
                  <c:v>1.6746408910228054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383872"/>
        <c:axId val="152385408"/>
      </c:lineChart>
      <c:catAx>
        <c:axId val="15238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2385408"/>
        <c:crosses val="autoZero"/>
        <c:auto val="1"/>
        <c:lblAlgn val="ctr"/>
        <c:lblOffset val="100"/>
        <c:noMultiLvlLbl val="0"/>
      </c:catAx>
      <c:valAx>
        <c:axId val="15238540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23838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305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Tasman!$B$90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-2.753536561068034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Tasman!$C$90:$F$90</c:f>
              <c:numCache>
                <c:formatCode>0.0</c:formatCode>
                <c:ptCount val="4"/>
                <c:pt idx="0">
                  <c:v>100</c:v>
                </c:pt>
                <c:pt idx="1">
                  <c:v>104.53582630663061</c:v>
                </c:pt>
                <c:pt idx="2">
                  <c:v>105.63158843466225</c:v>
                </c:pt>
                <c:pt idx="3">
                  <c:v>107.66462574604283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Tasman!$B$91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6361753108855088"/>
                  <c:y val="8.536162582187689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Tasman!$C$91:$F$91</c:f>
              <c:numCache>
                <c:formatCode>0.0</c:formatCode>
                <c:ptCount val="4"/>
                <c:pt idx="0">
                  <c:v>100</c:v>
                </c:pt>
                <c:pt idx="1">
                  <c:v>102.99192465449261</c:v>
                </c:pt>
                <c:pt idx="2">
                  <c:v>103.85117539464814</c:v>
                </c:pt>
                <c:pt idx="3">
                  <c:v>104.80936359951853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Tasman!$B$92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015724796326737"/>
                  <c:y val="-0.1612731619844591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Tasman!$C$92:$F$92</c:f>
              <c:numCache>
                <c:formatCode>0.0</c:formatCode>
                <c:ptCount val="4"/>
                <c:pt idx="0">
                  <c:v>100</c:v>
                </c:pt>
                <c:pt idx="1">
                  <c:v>106.33653168572623</c:v>
                </c:pt>
                <c:pt idx="2">
                  <c:v>107.78801060880249</c:v>
                </c:pt>
                <c:pt idx="3">
                  <c:v>104.74464258363298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Tasman!$B$93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2.16557083084280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Tasman!$C$93:$F$93</c:f>
              <c:numCache>
                <c:formatCode>0.0</c:formatCode>
                <c:ptCount val="4"/>
                <c:pt idx="0">
                  <c:v>100</c:v>
                </c:pt>
                <c:pt idx="1">
                  <c:v>106.19199316440886</c:v>
                </c:pt>
                <c:pt idx="2">
                  <c:v>116.7456448073918</c:v>
                </c:pt>
                <c:pt idx="3">
                  <c:v>112.92830896869393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29696"/>
        <c:axId val="152431232"/>
      </c:lineChart>
      <c:catAx>
        <c:axId val="1524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2431232"/>
        <c:crosses val="autoZero"/>
        <c:auto val="1"/>
        <c:lblAlgn val="ctr"/>
        <c:lblOffset val="100"/>
        <c:noMultiLvlLbl val="0"/>
      </c:catAx>
      <c:valAx>
        <c:axId val="152431232"/>
        <c:scaling>
          <c:orientation val="minMax"/>
          <c:max val="120"/>
          <c:min val="1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2429696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834364860253561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Tasman!$B$120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243122740617068E-6"/>
                  <c:y val="1.763796296296295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Tasman!$C$120:$F$120</c:f>
              <c:numCache>
                <c:formatCode>0.0</c:formatCode>
                <c:ptCount val="4"/>
                <c:pt idx="0">
                  <c:v>100</c:v>
                </c:pt>
                <c:pt idx="1">
                  <c:v>100.6539371797523</c:v>
                </c:pt>
                <c:pt idx="2">
                  <c:v>104.25796085305288</c:v>
                </c:pt>
                <c:pt idx="3">
                  <c:v>100.85454230634143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Tasman!$B$121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599648674489365E-3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Tasman!$C$121:$F$121</c:f>
              <c:numCache>
                <c:formatCode>0.0</c:formatCode>
                <c:ptCount val="4"/>
                <c:pt idx="0">
                  <c:v>100</c:v>
                </c:pt>
                <c:pt idx="1">
                  <c:v>98.070179585301929</c:v>
                </c:pt>
                <c:pt idx="2">
                  <c:v>101.32009985533055</c:v>
                </c:pt>
                <c:pt idx="3">
                  <c:v>104.31107574153758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Tasman!$B$122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017546479607951E-5"/>
                  <c:y val="-5.8796296296297788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Tasman!$C$122:$F$122</c:f>
              <c:numCache>
                <c:formatCode>0.0</c:formatCode>
                <c:ptCount val="4"/>
                <c:pt idx="0">
                  <c:v>100</c:v>
                </c:pt>
                <c:pt idx="1">
                  <c:v>97.225278006671147</c:v>
                </c:pt>
                <c:pt idx="2">
                  <c:v>99.331972211803901</c:v>
                </c:pt>
                <c:pt idx="3">
                  <c:v>102.86974178505217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Tasman!$B$123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-4.115787037037034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800"/>
                      <a:t>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Tasman!$C$123:$F$123</c:f>
              <c:numCache>
                <c:formatCode>0.0</c:formatCode>
                <c:ptCount val="4"/>
                <c:pt idx="0">
                  <c:v>100</c:v>
                </c:pt>
                <c:pt idx="1">
                  <c:v>90.488312380096289</c:v>
                </c:pt>
                <c:pt idx="2">
                  <c:v>84.702918233923612</c:v>
                </c:pt>
                <c:pt idx="3">
                  <c:v>86.672094473565153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83712"/>
        <c:axId val="152485248"/>
      </c:lineChart>
      <c:catAx>
        <c:axId val="15248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2485248"/>
        <c:crosses val="autoZero"/>
        <c:auto val="1"/>
        <c:lblAlgn val="ctr"/>
        <c:lblOffset val="100"/>
        <c:noMultiLvlLbl val="0"/>
      </c:catAx>
      <c:valAx>
        <c:axId val="152485248"/>
        <c:scaling>
          <c:orientation val="minMax"/>
          <c:max val="115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2483712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876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Tasman!$B$113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Tasman!$C$112:$F$112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Tasman!$C$113:$F$113</c:f>
              <c:numCache>
                <c:formatCode>General</c:formatCode>
                <c:ptCount val="4"/>
                <c:pt idx="0">
                  <c:v>243717.6</c:v>
                </c:pt>
                <c:pt idx="1">
                  <c:v>245311.35999999999</c:v>
                </c:pt>
                <c:pt idx="2">
                  <c:v>254095</c:v>
                </c:pt>
                <c:pt idx="3">
                  <c:v>245800.27</c:v>
                </c:pt>
              </c:numCache>
            </c:numRef>
          </c:val>
        </c:ser>
        <c:ser>
          <c:idx val="1"/>
          <c:order val="1"/>
          <c:tx>
            <c:strRef>
              <c:f>Tasman!$B$114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Tasman!$C$112:$F$112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Tasman!$C$114:$F$114</c:f>
              <c:numCache>
                <c:formatCode>General</c:formatCode>
                <c:ptCount val="4"/>
                <c:pt idx="0">
                  <c:v>53223.398000000001</c:v>
                </c:pt>
                <c:pt idx="1">
                  <c:v>52196.281999999999</c:v>
                </c:pt>
                <c:pt idx="2">
                  <c:v>53926</c:v>
                </c:pt>
                <c:pt idx="3">
                  <c:v>55517.898999999998</c:v>
                </c:pt>
              </c:numCache>
            </c:numRef>
          </c:val>
        </c:ser>
        <c:ser>
          <c:idx val="2"/>
          <c:order val="2"/>
          <c:tx>
            <c:strRef>
              <c:f>Tasman!$B$115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Tasman!$C$112:$F$112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Tasman!$C$115:$F$115</c:f>
              <c:numCache>
                <c:formatCode>General</c:formatCode>
                <c:ptCount val="4"/>
                <c:pt idx="0">
                  <c:v>129099.42</c:v>
                </c:pt>
                <c:pt idx="1">
                  <c:v>125517.27</c:v>
                </c:pt>
                <c:pt idx="2">
                  <c:v>128237</c:v>
                </c:pt>
                <c:pt idx="3">
                  <c:v>132804.24</c:v>
                </c:pt>
              </c:numCache>
            </c:numRef>
          </c:val>
        </c:ser>
        <c:ser>
          <c:idx val="3"/>
          <c:order val="3"/>
          <c:tx>
            <c:strRef>
              <c:f>Tasman!$B$116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Tasman!$C$112:$F$112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Tasman!$C$116:$F$116</c:f>
              <c:numCache>
                <c:formatCode>General</c:formatCode>
                <c:ptCount val="4"/>
                <c:pt idx="0">
                  <c:v>168207.9</c:v>
                </c:pt>
                <c:pt idx="1">
                  <c:v>152208.49</c:v>
                </c:pt>
                <c:pt idx="2">
                  <c:v>142477</c:v>
                </c:pt>
                <c:pt idx="3">
                  <c:v>145789.31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562304"/>
        <c:axId val="152568192"/>
      </c:barChart>
      <c:catAx>
        <c:axId val="15256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2568192"/>
        <c:crosses val="autoZero"/>
        <c:auto val="1"/>
        <c:lblAlgn val="ctr"/>
        <c:lblOffset val="100"/>
        <c:noMultiLvlLbl val="0"/>
      </c:catAx>
      <c:valAx>
        <c:axId val="15256819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25623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Tasman!$U$138:$U$144</c:f>
              <c:strCache>
                <c:ptCount val="7"/>
                <c:pt idx="0">
                  <c:v>General management, admin and overheads</c:v>
                </c:pt>
                <c:pt idx="1">
                  <c:v>Refurbishment and renewal maintenance</c:v>
                </c:pt>
                <c:pt idx="2">
                  <c:v>Routine and preventative maintenance</c:v>
                </c:pt>
                <c:pt idx="3">
                  <c:v>System management and operations</c:v>
                </c:pt>
                <c:pt idx="4">
                  <c:v>Fault and emergency maintenance</c:v>
                </c:pt>
                <c:pt idx="5">
                  <c:v>Pass-through costs</c:v>
                </c:pt>
                <c:pt idx="6">
                  <c:v>Other</c:v>
                </c:pt>
              </c:strCache>
            </c:strRef>
          </c:cat>
          <c:val>
            <c:numRef>
              <c:f>Tasman!$V$138:$V$144</c:f>
              <c:numCache>
                <c:formatCode>General</c:formatCode>
                <c:ptCount val="7"/>
                <c:pt idx="0">
                  <c:v>2519.7357000000002</c:v>
                </c:pt>
                <c:pt idx="1">
                  <c:v>1724.4665</c:v>
                </c:pt>
                <c:pt idx="2">
                  <c:v>1535.4165</c:v>
                </c:pt>
                <c:pt idx="3">
                  <c:v>1463.8773000000001</c:v>
                </c:pt>
                <c:pt idx="4">
                  <c:v>568.13851</c:v>
                </c:pt>
                <c:pt idx="5">
                  <c:v>191.08139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52596864"/>
        <c:axId val="152598400"/>
      </c:barChart>
      <c:catAx>
        <c:axId val="152596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2598400"/>
        <c:crosses val="autoZero"/>
        <c:auto val="1"/>
        <c:lblAlgn val="ctr"/>
        <c:lblOffset val="100"/>
        <c:noMultiLvlLbl val="0"/>
      </c:catAx>
      <c:valAx>
        <c:axId val="152598400"/>
        <c:scaling>
          <c:orientation val="minMax"/>
          <c:max val="26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2596864"/>
        <c:crosses val="autoZero"/>
        <c:crossBetween val="between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17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Tasman!$U$186:$U$191</c:f>
              <c:strCache>
                <c:ptCount val="6"/>
                <c:pt idx="0">
                  <c:v>Asset replacement and renewal</c:v>
                </c:pt>
                <c:pt idx="1">
                  <c:v>Asset relocations</c:v>
                </c:pt>
                <c:pt idx="2">
                  <c:v>System growth</c:v>
                </c:pt>
                <c:pt idx="3">
                  <c:v>Customer connection</c:v>
                </c:pt>
                <c:pt idx="4">
                  <c:v>Reliability, safety and environment</c:v>
                </c:pt>
                <c:pt idx="5">
                  <c:v>Non-network capex</c:v>
                </c:pt>
              </c:strCache>
            </c:strRef>
          </c:cat>
          <c:val>
            <c:numRef>
              <c:f>Tasman!$V$186:$V$191</c:f>
              <c:numCache>
                <c:formatCode>General</c:formatCode>
                <c:ptCount val="6"/>
                <c:pt idx="0">
                  <c:v>1.8319212999999999</c:v>
                </c:pt>
                <c:pt idx="1">
                  <c:v>1.5426911000000001</c:v>
                </c:pt>
                <c:pt idx="2">
                  <c:v>1.3016771</c:v>
                </c:pt>
                <c:pt idx="3">
                  <c:v>0.82609402999999992</c:v>
                </c:pt>
                <c:pt idx="4">
                  <c:v>0.32283125000000001</c:v>
                </c:pt>
                <c:pt idx="5">
                  <c:v>0.28168124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52630784"/>
        <c:axId val="152632320"/>
      </c:barChart>
      <c:catAx>
        <c:axId val="152630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2632320"/>
        <c:crosses val="autoZero"/>
        <c:auto val="1"/>
        <c:lblAlgn val="ctr"/>
        <c:lblOffset val="100"/>
        <c:noMultiLvlLbl val="0"/>
      </c:catAx>
      <c:valAx>
        <c:axId val="152632320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2630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887960340924371"/>
          <c:h val="0.82404629629630932"/>
        </c:manualLayout>
      </c:layout>
      <c:lineChart>
        <c:grouping val="standard"/>
        <c:varyColors val="0"/>
        <c:ser>
          <c:idx val="0"/>
          <c:order val="0"/>
          <c:tx>
            <c:strRef>
              <c:f>Tasman!$B$76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0115972332809438"/>
                  <c:y val="-9.602082755794472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Tasman!$C$76:$F$76</c:f>
              <c:numCache>
                <c:formatCode>0.0</c:formatCode>
                <c:ptCount val="4"/>
                <c:pt idx="0">
                  <c:v>100</c:v>
                </c:pt>
                <c:pt idx="1">
                  <c:v>104.01250263092182</c:v>
                </c:pt>
                <c:pt idx="2">
                  <c:v>107.70686732417964</c:v>
                </c:pt>
                <c:pt idx="3">
                  <c:v>104.90467801036772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Tasman!$B$77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7.6299409406567844E-4"/>
                  <c:y val="2.35182662986487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Tasman!$C$77:$F$77</c:f>
              <c:numCache>
                <c:formatCode>0.0</c:formatCode>
                <c:ptCount val="4"/>
                <c:pt idx="0">
                  <c:v>100</c:v>
                </c:pt>
                <c:pt idx="1">
                  <c:v>100.00761186043734</c:v>
                </c:pt>
                <c:pt idx="2">
                  <c:v>102.69732975956025</c:v>
                </c:pt>
                <c:pt idx="3">
                  <c:v>104.73475547168589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Tasman!$B$78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5112337379094652E-3"/>
                  <c:y val="1.760217917967386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Tasman!$C$78:$F$78</c:f>
              <c:numCache>
                <c:formatCode>0.0</c:formatCode>
                <c:ptCount val="4"/>
                <c:pt idx="0">
                  <c:v>100</c:v>
                </c:pt>
                <c:pt idx="1">
                  <c:v>101.00625991730413</c:v>
                </c:pt>
                <c:pt idx="2">
                  <c:v>103.80700374826426</c:v>
                </c:pt>
                <c:pt idx="3">
                  <c:v>102.13575077745247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Tasman!$B$79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Tasman!$C$79:$F$79</c:f>
              <c:numCache>
                <c:formatCode>0.0</c:formatCode>
                <c:ptCount val="4"/>
                <c:pt idx="0">
                  <c:v>100</c:v>
                </c:pt>
                <c:pt idx="1">
                  <c:v>96.091342497260783</c:v>
                </c:pt>
                <c:pt idx="2">
                  <c:v>98.886968062871986</c:v>
                </c:pt>
                <c:pt idx="3">
                  <c:v>97.877330636745967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68704"/>
        <c:axId val="152190976"/>
      </c:lineChart>
      <c:catAx>
        <c:axId val="1521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2190976"/>
        <c:crosses val="autoZero"/>
        <c:auto val="1"/>
        <c:lblAlgn val="ctr"/>
        <c:lblOffset val="100"/>
        <c:noMultiLvlLbl val="0"/>
      </c:catAx>
      <c:valAx>
        <c:axId val="152190976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216870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2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44"/>
          <c:y val="0.16445370370370369"/>
          <c:w val="0.70330041907982221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Tasman!$B$70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Tasman!$C$69:$F$69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Tasman!$C$70:$F$70</c:f>
              <c:numCache>
                <c:formatCode>0</c:formatCode>
                <c:ptCount val="4"/>
                <c:pt idx="0">
                  <c:v>508.44761313636491</c:v>
                </c:pt>
                <c:pt idx="1">
                  <c:v>528.84908699032064</c:v>
                </c:pt>
                <c:pt idx="2">
                  <c:v>547.63299609374269</c:v>
                </c:pt>
                <c:pt idx="3">
                  <c:v>533.38533141210371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10816"/>
        <c:axId val="152220800"/>
      </c:lineChart>
      <c:catAx>
        <c:axId val="15221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2220800"/>
        <c:crosses val="autoZero"/>
        <c:auto val="1"/>
        <c:lblAlgn val="ctr"/>
        <c:lblOffset val="100"/>
        <c:noMultiLvlLbl val="0"/>
      </c:catAx>
      <c:valAx>
        <c:axId val="152220800"/>
        <c:scaling>
          <c:orientation val="minMax"/>
          <c:max val="800"/>
          <c:min val="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52210816"/>
        <c:crosses val="autoZero"/>
        <c:crossBetween val="midCat"/>
        <c:majorUnit val="8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93"/>
          <c:y val="0.17621296296296762"/>
          <c:w val="0.73692152777777775"/>
          <c:h val="0.57282407407409752"/>
        </c:manualLayout>
      </c:layout>
      <c:lineChart>
        <c:grouping val="standard"/>
        <c:varyColors val="0"/>
        <c:ser>
          <c:idx val="1"/>
          <c:order val="0"/>
          <c:tx>
            <c:strRef>
              <c:f>Tasman!$B$71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Tasman!$C$69:$F$69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Tasman!$C$71:$F$71</c:f>
              <c:numCache>
                <c:formatCode>0</c:formatCode>
                <c:ptCount val="4"/>
                <c:pt idx="0">
                  <c:v>3067.3793117161185</c:v>
                </c:pt>
                <c:pt idx="1">
                  <c:v>3067.6127963484105</c:v>
                </c:pt>
                <c:pt idx="2">
                  <c:v>3150.1166467296321</c:v>
                </c:pt>
                <c:pt idx="3">
                  <c:v>3212.6122215149585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41664"/>
        <c:axId val="152243200"/>
      </c:lineChart>
      <c:catAx>
        <c:axId val="15224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2243200"/>
        <c:crosses val="autoZero"/>
        <c:auto val="1"/>
        <c:lblAlgn val="ctr"/>
        <c:lblOffset val="100"/>
        <c:noMultiLvlLbl val="0"/>
      </c:catAx>
      <c:valAx>
        <c:axId val="152243200"/>
        <c:scaling>
          <c:orientation val="minMax"/>
          <c:max val="4000"/>
          <c:min val="2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52241664"/>
        <c:crosses val="autoZero"/>
        <c:crossBetween val="midCat"/>
        <c:majorUnit val="4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7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48"/>
          <c:y val="0.17621296296296718"/>
          <c:w val="0.73692152777777775"/>
          <c:h val="0.57282407407409508"/>
        </c:manualLayout>
      </c:layout>
      <c:lineChart>
        <c:grouping val="standard"/>
        <c:varyColors val="0"/>
        <c:ser>
          <c:idx val="1"/>
          <c:order val="0"/>
          <c:tx>
            <c:strRef>
              <c:f>Aurora!$B$71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Aurora!$C$69:$F$69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Aurora!$C$71:$F$71</c:f>
              <c:numCache>
                <c:formatCode>0</c:formatCode>
                <c:ptCount val="4"/>
                <c:pt idx="0">
                  <c:v>1971.2272246492216</c:v>
                </c:pt>
                <c:pt idx="1">
                  <c:v>2044.6190607089645</c:v>
                </c:pt>
                <c:pt idx="2">
                  <c:v>2285.3806253313614</c:v>
                </c:pt>
                <c:pt idx="3">
                  <c:v>2201.6329341317364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97280"/>
        <c:axId val="116898816"/>
      </c:lineChart>
      <c:catAx>
        <c:axId val="11689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16898816"/>
        <c:crosses val="autoZero"/>
        <c:auto val="1"/>
        <c:lblAlgn val="ctr"/>
        <c:lblOffset val="100"/>
        <c:noMultiLvlLbl val="0"/>
      </c:catAx>
      <c:valAx>
        <c:axId val="116898816"/>
        <c:scaling>
          <c:orientation val="minMax"/>
          <c:max val="3000"/>
          <c:min val="1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16897280"/>
        <c:crosses val="autoZero"/>
        <c:crossBetween val="midCat"/>
        <c:majorUnit val="3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90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Tasman!$B$72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Tasman!$C$69:$F$69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Tasman!$C$72:$F$72</c:f>
              <c:numCache>
                <c:formatCode>0</c:formatCode>
                <c:ptCount val="4"/>
                <c:pt idx="0">
                  <c:v>18383.09749258087</c:v>
                </c:pt>
                <c:pt idx="1">
                  <c:v>18568.079234207653</c:v>
                </c:pt>
                <c:pt idx="2">
                  <c:v>19082.942703170494</c:v>
                </c:pt>
                <c:pt idx="3">
                  <c:v>18775.714640198512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75968"/>
        <c:axId val="152290048"/>
      </c:lineChart>
      <c:catAx>
        <c:axId val="15227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2290048"/>
        <c:crosses val="autoZero"/>
        <c:auto val="1"/>
        <c:lblAlgn val="ctr"/>
        <c:lblOffset val="100"/>
        <c:noMultiLvlLbl val="0"/>
      </c:catAx>
      <c:valAx>
        <c:axId val="152290048"/>
        <c:scaling>
          <c:orientation val="minMax"/>
          <c:max val="24000"/>
          <c:min val="12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52275968"/>
        <c:crosses val="autoZero"/>
        <c:crossBetween val="midCat"/>
        <c:majorUnit val="3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Tasman!$B$73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Tasman!$C$69:$F$69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Tasman!$C$73:$F$73</c:f>
              <c:numCache>
                <c:formatCode>0</c:formatCode>
                <c:ptCount val="4"/>
                <c:pt idx="0">
                  <c:v>498879.03238002909</c:v>
                </c:pt>
                <c:pt idx="1">
                  <c:v>479379.55965131428</c:v>
                </c:pt>
                <c:pt idx="2">
                  <c:v>493326.34942200413</c:v>
                </c:pt>
                <c:pt idx="3">
                  <c:v>488289.48000000004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74080"/>
        <c:axId val="152975616"/>
      </c:lineChart>
      <c:catAx>
        <c:axId val="1529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2975616"/>
        <c:crosses val="autoZero"/>
        <c:auto val="1"/>
        <c:lblAlgn val="ctr"/>
        <c:lblOffset val="100"/>
        <c:noMultiLvlLbl val="0"/>
      </c:catAx>
      <c:valAx>
        <c:axId val="152975616"/>
        <c:scaling>
          <c:orientation val="minMax"/>
          <c:max val="640000"/>
          <c:min val="32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52974080"/>
        <c:crosses val="autoZero"/>
        <c:crossBetween val="midCat"/>
        <c:majorUnit val="8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67"/>
          <c:y val="6.4675925925925928E-2"/>
          <c:w val="0.7873302492889635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Tasman!$B$105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9678907161112196E-4"/>
                  <c:y val="-1.1877519939157894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Tasman!$C$105:$F$105</c:f>
              <c:numCache>
                <c:formatCode>0.0</c:formatCode>
                <c:ptCount val="4"/>
                <c:pt idx="0">
                  <c:v>100</c:v>
                </c:pt>
                <c:pt idx="1">
                  <c:v>101.16036272521178</c:v>
                </c:pt>
                <c:pt idx="2">
                  <c:v>102.24913494809688</c:v>
                </c:pt>
                <c:pt idx="3">
                  <c:v>103.50793461400787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Tasman!$B$106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20290002787288344"/>
                  <c:y val="-0.12020425866406319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Tasman!$C$106:$F$106</c:f>
              <c:numCache>
                <c:formatCode>0.0</c:formatCode>
                <c:ptCount val="4"/>
                <c:pt idx="0">
                  <c:v>100</c:v>
                </c:pt>
                <c:pt idx="1">
                  <c:v>100.99667774086379</c:v>
                </c:pt>
                <c:pt idx="2">
                  <c:v>102.45847176079734</c:v>
                </c:pt>
                <c:pt idx="3">
                  <c:v>104.38538205980066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Tasman!$B$107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875607899258249E-3"/>
                  <c:y val="-4.398391092149052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Tasman!$C$107:$F$107</c:f>
              <c:numCache>
                <c:formatCode>0.0</c:formatCode>
                <c:ptCount val="4"/>
                <c:pt idx="0">
                  <c:v>100</c:v>
                </c:pt>
                <c:pt idx="1">
                  <c:v>102.35602094240839</c:v>
                </c:pt>
                <c:pt idx="2">
                  <c:v>103.1413612565445</c:v>
                </c:pt>
                <c:pt idx="3">
                  <c:v>105.49738219895288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31424"/>
        <c:axId val="153032960"/>
      </c:lineChart>
      <c:catAx>
        <c:axId val="15303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3032960"/>
        <c:crosses val="autoZero"/>
        <c:auto val="1"/>
        <c:lblAlgn val="ctr"/>
        <c:lblOffset val="100"/>
        <c:noMultiLvlLbl val="0"/>
      </c:catAx>
      <c:valAx>
        <c:axId val="153032960"/>
        <c:scaling>
          <c:orientation val="minMax"/>
          <c:max val="110"/>
          <c:min val="9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3031424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3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Tasman!$B$98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Tasman!$C$97:$F$97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Tasman!$C$98:$F$98</c:f>
              <c:numCache>
                <c:formatCode>General</c:formatCode>
                <c:ptCount val="4"/>
                <c:pt idx="0">
                  <c:v>33524</c:v>
                </c:pt>
                <c:pt idx="1">
                  <c:v>33913</c:v>
                </c:pt>
                <c:pt idx="2">
                  <c:v>34278</c:v>
                </c:pt>
                <c:pt idx="3">
                  <c:v>34700</c:v>
                </c:pt>
              </c:numCache>
            </c:numRef>
          </c:val>
        </c:ser>
        <c:ser>
          <c:idx val="1"/>
          <c:order val="1"/>
          <c:tx>
            <c:strRef>
              <c:f>Tasman!$B$99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Tasman!$C$97:$F$97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Tasman!$C$99:$F$99</c:f>
              <c:numCache>
                <c:formatCode>General</c:formatCode>
                <c:ptCount val="4"/>
                <c:pt idx="0">
                  <c:v>1505</c:v>
                </c:pt>
                <c:pt idx="1">
                  <c:v>1520</c:v>
                </c:pt>
                <c:pt idx="2">
                  <c:v>1542</c:v>
                </c:pt>
                <c:pt idx="3">
                  <c:v>1571</c:v>
                </c:pt>
              </c:numCache>
            </c:numRef>
          </c:val>
        </c:ser>
        <c:ser>
          <c:idx val="2"/>
          <c:order val="2"/>
          <c:tx>
            <c:strRef>
              <c:f>Tasman!$B$100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Tasman!$C$97:$F$97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Tasman!$C$100:$F$100</c:f>
              <c:numCache>
                <c:formatCode>General</c:formatCode>
                <c:ptCount val="4"/>
                <c:pt idx="0">
                  <c:v>382</c:v>
                </c:pt>
                <c:pt idx="1">
                  <c:v>391</c:v>
                </c:pt>
                <c:pt idx="2">
                  <c:v>394</c:v>
                </c:pt>
                <c:pt idx="3">
                  <c:v>403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088384"/>
        <c:axId val="153089920"/>
      </c:barChart>
      <c:catAx>
        <c:axId val="15308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3089920"/>
        <c:crosses val="autoZero"/>
        <c:auto val="1"/>
        <c:lblAlgn val="ctr"/>
        <c:lblOffset val="100"/>
        <c:noMultiLvlLbl val="0"/>
      </c:catAx>
      <c:valAx>
        <c:axId val="15308992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3088384"/>
        <c:crosses val="autoZero"/>
        <c:crossBetween val="between"/>
        <c:majorUnit val="5000"/>
      </c:valAx>
    </c:plotArea>
    <c:legend>
      <c:legendPos val="t"/>
      <c:layout>
        <c:manualLayout>
          <c:xMode val="edge"/>
          <c:yMode val="edge"/>
          <c:x val="0"/>
          <c:y val="3.5277777777779386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Tasman!$B$209</c:f>
              <c:strCache>
                <c:ptCount val="1"/>
                <c:pt idx="0">
                  <c:v>Tasman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Tasman!$C$204:$F$204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Tasman!$C$209:$F$209</c:f>
              <c:numCache>
                <c:formatCode>_(* #,##0.00_);_(* \(#,##0.00\);_(* "-"??_);_(@_)</c:formatCode>
                <c:ptCount val="4"/>
                <c:pt idx="0">
                  <c:v>8335.5758485626648</c:v>
                </c:pt>
                <c:pt idx="1">
                  <c:v>6654.2262646714798</c:v>
                </c:pt>
                <c:pt idx="2">
                  <c:v>7201.9488419547652</c:v>
                </c:pt>
                <c:pt idx="3">
                  <c:v>10530.733971940994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Tasman!$B$210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6.7245863585146965E-3"/>
                  <c:y val="-5.66844400654102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Tasman!$C$204:$F$204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16032"/>
        <c:axId val="153130112"/>
      </c:lineChart>
      <c:catAx>
        <c:axId val="15311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3130112"/>
        <c:crosses val="autoZero"/>
        <c:auto val="1"/>
        <c:lblAlgn val="ctr"/>
        <c:lblOffset val="100"/>
        <c:noMultiLvlLbl val="0"/>
      </c:catAx>
      <c:valAx>
        <c:axId val="153130112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3116032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28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Tasman!$C$204:$F$204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Tasman!$C$212:$F$212</c:f>
              <c:numCache>
                <c:formatCode>_(* #,##0.00_);_(* \(#,##0.00\);_(* "-"??_);_(@_)</c:formatCode>
                <c:ptCount val="4"/>
                <c:pt idx="0">
                  <c:v>3.299335719704248E-2</c:v>
                </c:pt>
                <c:pt idx="1">
                  <c:v>2.5650770583663187E-2</c:v>
                </c:pt>
                <c:pt idx="2">
                  <c:v>2.7914550039664792E-2</c:v>
                </c:pt>
                <c:pt idx="3">
                  <c:v>3.9865948645229909E-2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444588449208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Tasman!$C$204:$F$204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173376"/>
        <c:axId val="153175168"/>
      </c:lineChart>
      <c:catAx>
        <c:axId val="1531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3175168"/>
        <c:crosses val="autoZero"/>
        <c:auto val="1"/>
        <c:lblAlgn val="ctr"/>
        <c:lblOffset val="100"/>
        <c:noMultiLvlLbl val="0"/>
      </c:catAx>
      <c:valAx>
        <c:axId val="153175168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3173376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13"/>
          <c:w val="0.79809047321242665"/>
          <c:h val="0.72979551178440305"/>
        </c:manualLayout>
      </c:layout>
      <c:lineChart>
        <c:grouping val="standard"/>
        <c:varyColors val="0"/>
        <c:ser>
          <c:idx val="0"/>
          <c:order val="0"/>
          <c:tx>
            <c:strRef>
              <c:f>Tasman!$B$206</c:f>
              <c:strCache>
                <c:ptCount val="1"/>
                <c:pt idx="0">
                  <c:v>Tasman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Tasman!$C$204:$F$204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Tasman!$C$206:$F$206</c:f>
              <c:numCache>
                <c:formatCode>_(* #,##0.00_);_(* \(#,##0.00\);_(* "-"??_);_(@_)</c:formatCode>
                <c:ptCount val="4"/>
                <c:pt idx="0">
                  <c:v>139.86339303054515</c:v>
                </c:pt>
                <c:pt idx="1">
                  <c:v>106.83338111319678</c:v>
                </c:pt>
                <c:pt idx="2">
                  <c:v>115.07827005297472</c:v>
                </c:pt>
                <c:pt idx="3">
                  <c:v>166.49570708034571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Tasman!$B$207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5988850572340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Tasman!$C$204:$F$204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19456"/>
        <c:axId val="153220992"/>
      </c:lineChart>
      <c:catAx>
        <c:axId val="15321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3220992"/>
        <c:crosses val="autoZero"/>
        <c:auto val="1"/>
        <c:lblAlgn val="ctr"/>
        <c:lblOffset val="100"/>
        <c:noMultiLvlLbl val="0"/>
      </c:catAx>
      <c:valAx>
        <c:axId val="153220992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3219456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453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Tasman!$B$162</c:f>
              <c:strCache>
                <c:ptCount val="1"/>
                <c:pt idx="0">
                  <c:v>Tasman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Tasman!$C$160:$F$160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Tasman!$C$162:$F$162</c:f>
              <c:numCache>
                <c:formatCode>_(* #,##0.00_);_(* \(#,##0.00\);_(* "-"??_);_(@_)</c:formatCode>
                <c:ptCount val="4"/>
                <c:pt idx="0">
                  <c:v>199.20595167889343</c:v>
                </c:pt>
                <c:pt idx="1">
                  <c:v>245.37182290753901</c:v>
                </c:pt>
                <c:pt idx="2">
                  <c:v>208.99236453833416</c:v>
                </c:pt>
                <c:pt idx="3">
                  <c:v>218.18249952288778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Tasman!$B$163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Tasman!$C$160:$F$160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939904"/>
        <c:axId val="152945792"/>
      </c:lineChart>
      <c:catAx>
        <c:axId val="15293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2945792"/>
        <c:crosses val="autoZero"/>
        <c:auto val="1"/>
        <c:lblAlgn val="ctr"/>
        <c:lblOffset val="100"/>
        <c:noMultiLvlLbl val="0"/>
      </c:catAx>
      <c:valAx>
        <c:axId val="152945792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2939904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7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Tasman!$C$160:$F$160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Tasman!$C$165:$F$165</c:f>
              <c:numCache>
                <c:formatCode>_(* #,##0.00_);_(* \(#,##0.00\);_(* "-"??_);_(@_)</c:formatCode>
                <c:ptCount val="4"/>
                <c:pt idx="0">
                  <c:v>2130.0277714690205</c:v>
                </c:pt>
                <c:pt idx="1">
                  <c:v>2639.9889021213221</c:v>
                </c:pt>
                <c:pt idx="2">
                  <c:v>2261.0894731978556</c:v>
                </c:pt>
                <c:pt idx="3">
                  <c:v>2384.5994934445766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2730151815203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Tasman!$C$160:$F$160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512192"/>
        <c:axId val="153534464"/>
      </c:lineChart>
      <c:catAx>
        <c:axId val="15351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3534464"/>
        <c:crosses val="autoZero"/>
        <c:auto val="1"/>
        <c:lblAlgn val="ctr"/>
        <c:lblOffset val="100"/>
        <c:noMultiLvlLbl val="0"/>
      </c:catAx>
      <c:valAx>
        <c:axId val="153534464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53512192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26327073267044"/>
          <c:y val="0.13550222222222241"/>
          <c:w val="0.7695508593816110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Tasman!$B$168</c:f>
              <c:strCache>
                <c:ptCount val="1"/>
                <c:pt idx="0">
                  <c:v>Tasman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Tasman!$C$160:$F$160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Tasman!$C$168:$F$168</c:f>
              <c:numCache>
                <c:formatCode>_(* #,##0.00_);_(* \(#,##0.00\);_(* "-"??_);_(@_)</c:formatCode>
                <c:ptCount val="4"/>
                <c:pt idx="0">
                  <c:v>11.872272534828934</c:v>
                </c:pt>
                <c:pt idx="1">
                  <c:v>15.283234618135431</c:v>
                </c:pt>
                <c:pt idx="2">
                  <c:v>13.079379078877077</c:v>
                </c:pt>
                <c:pt idx="3">
                  <c:v>13.799886496172014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Tasman!$B$169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631201735031025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Tasman!$C$160:$F$160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372160"/>
        <c:axId val="153373696"/>
      </c:lineChart>
      <c:catAx>
        <c:axId val="15337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3373696"/>
        <c:crosses val="autoZero"/>
        <c:auto val="1"/>
        <c:lblAlgn val="ctr"/>
        <c:lblOffset val="100"/>
        <c:noMultiLvlLbl val="0"/>
      </c:catAx>
      <c:valAx>
        <c:axId val="153373696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3372160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672"/>
          <c:h val="0.70204027777778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Alpine!$B$54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Alpine!$C$53:$F$53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Alpine!$C$54:$F$54</c:f>
              <c:numCache>
                <c:formatCode>0</c:formatCode>
                <c:ptCount val="4"/>
                <c:pt idx="0">
                  <c:v>914.22770950357835</c:v>
                </c:pt>
                <c:pt idx="1">
                  <c:v>1046.399341066648</c:v>
                </c:pt>
                <c:pt idx="2">
                  <c:v>1641.3438064185818</c:v>
                </c:pt>
                <c:pt idx="3">
                  <c:v>1847.954</c:v>
                </c:pt>
              </c:numCache>
            </c:numRef>
          </c:val>
        </c:ser>
        <c:ser>
          <c:idx val="1"/>
          <c:order val="1"/>
          <c:tx>
            <c:strRef>
              <c:f>Alpine!$B$55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Alpine!$C$53:$F$53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Alpine!$C$55:$F$55</c:f>
              <c:numCache>
                <c:formatCode>0</c:formatCode>
                <c:ptCount val="4"/>
                <c:pt idx="0">
                  <c:v>18921.710530067576</c:v>
                </c:pt>
                <c:pt idx="1">
                  <c:v>21884.071933557549</c:v>
                </c:pt>
                <c:pt idx="2">
                  <c:v>22778.102718870414</c:v>
                </c:pt>
                <c:pt idx="3">
                  <c:v>22952.894</c:v>
                </c:pt>
              </c:numCache>
            </c:numRef>
          </c:val>
        </c:ser>
        <c:ser>
          <c:idx val="2"/>
          <c:order val="2"/>
          <c:tx>
            <c:strRef>
              <c:f>Alpine!$B$56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Alpine!$C$53:$F$53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Alpine!$C$56:$F$56</c:f>
              <c:numCache>
                <c:formatCode>0</c:formatCode>
                <c:ptCount val="4"/>
                <c:pt idx="0">
                  <c:v>7050.7655898035409</c:v>
                </c:pt>
                <c:pt idx="1">
                  <c:v>4812.6064932390682</c:v>
                </c:pt>
                <c:pt idx="2">
                  <c:v>5520.0501199105374</c:v>
                </c:pt>
                <c:pt idx="3">
                  <c:v>4675.4040000000005</c:v>
                </c:pt>
              </c:numCache>
            </c:numRef>
          </c:val>
        </c:ser>
        <c:ser>
          <c:idx val="3"/>
          <c:order val="3"/>
          <c:tx>
            <c:strRef>
              <c:f>Alpine!$B$57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Alpine!$C$53:$F$53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Alpine!$C$57:$F$57</c:f>
              <c:numCache>
                <c:formatCode>0</c:formatCode>
                <c:ptCount val="4"/>
                <c:pt idx="0">
                  <c:v>4629.3558780759031</c:v>
                </c:pt>
                <c:pt idx="1">
                  <c:v>3532.6358706843289</c:v>
                </c:pt>
                <c:pt idx="2">
                  <c:v>3848.1412519199152</c:v>
                </c:pt>
                <c:pt idx="3">
                  <c:v>3701.3589999999999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343936"/>
        <c:axId val="114345472"/>
      </c:barChart>
      <c:catAx>
        <c:axId val="11434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345472"/>
        <c:crosses val="autoZero"/>
        <c:auto val="1"/>
        <c:lblAlgn val="ctr"/>
        <c:lblOffset val="100"/>
        <c:noMultiLvlLbl val="0"/>
      </c:catAx>
      <c:valAx>
        <c:axId val="11434547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4343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3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75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Aurora!$B$72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Aurora!$C$69:$F$69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Aurora!$C$72:$F$72</c:f>
              <c:numCache>
                <c:formatCode>0</c:formatCode>
                <c:ptCount val="4"/>
                <c:pt idx="0">
                  <c:v>15224.375668622297</c:v>
                </c:pt>
                <c:pt idx="1">
                  <c:v>16438.091280701799</c:v>
                </c:pt>
                <c:pt idx="2">
                  <c:v>14468.892421833596</c:v>
                </c:pt>
                <c:pt idx="3">
                  <c:v>15096.525073746312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907008"/>
        <c:axId val="117793536"/>
      </c:lineChart>
      <c:catAx>
        <c:axId val="11690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17793536"/>
        <c:crosses val="autoZero"/>
        <c:auto val="1"/>
        <c:lblAlgn val="ctr"/>
        <c:lblOffset val="100"/>
        <c:noMultiLvlLbl val="0"/>
      </c:catAx>
      <c:valAx>
        <c:axId val="117793536"/>
        <c:scaling>
          <c:orientation val="minMax"/>
          <c:max val="20000"/>
          <c:min val="1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16907008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769"/>
          <c:h val="0.7759916666666981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Tasman!$B$178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Tasman!$C$178:$D$178</c:f>
              <c:numCache>
                <c:formatCode>_-* #,##0_-;\-* #,##0_-;_-* "-"??_-;_-@_-</c:formatCode>
                <c:ptCount val="2"/>
                <c:pt idx="0">
                  <c:v>3430.3191627980918</c:v>
                </c:pt>
                <c:pt idx="1">
                  <c:v>3828.0215099999996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53418368"/>
        <c:axId val="153309568"/>
      </c:barChart>
      <c:lineChart>
        <c:grouping val="standard"/>
        <c:varyColors val="0"/>
        <c:ser>
          <c:idx val="1"/>
          <c:order val="0"/>
          <c:tx>
            <c:strRef>
              <c:f>Tasman!$B$179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Tasman!$C$177:$D$177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Tasman!$C$179:$D$179</c:f>
              <c:numCache>
                <c:formatCode>_-* #,##0_-;\-* #,##0_-;_-* "-"??_-;_-@_-</c:formatCode>
                <c:ptCount val="2"/>
                <c:pt idx="0">
                  <c:v>3580.5838724367436</c:v>
                </c:pt>
                <c:pt idx="1">
                  <c:v>3580.5838724367436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Tasman!$B$180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Tasman!$C$177:$D$177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Tasman!$C$180:$D$180</c:f>
              <c:numCache>
                <c:formatCode>_-* #,##0_-;\-* #,##0_-;_-* "-"??_-;_-@_-</c:formatCode>
                <c:ptCount val="2"/>
                <c:pt idx="1">
                  <c:v>3920.1259999999997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418368"/>
        <c:axId val="153309568"/>
      </c:lineChart>
      <c:catAx>
        <c:axId val="15341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3309568"/>
        <c:crosses val="autoZero"/>
        <c:auto val="1"/>
        <c:lblAlgn val="ctr"/>
        <c:lblOffset val="100"/>
        <c:noMultiLvlLbl val="0"/>
      </c:catAx>
      <c:valAx>
        <c:axId val="15330956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3418368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301"/>
          <c:y val="3.5277777777779414E-2"/>
          <c:w val="0.77172275936750612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Tasman!$V$177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14978120324493821"/>
                  <c:y val="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Tasman!$W$177:$AC$177</c:f>
              <c:numCache>
                <c:formatCode>General</c:formatCode>
                <c:ptCount val="7"/>
                <c:pt idx="0">
                  <c:v>3580.5838724367436</c:v>
                </c:pt>
                <c:pt idx="1">
                  <c:v>3580.5838724367436</c:v>
                </c:pt>
                <c:pt idx="2">
                  <c:v>3580.1946773193922</c:v>
                </c:pt>
                <c:pt idx="3">
                  <c:v>3427.7585645765403</c:v>
                </c:pt>
                <c:pt idx="4">
                  <c:v>3325.8750260030715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Tasman!$V$178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5897355020445"/>
                  <c:y val="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Tasman!$W$178:$AC$178</c:f>
              <c:numCache>
                <c:formatCode>General</c:formatCode>
                <c:ptCount val="7"/>
                <c:pt idx="1">
                  <c:v>3920.1259999999997</c:v>
                </c:pt>
                <c:pt idx="2">
                  <c:v>4085.2444999999998</c:v>
                </c:pt>
                <c:pt idx="3">
                  <c:v>3842.7437727272727</c:v>
                </c:pt>
                <c:pt idx="4">
                  <c:v>3842.7439999999997</c:v>
                </c:pt>
                <c:pt idx="5">
                  <c:v>3842.7439999999997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Tasman!$V$179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90331674135439E-5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Tasman!$W$179:$AC$179</c:f>
              <c:numCache>
                <c:formatCode>General</c:formatCode>
                <c:ptCount val="7"/>
                <c:pt idx="2">
                  <c:v>3917.9309558112473</c:v>
                </c:pt>
                <c:pt idx="3">
                  <c:v>3917.9309558112473</c:v>
                </c:pt>
                <c:pt idx="4">
                  <c:v>3896.0808329928896</c:v>
                </c:pt>
                <c:pt idx="5">
                  <c:v>3903.5597340917907</c:v>
                </c:pt>
                <c:pt idx="6">
                  <c:v>3911.0386351906918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Tasman!$V$176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9654572175421655E-2"/>
                  <c:y val="4.286624392628627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Tasman!$C$178:$I$178</c:f>
              <c:numCache>
                <c:formatCode>_-* #,##0_-;\-* #,##0_-;_-* "-"??_-;_-@_-</c:formatCode>
                <c:ptCount val="7"/>
                <c:pt idx="0">
                  <c:v>3430.3191627980918</c:v>
                </c:pt>
                <c:pt idx="1">
                  <c:v>3828.0215099999996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86080"/>
        <c:axId val="153912448"/>
      </c:lineChart>
      <c:catAx>
        <c:axId val="15388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3912448"/>
        <c:crosses val="autoZero"/>
        <c:auto val="1"/>
        <c:lblAlgn val="ctr"/>
        <c:lblOffset val="100"/>
        <c:noMultiLvlLbl val="0"/>
      </c:catAx>
      <c:valAx>
        <c:axId val="153912448"/>
        <c:scaling>
          <c:orientation val="minMax"/>
          <c:max val="5000"/>
          <c:min val="2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3886080"/>
        <c:crosses val="autoZero"/>
        <c:crossBetween val="midCat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6989"/>
          <c:h val="0.77578287037038995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Tasman!$B$222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Tasman!$C$222:$D$222</c:f>
              <c:numCache>
                <c:formatCode>_-* #,##0_-;\-* #,##0_-;_-* "-"??_-;_-@_-</c:formatCode>
                <c:ptCount val="2"/>
                <c:pt idx="0">
                  <c:v>3969.9276378701729</c:v>
                </c:pt>
                <c:pt idx="1">
                  <c:v>5825.2147999999997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53694592"/>
        <c:axId val="153696128"/>
      </c:barChart>
      <c:lineChart>
        <c:grouping val="standard"/>
        <c:varyColors val="0"/>
        <c:ser>
          <c:idx val="1"/>
          <c:order val="0"/>
          <c:tx>
            <c:strRef>
              <c:f>Tasman!$B$223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Tasman!$C$221:$D$221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Tasman!$C$223:$D$223</c:f>
              <c:numCache>
                <c:formatCode>_-* #,##0_-;\-* #,##0_-;_-* "-"??_-;_-@_-</c:formatCode>
                <c:ptCount val="2"/>
                <c:pt idx="0">
                  <c:v>7568.469604699414</c:v>
                </c:pt>
                <c:pt idx="1">
                  <c:v>7147.3502993721531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Tasman!$B$224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Tasman!$C$221:$D$221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Tasman!$C$224:$D$224</c:f>
              <c:numCache>
                <c:formatCode>_-* #,##0_-;\-* #,##0_-;_-* "-"??_-;_-@_-</c:formatCode>
                <c:ptCount val="2"/>
                <c:pt idx="1">
                  <c:v>8413.2659999999996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694592"/>
        <c:axId val="153696128"/>
      </c:lineChart>
      <c:catAx>
        <c:axId val="15369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3696128"/>
        <c:crosses val="autoZero"/>
        <c:auto val="1"/>
        <c:lblAlgn val="ctr"/>
        <c:lblOffset val="100"/>
        <c:noMultiLvlLbl val="0"/>
      </c:catAx>
      <c:valAx>
        <c:axId val="15369612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3694592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621E-3"/>
          <c:w val="0.90316284722220552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Tasman!$V$221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10135803504357395"/>
                  <c:y val="-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Tasman!$W$221:$AC$221</c:f>
              <c:numCache>
                <c:formatCode>General</c:formatCode>
                <c:ptCount val="7"/>
                <c:pt idx="0">
                  <c:v>7568.469604699414</c:v>
                </c:pt>
                <c:pt idx="1">
                  <c:v>7147.3502993721531</c:v>
                </c:pt>
                <c:pt idx="2">
                  <c:v>5246.0852846864809</c:v>
                </c:pt>
                <c:pt idx="3">
                  <c:v>3374.4846810918589</c:v>
                </c:pt>
                <c:pt idx="4">
                  <c:v>4215.0238743229766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Tasman!$V$222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8.3799714621623153E-2"/>
                  <c:y val="-3.527777777777876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Tasman!$W$222:$AC$222</c:f>
              <c:numCache>
                <c:formatCode>General</c:formatCode>
                <c:ptCount val="7"/>
                <c:pt idx="1">
                  <c:v>8413.2659999999996</c:v>
                </c:pt>
                <c:pt idx="2">
                  <c:v>7302.1</c:v>
                </c:pt>
                <c:pt idx="3">
                  <c:v>5997.1</c:v>
                </c:pt>
                <c:pt idx="4">
                  <c:v>5162.1000000000004</c:v>
                </c:pt>
                <c:pt idx="5">
                  <c:v>5787.1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Tasman!$V$223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5736867358204142E-2"/>
                  <c:y val="-7.05560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Tasman!$W$223:$AC$223</c:f>
              <c:numCache>
                <c:formatCode>General</c:formatCode>
                <c:ptCount val="7"/>
                <c:pt idx="2">
                  <c:v>7000.838009049774</c:v>
                </c:pt>
                <c:pt idx="3">
                  <c:v>6534.5065287653524</c:v>
                </c:pt>
                <c:pt idx="4">
                  <c:v>6853.2152553329024</c:v>
                </c:pt>
                <c:pt idx="5">
                  <c:v>4574.3500969618617</c:v>
                </c:pt>
                <c:pt idx="6">
                  <c:v>4854.9310924369747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Tasman!$V$220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8.8211577548738575E-3"/>
                  <c:y val="-4.97947376667835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Tasman!$W$220:$AC$220</c:f>
              <c:numCache>
                <c:formatCode>General</c:formatCode>
                <c:ptCount val="7"/>
                <c:pt idx="0">
                  <c:v>3969.9276378701729</c:v>
                </c:pt>
                <c:pt idx="1">
                  <c:v>5825.2147999999997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40800"/>
        <c:axId val="153742336"/>
      </c:lineChart>
      <c:catAx>
        <c:axId val="15374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3742336"/>
        <c:crosses val="autoZero"/>
        <c:auto val="1"/>
        <c:lblAlgn val="ctr"/>
        <c:lblOffset val="100"/>
        <c:noMultiLvlLbl val="0"/>
      </c:catAx>
      <c:valAx>
        <c:axId val="153742336"/>
        <c:scaling>
          <c:orientation val="minMax"/>
          <c:max val="9000"/>
          <c:min val="3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3740800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12"/>
          <c:y val="6.4675925925925928E-2"/>
          <c:w val="0.79206254113289842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Tasman!$B$237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8242483546071062"/>
                  <c:y val="5.364638952836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Tasman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Tasman!$C$236:$F$236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Tasman!$C$237:$F$237</c:f>
              <c:numCache>
                <c:formatCode>_(* #,##0.00_);_(* \(#,##0.00\);_(* "-"??_);_(@_)</c:formatCode>
                <c:ptCount val="4"/>
                <c:pt idx="0">
                  <c:v>1.53</c:v>
                </c:pt>
                <c:pt idx="1">
                  <c:v>1.6600000000000001</c:v>
                </c:pt>
                <c:pt idx="2">
                  <c:v>1.76</c:v>
                </c:pt>
                <c:pt idx="3">
                  <c:v>1.6400000000000001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Tasman!$B$238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0.55968132083760946"/>
                  <c:y val="4.115740740740746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Tasman!$C$238:$F$238</c:f>
              <c:numCache>
                <c:formatCode>_(* #,##0.00_);_(* \(#,##0.00\);_(* "-"??_);_(@_)</c:formatCode>
                <c:ptCount val="4"/>
                <c:pt idx="0">
                  <c:v>2.12</c:v>
                </c:pt>
                <c:pt idx="1">
                  <c:v>2.12</c:v>
                </c:pt>
                <c:pt idx="2">
                  <c:v>2.12</c:v>
                </c:pt>
                <c:pt idx="3">
                  <c:v>1.744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Tasman!$B$239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6743644910284659"/>
                  <c:y val="-0.1234726851851864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Tasman!$C$236:$F$236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01856"/>
        <c:axId val="153803392"/>
      </c:lineChart>
      <c:catAx>
        <c:axId val="1538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3803392"/>
        <c:crosses val="autoZero"/>
        <c:auto val="1"/>
        <c:lblAlgn val="ctr"/>
        <c:lblOffset val="100"/>
        <c:noMultiLvlLbl val="0"/>
      </c:catAx>
      <c:valAx>
        <c:axId val="153803392"/>
        <c:scaling>
          <c:orientation val="minMax"/>
          <c:max val="4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380185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14"/>
          <c:y val="6.4675925925925928E-2"/>
          <c:w val="0.79206254113289842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Tasman!$B$230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67246259085671156"/>
                  <c:y val="-9.813058203864258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Tasman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Tasman!$C$229:$F$229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Tasman!$C$230:$F$230</c:f>
              <c:numCache>
                <c:formatCode>_(* #,##0.00_);_(* \(#,##0.00\);_(* "-"??_);_(@_)</c:formatCode>
                <c:ptCount val="4"/>
                <c:pt idx="0">
                  <c:v>157.54</c:v>
                </c:pt>
                <c:pt idx="1">
                  <c:v>245.03</c:v>
                </c:pt>
                <c:pt idx="2">
                  <c:v>148.30000000000001</c:v>
                </c:pt>
                <c:pt idx="3">
                  <c:v>178.04000000000002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Tasman!$B$231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0.56409198492039103"/>
                  <c:y val="5.29166666666668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Tasman!$C$229:$F$229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Tasman!$C$231:$F$231</c:f>
              <c:numCache>
                <c:formatCode>_(* #,##0.00_);_(* \(#,##0.00\);_(* "-"??_);_(@_)</c:formatCode>
                <c:ptCount val="4"/>
                <c:pt idx="0">
                  <c:v>147.4</c:v>
                </c:pt>
                <c:pt idx="1">
                  <c:v>147.4</c:v>
                </c:pt>
                <c:pt idx="2">
                  <c:v>147.44999999999999</c:v>
                </c:pt>
                <c:pt idx="3">
                  <c:v>162.53479999999999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Tasman!$B$232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7184716128174469"/>
                  <c:y val="-0.12249930695336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Tasman!$C$229:$F$229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Tasman!$C$232:$F$232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62912"/>
        <c:axId val="153864448"/>
      </c:lineChart>
      <c:catAx>
        <c:axId val="15386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3864448"/>
        <c:crosses val="autoZero"/>
        <c:auto val="1"/>
        <c:lblAlgn val="ctr"/>
        <c:lblOffset val="100"/>
        <c:noMultiLvlLbl val="0"/>
      </c:catAx>
      <c:valAx>
        <c:axId val="153864448"/>
        <c:scaling>
          <c:orientation val="minMax"/>
          <c:max val="4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386291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Waitaki!$B$26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79562009298"/>
                  <c:y val="-0.353121344251834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Waitaki!$C$26:$F$26</c:f>
              <c:numCache>
                <c:formatCode>0</c:formatCode>
                <c:ptCount val="4"/>
                <c:pt idx="0">
                  <c:v>1704.4740668928744</c:v>
                </c:pt>
                <c:pt idx="1">
                  <c:v>1782.4084014002326</c:v>
                </c:pt>
                <c:pt idx="2">
                  <c:v>1803.9499339818378</c:v>
                </c:pt>
                <c:pt idx="3">
                  <c:v>1848.8</c:v>
                </c:pt>
              </c:numCache>
            </c:numRef>
          </c:val>
        </c:ser>
        <c:ser>
          <c:idx val="1"/>
          <c:order val="1"/>
          <c:tx>
            <c:strRef>
              <c:f>Waitaki!$B$27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1763016379747017"/>
                  <c:y val="-3.72868973361878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Waitaki!$C$27:$F$27</c:f>
              <c:numCache>
                <c:formatCode>0</c:formatCode>
                <c:ptCount val="4"/>
                <c:pt idx="0">
                  <c:v>574.41099483904077</c:v>
                </c:pt>
                <c:pt idx="1">
                  <c:v>593.79010227194715</c:v>
                </c:pt>
                <c:pt idx="2">
                  <c:v>630.86287084691855</c:v>
                </c:pt>
                <c:pt idx="3">
                  <c:v>696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454848"/>
        <c:axId val="151456384"/>
      </c:areaChart>
      <c:catAx>
        <c:axId val="15145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1456384"/>
        <c:crosses val="autoZero"/>
        <c:auto val="1"/>
        <c:lblAlgn val="ctr"/>
        <c:lblOffset val="100"/>
        <c:noMultiLvlLbl val="0"/>
      </c:catAx>
      <c:valAx>
        <c:axId val="151456384"/>
        <c:scaling>
          <c:orientation val="minMax"/>
          <c:max val="2500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1454848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5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Waitaki!$B$28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Waitaki!$C$25:$F$25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Waitaki!$C$28:$F$28</c:f>
              <c:numCache>
                <c:formatCode>0</c:formatCode>
                <c:ptCount val="4"/>
                <c:pt idx="0">
                  <c:v>428.65204870120607</c:v>
                </c:pt>
                <c:pt idx="1">
                  <c:v>448.45686045713489</c:v>
                </c:pt>
                <c:pt idx="2">
                  <c:v>479.26016544959703</c:v>
                </c:pt>
                <c:pt idx="3">
                  <c:v>492.8</c:v>
                </c:pt>
              </c:numCache>
            </c:numRef>
          </c:val>
        </c:ser>
        <c:ser>
          <c:idx val="1"/>
          <c:order val="1"/>
          <c:tx>
            <c:strRef>
              <c:f>Waitaki!$B$29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Waitaki!$C$25:$F$25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Waitaki!$C$29:$F$29</c:f>
              <c:numCache>
                <c:formatCode>0</c:formatCode>
                <c:ptCount val="4"/>
                <c:pt idx="0">
                  <c:v>145.75894613783467</c:v>
                </c:pt>
                <c:pt idx="1">
                  <c:v>145.33324181481223</c:v>
                </c:pt>
                <c:pt idx="2">
                  <c:v>151.60270539732153</c:v>
                </c:pt>
                <c:pt idx="3">
                  <c:v>203.2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498112"/>
        <c:axId val="151512192"/>
      </c:barChart>
      <c:catAx>
        <c:axId val="15149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1512192"/>
        <c:crosses val="autoZero"/>
        <c:auto val="1"/>
        <c:lblAlgn val="ctr"/>
        <c:lblOffset val="100"/>
        <c:noMultiLvlLbl val="0"/>
      </c:catAx>
      <c:valAx>
        <c:axId val="151512192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1498112"/>
        <c:crosses val="autoZero"/>
        <c:crossBetween val="between"/>
        <c:majorUnit val="100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334"/>
          <c:w val="0.8974562499999833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Waitaki!$B$40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Waitaki!$C$39:$F$39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Waitaki!$C$40:$F$40</c:f>
              <c:numCache>
                <c:formatCode>0</c:formatCode>
                <c:ptCount val="4"/>
                <c:pt idx="0">
                  <c:v>10840.754776881184</c:v>
                </c:pt>
                <c:pt idx="1">
                  <c:v>11451.221360422813</c:v>
                </c:pt>
                <c:pt idx="2">
                  <c:v>12656.991996982026</c:v>
                </c:pt>
                <c:pt idx="3">
                  <c:v>12501</c:v>
                </c:pt>
              </c:numCache>
            </c:numRef>
          </c:val>
        </c:ser>
        <c:ser>
          <c:idx val="1"/>
          <c:order val="1"/>
          <c:tx>
            <c:strRef>
              <c:f>Waitaki!$B$41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Waitaki!$C$39:$F$39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Waitaki!$C$41:$F$41</c:f>
              <c:numCache>
                <c:formatCode>0</c:formatCode>
                <c:ptCount val="4"/>
                <c:pt idx="0">
                  <c:v>2049.4656553847908</c:v>
                </c:pt>
                <c:pt idx="1">
                  <c:v>1809.3988605944123</c:v>
                </c:pt>
                <c:pt idx="2">
                  <c:v>1701.4550941769285</c:v>
                </c:pt>
                <c:pt idx="3">
                  <c:v>1485.1207999999999</c:v>
                </c:pt>
              </c:numCache>
            </c:numRef>
          </c:val>
        </c:ser>
        <c:ser>
          <c:idx val="3"/>
          <c:order val="2"/>
          <c:tx>
            <c:strRef>
              <c:f>Waitaki!$B$42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Waitaki!$C$39:$F$39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Waitaki!$C$42:$F$42</c:f>
              <c:numCache>
                <c:formatCode>0</c:formatCode>
                <c:ptCount val="4"/>
                <c:pt idx="0">
                  <c:v>11.859085854409626</c:v>
                </c:pt>
                <c:pt idx="1">
                  <c:v>7.2666620907406116</c:v>
                </c:pt>
                <c:pt idx="2">
                  <c:v>5.0941769286734386</c:v>
                </c:pt>
                <c:pt idx="3">
                  <c:v>2.1379999999999999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686528"/>
        <c:axId val="151700608"/>
      </c:barChart>
      <c:catAx>
        <c:axId val="1516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1700608"/>
        <c:crosses val="autoZero"/>
        <c:auto val="1"/>
        <c:lblAlgn val="ctr"/>
        <c:lblOffset val="100"/>
        <c:noMultiLvlLbl val="0"/>
      </c:catAx>
      <c:valAx>
        <c:axId val="15170060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1686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876"/>
          <c:h val="0.2117129629629682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674E-2"/>
          <c:y val="9.9262962962965245E-2"/>
          <c:w val="0.86941313257319874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Waitaki!$B$45</c:f>
              <c:strCache>
                <c:ptCount val="1"/>
                <c:pt idx="0">
                  <c:v>Waitaki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Waitaki!$B$46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5.2447552447552448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Waitaki!$C$45:$F$45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Waitaki!$C$46:$F$46</c:f>
              <c:numCache>
                <c:formatCode>0.0</c:formatCode>
                <c:ptCount val="4"/>
                <c:pt idx="0">
                  <c:v>100</c:v>
                </c:pt>
                <c:pt idx="1">
                  <c:v>105.6312184539355</c:v>
                </c:pt>
                <c:pt idx="2">
                  <c:v>116.75378935767573</c:v>
                </c:pt>
                <c:pt idx="3">
                  <c:v>115.31484898689368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Waitaki!$B$47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Waitaki!$C$45:$F$45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Waitaki!$C$47:$F$47</c:f>
              <c:numCache>
                <c:formatCode>0.0</c:formatCode>
                <c:ptCount val="4"/>
                <c:pt idx="0">
                  <c:v>100</c:v>
                </c:pt>
                <c:pt idx="1">
                  <c:v>88.28637141785596</c:v>
                </c:pt>
                <c:pt idx="2">
                  <c:v>83.019448982055636</c:v>
                </c:pt>
                <c:pt idx="3">
                  <c:v>72.463805192244891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Waitaki!$B$48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5.2447552447552448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Waitaki!$C$45:$F$45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Waitaki!$C$48:$F$48</c:f>
              <c:numCache>
                <c:formatCode>0.0</c:formatCode>
                <c:ptCount val="4"/>
                <c:pt idx="0">
                  <c:v>100</c:v>
                </c:pt>
                <c:pt idx="1">
                  <c:v>61.275060995014307</c:v>
                </c:pt>
                <c:pt idx="2">
                  <c:v>42.955898888102276</c:v>
                </c:pt>
                <c:pt idx="3">
                  <c:v>18.02837104181193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46016"/>
        <c:axId val="154647552"/>
      </c:lineChart>
      <c:catAx>
        <c:axId val="15464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4647552"/>
        <c:crossesAt val="0"/>
        <c:auto val="1"/>
        <c:lblAlgn val="ctr"/>
        <c:lblOffset val="100"/>
        <c:noMultiLvlLbl val="0"/>
      </c:catAx>
      <c:valAx>
        <c:axId val="154647552"/>
        <c:scaling>
          <c:orientation val="minMax"/>
          <c:max val="14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4646016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Aurora!$B$73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Aurora!$C$69:$F$69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Aurora!$C$73:$F$73</c:f>
              <c:numCache>
                <c:formatCode>0</c:formatCode>
                <c:ptCount val="4"/>
                <c:pt idx="0">
                  <c:v>269955.91799492459</c:v>
                </c:pt>
                <c:pt idx="1">
                  <c:v>303632.90784542519</c:v>
                </c:pt>
                <c:pt idx="2">
                  <c:v>278712.20058742689</c:v>
                </c:pt>
                <c:pt idx="3">
                  <c:v>262260.60000000003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18112"/>
        <c:axId val="117819648"/>
      </c:lineChart>
      <c:catAx>
        <c:axId val="11781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17819648"/>
        <c:crosses val="autoZero"/>
        <c:auto val="1"/>
        <c:lblAlgn val="ctr"/>
        <c:lblOffset val="100"/>
        <c:noMultiLvlLbl val="0"/>
      </c:catAx>
      <c:valAx>
        <c:axId val="117819648"/>
        <c:scaling>
          <c:orientation val="minMax"/>
          <c:max val="400000"/>
          <c:min val="2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17818112"/>
        <c:crosses val="autoZero"/>
        <c:crossBetween val="midCat"/>
        <c:majorUnit val="4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872"/>
          <c:h val="0.702040277777790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Waitaki!$B$54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Waitaki!$C$53:$F$53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Waitaki!$C$54:$F$54</c:f>
              <c:numCache>
                <c:formatCode>0</c:formatCode>
                <c:ptCount val="4"/>
                <c:pt idx="0">
                  <c:v>4313.4729548629921</c:v>
                </c:pt>
                <c:pt idx="1">
                  <c:v>3274.1503191708412</c:v>
                </c:pt>
                <c:pt idx="2">
                  <c:v>4832.3362345396235</c:v>
                </c:pt>
                <c:pt idx="3">
                  <c:v>4236</c:v>
                </c:pt>
              </c:numCache>
            </c:numRef>
          </c:val>
        </c:ser>
        <c:ser>
          <c:idx val="1"/>
          <c:order val="1"/>
          <c:tx>
            <c:strRef>
              <c:f>Waitaki!$B$55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Waitaki!$C$53:$F$53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Waitaki!$C$55:$F$55</c:f>
              <c:numCache>
                <c:formatCode>0</c:formatCode>
                <c:ptCount val="4"/>
                <c:pt idx="0">
                  <c:v>4182.7240536910831</c:v>
                </c:pt>
                <c:pt idx="1">
                  <c:v>5694.9868899718567</c:v>
                </c:pt>
                <c:pt idx="2">
                  <c:v>4927.0879254129495</c:v>
                </c:pt>
                <c:pt idx="3">
                  <c:v>5270</c:v>
                </c:pt>
              </c:numCache>
            </c:numRef>
          </c:val>
        </c:ser>
        <c:ser>
          <c:idx val="2"/>
          <c:order val="2"/>
          <c:tx>
            <c:strRef>
              <c:f>Waitaki!$B$56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Waitaki!$C$53:$F$53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Waitaki!$C$56:$F$56</c:f>
              <c:numCache>
                <c:formatCode>0</c:formatCode>
                <c:ptCount val="4"/>
                <c:pt idx="0">
                  <c:v>1137.0873164152717</c:v>
                </c:pt>
                <c:pt idx="1">
                  <c:v>1282.0468117235221</c:v>
                </c:pt>
                <c:pt idx="2">
                  <c:v>1612.8164156180105</c:v>
                </c:pt>
                <c:pt idx="3">
                  <c:v>1711</c:v>
                </c:pt>
              </c:numCache>
            </c:numRef>
          </c:val>
        </c:ser>
        <c:ser>
          <c:idx val="3"/>
          <c:order val="3"/>
          <c:tx>
            <c:strRef>
              <c:f>Waitaki!$B$57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Waitaki!$C$53:$F$53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Waitaki!$C$57:$F$57</c:f>
              <c:numCache>
                <c:formatCode>0</c:formatCode>
                <c:ptCount val="4"/>
                <c:pt idx="0">
                  <c:v>1207.4705597217073</c:v>
                </c:pt>
                <c:pt idx="1">
                  <c:v>1200.0373395565923</c:v>
                </c:pt>
                <c:pt idx="2">
                  <c:v>1284.7514214114412</c:v>
                </c:pt>
                <c:pt idx="3">
                  <c:v>1284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348544"/>
        <c:axId val="154370816"/>
      </c:barChart>
      <c:catAx>
        <c:axId val="1543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4370816"/>
        <c:crosses val="autoZero"/>
        <c:auto val="1"/>
        <c:lblAlgn val="ctr"/>
        <c:lblOffset val="100"/>
        <c:noMultiLvlLbl val="0"/>
      </c:catAx>
      <c:valAx>
        <c:axId val="15437081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4348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7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 orientation="portrait"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1422738982387166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Waitaki!$B$61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75652979340337E-6"/>
                  <c:y val="5.8796296296297788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Waitaki!$C$61:$F$61</c:f>
              <c:numCache>
                <c:formatCode>0.0</c:formatCode>
                <c:ptCount val="4"/>
                <c:pt idx="0">
                  <c:v>100</c:v>
                </c:pt>
                <c:pt idx="1">
                  <c:v>75.905201062628137</c:v>
                </c:pt>
                <c:pt idx="2">
                  <c:v>112.02889840984554</c:v>
                </c:pt>
                <c:pt idx="3">
                  <c:v>98.203930900374615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Waitaki!$B$62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37826489671371E-6"/>
                  <c:y val="-2.939814814814819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Waitaki!$C$62:$F$62</c:f>
              <c:numCache>
                <c:formatCode>0.0</c:formatCode>
                <c:ptCount val="4"/>
                <c:pt idx="0">
                  <c:v>100</c:v>
                </c:pt>
                <c:pt idx="1">
                  <c:v>136.15497500836241</c:v>
                </c:pt>
                <c:pt idx="2">
                  <c:v>117.79615059867494</c:v>
                </c:pt>
                <c:pt idx="3">
                  <c:v>125.99444602015856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Waitaki!$B$63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094566224176891E-6"/>
                  <c:y val="-2.351990740740741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Waitaki!$C$63:$F$63</c:f>
              <c:numCache>
                <c:formatCode>0.0</c:formatCode>
                <c:ptCount val="4"/>
                <c:pt idx="0">
                  <c:v>100</c:v>
                </c:pt>
                <c:pt idx="1">
                  <c:v>112.74831696876568</c:v>
                </c:pt>
                <c:pt idx="2">
                  <c:v>141.83751699055972</c:v>
                </c:pt>
                <c:pt idx="3">
                  <c:v>150.47217353492417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Waitaki!$B$64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39861111111110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Waitaki!$C$64:$F$64</c:f>
              <c:numCache>
                <c:formatCode>0.0</c:formatCode>
                <c:ptCount val="4"/>
                <c:pt idx="0">
                  <c:v>100</c:v>
                </c:pt>
                <c:pt idx="1">
                  <c:v>99.384397399566566</c:v>
                </c:pt>
                <c:pt idx="2">
                  <c:v>106.40022740658333</c:v>
                </c:pt>
                <c:pt idx="3">
                  <c:v>106.33799637284164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40064"/>
        <c:axId val="154441600"/>
      </c:lineChart>
      <c:catAx>
        <c:axId val="15444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4441600"/>
        <c:crosses val="autoZero"/>
        <c:auto val="1"/>
        <c:lblAlgn val="ctr"/>
        <c:lblOffset val="100"/>
        <c:noMultiLvlLbl val="0"/>
      </c:catAx>
      <c:valAx>
        <c:axId val="154441600"/>
        <c:scaling>
          <c:orientation val="minMax"/>
          <c:max val="152"/>
          <c:min val="7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444006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460351024323066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Waitaki!$B$84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354918846776998E-3"/>
                  <c:y val="-4.071179517832239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Waitaki!$C$84:$F$84</c:f>
              <c:numCache>
                <c:formatCode>0.00</c:formatCode>
                <c:ptCount val="4"/>
                <c:pt idx="0">
                  <c:v>5.9583293572160567</c:v>
                </c:pt>
                <c:pt idx="1">
                  <c:v>4.3626721368175119</c:v>
                </c:pt>
                <c:pt idx="2">
                  <c:v>6.2836771446362611</c:v>
                </c:pt>
                <c:pt idx="3">
                  <c:v>5.7837009708630216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Waitaki!$B$85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90609520707183E-3"/>
                  <c:y val="-4.06340904562661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Waitaki!$C$85:$F$85</c:f>
              <c:numCache>
                <c:formatCode>0.00</c:formatCode>
                <c:ptCount val="4"/>
                <c:pt idx="0">
                  <c:v>5.9274768705322511</c:v>
                </c:pt>
                <c:pt idx="1">
                  <c:v>7.9369410601565313</c:v>
                </c:pt>
                <c:pt idx="2">
                  <c:v>6.7364240650427938</c:v>
                </c:pt>
                <c:pt idx="3">
                  <c:v>7.5413345987129938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Waitaki!$B$86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13218553147734E-3"/>
                  <c:y val="2.842797369994023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Waitaki!$C$86:$F$86</c:f>
              <c:numCache>
                <c:formatCode>0.00</c:formatCode>
                <c:ptCount val="4"/>
                <c:pt idx="0">
                  <c:v>4.0303665558971815</c:v>
                </c:pt>
                <c:pt idx="1">
                  <c:v>4.3641851406403376</c:v>
                </c:pt>
                <c:pt idx="2">
                  <c:v>4.8732932939054558</c:v>
                </c:pt>
                <c:pt idx="3">
                  <c:v>5.7099084832821152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Waitaki!$B$87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99660429540984E-3"/>
                  <c:y val="-2.88742777445712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Waitaki!$C$87:$F$87</c:f>
              <c:numCache>
                <c:formatCode>0.00</c:formatCode>
                <c:ptCount val="4"/>
                <c:pt idx="0">
                  <c:v>2.0525439581860803</c:v>
                </c:pt>
                <c:pt idx="1">
                  <c:v>2.0851596120149423</c:v>
                </c:pt>
                <c:pt idx="2">
                  <c:v>2.2204099849837391</c:v>
                </c:pt>
                <c:pt idx="3">
                  <c:v>2.5752228821308853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489984"/>
        <c:axId val="154491520"/>
      </c:lineChart>
      <c:catAx>
        <c:axId val="15448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4491520"/>
        <c:crosses val="autoZero"/>
        <c:auto val="1"/>
        <c:lblAlgn val="ctr"/>
        <c:lblOffset val="100"/>
        <c:noMultiLvlLbl val="0"/>
      </c:catAx>
      <c:valAx>
        <c:axId val="15449152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44899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374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Waitaki!$B$90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-2.753536561068036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Waitaki!$C$90:$F$90</c:f>
              <c:numCache>
                <c:formatCode>0.0</c:formatCode>
                <c:ptCount val="4"/>
                <c:pt idx="0">
                  <c:v>100</c:v>
                </c:pt>
                <c:pt idx="1">
                  <c:v>73.219721087320139</c:v>
                </c:pt>
                <c:pt idx="2">
                  <c:v>105.46038609004016</c:v>
                </c:pt>
                <c:pt idx="3">
                  <c:v>97.069171979532399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Waitaki!$B$91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5036252654544E-3"/>
                  <c:y val="-3.48316397688782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Waitaki!$C$91:$F$91</c:f>
              <c:numCache>
                <c:formatCode>0.0</c:formatCode>
                <c:ptCount val="4"/>
                <c:pt idx="0">
                  <c:v>100</c:v>
                </c:pt>
                <c:pt idx="1">
                  <c:v>133.90083560872407</c:v>
                </c:pt>
                <c:pt idx="2">
                  <c:v>113.64741208071393</c:v>
                </c:pt>
                <c:pt idx="3">
                  <c:v>127.22672333322539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Waitaki!$B$92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199260519208582E-3"/>
                  <c:y val="-3.393255628611276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Waitaki!$C$92:$F$92</c:f>
              <c:numCache>
                <c:formatCode>0.0</c:formatCode>
                <c:ptCount val="4"/>
                <c:pt idx="0">
                  <c:v>100</c:v>
                </c:pt>
                <c:pt idx="1">
                  <c:v>108.28258621426671</c:v>
                </c:pt>
                <c:pt idx="2">
                  <c:v>120.91439392218344</c:v>
                </c:pt>
                <c:pt idx="3">
                  <c:v>141.67218797822369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Waitaki!$B$93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5.32855150428372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Waitaki!$C$93:$F$93</c:f>
              <c:numCache>
                <c:formatCode>0.0</c:formatCode>
                <c:ptCount val="4"/>
                <c:pt idx="0">
                  <c:v>100</c:v>
                </c:pt>
                <c:pt idx="1">
                  <c:v>101.58903558185841</c:v>
                </c:pt>
                <c:pt idx="2">
                  <c:v>108.178437598287</c:v>
                </c:pt>
                <c:pt idx="3">
                  <c:v>125.46493203520563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60384"/>
        <c:axId val="154561920"/>
      </c:lineChart>
      <c:catAx>
        <c:axId val="15456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4561920"/>
        <c:crosses val="autoZero"/>
        <c:auto val="1"/>
        <c:lblAlgn val="ctr"/>
        <c:lblOffset val="100"/>
        <c:noMultiLvlLbl val="0"/>
      </c:catAx>
      <c:valAx>
        <c:axId val="154561920"/>
        <c:scaling>
          <c:orientation val="minMax"/>
          <c:max val="150"/>
          <c:min val="7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456038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834364860253561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Waitaki!$B$120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6842987772189748E-6"/>
                  <c:y val="-8.2545431776475248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Waitaki!$C$120:$F$120</c:f>
              <c:numCache>
                <c:formatCode>0.0</c:formatCode>
                <c:ptCount val="4"/>
                <c:pt idx="0">
                  <c:v>100</c:v>
                </c:pt>
                <c:pt idx="1">
                  <c:v>103.66770036190846</c:v>
                </c:pt>
                <c:pt idx="2">
                  <c:v>106.22841671961764</c:v>
                </c:pt>
                <c:pt idx="3">
                  <c:v>101.16902091333537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Waitaki!$B$121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096566293505E-3"/>
                  <c:y val="3.36703288234701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Waitaki!$C$121:$F$121</c:f>
              <c:numCache>
                <c:formatCode>0.0</c:formatCode>
                <c:ptCount val="4"/>
                <c:pt idx="0">
                  <c:v>100</c:v>
                </c:pt>
                <c:pt idx="1">
                  <c:v>101.68343938212993</c:v>
                </c:pt>
                <c:pt idx="2">
                  <c:v>103.65053496776022</c:v>
                </c:pt>
                <c:pt idx="3">
                  <c:v>99.03143201303763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Waitaki!$B$122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017546479607951E-5"/>
                  <c:y val="-5.8796296296297823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Waitaki!$C$122:$F$122</c:f>
              <c:numCache>
                <c:formatCode>0.0</c:formatCode>
                <c:ptCount val="4"/>
                <c:pt idx="0">
                  <c:v>100</c:v>
                </c:pt>
                <c:pt idx="1">
                  <c:v>104.12414489774218</c:v>
                </c:pt>
                <c:pt idx="2">
                  <c:v>117.30407967958034</c:v>
                </c:pt>
                <c:pt idx="3">
                  <c:v>106.21151242335094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Waitaki!$B$123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243122740617068E-6"/>
                  <c:y val="2.35180555555555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800"/>
                      <a:t>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Waitaki!$C$123:$F$123</c:f>
              <c:numCache>
                <c:formatCode>0.0</c:formatCode>
                <c:ptCount val="4"/>
                <c:pt idx="0">
                  <c:v>100</c:v>
                </c:pt>
                <c:pt idx="1">
                  <c:v>97.82984633167878</c:v>
                </c:pt>
                <c:pt idx="2">
                  <c:v>98.356224926905554</c:v>
                </c:pt>
                <c:pt idx="3">
                  <c:v>84.755154008295378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765952"/>
        <c:axId val="154788224"/>
      </c:lineChart>
      <c:catAx>
        <c:axId val="15476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4788224"/>
        <c:crosses val="autoZero"/>
        <c:auto val="1"/>
        <c:lblAlgn val="ctr"/>
        <c:lblOffset val="100"/>
        <c:noMultiLvlLbl val="0"/>
      </c:catAx>
      <c:valAx>
        <c:axId val="154788224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4765952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932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Waitaki!$B$113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Waitaki!$C$112:$F$112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Waitaki!$C$113:$F$113</c:f>
              <c:numCache>
                <c:formatCode>General</c:formatCode>
                <c:ptCount val="4"/>
                <c:pt idx="0">
                  <c:v>72394</c:v>
                </c:pt>
                <c:pt idx="1">
                  <c:v>75049.195000000007</c:v>
                </c:pt>
                <c:pt idx="2">
                  <c:v>76903</c:v>
                </c:pt>
                <c:pt idx="3">
                  <c:v>73240.301000000007</c:v>
                </c:pt>
              </c:numCache>
            </c:numRef>
          </c:val>
        </c:ser>
        <c:ser>
          <c:idx val="1"/>
          <c:order val="1"/>
          <c:tx>
            <c:strRef>
              <c:f>Waitaki!$B$114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Waitaki!$C$112:$F$112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Waitaki!$C$114:$F$114</c:f>
              <c:numCache>
                <c:formatCode>General</c:formatCode>
                <c:ptCount val="4"/>
                <c:pt idx="0">
                  <c:v>70565</c:v>
                </c:pt>
                <c:pt idx="1">
                  <c:v>71752.918999999994</c:v>
                </c:pt>
                <c:pt idx="2">
                  <c:v>73141</c:v>
                </c:pt>
                <c:pt idx="3">
                  <c:v>69881.53</c:v>
                </c:pt>
              </c:numCache>
            </c:numRef>
          </c:val>
        </c:ser>
        <c:ser>
          <c:idx val="2"/>
          <c:order val="2"/>
          <c:tx>
            <c:strRef>
              <c:f>Waitaki!$B$115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Waitaki!$C$112:$F$112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Waitaki!$C$115:$F$115</c:f>
              <c:numCache>
                <c:formatCode>General</c:formatCode>
                <c:ptCount val="4"/>
                <c:pt idx="0">
                  <c:v>28213</c:v>
                </c:pt>
                <c:pt idx="1">
                  <c:v>29376.544999999998</c:v>
                </c:pt>
                <c:pt idx="2">
                  <c:v>33095</c:v>
                </c:pt>
                <c:pt idx="3">
                  <c:v>29965.454000000002</c:v>
                </c:pt>
              </c:numCache>
            </c:numRef>
          </c:val>
        </c:ser>
        <c:ser>
          <c:idx val="3"/>
          <c:order val="3"/>
          <c:tx>
            <c:strRef>
              <c:f>Waitaki!$B$116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Waitaki!$C$112:$F$112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Waitaki!$C$116:$F$116</c:f>
              <c:numCache>
                <c:formatCode>General</c:formatCode>
                <c:ptCount val="4"/>
                <c:pt idx="0">
                  <c:v>58828</c:v>
                </c:pt>
                <c:pt idx="1">
                  <c:v>57551.341999999997</c:v>
                </c:pt>
                <c:pt idx="2">
                  <c:v>57861</c:v>
                </c:pt>
                <c:pt idx="3">
                  <c:v>49859.762000000002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885504"/>
        <c:axId val="154911872"/>
      </c:barChart>
      <c:catAx>
        <c:axId val="15488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4911872"/>
        <c:crosses val="autoZero"/>
        <c:auto val="1"/>
        <c:lblAlgn val="ctr"/>
        <c:lblOffset val="100"/>
        <c:noMultiLvlLbl val="0"/>
      </c:catAx>
      <c:valAx>
        <c:axId val="15491187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48855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Waitaki!$U$138:$U$144</c:f>
              <c:strCache>
                <c:ptCount val="7"/>
                <c:pt idx="0">
                  <c:v>System management and operations</c:v>
                </c:pt>
                <c:pt idx="1">
                  <c:v>Refurbishment and renewal maintenance</c:v>
                </c:pt>
                <c:pt idx="2">
                  <c:v>Routine and preventative maintenance</c:v>
                </c:pt>
                <c:pt idx="3">
                  <c:v>General management, admin and overheads</c:v>
                </c:pt>
                <c:pt idx="4">
                  <c:v>Fault and emergency maintenance</c:v>
                </c:pt>
                <c:pt idx="5">
                  <c:v>Pass-through costs</c:v>
                </c:pt>
                <c:pt idx="6">
                  <c:v>Other</c:v>
                </c:pt>
              </c:strCache>
            </c:strRef>
          </c:cat>
          <c:val>
            <c:numRef>
              <c:f>Waitaki!$V$138:$V$144</c:f>
              <c:numCache>
                <c:formatCode>General</c:formatCode>
                <c:ptCount val="7"/>
                <c:pt idx="0">
                  <c:v>1096</c:v>
                </c:pt>
                <c:pt idx="1">
                  <c:v>577</c:v>
                </c:pt>
                <c:pt idx="2">
                  <c:v>543</c:v>
                </c:pt>
                <c:pt idx="3">
                  <c:v>420</c:v>
                </c:pt>
                <c:pt idx="4">
                  <c:v>228</c:v>
                </c:pt>
                <c:pt idx="5">
                  <c:v>125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55202688"/>
        <c:axId val="155204224"/>
      </c:barChart>
      <c:catAx>
        <c:axId val="155202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5204224"/>
        <c:crosses val="autoZero"/>
        <c:auto val="1"/>
        <c:lblAlgn val="ctr"/>
        <c:lblOffset val="100"/>
        <c:noMultiLvlLbl val="0"/>
      </c:catAx>
      <c:valAx>
        <c:axId val="155204224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5202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Waitaki!$U$186:$U$191</c:f>
              <c:strCache>
                <c:ptCount val="6"/>
                <c:pt idx="0">
                  <c:v>System growth</c:v>
                </c:pt>
                <c:pt idx="1">
                  <c:v>Asset replacement and renewal</c:v>
                </c:pt>
                <c:pt idx="2">
                  <c:v>Reliability, safety and environment</c:v>
                </c:pt>
                <c:pt idx="3">
                  <c:v>Customer connection</c:v>
                </c:pt>
                <c:pt idx="4">
                  <c:v>Non-network capex</c:v>
                </c:pt>
                <c:pt idx="5">
                  <c:v>Asset relocations</c:v>
                </c:pt>
              </c:strCache>
            </c:strRef>
          </c:cat>
          <c:val>
            <c:numRef>
              <c:f>Waitaki!$V$186:$V$191</c:f>
              <c:numCache>
                <c:formatCode>General</c:formatCode>
                <c:ptCount val="6"/>
                <c:pt idx="0">
                  <c:v>3.5091836999999999</c:v>
                </c:pt>
                <c:pt idx="1">
                  <c:v>0.78926205000000005</c:v>
                </c:pt>
                <c:pt idx="2">
                  <c:v>0.32651672000000004</c:v>
                </c:pt>
                <c:pt idx="3">
                  <c:v>0.12423621</c:v>
                </c:pt>
                <c:pt idx="4">
                  <c:v>3.9E-2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55228416"/>
        <c:axId val="155238400"/>
      </c:barChart>
      <c:catAx>
        <c:axId val="155228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5238400"/>
        <c:crosses val="autoZero"/>
        <c:auto val="1"/>
        <c:lblAlgn val="ctr"/>
        <c:lblOffset val="100"/>
        <c:noMultiLvlLbl val="0"/>
      </c:catAx>
      <c:valAx>
        <c:axId val="155238400"/>
        <c:scaling>
          <c:orientation val="minMax"/>
          <c:max val="3.6"/>
          <c:min val="0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5228416"/>
        <c:crosses val="autoZero"/>
        <c:crossBetween val="between"/>
        <c:majorUnit val="0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68744841764"/>
          <c:h val="0.82404629629630954"/>
        </c:manualLayout>
      </c:layout>
      <c:lineChart>
        <c:grouping val="standard"/>
        <c:varyColors val="0"/>
        <c:ser>
          <c:idx val="0"/>
          <c:order val="0"/>
          <c:tx>
            <c:strRef>
              <c:f>Waitaki!$B$76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1.175972222222222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Waitaki!$C$76:$F$76</c:f>
              <c:numCache>
                <c:formatCode>0.0</c:formatCode>
                <c:ptCount val="4"/>
                <c:pt idx="0">
                  <c:v>100</c:v>
                </c:pt>
                <c:pt idx="1">
                  <c:v>76.776194688870618</c:v>
                </c:pt>
                <c:pt idx="2">
                  <c:v>110.48126696960831</c:v>
                </c:pt>
                <c:pt idx="3">
                  <c:v>94.718672458334666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Waitaki!$B$77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351898148148147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Waitaki!$C$77:$F$77</c:f>
              <c:numCache>
                <c:formatCode>0.0</c:formatCode>
                <c:ptCount val="4"/>
                <c:pt idx="0">
                  <c:v>100</c:v>
                </c:pt>
                <c:pt idx="1">
                  <c:v>111.24017958154479</c:v>
                </c:pt>
                <c:pt idx="2">
                  <c:v>109.36455570211356</c:v>
                </c:pt>
                <c:pt idx="3">
                  <c:v>128.52590733514455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Waitaki!$B$78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244351851851935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Waitaki!$C$78:$F$78</c:f>
              <c:numCache>
                <c:formatCode>0.0</c:formatCode>
                <c:ptCount val="4"/>
                <c:pt idx="0">
                  <c:v>100</c:v>
                </c:pt>
                <c:pt idx="1">
                  <c:v>106.48452158161203</c:v>
                </c:pt>
                <c:pt idx="2">
                  <c:v>122.60531129692451</c:v>
                </c:pt>
                <c:pt idx="3">
                  <c:v>125.80460410296941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Waitaki!$B$79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Waitaki!$C$79:$F$79</c:f>
              <c:numCache>
                <c:formatCode>0.0</c:formatCode>
                <c:ptCount val="4"/>
                <c:pt idx="0">
                  <c:v>100</c:v>
                </c:pt>
                <c:pt idx="1">
                  <c:v>99.384397399566566</c:v>
                </c:pt>
                <c:pt idx="2">
                  <c:v>106.40022740658333</c:v>
                </c:pt>
                <c:pt idx="3">
                  <c:v>106.33799637284167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54752"/>
        <c:axId val="154977024"/>
      </c:lineChart>
      <c:catAx>
        <c:axId val="1549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4977024"/>
        <c:crosses val="autoZero"/>
        <c:auto val="1"/>
        <c:lblAlgn val="ctr"/>
        <c:lblOffset val="100"/>
        <c:noMultiLvlLbl val="0"/>
      </c:catAx>
      <c:valAx>
        <c:axId val="154977024"/>
        <c:scaling>
          <c:orientation val="minMax"/>
          <c:max val="130"/>
          <c:min val="7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495475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30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451"/>
          <c:y val="0.16445370370370369"/>
          <c:w val="0.70330041907982244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Waitaki!$B$70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Waitaki!$C$69:$F$69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Waitaki!$C$70:$F$70</c:f>
              <c:numCache>
                <c:formatCode>0</c:formatCode>
                <c:ptCount val="4"/>
                <c:pt idx="0">
                  <c:v>425.51770295580474</c:v>
                </c:pt>
                <c:pt idx="1">
                  <c:v>326.69630005695882</c:v>
                </c:pt>
                <c:pt idx="2">
                  <c:v>470.11734940554754</c:v>
                </c:pt>
                <c:pt idx="3">
                  <c:v>403.04471931493811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62656"/>
        <c:axId val="155064192"/>
      </c:lineChart>
      <c:catAx>
        <c:axId val="15506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5064192"/>
        <c:crosses val="autoZero"/>
        <c:auto val="1"/>
        <c:lblAlgn val="ctr"/>
        <c:lblOffset val="100"/>
        <c:noMultiLvlLbl val="0"/>
      </c:catAx>
      <c:valAx>
        <c:axId val="155064192"/>
        <c:scaling>
          <c:orientation val="minMax"/>
          <c:max val="600"/>
          <c:min val="3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55062656"/>
        <c:crosses val="autoZero"/>
        <c:crossBetween val="midCat"/>
        <c:majorUnit val="6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9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Aurora!$B$105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11059849042779E-4"/>
                  <c:y val="-4.331688296919917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Aurora!$C$105:$F$105</c:f>
              <c:numCache>
                <c:formatCode>0.0</c:formatCode>
                <c:ptCount val="4"/>
                <c:pt idx="0">
                  <c:v>100</c:v>
                </c:pt>
                <c:pt idx="1">
                  <c:v>100.97643869610368</c:v>
                </c:pt>
                <c:pt idx="2">
                  <c:v>101.99064021470863</c:v>
                </c:pt>
                <c:pt idx="3">
                  <c:v>99.337801933995991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Aurora!$B$106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766672768193305"/>
                  <c:y val="-9.62327027842265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Aurora!$C$106:$F$106</c:f>
              <c:numCache>
                <c:formatCode>0.0</c:formatCode>
                <c:ptCount val="4"/>
                <c:pt idx="0">
                  <c:v>100</c:v>
                </c:pt>
                <c:pt idx="1">
                  <c:v>102.6611856339247</c:v>
                </c:pt>
                <c:pt idx="2">
                  <c:v>105.19255733448722</c:v>
                </c:pt>
                <c:pt idx="3">
                  <c:v>108.39463435742103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Aurora!$B$107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749478250138304E-5"/>
                  <c:y val="3.131688682400038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Aurora!$C$107:$F$107</c:f>
              <c:numCache>
                <c:formatCode>0.0</c:formatCode>
                <c:ptCount val="4"/>
                <c:pt idx="0">
                  <c:v>100</c:v>
                </c:pt>
                <c:pt idx="1">
                  <c:v>102.70009643201543</c:v>
                </c:pt>
                <c:pt idx="2">
                  <c:v>104.43587270973964</c:v>
                </c:pt>
                <c:pt idx="3">
                  <c:v>98.071359691417541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75456"/>
        <c:axId val="117876992"/>
      </c:lineChart>
      <c:catAx>
        <c:axId val="1178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7876992"/>
        <c:crosses val="autoZero"/>
        <c:auto val="1"/>
        <c:lblAlgn val="ctr"/>
        <c:lblOffset val="100"/>
        <c:noMultiLvlLbl val="0"/>
      </c:catAx>
      <c:valAx>
        <c:axId val="117876992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7875456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9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98"/>
          <c:y val="0.17621296296296773"/>
          <c:w val="0.73692152777777775"/>
          <c:h val="0.57282407407409786"/>
        </c:manualLayout>
      </c:layout>
      <c:lineChart>
        <c:grouping val="standard"/>
        <c:varyColors val="0"/>
        <c:ser>
          <c:idx val="1"/>
          <c:order val="0"/>
          <c:tx>
            <c:strRef>
              <c:f>Waitaki!$B$71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Waitaki!$C$69:$F$69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Waitaki!$C$71:$F$71</c:f>
              <c:numCache>
                <c:formatCode>0</c:formatCode>
                <c:ptCount val="4"/>
                <c:pt idx="0">
                  <c:v>2353.8120729831644</c:v>
                </c:pt>
                <c:pt idx="1">
                  <c:v>2618.3847769985546</c:v>
                </c:pt>
                <c:pt idx="2">
                  <c:v>2574.2361156807469</c:v>
                </c:pt>
                <c:pt idx="3">
                  <c:v>3025.2583237657868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01440"/>
        <c:axId val="155107328"/>
      </c:lineChart>
      <c:catAx>
        <c:axId val="1551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5107328"/>
        <c:crosses val="autoZero"/>
        <c:auto val="1"/>
        <c:lblAlgn val="ctr"/>
        <c:lblOffset val="100"/>
        <c:noMultiLvlLbl val="0"/>
      </c:catAx>
      <c:valAx>
        <c:axId val="155107328"/>
        <c:scaling>
          <c:orientation val="minMax"/>
          <c:max val="4000"/>
          <c:min val="2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55101440"/>
        <c:crosses val="autoZero"/>
        <c:crossBetween val="midCat"/>
        <c:majorUnit val="4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93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Waitaki!$B$72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Waitaki!$C$69:$F$69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Waitaki!$C$72:$F$72</c:f>
              <c:numCache>
                <c:formatCode>0</c:formatCode>
                <c:ptCount val="4"/>
                <c:pt idx="0">
                  <c:v>22295.829733632778</c:v>
                </c:pt>
                <c:pt idx="1">
                  <c:v>23741.60762450967</c:v>
                </c:pt>
                <c:pt idx="2">
                  <c:v>27335.871451152721</c:v>
                </c:pt>
                <c:pt idx="3">
                  <c:v>28049.180327868853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44192"/>
        <c:axId val="155145728"/>
      </c:lineChart>
      <c:catAx>
        <c:axId val="15514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5145728"/>
        <c:crosses val="autoZero"/>
        <c:auto val="1"/>
        <c:lblAlgn val="ctr"/>
        <c:lblOffset val="100"/>
        <c:noMultiLvlLbl val="0"/>
      </c:catAx>
      <c:valAx>
        <c:axId val="155145728"/>
        <c:scaling>
          <c:orientation val="minMax"/>
          <c:max val="40000"/>
          <c:min val="2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55144192"/>
        <c:crosses val="autoZero"/>
        <c:crossBetween val="midCat"/>
        <c:maj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Waitaki!$B$73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Waitaki!$C$69:$F$69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Waitaki!$C$73:$F$73</c:f>
              <c:numCache>
                <c:formatCode>0</c:formatCode>
                <c:ptCount val="4"/>
                <c:pt idx="0">
                  <c:v>241494.11194434145</c:v>
                </c:pt>
                <c:pt idx="1">
                  <c:v>240007.46791131847</c:v>
                </c:pt>
                <c:pt idx="2">
                  <c:v>256950.28428228822</c:v>
                </c:pt>
                <c:pt idx="3">
                  <c:v>256800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66208"/>
        <c:axId val="155167744"/>
      </c:lineChart>
      <c:catAx>
        <c:axId val="15516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5167744"/>
        <c:crosses val="autoZero"/>
        <c:auto val="1"/>
        <c:lblAlgn val="ctr"/>
        <c:lblOffset val="100"/>
        <c:noMultiLvlLbl val="0"/>
      </c:catAx>
      <c:valAx>
        <c:axId val="155167744"/>
        <c:scaling>
          <c:orientation val="minMax"/>
          <c:max val="400000"/>
          <c:min val="2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55166208"/>
        <c:crosses val="autoZero"/>
        <c:crossBetween val="midCat"/>
        <c:majorUnit val="4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63"/>
          <c:y val="6.4675925925925928E-2"/>
          <c:w val="0.82249007638262572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Waitaki!$B$105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3132147598691612E-3"/>
                  <c:y val="-1.763935185185185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Waitaki!$C$105:$F$105</c:f>
              <c:numCache>
                <c:formatCode>0.0</c:formatCode>
                <c:ptCount val="4"/>
                <c:pt idx="0">
                  <c:v>100</c:v>
                </c:pt>
                <c:pt idx="1">
                  <c:v>98.865542073591797</c:v>
                </c:pt>
                <c:pt idx="2">
                  <c:v>101.40080891782578</c:v>
                </c:pt>
                <c:pt idx="3">
                  <c:v>103.67958962217618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Waitaki!$B$106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7360856519464238"/>
                  <c:y val="0.22342500000000001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Waitaki!$C$106:$F$106</c:f>
              <c:numCache>
                <c:formatCode>0.0</c:formatCode>
                <c:ptCount val="4"/>
                <c:pt idx="0">
                  <c:v>100</c:v>
                </c:pt>
                <c:pt idx="1">
                  <c:v>122.39729881823298</c:v>
                </c:pt>
                <c:pt idx="2">
                  <c:v>107.70962296004502</c:v>
                </c:pt>
                <c:pt idx="3">
                  <c:v>98.030388294879018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Waitaki!$B$107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6287537684507684E-3"/>
                  <c:y val="-2.939814814814803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Waitaki!$C$107:$F$107</c:f>
              <c:numCache>
                <c:formatCode>0.0</c:formatCode>
                <c:ptCount val="4"/>
                <c:pt idx="0">
                  <c:v>100</c:v>
                </c:pt>
                <c:pt idx="1">
                  <c:v>105.88235294117648</c:v>
                </c:pt>
                <c:pt idx="2">
                  <c:v>115.68627450980394</c:v>
                </c:pt>
                <c:pt idx="3">
                  <c:v>119.6078431372549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293184"/>
        <c:axId val="155294720"/>
      </c:lineChart>
      <c:catAx>
        <c:axId val="15529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5294720"/>
        <c:crosses val="autoZero"/>
        <c:auto val="1"/>
        <c:lblAlgn val="ctr"/>
        <c:lblOffset val="100"/>
        <c:noMultiLvlLbl val="0"/>
      </c:catAx>
      <c:valAx>
        <c:axId val="155294720"/>
        <c:scaling>
          <c:orientation val="minMax"/>
          <c:max val="13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529318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2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Waitaki!$B$98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Waitaki!$C$97:$F$97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Waitaki!$C$98:$F$98</c:f>
              <c:numCache>
                <c:formatCode>General</c:formatCode>
                <c:ptCount val="4"/>
                <c:pt idx="0">
                  <c:v>10137</c:v>
                </c:pt>
                <c:pt idx="1">
                  <c:v>10022</c:v>
                </c:pt>
                <c:pt idx="2">
                  <c:v>10279</c:v>
                </c:pt>
                <c:pt idx="3">
                  <c:v>10510</c:v>
                </c:pt>
              </c:numCache>
            </c:numRef>
          </c:val>
        </c:ser>
        <c:ser>
          <c:idx val="1"/>
          <c:order val="1"/>
          <c:tx>
            <c:strRef>
              <c:f>Waitaki!$B$99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Waitaki!$C$97:$F$97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Waitaki!$C$99:$F$99</c:f>
              <c:numCache>
                <c:formatCode>General</c:formatCode>
                <c:ptCount val="4"/>
                <c:pt idx="0">
                  <c:v>1777</c:v>
                </c:pt>
                <c:pt idx="1">
                  <c:v>2175</c:v>
                </c:pt>
                <c:pt idx="2">
                  <c:v>1914</c:v>
                </c:pt>
                <c:pt idx="3">
                  <c:v>1742</c:v>
                </c:pt>
              </c:numCache>
            </c:numRef>
          </c:val>
        </c:ser>
        <c:ser>
          <c:idx val="2"/>
          <c:order val="2"/>
          <c:tx>
            <c:strRef>
              <c:f>Waitaki!$B$100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Waitaki!$C$97:$F$97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Waitaki!$C$100:$F$100</c:f>
              <c:numCache>
                <c:formatCode>General</c:formatCode>
                <c:ptCount val="4"/>
                <c:pt idx="0">
                  <c:v>51</c:v>
                </c:pt>
                <c:pt idx="1">
                  <c:v>54</c:v>
                </c:pt>
                <c:pt idx="2">
                  <c:v>59</c:v>
                </c:pt>
                <c:pt idx="3">
                  <c:v>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5354240"/>
        <c:axId val="155355776"/>
      </c:barChart>
      <c:catAx>
        <c:axId val="15535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5355776"/>
        <c:crosses val="autoZero"/>
        <c:auto val="1"/>
        <c:lblAlgn val="ctr"/>
        <c:lblOffset val="100"/>
        <c:noMultiLvlLbl val="0"/>
      </c:catAx>
      <c:valAx>
        <c:axId val="15535577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5354240"/>
        <c:crosses val="autoZero"/>
        <c:crossBetween val="between"/>
        <c:majorUnit val="2000"/>
      </c:valAx>
    </c:plotArea>
    <c:legend>
      <c:legendPos val="t"/>
      <c:layout>
        <c:manualLayout>
          <c:xMode val="edge"/>
          <c:yMode val="edge"/>
          <c:x val="0"/>
          <c:y val="3.5277777777779414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Waitaki!$B$209</c:f>
              <c:strCache>
                <c:ptCount val="1"/>
                <c:pt idx="0">
                  <c:v>Waitaki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Waitaki!$C$204:$F$204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Waitaki!$C$209:$F$209</c:f>
              <c:numCache>
                <c:formatCode>_(* #,##0.00_);_(* \(#,##0.00\);_(* "-"??_);_(@_)</c:formatCode>
                <c:ptCount val="4"/>
                <c:pt idx="0">
                  <c:v>21182.296037975138</c:v>
                </c:pt>
                <c:pt idx="1">
                  <c:v>16051.314815982645</c:v>
                </c:pt>
                <c:pt idx="2">
                  <c:v>24857.892398838023</c:v>
                </c:pt>
                <c:pt idx="3">
                  <c:v>21476.84288457967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Waitaki!$B$210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6.7246510251394104E-3"/>
                  <c:y val="4.95988850572340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Waitaki!$C$204:$F$204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722112"/>
        <c:axId val="155723648"/>
      </c:lineChart>
      <c:catAx>
        <c:axId val="1557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5723648"/>
        <c:crosses val="autoZero"/>
        <c:auto val="1"/>
        <c:lblAlgn val="ctr"/>
        <c:lblOffset val="100"/>
        <c:noMultiLvlLbl val="0"/>
      </c:catAx>
      <c:valAx>
        <c:axId val="155723648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5722112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1"/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30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Waitaki!$C$204:$F$204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Waitaki!$C$212:$F$212</c:f>
              <c:numCache>
                <c:formatCode>_(* #,##0.00_);_(* \(#,##0.00\);_(* "-"??_);_(@_)</c:formatCode>
                <c:ptCount val="4"/>
                <c:pt idx="0">
                  <c:v>7.419179174129284E-2</c:v>
                </c:pt>
                <c:pt idx="1">
                  <c:v>5.7026959281977874E-2</c:v>
                </c:pt>
                <c:pt idx="2">
                  <c:v>8.7230505765884495E-2</c:v>
                </c:pt>
                <c:pt idx="3">
                  <c:v>6.4218917389090552E-2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11084271782853006"/>
                  <c:y val="4.2512214213624694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Waitaki!$C$204:$F$204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55872"/>
        <c:axId val="155457408"/>
      </c:lineChart>
      <c:catAx>
        <c:axId val="15545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5457408"/>
        <c:crosses val="autoZero"/>
        <c:auto val="1"/>
        <c:lblAlgn val="ctr"/>
        <c:lblOffset val="100"/>
        <c:noMultiLvlLbl val="0"/>
      </c:catAx>
      <c:valAx>
        <c:axId val="155457408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5455872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1"/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24"/>
          <c:w val="0.79809047321242665"/>
          <c:h val="0.72979551178440338"/>
        </c:manualLayout>
      </c:layout>
      <c:lineChart>
        <c:grouping val="standard"/>
        <c:varyColors val="0"/>
        <c:ser>
          <c:idx val="0"/>
          <c:order val="0"/>
          <c:tx>
            <c:strRef>
              <c:f>Waitaki!$B$206</c:f>
              <c:strCache>
                <c:ptCount val="1"/>
                <c:pt idx="0">
                  <c:v>Waitaki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Waitaki!$C$204:$F$204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Waitaki!$C$206:$F$206</c:f>
              <c:numCache>
                <c:formatCode>_(* #,##0.00_);_(* \(#,##0.00\);_(* "-"??_);_(@_)</c:formatCode>
                <c:ptCount val="4"/>
                <c:pt idx="0">
                  <c:v>407.01153623511124</c:v>
                </c:pt>
                <c:pt idx="1">
                  <c:v>306.10915698359486</c:v>
                </c:pt>
                <c:pt idx="2">
                  <c:v>488.7616927567891</c:v>
                </c:pt>
                <c:pt idx="3">
                  <c:v>388.71559506413377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Waitaki!$B$207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125666502452885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Waitaki!$C$204:$F$204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93504"/>
        <c:axId val="155495040"/>
      </c:lineChart>
      <c:catAx>
        <c:axId val="15549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5495040"/>
        <c:crosses val="autoZero"/>
        <c:auto val="1"/>
        <c:lblAlgn val="ctr"/>
        <c:lblOffset val="100"/>
        <c:noMultiLvlLbl val="0"/>
      </c:catAx>
      <c:valAx>
        <c:axId val="155495040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5493504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316923938906441"/>
          <c:y val="0.13550222222222241"/>
          <c:w val="0.74264489072522533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Waitaki!$B$162</c:f>
              <c:strCache>
                <c:ptCount val="1"/>
                <c:pt idx="0">
                  <c:v>Waitaki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Waitaki!$C$160:$F$160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Waitaki!$C$162:$F$162</c:f>
              <c:numCache>
                <c:formatCode>_(* #,##0.00_);_(* \(#,##0.00\);_(* "-"??_);_(@_)</c:formatCode>
                <c:ptCount val="4"/>
                <c:pt idx="0">
                  <c:v>235.61455605024364</c:v>
                </c:pt>
                <c:pt idx="1">
                  <c:v>254.78039408042423</c:v>
                </c:pt>
                <c:pt idx="2">
                  <c:v>260.17416638244043</c:v>
                </c:pt>
                <c:pt idx="3">
                  <c:v>242.65302808897547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Waitaki!$B$163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1117006506365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Waitaki!$C$160:$F$160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45984"/>
        <c:axId val="155547520"/>
      </c:lineChart>
      <c:catAx>
        <c:axId val="15554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5547520"/>
        <c:crosses val="autoZero"/>
        <c:auto val="1"/>
        <c:lblAlgn val="ctr"/>
        <c:lblOffset val="100"/>
        <c:noMultiLvlLbl val="0"/>
      </c:catAx>
      <c:valAx>
        <c:axId val="155547520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5545984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1"/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8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Waitaki!$C$160:$F$160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Waitaki!$C$165:$F$165</c:f>
              <c:numCache>
                <c:formatCode>_(* #,##0.00_);_(* \(#,##0.00\);_(* "-"??_);_(@_)</c:formatCode>
                <c:ptCount val="4"/>
                <c:pt idx="0">
                  <c:v>1437.7895905759638</c:v>
                </c:pt>
                <c:pt idx="1">
                  <c:v>1671.6212579495073</c:v>
                </c:pt>
                <c:pt idx="2">
                  <c:v>1860.5336974034842</c:v>
                </c:pt>
                <c:pt idx="3">
                  <c:v>1727.7456647398844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2730151815203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Waitaki!$C$160:$F$160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55168"/>
        <c:axId val="155656960"/>
      </c:lineChart>
      <c:catAx>
        <c:axId val="15565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656960"/>
        <c:crosses val="autoZero"/>
        <c:auto val="1"/>
        <c:lblAlgn val="ctr"/>
        <c:lblOffset val="100"/>
        <c:noMultiLvlLbl val="0"/>
      </c:catAx>
      <c:valAx>
        <c:axId val="155656960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55655168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6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Aurora!$B$98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Aurora!$C$97:$F$97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Aurora!$C$98:$F$98</c:f>
              <c:numCache>
                <c:formatCode>General</c:formatCode>
                <c:ptCount val="4"/>
                <c:pt idx="0">
                  <c:v>74147</c:v>
                </c:pt>
                <c:pt idx="1">
                  <c:v>74871</c:v>
                </c:pt>
                <c:pt idx="2">
                  <c:v>75623</c:v>
                </c:pt>
                <c:pt idx="3">
                  <c:v>73656</c:v>
                </c:pt>
              </c:numCache>
            </c:numRef>
          </c:val>
        </c:ser>
        <c:ser>
          <c:idx val="1"/>
          <c:order val="1"/>
          <c:tx>
            <c:strRef>
              <c:f>Aurora!$B$99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Aurora!$C$97:$F$97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Aurora!$C$99:$F$99</c:f>
              <c:numCache>
                <c:formatCode>General</c:formatCode>
                <c:ptCount val="4"/>
                <c:pt idx="0">
                  <c:v>4622</c:v>
                </c:pt>
                <c:pt idx="1">
                  <c:v>4745</c:v>
                </c:pt>
                <c:pt idx="2">
                  <c:v>4862</c:v>
                </c:pt>
                <c:pt idx="3">
                  <c:v>5010</c:v>
                </c:pt>
              </c:numCache>
            </c:numRef>
          </c:val>
        </c:ser>
        <c:ser>
          <c:idx val="2"/>
          <c:order val="2"/>
          <c:tx>
            <c:strRef>
              <c:f>Aurora!$B$100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Aurora!$C$97:$F$97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Aurora!$C$100:$F$100</c:f>
              <c:numCache>
                <c:formatCode>General</c:formatCode>
                <c:ptCount val="4"/>
                <c:pt idx="0">
                  <c:v>1037</c:v>
                </c:pt>
                <c:pt idx="1">
                  <c:v>1065</c:v>
                </c:pt>
                <c:pt idx="2">
                  <c:v>1083</c:v>
                </c:pt>
                <c:pt idx="3">
                  <c:v>1017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7543296"/>
        <c:axId val="117544832"/>
      </c:barChart>
      <c:catAx>
        <c:axId val="11754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7544832"/>
        <c:crosses val="autoZero"/>
        <c:auto val="1"/>
        <c:lblAlgn val="ctr"/>
        <c:lblOffset val="100"/>
        <c:noMultiLvlLbl val="0"/>
      </c:catAx>
      <c:valAx>
        <c:axId val="11754483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7543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3.5277777777779185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20078265003841"/>
          <c:y val="0.13550222222222241"/>
          <c:w val="0.73617535958538993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Waitaki!$B$168</c:f>
              <c:strCache>
                <c:ptCount val="1"/>
                <c:pt idx="0">
                  <c:v>Waitaki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Waitaki!$C$160:$F$160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Waitaki!$C$168:$F$168</c:f>
              <c:numCache>
                <c:formatCode>_(* #,##0.00_);_(* \(#,##0.00\);_(* "-"??_);_(@_)</c:formatCode>
                <c:ptCount val="4"/>
                <c:pt idx="0">
                  <c:v>12.262201025745288</c:v>
                </c:pt>
                <c:pt idx="1">
                  <c:v>13.359810450048643</c:v>
                </c:pt>
                <c:pt idx="2">
                  <c:v>13.232177416388266</c:v>
                </c:pt>
                <c:pt idx="3">
                  <c:v>13.406770980913686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Waitaki!$B$169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Waitaki!$C$160:$F$160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95360"/>
        <c:axId val="155701248"/>
      </c:lineChart>
      <c:catAx>
        <c:axId val="1556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5701248"/>
        <c:crosses val="autoZero"/>
        <c:auto val="1"/>
        <c:lblAlgn val="ctr"/>
        <c:lblOffset val="100"/>
        <c:noMultiLvlLbl val="0"/>
      </c:catAx>
      <c:valAx>
        <c:axId val="155701248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5695360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1"/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791"/>
          <c:h val="0.7759916666666988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Waitaki!$B$178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Waitaki!$C$178:$D$178</c:f>
              <c:numCache>
                <c:formatCode>_-* #,##0_-;\-* #,##0_-;_-* "-"??_-;_-@_-</c:formatCode>
                <c:ptCount val="2"/>
                <c:pt idx="0">
                  <c:v>1630.1366171755003</c:v>
                </c:pt>
                <c:pt idx="1">
                  <c:v>1348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55810816"/>
        <c:axId val="155833088"/>
      </c:barChart>
      <c:lineChart>
        <c:grouping val="standard"/>
        <c:varyColors val="0"/>
        <c:ser>
          <c:idx val="1"/>
          <c:order val="0"/>
          <c:tx>
            <c:strRef>
              <c:f>Waitaki!$B$179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Waitaki!$C$177:$D$177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Waitaki!$C$179:$D$179</c:f>
              <c:numCache>
                <c:formatCode>_-* #,##0_-;\-* #,##0_-;_-* "-"??_-;_-@_-</c:formatCode>
                <c:ptCount val="2"/>
                <c:pt idx="0">
                  <c:v>1735.0766619061731</c:v>
                </c:pt>
                <c:pt idx="1">
                  <c:v>1735.0766619061731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Waitaki!$B$180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Waitaki!$C$177:$D$177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Waitaki!$C$180:$D$180</c:f>
              <c:numCache>
                <c:formatCode>_-* #,##0_-;\-* #,##0_-;_-* "-"??_-;_-@_-</c:formatCode>
                <c:ptCount val="2"/>
                <c:pt idx="1">
                  <c:v>1720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10816"/>
        <c:axId val="155833088"/>
      </c:lineChart>
      <c:catAx>
        <c:axId val="15581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5833088"/>
        <c:crosses val="autoZero"/>
        <c:auto val="1"/>
        <c:lblAlgn val="ctr"/>
        <c:lblOffset val="100"/>
        <c:noMultiLvlLbl val="0"/>
      </c:catAx>
      <c:valAx>
        <c:axId val="155833088"/>
        <c:scaling>
          <c:orientation val="minMax"/>
          <c:max val="2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5810816"/>
        <c:crosses val="autoZero"/>
        <c:crossBetween val="between"/>
        <c:majorUnit val="400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312"/>
          <c:y val="3.5277777777779448E-2"/>
          <c:w val="0.7717227593675063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Waitaki!$V$177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6458333333333351E-2"/>
                  <c:y val="-2.939861111111110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Waitaki!$W$177:$AC$177</c:f>
              <c:numCache>
                <c:formatCode>General</c:formatCode>
                <c:ptCount val="7"/>
                <c:pt idx="0">
                  <c:v>1735.0766619061731</c:v>
                </c:pt>
                <c:pt idx="1">
                  <c:v>1735.0766619061731</c:v>
                </c:pt>
                <c:pt idx="2">
                  <c:v>1735.0766619061731</c:v>
                </c:pt>
                <c:pt idx="3">
                  <c:v>1735.0766619061731</c:v>
                </c:pt>
                <c:pt idx="4">
                  <c:v>1735.0766619061731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Waitaki!$V$178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9.7448611111110459E-2"/>
                  <c:y val="-3.527777777777851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Waitaki!$W$178:$AC$178</c:f>
              <c:numCache>
                <c:formatCode>General</c:formatCode>
                <c:ptCount val="7"/>
                <c:pt idx="1">
                  <c:v>1720</c:v>
                </c:pt>
                <c:pt idx="2">
                  <c:v>1721</c:v>
                </c:pt>
                <c:pt idx="3">
                  <c:v>1720</c:v>
                </c:pt>
                <c:pt idx="4">
                  <c:v>1720</c:v>
                </c:pt>
                <c:pt idx="5">
                  <c:v>1720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Waitaki!$V$179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77777777778694E-5"/>
                  <c:y val="3.527777777777851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Waitaki!$W$179:$AC$179</c:f>
              <c:numCache>
                <c:formatCode>General</c:formatCode>
                <c:ptCount val="7"/>
                <c:pt idx="2">
                  <c:v>1681.9237242639947</c:v>
                </c:pt>
                <c:pt idx="3">
                  <c:v>1681.9237242639947</c:v>
                </c:pt>
                <c:pt idx="4">
                  <c:v>1681.9237242639947</c:v>
                </c:pt>
                <c:pt idx="5">
                  <c:v>1681.9237242639947</c:v>
                </c:pt>
                <c:pt idx="6">
                  <c:v>1681.9237242639947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Waitaki!$V$176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0084566135724136"/>
                  <c:y val="0.2689612375676863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Waitaki!$C$178:$I$178</c:f>
              <c:numCache>
                <c:formatCode>_-* #,##0_-;\-* #,##0_-;_-* "-"??_-;_-@_-</c:formatCode>
                <c:ptCount val="7"/>
                <c:pt idx="0">
                  <c:v>1630.1366171755003</c:v>
                </c:pt>
                <c:pt idx="1">
                  <c:v>1348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890048"/>
        <c:axId val="155891584"/>
      </c:lineChart>
      <c:catAx>
        <c:axId val="15589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5891584"/>
        <c:crosses val="autoZero"/>
        <c:auto val="1"/>
        <c:lblAlgn val="ctr"/>
        <c:lblOffset val="100"/>
        <c:noMultiLvlLbl val="0"/>
      </c:catAx>
      <c:valAx>
        <c:axId val="155891584"/>
        <c:scaling>
          <c:orientation val="minMax"/>
          <c:max val="2000"/>
          <c:min val="1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5890048"/>
        <c:crosses val="autoZero"/>
        <c:crossBetween val="midCat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7022"/>
          <c:h val="0.77578287037039029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Waitaki!$B$222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Waitaki!$C$222:$D$222</c:f>
              <c:numCache>
                <c:formatCode>_-* #,##0_-;\-* #,##0_-;_-* "-"??_-;_-@_-</c:formatCode>
                <c:ptCount val="2"/>
                <c:pt idx="0">
                  <c:v>5934.7161219045556</c:v>
                </c:pt>
                <c:pt idx="1">
                  <c:v>4749.1986999999999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55955968"/>
        <c:axId val="155957504"/>
      </c:barChart>
      <c:lineChart>
        <c:grouping val="standard"/>
        <c:varyColors val="0"/>
        <c:ser>
          <c:idx val="1"/>
          <c:order val="0"/>
          <c:tx>
            <c:strRef>
              <c:f>Waitaki!$B$223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Waitaki!$C$221:$D$221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Waitaki!$C$223:$D$223</c:f>
              <c:numCache>
                <c:formatCode>_-* #,##0_-;\-* #,##0_-;_-* "-"??_-;_-@_-</c:formatCode>
                <c:ptCount val="2"/>
                <c:pt idx="0">
                  <c:v>7256.1456172024455</c:v>
                </c:pt>
                <c:pt idx="1">
                  <c:v>6679.4847888766126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Waitaki!$B$224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Waitaki!$C$221:$D$221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Waitaki!$C$224:$D$224</c:f>
              <c:numCache>
                <c:formatCode>_-* #,##0_-;\-* #,##0_-;_-* "-"??_-;_-@_-</c:formatCode>
                <c:ptCount val="2"/>
                <c:pt idx="1">
                  <c:v>6256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55968"/>
        <c:axId val="155957504"/>
      </c:lineChart>
      <c:catAx>
        <c:axId val="1559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957504"/>
        <c:crosses val="autoZero"/>
        <c:auto val="1"/>
        <c:lblAlgn val="ctr"/>
        <c:lblOffset val="100"/>
        <c:noMultiLvlLbl val="0"/>
      </c:catAx>
      <c:valAx>
        <c:axId val="15595750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5955968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681E-3"/>
          <c:w val="0.9031628472222053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Waitaki!$V$221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56483777826116477"/>
                  <c:y val="-0.1656436896597441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Waitaki!$W$221:$AC$221</c:f>
              <c:numCache>
                <c:formatCode>General</c:formatCode>
                <c:ptCount val="7"/>
                <c:pt idx="0">
                  <c:v>7256.1456172024455</c:v>
                </c:pt>
                <c:pt idx="1">
                  <c:v>6679.4847888766126</c:v>
                </c:pt>
                <c:pt idx="2">
                  <c:v>10680.45134865673</c:v>
                </c:pt>
                <c:pt idx="3">
                  <c:v>9475.1690873325952</c:v>
                </c:pt>
                <c:pt idx="4">
                  <c:v>6917.8922691385296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Waitaki!$V$222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5.7286873464508108E-2"/>
                  <c:y val="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Waitaki!$W$222:$AC$222</c:f>
              <c:numCache>
                <c:formatCode>General</c:formatCode>
                <c:ptCount val="7"/>
                <c:pt idx="1">
                  <c:v>6256</c:v>
                </c:pt>
                <c:pt idx="2">
                  <c:v>10483</c:v>
                </c:pt>
                <c:pt idx="3">
                  <c:v>9300</c:v>
                </c:pt>
                <c:pt idx="4">
                  <c:v>6790</c:v>
                </c:pt>
                <c:pt idx="5">
                  <c:v>5000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Waitaki!$V$223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5702636558614747E-2"/>
                  <c:y val="3.527731481481545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Waitaki!$W$223:$AC$223</c:f>
              <c:numCache>
                <c:formatCode>General</c:formatCode>
                <c:ptCount val="7"/>
                <c:pt idx="2">
                  <c:v>3573.2527472527472</c:v>
                </c:pt>
                <c:pt idx="3">
                  <c:v>4322.2182546864906</c:v>
                </c:pt>
                <c:pt idx="4">
                  <c:v>2756.0777065287652</c:v>
                </c:pt>
                <c:pt idx="5">
                  <c:v>1918.1181641887524</c:v>
                </c:pt>
                <c:pt idx="6">
                  <c:v>1918.1181641887524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Waitaki!$V$220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1477688535924042"/>
                  <c:y val="8.819458338857694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Waitaki!$W$219:$AC$219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Waitaki!$W$220:$AC$220</c:f>
              <c:numCache>
                <c:formatCode>General</c:formatCode>
                <c:ptCount val="7"/>
                <c:pt idx="0">
                  <c:v>5934.7161219045556</c:v>
                </c:pt>
                <c:pt idx="1">
                  <c:v>4749.1986999999999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34336"/>
        <c:axId val="156360704"/>
      </c:lineChart>
      <c:catAx>
        <c:axId val="15633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6360704"/>
        <c:crosses val="autoZero"/>
        <c:auto val="1"/>
        <c:lblAlgn val="ctr"/>
        <c:lblOffset val="100"/>
        <c:noMultiLvlLbl val="0"/>
      </c:catAx>
      <c:valAx>
        <c:axId val="156360704"/>
        <c:scaling>
          <c:orientation val="minMax"/>
          <c:max val="12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6334336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14"/>
          <c:y val="6.4675925925925928E-2"/>
          <c:w val="0.7920625411328982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Waitaki!$B$237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5495887607361E-3"/>
                  <c:y val="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Waitaki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Waitaki!$C$236:$F$236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Waitaki!$C$237:$F$237</c:f>
              <c:numCache>
                <c:formatCode>_(* #,##0.00_);_(* \(#,##0.00\);_(* "-"??_);_(@_)</c:formatCode>
                <c:ptCount val="4"/>
                <c:pt idx="0">
                  <c:v>2.1</c:v>
                </c:pt>
                <c:pt idx="1">
                  <c:v>1.07</c:v>
                </c:pt>
                <c:pt idx="2">
                  <c:v>1.46</c:v>
                </c:pt>
                <c:pt idx="3">
                  <c:v>0.81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Waitaki!$B$239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5627816357534E-3"/>
                  <c:y val="-5.291712962962972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Waitaki!$C$236:$F$236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62464"/>
        <c:axId val="156064000"/>
      </c:lineChart>
      <c:catAx>
        <c:axId val="15606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6064000"/>
        <c:crosses val="autoZero"/>
        <c:auto val="1"/>
        <c:lblAlgn val="ctr"/>
        <c:lblOffset val="100"/>
        <c:noMultiLvlLbl val="0"/>
      </c:catAx>
      <c:valAx>
        <c:axId val="156064000"/>
        <c:scaling>
          <c:orientation val="minMax"/>
          <c:max val="4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606246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17"/>
          <c:y val="6.4675925925925928E-2"/>
          <c:w val="0.7920625411328982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Waitaki!$B$230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5495887607361E-3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Waitaki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Waitaki!$C$229:$F$229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Waitaki!$C$230:$F$230</c:f>
              <c:numCache>
                <c:formatCode>_(* #,##0.00_);_(* \(#,##0.00\);_(* "-"??_);_(@_)</c:formatCode>
                <c:ptCount val="4"/>
                <c:pt idx="0">
                  <c:v>94.68</c:v>
                </c:pt>
                <c:pt idx="1">
                  <c:v>69.36</c:v>
                </c:pt>
                <c:pt idx="2">
                  <c:v>64.289999999999992</c:v>
                </c:pt>
                <c:pt idx="3">
                  <c:v>61.31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Waitaki!$B$232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5627816357534E-3"/>
                  <c:y val="-6.46763888888888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Waitaki!$C$229:$F$229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Waitaki!$C$232:$F$232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93440"/>
        <c:axId val="156136192"/>
      </c:lineChart>
      <c:catAx>
        <c:axId val="15609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6136192"/>
        <c:crosses val="autoZero"/>
        <c:auto val="1"/>
        <c:lblAlgn val="ctr"/>
        <c:lblOffset val="100"/>
        <c:noMultiLvlLbl val="0"/>
      </c:catAx>
      <c:valAx>
        <c:axId val="156136192"/>
        <c:scaling>
          <c:orientation val="minMax"/>
          <c:max val="4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609344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Northpower!$B$26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93318120603"/>
                  <c:y val="-0.3715287171955324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Northpower!$C$26:$F$26</c:f>
              <c:numCache>
                <c:formatCode>0</c:formatCode>
                <c:ptCount val="4"/>
                <c:pt idx="0">
                  <c:v>1924.5355764021556</c:v>
                </c:pt>
                <c:pt idx="1">
                  <c:v>1905.4433715423154</c:v>
                </c:pt>
                <c:pt idx="2">
                  <c:v>1917.3666891218236</c:v>
                </c:pt>
                <c:pt idx="3">
                  <c:v>2041.76</c:v>
                </c:pt>
              </c:numCache>
            </c:numRef>
          </c:val>
        </c:ser>
        <c:ser>
          <c:idx val="1"/>
          <c:order val="1"/>
          <c:tx>
            <c:strRef>
              <c:f>Northpower!$B$27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2203719788474355"/>
                  <c:y val="-7.254903594040813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Northpower!$C$27:$F$27</c:f>
              <c:numCache>
                <c:formatCode>0</c:formatCode>
                <c:ptCount val="4"/>
                <c:pt idx="0">
                  <c:v>651.17162327849212</c:v>
                </c:pt>
                <c:pt idx="1">
                  <c:v>682.65099869586095</c:v>
                </c:pt>
                <c:pt idx="2">
                  <c:v>718.89024817439565</c:v>
                </c:pt>
                <c:pt idx="3">
                  <c:v>746.40000000000009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251264"/>
        <c:axId val="154252800"/>
      </c:areaChart>
      <c:catAx>
        <c:axId val="15425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4252800"/>
        <c:crosses val="autoZero"/>
        <c:auto val="1"/>
        <c:lblAlgn val="ctr"/>
        <c:lblOffset val="100"/>
        <c:noMultiLvlLbl val="0"/>
      </c:catAx>
      <c:valAx>
        <c:axId val="154252800"/>
        <c:scaling>
          <c:orientation val="minMax"/>
          <c:max val="2500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4251264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Northpower!$B$28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Northpower!$C$25:$F$25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Northpower!$C$28:$F$28</c:f>
              <c:numCache>
                <c:formatCode>0</c:formatCode>
                <c:ptCount val="4"/>
                <c:pt idx="0">
                  <c:v>487.30061874483187</c:v>
                </c:pt>
                <c:pt idx="1">
                  <c:v>514.06443819067874</c:v>
                </c:pt>
                <c:pt idx="2">
                  <c:v>555.06151814825785</c:v>
                </c:pt>
                <c:pt idx="3">
                  <c:v>585.6</c:v>
                </c:pt>
              </c:numCache>
            </c:numRef>
          </c:val>
        </c:ser>
        <c:ser>
          <c:idx val="1"/>
          <c:order val="1"/>
          <c:tx>
            <c:strRef>
              <c:f>Northpower!$B$29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Northpower!$C$25:$F$25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Northpower!$C$29:$F$29</c:f>
              <c:numCache>
                <c:formatCode>0</c:formatCode>
                <c:ptCount val="4"/>
                <c:pt idx="0">
                  <c:v>163.87100453366028</c:v>
                </c:pt>
                <c:pt idx="1">
                  <c:v>168.58656050518218</c:v>
                </c:pt>
                <c:pt idx="2">
                  <c:v>163.82873002613778</c:v>
                </c:pt>
                <c:pt idx="3">
                  <c:v>160.79999999999998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114304"/>
        <c:axId val="154128384"/>
      </c:barChart>
      <c:catAx>
        <c:axId val="15411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4128384"/>
        <c:crosses val="autoZero"/>
        <c:auto val="1"/>
        <c:lblAlgn val="ctr"/>
        <c:lblOffset val="100"/>
        <c:noMultiLvlLbl val="0"/>
      </c:catAx>
      <c:valAx>
        <c:axId val="154128384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4114304"/>
        <c:crosses val="autoZero"/>
        <c:crossBetween val="between"/>
        <c:majorUnit val="100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345"/>
          <c:w val="0.89745624999998308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Northpower!$B$40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Northpower!$C$39:$F$39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Northpower!$C$40:$F$40</c:f>
              <c:numCache>
                <c:formatCode>0</c:formatCode>
                <c:ptCount val="4"/>
                <c:pt idx="0">
                  <c:v>44582.61612158193</c:v>
                </c:pt>
                <c:pt idx="1">
                  <c:v>47469.366298304609</c:v>
                </c:pt>
                <c:pt idx="2">
                  <c:v>51091.538088437381</c:v>
                </c:pt>
                <c:pt idx="3">
                  <c:v>50025</c:v>
                </c:pt>
              </c:numCache>
            </c:numRef>
          </c:val>
        </c:ser>
        <c:ser>
          <c:idx val="1"/>
          <c:order val="1"/>
          <c:tx>
            <c:strRef>
              <c:f>Northpower!$B$41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Northpower!$C$39:$F$39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Northpower!$C$41:$F$41</c:f>
              <c:numCache>
                <c:formatCode>0</c:formatCode>
                <c:ptCount val="4"/>
                <c:pt idx="0">
                  <c:v>7551.9391828006046</c:v>
                </c:pt>
                <c:pt idx="1">
                  <c:v>3870.0166106115712</c:v>
                </c:pt>
                <c:pt idx="2">
                  <c:v>2400.3761687909241</c:v>
                </c:pt>
                <c:pt idx="3">
                  <c:v>1534.1</c:v>
                </c:pt>
              </c:numCache>
            </c:numRef>
          </c:val>
        </c:ser>
        <c:ser>
          <c:idx val="3"/>
          <c:order val="2"/>
          <c:tx>
            <c:strRef>
              <c:f>Northpower!$B$42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Northpower!$C$39:$F$39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Northpower!$C$42:$F$42</c:f>
              <c:numCache>
                <c:formatCode>0</c:formatCode>
                <c:ptCount val="4"/>
                <c:pt idx="0">
                  <c:v>139.07473411080377</c:v>
                </c:pt>
                <c:pt idx="1">
                  <c:v>193.81225890589602</c:v>
                </c:pt>
                <c:pt idx="2">
                  <c:v>253.69001104793722</c:v>
                </c:pt>
                <c:pt idx="3">
                  <c:v>134.5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294528"/>
        <c:axId val="154304512"/>
      </c:barChart>
      <c:catAx>
        <c:axId val="15429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4304512"/>
        <c:crosses val="autoZero"/>
        <c:auto val="1"/>
        <c:lblAlgn val="ctr"/>
        <c:lblOffset val="100"/>
        <c:noMultiLvlLbl val="0"/>
      </c:catAx>
      <c:valAx>
        <c:axId val="15430451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4294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842"/>
          <c:h val="0.2117129629629683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157"/>
          <c:w val="0.79809047321242665"/>
          <c:h val="0.72979551178440139"/>
        </c:manualLayout>
      </c:layout>
      <c:lineChart>
        <c:grouping val="standard"/>
        <c:varyColors val="0"/>
        <c:ser>
          <c:idx val="0"/>
          <c:order val="0"/>
          <c:tx>
            <c:strRef>
              <c:f>Aurora!$B$206</c:f>
              <c:strCache>
                <c:ptCount val="1"/>
                <c:pt idx="0">
                  <c:v>Alpine Energy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48533135325785026"/>
                  <c:y val="7.106309547255351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Aurora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Aurora!$C$206:$F$206</c:f>
              <c:numCache>
                <c:formatCode>_(* #,##0.00_);_(* \(#,##0.00\);_(* "-"??_);_(@_)</c:formatCode>
                <c:ptCount val="4"/>
                <c:pt idx="0">
                  <c:v>244.92972000004028</c:v>
                </c:pt>
                <c:pt idx="1">
                  <c:v>238.34001159870152</c:v>
                </c:pt>
                <c:pt idx="2">
                  <c:v>271.0049918437627</c:v>
                </c:pt>
                <c:pt idx="3">
                  <c:v>279.76608774219454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Aurora!$B$207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cat>
            <c:numRef>
              <c:f>Aurora!$C$204:$F$204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575040"/>
        <c:axId val="117576832"/>
      </c:lineChart>
      <c:catAx>
        <c:axId val="11757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7576832"/>
        <c:crosses val="autoZero"/>
        <c:auto val="1"/>
        <c:lblAlgn val="ctr"/>
        <c:lblOffset val="100"/>
        <c:noMultiLvlLbl val="0"/>
      </c:catAx>
      <c:valAx>
        <c:axId val="117576832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7575040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743E-2"/>
          <c:y val="9.9262962962965245E-2"/>
          <c:w val="0.82437522447605793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Northpower!$B$45</c:f>
              <c:strCache>
                <c:ptCount val="1"/>
                <c:pt idx="0">
                  <c:v>Northpower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Northpower!$B$46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-0.17922803521619513"/>
                  <c:y val="4.0792540792540834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Northpower!$C$45:$F$45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Northpower!$C$46:$F$46</c:f>
              <c:numCache>
                <c:formatCode>0.0</c:formatCode>
                <c:ptCount val="4"/>
                <c:pt idx="0">
                  <c:v>100</c:v>
                </c:pt>
                <c:pt idx="1">
                  <c:v>106.47505783162248</c:v>
                </c:pt>
                <c:pt idx="2">
                  <c:v>114.59968600565043</c:v>
                </c:pt>
                <c:pt idx="3">
                  <c:v>112.2074125564459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Northpower!$B$47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Northpower!$C$45:$F$45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Northpower!$C$47:$F$47</c:f>
              <c:numCache>
                <c:formatCode>0.0</c:formatCode>
                <c:ptCount val="4"/>
                <c:pt idx="0">
                  <c:v>100</c:v>
                </c:pt>
                <c:pt idx="1">
                  <c:v>51.245336024758501</c:v>
                </c:pt>
                <c:pt idx="2">
                  <c:v>31.784898033312221</c:v>
                </c:pt>
                <c:pt idx="3">
                  <c:v>20.313987743623294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Northpower!$B$48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-0.33605256603036737"/>
                  <c:y val="-0.37878879650533198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Northpower!$C$45:$F$45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Northpower!$C$48:$F$48</c:f>
              <c:numCache>
                <c:formatCode>0.0</c:formatCode>
                <c:ptCount val="4"/>
                <c:pt idx="0">
                  <c:v>100</c:v>
                </c:pt>
                <c:pt idx="1">
                  <c:v>139.3583530071549</c:v>
                </c:pt>
                <c:pt idx="2">
                  <c:v>182.41272411552271</c:v>
                </c:pt>
                <c:pt idx="3">
                  <c:v>96.71059294842226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54592"/>
        <c:axId val="156256128"/>
      </c:lineChart>
      <c:catAx>
        <c:axId val="15625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6256128"/>
        <c:crossesAt val="0"/>
        <c:auto val="1"/>
        <c:lblAlgn val="ctr"/>
        <c:lblOffset val="100"/>
        <c:noMultiLvlLbl val="0"/>
      </c:catAx>
      <c:valAx>
        <c:axId val="156256128"/>
        <c:scaling>
          <c:orientation val="minMax"/>
          <c:max val="2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6254592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894"/>
          <c:h val="0.702040277777790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Northpower!$B$54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Northpower!$C$53:$F$53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Northpower!$C$54:$F$54</c:f>
              <c:numCache>
                <c:formatCode>0</c:formatCode>
                <c:ptCount val="4"/>
                <c:pt idx="0">
                  <c:v>21267.653331812606</c:v>
                </c:pt>
                <c:pt idx="1">
                  <c:v>22666.795250188748</c:v>
                </c:pt>
                <c:pt idx="2">
                  <c:v>24830.037185740075</c:v>
                </c:pt>
                <c:pt idx="3">
                  <c:v>24786</c:v>
                </c:pt>
              </c:numCache>
            </c:numRef>
          </c:val>
        </c:ser>
        <c:ser>
          <c:idx val="1"/>
          <c:order val="1"/>
          <c:tx>
            <c:strRef>
              <c:f>Northpower!$B$55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Northpower!$C$53:$F$53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Northpower!$C$55:$F$55</c:f>
              <c:numCache>
                <c:formatCode>0</c:formatCode>
                <c:ptCount val="4"/>
                <c:pt idx="0">
                  <c:v>10486.666191440221</c:v>
                </c:pt>
                <c:pt idx="1">
                  <c:v>10716.25039467362</c:v>
                </c:pt>
                <c:pt idx="2">
                  <c:v>11427.257686400257</c:v>
                </c:pt>
                <c:pt idx="3">
                  <c:v>11094</c:v>
                </c:pt>
              </c:numCache>
            </c:numRef>
          </c:val>
        </c:ser>
        <c:ser>
          <c:idx val="2"/>
          <c:order val="2"/>
          <c:tx>
            <c:strRef>
              <c:f>Northpower!$B$56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Northpower!$C$53:$F$53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Northpower!$C$56:$F$56</c:f>
              <c:numCache>
                <c:formatCode>0</c:formatCode>
                <c:ptCount val="4"/>
                <c:pt idx="0">
                  <c:v>6776.9285164380826</c:v>
                </c:pt>
                <c:pt idx="1">
                  <c:v>7249.4297206397123</c:v>
                </c:pt>
                <c:pt idx="2">
                  <c:v>7608.6626606666478</c:v>
                </c:pt>
                <c:pt idx="3">
                  <c:v>7948</c:v>
                </c:pt>
              </c:numCache>
            </c:numRef>
          </c:val>
        </c:ser>
        <c:ser>
          <c:idx val="3"/>
          <c:order val="3"/>
          <c:tx>
            <c:strRef>
              <c:f>Northpower!$B$57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Northpower!$C$53:$F$53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Northpower!$C$57:$F$57</c:f>
              <c:numCache>
                <c:formatCode>0</c:formatCode>
                <c:ptCount val="4"/>
                <c:pt idx="0">
                  <c:v>6051.3680818910207</c:v>
                </c:pt>
                <c:pt idx="1">
                  <c:v>6836.8909328025238</c:v>
                </c:pt>
                <c:pt idx="2">
                  <c:v>7225.5805556304049</c:v>
                </c:pt>
                <c:pt idx="3">
                  <c:v>6197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300800"/>
        <c:axId val="156302336"/>
      </c:barChart>
      <c:catAx>
        <c:axId val="15630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6302336"/>
        <c:crosses val="autoZero"/>
        <c:auto val="1"/>
        <c:lblAlgn val="ctr"/>
        <c:lblOffset val="100"/>
        <c:noMultiLvlLbl val="0"/>
      </c:catAx>
      <c:valAx>
        <c:axId val="15630233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6300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78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 orientation="portrait"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1422738982387166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Northpower!$B$61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75652979340337E-6"/>
                  <c:y val="5.8796296296297823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Northpower!$C$61:$F$61</c:f>
              <c:numCache>
                <c:formatCode>0.0</c:formatCode>
                <c:ptCount val="4"/>
                <c:pt idx="0">
                  <c:v>100</c:v>
                </c:pt>
                <c:pt idx="1">
                  <c:v>106.57873201404537</c:v>
                </c:pt>
                <c:pt idx="2">
                  <c:v>116.75024413059612</c:v>
                </c:pt>
                <c:pt idx="3">
                  <c:v>116.54318233090896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Northpower!$B$62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37826489671405E-6"/>
                  <c:y val="-2.939814814814819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Northpower!$C$62:$F$62</c:f>
              <c:numCache>
                <c:formatCode>0.0</c:formatCode>
                <c:ptCount val="4"/>
                <c:pt idx="0">
                  <c:v>100</c:v>
                </c:pt>
                <c:pt idx="1">
                  <c:v>102.18929637925156</c:v>
                </c:pt>
                <c:pt idx="2">
                  <c:v>108.9694043634935</c:v>
                </c:pt>
                <c:pt idx="3">
                  <c:v>105.79148604020139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Northpower!$B$63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094566224176925E-6"/>
                  <c:y val="-2.351990740740741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Northpower!$C$63:$F$63</c:f>
              <c:numCache>
                <c:formatCode>0.0</c:formatCode>
                <c:ptCount val="4"/>
                <c:pt idx="0">
                  <c:v>100</c:v>
                </c:pt>
                <c:pt idx="1">
                  <c:v>106.97220286528821</c:v>
                </c:pt>
                <c:pt idx="2">
                  <c:v>112.27302519439471</c:v>
                </c:pt>
                <c:pt idx="3">
                  <c:v>117.28026908829527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Northpower!$B$64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351759259259258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Northpower!$C$64:$F$64</c:f>
              <c:numCache>
                <c:formatCode>0.0</c:formatCode>
                <c:ptCount val="4"/>
                <c:pt idx="0">
                  <c:v>100</c:v>
                </c:pt>
                <c:pt idx="1">
                  <c:v>112.98091341133609</c:v>
                </c:pt>
                <c:pt idx="2">
                  <c:v>119.40408280985693</c:v>
                </c:pt>
                <c:pt idx="3">
                  <c:v>102.40659494081659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78784"/>
        <c:axId val="156705152"/>
      </c:lineChart>
      <c:catAx>
        <c:axId val="15667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6705152"/>
        <c:crosses val="autoZero"/>
        <c:auto val="1"/>
        <c:lblAlgn val="ctr"/>
        <c:lblOffset val="100"/>
        <c:noMultiLvlLbl val="0"/>
      </c:catAx>
      <c:valAx>
        <c:axId val="156705152"/>
        <c:scaling>
          <c:orientation val="minMax"/>
          <c:max val="130"/>
          <c:min val="9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6678784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460351024323088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Northpower!$B$84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353727144867024E-3"/>
                  <c:y val="2.887377963737805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Northpower!$C$84:$F$84</c:f>
              <c:numCache>
                <c:formatCode>0.00</c:formatCode>
                <c:ptCount val="4"/>
                <c:pt idx="0">
                  <c:v>7.7749417205510705</c:v>
                </c:pt>
                <c:pt idx="1">
                  <c:v>8.2916480106335211</c:v>
                </c:pt>
                <c:pt idx="2">
                  <c:v>8.7504580277279764</c:v>
                </c:pt>
                <c:pt idx="3">
                  <c:v>8.9591405933722754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Northpower!$B$85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90609520707183E-3"/>
                  <c:y val="-4.06340904562661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Northpower!$C$85:$F$85</c:f>
              <c:numCache>
                <c:formatCode>0.00</c:formatCode>
                <c:ptCount val="4"/>
                <c:pt idx="0">
                  <c:v>8.6404592611172895</c:v>
                </c:pt>
                <c:pt idx="1">
                  <c:v>8.6408830933200171</c:v>
                </c:pt>
                <c:pt idx="2">
                  <c:v>9.2867538024691445</c:v>
                </c:pt>
                <c:pt idx="3">
                  <c:v>9.5188248618594908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Northpower!$B$86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11954992967713E-3"/>
                  <c:y val="-2.8505678421996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Northpower!$C$86:$F$86</c:f>
              <c:numCache>
                <c:formatCode>0.00</c:formatCode>
                <c:ptCount val="4"/>
                <c:pt idx="0">
                  <c:v>5.5746907165145538</c:v>
                </c:pt>
                <c:pt idx="1">
                  <c:v>5.9046945775487583</c:v>
                </c:pt>
                <c:pt idx="2">
                  <c:v>6.0670786471996809</c:v>
                </c:pt>
                <c:pt idx="3">
                  <c:v>5.9167721283406536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Northpower!$B$87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99660429540984E-3"/>
                  <c:y val="-2.887427774457130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Northpower!$C$87:$F$87</c:f>
              <c:numCache>
                <c:formatCode>0.00</c:formatCode>
                <c:ptCount val="4"/>
                <c:pt idx="0">
                  <c:v>1.33404350465289</c:v>
                </c:pt>
                <c:pt idx="1">
                  <c:v>1.5357208328116525</c:v>
                </c:pt>
                <c:pt idx="2">
                  <c:v>1.7278719960472346</c:v>
                </c:pt>
                <c:pt idx="3">
                  <c:v>1.4435866734377256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53280"/>
        <c:axId val="156841088"/>
      </c:lineChart>
      <c:catAx>
        <c:axId val="1567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6841088"/>
        <c:crosses val="autoZero"/>
        <c:auto val="1"/>
        <c:lblAlgn val="ctr"/>
        <c:lblOffset val="100"/>
        <c:noMultiLvlLbl val="0"/>
      </c:catAx>
      <c:valAx>
        <c:axId val="15684108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67532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444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Northpower!$B$90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-2.75353656106803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Northpower!$C$90:$F$90</c:f>
              <c:numCache>
                <c:formatCode>0.0</c:formatCode>
                <c:ptCount val="4"/>
                <c:pt idx="0">
                  <c:v>100</c:v>
                </c:pt>
                <c:pt idx="1">
                  <c:v>106.64578988054238</c:v>
                </c:pt>
                <c:pt idx="2">
                  <c:v>112.54692758144256</c:v>
                </c:pt>
                <c:pt idx="3">
                  <c:v>115.23096783723894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Northpower!$B$91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5036252654544E-3"/>
                  <c:y val="-3.48316397688782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Northpower!$C$91:$F$91</c:f>
              <c:numCache>
                <c:formatCode>0.0</c:formatCode>
                <c:ptCount val="4"/>
                <c:pt idx="0">
                  <c:v>100</c:v>
                </c:pt>
                <c:pt idx="1">
                  <c:v>100.0049052045721</c:v>
                </c:pt>
                <c:pt idx="2">
                  <c:v>107.47986330148247</c:v>
                </c:pt>
                <c:pt idx="3">
                  <c:v>110.1657281655723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Northpower!$B$92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4378807813822759"/>
                  <c:y val="-0.48940177326161366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Northpower!$C$92:$F$92</c:f>
              <c:numCache>
                <c:formatCode>0.0</c:formatCode>
                <c:ptCount val="4"/>
                <c:pt idx="0">
                  <c:v>100</c:v>
                </c:pt>
                <c:pt idx="1">
                  <c:v>105.91968017268825</c:v>
                </c:pt>
                <c:pt idx="2">
                  <c:v>108.83256050827124</c:v>
                </c:pt>
                <c:pt idx="3">
                  <c:v>106.13632987409889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Northpower!$B$93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9.124128312412815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Northpower!$C$93:$F$93</c:f>
              <c:numCache>
                <c:formatCode>0.0</c:formatCode>
                <c:ptCount val="4"/>
                <c:pt idx="0">
                  <c:v>100</c:v>
                </c:pt>
                <c:pt idx="1">
                  <c:v>115.11774746890563</c:v>
                </c:pt>
                <c:pt idx="2">
                  <c:v>129.52141290900528</c:v>
                </c:pt>
                <c:pt idx="3">
                  <c:v>108.21136405242933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18144"/>
        <c:axId val="156919680"/>
      </c:lineChart>
      <c:catAx>
        <c:axId val="15691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6919680"/>
        <c:crosses val="autoZero"/>
        <c:auto val="1"/>
        <c:lblAlgn val="ctr"/>
        <c:lblOffset val="100"/>
        <c:noMultiLvlLbl val="0"/>
      </c:catAx>
      <c:valAx>
        <c:axId val="156919680"/>
        <c:scaling>
          <c:orientation val="minMax"/>
          <c:max val="13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6918144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834364860253561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Northpower!$B$120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6842987772189748E-6"/>
                  <c:y val="-4.0362394578531248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Northpower!$C$120:$F$120</c:f>
              <c:numCache>
                <c:formatCode>0.0</c:formatCode>
                <c:ptCount val="4"/>
                <c:pt idx="0">
                  <c:v>100</c:v>
                </c:pt>
                <c:pt idx="1">
                  <c:v>99.937120943478305</c:v>
                </c:pt>
                <c:pt idx="2">
                  <c:v>103.73472349666046</c:v>
                </c:pt>
                <c:pt idx="3">
                  <c:v>101.13876895968063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Northpower!$B$121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096566293505E-3"/>
                  <c:y val="-3.688535249664070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Northpower!$C$121:$F$121</c:f>
              <c:numCache>
                <c:formatCode>0.0</c:formatCode>
                <c:ptCount val="4"/>
                <c:pt idx="0">
                  <c:v>100</c:v>
                </c:pt>
                <c:pt idx="1">
                  <c:v>102.18428403107929</c:v>
                </c:pt>
                <c:pt idx="2">
                  <c:v>101.38587919286132</c:v>
                </c:pt>
                <c:pt idx="3">
                  <c:v>96.029398436148213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Northpower!$B$122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009866764143629E-5"/>
                  <c:y val="-2.351851851851846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Northpower!$C$122:$F$122</c:f>
              <c:numCache>
                <c:formatCode>0.0</c:formatCode>
                <c:ptCount val="4"/>
                <c:pt idx="0">
                  <c:v>100</c:v>
                </c:pt>
                <c:pt idx="1">
                  <c:v>100.99369889607293</c:v>
                </c:pt>
                <c:pt idx="2">
                  <c:v>103.16124574305317</c:v>
                </c:pt>
                <c:pt idx="3">
                  <c:v>110.49964628267772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Northpower!$B$123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243122740617068E-6"/>
                  <c:y val="2.35180555555555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800"/>
                      <a:t>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Northpower!$C$123:$F$123</c:f>
              <c:numCache>
                <c:formatCode>0.0</c:formatCode>
                <c:ptCount val="4"/>
                <c:pt idx="0">
                  <c:v>100</c:v>
                </c:pt>
                <c:pt idx="1">
                  <c:v>98.14378399112897</c:v>
                </c:pt>
                <c:pt idx="2">
                  <c:v>92.188681491410037</c:v>
                </c:pt>
                <c:pt idx="3">
                  <c:v>94.63571209692887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54080"/>
        <c:axId val="157055616"/>
      </c:lineChart>
      <c:catAx>
        <c:axId val="15705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7055616"/>
        <c:crosses val="autoZero"/>
        <c:auto val="1"/>
        <c:lblAlgn val="ctr"/>
        <c:lblOffset val="100"/>
        <c:noMultiLvlLbl val="0"/>
      </c:catAx>
      <c:valAx>
        <c:axId val="157055616"/>
        <c:scaling>
          <c:orientation val="minMax"/>
          <c:max val="13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7054080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6001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Northpower!$B$113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Northpower!$C$112:$F$112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Northpower!$C$113:$F$113</c:f>
              <c:numCache>
                <c:formatCode>General</c:formatCode>
                <c:ptCount val="4"/>
                <c:pt idx="0">
                  <c:v>273541</c:v>
                </c:pt>
                <c:pt idx="1">
                  <c:v>273369</c:v>
                </c:pt>
                <c:pt idx="2">
                  <c:v>283757</c:v>
                </c:pt>
                <c:pt idx="3">
                  <c:v>276656</c:v>
                </c:pt>
              </c:numCache>
            </c:numRef>
          </c:val>
        </c:ser>
        <c:ser>
          <c:idx val="1"/>
          <c:order val="1"/>
          <c:tx>
            <c:strRef>
              <c:f>Northpower!$B$114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Northpower!$C$112:$F$112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Northpower!$C$114:$F$114</c:f>
              <c:numCache>
                <c:formatCode>General</c:formatCode>
                <c:ptCount val="4"/>
                <c:pt idx="0">
                  <c:v>121367</c:v>
                </c:pt>
                <c:pt idx="1">
                  <c:v>124018</c:v>
                </c:pt>
                <c:pt idx="2">
                  <c:v>123049</c:v>
                </c:pt>
                <c:pt idx="3">
                  <c:v>116548</c:v>
                </c:pt>
              </c:numCache>
            </c:numRef>
          </c:val>
        </c:ser>
        <c:ser>
          <c:idx val="2"/>
          <c:order val="2"/>
          <c:tx>
            <c:strRef>
              <c:f>Northpower!$B$115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Northpower!$C$112:$F$112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Northpower!$C$115:$F$115</c:f>
              <c:numCache>
                <c:formatCode>General</c:formatCode>
                <c:ptCount val="4"/>
                <c:pt idx="0">
                  <c:v>121566</c:v>
                </c:pt>
                <c:pt idx="1">
                  <c:v>122774</c:v>
                </c:pt>
                <c:pt idx="2">
                  <c:v>125409</c:v>
                </c:pt>
                <c:pt idx="3">
                  <c:v>134330</c:v>
                </c:pt>
              </c:numCache>
            </c:numRef>
          </c:val>
        </c:ser>
        <c:ser>
          <c:idx val="3"/>
          <c:order val="3"/>
          <c:tx>
            <c:strRef>
              <c:f>Northpower!$B$116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Northpower!$C$112:$F$112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Northpower!$C$116:$F$116</c:f>
              <c:numCache>
                <c:formatCode>General</c:formatCode>
                <c:ptCount val="4"/>
                <c:pt idx="0">
                  <c:v>453611</c:v>
                </c:pt>
                <c:pt idx="1">
                  <c:v>445191</c:v>
                </c:pt>
                <c:pt idx="2">
                  <c:v>418178</c:v>
                </c:pt>
                <c:pt idx="3">
                  <c:v>429278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161344"/>
        <c:axId val="157162880"/>
      </c:barChart>
      <c:catAx>
        <c:axId val="15716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7162880"/>
        <c:crosses val="autoZero"/>
        <c:auto val="1"/>
        <c:lblAlgn val="ctr"/>
        <c:lblOffset val="100"/>
        <c:noMultiLvlLbl val="0"/>
      </c:catAx>
      <c:valAx>
        <c:axId val="157162880"/>
        <c:scaling>
          <c:orientation val="minMax"/>
          <c:max val="100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7161344"/>
        <c:crosses val="autoZero"/>
        <c:crossBetween val="between"/>
        <c:majorUnit val="200000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Northpower!$U$138:$U$144</c:f>
              <c:strCache>
                <c:ptCount val="7"/>
                <c:pt idx="0">
                  <c:v>General management, admin and overheads</c:v>
                </c:pt>
                <c:pt idx="1">
                  <c:v>Refurbishment and renewal maintenance</c:v>
                </c:pt>
                <c:pt idx="2">
                  <c:v>Other</c:v>
                </c:pt>
                <c:pt idx="3">
                  <c:v>Routine and preventative maintenance</c:v>
                </c:pt>
                <c:pt idx="4">
                  <c:v>Fault and emergency maintenance</c:v>
                </c:pt>
                <c:pt idx="5">
                  <c:v>System management and operations</c:v>
                </c:pt>
                <c:pt idx="6">
                  <c:v>Pass-through costs</c:v>
                </c:pt>
              </c:strCache>
            </c:strRef>
          </c:cat>
          <c:val>
            <c:numRef>
              <c:f>Northpower!$V$138:$V$144</c:f>
              <c:numCache>
                <c:formatCode>General</c:formatCode>
                <c:ptCount val="7"/>
                <c:pt idx="0">
                  <c:v>5940.732</c:v>
                </c:pt>
                <c:pt idx="1">
                  <c:v>3172</c:v>
                </c:pt>
                <c:pt idx="2">
                  <c:v>1912</c:v>
                </c:pt>
                <c:pt idx="3">
                  <c:v>1659</c:v>
                </c:pt>
                <c:pt idx="4">
                  <c:v>1285</c:v>
                </c:pt>
                <c:pt idx="5">
                  <c:v>617</c:v>
                </c:pt>
                <c:pt idx="6">
                  <c:v>208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57191552"/>
        <c:axId val="157201536"/>
      </c:barChart>
      <c:catAx>
        <c:axId val="157191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7201536"/>
        <c:crosses val="autoZero"/>
        <c:auto val="1"/>
        <c:lblAlgn val="ctr"/>
        <c:lblOffset val="100"/>
        <c:noMultiLvlLbl val="0"/>
      </c:catAx>
      <c:valAx>
        <c:axId val="157201536"/>
        <c:scaling>
          <c:orientation val="minMax"/>
          <c:max val="60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7191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062656250000322"/>
          <c:y val="5.1014483439099333E-2"/>
          <c:w val="0.70720364583333328"/>
          <c:h val="0.8328039561239122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Northpower!$U$186:$U$191</c:f>
              <c:strCache>
                <c:ptCount val="6"/>
                <c:pt idx="0">
                  <c:v>Asset replacement and renewal</c:v>
                </c:pt>
                <c:pt idx="1">
                  <c:v>System growth</c:v>
                </c:pt>
                <c:pt idx="2">
                  <c:v>Non-network capex</c:v>
                </c:pt>
                <c:pt idx="3">
                  <c:v>Customer connection</c:v>
                </c:pt>
                <c:pt idx="4">
                  <c:v>Reliability, safety and environment</c:v>
                </c:pt>
                <c:pt idx="5">
                  <c:v>Asset relocations</c:v>
                </c:pt>
              </c:strCache>
            </c:strRef>
          </c:cat>
          <c:val>
            <c:numRef>
              <c:f>Northpower!$V$186:$V$191</c:f>
              <c:numCache>
                <c:formatCode>General</c:formatCode>
                <c:ptCount val="6"/>
                <c:pt idx="0">
                  <c:v>7.4189999999999996</c:v>
                </c:pt>
                <c:pt idx="1">
                  <c:v>1.5860000000000001</c:v>
                </c:pt>
                <c:pt idx="2">
                  <c:v>0.73299999999999998</c:v>
                </c:pt>
                <c:pt idx="3">
                  <c:v>0.59399999999999997</c:v>
                </c:pt>
                <c:pt idx="4">
                  <c:v>0.20300000000000001</c:v>
                </c:pt>
                <c:pt idx="5">
                  <c:v>2.4E-2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57496064"/>
        <c:axId val="157497600"/>
      </c:barChart>
      <c:catAx>
        <c:axId val="157496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7497600"/>
        <c:crosses val="autoZero"/>
        <c:auto val="1"/>
        <c:lblAlgn val="ctr"/>
        <c:lblOffset val="100"/>
        <c:noMultiLvlLbl val="0"/>
      </c:catAx>
      <c:valAx>
        <c:axId val="157497600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74960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68744841764"/>
          <c:h val="0.82404629629630965"/>
        </c:manualLayout>
      </c:layout>
      <c:lineChart>
        <c:grouping val="standard"/>
        <c:varyColors val="0"/>
        <c:ser>
          <c:idx val="0"/>
          <c:order val="0"/>
          <c:tx>
            <c:strRef>
              <c:f>Northpower!$B$76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1.763935185185185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Northpower!$C$76:$F$76</c:f>
              <c:numCache>
                <c:formatCode>0.0</c:formatCode>
                <c:ptCount val="4"/>
                <c:pt idx="0">
                  <c:v>100</c:v>
                </c:pt>
                <c:pt idx="1">
                  <c:v>105.23658141661178</c:v>
                </c:pt>
                <c:pt idx="2">
                  <c:v>113.88845385267471</c:v>
                </c:pt>
                <c:pt idx="3">
                  <c:v>112.26126557776502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Northpower!$B$77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1.763842592592592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Northpower!$C$77:$F$77</c:f>
              <c:numCache>
                <c:formatCode>0.0</c:formatCode>
                <c:ptCount val="4"/>
                <c:pt idx="0">
                  <c:v>100</c:v>
                </c:pt>
                <c:pt idx="1">
                  <c:v>103.05650374935374</c:v>
                </c:pt>
                <c:pt idx="2">
                  <c:v>111.73545827178724</c:v>
                </c:pt>
                <c:pt idx="3">
                  <c:v>106.79464513343126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Northpower!$B$78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4.8046296296296934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Northpower!$C$78:$F$78</c:f>
              <c:numCache>
                <c:formatCode>0.0</c:formatCode>
                <c:ptCount val="4"/>
                <c:pt idx="0">
                  <c:v>100</c:v>
                </c:pt>
                <c:pt idx="1">
                  <c:v>106.28940157040341</c:v>
                </c:pt>
                <c:pt idx="2">
                  <c:v>107.00306686894352</c:v>
                </c:pt>
                <c:pt idx="3">
                  <c:v>110.87021389521033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Northpower!$B$79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1.175925925925926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Northpower!$C$79:$F$79</c:f>
              <c:numCache>
                <c:formatCode>0.0</c:formatCode>
                <c:ptCount val="4"/>
                <c:pt idx="0">
                  <c:v>100</c:v>
                </c:pt>
                <c:pt idx="1">
                  <c:v>112.98091341133608</c:v>
                </c:pt>
                <c:pt idx="2">
                  <c:v>119.40408280985693</c:v>
                </c:pt>
                <c:pt idx="3">
                  <c:v>102.40659494081659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292032"/>
        <c:axId val="157293568"/>
      </c:lineChart>
      <c:catAx>
        <c:axId val="15729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7293568"/>
        <c:crosses val="autoZero"/>
        <c:auto val="1"/>
        <c:lblAlgn val="ctr"/>
        <c:lblOffset val="100"/>
        <c:noMultiLvlLbl val="0"/>
      </c:catAx>
      <c:valAx>
        <c:axId val="157293568"/>
        <c:scaling>
          <c:orientation val="minMax"/>
          <c:max val="13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7292032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Aurora!$B$209</c:f>
              <c:strCache>
                <c:ptCount val="1"/>
                <c:pt idx="0">
                  <c:v>Alpine Energy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48497680395831788"/>
                  <c:y val="8.651406873211529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</a:t>
                    </a:r>
                    <a:r>
                      <a:rPr lang="en-US"/>
                      <a:t>urora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Aurora!$C$209:$F$209</c:f>
              <c:numCache>
                <c:formatCode>_(* #,##0.00_);_(* \(#,##0.00\);_(* "-"??_);_(@_)</c:formatCode>
                <c:ptCount val="4"/>
                <c:pt idx="0">
                  <c:v>15338.966188135511</c:v>
                </c:pt>
                <c:pt idx="1">
                  <c:v>15187.440907653647</c:v>
                </c:pt>
                <c:pt idx="2">
                  <c:v>17272.002465657442</c:v>
                </c:pt>
                <c:pt idx="3">
                  <c:v>18003.88746682979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Aurora!$B$210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cat>
            <c:numRef>
              <c:f>Aurora!$C$204:$F$204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615232"/>
        <c:axId val="117621120"/>
      </c:lineChart>
      <c:catAx>
        <c:axId val="11761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7621120"/>
        <c:crosses val="autoZero"/>
        <c:auto val="1"/>
        <c:lblAlgn val="ctr"/>
        <c:lblOffset val="100"/>
        <c:noMultiLvlLbl val="0"/>
      </c:catAx>
      <c:valAx>
        <c:axId val="117621120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7615232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32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465"/>
          <c:y val="0.16445370370370369"/>
          <c:w val="0.70330041907982266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Northpower!$B$70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Northpower!$C$69:$F$69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Northpower!$C$70:$F$70</c:f>
              <c:numCache>
                <c:formatCode>0</c:formatCode>
                <c:ptCount val="4"/>
                <c:pt idx="0">
                  <c:v>504.16397998797191</c:v>
                </c:pt>
                <c:pt idx="1">
                  <c:v>530.56493727327245</c:v>
                </c:pt>
                <c:pt idx="2">
                  <c:v>574.18456169040962</c:v>
                </c:pt>
                <c:pt idx="3">
                  <c:v>565.9808645217272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46432"/>
        <c:axId val="157348224"/>
      </c:lineChart>
      <c:catAx>
        <c:axId val="15734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7348224"/>
        <c:crosses val="autoZero"/>
        <c:auto val="1"/>
        <c:lblAlgn val="ctr"/>
        <c:lblOffset val="100"/>
        <c:noMultiLvlLbl val="0"/>
      </c:catAx>
      <c:valAx>
        <c:axId val="157348224"/>
        <c:scaling>
          <c:orientation val="minMax"/>
          <c:max val="800"/>
          <c:min val="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57346432"/>
        <c:crosses val="autoZero"/>
        <c:crossBetween val="midCat"/>
        <c:majorUnit val="8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93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904"/>
          <c:y val="0.17621296296296779"/>
          <c:w val="0.73692152777777775"/>
          <c:h val="0.5728240740740983"/>
        </c:manualLayout>
      </c:layout>
      <c:lineChart>
        <c:grouping val="standard"/>
        <c:varyColors val="0"/>
        <c:ser>
          <c:idx val="1"/>
          <c:order val="0"/>
          <c:tx>
            <c:strRef>
              <c:f>Northpower!$B$71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Northpower!$C$69:$F$69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Northpower!$C$71:$F$71</c:f>
              <c:numCache>
                <c:formatCode>0</c:formatCode>
                <c:ptCount val="4"/>
                <c:pt idx="0">
                  <c:v>1026.0925823327027</c:v>
                </c:pt>
                <c:pt idx="1">
                  <c:v>1057.4551405835423</c:v>
                </c:pt>
                <c:pt idx="2">
                  <c:v>1146.5092491622611</c:v>
                </c:pt>
                <c:pt idx="3">
                  <c:v>1095.8119320426708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36320"/>
        <c:axId val="144537856"/>
      </c:lineChart>
      <c:catAx>
        <c:axId val="14453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4537856"/>
        <c:crosses val="autoZero"/>
        <c:auto val="1"/>
        <c:lblAlgn val="ctr"/>
        <c:lblOffset val="100"/>
        <c:noMultiLvlLbl val="0"/>
      </c:catAx>
      <c:valAx>
        <c:axId val="144537856"/>
        <c:scaling>
          <c:orientation val="minMax"/>
          <c:max val="1500"/>
          <c:min val="75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4536320"/>
        <c:crosses val="autoZero"/>
        <c:crossBetween val="midCat"/>
        <c:majorUnit val="1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95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Northpower!$B$72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Northpower!$C$69:$F$69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Northpower!$C$72:$F$72</c:f>
              <c:numCache>
                <c:formatCode>0</c:formatCode>
                <c:ptCount val="4"/>
                <c:pt idx="0">
                  <c:v>14511.62423220146</c:v>
                </c:pt>
                <c:pt idx="1">
                  <c:v>15424.318554552579</c:v>
                </c:pt>
                <c:pt idx="2">
                  <c:v>15527.882980952341</c:v>
                </c:pt>
                <c:pt idx="3">
                  <c:v>16089.068825910932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62432"/>
        <c:axId val="157425664"/>
      </c:lineChart>
      <c:catAx>
        <c:axId val="14456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7425664"/>
        <c:crosses val="autoZero"/>
        <c:auto val="1"/>
        <c:lblAlgn val="ctr"/>
        <c:lblOffset val="100"/>
        <c:noMultiLvlLbl val="0"/>
      </c:catAx>
      <c:valAx>
        <c:axId val="157425664"/>
        <c:scaling>
          <c:orientation val="minMax"/>
          <c:max val="20000"/>
          <c:min val="1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456243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Northpower!$B$73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Northpower!$C$69:$F$69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Northpower!$C$73:$F$73</c:f>
              <c:numCache>
                <c:formatCode>0</c:formatCode>
                <c:ptCount val="4"/>
                <c:pt idx="0">
                  <c:v>1210273.6163782042</c:v>
                </c:pt>
                <c:pt idx="1">
                  <c:v>1367378.1865605046</c:v>
                </c:pt>
                <c:pt idx="2">
                  <c:v>1445116.1111260811</c:v>
                </c:pt>
                <c:pt idx="3">
                  <c:v>1239400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46144"/>
        <c:axId val="157447680"/>
      </c:lineChart>
      <c:catAx>
        <c:axId val="15744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7447680"/>
        <c:crosses val="autoZero"/>
        <c:auto val="1"/>
        <c:lblAlgn val="ctr"/>
        <c:lblOffset val="100"/>
        <c:noMultiLvlLbl val="0"/>
      </c:catAx>
      <c:valAx>
        <c:axId val="157447680"/>
        <c:scaling>
          <c:orientation val="minMax"/>
          <c:max val="2000000"/>
          <c:min val="10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57446144"/>
        <c:crosses val="autoZero"/>
        <c:crossBetween val="midCat"/>
        <c:majorUnit val="2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58"/>
          <c:y val="6.4675925925925928E-2"/>
          <c:w val="0.82249007638262572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Northpower!$B$105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3132146746468185E-3"/>
                  <c:y val="2.35180555555555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Northpower!$C$105:$F$105</c:f>
              <c:numCache>
                <c:formatCode>0.0</c:formatCode>
                <c:ptCount val="4"/>
                <c:pt idx="0">
                  <c:v>100</c:v>
                </c:pt>
                <c:pt idx="1">
                  <c:v>101.2753650673241</c:v>
                </c:pt>
                <c:pt idx="2">
                  <c:v>102.51280106201403</c:v>
                </c:pt>
                <c:pt idx="3">
                  <c:v>103.81424236677412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Northpower!$B$106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7360850460383787"/>
                  <c:y val="-1.3888888888889379E-6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Northpower!$C$106:$F$106</c:f>
              <c:numCache>
                <c:formatCode>0.0</c:formatCode>
                <c:ptCount val="4"/>
                <c:pt idx="0">
                  <c:v>100</c:v>
                </c:pt>
                <c:pt idx="1">
                  <c:v>99.158512720156551</c:v>
                </c:pt>
                <c:pt idx="2">
                  <c:v>97.524461839530332</c:v>
                </c:pt>
                <c:pt idx="3">
                  <c:v>99.060665362035223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Northpower!$B$107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6287537684507693E-3"/>
                  <c:y val="-2.939814814814803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Northpower!$C$107:$F$107</c:f>
              <c:numCache>
                <c:formatCode>0.0</c:formatCode>
                <c:ptCount val="4"/>
                <c:pt idx="0">
                  <c:v>100</c:v>
                </c:pt>
                <c:pt idx="1">
                  <c:v>100.6423982869379</c:v>
                </c:pt>
                <c:pt idx="2">
                  <c:v>104.92505353319058</c:v>
                </c:pt>
                <c:pt idx="3">
                  <c:v>105.78158458244111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39360"/>
        <c:axId val="157840896"/>
      </c:lineChart>
      <c:catAx>
        <c:axId val="15783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7840896"/>
        <c:crosses val="autoZero"/>
        <c:auto val="1"/>
        <c:lblAlgn val="ctr"/>
        <c:lblOffset val="100"/>
        <c:noMultiLvlLbl val="0"/>
      </c:catAx>
      <c:valAx>
        <c:axId val="157840896"/>
        <c:scaling>
          <c:orientation val="minMax"/>
          <c:max val="13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7839360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2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Northpower!$B$98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Northpower!$C$97:$F$97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Northpower!$C$98:$F$98</c:f>
              <c:numCache>
                <c:formatCode>General</c:formatCode>
                <c:ptCount val="4"/>
                <c:pt idx="0">
                  <c:v>42184</c:v>
                </c:pt>
                <c:pt idx="1">
                  <c:v>42722</c:v>
                </c:pt>
                <c:pt idx="2">
                  <c:v>43244</c:v>
                </c:pt>
                <c:pt idx="3">
                  <c:v>43793</c:v>
                </c:pt>
              </c:numCache>
            </c:numRef>
          </c:val>
        </c:ser>
        <c:ser>
          <c:idx val="1"/>
          <c:order val="1"/>
          <c:tx>
            <c:strRef>
              <c:f>Northpower!$B$99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Northpower!$C$97:$F$97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Northpower!$C$99:$F$99</c:f>
              <c:numCache>
                <c:formatCode>General</c:formatCode>
                <c:ptCount val="4"/>
                <c:pt idx="0">
                  <c:v>10220</c:v>
                </c:pt>
                <c:pt idx="1">
                  <c:v>10134</c:v>
                </c:pt>
                <c:pt idx="2">
                  <c:v>9967</c:v>
                </c:pt>
                <c:pt idx="3">
                  <c:v>10124</c:v>
                </c:pt>
              </c:numCache>
            </c:numRef>
          </c:val>
        </c:ser>
        <c:ser>
          <c:idx val="2"/>
          <c:order val="2"/>
          <c:tx>
            <c:strRef>
              <c:f>Northpower!$B$100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Northpower!$C$97:$F$97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Northpower!$C$100:$F$100</c:f>
              <c:numCache>
                <c:formatCode>General</c:formatCode>
                <c:ptCount val="4"/>
                <c:pt idx="0">
                  <c:v>467</c:v>
                </c:pt>
                <c:pt idx="1">
                  <c:v>470</c:v>
                </c:pt>
                <c:pt idx="2">
                  <c:v>490</c:v>
                </c:pt>
                <c:pt idx="3">
                  <c:v>494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875584"/>
        <c:axId val="157889664"/>
      </c:barChart>
      <c:catAx>
        <c:axId val="15787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7889664"/>
        <c:crosses val="autoZero"/>
        <c:auto val="1"/>
        <c:lblAlgn val="ctr"/>
        <c:lblOffset val="100"/>
        <c:noMultiLvlLbl val="0"/>
      </c:catAx>
      <c:valAx>
        <c:axId val="15788966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7875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3.5277777777779448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Northpower!$B$209</c:f>
              <c:strCache>
                <c:ptCount val="1"/>
                <c:pt idx="0">
                  <c:v>Northpower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Northpower!$C$204:$F$204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Northpower!$C$209:$F$209</c:f>
              <c:numCache>
                <c:formatCode>_(* #,##0.00_);_(* \(#,##0.00\);_(* "-"??_);_(@_)</c:formatCode>
                <c:ptCount val="4"/>
                <c:pt idx="0">
                  <c:v>5840.115806620749</c:v>
                </c:pt>
                <c:pt idx="1">
                  <c:v>8872.9562219079417</c:v>
                </c:pt>
                <c:pt idx="2">
                  <c:v>12256.345496131267</c:v>
                </c:pt>
                <c:pt idx="3">
                  <c:v>11035.605740730676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Northpower!$B$210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Northpower!$C$204:$F$204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23968"/>
        <c:axId val="157933952"/>
      </c:lineChart>
      <c:catAx>
        <c:axId val="15792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7933952"/>
        <c:crosses val="autoZero"/>
        <c:auto val="1"/>
        <c:lblAlgn val="ctr"/>
        <c:lblOffset val="100"/>
        <c:noMultiLvlLbl val="0"/>
      </c:catAx>
      <c:valAx>
        <c:axId val="157933952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7923968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3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Northpower!$C$204:$F$204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Northpower!$C$212:$F$212</c:f>
              <c:numCache>
                <c:formatCode>_(* #,##0.00_);_(* \(#,##0.00\);_(* "-"??_);_(@_)</c:formatCode>
                <c:ptCount val="4"/>
                <c:pt idx="0">
                  <c:v>2.8402324137051727E-2</c:v>
                </c:pt>
                <c:pt idx="1">
                  <c:v>4.2045672386798169E-2</c:v>
                </c:pt>
                <c:pt idx="2">
                  <c:v>5.5946707299188242E-2</c:v>
                </c:pt>
                <c:pt idx="3">
                  <c:v>4.8157348606618043E-2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9527956499298913E-4"/>
                  <c:y val="-4.251444588449208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Northpower!$C$204:$F$204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53632"/>
        <c:axId val="157675904"/>
      </c:lineChart>
      <c:catAx>
        <c:axId val="15765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7675904"/>
        <c:crosses val="autoZero"/>
        <c:auto val="1"/>
        <c:lblAlgn val="ctr"/>
        <c:lblOffset val="100"/>
        <c:noMultiLvlLbl val="0"/>
      </c:catAx>
      <c:valAx>
        <c:axId val="157675904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7653632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32"/>
          <c:w val="0.79809047321242665"/>
          <c:h val="0.72979551178440372"/>
        </c:manualLayout>
      </c:layout>
      <c:lineChart>
        <c:grouping val="standard"/>
        <c:varyColors val="0"/>
        <c:ser>
          <c:idx val="0"/>
          <c:order val="0"/>
          <c:tx>
            <c:strRef>
              <c:f>Northpower!$B$206</c:f>
              <c:strCache>
                <c:ptCount val="1"/>
                <c:pt idx="0">
                  <c:v>Northpower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Northpower!$C$204:$F$204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Northpower!$C$206:$F$206</c:f>
              <c:numCache>
                <c:formatCode>_(* #,##0.00_);_(* \(#,##0.00\);_(* "-"??_);_(@_)</c:formatCode>
                <c:ptCount val="4"/>
                <c:pt idx="0">
                  <c:v>107.14518386915972</c:v>
                </c:pt>
                <c:pt idx="1">
                  <c:v>160.61063986670558</c:v>
                </c:pt>
                <c:pt idx="2">
                  <c:v>216.89094263405732</c:v>
                </c:pt>
                <c:pt idx="3">
                  <c:v>194.0421934725081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Northpower!$B$207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5988850572340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Northpower!$C$204:$F$204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695360"/>
        <c:axId val="157721728"/>
      </c:lineChart>
      <c:catAx>
        <c:axId val="15769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7721728"/>
        <c:crosses val="autoZero"/>
        <c:auto val="1"/>
        <c:lblAlgn val="ctr"/>
        <c:lblOffset val="100"/>
        <c:noMultiLvlLbl val="0"/>
      </c:catAx>
      <c:valAx>
        <c:axId val="157721728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7695360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316923938906441"/>
          <c:y val="0.13550222222222241"/>
          <c:w val="0.7426448907252255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Northpower!$B$162</c:f>
              <c:strCache>
                <c:ptCount val="1"/>
                <c:pt idx="0">
                  <c:v>Northpower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Northpower!$C$160:$F$160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Northpower!$C$162:$F$162</c:f>
              <c:numCache>
                <c:formatCode>_(* #,##0.00_);_(* \(#,##0.00\);_(* "-"??_);_(@_)</c:formatCode>
                <c:ptCount val="4"/>
                <c:pt idx="0">
                  <c:v>296.74424472535696</c:v>
                </c:pt>
                <c:pt idx="1">
                  <c:v>310.9651053411086</c:v>
                </c:pt>
                <c:pt idx="2">
                  <c:v>294.82219360411841</c:v>
                </c:pt>
                <c:pt idx="3">
                  <c:v>271.86364304616285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Northpower!$B$163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1117006506365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Northpower!$C$160:$F$160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18880"/>
        <c:axId val="158220672"/>
      </c:lineChart>
      <c:catAx>
        <c:axId val="1582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8220672"/>
        <c:crosses val="autoZero"/>
        <c:auto val="1"/>
        <c:lblAlgn val="ctr"/>
        <c:lblOffset val="100"/>
        <c:noMultiLvlLbl val="0"/>
      </c:catAx>
      <c:valAx>
        <c:axId val="158220672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821888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1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187730385147340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</a:t>
                    </a:r>
                    <a:r>
                      <a:rPr lang="en-US"/>
                      <a:t>urora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Aurora!$C$212:$F$212</c:f>
              <c:numCache>
                <c:formatCode>_(* #,##0.00_);_(* \(#,##0.00\);_(* "-"??_);_(@_)</c:formatCode>
                <c:ptCount val="4"/>
                <c:pt idx="0">
                  <c:v>6.9802405911692497E-2</c:v>
                </c:pt>
                <c:pt idx="1">
                  <c:v>6.6647833781705648E-2</c:v>
                </c:pt>
                <c:pt idx="2">
                  <c:v>7.3240127299698823E-2</c:v>
                </c:pt>
                <c:pt idx="3">
                  <c:v>6.9197255041049843E-2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cat>
            <c:numRef>
              <c:f>Aurora!$C$204:$F$204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39520"/>
        <c:axId val="117741056"/>
      </c:lineChart>
      <c:catAx>
        <c:axId val="11773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7741056"/>
        <c:crosses val="autoZero"/>
        <c:auto val="1"/>
        <c:lblAlgn val="ctr"/>
        <c:lblOffset val="100"/>
        <c:noMultiLvlLbl val="0"/>
      </c:catAx>
      <c:valAx>
        <c:axId val="117741056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7739520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9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Northpower!$C$160:$F$160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Northpower!$C$165:$F$165</c:f>
              <c:numCache>
                <c:formatCode>_(* #,##0.00_);_(* \(#,##0.00\);_(* "-"??_);_(@_)</c:formatCode>
                <c:ptCount val="4"/>
                <c:pt idx="0">
                  <c:v>2725.9639826438452</c:v>
                </c:pt>
                <c:pt idx="1">
                  <c:v>2947.2329896830747</c:v>
                </c:pt>
                <c:pt idx="2">
                  <c:v>2716.3699999490104</c:v>
                </c:pt>
                <c:pt idx="3">
                  <c:v>2539.2605561277037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2730151815203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Northpower!$C$160:$F$160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62784"/>
        <c:axId val="158264320"/>
      </c:lineChart>
      <c:catAx>
        <c:axId val="15826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8264320"/>
        <c:crosses val="autoZero"/>
        <c:auto val="1"/>
        <c:lblAlgn val="ctr"/>
        <c:lblOffset val="100"/>
        <c:noMultiLvlLbl val="0"/>
      </c:catAx>
      <c:valAx>
        <c:axId val="158264320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58262784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20078265003841"/>
          <c:y val="0.13550222222222241"/>
          <c:w val="0.7361753595853901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Northpower!$B$168</c:f>
              <c:strCache>
                <c:ptCount val="1"/>
                <c:pt idx="0">
                  <c:v>Northpower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Northpower!$C$160:$F$160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Northpower!$C$168:$F$168</c:f>
              <c:numCache>
                <c:formatCode>_(* #,##0.00_);_(* \(#,##0.00\);_(* "-"??_);_(@_)</c:formatCode>
                <c:ptCount val="4"/>
                <c:pt idx="0">
                  <c:v>16.174509124559158</c:v>
                </c:pt>
                <c:pt idx="1">
                  <c:v>17.179308721530241</c:v>
                </c:pt>
                <c:pt idx="2">
                  <c:v>16.660182397916213</c:v>
                </c:pt>
                <c:pt idx="3">
                  <c:v>15.461482506490306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Northpower!$B$169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815600867515448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Northpower!$C$160:$F$160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86880"/>
        <c:axId val="157788416"/>
      </c:lineChart>
      <c:catAx>
        <c:axId val="15778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7788416"/>
        <c:crosses val="autoZero"/>
        <c:auto val="1"/>
        <c:lblAlgn val="ctr"/>
        <c:lblOffset val="100"/>
        <c:noMultiLvlLbl val="0"/>
      </c:catAx>
      <c:valAx>
        <c:axId val="157788416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7786880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813"/>
          <c:h val="0.77599166666669928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Northpower!$B$178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Northpower!$C$178:$D$178</c:f>
              <c:numCache>
                <c:formatCode>_-* #,##0_-;\-* #,##0_-;_-* "-"??_-;_-@_-</c:formatCode>
                <c:ptCount val="2"/>
                <c:pt idx="0">
                  <c:v>6779.3306566786123</c:v>
                </c:pt>
                <c:pt idx="1">
                  <c:v>6116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58344704"/>
        <c:axId val="158346240"/>
      </c:barChart>
      <c:lineChart>
        <c:grouping val="standard"/>
        <c:varyColors val="0"/>
        <c:ser>
          <c:idx val="1"/>
          <c:order val="0"/>
          <c:tx>
            <c:strRef>
              <c:f>Northpower!$B$179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Northpower!$C$177:$D$177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Northpower!$C$179:$D$179</c:f>
              <c:numCache>
                <c:formatCode>_-* #,##0_-;\-* #,##0_-;_-* "-"??_-;_-@_-</c:formatCode>
                <c:ptCount val="2"/>
                <c:pt idx="0">
                  <c:v>7103.3203093422426</c:v>
                </c:pt>
                <c:pt idx="1">
                  <c:v>7295.8801972460988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Northpower!$B$180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Northpower!$C$177:$D$177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Northpower!$C$180:$D$180</c:f>
              <c:numCache>
                <c:formatCode>_-* #,##0_-;\-* #,##0_-;_-* "-"??_-;_-@_-</c:formatCode>
                <c:ptCount val="2"/>
                <c:pt idx="1">
                  <c:v>7641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44704"/>
        <c:axId val="158346240"/>
      </c:lineChart>
      <c:catAx>
        <c:axId val="15834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8346240"/>
        <c:crosses val="autoZero"/>
        <c:auto val="1"/>
        <c:lblAlgn val="ctr"/>
        <c:lblOffset val="100"/>
        <c:noMultiLvlLbl val="0"/>
      </c:catAx>
      <c:valAx>
        <c:axId val="15834624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8344704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326"/>
          <c:y val="3.5277777777779476E-2"/>
          <c:w val="0.7717227593675065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Northpower!$V$177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6.5996527777777772E-2"/>
                  <c:y val="-2.939814814814807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Northpower!$W$177:$AC$177</c:f>
              <c:numCache>
                <c:formatCode>General</c:formatCode>
                <c:ptCount val="7"/>
                <c:pt idx="0">
                  <c:v>7103.3203093422426</c:v>
                </c:pt>
                <c:pt idx="1">
                  <c:v>7295.8801972460988</c:v>
                </c:pt>
                <c:pt idx="2">
                  <c:v>7295.8801972460988</c:v>
                </c:pt>
                <c:pt idx="3">
                  <c:v>7295.8801972460988</c:v>
                </c:pt>
                <c:pt idx="4">
                  <c:v>7295.8801972460988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Northpower!$V$178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9.7448611111110459E-2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Northpower!$W$178:$AC$178</c:f>
              <c:numCache>
                <c:formatCode>General</c:formatCode>
                <c:ptCount val="7"/>
                <c:pt idx="1">
                  <c:v>7641</c:v>
                </c:pt>
                <c:pt idx="2">
                  <c:v>7369</c:v>
                </c:pt>
                <c:pt idx="3">
                  <c:v>7606</c:v>
                </c:pt>
                <c:pt idx="4">
                  <c:v>7848</c:v>
                </c:pt>
                <c:pt idx="5">
                  <c:v>8098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Northpower!$V$179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90331674135473E-5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Northpower!$W$179:$AC$179</c:f>
              <c:numCache>
                <c:formatCode>General</c:formatCode>
                <c:ptCount val="7"/>
                <c:pt idx="2">
                  <c:v>6759.362378797673</c:v>
                </c:pt>
                <c:pt idx="3">
                  <c:v>6926.5378151260502</c:v>
                </c:pt>
                <c:pt idx="4">
                  <c:v>6957.8221073044597</c:v>
                </c:pt>
                <c:pt idx="5">
                  <c:v>7121.0870071105364</c:v>
                </c:pt>
                <c:pt idx="6">
                  <c:v>7295.1058823529411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Northpower!$V$176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1023854166666666"/>
                  <c:y val="9.407314814814822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Northpower!$C$178:$I$178</c:f>
              <c:numCache>
                <c:formatCode>_-* #,##0_-;\-* #,##0_-;_-* "-"??_-;_-@_-</c:formatCode>
                <c:ptCount val="7"/>
                <c:pt idx="0">
                  <c:v>6779.3306566786123</c:v>
                </c:pt>
                <c:pt idx="1">
                  <c:v>6116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07296"/>
        <c:axId val="158425472"/>
      </c:lineChart>
      <c:catAx>
        <c:axId val="15840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8425472"/>
        <c:crosses val="autoZero"/>
        <c:auto val="1"/>
        <c:lblAlgn val="ctr"/>
        <c:lblOffset val="100"/>
        <c:noMultiLvlLbl val="0"/>
      </c:catAx>
      <c:valAx>
        <c:axId val="158425472"/>
        <c:scaling>
          <c:orientation val="minMax"/>
          <c:max val="10000"/>
          <c:min val="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8407296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7066"/>
          <c:h val="0.7757828703703907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Northpower!$B$222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Northpower!$C$222:$D$222</c:f>
              <c:numCache>
                <c:formatCode>_-* #,##0_-;\-* #,##0_-;_-* "-"??_-;_-@_-</c:formatCode>
                <c:ptCount val="2"/>
                <c:pt idx="0">
                  <c:v>11148.096790708953</c:v>
                </c:pt>
                <c:pt idx="1">
                  <c:v>9826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58460928"/>
        <c:axId val="158483200"/>
      </c:barChart>
      <c:lineChart>
        <c:grouping val="standard"/>
        <c:varyColors val="0"/>
        <c:ser>
          <c:idx val="1"/>
          <c:order val="0"/>
          <c:tx>
            <c:strRef>
              <c:f>Northpower!$B$223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Northpower!$C$221:$D$221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Northpower!$C$223:$D$223</c:f>
              <c:numCache>
                <c:formatCode>_-* #,##0_-;\-* #,##0_-;_-* "-"??_-;_-@_-</c:formatCode>
                <c:ptCount val="2"/>
                <c:pt idx="0">
                  <c:v>11472.086443372584</c:v>
                </c:pt>
                <c:pt idx="1">
                  <c:v>11602.497372746624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Northpower!$B$224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Northpower!$C$221:$D$221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Northpower!$C$224:$D$224</c:f>
              <c:numCache>
                <c:formatCode>_-* #,##0_-;\-* #,##0_-;_-* "-"??_-;_-@_-</c:formatCode>
                <c:ptCount val="2"/>
                <c:pt idx="1">
                  <c:v>11326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60928"/>
        <c:axId val="158483200"/>
      </c:lineChart>
      <c:catAx>
        <c:axId val="15846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8483200"/>
        <c:crosses val="autoZero"/>
        <c:auto val="1"/>
        <c:lblAlgn val="ctr"/>
        <c:lblOffset val="100"/>
        <c:noMultiLvlLbl val="0"/>
      </c:catAx>
      <c:valAx>
        <c:axId val="15848320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8460928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733E-3"/>
          <c:w val="0.90316284722220508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Northpower!$V$221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6.1588793399961116E-2"/>
                  <c:y val="3.527777777777885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Northpower!$W$221:$AC$221</c:f>
              <c:numCache>
                <c:formatCode>General</c:formatCode>
                <c:ptCount val="7"/>
                <c:pt idx="0">
                  <c:v>11472.086443372584</c:v>
                </c:pt>
                <c:pt idx="1">
                  <c:v>11602.497372746624</c:v>
                </c:pt>
                <c:pt idx="2">
                  <c:v>9368.1913718304531</c:v>
                </c:pt>
                <c:pt idx="3">
                  <c:v>9882.7032416264701</c:v>
                </c:pt>
                <c:pt idx="4">
                  <c:v>8222.0015628789297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Northpower!$V$222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5.7286873464508108E-2"/>
                  <c:y val="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Northpower!$W$222:$AC$222</c:f>
              <c:numCache>
                <c:formatCode>General</c:formatCode>
                <c:ptCount val="7"/>
                <c:pt idx="1">
                  <c:v>11326</c:v>
                </c:pt>
                <c:pt idx="2">
                  <c:v>11825</c:v>
                </c:pt>
                <c:pt idx="3">
                  <c:v>11912</c:v>
                </c:pt>
                <c:pt idx="4">
                  <c:v>12407</c:v>
                </c:pt>
                <c:pt idx="5">
                  <c:v>11959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Northpower!$V$223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5702769478500765E-2"/>
                  <c:y val="-4.703750000000002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Northpower!$W$223:$AC$223</c:f>
              <c:numCache>
                <c:formatCode>General</c:formatCode>
                <c:ptCount val="7"/>
                <c:pt idx="2">
                  <c:v>16759.581900452489</c:v>
                </c:pt>
                <c:pt idx="3">
                  <c:v>13183.396250808015</c:v>
                </c:pt>
                <c:pt idx="4">
                  <c:v>11635.801422107304</c:v>
                </c:pt>
                <c:pt idx="5">
                  <c:v>12537.180090497737</c:v>
                </c:pt>
                <c:pt idx="6">
                  <c:v>12842.201939237233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Northpower!$V$220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6.6245739965358291E-2"/>
                  <c:y val="0.1181366866992205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Northpower!$W$219:$AC$219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Northpower!$W$220:$AC$220</c:f>
              <c:numCache>
                <c:formatCode>General</c:formatCode>
                <c:ptCount val="7"/>
                <c:pt idx="0">
                  <c:v>11148.096790708953</c:v>
                </c:pt>
                <c:pt idx="1">
                  <c:v>9826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40544"/>
        <c:axId val="158542080"/>
      </c:lineChart>
      <c:catAx>
        <c:axId val="15854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8542080"/>
        <c:crosses val="autoZero"/>
        <c:auto val="1"/>
        <c:lblAlgn val="ctr"/>
        <c:lblOffset val="100"/>
        <c:noMultiLvlLbl val="0"/>
      </c:catAx>
      <c:valAx>
        <c:axId val="158542080"/>
        <c:scaling>
          <c:orientation val="minMax"/>
          <c:max val="18000"/>
          <c:min val="6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854054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580432834852124E-2"/>
          <c:y val="6.4675925925925928E-2"/>
          <c:w val="0.81851456755219998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Northpower!$B$237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5119858727948663"/>
                  <c:y val="-0.27046296296297057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Northpower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Northpower!$C$236:$F$236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Northpower!$C$237:$F$237</c:f>
              <c:numCache>
                <c:formatCode>_(* #,##0.00_);_(* \(#,##0.00\);_(* "-"??_);_(@_)</c:formatCode>
                <c:ptCount val="4"/>
                <c:pt idx="0">
                  <c:v>4.63</c:v>
                </c:pt>
                <c:pt idx="1">
                  <c:v>3.2530000000000001</c:v>
                </c:pt>
                <c:pt idx="2">
                  <c:v>2.37</c:v>
                </c:pt>
                <c:pt idx="3">
                  <c:v>2.3240000000000003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Northpower!$B$239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8913611806644457"/>
                  <c:y val="4.115694444444445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Northpower!$C$236:$F$236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71520"/>
        <c:axId val="158028544"/>
      </c:lineChart>
      <c:catAx>
        <c:axId val="15857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8028544"/>
        <c:crosses val="autoZero"/>
        <c:auto val="1"/>
        <c:lblAlgn val="ctr"/>
        <c:lblOffset val="100"/>
        <c:noMultiLvlLbl val="0"/>
      </c:catAx>
      <c:valAx>
        <c:axId val="158028544"/>
        <c:scaling>
          <c:orientation val="minMax"/>
          <c:max val="8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857152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2"/>
          <c:y val="6.4675925925925928E-2"/>
          <c:w val="0.79206254113289798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Northpower!$B$230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2033785043339549"/>
                  <c:y val="-0.69967592592592598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Northpower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Northpower!$C$229:$F$229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Northpower!$C$230:$F$230</c:f>
              <c:numCache>
                <c:formatCode>_(* #,##0.00_);_(* \(#,##0.00\);_(* "-"??_);_(@_)</c:formatCode>
                <c:ptCount val="4"/>
                <c:pt idx="0">
                  <c:v>783.08</c:v>
                </c:pt>
                <c:pt idx="1">
                  <c:v>254.34</c:v>
                </c:pt>
                <c:pt idx="2">
                  <c:v>132.30000000000001</c:v>
                </c:pt>
                <c:pt idx="3">
                  <c:v>134.81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Northpower!$B$232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5827543987945145"/>
                  <c:y val="-8.697867826967352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Northpower!$C$229:$F$229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Northpower!$C$232:$F$232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53888"/>
        <c:axId val="158055424"/>
      </c:lineChart>
      <c:catAx>
        <c:axId val="15805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8055424"/>
        <c:crosses val="autoZero"/>
        <c:auto val="1"/>
        <c:lblAlgn val="ctr"/>
        <c:lblOffset val="100"/>
        <c:noMultiLvlLbl val="0"/>
      </c:catAx>
      <c:valAx>
        <c:axId val="158055424"/>
        <c:scaling>
          <c:orientation val="minMax"/>
          <c:max val="8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80538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Orion!$B$26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75808049588"/>
                  <c:y val="-0.3707522469117977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Orion!$C$26:$F$26</c:f>
              <c:numCache>
                <c:formatCode>0</c:formatCode>
                <c:ptCount val="4"/>
                <c:pt idx="0">
                  <c:v>1848.80992272818</c:v>
                </c:pt>
                <c:pt idx="1">
                  <c:v>1893.982807330633</c:v>
                </c:pt>
                <c:pt idx="2">
                  <c:v>1787.4448007329361</c:v>
                </c:pt>
                <c:pt idx="3">
                  <c:v>1818.4</c:v>
                </c:pt>
              </c:numCache>
            </c:numRef>
          </c:val>
        </c:ser>
        <c:ser>
          <c:idx val="1"/>
          <c:order val="1"/>
          <c:tx>
            <c:strRef>
              <c:f>Orion!$B$27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2203719788474355"/>
                  <c:y val="-5.49180320282689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Orion!$C$27:$F$27</c:f>
              <c:numCache>
                <c:formatCode>0</c:formatCode>
                <c:ptCount val="4"/>
                <c:pt idx="0">
                  <c:v>613.22254854438131</c:v>
                </c:pt>
                <c:pt idx="1">
                  <c:v>620.36532363236995</c:v>
                </c:pt>
                <c:pt idx="2">
                  <c:v>646.34916871008591</c:v>
                </c:pt>
                <c:pt idx="3">
                  <c:v>656.79999999999984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498176"/>
        <c:axId val="156381184"/>
      </c:areaChart>
      <c:catAx>
        <c:axId val="15649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6381184"/>
        <c:crosses val="autoZero"/>
        <c:auto val="1"/>
        <c:lblAlgn val="ctr"/>
        <c:lblOffset val="100"/>
        <c:noMultiLvlLbl val="0"/>
      </c:catAx>
      <c:valAx>
        <c:axId val="156381184"/>
        <c:scaling>
          <c:orientation val="minMax"/>
          <c:max val="2500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6498176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6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Orion!$B$28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Orion!$C$25:$F$25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Orion!$C$28:$F$28</c:f>
              <c:numCache>
                <c:formatCode>0</c:formatCode>
                <c:ptCount val="4"/>
                <c:pt idx="0">
                  <c:v>457.97633372301897</c:v>
                </c:pt>
                <c:pt idx="1">
                  <c:v>456.76161713226696</c:v>
                </c:pt>
                <c:pt idx="2">
                  <c:v>465.40400420360538</c:v>
                </c:pt>
                <c:pt idx="3">
                  <c:v>481.6</c:v>
                </c:pt>
              </c:numCache>
            </c:numRef>
          </c:val>
        </c:ser>
        <c:ser>
          <c:idx val="1"/>
          <c:order val="1"/>
          <c:tx>
            <c:strRef>
              <c:f>Orion!$B$29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Orion!$C$25:$F$25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Orion!$C$29:$F$29</c:f>
              <c:numCache>
                <c:formatCode>0</c:formatCode>
                <c:ptCount val="4"/>
                <c:pt idx="0">
                  <c:v>155.24621482136237</c:v>
                </c:pt>
                <c:pt idx="1">
                  <c:v>163.60370650010293</c:v>
                </c:pt>
                <c:pt idx="2">
                  <c:v>180.94516450648058</c:v>
                </c:pt>
                <c:pt idx="3">
                  <c:v>175.2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22912"/>
        <c:axId val="156424448"/>
      </c:barChart>
      <c:catAx>
        <c:axId val="1564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6424448"/>
        <c:crosses val="autoZero"/>
        <c:auto val="1"/>
        <c:lblAlgn val="ctr"/>
        <c:lblOffset val="100"/>
        <c:noMultiLvlLbl val="0"/>
      </c:catAx>
      <c:valAx>
        <c:axId val="156424448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6422912"/>
        <c:crosses val="autoZero"/>
        <c:crossBetween val="between"/>
        <c:majorUnit val="100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608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Aurora!$B$162</c:f>
              <c:strCache>
                <c:ptCount val="1"/>
                <c:pt idx="0">
                  <c:v>Aurora Energy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0579653514820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</a:t>
                    </a:r>
                    <a:r>
                      <a:rPr lang="en-US"/>
                      <a:t>urora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Aurora!$C$160:$F$160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Aurora!$C$162:$F$162</c:f>
              <c:numCache>
                <c:formatCode>_(* #,##0.00_);_(* \(#,##0.00\);_(* "-"??_);_(@_)</c:formatCode>
                <c:ptCount val="4"/>
                <c:pt idx="0">
                  <c:v>245.30794811387219</c:v>
                </c:pt>
                <c:pt idx="1">
                  <c:v>255.03989473258088</c:v>
                </c:pt>
                <c:pt idx="2">
                  <c:v>249.9595770010703</c:v>
                </c:pt>
                <c:pt idx="3">
                  <c:v>238.49262122276878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Aurora!$B$163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cat>
            <c:numRef>
              <c:f>Aurora!$C$160:$F$160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67168"/>
        <c:axId val="118006528"/>
      </c:lineChart>
      <c:catAx>
        <c:axId val="11776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8006528"/>
        <c:crosses val="autoZero"/>
        <c:auto val="1"/>
        <c:lblAlgn val="ctr"/>
        <c:lblOffset val="100"/>
        <c:noMultiLvlLbl val="0"/>
      </c:catAx>
      <c:valAx>
        <c:axId val="118006528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7767168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356"/>
          <c:w val="0.89745624999998286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Orion!$B$40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rgbClr val="1F497D"/>
            </a:solidFill>
          </c:spPr>
          <c:invertIfNegative val="0"/>
          <c:cat>
            <c:numRef>
              <c:f>Orion!$C$39:$E$39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Orion!$C$40:$E$40</c:f>
              <c:numCache>
                <c:formatCode>0</c:formatCode>
                <c:ptCount val="3"/>
                <c:pt idx="0">
                  <c:v>182599.73539391518</c:v>
                </c:pt>
                <c:pt idx="1">
                  <c:v>187287.83444299534</c:v>
                </c:pt>
                <c:pt idx="2">
                  <c:v>193732.5674328366</c:v>
                </c:pt>
              </c:numCache>
            </c:numRef>
          </c:val>
        </c:ser>
        <c:ser>
          <c:idx val="1"/>
          <c:order val="1"/>
          <c:tx>
            <c:strRef>
              <c:f>Orion!$B$41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Orion!$C$39:$E$39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Orion!$C$41:$E$41</c:f>
              <c:numCache>
                <c:formatCode>0</c:formatCode>
                <c:ptCount val="3"/>
                <c:pt idx="0">
                  <c:v>9196.1820307376456</c:v>
                </c:pt>
                <c:pt idx="1">
                  <c:v>9529.7082847141155</c:v>
                </c:pt>
                <c:pt idx="2">
                  <c:v>5519.0312845248036</c:v>
                </c:pt>
              </c:numCache>
            </c:numRef>
          </c:val>
        </c:ser>
        <c:ser>
          <c:idx val="3"/>
          <c:order val="2"/>
          <c:tx>
            <c:strRef>
              <c:f>Orion!$B$42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Orion!$C$39:$E$39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Orion!$C$42:$E$42</c:f>
              <c:numCache>
                <c:formatCode>0</c:formatCode>
                <c:ptCount val="3"/>
                <c:pt idx="0">
                  <c:v>1224.7201391463032</c:v>
                </c:pt>
                <c:pt idx="1">
                  <c:v>1508.3514311208726</c:v>
                </c:pt>
                <c:pt idx="2">
                  <c:v>1278.638409097033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603136"/>
        <c:axId val="156604672"/>
      </c:barChart>
      <c:catAx>
        <c:axId val="15660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6604672"/>
        <c:crosses val="autoZero"/>
        <c:auto val="1"/>
        <c:lblAlgn val="ctr"/>
        <c:lblOffset val="100"/>
        <c:noMultiLvlLbl val="0"/>
      </c:catAx>
      <c:valAx>
        <c:axId val="15660467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6603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82"/>
          <c:h val="0.21171296296296843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799E-2"/>
          <c:y val="9.9262962962965245E-2"/>
          <c:w val="0.82437522447605793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Orion!$B$46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0.23143369896519794"/>
                  <c:y val="-0.168075412128851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Orion!$C$45:$E$45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Orion!$C$46:$E$46</c:f>
              <c:numCache>
                <c:formatCode>0.0</c:formatCode>
                <c:ptCount val="3"/>
                <c:pt idx="0">
                  <c:v>100</c:v>
                </c:pt>
                <c:pt idx="1">
                  <c:v>102.56741831469071</c:v>
                </c:pt>
                <c:pt idx="2">
                  <c:v>106.09685003918818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Orion!$B$47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6.4102564102564083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Orion!$C$45:$E$45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Orion!$C$47:$E$47</c:f>
              <c:numCache>
                <c:formatCode>0.0</c:formatCode>
                <c:ptCount val="3"/>
                <c:pt idx="0">
                  <c:v>100</c:v>
                </c:pt>
                <c:pt idx="1">
                  <c:v>103.62679047523939</c:v>
                </c:pt>
                <c:pt idx="2">
                  <c:v>60.014376249597902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Orion!$B$48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0.18857533159291687"/>
                  <c:y val="3.361508242577048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Orion!$C$45:$E$45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Orion!$C$48:$E$48</c:f>
              <c:numCache>
                <c:formatCode>0.0</c:formatCode>
                <c:ptCount val="3"/>
                <c:pt idx="0">
                  <c:v>100</c:v>
                </c:pt>
                <c:pt idx="1">
                  <c:v>123.15886567949114</c:v>
                </c:pt>
                <c:pt idx="2">
                  <c:v>104.4024972095514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04480"/>
        <c:axId val="159206016"/>
      </c:lineChart>
      <c:catAx>
        <c:axId val="1592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9206016"/>
        <c:crossesAt val="0"/>
        <c:auto val="1"/>
        <c:lblAlgn val="ctr"/>
        <c:lblOffset val="100"/>
        <c:noMultiLvlLbl val="0"/>
      </c:catAx>
      <c:valAx>
        <c:axId val="159206016"/>
        <c:scaling>
          <c:orientation val="minMax"/>
          <c:max val="13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20448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916"/>
          <c:h val="0.702040277777790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Orion!$B$54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Orion!$C$53:$E$53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Orion!$C$54:$E$54</c:f>
              <c:numCache>
                <c:formatCode>0</c:formatCode>
                <c:ptCount val="3"/>
                <c:pt idx="0">
                  <c:v>156243.02489236119</c:v>
                </c:pt>
                <c:pt idx="1">
                  <c:v>159820.88983458022</c:v>
                </c:pt>
                <c:pt idx="2">
                  <c:v>163178.71305003905</c:v>
                </c:pt>
              </c:numCache>
            </c:numRef>
          </c:val>
        </c:ser>
        <c:ser>
          <c:idx val="1"/>
          <c:order val="1"/>
          <c:tx>
            <c:strRef>
              <c:f>Orion!$B$56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Orion!$C$53:$E$53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Orion!$C$56:$E$56</c:f>
              <c:numCache>
                <c:formatCode>0</c:formatCode>
                <c:ptCount val="3"/>
                <c:pt idx="0">
                  <c:v>24012.061418265799</c:v>
                </c:pt>
                <c:pt idx="1">
                  <c:v>25088.773725032595</c:v>
                </c:pt>
                <c:pt idx="2">
                  <c:v>27971.106679960114</c:v>
                </c:pt>
              </c:numCache>
            </c:numRef>
          </c:val>
        </c:ser>
        <c:ser>
          <c:idx val="2"/>
          <c:order val="2"/>
          <c:tx>
            <c:strRef>
              <c:f>Orion!$B$57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Orion!$C$53:$E$53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Orion!$C$57:$E$57</c:f>
              <c:numCache>
                <c:formatCode>0</c:formatCode>
                <c:ptCount val="3"/>
                <c:pt idx="0">
                  <c:v>2344.6490832881868</c:v>
                </c:pt>
                <c:pt idx="1">
                  <c:v>2378.1708833825237</c:v>
                </c:pt>
                <c:pt idx="2">
                  <c:v>2583.766538223168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249536"/>
        <c:axId val="159251072"/>
      </c:barChart>
      <c:catAx>
        <c:axId val="1592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9251072"/>
        <c:crosses val="autoZero"/>
        <c:auto val="1"/>
        <c:lblAlgn val="ctr"/>
        <c:lblOffset val="100"/>
        <c:noMultiLvlLbl val="0"/>
      </c:catAx>
      <c:valAx>
        <c:axId val="159251072"/>
        <c:scaling>
          <c:orientation val="minMax"/>
          <c:max val="165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249536"/>
        <c:crosses val="autoZero"/>
        <c:crossBetween val="between"/>
        <c:majorUnit val="20000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8313481837726857"/>
          <c:h val="0.1222687923347805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1422738982387166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Orion!$B$61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NZ"/>
                      <a:t>Small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4.1675652979340337E-6"/>
                  <c:y val="5.879629629629784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Orion!$C$60:$E$60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Orion!$C$61:$E$61</c:f>
              <c:numCache>
                <c:formatCode>0.0</c:formatCode>
                <c:ptCount val="3"/>
                <c:pt idx="0">
                  <c:v>100</c:v>
                </c:pt>
                <c:pt idx="1">
                  <c:v>102.28993578733123</c:v>
                </c:pt>
                <c:pt idx="2">
                  <c:v>104.43903858265415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Orion!$B$63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"/>
                  <c:y val="-3.0822025856524691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Large 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Orion!$C$60:$E$60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Orion!$C$63:$E$63</c:f>
              <c:numCache>
                <c:formatCode>0.0</c:formatCode>
                <c:ptCount val="3"/>
                <c:pt idx="0">
                  <c:v>100</c:v>
                </c:pt>
                <c:pt idx="1">
                  <c:v>104.48404777920379</c:v>
                </c:pt>
                <c:pt idx="2">
                  <c:v>116.48773586212261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Orion!$B$64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"/>
                  <c:y val="-4.315083619913454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Orion!$C$60:$E$60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Orion!$C$64:$E$64</c:f>
              <c:numCache>
                <c:formatCode>0.0</c:formatCode>
                <c:ptCount val="3"/>
                <c:pt idx="0">
                  <c:v>100</c:v>
                </c:pt>
                <c:pt idx="1">
                  <c:v>101.42971501932925</c:v>
                </c:pt>
                <c:pt idx="2">
                  <c:v>110.19843253471593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11360"/>
        <c:axId val="159312896"/>
      </c:lineChart>
      <c:catAx>
        <c:axId val="15931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9312896"/>
        <c:crosses val="autoZero"/>
        <c:auto val="1"/>
        <c:lblAlgn val="ctr"/>
        <c:lblOffset val="100"/>
        <c:noMultiLvlLbl val="0"/>
      </c:catAx>
      <c:valAx>
        <c:axId val="159312896"/>
        <c:scaling>
          <c:orientation val="minMax"/>
          <c:max val="125"/>
          <c:min val="95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311360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582378783198431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Orion!$B$84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"/>
                  <c:y val="-2.6501328979046852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Small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4.1353727144867024E-3"/>
                  <c:y val="-2.805987248455935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Orion!$C$83:$E$83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Orion!$C$84:$E$84</c:f>
              <c:numCache>
                <c:formatCode>0.00</c:formatCode>
                <c:ptCount val="3"/>
                <c:pt idx="0">
                  <c:v>6.7954895981684009</c:v>
                </c:pt>
                <c:pt idx="1">
                  <c:v>6.6662533059785813</c:v>
                </c:pt>
                <c:pt idx="2">
                  <c:v>6.7219811113246406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Orion!$B$86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"/>
                  <c:y val="-5.962799020285518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Orion!$C$83:$E$83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Orion!$C$86:$E$86</c:f>
              <c:numCache>
                <c:formatCode>0.00</c:formatCode>
                <c:ptCount val="3"/>
                <c:pt idx="0">
                  <c:v>3.1592099072350619</c:v>
                </c:pt>
                <c:pt idx="1">
                  <c:v>3.2568974860601605</c:v>
                </c:pt>
                <c:pt idx="2">
                  <c:v>3.7066479393549221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Orion!$B$87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"/>
                  <c:y val="-4.0270000131579005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Largest 5 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Orion!$C$83:$E$83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Orion!$C$87:$E$87</c:f>
              <c:numCache>
                <c:formatCode>0.00</c:formatCode>
                <c:ptCount val="3"/>
                <c:pt idx="0">
                  <c:v>2.4284097938993638</c:v>
                </c:pt>
                <c:pt idx="1">
                  <c:v>2.498842485867554</c:v>
                </c:pt>
                <c:pt idx="2">
                  <c:v>2.6866379035501016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72800"/>
        <c:axId val="159374336"/>
      </c:lineChart>
      <c:catAx>
        <c:axId val="15937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9374336"/>
        <c:crosses val="autoZero"/>
        <c:auto val="1"/>
        <c:lblAlgn val="ctr"/>
        <c:lblOffset val="100"/>
        <c:noMultiLvlLbl val="0"/>
      </c:catAx>
      <c:valAx>
        <c:axId val="15937433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37280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513E-2"/>
          <c:y val="5.8338380979806134E-2"/>
          <c:w val="0.8391882583401169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Orion!$B$90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"/>
                  <c:y val="-3.8443488520218581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Small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0.35256365452573579"/>
                  <c:y val="7.184468551843228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Orion!$C$89:$E$89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Orion!$C$90:$E$90</c:f>
              <c:numCache>
                <c:formatCode>0.0</c:formatCode>
                <c:ptCount val="3"/>
                <c:pt idx="0">
                  <c:v>100</c:v>
                </c:pt>
                <c:pt idx="1">
                  <c:v>98.098204841272178</c:v>
                </c:pt>
                <c:pt idx="2">
                  <c:v>98.918275338636775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Orion!$B$92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"/>
                  <c:y val="-3.800684113393817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Orion!$C$89:$E$89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Orion!$C$92:$E$92</c:f>
              <c:numCache>
                <c:formatCode>0.0</c:formatCode>
                <c:ptCount val="3"/>
                <c:pt idx="0">
                  <c:v>100</c:v>
                </c:pt>
                <c:pt idx="1">
                  <c:v>103.09215220556823</c:v>
                </c:pt>
                <c:pt idx="2">
                  <c:v>117.32832094715029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Orion!$B$93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"/>
                  <c:y val="-3.3126661223808369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Largest 5 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Orion!$C$89:$E$89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Orion!$C$93:$E$93</c:f>
              <c:numCache>
                <c:formatCode>0.0</c:formatCode>
                <c:ptCount val="3"/>
                <c:pt idx="0">
                  <c:v>100</c:v>
                </c:pt>
                <c:pt idx="1">
                  <c:v>102.90036270423266</c:v>
                </c:pt>
                <c:pt idx="2">
                  <c:v>110.63362988814561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05856"/>
        <c:axId val="158907392"/>
      </c:lineChart>
      <c:catAx>
        <c:axId val="15890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8907392"/>
        <c:crosses val="autoZero"/>
        <c:auto val="1"/>
        <c:lblAlgn val="ctr"/>
        <c:lblOffset val="100"/>
        <c:noMultiLvlLbl val="0"/>
      </c:catAx>
      <c:valAx>
        <c:axId val="158907392"/>
        <c:scaling>
          <c:orientation val="minMax"/>
          <c:max val="125"/>
          <c:min val="9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8905856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834364860253561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Orion!$B$120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tx>
                <c:rich>
                  <a:bodyPr/>
                  <a:lstStyle/>
                  <a:p>
                    <a:r>
                      <a:rPr lang="en-NZ"/>
                      <a:t>Small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9.7199238652249766E-6"/>
                  <c:y val="5.8782407407409224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Orion!$C$119:$E$119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Orion!$C$120:$E$120</c:f>
              <c:numCache>
                <c:formatCode>0.0</c:formatCode>
                <c:ptCount val="3"/>
                <c:pt idx="0">
                  <c:v>100</c:v>
                </c:pt>
                <c:pt idx="1">
                  <c:v>104.27299454953483</c:v>
                </c:pt>
                <c:pt idx="2">
                  <c:v>105.5811357659822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Orion!$B$122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0.36319946740499282"/>
                  <c:y val="-8.6683376049353944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Large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Orion!$C$119:$E$119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Orion!$C$122:$E$122</c:f>
              <c:numCache>
                <c:formatCode>0.0</c:formatCode>
                <c:ptCount val="3"/>
                <c:pt idx="0">
                  <c:v>100</c:v>
                </c:pt>
                <c:pt idx="1">
                  <c:v>101.3501469741946</c:v>
                </c:pt>
                <c:pt idx="2">
                  <c:v>99.283561651405265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Orion!$B$123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0.38853885742285543"/>
                  <c:y val="6.811598440545810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Largest 5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Orion!$C$119:$E$119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Orion!$C$123:$E$123</c:f>
              <c:numCache>
                <c:formatCode>0.0</c:formatCode>
                <c:ptCount val="3"/>
                <c:pt idx="0">
                  <c:v>100</c:v>
                </c:pt>
                <c:pt idx="1">
                  <c:v>98.570804177697127</c:v>
                </c:pt>
                <c:pt idx="2">
                  <c:v>99.60663194919151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67680"/>
        <c:axId val="158969216"/>
      </c:lineChart>
      <c:catAx>
        <c:axId val="15896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8969216"/>
        <c:crosses val="autoZero"/>
        <c:auto val="1"/>
        <c:lblAlgn val="ctr"/>
        <c:lblOffset val="100"/>
        <c:noMultiLvlLbl val="0"/>
      </c:catAx>
      <c:valAx>
        <c:axId val="158969216"/>
        <c:scaling>
          <c:orientation val="minMax"/>
          <c:max val="12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8967680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607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Orion!$B$113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Orion!$C$112:$F$112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Orion!$C$113:$E$113</c:f>
              <c:numCache>
                <c:formatCode>General</c:formatCode>
                <c:ptCount val="3"/>
                <c:pt idx="0">
                  <c:v>2299216.6</c:v>
                </c:pt>
                <c:pt idx="1">
                  <c:v>2397462</c:v>
                </c:pt>
                <c:pt idx="2">
                  <c:v>2427539</c:v>
                </c:pt>
              </c:numCache>
            </c:numRef>
          </c:val>
        </c:ser>
        <c:ser>
          <c:idx val="2"/>
          <c:order val="1"/>
          <c:tx>
            <c:strRef>
              <c:f>Orion!$B$115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Orion!$C$112:$F$112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Orion!$C$115:$E$115</c:f>
              <c:numCache>
                <c:formatCode>General</c:formatCode>
                <c:ptCount val="3"/>
                <c:pt idx="0">
                  <c:v>760065.4</c:v>
                </c:pt>
                <c:pt idx="1">
                  <c:v>770327.4</c:v>
                </c:pt>
                <c:pt idx="2">
                  <c:v>754620</c:v>
                </c:pt>
              </c:numCache>
            </c:numRef>
          </c:val>
        </c:ser>
        <c:ser>
          <c:idx val="3"/>
          <c:order val="2"/>
          <c:tx>
            <c:strRef>
              <c:f>Orion!$B$116</c:f>
              <c:strCache>
                <c:ptCount val="1"/>
                <c:pt idx="0">
                  <c:v>Largest 5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Orion!$C$112:$F$112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Orion!$C$116:$E$116</c:f>
              <c:numCache>
                <c:formatCode>General</c:formatCode>
                <c:ptCount val="3"/>
                <c:pt idx="0">
                  <c:v>96550.8</c:v>
                </c:pt>
                <c:pt idx="1">
                  <c:v>95170.9</c:v>
                </c:pt>
                <c:pt idx="2">
                  <c:v>96171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9024640"/>
        <c:axId val="159026176"/>
      </c:barChart>
      <c:catAx>
        <c:axId val="15902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9026176"/>
        <c:crosses val="autoZero"/>
        <c:auto val="1"/>
        <c:lblAlgn val="ctr"/>
        <c:lblOffset val="100"/>
        <c:noMultiLvlLbl val="0"/>
      </c:catAx>
      <c:valAx>
        <c:axId val="15902617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024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Orion!$U$138:$U$144</c:f>
              <c:strCache>
                <c:ptCount val="7"/>
                <c:pt idx="0">
                  <c:v>Routine and preventative maintenance</c:v>
                </c:pt>
                <c:pt idx="1">
                  <c:v>General management, admin and overheads</c:v>
                </c:pt>
                <c:pt idx="2">
                  <c:v>System management and operations</c:v>
                </c:pt>
                <c:pt idx="3">
                  <c:v>Fault and emergency maintenance</c:v>
                </c:pt>
                <c:pt idx="4">
                  <c:v>Refurbishment and renewal maintenance</c:v>
                </c:pt>
                <c:pt idx="5">
                  <c:v>Pass-through costs</c:v>
                </c:pt>
                <c:pt idx="6">
                  <c:v>Other</c:v>
                </c:pt>
              </c:strCache>
            </c:strRef>
          </c:cat>
          <c:val>
            <c:numRef>
              <c:f>Orion!$V$138:$V$144</c:f>
              <c:numCache>
                <c:formatCode>General</c:formatCode>
                <c:ptCount val="7"/>
                <c:pt idx="0">
                  <c:v>13980.459163051384</c:v>
                </c:pt>
                <c:pt idx="1">
                  <c:v>10096.658672630754</c:v>
                </c:pt>
                <c:pt idx="2">
                  <c:v>9954.0217186278987</c:v>
                </c:pt>
                <c:pt idx="3">
                  <c:v>3319.3656867236123</c:v>
                </c:pt>
                <c:pt idx="4">
                  <c:v>2157.8933469860685</c:v>
                </c:pt>
                <c:pt idx="5">
                  <c:v>2151.7803346716605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59038464"/>
        <c:axId val="159048448"/>
      </c:barChart>
      <c:catAx>
        <c:axId val="159038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048448"/>
        <c:crosses val="autoZero"/>
        <c:auto val="1"/>
        <c:lblAlgn val="ctr"/>
        <c:lblOffset val="100"/>
        <c:noMultiLvlLbl val="0"/>
      </c:catAx>
      <c:valAx>
        <c:axId val="159048448"/>
        <c:scaling>
          <c:orientation val="minMax"/>
          <c:max val="141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903846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062656250000322"/>
          <c:y val="5.1014483439099333E-2"/>
          <c:w val="0.70720364583333328"/>
          <c:h val="0.8328039561239124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Orion!$U$186:$U$191</c:f>
              <c:strCache>
                <c:ptCount val="6"/>
                <c:pt idx="0">
                  <c:v>System growth</c:v>
                </c:pt>
                <c:pt idx="1">
                  <c:v>Asset replacement and renewal</c:v>
                </c:pt>
                <c:pt idx="2">
                  <c:v>Non-network capex</c:v>
                </c:pt>
                <c:pt idx="3">
                  <c:v>Customer connection</c:v>
                </c:pt>
                <c:pt idx="4">
                  <c:v>Reliability, safety and environment</c:v>
                </c:pt>
                <c:pt idx="5">
                  <c:v>Asset relocations</c:v>
                </c:pt>
              </c:strCache>
            </c:strRef>
          </c:cat>
          <c:val>
            <c:numRef>
              <c:f>Orion!$V$186:$V$191</c:f>
              <c:numCache>
                <c:formatCode>General</c:formatCode>
                <c:ptCount val="6"/>
                <c:pt idx="0">
                  <c:v>13.807257147476488</c:v>
                </c:pt>
                <c:pt idx="1">
                  <c:v>12.552051952251352</c:v>
                </c:pt>
                <c:pt idx="2">
                  <c:v>5.8053240279162504</c:v>
                </c:pt>
                <c:pt idx="3">
                  <c:v>5.1848532780038257</c:v>
                </c:pt>
                <c:pt idx="4">
                  <c:v>3.0116774002317368</c:v>
                </c:pt>
                <c:pt idx="5">
                  <c:v>2.5766346905230253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59084928"/>
        <c:axId val="159086464"/>
      </c:barChart>
      <c:catAx>
        <c:axId val="159084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086464"/>
        <c:crosses val="autoZero"/>
        <c:auto val="1"/>
        <c:lblAlgn val="ctr"/>
        <c:lblOffset val="100"/>
        <c:noMultiLvlLbl val="0"/>
      </c:catAx>
      <c:valAx>
        <c:axId val="159086464"/>
        <c:scaling>
          <c:orientation val="minMax"/>
          <c:max val="14"/>
          <c:min val="0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9084928"/>
        <c:crosses val="autoZero"/>
        <c:crossBetween val="between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449328257443494"/>
          <c:y val="0.14255777777777778"/>
          <c:w val="0.73132084753986282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49633334497264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</a:t>
                    </a:r>
                    <a:r>
                      <a:rPr lang="en-US"/>
                      <a:t>urora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Aurora!$C$165:$F$165</c:f>
              <c:numCache>
                <c:formatCode>_(* #,##0.00_);_(* \(#,##0.00\);_(* "-"??_);_(@_)</c:formatCode>
                <c:ptCount val="4"/>
                <c:pt idx="0">
                  <c:v>3590.1697406921044</c:v>
                </c:pt>
                <c:pt idx="1">
                  <c:v>3711.5195415902567</c:v>
                </c:pt>
                <c:pt idx="2">
                  <c:v>3641.0629597693405</c:v>
                </c:pt>
                <c:pt idx="3">
                  <c:v>3380.8905413338548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cat>
            <c:numRef>
              <c:f>Aurora!$C$160:$F$160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28160"/>
        <c:axId val="118029696"/>
      </c:lineChart>
      <c:catAx>
        <c:axId val="118028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029696"/>
        <c:crosses val="autoZero"/>
        <c:auto val="1"/>
        <c:lblAlgn val="ctr"/>
        <c:lblOffset val="100"/>
        <c:noMultiLvlLbl val="0"/>
      </c:catAx>
      <c:valAx>
        <c:axId val="118029696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18028160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68744841764"/>
          <c:h val="0.82404629629630965"/>
        </c:manualLayout>
      </c:layout>
      <c:lineChart>
        <c:grouping val="standard"/>
        <c:varyColors val="0"/>
        <c:ser>
          <c:idx val="0"/>
          <c:order val="0"/>
          <c:tx>
            <c:strRef>
              <c:f>Orion!$B$76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0.1278349828431084"/>
                  <c:y val="-2.4657407407407416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Small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763935185185185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Orion!$C$75:$E$75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Orion!$C$76:$E$76</c:f>
              <c:numCache>
                <c:formatCode>0.0</c:formatCode>
                <c:ptCount val="3"/>
                <c:pt idx="0">
                  <c:v>100</c:v>
                </c:pt>
                <c:pt idx="1">
                  <c:v>100.02665759204837</c:v>
                </c:pt>
                <c:pt idx="2">
                  <c:v>101.12347895878004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Orion!$B$78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4.2310498434950133E-2"/>
                  <c:y val="6.68460038986355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Large 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Orion!$C$75:$E$75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Orion!$C$78:$E$78</c:f>
              <c:numCache>
                <c:formatCode>0.0</c:formatCode>
                <c:ptCount val="3"/>
                <c:pt idx="0">
                  <c:v>100</c:v>
                </c:pt>
                <c:pt idx="1">
                  <c:v>91.537111423954627</c:v>
                </c:pt>
                <c:pt idx="2">
                  <c:v>100.52367784247411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Orion!$B$79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"/>
                  <c:y val="-4.315085714396660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Orion!$C$75:$E$75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Orion!$C$79:$E$79</c:f>
              <c:numCache>
                <c:formatCode>0.0</c:formatCode>
                <c:ptCount val="3"/>
                <c:pt idx="0">
                  <c:v>100</c:v>
                </c:pt>
                <c:pt idx="1">
                  <c:v>101.42971501932927</c:v>
                </c:pt>
                <c:pt idx="2">
                  <c:v>110.19843253471593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93536"/>
        <c:axId val="159795072"/>
      </c:lineChart>
      <c:catAx>
        <c:axId val="15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9795072"/>
        <c:crosses val="autoZero"/>
        <c:auto val="1"/>
        <c:lblAlgn val="ctr"/>
        <c:lblOffset val="100"/>
        <c:noMultiLvlLbl val="0"/>
      </c:catAx>
      <c:valAx>
        <c:axId val="159795072"/>
        <c:scaling>
          <c:orientation val="minMax"/>
          <c:max val="12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793536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3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479"/>
          <c:y val="0.16445370370370369"/>
          <c:w val="0.70330041907982288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Orion!$B$70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Orion!$C$69:$E$69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Orion!$C$70:$E$70</c:f>
              <c:numCache>
                <c:formatCode>0</c:formatCode>
                <c:ptCount val="3"/>
                <c:pt idx="0">
                  <c:v>841.73140373320473</c:v>
                </c:pt>
                <c:pt idx="1">
                  <c:v>841.95578905695481</c:v>
                </c:pt>
                <c:pt idx="2">
                  <c:v>851.18807894359122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27456"/>
        <c:axId val="159828992"/>
      </c:lineChart>
      <c:catAx>
        <c:axId val="15982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9828992"/>
        <c:crosses val="autoZero"/>
        <c:auto val="1"/>
        <c:lblAlgn val="ctr"/>
        <c:lblOffset val="100"/>
        <c:noMultiLvlLbl val="0"/>
      </c:catAx>
      <c:valAx>
        <c:axId val="159828992"/>
        <c:scaling>
          <c:orientation val="minMax"/>
          <c:max val="1200"/>
          <c:min val="6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59827456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9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Orion!$B$72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Orion!$C$69:$E$69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Orion!$C$72:$E$72</c:f>
              <c:numCache>
                <c:formatCode>0</c:formatCode>
                <c:ptCount val="3"/>
                <c:pt idx="0">
                  <c:v>59583.278953513152</c:v>
                </c:pt>
                <c:pt idx="1">
                  <c:v>54540.812445723037</c:v>
                </c:pt>
                <c:pt idx="2">
                  <c:v>59895.303383212238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74048"/>
        <c:axId val="159875840"/>
      </c:lineChart>
      <c:catAx>
        <c:axId val="1598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9875840"/>
        <c:crosses val="autoZero"/>
        <c:auto val="1"/>
        <c:lblAlgn val="ctr"/>
        <c:lblOffset val="100"/>
        <c:noMultiLvlLbl val="0"/>
      </c:catAx>
      <c:valAx>
        <c:axId val="159875840"/>
        <c:scaling>
          <c:orientation val="minMax"/>
          <c:max val="80000"/>
          <c:min val="4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59874048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Orion!$B$73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Orion!$C$69:$E$69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Orion!$C$73:$E$73</c:f>
              <c:numCache>
                <c:formatCode>0</c:formatCode>
                <c:ptCount val="3"/>
                <c:pt idx="0">
                  <c:v>468929.81665763736</c:v>
                </c:pt>
                <c:pt idx="1">
                  <c:v>475634.17667650478</c:v>
                </c:pt>
                <c:pt idx="2">
                  <c:v>516753.30764463363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00416"/>
        <c:axId val="159901952"/>
      </c:lineChart>
      <c:catAx>
        <c:axId val="15990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59901952"/>
        <c:crosses val="autoZero"/>
        <c:auto val="1"/>
        <c:lblAlgn val="ctr"/>
        <c:lblOffset val="100"/>
        <c:noMultiLvlLbl val="0"/>
      </c:catAx>
      <c:valAx>
        <c:axId val="159901952"/>
        <c:scaling>
          <c:orientation val="minMax"/>
          <c:max val="700000"/>
          <c:min val="35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59900416"/>
        <c:crosses val="autoZero"/>
        <c:crossBetween val="midCat"/>
        <c:majorUnit val="7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53"/>
          <c:y val="6.4675925925925928E-2"/>
          <c:w val="0.82249007638262572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Orion!$B$105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"/>
                  <c:y val="-3.7150018306866005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Small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2.3132146746468185E-3"/>
                  <c:y val="2.35180555555555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Orion!$C$104:$E$104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Orion!$C$105:$E$105</c:f>
              <c:numCache>
                <c:formatCode>0.0</c:formatCode>
                <c:ptCount val="3"/>
                <c:pt idx="0">
                  <c:v>100</c:v>
                </c:pt>
                <c:pt idx="1">
                  <c:v>102.26267502060651</c:v>
                </c:pt>
                <c:pt idx="2">
                  <c:v>103.27872385128838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Orion!$B$107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"/>
                  <c:y val="-3.7150018306866005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Large 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Orion!$C$104:$E$104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Orion!$C$107:$E$107</c:f>
              <c:numCache>
                <c:formatCode>0.0</c:formatCode>
                <c:ptCount val="3"/>
                <c:pt idx="0">
                  <c:v>100</c:v>
                </c:pt>
                <c:pt idx="1">
                  <c:v>114.14392059553349</c:v>
                </c:pt>
                <c:pt idx="2">
                  <c:v>115.88089330024813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48800"/>
        <c:axId val="159950336"/>
      </c:lineChart>
      <c:catAx>
        <c:axId val="15994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9950336"/>
        <c:crosses val="autoZero"/>
        <c:auto val="1"/>
        <c:lblAlgn val="ctr"/>
        <c:lblOffset val="100"/>
        <c:noMultiLvlLbl val="0"/>
      </c:catAx>
      <c:valAx>
        <c:axId val="159950336"/>
        <c:scaling>
          <c:orientation val="minMax"/>
          <c:max val="12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948800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1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Orion!$B$98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Orion!$C$97:$E$97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Orion!$C$98:$E$98</c:f>
              <c:numCache>
                <c:formatCode>General</c:formatCode>
                <c:ptCount val="3"/>
                <c:pt idx="0">
                  <c:v>185621</c:v>
                </c:pt>
                <c:pt idx="1">
                  <c:v>189821</c:v>
                </c:pt>
                <c:pt idx="2">
                  <c:v>191707</c:v>
                </c:pt>
              </c:numCache>
            </c:numRef>
          </c:val>
        </c:ser>
        <c:ser>
          <c:idx val="1"/>
          <c:order val="1"/>
          <c:tx>
            <c:strRef>
              <c:f>Orion!$B$100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Orion!$C$97:$E$97</c:f>
              <c:numCache>
                <c:formatCode>General</c:formatCode>
                <c:ptCount val="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</c:numCache>
            </c:numRef>
          </c:cat>
          <c:val>
            <c:numRef>
              <c:f>Orion!$C$100:$E$100</c:f>
              <c:numCache>
                <c:formatCode>General</c:formatCode>
                <c:ptCount val="3"/>
                <c:pt idx="0">
                  <c:v>403</c:v>
                </c:pt>
                <c:pt idx="1">
                  <c:v>460</c:v>
                </c:pt>
                <c:pt idx="2">
                  <c:v>467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131328"/>
        <c:axId val="160137216"/>
      </c:barChart>
      <c:catAx>
        <c:axId val="16013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0137216"/>
        <c:crosses val="autoZero"/>
        <c:auto val="1"/>
        <c:lblAlgn val="ctr"/>
        <c:lblOffset val="100"/>
        <c:noMultiLvlLbl val="0"/>
      </c:catAx>
      <c:valAx>
        <c:axId val="160137216"/>
        <c:scaling>
          <c:orientation val="minMax"/>
          <c:max val="20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0131328"/>
        <c:crosses val="autoZero"/>
        <c:crossBetween val="between"/>
        <c:majorUnit val="50000"/>
      </c:valAx>
    </c:plotArea>
    <c:legend>
      <c:legendPos val="t"/>
      <c:layout>
        <c:manualLayout>
          <c:xMode val="edge"/>
          <c:yMode val="edge"/>
          <c:x val="0.18123285227687791"/>
          <c:y val="3.5277777777779476E-2"/>
          <c:w val="0.64918667765253912"/>
          <c:h val="8.4623548918823552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Orion!$B$209</c:f>
              <c:strCache>
                <c:ptCount val="1"/>
                <c:pt idx="0">
                  <c:v>Orion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Orion!$C$204:$F$204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Orion!$C$209:$E$209</c:f>
              <c:numCache>
                <c:formatCode>_(* #,##0.00_);_(* \(#,##0.00\);_(* "-"??_);_(@_)</c:formatCode>
                <c:ptCount val="3"/>
                <c:pt idx="0">
                  <c:v>12396.05911236972</c:v>
                </c:pt>
                <c:pt idx="1">
                  <c:v>11897.987624021633</c:v>
                </c:pt>
                <c:pt idx="2">
                  <c:v>13097.46074873569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Orion!$B$210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Orion!$C$204:$F$204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40448"/>
        <c:axId val="160041984"/>
      </c:lineChart>
      <c:catAx>
        <c:axId val="16004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0041984"/>
        <c:crosses val="autoZero"/>
        <c:auto val="1"/>
        <c:lblAlgn val="ctr"/>
        <c:lblOffset val="100"/>
        <c:noMultiLvlLbl val="0"/>
      </c:catAx>
      <c:valAx>
        <c:axId val="160041984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0040448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3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Orion!$C$204:$F$204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Orion!$C$212:$E$212</c:f>
              <c:numCache>
                <c:formatCode>_(* #,##0.00_);_(* \(#,##0.00\);_(* "-"??_);_(@_)</c:formatCode>
                <c:ptCount val="3"/>
                <c:pt idx="0">
                  <c:v>5.0276928386441613E-2</c:v>
                </c:pt>
                <c:pt idx="1">
                  <c:v>4.9403470073951704E-2</c:v>
                </c:pt>
                <c:pt idx="2">
                  <c:v>5.3955653967837004E-2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9527956499298921E-4"/>
                  <c:y val="-4.251444588449208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Orion!$C$204:$F$204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85888"/>
        <c:axId val="160087424"/>
      </c:lineChart>
      <c:catAx>
        <c:axId val="16008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0087424"/>
        <c:crosses val="autoZero"/>
        <c:auto val="1"/>
        <c:lblAlgn val="ctr"/>
        <c:lblOffset val="100"/>
        <c:noMultiLvlLbl val="0"/>
      </c:catAx>
      <c:valAx>
        <c:axId val="160087424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0085888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43"/>
          <c:w val="0.79809047321242665"/>
          <c:h val="0.72979551178440394"/>
        </c:manualLayout>
      </c:layout>
      <c:lineChart>
        <c:grouping val="standard"/>
        <c:varyColors val="0"/>
        <c:ser>
          <c:idx val="0"/>
          <c:order val="0"/>
          <c:tx>
            <c:strRef>
              <c:f>Orion!$B$206</c:f>
              <c:strCache>
                <c:ptCount val="1"/>
                <c:pt idx="0">
                  <c:v>Orion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Orion!$C$204:$F$204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Orion!$C$206:$E$206</c:f>
              <c:numCache>
                <c:formatCode>_(* #,##0.00_);_(* \(#,##0.00\);_(* "-"??_);_(@_)</c:formatCode>
                <c:ptCount val="3"/>
                <c:pt idx="0">
                  <c:v>210.2892018854869</c:v>
                </c:pt>
                <c:pt idx="1">
                  <c:v>204.02268830641199</c:v>
                </c:pt>
                <c:pt idx="2">
                  <c:v>223.42606890660625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Orion!$B$207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5988850572340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Orion!$C$204:$F$204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199808"/>
        <c:axId val="160201344"/>
      </c:lineChart>
      <c:catAx>
        <c:axId val="1601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0201344"/>
        <c:crosses val="autoZero"/>
        <c:auto val="1"/>
        <c:lblAlgn val="ctr"/>
        <c:lblOffset val="100"/>
        <c:noMultiLvlLbl val="0"/>
      </c:catAx>
      <c:valAx>
        <c:axId val="160201344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0199808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316923938906441"/>
          <c:y val="0.13550222222222241"/>
          <c:w val="0.74264489072522577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Orion!$B$162</c:f>
              <c:strCache>
                <c:ptCount val="1"/>
                <c:pt idx="0">
                  <c:v>Orion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Orion!$C$160:$F$160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Orion!$C$162:$E$162</c:f>
              <c:numCache>
                <c:formatCode>_(* #,##0.00_);_(* \(#,##0.00\);_(* "-"??_);_(@_)</c:formatCode>
                <c:ptCount val="3"/>
                <c:pt idx="0">
                  <c:v>207.16552113213086</c:v>
                </c:pt>
                <c:pt idx="1">
                  <c:v>206.08484607366753</c:v>
                </c:pt>
                <c:pt idx="2">
                  <c:v>216.77799823441364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Orion!$B$163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2340130127319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Orion!$C$160:$F$160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64576"/>
        <c:axId val="160266112"/>
      </c:lineChart>
      <c:catAx>
        <c:axId val="16026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0266112"/>
        <c:crosses val="autoZero"/>
        <c:auto val="1"/>
        <c:lblAlgn val="ctr"/>
        <c:lblOffset val="100"/>
        <c:noMultiLvlLbl val="0"/>
      </c:catAx>
      <c:valAx>
        <c:axId val="160266112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0264576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20078265003841"/>
          <c:y val="0.13550222222222241"/>
          <c:w val="0.73617535958538793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Aurora!$B$168</c:f>
              <c:strCache>
                <c:ptCount val="1"/>
                <c:pt idx="0">
                  <c:v>Aurora Energy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531084954105151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</a:t>
                    </a:r>
                    <a:r>
                      <a:rPr lang="en-US"/>
                      <a:t>urora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Aurora!$C$168:$F$168</c:f>
              <c:numCache>
                <c:formatCode>_(* #,##0.00_);_(* \(#,##0.00\);_(* "-"??_);_(@_)</c:formatCode>
                <c:ptCount val="4"/>
                <c:pt idx="0">
                  <c:v>15.362653098198813</c:v>
                </c:pt>
                <c:pt idx="1">
                  <c:v>16.251586564772914</c:v>
                </c:pt>
                <c:pt idx="2">
                  <c:v>15.930711832666717</c:v>
                </c:pt>
                <c:pt idx="3">
                  <c:v>15.347801260747294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Aurora!$B$169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cat>
            <c:numRef>
              <c:f>Aurora!$C$160:$F$160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84736"/>
        <c:axId val="118086272"/>
      </c:lineChart>
      <c:catAx>
        <c:axId val="11808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8086272"/>
        <c:crosses val="autoZero"/>
        <c:auto val="1"/>
        <c:lblAlgn val="ctr"/>
        <c:lblOffset val="100"/>
        <c:noMultiLvlLbl val="0"/>
      </c:catAx>
      <c:valAx>
        <c:axId val="118086272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8084736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Orion!$C$160:$F$160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Orion!$C$165:$E$165</c:f>
              <c:numCache>
                <c:formatCode>_(* #,##0.00_);_(* \(#,##0.00\);_(* "-"??_);_(@_)</c:formatCode>
                <c:ptCount val="3"/>
                <c:pt idx="0">
                  <c:v>3655.045023775529</c:v>
                </c:pt>
                <c:pt idx="1">
                  <c:v>3688.0523859657578</c:v>
                </c:pt>
                <c:pt idx="2">
                  <c:v>3890.7475062051253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Orion!$C$160:$F$160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96320"/>
        <c:axId val="160367744"/>
      </c:lineChart>
      <c:catAx>
        <c:axId val="16029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367744"/>
        <c:crosses val="autoZero"/>
        <c:auto val="1"/>
        <c:lblAlgn val="ctr"/>
        <c:lblOffset val="100"/>
        <c:noMultiLvlLbl val="0"/>
      </c:catAx>
      <c:valAx>
        <c:axId val="160367744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60296320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20078265003841"/>
          <c:y val="0.13550222222222241"/>
          <c:w val="0.73617535958539049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Orion!$B$168</c:f>
              <c:strCache>
                <c:ptCount val="1"/>
                <c:pt idx="0">
                  <c:v>Orion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Orion!$C$160:$F$160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Orion!$C$168:$E$168</c:f>
              <c:numCache>
                <c:formatCode>_(* #,##0.00_);_(* \(#,##0.00\);_(* "-"??_);_(@_)</c:formatCode>
                <c:ptCount val="3"/>
                <c:pt idx="0">
                  <c:v>12.21192540070221</c:v>
                </c:pt>
                <c:pt idx="1">
                  <c:v>12.018246443260098</c:v>
                </c:pt>
                <c:pt idx="2">
                  <c:v>12.707744163245122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Orion!$B$169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2730151815203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Orion!$C$160:$F$160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18048"/>
        <c:axId val="160428032"/>
      </c:lineChart>
      <c:catAx>
        <c:axId val="16041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0428032"/>
        <c:crosses val="autoZero"/>
        <c:auto val="1"/>
        <c:lblAlgn val="ctr"/>
        <c:lblOffset val="100"/>
        <c:noMultiLvlLbl val="0"/>
      </c:catAx>
      <c:valAx>
        <c:axId val="160428032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0418048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835"/>
          <c:h val="0.77599166666669983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Orion!$B$178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Orion!$C$177</c:f>
              <c:numCache>
                <c:formatCode>General</c:formatCode>
                <c:ptCount val="1"/>
                <c:pt idx="0">
                  <c:v>2010</c:v>
                </c:pt>
              </c:numCache>
            </c:numRef>
          </c:cat>
          <c:val>
            <c:numRef>
              <c:f>Orion!$C$178</c:f>
              <c:numCache>
                <c:formatCode>_-* #,##0_-;\-* #,##0_-;_-* "-"??_-;_-@_-</c:formatCode>
                <c:ptCount val="1"/>
                <c:pt idx="0">
                  <c:v>19457.718196761067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"/>
        <c:axId val="160455680"/>
        <c:axId val="160461568"/>
      </c:barChart>
      <c:lineChart>
        <c:grouping val="standard"/>
        <c:varyColors val="0"/>
        <c:ser>
          <c:idx val="1"/>
          <c:order val="0"/>
          <c:tx>
            <c:strRef>
              <c:f>Orion!$B$179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dLbls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Orion!$C$177</c:f>
              <c:numCache>
                <c:formatCode>General</c:formatCode>
                <c:ptCount val="1"/>
                <c:pt idx="0">
                  <c:v>2010</c:v>
                </c:pt>
              </c:numCache>
            </c:numRef>
          </c:cat>
          <c:val>
            <c:numRef>
              <c:f>Orion!$C$179</c:f>
              <c:numCache>
                <c:formatCode>_-* #,##0_-;\-* #,##0_-;_-* "-"??_-;_-@_-</c:formatCode>
                <c:ptCount val="1"/>
                <c:pt idx="0">
                  <c:v>23816.29597693406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55680"/>
        <c:axId val="160461568"/>
      </c:lineChart>
      <c:catAx>
        <c:axId val="1604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0461568"/>
        <c:crosses val="autoZero"/>
        <c:auto val="1"/>
        <c:lblAlgn val="ctr"/>
        <c:lblOffset val="100"/>
        <c:noMultiLvlLbl val="0"/>
      </c:catAx>
      <c:valAx>
        <c:axId val="160461568"/>
        <c:scaling>
          <c:orientation val="minMax"/>
          <c:max val="25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0455680"/>
        <c:crosses val="autoZero"/>
        <c:crossBetween val="between"/>
        <c:maj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Orion!$V$177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11009375000000116"/>
                  <c:y val="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Orion!$C$177:$H$177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Orion!$W$177:$AB$177</c:f>
              <c:numCache>
                <c:formatCode>General</c:formatCode>
                <c:ptCount val="6"/>
                <c:pt idx="0">
                  <c:v>23816.29597693406</c:v>
                </c:pt>
                <c:pt idx="1">
                  <c:v>25528.958260354069</c:v>
                </c:pt>
                <c:pt idx="2">
                  <c:v>25618.615774298723</c:v>
                </c:pt>
                <c:pt idx="3">
                  <c:v>25530.995931125537</c:v>
                </c:pt>
                <c:pt idx="4">
                  <c:v>23902.896984721508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Orion!$V$178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9.7448611111110459E-2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Orion!$C$177:$H$177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Orion!$W$178:$AB$178</c:f>
              <c:numCache>
                <c:formatCode>General</c:formatCode>
                <c:ptCount val="6"/>
                <c:pt idx="1">
                  <c:v>25781</c:v>
                </c:pt>
                <c:pt idx="2">
                  <c:v>27249</c:v>
                </c:pt>
                <c:pt idx="3">
                  <c:v>27470</c:v>
                </c:pt>
                <c:pt idx="4">
                  <c:v>27389</c:v>
                </c:pt>
                <c:pt idx="5">
                  <c:v>27370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Orion!$B$178</c:f>
              <c:strCache>
                <c:ptCount val="1"/>
                <c:pt idx="0">
                  <c:v>Actual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7548376605495228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Orion!$C$177:$I$177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Orion!$C$178</c:f>
              <c:numCache>
                <c:formatCode>_-* #,##0_-;\-* #,##0_-;_-* "-"??_-;_-@_-</c:formatCode>
                <c:ptCount val="1"/>
                <c:pt idx="0">
                  <c:v>19457.718196761067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04832"/>
        <c:axId val="160535296"/>
      </c:lineChart>
      <c:catAx>
        <c:axId val="16050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0535296"/>
        <c:crosses val="autoZero"/>
        <c:auto val="1"/>
        <c:lblAlgn val="ctr"/>
        <c:lblOffset val="100"/>
        <c:noMultiLvlLbl val="0"/>
      </c:catAx>
      <c:valAx>
        <c:axId val="160535296"/>
        <c:scaling>
          <c:orientation val="minMax"/>
          <c:max val="30000"/>
          <c:min val="1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0504832"/>
        <c:crosses val="autoZero"/>
        <c:crossBetween val="midCat"/>
        <c:majorUnit val="2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7111"/>
          <c:h val="0.77578287037039095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Orion!$B$222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Orion!$C$221</c:f>
              <c:numCache>
                <c:formatCode>General</c:formatCode>
                <c:ptCount val="1"/>
                <c:pt idx="0">
                  <c:v>2010</c:v>
                </c:pt>
              </c:numCache>
            </c:numRef>
          </c:cat>
          <c:val>
            <c:numRef>
              <c:f>Orion!$C$222</c:f>
              <c:numCache>
                <c:formatCode>_-* #,##0_-;\-* #,##0_-;_-* "-"??_-;_-@_-</c:formatCode>
                <c:ptCount val="1"/>
                <c:pt idx="0">
                  <c:v>37132.474468486427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53216"/>
        <c:axId val="160559104"/>
      </c:barChart>
      <c:lineChart>
        <c:grouping val="standard"/>
        <c:varyColors val="0"/>
        <c:ser>
          <c:idx val="1"/>
          <c:order val="0"/>
          <c:tx>
            <c:strRef>
              <c:f>Orion!$B$223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dLbls>
            <c:dLbl>
              <c:idx val="0"/>
              <c:layout>
                <c:manualLayout>
                  <c:x val="-1.3568376068376081E-2"/>
                  <c:y val="0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Orion!$C$223</c:f>
              <c:numCache>
                <c:formatCode>_-* #,##0_-;\-* #,##0_-;_-* "-"??_-;_-@_-</c:formatCode>
                <c:ptCount val="1"/>
                <c:pt idx="0">
                  <c:v>31265.001482040359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553216"/>
        <c:axId val="160559104"/>
      </c:lineChart>
      <c:catAx>
        <c:axId val="16055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0559104"/>
        <c:crosses val="autoZero"/>
        <c:auto val="1"/>
        <c:lblAlgn val="ctr"/>
        <c:lblOffset val="100"/>
        <c:noMultiLvlLbl val="0"/>
      </c:catAx>
      <c:valAx>
        <c:axId val="16055910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0553216"/>
        <c:crosses val="autoZero"/>
        <c:crossBetween val="between"/>
        <c:majorUnit val="1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Orion!$V$221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2.6254296393133838E-2"/>
                  <c:y val="0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Orion!$W$219:$AB$219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Orion!$W$221:$AB$221</c:f>
              <c:numCache>
                <c:formatCode>General</c:formatCode>
                <c:ptCount val="6"/>
                <c:pt idx="0">
                  <c:v>31265.001482040359</c:v>
                </c:pt>
                <c:pt idx="1">
                  <c:v>42689.202662283416</c:v>
                </c:pt>
                <c:pt idx="2">
                  <c:v>48592.334887230194</c:v>
                </c:pt>
                <c:pt idx="3">
                  <c:v>43786.488372719672</c:v>
                </c:pt>
                <c:pt idx="4">
                  <c:v>43563.363423243776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Orion!$V$222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5.7286873464508108E-2"/>
                  <c:y val="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Orion!$W$219:$AB$219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Orion!$W$222:$AB$222</c:f>
              <c:numCache>
                <c:formatCode>General</c:formatCode>
                <c:ptCount val="6"/>
                <c:pt idx="1">
                  <c:v>43363</c:v>
                </c:pt>
                <c:pt idx="2">
                  <c:v>64144</c:v>
                </c:pt>
                <c:pt idx="3">
                  <c:v>56841</c:v>
                </c:pt>
                <c:pt idx="4">
                  <c:v>37344</c:v>
                </c:pt>
                <c:pt idx="5">
                  <c:v>34159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Orion!$V$220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53471234216603E-2"/>
                  <c:y val="-7.395955165692007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Orion!$W$219:$AB$219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Orion!$W$220</c:f>
              <c:numCache>
                <c:formatCode>General</c:formatCode>
                <c:ptCount val="1"/>
                <c:pt idx="0">
                  <c:v>37132.474468486427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57504"/>
        <c:axId val="159559040"/>
      </c:lineChart>
      <c:catAx>
        <c:axId val="1595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9559040"/>
        <c:crosses val="autoZero"/>
        <c:auto val="1"/>
        <c:lblAlgn val="ctr"/>
        <c:lblOffset val="100"/>
        <c:noMultiLvlLbl val="0"/>
      </c:catAx>
      <c:valAx>
        <c:axId val="159559040"/>
        <c:scaling>
          <c:orientation val="minMax"/>
          <c:max val="70000"/>
          <c:min val="3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557504"/>
        <c:crosses val="autoZero"/>
        <c:crossBetween val="midCat"/>
        <c:majorUnit val="1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14"/>
          <c:y val="6.4675925925925928E-2"/>
          <c:w val="0.7920625411328982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Orion!$B$237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2.2053320413908256E-2"/>
                  <c:y val="5.879629629629743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Orion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1.0544960121692652E-2"/>
                  <c:y val="3.5277777777778858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Orion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Orion!$C$236:$F$236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Orion!$C$237:$E$237</c:f>
              <c:numCache>
                <c:formatCode>_(* #,##0.00_);_(* \(#,##0.00\);_(* "-"??_);_(@_)</c:formatCode>
                <c:ptCount val="3"/>
                <c:pt idx="0">
                  <c:v>0.63</c:v>
                </c:pt>
                <c:pt idx="1">
                  <c:v>0.6</c:v>
                </c:pt>
                <c:pt idx="2">
                  <c:v>0.56999999999999995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Orion!$B$238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5484626057300757"/>
                  <c:y val="-7.055555555555549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Orion!$C$238:$F$238</c:f>
              <c:numCache>
                <c:formatCode>_(* #,##0.00_);_(* \(#,##0.00\);_(* "-"??_);_(@_)</c:formatCode>
                <c:ptCount val="4"/>
                <c:pt idx="0">
                  <c:v>0.76</c:v>
                </c:pt>
                <c:pt idx="1">
                  <c:v>0.76</c:v>
                </c:pt>
                <c:pt idx="2">
                  <c:v>0.76</c:v>
                </c:pt>
                <c:pt idx="3">
                  <c:v>0.77600000000000002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Orion!$B$239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5627816357534E-3"/>
                  <c:y val="-5.291712962962972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Orion!$C$236:$F$236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1.984406743103448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39040"/>
        <c:axId val="159640576"/>
      </c:lineChart>
      <c:catAx>
        <c:axId val="1596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9640576"/>
        <c:crosses val="autoZero"/>
        <c:auto val="1"/>
        <c:lblAlgn val="ctr"/>
        <c:lblOffset val="100"/>
        <c:noMultiLvlLbl val="0"/>
      </c:catAx>
      <c:valAx>
        <c:axId val="159640576"/>
        <c:scaling>
          <c:orientation val="minMax"/>
          <c:max val="4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63904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17"/>
          <c:y val="6.4675925925925928E-2"/>
          <c:w val="0.7920625411328982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Orion!$B$230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231992248344699E-2"/>
                  <c:y val="3.527777777777851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Orion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9366288287256082E-2"/>
                  <c:y val="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Orion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Orion!$C$230:$E$230</c:f>
              <c:numCache>
                <c:formatCode>_(* #,##0.00_);_(* \(#,##0.00\);_(* "-"??_);_(@_)</c:formatCode>
                <c:ptCount val="3"/>
                <c:pt idx="0">
                  <c:v>44.849999999999994</c:v>
                </c:pt>
                <c:pt idx="1">
                  <c:v>61.61</c:v>
                </c:pt>
                <c:pt idx="2">
                  <c:v>61.16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Orion!$B$231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5484626057300757"/>
                  <c:y val="-5.29166666666668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Orion!$C$229:$F$229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Orion!$C$231:$F$231</c:f>
              <c:numCache>
                <c:formatCode>_(* #,##0.00_);_(* \(#,##0.00\);_(* "-"??_);_(@_)</c:formatCode>
                <c:ptCount val="4"/>
                <c:pt idx="0">
                  <c:v>63.2</c:v>
                </c:pt>
                <c:pt idx="1">
                  <c:v>63.2</c:v>
                </c:pt>
                <c:pt idx="2">
                  <c:v>63.2</c:v>
                </c:pt>
                <c:pt idx="3">
                  <c:v>59.73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Orion!$B$232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5627816357534E-3"/>
                  <c:y val="-5.879675925925942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Orion!$C$229:$F$229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Orion!$C$232:$F$232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170.65483759655174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691904"/>
        <c:axId val="159693440"/>
      </c:lineChart>
      <c:catAx>
        <c:axId val="15969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9693440"/>
        <c:crosses val="autoZero"/>
        <c:auto val="1"/>
        <c:lblAlgn val="ctr"/>
        <c:lblOffset val="100"/>
        <c:noMultiLvlLbl val="0"/>
      </c:catAx>
      <c:valAx>
        <c:axId val="159693440"/>
        <c:scaling>
          <c:orientation val="minMax"/>
          <c:max val="4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9691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OtagoNet!$B$26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93318120603"/>
                  <c:y val="-0.3894093263247405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OtagoNet!$C$26:$F$26</c:f>
              <c:numCache>
                <c:formatCode>0</c:formatCode>
                <c:ptCount val="4"/>
                <c:pt idx="0">
                  <c:v>2359.7424652847076</c:v>
                </c:pt>
                <c:pt idx="1">
                  <c:v>2411.0784817077347</c:v>
                </c:pt>
                <c:pt idx="2">
                  <c:v>2389.7802807792837</c:v>
                </c:pt>
                <c:pt idx="3">
                  <c:v>2567.7333333333331</c:v>
                </c:pt>
              </c:numCache>
            </c:numRef>
          </c:val>
        </c:ser>
        <c:ser>
          <c:idx val="1"/>
          <c:order val="1"/>
          <c:tx>
            <c:strRef>
              <c:f>OtagoNet!$B$27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2203658579321653"/>
                  <c:y val="-0.14886090933050969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OtagoNet!$C$27:$F$27</c:f>
              <c:numCache>
                <c:formatCode>0</c:formatCode>
                <c:ptCount val="4"/>
                <c:pt idx="0">
                  <c:v>1088.4484616919963</c:v>
                </c:pt>
                <c:pt idx="1">
                  <c:v>1120.3116754753239</c:v>
                </c:pt>
                <c:pt idx="2">
                  <c:v>1080.7805771873566</c:v>
                </c:pt>
                <c:pt idx="3">
                  <c:v>1250.4000000000001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647808"/>
        <c:axId val="158649344"/>
      </c:areaChart>
      <c:catAx>
        <c:axId val="15864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8649344"/>
        <c:crosses val="autoZero"/>
        <c:auto val="1"/>
        <c:lblAlgn val="ctr"/>
        <c:lblOffset val="100"/>
        <c:noMultiLvlLbl val="0"/>
      </c:catAx>
      <c:valAx>
        <c:axId val="158649344"/>
        <c:scaling>
          <c:orientation val="minMax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8647808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5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OtagoNet!$B$28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OtagoNet!$C$25:$F$25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OtagoNet!$C$28:$F$28</c:f>
              <c:numCache>
                <c:formatCode>0</c:formatCode>
                <c:ptCount val="4"/>
                <c:pt idx="0">
                  <c:v>959.93909497875734</c:v>
                </c:pt>
                <c:pt idx="1">
                  <c:v>932.62417461733787</c:v>
                </c:pt>
                <c:pt idx="2">
                  <c:v>903.91075422381482</c:v>
                </c:pt>
                <c:pt idx="3">
                  <c:v>1105.5999999999999</c:v>
                </c:pt>
              </c:numCache>
            </c:numRef>
          </c:val>
        </c:ser>
        <c:ser>
          <c:idx val="1"/>
          <c:order val="1"/>
          <c:tx>
            <c:strRef>
              <c:f>OtagoNet!$B$29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OtagoNet!$C$25:$F$25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OtagoNet!$C$29:$F$29</c:f>
              <c:numCache>
                <c:formatCode>0</c:formatCode>
                <c:ptCount val="4"/>
                <c:pt idx="0">
                  <c:v>128.50936671323885</c:v>
                </c:pt>
                <c:pt idx="1">
                  <c:v>187.68750085798604</c:v>
                </c:pt>
                <c:pt idx="2">
                  <c:v>176.86982296354176</c:v>
                </c:pt>
                <c:pt idx="3">
                  <c:v>144.80000000000001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826496"/>
        <c:axId val="158828032"/>
      </c:barChart>
      <c:catAx>
        <c:axId val="15882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8828032"/>
        <c:crosses val="autoZero"/>
        <c:auto val="1"/>
        <c:lblAlgn val="ctr"/>
        <c:lblOffset val="100"/>
        <c:noMultiLvlLbl val="0"/>
      </c:catAx>
      <c:valAx>
        <c:axId val="158828032"/>
        <c:scaling>
          <c:orientation val="minMax"/>
          <c:max val="1250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8826496"/>
        <c:crosses val="autoZero"/>
        <c:crossBetween val="between"/>
        <c:majorUnit val="200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2745341990076648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Alpine!$B$61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56787643764014E-6"/>
                  <c:y val="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Alpine!$C$61:$F$61</c:f>
              <c:numCache>
                <c:formatCode>0.0</c:formatCode>
                <c:ptCount val="4"/>
                <c:pt idx="0">
                  <c:v>100</c:v>
                </c:pt>
                <c:pt idx="1">
                  <c:v>114.45718940578145</c:v>
                </c:pt>
                <c:pt idx="2">
                  <c:v>179.53336891416521</c:v>
                </c:pt>
                <c:pt idx="3">
                  <c:v>202.13279260627868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Alpine!$B$62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28393821881842E-6"/>
                  <c:y val="-4.11574074074074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Alpine!$C$62:$F$62</c:f>
              <c:numCache>
                <c:formatCode>0.0</c:formatCode>
                <c:ptCount val="4"/>
                <c:pt idx="0">
                  <c:v>100</c:v>
                </c:pt>
                <c:pt idx="1">
                  <c:v>115.6558858607557</c:v>
                </c:pt>
                <c:pt idx="2">
                  <c:v>120.38077996529348</c:v>
                </c:pt>
                <c:pt idx="3">
                  <c:v>121.30454043003493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Alpine!$B$63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070984554707018E-6"/>
                  <c:y val="3.52777777777791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Alpine!$C$63:$F$63</c:f>
              <c:numCache>
                <c:formatCode>0.0</c:formatCode>
                <c:ptCount val="4"/>
                <c:pt idx="0">
                  <c:v>100</c:v>
                </c:pt>
                <c:pt idx="1">
                  <c:v>68.256509622143952</c:v>
                </c:pt>
                <c:pt idx="2">
                  <c:v>78.290081404682539</c:v>
                </c:pt>
                <c:pt idx="3">
                  <c:v>66.310586282450416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Alpine!$B$64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Alpine!$C$64:$F$64</c:f>
              <c:numCache>
                <c:formatCode>0.0</c:formatCode>
                <c:ptCount val="4"/>
                <c:pt idx="0">
                  <c:v>100</c:v>
                </c:pt>
                <c:pt idx="1">
                  <c:v>76.309447009993036</c:v>
                </c:pt>
                <c:pt idx="2">
                  <c:v>83.124766236794841</c:v>
                </c:pt>
                <c:pt idx="3">
                  <c:v>79.954082111708246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29696"/>
        <c:axId val="114031232"/>
      </c:lineChart>
      <c:catAx>
        <c:axId val="114029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031232"/>
        <c:crosses val="autoZero"/>
        <c:auto val="1"/>
        <c:lblAlgn val="ctr"/>
        <c:lblOffset val="100"/>
        <c:noMultiLvlLbl val="0"/>
      </c:catAx>
      <c:valAx>
        <c:axId val="114031232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402969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613"/>
          <c:h val="0.7759916666666948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Aurora!$B$178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Aurora!$C$178:$D$178</c:f>
              <c:numCache>
                <c:formatCode>_-* #,##0_-;\-* #,##0_-;_-* "-"??_-;_-@_-</c:formatCode>
                <c:ptCount val="2"/>
                <c:pt idx="0">
                  <c:v>9262.2324917140468</c:v>
                </c:pt>
                <c:pt idx="1">
                  <c:v>8452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18126464"/>
        <c:axId val="118128000"/>
      </c:barChart>
      <c:lineChart>
        <c:grouping val="standard"/>
        <c:varyColors val="0"/>
        <c:ser>
          <c:idx val="1"/>
          <c:order val="0"/>
          <c:tx>
            <c:strRef>
              <c:f>Aurora!$B$179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Aurora!$C$177:$D$177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Aurora!$C$179:$D$179</c:f>
              <c:numCache>
                <c:formatCode>_-* #,##0_-;\-* #,##0_-;_-* "-"??_-;_-@_-</c:formatCode>
                <c:ptCount val="2"/>
                <c:pt idx="0">
                  <c:v>8680.4774864595383</c:v>
                </c:pt>
                <c:pt idx="1">
                  <c:v>8897.4894236210275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Aurora!$B$180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Aurora!$C$177:$D$177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Aurora!$C$180:$D$180</c:f>
              <c:numCache>
                <c:formatCode>_-* #,##0_-;\-* #,##0_-;_-* "-"??_-;_-@_-</c:formatCode>
                <c:ptCount val="2"/>
                <c:pt idx="1">
                  <c:v>9380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26464"/>
        <c:axId val="118128000"/>
      </c:lineChart>
      <c:catAx>
        <c:axId val="11812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8128000"/>
        <c:crosses val="autoZero"/>
        <c:auto val="1"/>
        <c:lblAlgn val="ctr"/>
        <c:lblOffset val="100"/>
        <c:noMultiLvlLbl val="0"/>
      </c:catAx>
      <c:valAx>
        <c:axId val="118128000"/>
        <c:scaling>
          <c:orientation val="minMax"/>
          <c:max val="1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8126464"/>
        <c:crosses val="autoZero"/>
        <c:crossBetween val="between"/>
        <c:majorUnit val="2000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226"/>
          <c:y val="3.5277777777779212E-2"/>
          <c:w val="0.7717227593675045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334"/>
          <c:w val="0.8974562499999833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OtagoNet!$B$40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rgbClr val="1F497D"/>
            </a:solidFill>
          </c:spPr>
          <c:invertIfNegative val="0"/>
          <c:cat>
            <c:numRef>
              <c:f>OtagoNet!$C$39:$F$39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OtagoNet!$C$40:$F$40</c:f>
              <c:numCache>
                <c:formatCode>0</c:formatCode>
                <c:ptCount val="4"/>
                <c:pt idx="0">
                  <c:v>24114.912035584955</c:v>
                </c:pt>
                <c:pt idx="1">
                  <c:v>24697.204447800119</c:v>
                </c:pt>
                <c:pt idx="2">
                  <c:v>25814.23216835978</c:v>
                </c:pt>
                <c:pt idx="3">
                  <c:v>28166.376</c:v>
                </c:pt>
              </c:numCache>
            </c:numRef>
          </c:val>
        </c:ser>
        <c:ser>
          <c:idx val="1"/>
          <c:order val="1"/>
          <c:tx>
            <c:strRef>
              <c:f>OtagoNet!$B$41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OtagoNet!$C$39:$F$39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OtagoNet!$C$41:$F$41</c:f>
              <c:numCache>
                <c:formatCode>0</c:formatCode>
                <c:ptCount val="4"/>
                <c:pt idx="0">
                  <c:v>1372.4196629694047</c:v>
                </c:pt>
                <c:pt idx="1">
                  <c:v>1344.3324867870131</c:v>
                </c:pt>
                <c:pt idx="2">
                  <c:v>709.10942847134265</c:v>
                </c:pt>
                <c:pt idx="3">
                  <c:v>1051</c:v>
                </c:pt>
              </c:numCache>
            </c:numRef>
          </c:val>
        </c:ser>
        <c:ser>
          <c:idx val="3"/>
          <c:order val="2"/>
          <c:tx>
            <c:strRef>
              <c:f>OtagoNet!$B$42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OtagoNet!$C$39:$F$39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OtagoNet!$C$42:$F$42</c:f>
              <c:numCache>
                <c:formatCode>0</c:formatCode>
                <c:ptCount val="4"/>
                <c:pt idx="0">
                  <c:v>271.68087593738414</c:v>
                </c:pt>
                <c:pt idx="1">
                  <c:v>369.56167204337964</c:v>
                </c:pt>
                <c:pt idx="2">
                  <c:v>323.98965266363069</c:v>
                </c:pt>
                <c:pt idx="3">
                  <c:v>274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989184"/>
        <c:axId val="160990720"/>
      </c:barChart>
      <c:catAx>
        <c:axId val="16098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0990720"/>
        <c:crosses val="autoZero"/>
        <c:auto val="1"/>
        <c:lblAlgn val="ctr"/>
        <c:lblOffset val="100"/>
        <c:noMultiLvlLbl val="0"/>
      </c:catAx>
      <c:valAx>
        <c:axId val="16099072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0989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876"/>
          <c:h val="0.2117129629629682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674E-2"/>
          <c:y val="9.9262962962965245E-2"/>
          <c:w val="0.86941313257319874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OtagoNet!$B$45</c:f>
              <c:strCache>
                <c:ptCount val="1"/>
                <c:pt idx="0">
                  <c:v>OtagoNet Joint Venture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OtagoNet!$B$46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5.3038436968915532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OtagoNet!$C$45:$F$45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OtagoNet!$C$46:$F$46</c:f>
              <c:numCache>
                <c:formatCode>0.0</c:formatCode>
                <c:ptCount val="4"/>
                <c:pt idx="0">
                  <c:v>100</c:v>
                </c:pt>
                <c:pt idx="1">
                  <c:v>102.41465700291965</c:v>
                </c:pt>
                <c:pt idx="2">
                  <c:v>107.04676065277468</c:v>
                </c:pt>
                <c:pt idx="3">
                  <c:v>116.80065827499821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OtagoNet!$B$47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OtagoNet!$C$45:$F$45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OtagoNet!$C$47:$F$47</c:f>
              <c:numCache>
                <c:formatCode>0.0</c:formatCode>
                <c:ptCount val="4"/>
                <c:pt idx="0">
                  <c:v>100</c:v>
                </c:pt>
                <c:pt idx="1">
                  <c:v>97.953455714732215</c:v>
                </c:pt>
                <c:pt idx="2">
                  <c:v>51.668556463049654</c:v>
                </c:pt>
                <c:pt idx="3">
                  <c:v>76.580074474161037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OtagoNet!$B$48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-4.4854579334682974E-3"/>
                  <c:y val="-4.6620046620046617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OtagoNet!$C$45:$F$45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OtagoNet!$C$48:$F$48</c:f>
              <c:numCache>
                <c:formatCode>0.0</c:formatCode>
                <c:ptCount val="4"/>
                <c:pt idx="0">
                  <c:v>100</c:v>
                </c:pt>
                <c:pt idx="1">
                  <c:v>136.02785649460091</c:v>
                </c:pt>
                <c:pt idx="2">
                  <c:v>119.2537573893506</c:v>
                </c:pt>
                <c:pt idx="3">
                  <c:v>100.85362065129324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38304"/>
        <c:axId val="158739840"/>
      </c:lineChart>
      <c:catAx>
        <c:axId val="15873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8739840"/>
        <c:crossesAt val="0"/>
        <c:auto val="1"/>
        <c:lblAlgn val="ctr"/>
        <c:lblOffset val="100"/>
        <c:noMultiLvlLbl val="0"/>
      </c:catAx>
      <c:valAx>
        <c:axId val="158739840"/>
        <c:scaling>
          <c:orientation val="minMax"/>
          <c:max val="15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8738304"/>
        <c:crosses val="autoZero"/>
        <c:crossBetween val="midCat"/>
        <c:maj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  <c:userShapes r:id="rId1"/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872"/>
          <c:h val="0.702040277777790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OtagoNet!$B$54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OtagoNet!$C$53:$F$53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OtagoNet!$C$54:$F$54</c:f>
              <c:numCache>
                <c:formatCode>0</c:formatCode>
                <c:ptCount val="4"/>
                <c:pt idx="0">
                  <c:v>15532.801017079637</c:v>
                </c:pt>
                <c:pt idx="1">
                  <c:v>15293.02463641979</c:v>
                </c:pt>
                <c:pt idx="2">
                  <c:v>15884.163269650506</c:v>
                </c:pt>
                <c:pt idx="3">
                  <c:v>17503.054</c:v>
                </c:pt>
              </c:numCache>
            </c:numRef>
          </c:val>
        </c:ser>
        <c:ser>
          <c:idx val="1"/>
          <c:order val="1"/>
          <c:tx>
            <c:strRef>
              <c:f>OtagoNet!$B$55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OtagoNet!$C$53:$F$53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OtagoNet!$C$55:$F$55</c:f>
              <c:numCache>
                <c:formatCode>0</c:formatCode>
                <c:ptCount val="4"/>
                <c:pt idx="0">
                  <c:v>2971.9789847452307</c:v>
                </c:pt>
                <c:pt idx="1">
                  <c:v>3681.7124815704569</c:v>
                </c:pt>
                <c:pt idx="2">
                  <c:v>3706.3832472043327</c:v>
                </c:pt>
                <c:pt idx="3">
                  <c:v>4024.1122999999998</c:v>
                </c:pt>
              </c:numCache>
            </c:numRef>
          </c:val>
        </c:ser>
        <c:ser>
          <c:idx val="2"/>
          <c:order val="2"/>
          <c:tx>
            <c:strRef>
              <c:f>OtagoNet!$B$56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OtagoNet!$C$53:$F$53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OtagoNet!$C$56:$F$56</c:f>
              <c:numCache>
                <c:formatCode>0</c:formatCode>
                <c:ptCount val="4"/>
                <c:pt idx="0">
                  <c:v>2713.2700081548855</c:v>
                </c:pt>
                <c:pt idx="1">
                  <c:v>2692.3760579037676</c:v>
                </c:pt>
                <c:pt idx="2">
                  <c:v>2837.1567060170833</c:v>
                </c:pt>
                <c:pt idx="3">
                  <c:v>3156.9789999999998</c:v>
                </c:pt>
              </c:numCache>
            </c:numRef>
          </c:val>
        </c:ser>
        <c:ser>
          <c:idx val="3"/>
          <c:order val="3"/>
          <c:tx>
            <c:strRef>
              <c:f>OtagoNet!$B$57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OtagoNet!$C$53:$F$53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OtagoNet!$C$57:$F$57</c:f>
              <c:numCache>
                <c:formatCode>0</c:formatCode>
                <c:ptCount val="4"/>
                <c:pt idx="0">
                  <c:v>2896.8625646545574</c:v>
                </c:pt>
                <c:pt idx="1">
                  <c:v>3030.1849080376128</c:v>
                </c:pt>
                <c:pt idx="2">
                  <c:v>3386.5289454878603</c:v>
                </c:pt>
                <c:pt idx="3">
                  <c:v>3482.2305000000001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793088"/>
        <c:axId val="161039488"/>
      </c:barChart>
      <c:catAx>
        <c:axId val="15879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1039488"/>
        <c:crosses val="autoZero"/>
        <c:auto val="1"/>
        <c:lblAlgn val="ctr"/>
        <c:lblOffset val="100"/>
        <c:noMultiLvlLbl val="0"/>
      </c:catAx>
      <c:valAx>
        <c:axId val="16103948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8793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7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1422738982387166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OtagoNet!$B$61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75652979340337E-6"/>
                  <c:y val="5.8796296296297771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OtagoNet!$C$61:$F$61</c:f>
              <c:numCache>
                <c:formatCode>0.0</c:formatCode>
                <c:ptCount val="4"/>
                <c:pt idx="0">
                  <c:v>100</c:v>
                </c:pt>
                <c:pt idx="1">
                  <c:v>98.456322331070922</c:v>
                </c:pt>
                <c:pt idx="2">
                  <c:v>102.26206626985382</c:v>
                </c:pt>
                <c:pt idx="3">
                  <c:v>112.68446676651496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OtagoNet!$B$62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37826489671355E-6"/>
                  <c:y val="-2.939814814814816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OtagoNet!$C$62:$F$62</c:f>
              <c:numCache>
                <c:formatCode>0.0</c:formatCode>
                <c:ptCount val="4"/>
                <c:pt idx="0">
                  <c:v>100</c:v>
                </c:pt>
                <c:pt idx="1">
                  <c:v>123.88083833930837</c:v>
                </c:pt>
                <c:pt idx="2">
                  <c:v>124.71095072437257</c:v>
                </c:pt>
                <c:pt idx="3">
                  <c:v>135.40177506823662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OtagoNet!$B$63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1744068318728529E-6"/>
                  <c:y val="-4.8742318022652892E-4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OtagoNet!$C$63:$F$63</c:f>
              <c:numCache>
                <c:formatCode>0.0</c:formatCode>
                <c:ptCount val="4"/>
                <c:pt idx="0">
                  <c:v>100</c:v>
                </c:pt>
                <c:pt idx="1">
                  <c:v>99.229934721265479</c:v>
                </c:pt>
                <c:pt idx="2">
                  <c:v>104.56595537819122</c:v>
                </c:pt>
                <c:pt idx="3">
                  <c:v>116.35329290898149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OtagoNet!$B$64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OtagoNet!$C$64:$F$64</c:f>
              <c:numCache>
                <c:formatCode>0.0</c:formatCode>
                <c:ptCount val="4"/>
                <c:pt idx="0">
                  <c:v>100</c:v>
                </c:pt>
                <c:pt idx="1">
                  <c:v>104.60230129691892</c:v>
                </c:pt>
                <c:pt idx="2">
                  <c:v>116.90333489782572</c:v>
                </c:pt>
                <c:pt idx="3">
                  <c:v>120.20696261147089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493760"/>
        <c:axId val="161495296"/>
      </c:lineChart>
      <c:catAx>
        <c:axId val="16149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1495296"/>
        <c:crosses val="autoZero"/>
        <c:auto val="1"/>
        <c:lblAlgn val="ctr"/>
        <c:lblOffset val="100"/>
        <c:noMultiLvlLbl val="0"/>
      </c:catAx>
      <c:valAx>
        <c:axId val="161495296"/>
        <c:scaling>
          <c:orientation val="minMax"/>
          <c:max val="150"/>
          <c:min val="9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149376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460351024323066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OtagoNet!$B$84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354918846777016E-3"/>
                  <c:y val="-2.80598724845593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OtagoNet!$C$84:$F$84</c:f>
              <c:numCache>
                <c:formatCode>0.00</c:formatCode>
                <c:ptCount val="4"/>
                <c:pt idx="0">
                  <c:v>14.925450123037939</c:v>
                </c:pt>
                <c:pt idx="1">
                  <c:v>13.881684843707884</c:v>
                </c:pt>
                <c:pt idx="2">
                  <c:v>15.774522451352379</c:v>
                </c:pt>
                <c:pt idx="3">
                  <c:v>17.926597655845722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OtagoNet!$B$85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90609520707183E-3"/>
                  <c:y val="-4.06340904562661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OtagoNet!$C$85:$F$85</c:f>
              <c:numCache>
                <c:formatCode>0.00</c:formatCode>
                <c:ptCount val="4"/>
                <c:pt idx="0">
                  <c:v>14.109780875952172</c:v>
                </c:pt>
                <c:pt idx="1">
                  <c:v>13.156171453704157</c:v>
                </c:pt>
                <c:pt idx="2">
                  <c:v>12.62418385888185</c:v>
                </c:pt>
                <c:pt idx="3">
                  <c:v>14.279522221371765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OtagoNet!$B$86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13218553147734E-3"/>
                  <c:y val="-2.8505678421996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OtagoNet!$C$86:$F$86</c:f>
              <c:numCache>
                <c:formatCode>0.00</c:formatCode>
                <c:ptCount val="4"/>
                <c:pt idx="0">
                  <c:v>8.2455904784026544</c:v>
                </c:pt>
                <c:pt idx="1">
                  <c:v>6.4685127444306847</c:v>
                </c:pt>
                <c:pt idx="2">
                  <c:v>7.9826148589450625</c:v>
                </c:pt>
                <c:pt idx="3">
                  <c:v>9.3509369867058236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OtagoNet!$B$87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99660429540984E-3"/>
                  <c:y val="-2.88742777445712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OtagoNet!$C$87:$F$87</c:f>
              <c:numCache>
                <c:formatCode>0.00</c:formatCode>
                <c:ptCount val="4"/>
                <c:pt idx="0">
                  <c:v>1.4361020589309448</c:v>
                </c:pt>
                <c:pt idx="1">
                  <c:v>1.4829423382721825</c:v>
                </c:pt>
                <c:pt idx="2">
                  <c:v>1.5467070928498441</c:v>
                </c:pt>
                <c:pt idx="3">
                  <c:v>1.5739050705179864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06112"/>
        <c:axId val="161307648"/>
      </c:lineChart>
      <c:catAx>
        <c:axId val="16130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1307648"/>
        <c:crosses val="autoZero"/>
        <c:auto val="1"/>
        <c:lblAlgn val="ctr"/>
        <c:lblOffset val="100"/>
        <c:noMultiLvlLbl val="0"/>
      </c:catAx>
      <c:valAx>
        <c:axId val="16130764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1306112"/>
        <c:crosses val="autoZero"/>
        <c:crossBetween val="midCat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374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OtagoNet!$B$90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-2.753536561068036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OtagoNet!$C$90:$F$90</c:f>
              <c:numCache>
                <c:formatCode>0.0</c:formatCode>
                <c:ptCount val="4"/>
                <c:pt idx="0">
                  <c:v>100</c:v>
                </c:pt>
                <c:pt idx="1">
                  <c:v>93.006808701072487</c:v>
                </c:pt>
                <c:pt idx="2">
                  <c:v>105.6887552557217</c:v>
                </c:pt>
                <c:pt idx="3">
                  <c:v>120.10758474999297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OtagoNet!$B$91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6327593588554E-3"/>
                  <c:y val="5.312285908648888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OtagoNet!$C$91:$F$91</c:f>
              <c:numCache>
                <c:formatCode>0.0</c:formatCode>
                <c:ptCount val="4"/>
                <c:pt idx="0">
                  <c:v>100</c:v>
                </c:pt>
                <c:pt idx="1">
                  <c:v>93.241500838093899</c:v>
                </c:pt>
                <c:pt idx="2">
                  <c:v>89.471154583255924</c:v>
                </c:pt>
                <c:pt idx="3">
                  <c:v>101.20300482985452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OtagoNet!$B$92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197777707787034E-3"/>
                  <c:y val="-2.189933048014818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OtagoNet!$C$92:$F$92</c:f>
              <c:numCache>
                <c:formatCode>0.0</c:formatCode>
                <c:ptCount val="4"/>
                <c:pt idx="0">
                  <c:v>100</c:v>
                </c:pt>
                <c:pt idx="1">
                  <c:v>78.44814463407323</c:v>
                </c:pt>
                <c:pt idx="2">
                  <c:v>96.81071209943795</c:v>
                </c:pt>
                <c:pt idx="3">
                  <c:v>113.40530446180124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OtagoNet!$B$93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6268391762759E-3"/>
                  <c:y val="3.390170443834723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OtagoNet!$C$93:$F$93</c:f>
              <c:numCache>
                <c:formatCode>0.0</c:formatCode>
                <c:ptCount val="4"/>
                <c:pt idx="0">
                  <c:v>100</c:v>
                </c:pt>
                <c:pt idx="1">
                  <c:v>103.26162608360205</c:v>
                </c:pt>
                <c:pt idx="2">
                  <c:v>107.70175303566066</c:v>
                </c:pt>
                <c:pt idx="3">
                  <c:v>109.5956280217037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31168"/>
        <c:axId val="161853440"/>
      </c:lineChart>
      <c:catAx>
        <c:axId val="16183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1853440"/>
        <c:crosses val="autoZero"/>
        <c:auto val="1"/>
        <c:lblAlgn val="ctr"/>
        <c:lblOffset val="100"/>
        <c:noMultiLvlLbl val="0"/>
      </c:catAx>
      <c:valAx>
        <c:axId val="161853440"/>
        <c:scaling>
          <c:orientation val="minMax"/>
          <c:max val="130"/>
          <c:min val="7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1831168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834364860253561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OtagoNet!$B$120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243122740617068E-6"/>
                  <c:y val="1.763796296296295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OtagoNet!$C$120:$F$120</c:f>
              <c:numCache>
                <c:formatCode>0.0</c:formatCode>
                <c:ptCount val="4"/>
                <c:pt idx="0">
                  <c:v>100</c:v>
                </c:pt>
                <c:pt idx="1">
                  <c:v>105.85926310783698</c:v>
                </c:pt>
                <c:pt idx="2">
                  <c:v>96.757754429431259</c:v>
                </c:pt>
                <c:pt idx="3">
                  <c:v>93.819609311993574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OtagoNet!$B$121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599648674489365E-3"/>
                  <c:y val="-3.527777777777874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OtagoNet!$C$121:$F$121</c:f>
              <c:numCache>
                <c:formatCode>0.0</c:formatCode>
                <c:ptCount val="4"/>
                <c:pt idx="0">
                  <c:v>100</c:v>
                </c:pt>
                <c:pt idx="1">
                  <c:v>132.86019339651889</c:v>
                </c:pt>
                <c:pt idx="2">
                  <c:v>139.38676806537109</c:v>
                </c:pt>
                <c:pt idx="3">
                  <c:v>133.79224786445627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OtagoNet!$B$122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017546479607951E-5"/>
                  <c:y val="-5.8796296296297823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OtagoNet!$C$122:$F$122</c:f>
              <c:numCache>
                <c:formatCode>0.0</c:formatCode>
                <c:ptCount val="4"/>
                <c:pt idx="0">
                  <c:v>100</c:v>
                </c:pt>
                <c:pt idx="1">
                  <c:v>126.49111739242571</c:v>
                </c:pt>
                <c:pt idx="2">
                  <c:v>108.01072847267932</c:v>
                </c:pt>
                <c:pt idx="3">
                  <c:v>102.59951548225263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OtagoNet!$B$123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-4.115787037037034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800"/>
                      <a:t>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OtagoNet!$C$123:$F$123</c:f>
              <c:numCache>
                <c:formatCode>0.0</c:formatCode>
                <c:ptCount val="4"/>
                <c:pt idx="0">
                  <c:v>100</c:v>
                </c:pt>
                <c:pt idx="1">
                  <c:v>101.29832858939432</c:v>
                </c:pt>
                <c:pt idx="2">
                  <c:v>108.54357668544017</c:v>
                </c:pt>
                <c:pt idx="3">
                  <c:v>109.68226085411526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73184"/>
        <c:axId val="161874688"/>
      </c:lineChart>
      <c:catAx>
        <c:axId val="16137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1874688"/>
        <c:crosses val="autoZero"/>
        <c:auto val="1"/>
        <c:lblAlgn val="ctr"/>
        <c:lblOffset val="100"/>
        <c:noMultiLvlLbl val="0"/>
      </c:catAx>
      <c:valAx>
        <c:axId val="161874688"/>
        <c:scaling>
          <c:orientation val="minMax"/>
          <c:max val="14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137318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932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OtagoNet!$B$113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OtagoNet!$C$112:$F$112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OtagoNet!$C$113:$F$113</c:f>
              <c:numCache>
                <c:formatCode>General</c:formatCode>
                <c:ptCount val="4"/>
                <c:pt idx="0">
                  <c:v>104069.23</c:v>
                </c:pt>
                <c:pt idx="1">
                  <c:v>110166.92</c:v>
                </c:pt>
                <c:pt idx="2">
                  <c:v>100695.05</c:v>
                </c:pt>
                <c:pt idx="3">
                  <c:v>97637.345000000001</c:v>
                </c:pt>
              </c:numCache>
            </c:numRef>
          </c:val>
        </c:ser>
        <c:ser>
          <c:idx val="1"/>
          <c:order val="1"/>
          <c:tx>
            <c:strRef>
              <c:f>OtagoNet!$B$114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OtagoNet!$C$112:$F$112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OtagoNet!$C$114:$F$114</c:f>
              <c:numCache>
                <c:formatCode>General</c:formatCode>
                <c:ptCount val="4"/>
                <c:pt idx="0">
                  <c:v>21063.254000000001</c:v>
                </c:pt>
                <c:pt idx="1">
                  <c:v>27984.68</c:v>
                </c:pt>
                <c:pt idx="2">
                  <c:v>29359.388999999999</c:v>
                </c:pt>
                <c:pt idx="3">
                  <c:v>28181.001</c:v>
                </c:pt>
              </c:numCache>
            </c:numRef>
          </c:val>
        </c:ser>
        <c:ser>
          <c:idx val="2"/>
          <c:order val="2"/>
          <c:tx>
            <c:strRef>
              <c:f>OtagoNet!$B$115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OtagoNet!$C$112:$F$112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OtagoNet!$C$115:$F$115</c:f>
              <c:numCache>
                <c:formatCode>General</c:formatCode>
                <c:ptCount val="4"/>
                <c:pt idx="0">
                  <c:v>32905.709000000003</c:v>
                </c:pt>
                <c:pt idx="1">
                  <c:v>41622.798999999999</c:v>
                </c:pt>
                <c:pt idx="2">
                  <c:v>35541.696000000004</c:v>
                </c:pt>
                <c:pt idx="3">
                  <c:v>33761.097999999998</c:v>
                </c:pt>
              </c:numCache>
            </c:numRef>
          </c:val>
        </c:ser>
        <c:ser>
          <c:idx val="3"/>
          <c:order val="3"/>
          <c:tx>
            <c:strRef>
              <c:f>OtagoNet!$B$116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OtagoNet!$C$112:$F$112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OtagoNet!$C$116:$F$116</c:f>
              <c:numCache>
                <c:formatCode>General</c:formatCode>
                <c:ptCount val="4"/>
                <c:pt idx="0">
                  <c:v>201717.04</c:v>
                </c:pt>
                <c:pt idx="1">
                  <c:v>204335.99</c:v>
                </c:pt>
                <c:pt idx="2">
                  <c:v>218950.89</c:v>
                </c:pt>
                <c:pt idx="3">
                  <c:v>221247.81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910784"/>
        <c:axId val="161912320"/>
      </c:barChart>
      <c:catAx>
        <c:axId val="16191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1912320"/>
        <c:crosses val="autoZero"/>
        <c:auto val="1"/>
        <c:lblAlgn val="ctr"/>
        <c:lblOffset val="100"/>
        <c:noMultiLvlLbl val="0"/>
      </c:catAx>
      <c:valAx>
        <c:axId val="161912320"/>
        <c:scaling>
          <c:orientation val="minMax"/>
          <c:max val="40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1910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OtagoNet!$U$138:$U$144</c:f>
              <c:strCache>
                <c:ptCount val="7"/>
                <c:pt idx="0">
                  <c:v>General management, admin and overheads</c:v>
                </c:pt>
                <c:pt idx="1">
                  <c:v>Fault and emergency maintenance</c:v>
                </c:pt>
                <c:pt idx="2">
                  <c:v>Routine and preventative maintenance</c:v>
                </c:pt>
                <c:pt idx="3">
                  <c:v>Refurbishment and renewal maintenance</c:v>
                </c:pt>
                <c:pt idx="4">
                  <c:v>Pass-through costs</c:v>
                </c:pt>
                <c:pt idx="5">
                  <c:v>System management and operations</c:v>
                </c:pt>
                <c:pt idx="6">
                  <c:v>Other</c:v>
                </c:pt>
              </c:strCache>
            </c:strRef>
          </c:cat>
          <c:val>
            <c:numRef>
              <c:f>OtagoNet!$V$138:$V$144</c:f>
              <c:numCache>
                <c:formatCode>General</c:formatCode>
                <c:ptCount val="7"/>
                <c:pt idx="0">
                  <c:v>1615</c:v>
                </c:pt>
                <c:pt idx="1">
                  <c:v>1342</c:v>
                </c:pt>
                <c:pt idx="2">
                  <c:v>1194</c:v>
                </c:pt>
                <c:pt idx="3">
                  <c:v>700</c:v>
                </c:pt>
                <c:pt idx="4">
                  <c:v>159</c:v>
                </c:pt>
                <c:pt idx="5">
                  <c:v>131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61564160"/>
        <c:axId val="161565696"/>
      </c:barChart>
      <c:catAx>
        <c:axId val="161564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1565696"/>
        <c:crosses val="autoZero"/>
        <c:auto val="1"/>
        <c:lblAlgn val="ctr"/>
        <c:lblOffset val="100"/>
        <c:noMultiLvlLbl val="0"/>
      </c:catAx>
      <c:valAx>
        <c:axId val="161565696"/>
        <c:scaling>
          <c:orientation val="minMax"/>
          <c:max val="165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1564160"/>
        <c:crosses val="autoZero"/>
        <c:crossBetween val="between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OtagoNet!$U$186:$U$191</c:f>
              <c:strCache>
                <c:ptCount val="6"/>
                <c:pt idx="0">
                  <c:v>Asset replacement and renewal</c:v>
                </c:pt>
                <c:pt idx="1">
                  <c:v>System growth</c:v>
                </c:pt>
                <c:pt idx="2">
                  <c:v>Customer connection</c:v>
                </c:pt>
                <c:pt idx="3">
                  <c:v>Reliability, safety and environment</c:v>
                </c:pt>
                <c:pt idx="4">
                  <c:v>Non-network capex</c:v>
                </c:pt>
                <c:pt idx="5">
                  <c:v>Asset relocations</c:v>
                </c:pt>
              </c:strCache>
            </c:strRef>
          </c:cat>
          <c:val>
            <c:numRef>
              <c:f>OtagoNet!$V$186:$V$191</c:f>
              <c:numCache>
                <c:formatCode>General</c:formatCode>
                <c:ptCount val="6"/>
                <c:pt idx="0">
                  <c:v>5.3289999999999997</c:v>
                </c:pt>
                <c:pt idx="1">
                  <c:v>1.6890000000000001</c:v>
                </c:pt>
                <c:pt idx="2">
                  <c:v>1.1619999999999999</c:v>
                </c:pt>
                <c:pt idx="3">
                  <c:v>0.93200000000000005</c:v>
                </c:pt>
                <c:pt idx="4">
                  <c:v>0.33600000000000002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61577600"/>
        <c:axId val="161583488"/>
      </c:barChart>
      <c:catAx>
        <c:axId val="161577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1583488"/>
        <c:crosses val="autoZero"/>
        <c:auto val="1"/>
        <c:lblAlgn val="ctr"/>
        <c:lblOffset val="100"/>
        <c:noMultiLvlLbl val="0"/>
      </c:catAx>
      <c:valAx>
        <c:axId val="161583488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15776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Aurora!$V$177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10141909722222205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Aurora!$W$177:$AC$177</c:f>
              <c:numCache>
                <c:formatCode>General</c:formatCode>
                <c:ptCount val="7"/>
                <c:pt idx="0">
                  <c:v>8680.4774864595383</c:v>
                </c:pt>
                <c:pt idx="1">
                  <c:v>8897.4894236210275</c:v>
                </c:pt>
                <c:pt idx="2">
                  <c:v>9118.5767023254539</c:v>
                </c:pt>
                <c:pt idx="3">
                  <c:v>9343.739322572821</c:v>
                </c:pt>
                <c:pt idx="4">
                  <c:v>9577.0526259060643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Aurora!$V$178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4.8514535378037821E-2"/>
                  <c:y val="-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Aurora!$W$178:$AC$178</c:f>
              <c:numCache>
                <c:formatCode>General</c:formatCode>
                <c:ptCount val="7"/>
                <c:pt idx="1">
                  <c:v>9380</c:v>
                </c:pt>
                <c:pt idx="2">
                  <c:v>9614</c:v>
                </c:pt>
                <c:pt idx="3">
                  <c:v>9849</c:v>
                </c:pt>
                <c:pt idx="4">
                  <c:v>10093</c:v>
                </c:pt>
                <c:pt idx="5">
                  <c:v>10342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Aurora!$V$179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0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Aurora!$W$179:$AC$179</c:f>
              <c:numCache>
                <c:formatCode>General</c:formatCode>
                <c:ptCount val="7"/>
                <c:pt idx="2">
                  <c:v>8916.0232708467993</c:v>
                </c:pt>
                <c:pt idx="3">
                  <c:v>9140.8791208791208</c:v>
                </c:pt>
                <c:pt idx="4">
                  <c:v>9365.7349709114405</c:v>
                </c:pt>
                <c:pt idx="5">
                  <c:v>9590.5908209437621</c:v>
                </c:pt>
                <c:pt idx="6">
                  <c:v>9825.2230122818346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Aurora!$V$176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8.819444444444588E-2"/>
                  <c:y val="0.1528703703703704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Aurora!$C$178:$I$178</c:f>
              <c:numCache>
                <c:formatCode>_-* #,##0_-;\-* #,##0_-;_-* "-"??_-;_-@_-</c:formatCode>
                <c:ptCount val="7"/>
                <c:pt idx="0">
                  <c:v>9262.2324917140468</c:v>
                </c:pt>
                <c:pt idx="1">
                  <c:v>8452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80864"/>
        <c:axId val="118223616"/>
      </c:lineChart>
      <c:catAx>
        <c:axId val="1181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8223616"/>
        <c:crosses val="autoZero"/>
        <c:auto val="1"/>
        <c:lblAlgn val="ctr"/>
        <c:lblOffset val="100"/>
        <c:noMultiLvlLbl val="0"/>
      </c:catAx>
      <c:valAx>
        <c:axId val="118223616"/>
        <c:scaling>
          <c:orientation val="minMax"/>
          <c:max val="12000"/>
          <c:min val="8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8180864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68744841764"/>
          <c:h val="0.82404629629630954"/>
        </c:manualLayout>
      </c:layout>
      <c:lineChart>
        <c:grouping val="standard"/>
        <c:varyColors val="0"/>
        <c:ser>
          <c:idx val="0"/>
          <c:order val="0"/>
          <c:tx>
            <c:strRef>
              <c:f>OtagoNet!$B$76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8796296296297276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OtagoNet!$C$76:$F$76</c:f>
              <c:numCache>
                <c:formatCode>0.0</c:formatCode>
                <c:ptCount val="4"/>
                <c:pt idx="0">
                  <c:v>100</c:v>
                </c:pt>
                <c:pt idx="1">
                  <c:v>98.4910218173369</c:v>
                </c:pt>
                <c:pt idx="2">
                  <c:v>102.3341732126474</c:v>
                </c:pt>
                <c:pt idx="3">
                  <c:v>112.61305206326173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OtagoNet!$B$77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351898148148147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OtagoNet!$C$77:$F$77</c:f>
              <c:numCache>
                <c:formatCode>0.0</c:formatCode>
                <c:ptCount val="4"/>
                <c:pt idx="0">
                  <c:v>100</c:v>
                </c:pt>
                <c:pt idx="1">
                  <c:v>119.64559600292175</c:v>
                </c:pt>
                <c:pt idx="2">
                  <c:v>117.43614526545083</c:v>
                </c:pt>
                <c:pt idx="3">
                  <c:v>125.15665098331894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OtagoNet!$B$78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5.8791666666666714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OtagoNet!$C$78:$F$78</c:f>
              <c:numCache>
                <c:formatCode>0.0</c:formatCode>
                <c:ptCount val="4"/>
                <c:pt idx="0">
                  <c:v>100</c:v>
                </c:pt>
                <c:pt idx="1">
                  <c:v>96.282510917663544</c:v>
                </c:pt>
                <c:pt idx="2">
                  <c:v>101.46003591151229</c:v>
                </c:pt>
                <c:pt idx="3">
                  <c:v>107.57191231207723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OtagoNet!$B$79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600756927453083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OtagoNet!$C$79:$F$79</c:f>
              <c:numCache>
                <c:formatCode>0.0</c:formatCode>
                <c:ptCount val="4"/>
                <c:pt idx="0">
                  <c:v>100</c:v>
                </c:pt>
                <c:pt idx="1">
                  <c:v>104.60230129691892</c:v>
                </c:pt>
                <c:pt idx="2">
                  <c:v>116.90333489782572</c:v>
                </c:pt>
                <c:pt idx="3">
                  <c:v>120.20696261147086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88960"/>
        <c:axId val="161715328"/>
      </c:lineChart>
      <c:catAx>
        <c:axId val="16168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1715328"/>
        <c:crosses val="autoZero"/>
        <c:auto val="1"/>
        <c:lblAlgn val="ctr"/>
        <c:lblOffset val="100"/>
        <c:noMultiLvlLbl val="0"/>
      </c:catAx>
      <c:valAx>
        <c:axId val="161715328"/>
        <c:scaling>
          <c:orientation val="minMax"/>
          <c:max val="14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168896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30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451"/>
          <c:y val="0.16445370370370369"/>
          <c:w val="0.70330041907982244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OtagoNet!$B$70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OtagoNet!$C$69:$F$69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OtagoNet!$C$70:$F$70</c:f>
              <c:numCache>
                <c:formatCode>0</c:formatCode>
                <c:ptCount val="4"/>
                <c:pt idx="0">
                  <c:v>1094.4758326578099</c:v>
                </c:pt>
                <c:pt idx="1">
                  <c:v>1077.9604311284832</c:v>
                </c:pt>
                <c:pt idx="2">
                  <c:v>1120.022794362608</c:v>
                </c:pt>
                <c:pt idx="3">
                  <c:v>1232.5226392507568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20736"/>
        <c:axId val="161622272"/>
      </c:lineChart>
      <c:catAx>
        <c:axId val="16162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1622272"/>
        <c:crosses val="autoZero"/>
        <c:auto val="1"/>
        <c:lblAlgn val="ctr"/>
        <c:lblOffset val="100"/>
        <c:noMultiLvlLbl val="0"/>
      </c:catAx>
      <c:valAx>
        <c:axId val="161622272"/>
        <c:scaling>
          <c:orientation val="minMax"/>
          <c:max val="1500"/>
          <c:min val="75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61620736"/>
        <c:crosses val="autoZero"/>
        <c:crossBetween val="midCat"/>
        <c:majorUnit val="1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9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98"/>
          <c:y val="0.17621296296296773"/>
          <c:w val="0.73692152777777775"/>
          <c:h val="0.57282407407409786"/>
        </c:manualLayout>
      </c:layout>
      <c:lineChart>
        <c:grouping val="standard"/>
        <c:varyColors val="0"/>
        <c:ser>
          <c:idx val="1"/>
          <c:order val="0"/>
          <c:tx>
            <c:strRef>
              <c:f>OtagoNet!$B$71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OtagoNet!$C$69:$F$69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OtagoNet!$C$71:$F$71</c:f>
              <c:numCache>
                <c:formatCode>0</c:formatCode>
                <c:ptCount val="4"/>
                <c:pt idx="0">
                  <c:v>6575.1747450115718</c:v>
                </c:pt>
                <c:pt idx="1">
                  <c:v>7866.9070119026856</c:v>
                </c:pt>
                <c:pt idx="2">
                  <c:v>7721.6317650090259</c:v>
                </c:pt>
                <c:pt idx="3">
                  <c:v>8229.2685071574633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39040"/>
        <c:axId val="161665408"/>
      </c:lineChart>
      <c:catAx>
        <c:axId val="1616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1665408"/>
        <c:crosses val="autoZero"/>
        <c:auto val="1"/>
        <c:lblAlgn val="ctr"/>
        <c:lblOffset val="100"/>
        <c:noMultiLvlLbl val="0"/>
      </c:catAx>
      <c:valAx>
        <c:axId val="161665408"/>
        <c:scaling>
          <c:orientation val="minMax"/>
          <c:max val="10000"/>
          <c:min val="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61639040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93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OtagoNet!$B$72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OtagoNet!$C$69:$F$69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OtagoNet!$C$72:$F$72</c:f>
              <c:numCache>
                <c:formatCode>0</c:formatCode>
                <c:ptCount val="4"/>
                <c:pt idx="0">
                  <c:v>27686.428654641688</c:v>
                </c:pt>
                <c:pt idx="1">
                  <c:v>26657.18869211651</c:v>
                </c:pt>
                <c:pt idx="2">
                  <c:v>28090.660455614685</c:v>
                </c:pt>
                <c:pt idx="3">
                  <c:v>29782.82075471698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59616"/>
        <c:axId val="161761152"/>
      </c:lineChart>
      <c:catAx>
        <c:axId val="16175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1761152"/>
        <c:crosses val="autoZero"/>
        <c:auto val="1"/>
        <c:lblAlgn val="ctr"/>
        <c:lblOffset val="100"/>
        <c:noMultiLvlLbl val="0"/>
      </c:catAx>
      <c:valAx>
        <c:axId val="161761152"/>
        <c:scaling>
          <c:orientation val="minMax"/>
          <c:max val="40000"/>
          <c:min val="2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61759616"/>
        <c:crosses val="autoZero"/>
        <c:crossBetween val="midCat"/>
        <c:maj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OtagoNet!$B$73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OtagoNet!$C$69:$F$69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OtagoNet!$C$73:$F$73</c:f>
              <c:numCache>
                <c:formatCode>0</c:formatCode>
                <c:ptCount val="4"/>
                <c:pt idx="0">
                  <c:v>579372.5129309115</c:v>
                </c:pt>
                <c:pt idx="1">
                  <c:v>606036.98160752258</c:v>
                </c:pt>
                <c:pt idx="2">
                  <c:v>677305.78909757209</c:v>
                </c:pt>
                <c:pt idx="3">
                  <c:v>696446.1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85728"/>
        <c:axId val="161787264"/>
      </c:lineChart>
      <c:catAx>
        <c:axId val="16178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1787264"/>
        <c:crosses val="autoZero"/>
        <c:auto val="1"/>
        <c:lblAlgn val="ctr"/>
        <c:lblOffset val="100"/>
        <c:noMultiLvlLbl val="0"/>
      </c:catAx>
      <c:valAx>
        <c:axId val="161787264"/>
        <c:scaling>
          <c:orientation val="minMax"/>
          <c:max val="800000"/>
          <c:min val="4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61785728"/>
        <c:crosses val="autoZero"/>
        <c:crossBetween val="midCat"/>
        <c:majorUnit val="8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63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OtagoNet!$B$105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6638231953770013E-2"/>
                  <c:y val="4.115694444444445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OtagoNet!$C$105:$F$105</c:f>
              <c:numCache>
                <c:formatCode>0.0</c:formatCode>
                <c:ptCount val="4"/>
                <c:pt idx="0">
                  <c:v>100</c:v>
                </c:pt>
                <c:pt idx="1">
                  <c:v>99.964768883878236</c:v>
                </c:pt>
                <c:pt idx="2">
                  <c:v>99.929537767756486</c:v>
                </c:pt>
                <c:pt idx="3">
                  <c:v>100.06341600901916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OtagoNet!$B$106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8.8430147754729543E-2"/>
                  <c:y val="-4.115833333333333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OtagoNet!$C$106:$F$106</c:f>
              <c:numCache>
                <c:formatCode>0.0</c:formatCode>
                <c:ptCount val="4"/>
                <c:pt idx="0">
                  <c:v>100</c:v>
                </c:pt>
                <c:pt idx="1">
                  <c:v>103.53982300884957</c:v>
                </c:pt>
                <c:pt idx="2">
                  <c:v>106.19469026548674</c:v>
                </c:pt>
                <c:pt idx="3">
                  <c:v>108.1858407079646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OtagoNet!$B$107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12406379700775592"/>
                  <c:y val="0.14185159265212124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OtagoNet!$C$107:$F$107</c:f>
              <c:numCache>
                <c:formatCode>0.0</c:formatCode>
                <c:ptCount val="4"/>
                <c:pt idx="0">
                  <c:v>100</c:v>
                </c:pt>
                <c:pt idx="1">
                  <c:v>103.0612244897959</c:v>
                </c:pt>
                <c:pt idx="2">
                  <c:v>103.0612244897959</c:v>
                </c:pt>
                <c:pt idx="3">
                  <c:v>108.16326530612245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363264"/>
        <c:axId val="162364800"/>
      </c:lineChart>
      <c:catAx>
        <c:axId val="16236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2364800"/>
        <c:crosses val="autoZero"/>
        <c:auto val="1"/>
        <c:lblAlgn val="ctr"/>
        <c:lblOffset val="100"/>
        <c:noMultiLvlLbl val="0"/>
      </c:catAx>
      <c:valAx>
        <c:axId val="162364800"/>
        <c:scaling>
          <c:orientation val="minMax"/>
          <c:max val="115"/>
          <c:min val="9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2363264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2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OtagoNet!$B$98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OtagoNet!$C$97:$F$97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OtagoNet!$C$98:$F$98</c:f>
              <c:numCache>
                <c:formatCode>General</c:formatCode>
                <c:ptCount val="4"/>
                <c:pt idx="0">
                  <c:v>14192</c:v>
                </c:pt>
                <c:pt idx="1">
                  <c:v>14187</c:v>
                </c:pt>
                <c:pt idx="2">
                  <c:v>14182</c:v>
                </c:pt>
                <c:pt idx="3">
                  <c:v>14201</c:v>
                </c:pt>
              </c:numCache>
            </c:numRef>
          </c:val>
        </c:ser>
        <c:ser>
          <c:idx val="1"/>
          <c:order val="1"/>
          <c:tx>
            <c:strRef>
              <c:f>OtagoNet!$B$99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OtagoNet!$C$97:$F$97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OtagoNet!$C$99:$F$99</c:f>
              <c:numCache>
                <c:formatCode>General</c:formatCode>
                <c:ptCount val="4"/>
                <c:pt idx="0">
                  <c:v>452</c:v>
                </c:pt>
                <c:pt idx="1">
                  <c:v>468</c:v>
                </c:pt>
                <c:pt idx="2">
                  <c:v>480</c:v>
                </c:pt>
                <c:pt idx="3">
                  <c:v>489</c:v>
                </c:pt>
              </c:numCache>
            </c:numRef>
          </c:val>
        </c:ser>
        <c:ser>
          <c:idx val="2"/>
          <c:order val="2"/>
          <c:tx>
            <c:strRef>
              <c:f>OtagoNet!$B$100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OtagoNet!$C$97:$F$97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OtagoNet!$C$100:$F$100</c:f>
              <c:numCache>
                <c:formatCode>General</c:formatCode>
                <c:ptCount val="4"/>
                <c:pt idx="0">
                  <c:v>98</c:v>
                </c:pt>
                <c:pt idx="1">
                  <c:v>101</c:v>
                </c:pt>
                <c:pt idx="2">
                  <c:v>101</c:v>
                </c:pt>
                <c:pt idx="3">
                  <c:v>106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420224"/>
        <c:axId val="162421760"/>
      </c:barChart>
      <c:catAx>
        <c:axId val="16242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2421760"/>
        <c:crosses val="autoZero"/>
        <c:auto val="1"/>
        <c:lblAlgn val="ctr"/>
        <c:lblOffset val="100"/>
        <c:noMultiLvlLbl val="0"/>
      </c:catAx>
      <c:valAx>
        <c:axId val="162421760"/>
        <c:scaling>
          <c:orientation val="minMax"/>
          <c:max val="1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2420224"/>
        <c:crosses val="autoZero"/>
        <c:crossBetween val="between"/>
        <c:majorUnit val="4000"/>
      </c:valAx>
    </c:plotArea>
    <c:legend>
      <c:legendPos val="t"/>
      <c:layout>
        <c:manualLayout>
          <c:xMode val="edge"/>
          <c:yMode val="edge"/>
          <c:x val="0"/>
          <c:y val="3.5277777777779414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OtagoNet!$B$209</c:f>
              <c:strCache>
                <c:ptCount val="1"/>
                <c:pt idx="0">
                  <c:v>OtagoNet Joint Venture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OtagoNet!$C$204:$F$204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OtagoNet!$C$209:$F$209</c:f>
              <c:numCache>
                <c:formatCode>_(* #,##0.00_);_(* \(#,##0.00\);_(* "-"??_);_(@_)</c:formatCode>
                <c:ptCount val="4"/>
                <c:pt idx="0">
                  <c:v>22107.070263110556</c:v>
                </c:pt>
                <c:pt idx="1">
                  <c:v>15145.338989854959</c:v>
                </c:pt>
                <c:pt idx="2">
                  <c:v>17025.320085966345</c:v>
                </c:pt>
                <c:pt idx="3">
                  <c:v>24809.148769588846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OtagoNet!$B$210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6.2946659001162522E-5"/>
                  <c:y val="4.30398908422406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OtagoNet!$C$204:$F$204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530048"/>
        <c:axId val="162531584"/>
      </c:lineChart>
      <c:catAx>
        <c:axId val="16253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2531584"/>
        <c:crosses val="autoZero"/>
        <c:auto val="1"/>
        <c:lblAlgn val="ctr"/>
        <c:lblOffset val="100"/>
        <c:noMultiLvlLbl val="0"/>
      </c:catAx>
      <c:valAx>
        <c:axId val="162531584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2530048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30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OtagoNet!$C$204:$F$204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OtagoNet!$C$212:$F$212</c:f>
              <c:numCache>
                <c:formatCode>_(* #,##0.00_);_(* \(#,##0.00\);_(* "-"??_);_(@_)</c:formatCode>
                <c:ptCount val="4"/>
                <c:pt idx="0">
                  <c:v>6.8941476844747565E-2</c:v>
                </c:pt>
                <c:pt idx="1">
                  <c:v>4.9895565660703564E-2</c:v>
                </c:pt>
                <c:pt idx="2">
                  <c:v>5.3386769950875206E-2</c:v>
                </c:pt>
                <c:pt idx="3">
                  <c:v>7.3389045209143244E-2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4.9597769221799724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OtagoNet!$C$204:$F$204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579200"/>
        <c:axId val="162580736"/>
      </c:lineChart>
      <c:catAx>
        <c:axId val="16257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2580736"/>
        <c:crosses val="autoZero"/>
        <c:auto val="1"/>
        <c:lblAlgn val="ctr"/>
        <c:lblOffset val="100"/>
        <c:noMultiLvlLbl val="0"/>
      </c:catAx>
      <c:valAx>
        <c:axId val="162580736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2579200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1"/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24"/>
          <c:w val="0.79809047321242665"/>
          <c:h val="0.72979551178440338"/>
        </c:manualLayout>
      </c:layout>
      <c:lineChart>
        <c:grouping val="standard"/>
        <c:varyColors val="0"/>
        <c:ser>
          <c:idx val="0"/>
          <c:order val="0"/>
          <c:tx>
            <c:strRef>
              <c:f>OtagoNet!$B$206</c:f>
              <c:strCache>
                <c:ptCount val="1"/>
                <c:pt idx="0">
                  <c:v>OtagoNet Joint Venture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OtagoNet!$C$204:$F$204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OtagoNet!$C$206:$F$206</c:f>
              <c:numCache>
                <c:formatCode>_(* #,##0.00_);_(* \(#,##0.00\);_(* "-"??_);_(@_)</c:formatCode>
                <c:ptCount val="4"/>
                <c:pt idx="0">
                  <c:v>539.30522909423678</c:v>
                </c:pt>
                <c:pt idx="1">
                  <c:v>394.11164900278129</c:v>
                </c:pt>
                <c:pt idx="2">
                  <c:v>443.32585243303782</c:v>
                </c:pt>
                <c:pt idx="3">
                  <c:v>638.3352476184042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OtagoNet!$B$207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5988850572340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OtagoNet!$C$204:$F$204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20928"/>
        <c:axId val="162622464"/>
      </c:lineChart>
      <c:catAx>
        <c:axId val="1626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2622464"/>
        <c:crosses val="autoZero"/>
        <c:auto val="1"/>
        <c:lblAlgn val="ctr"/>
        <c:lblOffset val="100"/>
        <c:noMultiLvlLbl val="0"/>
      </c:catAx>
      <c:valAx>
        <c:axId val="162622464"/>
        <c:scaling>
          <c:orientation val="minMax"/>
          <c:max val="65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2620928"/>
        <c:crosses val="autoZero"/>
        <c:crossBetween val="midCat"/>
        <c:majorUnit val="13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6855"/>
          <c:h val="0.77578287037038796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Aurora!$B$222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Aurora!$C$222:$D$222</c:f>
              <c:numCache>
                <c:formatCode>_-* #,##0_-;\-* #,##0_-;_-* "-"??_-;_-@_-</c:formatCode>
                <c:ptCount val="2"/>
                <c:pt idx="0">
                  <c:v>22106.690199671255</c:v>
                </c:pt>
                <c:pt idx="1">
                  <c:v>22294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18312320"/>
        <c:axId val="118318208"/>
      </c:barChart>
      <c:lineChart>
        <c:grouping val="standard"/>
        <c:varyColors val="0"/>
        <c:ser>
          <c:idx val="1"/>
          <c:order val="0"/>
          <c:tx>
            <c:strRef>
              <c:f>Aurora!$B$223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Aurora!$C$221:$D$221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Aurora!$C$223:$D$223</c:f>
              <c:numCache>
                <c:formatCode>_-* #,##0_-;\-* #,##0_-;_-* "-"??_-;_-@_-</c:formatCode>
                <c:ptCount val="2"/>
                <c:pt idx="0">
                  <c:v>15292.719139877661</c:v>
                </c:pt>
                <c:pt idx="1">
                  <c:v>15241.777370590928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Aurora!$B$224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Aurora!$C$221:$D$221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Aurora!$C$224:$D$224</c:f>
              <c:numCache>
                <c:formatCode>_-* #,##0_-;\-* #,##0_-;_-* "-"??_-;_-@_-</c:formatCode>
                <c:ptCount val="2"/>
                <c:pt idx="1">
                  <c:v>24010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12320"/>
        <c:axId val="118318208"/>
      </c:lineChart>
      <c:catAx>
        <c:axId val="1183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318208"/>
        <c:crosses val="autoZero"/>
        <c:auto val="1"/>
        <c:lblAlgn val="ctr"/>
        <c:lblOffset val="100"/>
        <c:noMultiLvlLbl val="0"/>
      </c:catAx>
      <c:valAx>
        <c:axId val="11831820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8312320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404E-3"/>
          <c:w val="0.90316284722220719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431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OtagoNet!$B$162</c:f>
              <c:strCache>
                <c:ptCount val="1"/>
                <c:pt idx="0">
                  <c:v>OtagoNet Joint Venture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OtagoNet!$C$160:$F$160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OtagoNet!$C$162:$F$162</c:f>
              <c:numCache>
                <c:formatCode>_(* #,##0.00_);_(* \(#,##0.00\);_(* "-"??_);_(@_)</c:formatCode>
                <c:ptCount val="4"/>
                <c:pt idx="0">
                  <c:v>308.87414842390541</c:v>
                </c:pt>
                <c:pt idx="1">
                  <c:v>378.63974272501326</c:v>
                </c:pt>
                <c:pt idx="2">
                  <c:v>346.25777363234005</c:v>
                </c:pt>
                <c:pt idx="3">
                  <c:v>347.34139585163166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OtagoNet!$B$163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87579169070112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OtagoNet!$C$160:$F$160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57024"/>
        <c:axId val="162658560"/>
      </c:lineChart>
      <c:catAx>
        <c:axId val="16265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2658560"/>
        <c:crosses val="autoZero"/>
        <c:auto val="1"/>
        <c:lblAlgn val="ctr"/>
        <c:lblOffset val="100"/>
        <c:noMultiLvlLbl val="0"/>
      </c:catAx>
      <c:valAx>
        <c:axId val="162658560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2657024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1"/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8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OtagoNet!$C$160:$F$160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OtagoNet!$C$165:$F$165</c:f>
              <c:numCache>
                <c:formatCode>_(* #,##0.00_);_(* \(#,##0.00\);_(* "-"??_);_(@_)</c:formatCode>
                <c:ptCount val="4"/>
                <c:pt idx="0">
                  <c:v>1045.2994681412067</c:v>
                </c:pt>
                <c:pt idx="1">
                  <c:v>1279.475006361529</c:v>
                </c:pt>
                <c:pt idx="2">
                  <c:v>1165.6310968981038</c:v>
                </c:pt>
                <c:pt idx="3">
                  <c:v>1170.4668514384778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2730151815203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OtagoNet!$C$160:$F$160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737536"/>
        <c:axId val="162747520"/>
      </c:lineChart>
      <c:catAx>
        <c:axId val="1627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747520"/>
        <c:crosses val="autoZero"/>
        <c:auto val="1"/>
        <c:lblAlgn val="ctr"/>
        <c:lblOffset val="100"/>
        <c:noMultiLvlLbl val="0"/>
      </c:catAx>
      <c:valAx>
        <c:axId val="162747520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62737536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1"/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26327073267044"/>
          <c:y val="0.13550222222222241"/>
          <c:w val="0.7695508593816110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OtagoNet!$B$168</c:f>
              <c:strCache>
                <c:ptCount val="1"/>
                <c:pt idx="0">
                  <c:v>OtagoNet Joint Venture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OtagoNet!$C$160:$F$160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OtagoNet!$C$168:$F$168</c:f>
              <c:numCache>
                <c:formatCode>_(* #,##0.00_);_(* \(#,##0.00\);_(* "-"??_);_(@_)</c:formatCode>
                <c:ptCount val="4"/>
                <c:pt idx="0">
                  <c:v>12.661294816543595</c:v>
                </c:pt>
                <c:pt idx="1">
                  <c:v>14.550768222944164</c:v>
                </c:pt>
                <c:pt idx="2">
                  <c:v>13.297553923352799</c:v>
                </c:pt>
                <c:pt idx="3">
                  <c:v>13.499559041538555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OtagoNet!$B$169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631201735031031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OtagoNet!$C$160:$F$160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765440"/>
        <c:axId val="162783616"/>
      </c:lineChart>
      <c:catAx>
        <c:axId val="1627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2783616"/>
        <c:crosses val="autoZero"/>
        <c:auto val="1"/>
        <c:lblAlgn val="ctr"/>
        <c:lblOffset val="100"/>
        <c:noMultiLvlLbl val="0"/>
      </c:catAx>
      <c:valAx>
        <c:axId val="162783616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2765440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  <c:userShapes r:id="rId1"/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791"/>
          <c:h val="0.7759916666666988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OtagoNet!$B$178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OtagoNet!$C$178:$D$178</c:f>
              <c:numCache>
                <c:formatCode>_-* #,##0_-;\-* #,##0_-;_-* "-"??_-;_-@_-</c:formatCode>
                <c:ptCount val="2"/>
                <c:pt idx="0">
                  <c:v>3301.0266497803877</c:v>
                </c:pt>
                <c:pt idx="1">
                  <c:v>3236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62811264"/>
        <c:axId val="162825344"/>
      </c:barChart>
      <c:lineChart>
        <c:grouping val="standard"/>
        <c:varyColors val="0"/>
        <c:ser>
          <c:idx val="1"/>
          <c:order val="0"/>
          <c:tx>
            <c:strRef>
              <c:f>OtagoNet!$B$179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OtagoNet!$C$177:$D$177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OtagoNet!$C$179:$D$179</c:f>
              <c:numCache>
                <c:formatCode>_-* #,##0_-;\-* #,##0_-;_-* "-"??_-;_-@_-</c:formatCode>
                <c:ptCount val="2"/>
                <c:pt idx="0">
                  <c:v>3048.3554741181856</c:v>
                </c:pt>
                <c:pt idx="1">
                  <c:v>2834.4000431139011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OtagoNet!$B$180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OtagoNet!$C$177:$D$177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OtagoNet!$C$180:$D$180</c:f>
              <c:numCache>
                <c:formatCode>_-* #,##0_-;\-* #,##0_-;_-* "-"??_-;_-@_-</c:formatCode>
                <c:ptCount val="2"/>
                <c:pt idx="1">
                  <c:v>3947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811264"/>
        <c:axId val="162825344"/>
      </c:lineChart>
      <c:catAx>
        <c:axId val="16281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2825344"/>
        <c:crosses val="autoZero"/>
        <c:auto val="1"/>
        <c:lblAlgn val="ctr"/>
        <c:lblOffset val="100"/>
        <c:noMultiLvlLbl val="0"/>
      </c:catAx>
      <c:valAx>
        <c:axId val="16282534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2811264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312"/>
          <c:y val="3.5277777777779448E-2"/>
          <c:w val="0.7717227593675063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OtagoNet!$V$177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1.3029861111111141E-2"/>
                  <c:y val="5.879629629629743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OtagoNet!$W$177:$AC$177</c:f>
              <c:numCache>
                <c:formatCode>General</c:formatCode>
                <c:ptCount val="7"/>
                <c:pt idx="0">
                  <c:v>3048.3554741181856</c:v>
                </c:pt>
                <c:pt idx="1">
                  <c:v>2834.4000431139011</c:v>
                </c:pt>
                <c:pt idx="2">
                  <c:v>2762.0627307267382</c:v>
                </c:pt>
                <c:pt idx="3">
                  <c:v>2844.5883969712481</c:v>
                </c:pt>
                <c:pt idx="4">
                  <c:v>2930.1705693729618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OtagoNet!$V$178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0603296836522352"/>
                  <c:y val="-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OtagoNet!$W$178:$AC$178</c:f>
              <c:numCache>
                <c:formatCode>General</c:formatCode>
                <c:ptCount val="7"/>
                <c:pt idx="1">
                  <c:v>3947</c:v>
                </c:pt>
                <c:pt idx="2">
                  <c:v>3957</c:v>
                </c:pt>
                <c:pt idx="3">
                  <c:v>3961</c:v>
                </c:pt>
                <c:pt idx="4">
                  <c:v>4026</c:v>
                </c:pt>
                <c:pt idx="5">
                  <c:v>4147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OtagoNet!$V$179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90331674135456E-5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OtagoNet!$W$179:$AC$179</c:f>
              <c:numCache>
                <c:formatCode>General</c:formatCode>
                <c:ptCount val="7"/>
                <c:pt idx="2">
                  <c:v>3525.348674854557</c:v>
                </c:pt>
                <c:pt idx="3">
                  <c:v>3674.9266968325792</c:v>
                </c:pt>
                <c:pt idx="4">
                  <c:v>3577.1632837750485</c:v>
                </c:pt>
                <c:pt idx="5">
                  <c:v>3577.1632837750485</c:v>
                </c:pt>
                <c:pt idx="6">
                  <c:v>3577.1632837750485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OtagoNet!$V$176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1406039490010299"/>
                  <c:y val="2.64369050505798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OtagoNet!$C$178:$I$178</c:f>
              <c:numCache>
                <c:formatCode>_-* #,##0_-;\-* #,##0_-;_-* "-"??_-;_-@_-</c:formatCode>
                <c:ptCount val="7"/>
                <c:pt idx="0">
                  <c:v>3301.0266497803877</c:v>
                </c:pt>
                <c:pt idx="1">
                  <c:v>3236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65504"/>
        <c:axId val="162167040"/>
      </c:lineChart>
      <c:catAx>
        <c:axId val="16216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2167040"/>
        <c:crosses val="autoZero"/>
        <c:auto val="1"/>
        <c:lblAlgn val="ctr"/>
        <c:lblOffset val="100"/>
        <c:noMultiLvlLbl val="0"/>
      </c:catAx>
      <c:valAx>
        <c:axId val="162167040"/>
        <c:scaling>
          <c:orientation val="minMax"/>
          <c:max val="5000"/>
          <c:min val="2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2165504"/>
        <c:crosses val="autoZero"/>
        <c:crossBetween val="midCat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7022"/>
          <c:h val="0.77578287037039029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OtagoNet!$B$222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OtagoNet!$C$222:$D$222</c:f>
              <c:numCache>
                <c:formatCode>_-* #,##0_-;\-* #,##0_-;_-* "-"??_-;_-@_-</c:formatCode>
                <c:ptCount val="2"/>
                <c:pt idx="0">
                  <c:v>6547.0361887311028</c:v>
                </c:pt>
                <c:pt idx="1">
                  <c:v>9112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62108544"/>
        <c:axId val="162110080"/>
      </c:barChart>
      <c:lineChart>
        <c:grouping val="standard"/>
        <c:varyColors val="0"/>
        <c:ser>
          <c:idx val="1"/>
          <c:order val="0"/>
          <c:tx>
            <c:strRef>
              <c:f>OtagoNet!$B$223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OtagoNet!$C$221:$D$221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OtagoNet!$C$223:$D$223</c:f>
              <c:numCache>
                <c:formatCode>_-* #,##0_-;\-* #,##0_-;_-* "-"??_-;_-@_-</c:formatCode>
                <c:ptCount val="2"/>
                <c:pt idx="0">
                  <c:v>7143.054889385895</c:v>
                </c:pt>
                <c:pt idx="1">
                  <c:v>7964.2362102880534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OtagoNet!$B$224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OtagoNet!$C$221:$D$221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OtagoNet!$C$224:$D$224</c:f>
              <c:numCache>
                <c:formatCode>_-* #,##0_-;\-* #,##0_-;_-* "-"??_-;_-@_-</c:formatCode>
                <c:ptCount val="2"/>
                <c:pt idx="1">
                  <c:v>10498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108544"/>
        <c:axId val="162110080"/>
      </c:lineChart>
      <c:catAx>
        <c:axId val="16210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2110080"/>
        <c:crosses val="autoZero"/>
        <c:auto val="1"/>
        <c:lblAlgn val="ctr"/>
        <c:lblOffset val="100"/>
        <c:noMultiLvlLbl val="0"/>
      </c:catAx>
      <c:valAx>
        <c:axId val="16211008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2108544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681E-3"/>
          <c:w val="0.9031628472222053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OtagoNet!$V$221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3.9772624934361747E-2"/>
                  <c:y val="9.7291694288090724E-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OtagoNet!$W$221:$AC$221</c:f>
              <c:numCache>
                <c:formatCode>General</c:formatCode>
                <c:ptCount val="7"/>
                <c:pt idx="0">
                  <c:v>7143.054889385895</c:v>
                </c:pt>
                <c:pt idx="1">
                  <c:v>7964.2362102880534</c:v>
                </c:pt>
                <c:pt idx="2">
                  <c:v>8268.8679906227244</c:v>
                </c:pt>
                <c:pt idx="3">
                  <c:v>8480.7857508555408</c:v>
                </c:pt>
                <c:pt idx="4">
                  <c:v>8566.367923257254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OtagoNet!$V$222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2.6613454075390817E-2"/>
                  <c:y val="1.4598575337182371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OtagoNet!$W$222:$AC$222</c:f>
              <c:numCache>
                <c:formatCode>General</c:formatCode>
                <c:ptCount val="7"/>
                <c:pt idx="1">
                  <c:v>10498</c:v>
                </c:pt>
                <c:pt idx="2">
                  <c:v>10440</c:v>
                </c:pt>
                <c:pt idx="3">
                  <c:v>10807</c:v>
                </c:pt>
                <c:pt idx="4">
                  <c:v>10593</c:v>
                </c:pt>
                <c:pt idx="5">
                  <c:v>10271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OtagoNet!$V$223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5702769478500765E-2"/>
                  <c:y val="7.643472222222222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OtagoNet!$W$223:$AC$223</c:f>
              <c:numCache>
                <c:formatCode>General</c:formatCode>
                <c:ptCount val="7"/>
                <c:pt idx="2">
                  <c:v>11660.242275371687</c:v>
                </c:pt>
                <c:pt idx="3">
                  <c:v>9051.9144149967669</c:v>
                </c:pt>
                <c:pt idx="4">
                  <c:v>10246.583322559793</c:v>
                </c:pt>
                <c:pt idx="5">
                  <c:v>9494.7826761473825</c:v>
                </c:pt>
                <c:pt idx="6">
                  <c:v>9113.5053652230126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OtagoNet!$V$220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7.0307748154162283E-2"/>
                  <c:y val="-0.4213463184157558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OtagoNet!$W$220:$AC$220</c:f>
              <c:numCache>
                <c:formatCode>General</c:formatCode>
                <c:ptCount val="7"/>
                <c:pt idx="0">
                  <c:v>6547.0361887311028</c:v>
                </c:pt>
                <c:pt idx="1">
                  <c:v>9112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134080"/>
        <c:axId val="163168640"/>
      </c:lineChart>
      <c:catAx>
        <c:axId val="1631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3168640"/>
        <c:crosses val="autoZero"/>
        <c:auto val="1"/>
        <c:lblAlgn val="ctr"/>
        <c:lblOffset val="100"/>
        <c:noMultiLvlLbl val="0"/>
      </c:catAx>
      <c:valAx>
        <c:axId val="163168640"/>
        <c:scaling>
          <c:orientation val="minMax"/>
          <c:max val="12000"/>
          <c:min val="6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3134080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14"/>
          <c:y val="6.4675925925925928E-2"/>
          <c:w val="0.7920625411328982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OtagoNet!$B$237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8834758979033798"/>
                  <c:y val="-0.24106481481481484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OtagoNet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OtagoNet!$C$236:$F$236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OtagoNet!$C$237:$F$237</c:f>
              <c:numCache>
                <c:formatCode>_(* #,##0.00_);_(* \(#,##0.00\);_(* "-"??_);_(@_)</c:formatCode>
                <c:ptCount val="4"/>
                <c:pt idx="0">
                  <c:v>3.1</c:v>
                </c:pt>
                <c:pt idx="1">
                  <c:v>2.8</c:v>
                </c:pt>
                <c:pt idx="2">
                  <c:v>3.2590999999999997</c:v>
                </c:pt>
                <c:pt idx="3">
                  <c:v>2.25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OtagoNet!$B$238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5484626388950329"/>
                  <c:y val="-0.2057870370370395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OtagoNet!$C$238:$F$238</c:f>
              <c:numCache>
                <c:formatCode>_(* #,##0.00_);_(* \(#,##0.00\);_(* "-"??_);_(@_)</c:formatCode>
                <c:ptCount val="4"/>
                <c:pt idx="0">
                  <c:v>2.38</c:v>
                </c:pt>
                <c:pt idx="1">
                  <c:v>2.38</c:v>
                </c:pt>
                <c:pt idx="2">
                  <c:v>2.38</c:v>
                </c:pt>
                <c:pt idx="3">
                  <c:v>3.1139000000000001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OtagoNet!$B$239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12345986792536409"/>
                  <c:y val="6.516181132257403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OtagoNet!$C$236:$F$236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207424"/>
        <c:axId val="163225600"/>
      </c:lineChart>
      <c:catAx>
        <c:axId val="16320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3225600"/>
        <c:crosses val="autoZero"/>
        <c:auto val="1"/>
        <c:lblAlgn val="ctr"/>
        <c:lblOffset val="100"/>
        <c:noMultiLvlLbl val="0"/>
      </c:catAx>
      <c:valAx>
        <c:axId val="163225600"/>
        <c:scaling>
          <c:orientation val="minMax"/>
          <c:max val="4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320742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17"/>
          <c:y val="6.4675925925925928E-2"/>
          <c:w val="0.7920625411328982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OtagoNet!$B$230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6460133847461E-3"/>
                  <c:y val="-4.140152108669711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OtagoNet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OtagoNet!$C$229:$F$229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OtagoNet!$C$230:$F$230</c:f>
              <c:numCache>
                <c:formatCode>_(* #,##0.00_);_(* \(#,##0.00\);_(* "-"??_);_(@_)</c:formatCode>
                <c:ptCount val="4"/>
                <c:pt idx="0">
                  <c:v>502.51</c:v>
                </c:pt>
                <c:pt idx="1">
                  <c:v>270.20000000000005</c:v>
                </c:pt>
                <c:pt idx="2">
                  <c:v>332.63800000000003</c:v>
                </c:pt>
                <c:pt idx="3">
                  <c:v>247.08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OtagoNet!$B$231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5484626057300757"/>
                  <c:y val="-0.22930555555555557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OtagoNet!$C$229:$F$229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OtagoNet!$C$231:$F$231</c:f>
              <c:numCache>
                <c:formatCode>_(* #,##0.00_);_(* \(#,##0.00\);_(* "-"??_);_(@_)</c:formatCode>
                <c:ptCount val="4"/>
                <c:pt idx="0">
                  <c:v>249.3</c:v>
                </c:pt>
                <c:pt idx="1">
                  <c:v>249.3</c:v>
                </c:pt>
                <c:pt idx="2">
                  <c:v>249.3</c:v>
                </c:pt>
                <c:pt idx="3">
                  <c:v>361.0754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OtagoNet!$B$232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4.115694444444445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OtagoNet!$C$229:$F$229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OtagoNet!$C$232:$F$232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34016"/>
        <c:axId val="163335552"/>
      </c:lineChart>
      <c:catAx>
        <c:axId val="16333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3335552"/>
        <c:crosses val="autoZero"/>
        <c:auto val="1"/>
        <c:lblAlgn val="ctr"/>
        <c:lblOffset val="100"/>
        <c:noMultiLvlLbl val="0"/>
      </c:catAx>
      <c:valAx>
        <c:axId val="163335552"/>
        <c:scaling>
          <c:orientation val="minMax"/>
          <c:max val="51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3334016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PowerCo!$B$26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79562009276"/>
                  <c:y val="-0.3766106099348618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PowerCo!$C$26:$F$26</c:f>
              <c:numCache>
                <c:formatCode>0</c:formatCode>
                <c:ptCount val="4"/>
                <c:pt idx="0">
                  <c:v>1956.9876667078311</c:v>
                </c:pt>
                <c:pt idx="1">
                  <c:v>1988.8769986015559</c:v>
                </c:pt>
                <c:pt idx="2">
                  <c:v>1970.4073983813805</c:v>
                </c:pt>
                <c:pt idx="3">
                  <c:v>2078.4994909782695</c:v>
                </c:pt>
              </c:numCache>
            </c:numRef>
          </c:val>
        </c:ser>
        <c:ser>
          <c:idx val="1"/>
          <c:order val="1"/>
          <c:tx>
            <c:strRef>
              <c:f>PowerCo!$B$27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1763016379747006"/>
                  <c:y val="-7.839311228146428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PowerCo!$C$27:$F$27</c:f>
              <c:numCache>
                <c:formatCode>0</c:formatCode>
                <c:ptCount val="4"/>
                <c:pt idx="0">
                  <c:v>744.7076133193309</c:v>
                </c:pt>
                <c:pt idx="1">
                  <c:v>726.45438874824777</c:v>
                </c:pt>
                <c:pt idx="2">
                  <c:v>732.80531864363979</c:v>
                </c:pt>
                <c:pt idx="3">
                  <c:v>766.58995341464242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314304"/>
        <c:axId val="160711040"/>
      </c:areaChart>
      <c:catAx>
        <c:axId val="16331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0711040"/>
        <c:crosses val="autoZero"/>
        <c:auto val="1"/>
        <c:lblAlgn val="ctr"/>
        <c:lblOffset val="100"/>
        <c:noMultiLvlLbl val="0"/>
      </c:catAx>
      <c:valAx>
        <c:axId val="160711040"/>
        <c:scaling>
          <c:orientation val="minMax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3314304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Aurora!$V$221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2.6355908520231692E-2"/>
                  <c:y val="1.76388888888888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Aurora!$W$221:$AC$221</c:f>
              <c:numCache>
                <c:formatCode>General</c:formatCode>
                <c:ptCount val="7"/>
                <c:pt idx="0">
                  <c:v>15292.719139877661</c:v>
                </c:pt>
                <c:pt idx="1">
                  <c:v>15241.777370590928</c:v>
                </c:pt>
                <c:pt idx="2">
                  <c:v>19398.625744388453</c:v>
                </c:pt>
                <c:pt idx="3">
                  <c:v>19836.724960254371</c:v>
                </c:pt>
                <c:pt idx="4">
                  <c:v>20305.389237692325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Aurora!$V$222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3.5277813695271297E-2"/>
                  <c:y val="1.17592592592592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Aurora!$W$222:$AC$222</c:f>
              <c:numCache>
                <c:formatCode>General</c:formatCode>
                <c:ptCount val="7"/>
                <c:pt idx="1">
                  <c:v>24010</c:v>
                </c:pt>
                <c:pt idx="2">
                  <c:v>26040</c:v>
                </c:pt>
                <c:pt idx="3">
                  <c:v>22500</c:v>
                </c:pt>
                <c:pt idx="4">
                  <c:v>26000</c:v>
                </c:pt>
                <c:pt idx="5">
                  <c:v>24600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Aurora!$V$223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5959879928980701E-2"/>
                  <c:y val="-0.1587500000000023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Aurora!$W$223:$AC$223</c:f>
              <c:numCache>
                <c:formatCode>General</c:formatCode>
                <c:ptCount val="7"/>
                <c:pt idx="2">
                  <c:v>23072.165481577245</c:v>
                </c:pt>
                <c:pt idx="3">
                  <c:v>18379.521654815773</c:v>
                </c:pt>
                <c:pt idx="4">
                  <c:v>25789.988364576599</c:v>
                </c:pt>
                <c:pt idx="5">
                  <c:v>26669.859082094375</c:v>
                </c:pt>
                <c:pt idx="6">
                  <c:v>29808.064641241112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Aurora!$V$220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142158255040904E-3"/>
                  <c:y val="3.012764111032098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Aurora!$W$220:$AC$220</c:f>
              <c:numCache>
                <c:formatCode>General</c:formatCode>
                <c:ptCount val="7"/>
                <c:pt idx="0">
                  <c:v>22106.690199671255</c:v>
                </c:pt>
                <c:pt idx="1">
                  <c:v>22294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83744"/>
        <c:axId val="118385280"/>
      </c:lineChart>
      <c:catAx>
        <c:axId val="11838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8385280"/>
        <c:crosses val="autoZero"/>
        <c:auto val="1"/>
        <c:lblAlgn val="ctr"/>
        <c:lblOffset val="100"/>
        <c:noMultiLvlLbl val="0"/>
      </c:catAx>
      <c:valAx>
        <c:axId val="118385280"/>
        <c:scaling>
          <c:orientation val="minMax"/>
          <c:max val="32000"/>
          <c:min val="1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8383744"/>
        <c:crosses val="autoZero"/>
        <c:crossBetween val="midCat"/>
        <c:maj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PowerCo!$B$28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PowerCo!$C$25:$F$25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PowerCo!$C$28:$F$28</c:f>
              <c:numCache>
                <c:formatCode>0</c:formatCode>
                <c:ptCount val="4"/>
                <c:pt idx="0">
                  <c:v>618.7099169267965</c:v>
                </c:pt>
                <c:pt idx="1">
                  <c:v>586.45445972836319</c:v>
                </c:pt>
                <c:pt idx="2">
                  <c:v>593.35503008096714</c:v>
                </c:pt>
                <c:pt idx="3">
                  <c:v>613.07885675067735</c:v>
                </c:pt>
              </c:numCache>
            </c:numRef>
          </c:val>
        </c:ser>
        <c:ser>
          <c:idx val="1"/>
          <c:order val="1"/>
          <c:tx>
            <c:strRef>
              <c:f>PowerCo!$B$29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PowerCo!$C$25:$F$25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PowerCo!$C$29:$F$29</c:f>
              <c:numCache>
                <c:formatCode>0</c:formatCode>
                <c:ptCount val="4"/>
                <c:pt idx="0">
                  <c:v>125.99769639253442</c:v>
                </c:pt>
                <c:pt idx="1">
                  <c:v>139.99992901988472</c:v>
                </c:pt>
                <c:pt idx="2">
                  <c:v>139.45028856267257</c:v>
                </c:pt>
                <c:pt idx="3">
                  <c:v>153.51109666396499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52768"/>
        <c:axId val="160754304"/>
      </c:barChart>
      <c:catAx>
        <c:axId val="16075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0754304"/>
        <c:crosses val="autoZero"/>
        <c:auto val="1"/>
        <c:lblAlgn val="ctr"/>
        <c:lblOffset val="100"/>
        <c:noMultiLvlLbl val="0"/>
      </c:catAx>
      <c:valAx>
        <c:axId val="160754304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075276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345"/>
          <c:w val="0.89745624999998308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PowerCo!$B$40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PowerCo!$C$39:$F$39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PowerCo!$C$40:$F$40</c:f>
              <c:numCache>
                <c:formatCode>0</c:formatCode>
                <c:ptCount val="4"/>
                <c:pt idx="0">
                  <c:v>287725.2380285706</c:v>
                </c:pt>
                <c:pt idx="1">
                  <c:v>287980.93293980358</c:v>
                </c:pt>
                <c:pt idx="2">
                  <c:v>297363.40869284037</c:v>
                </c:pt>
                <c:pt idx="3">
                  <c:v>292560.95</c:v>
                </c:pt>
              </c:numCache>
            </c:numRef>
          </c:val>
        </c:ser>
        <c:ser>
          <c:idx val="1"/>
          <c:order val="1"/>
          <c:tx>
            <c:strRef>
              <c:f>PowerCo!$B$41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rgbClr val="A9C6E9"/>
            </a:solidFill>
          </c:spPr>
          <c:invertIfNegative val="0"/>
          <c:cat>
            <c:numRef>
              <c:f>PowerCo!$C$39:$F$39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PowerCo!$C$41:$F$41</c:f>
              <c:numCache>
                <c:formatCode>0</c:formatCode>
                <c:ptCount val="4"/>
                <c:pt idx="0">
                  <c:v>20741.541159362434</c:v>
                </c:pt>
                <c:pt idx="1">
                  <c:v>23846.070698057512</c:v>
                </c:pt>
                <c:pt idx="2">
                  <c:v>18010.270990272424</c:v>
                </c:pt>
                <c:pt idx="3">
                  <c:v>14838.188</c:v>
                </c:pt>
              </c:numCache>
            </c:numRef>
          </c:val>
        </c:ser>
        <c:ser>
          <c:idx val="3"/>
          <c:order val="2"/>
          <c:tx>
            <c:strRef>
              <c:f>PowerCo!$B$42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PowerCo!$C$39:$F$39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PowerCo!$C$42:$F$42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107.84219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5677056"/>
        <c:axId val="135678592"/>
      </c:barChart>
      <c:catAx>
        <c:axId val="13567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35678592"/>
        <c:crosses val="autoZero"/>
        <c:auto val="1"/>
        <c:lblAlgn val="ctr"/>
        <c:lblOffset val="100"/>
        <c:noMultiLvlLbl val="0"/>
      </c:catAx>
      <c:valAx>
        <c:axId val="13567859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35677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842"/>
          <c:h val="0.2117129629629683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743E-2"/>
          <c:y val="9.9262962962965245E-2"/>
          <c:w val="0.86941313257319897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PowerCo!$B$45</c:f>
              <c:strCache>
                <c:ptCount val="1"/>
                <c:pt idx="0">
                  <c:v>Powerco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PowerCo!$B$46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6.5548732943469787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PowerCo!$C$45:$F$45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PowerCo!$C$46:$F$46</c:f>
              <c:numCache>
                <c:formatCode>0.0</c:formatCode>
                <c:ptCount val="4"/>
                <c:pt idx="0">
                  <c:v>100</c:v>
                </c:pt>
                <c:pt idx="1">
                  <c:v>100.08886773818833</c:v>
                </c:pt>
                <c:pt idx="2">
                  <c:v>103.34978284501852</c:v>
                </c:pt>
                <c:pt idx="3">
                  <c:v>101.68067007418698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PowerCo!$B$47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PowerCo!$C$45:$F$45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PowerCo!$C$47:$F$47</c:f>
              <c:numCache>
                <c:formatCode>0.0</c:formatCode>
                <c:ptCount val="4"/>
                <c:pt idx="0">
                  <c:v>100</c:v>
                </c:pt>
                <c:pt idx="1">
                  <c:v>114.96768979142968</c:v>
                </c:pt>
                <c:pt idx="2">
                  <c:v>86.83188414927811</c:v>
                </c:pt>
                <c:pt idx="3">
                  <c:v>71.538502785277629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PowerCo!$B$48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-4.4854579334682974E-3"/>
                  <c:y val="-4.6620046620046617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PowerCo!$C$45:$F$45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PowerCo!$C$48:$F$48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023872"/>
        <c:axId val="163037952"/>
      </c:lineChart>
      <c:catAx>
        <c:axId val="16302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3037952"/>
        <c:crossesAt val="0"/>
        <c:auto val="1"/>
        <c:lblAlgn val="ctr"/>
        <c:lblOffset val="100"/>
        <c:noMultiLvlLbl val="0"/>
      </c:catAx>
      <c:valAx>
        <c:axId val="163037952"/>
        <c:scaling>
          <c:orientation val="minMax"/>
          <c:max val="150"/>
          <c:min val="5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3023872"/>
        <c:crosses val="autoZero"/>
        <c:crossBetween val="midCat"/>
        <c:maj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1"/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894"/>
          <c:h val="0.702040277777790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PowerCo!$B$54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PowerCo!$C$53:$F$53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PowerCo!$C$54:$F$54</c:f>
              <c:numCache>
                <c:formatCode>0</c:formatCode>
                <c:ptCount val="4"/>
                <c:pt idx="0">
                  <c:v>217063.95306378487</c:v>
                </c:pt>
                <c:pt idx="1">
                  <c:v>202303.87260621862</c:v>
                </c:pt>
                <c:pt idx="2">
                  <c:v>211521.43326776425</c:v>
                </c:pt>
                <c:pt idx="3">
                  <c:v>224722</c:v>
                </c:pt>
              </c:numCache>
            </c:numRef>
          </c:val>
        </c:ser>
        <c:ser>
          <c:idx val="1"/>
          <c:order val="1"/>
          <c:tx>
            <c:strRef>
              <c:f>PowerCo!$B$55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PowerCo!$C$53:$F$53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PowerCo!$C$55:$F$55</c:f>
              <c:numCache>
                <c:formatCode>0</c:formatCode>
                <c:ptCount val="4"/>
                <c:pt idx="0">
                  <c:v>14595.483667417524</c:v>
                </c:pt>
                <c:pt idx="1">
                  <c:v>25776.926625025731</c:v>
                </c:pt>
                <c:pt idx="2">
                  <c:v>26231.954676511003</c:v>
                </c:pt>
                <c:pt idx="3">
                  <c:v>9257</c:v>
                </c:pt>
              </c:numCache>
            </c:numRef>
          </c:val>
        </c:ser>
        <c:ser>
          <c:idx val="2"/>
          <c:order val="2"/>
          <c:tx>
            <c:strRef>
              <c:f>PowerCo!$B$56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PowerCo!$C$53:$F$53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PowerCo!$C$56:$F$56</c:f>
              <c:numCache>
                <c:formatCode>0</c:formatCode>
                <c:ptCount val="4"/>
                <c:pt idx="0">
                  <c:v>44962.236240768725</c:v>
                </c:pt>
                <c:pt idx="1">
                  <c:v>49963.492346763662</c:v>
                </c:pt>
                <c:pt idx="2">
                  <c:v>49858.747271698412</c:v>
                </c:pt>
                <c:pt idx="3">
                  <c:v>49571.741000000002</c:v>
                </c:pt>
              </c:numCache>
            </c:numRef>
          </c:val>
        </c:ser>
        <c:ser>
          <c:idx val="3"/>
          <c:order val="3"/>
          <c:tx>
            <c:strRef>
              <c:f>PowerCo!$B$57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PowerCo!$C$53:$F$53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PowerCo!$C$57:$F$57</c:f>
              <c:numCache>
                <c:formatCode>0</c:formatCode>
                <c:ptCount val="4"/>
                <c:pt idx="0">
                  <c:v>11103.565056599467</c:v>
                </c:pt>
                <c:pt idx="1">
                  <c:v>9936.6413617955895</c:v>
                </c:pt>
                <c:pt idx="2">
                  <c:v>9751.273476866696</c:v>
                </c:pt>
                <c:pt idx="3">
                  <c:v>9009.6955999999991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789248"/>
        <c:axId val="160790784"/>
      </c:barChart>
      <c:catAx>
        <c:axId val="16078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0790784"/>
        <c:crosses val="autoZero"/>
        <c:auto val="1"/>
        <c:lblAlgn val="ctr"/>
        <c:lblOffset val="100"/>
        <c:noMultiLvlLbl val="0"/>
      </c:catAx>
      <c:valAx>
        <c:axId val="16079078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0789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78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 orientation="portrait"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3640430801223931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PowerCo!$B$61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0748772003123891"/>
                  <c:y val="5.910575048732942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PowerCo!$C$61:$F$61</c:f>
              <c:numCache>
                <c:formatCode>0.0</c:formatCode>
                <c:ptCount val="4"/>
                <c:pt idx="0">
                  <c:v>100</c:v>
                </c:pt>
                <c:pt idx="1">
                  <c:v>93.200123627514998</c:v>
                </c:pt>
                <c:pt idx="2">
                  <c:v>97.446595937377069</c:v>
                </c:pt>
                <c:pt idx="3">
                  <c:v>103.52801413045528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PowerCo!$B$62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6601535506247518"/>
                  <c:y val="-0.7612573099415205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PowerCo!$C$62:$F$62</c:f>
              <c:numCache>
                <c:formatCode>0.0</c:formatCode>
                <c:ptCount val="4"/>
                <c:pt idx="0">
                  <c:v>100</c:v>
                </c:pt>
                <c:pt idx="1">
                  <c:v>176.60892377667</c:v>
                </c:pt>
                <c:pt idx="2">
                  <c:v>179.7265186563865</c:v>
                </c:pt>
                <c:pt idx="3">
                  <c:v>63.42372894887356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PowerCo!$B$63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56016071520977262"/>
                  <c:y val="-3.52787037037038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PowerCo!$C$63:$F$63</c:f>
              <c:numCache>
                <c:formatCode>0.0</c:formatCode>
                <c:ptCount val="4"/>
                <c:pt idx="0">
                  <c:v>100</c:v>
                </c:pt>
                <c:pt idx="1">
                  <c:v>111.12323701875873</c:v>
                </c:pt>
                <c:pt idx="2">
                  <c:v>110.89027468453597</c:v>
                </c:pt>
                <c:pt idx="3">
                  <c:v>110.25194728871534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PowerCo!$B$64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4984060799221034"/>
                  <c:y val="-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PowerCo!$C$64:$F$64</c:f>
              <c:numCache>
                <c:formatCode>0.0</c:formatCode>
                <c:ptCount val="4"/>
                <c:pt idx="0">
                  <c:v>100</c:v>
                </c:pt>
                <c:pt idx="1">
                  <c:v>89.490549306861482</c:v>
                </c:pt>
                <c:pt idx="2">
                  <c:v>87.821104547597272</c:v>
                </c:pt>
                <c:pt idx="3">
                  <c:v>81.142367825773533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067776"/>
        <c:axId val="163069312"/>
      </c:lineChart>
      <c:catAx>
        <c:axId val="16306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3069312"/>
        <c:crosses val="autoZero"/>
        <c:auto val="1"/>
        <c:lblAlgn val="ctr"/>
        <c:lblOffset val="100"/>
        <c:noMultiLvlLbl val="0"/>
      </c:catAx>
      <c:valAx>
        <c:axId val="163069312"/>
        <c:scaling>
          <c:orientation val="minMax"/>
          <c:max val="180"/>
          <c:min val="6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3067776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460351024323088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PowerCo!$B$84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354918846777024E-3"/>
                  <c:y val="-2.805987248455941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PowerCo!$C$84:$F$84</c:f>
              <c:numCache>
                <c:formatCode>0.00</c:formatCode>
                <c:ptCount val="4"/>
                <c:pt idx="0">
                  <c:v>9.0359471481975699</c:v>
                </c:pt>
                <c:pt idx="1">
                  <c:v>8.4273300457607601</c:v>
                </c:pt>
                <c:pt idx="2">
                  <c:v>8.8802793166364147</c:v>
                </c:pt>
                <c:pt idx="3">
                  <c:v>8.7933579278036991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PowerCo!$B$85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90609520707183E-3"/>
                  <c:y val="-4.06340904562661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PowerCo!$C$85:$F$85</c:f>
              <c:numCache>
                <c:formatCode>0.00</c:formatCode>
                <c:ptCount val="4"/>
                <c:pt idx="0">
                  <c:v>3.9439872569299532</c:v>
                </c:pt>
                <c:pt idx="1">
                  <c:v>7.1859872223114793</c:v>
                </c:pt>
                <c:pt idx="2">
                  <c:v>7.2081229785369194</c:v>
                </c:pt>
                <c:pt idx="3">
                  <c:v>6.6744536494271518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PowerCo!$B$86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13218553147734E-3"/>
                  <c:y val="-2.8505678421996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PowerCo!$C$86:$F$86</c:f>
              <c:numCache>
                <c:formatCode>0.00</c:formatCode>
                <c:ptCount val="4"/>
                <c:pt idx="0">
                  <c:v>3.8664168045214811</c:v>
                </c:pt>
                <c:pt idx="1">
                  <c:v>4.5231712444517767</c:v>
                </c:pt>
                <c:pt idx="2">
                  <c:v>4.6077847893903323</c:v>
                </c:pt>
                <c:pt idx="3">
                  <c:v>4.5736058972625386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PowerCo!$B$87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700880092456413E-3"/>
                  <c:y val="-3.49970807642371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PowerCo!$C$87:$F$87</c:f>
              <c:numCache>
                <c:formatCode>0.00</c:formatCode>
                <c:ptCount val="4"/>
                <c:pt idx="0">
                  <c:v>2.4029602445556812</c:v>
                </c:pt>
                <c:pt idx="1">
                  <c:v>1.9385882856805376</c:v>
                </c:pt>
                <c:pt idx="2">
                  <c:v>2.0892609123522949</c:v>
                </c:pt>
                <c:pt idx="3">
                  <c:v>1.7137080064347059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928704"/>
        <c:axId val="163950976"/>
      </c:lineChart>
      <c:catAx>
        <c:axId val="16392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3950976"/>
        <c:crosses val="autoZero"/>
        <c:auto val="1"/>
        <c:lblAlgn val="ctr"/>
        <c:lblOffset val="100"/>
        <c:noMultiLvlLbl val="0"/>
      </c:catAx>
      <c:valAx>
        <c:axId val="16395097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3928704"/>
        <c:crosses val="autoZero"/>
        <c:crossBetween val="midCat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444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PowerCo!$B$90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-2.75353656106803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PowerCo!$C$90:$F$90</c:f>
              <c:numCache>
                <c:formatCode>0.0</c:formatCode>
                <c:ptCount val="4"/>
                <c:pt idx="0">
                  <c:v>100</c:v>
                </c:pt>
                <c:pt idx="1">
                  <c:v>93.264490235999091</c:v>
                </c:pt>
                <c:pt idx="2">
                  <c:v>98.277238356886514</c:v>
                </c:pt>
                <c:pt idx="3">
                  <c:v>97.315287302867176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PowerCo!$B$91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5036252654544E-3"/>
                  <c:y val="3.475393504682208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PowerCo!$C$91:$F$91</c:f>
              <c:numCache>
                <c:formatCode>0.0</c:formatCode>
                <c:ptCount val="4"/>
                <c:pt idx="0">
                  <c:v>100</c:v>
                </c:pt>
                <c:pt idx="1">
                  <c:v>182.20107607307884</c:v>
                </c:pt>
                <c:pt idx="2">
                  <c:v>182.76232931208324</c:v>
                </c:pt>
                <c:pt idx="3">
                  <c:v>169.2311159905376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PowerCo!$B$92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199260519208582E-3"/>
                  <c:y val="-1.577605100617656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PowerCo!$C$92:$F$92</c:f>
              <c:numCache>
                <c:formatCode>0.0</c:formatCode>
                <c:ptCount val="4"/>
                <c:pt idx="0">
                  <c:v>100</c:v>
                </c:pt>
                <c:pt idx="1">
                  <c:v>116.98612625421735</c:v>
                </c:pt>
                <c:pt idx="2">
                  <c:v>119.17454900366349</c:v>
                </c:pt>
                <c:pt idx="3">
                  <c:v>118.29055501502201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PowerCo!$B$93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2.16557083084280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PowerCo!$C$93:$F$93</c:f>
              <c:numCache>
                <c:formatCode>0.0</c:formatCode>
                <c:ptCount val="4"/>
                <c:pt idx="0">
                  <c:v>100</c:v>
                </c:pt>
                <c:pt idx="1">
                  <c:v>80.67500451048835</c:v>
                </c:pt>
                <c:pt idx="2">
                  <c:v>86.945296622608467</c:v>
                </c:pt>
                <c:pt idx="3">
                  <c:v>71.316535940093289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60544"/>
        <c:axId val="164099200"/>
      </c:lineChart>
      <c:catAx>
        <c:axId val="1640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4099200"/>
        <c:crosses val="autoZero"/>
        <c:auto val="1"/>
        <c:lblAlgn val="ctr"/>
        <c:lblOffset val="100"/>
        <c:noMultiLvlLbl val="0"/>
      </c:catAx>
      <c:valAx>
        <c:axId val="164099200"/>
        <c:scaling>
          <c:orientation val="minMax"/>
          <c:max val="20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4060544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834364860253561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PowerCo!$B$120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243122740617068E-6"/>
                  <c:y val="-9.2592592592596553E-7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PowerCo!$C$120:$F$120</c:f>
              <c:numCache>
                <c:formatCode>0.0</c:formatCode>
                <c:ptCount val="4"/>
                <c:pt idx="0">
                  <c:v>100</c:v>
                </c:pt>
                <c:pt idx="1">
                  <c:v>99.9309848707464</c:v>
                </c:pt>
                <c:pt idx="2">
                  <c:v>99.154796742972124</c:v>
                </c:pt>
                <c:pt idx="3">
                  <c:v>106.3841221659786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PowerCo!$B$121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599648674489365E-3"/>
                  <c:y val="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PowerCo!$C$121:$F$121</c:f>
              <c:numCache>
                <c:formatCode>0.0</c:formatCode>
                <c:ptCount val="4"/>
                <c:pt idx="0">
                  <c:v>100</c:v>
                </c:pt>
                <c:pt idx="1">
                  <c:v>96.930779764348955</c:v>
                </c:pt>
                <c:pt idx="2">
                  <c:v>98.338929763522103</c:v>
                </c:pt>
                <c:pt idx="3">
                  <c:v>37.477581222368009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PowerCo!$B$122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017546479607951E-5"/>
                  <c:y val="-5.879629629629784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PowerCo!$C$122:$F$122</c:f>
              <c:numCache>
                <c:formatCode>0.0</c:formatCode>
                <c:ptCount val="4"/>
                <c:pt idx="0">
                  <c:v>100</c:v>
                </c:pt>
                <c:pt idx="1">
                  <c:v>94.988389287531177</c:v>
                </c:pt>
                <c:pt idx="2">
                  <c:v>93.048621212845646</c:v>
                </c:pt>
                <c:pt idx="3">
                  <c:v>93.20435369900342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PowerCo!$B$123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-4.115787037037034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700" baseline="0"/>
                      <a:t> 5</a:t>
                    </a:r>
                    <a:endParaRPr lang="en-US" sz="80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PowerCo!$C$123:$F$123</c:f>
              <c:numCache>
                <c:formatCode>0.0</c:formatCode>
                <c:ptCount val="4"/>
                <c:pt idx="0">
                  <c:v>100</c:v>
                </c:pt>
                <c:pt idx="1">
                  <c:v>110.9272318605536</c:v>
                </c:pt>
                <c:pt idx="2">
                  <c:v>101.00730914610632</c:v>
                </c:pt>
                <c:pt idx="3">
                  <c:v>113.77777503654141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04224"/>
        <c:axId val="164005760"/>
      </c:lineChart>
      <c:catAx>
        <c:axId val="16400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4005760"/>
        <c:crosses val="autoZero"/>
        <c:auto val="1"/>
        <c:lblAlgn val="ctr"/>
        <c:lblOffset val="100"/>
        <c:noMultiLvlLbl val="0"/>
      </c:catAx>
      <c:valAx>
        <c:axId val="164005760"/>
        <c:scaling>
          <c:orientation val="minMax"/>
          <c:max val="1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400422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6001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PowerCo!$B$113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PowerCo!$C$112:$F$112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PowerCo!$C$113:$F$113</c:f>
              <c:numCache>
                <c:formatCode>General</c:formatCode>
                <c:ptCount val="4"/>
                <c:pt idx="0">
                  <c:v>2402226.9</c:v>
                </c:pt>
                <c:pt idx="1">
                  <c:v>2400569</c:v>
                </c:pt>
                <c:pt idx="2">
                  <c:v>2381923.2000000002</c:v>
                </c:pt>
                <c:pt idx="3">
                  <c:v>2555588</c:v>
                </c:pt>
              </c:numCache>
            </c:numRef>
          </c:val>
        </c:ser>
        <c:ser>
          <c:idx val="1"/>
          <c:order val="1"/>
          <c:tx>
            <c:strRef>
              <c:f>PowerCo!$B$114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PowerCo!$C$112:$F$112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PowerCo!$C$114:$F$114</c:f>
              <c:numCache>
                <c:formatCode>General</c:formatCode>
                <c:ptCount val="4"/>
                <c:pt idx="0">
                  <c:v>370069.24</c:v>
                </c:pt>
                <c:pt idx="1">
                  <c:v>358711</c:v>
                </c:pt>
                <c:pt idx="2">
                  <c:v>363922.13</c:v>
                </c:pt>
                <c:pt idx="3">
                  <c:v>138693</c:v>
                </c:pt>
              </c:numCache>
            </c:numRef>
          </c:val>
        </c:ser>
        <c:ser>
          <c:idx val="2"/>
          <c:order val="2"/>
          <c:tx>
            <c:strRef>
              <c:f>PowerCo!$B$115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PowerCo!$C$112:$F$112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PowerCo!$C$115:$F$115</c:f>
              <c:numCache>
                <c:formatCode>General</c:formatCode>
                <c:ptCount val="4"/>
                <c:pt idx="0">
                  <c:v>1162891.6000000001</c:v>
                </c:pt>
                <c:pt idx="1">
                  <c:v>1104612</c:v>
                </c:pt>
                <c:pt idx="2">
                  <c:v>1082054.6000000001</c:v>
                </c:pt>
                <c:pt idx="3">
                  <c:v>1083865.6000000001</c:v>
                </c:pt>
              </c:numCache>
            </c:numRef>
          </c:val>
        </c:ser>
        <c:ser>
          <c:idx val="3"/>
          <c:order val="3"/>
          <c:tx>
            <c:strRef>
              <c:f>PowerCo!$B$116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PowerCo!$C$112:$F$112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PowerCo!$C$116:$F$116</c:f>
              <c:numCache>
                <c:formatCode>General</c:formatCode>
                <c:ptCount val="4"/>
                <c:pt idx="0">
                  <c:v>462078.6</c:v>
                </c:pt>
                <c:pt idx="1">
                  <c:v>512571</c:v>
                </c:pt>
                <c:pt idx="2">
                  <c:v>466733.16</c:v>
                </c:pt>
                <c:pt idx="3">
                  <c:v>525742.75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127872"/>
        <c:axId val="164129408"/>
      </c:barChart>
      <c:catAx>
        <c:axId val="1641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4129408"/>
        <c:crosses val="autoZero"/>
        <c:auto val="1"/>
        <c:lblAlgn val="ctr"/>
        <c:lblOffset val="100"/>
        <c:noMultiLvlLbl val="0"/>
      </c:catAx>
      <c:valAx>
        <c:axId val="16412940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41278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PowerCo!$U$138:$U$144</c:f>
              <c:strCache>
                <c:ptCount val="7"/>
                <c:pt idx="0">
                  <c:v>General management, admin and overheads</c:v>
                </c:pt>
                <c:pt idx="1">
                  <c:v>Routine and preventative maintenance</c:v>
                </c:pt>
                <c:pt idx="2">
                  <c:v>Refurbishment and renewal maintenance</c:v>
                </c:pt>
                <c:pt idx="3">
                  <c:v>System management and operations</c:v>
                </c:pt>
                <c:pt idx="4">
                  <c:v>Fault and emergency maintenance</c:v>
                </c:pt>
                <c:pt idx="5">
                  <c:v>Pass-through costs</c:v>
                </c:pt>
                <c:pt idx="6">
                  <c:v>Other</c:v>
                </c:pt>
              </c:strCache>
            </c:strRef>
          </c:cat>
          <c:val>
            <c:numRef>
              <c:f>PowerCo!$V$138:$V$144</c:f>
              <c:numCache>
                <c:formatCode>General</c:formatCode>
                <c:ptCount val="7"/>
                <c:pt idx="0">
                  <c:v>21634.546999999999</c:v>
                </c:pt>
                <c:pt idx="1">
                  <c:v>12708.371999999999</c:v>
                </c:pt>
                <c:pt idx="2">
                  <c:v>7402.6661999999997</c:v>
                </c:pt>
                <c:pt idx="3">
                  <c:v>6767.5159000000003</c:v>
                </c:pt>
                <c:pt idx="4">
                  <c:v>6621.9450999999999</c:v>
                </c:pt>
                <c:pt idx="5">
                  <c:v>2132.4744999999998</c:v>
                </c:pt>
                <c:pt idx="6">
                  <c:v>3.2059999999999997E-11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64153984"/>
        <c:axId val="164159872"/>
      </c:barChart>
      <c:catAx>
        <c:axId val="164153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4159872"/>
        <c:crosses val="autoZero"/>
        <c:auto val="1"/>
        <c:lblAlgn val="ctr"/>
        <c:lblOffset val="100"/>
        <c:noMultiLvlLbl val="0"/>
      </c:catAx>
      <c:valAx>
        <c:axId val="164159872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41539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394"/>
          <c:y val="6.4675925925925928E-2"/>
          <c:w val="0.77007366760448792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Aurora!$B$237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1225388322398691E-5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Aurora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Aurora!$C$236:$F$236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Aurora!$C$237:$F$237</c:f>
              <c:numCache>
                <c:formatCode>_(* #,##0.00_);_(* \(#,##0.00\);_(* "-"??_);_(@_)</c:formatCode>
                <c:ptCount val="4"/>
                <c:pt idx="0">
                  <c:v>1.4700000000000002</c:v>
                </c:pt>
                <c:pt idx="1">
                  <c:v>1.22624037</c:v>
                </c:pt>
                <c:pt idx="2">
                  <c:v>1.34</c:v>
                </c:pt>
                <c:pt idx="3">
                  <c:v>1.4785322299999999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Aurora!$B$238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Aurora!$C$236:$F$236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Aurora!$C$238:$F$238</c:f>
              <c:numCache>
                <c:formatCode>_(* #,##0.00_);_(* \(#,##0.00\);_(* "-"??_);_(@_)</c:formatCode>
                <c:ptCount val="4"/>
                <c:pt idx="0">
                  <c:v>1.62</c:v>
                </c:pt>
                <c:pt idx="1">
                  <c:v>1.62</c:v>
                </c:pt>
                <c:pt idx="2">
                  <c:v>1.62</c:v>
                </c:pt>
                <c:pt idx="3">
                  <c:v>1.67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Aurora!$B$239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7755891101149708E-5"/>
                  <c:y val="-5.879629629629774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Aurora!$C$236:$F$236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518528"/>
        <c:axId val="118520064"/>
      </c:lineChart>
      <c:catAx>
        <c:axId val="11851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8520064"/>
        <c:crosses val="autoZero"/>
        <c:auto val="1"/>
        <c:lblAlgn val="ctr"/>
        <c:lblOffset val="100"/>
        <c:noMultiLvlLbl val="0"/>
      </c:catAx>
      <c:valAx>
        <c:axId val="11852006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85185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 orientation="portrait"/>
  </c:printSettings>
  <c:userShapes r:id="rId1"/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062656250000322"/>
          <c:y val="5.1014483439099333E-2"/>
          <c:w val="0.70720364583333328"/>
          <c:h val="0.8328039561239122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PowerCo!$U$186:$U$191</c:f>
              <c:strCache>
                <c:ptCount val="6"/>
                <c:pt idx="0">
                  <c:v>Asset replacement and renewal</c:v>
                </c:pt>
                <c:pt idx="1">
                  <c:v>System growth</c:v>
                </c:pt>
                <c:pt idx="2">
                  <c:v>Customer connection</c:v>
                </c:pt>
                <c:pt idx="3">
                  <c:v>Reliability, safety and environment</c:v>
                </c:pt>
                <c:pt idx="4">
                  <c:v>Non-network capex</c:v>
                </c:pt>
                <c:pt idx="5">
                  <c:v>Asset relocations</c:v>
                </c:pt>
              </c:strCache>
            </c:strRef>
          </c:cat>
          <c:val>
            <c:numRef>
              <c:f>PowerCo!$V$186:$V$191</c:f>
              <c:numCache>
                <c:formatCode>General</c:formatCode>
                <c:ptCount val="6"/>
                <c:pt idx="0">
                  <c:v>21.198</c:v>
                </c:pt>
                <c:pt idx="1">
                  <c:v>20.346</c:v>
                </c:pt>
                <c:pt idx="2">
                  <c:v>19.588999999999999</c:v>
                </c:pt>
                <c:pt idx="3">
                  <c:v>13.548</c:v>
                </c:pt>
                <c:pt idx="4">
                  <c:v>2.9489999999999998</c:v>
                </c:pt>
                <c:pt idx="5">
                  <c:v>2.1480000000000001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64270080"/>
        <c:axId val="164271616"/>
      </c:barChart>
      <c:catAx>
        <c:axId val="164270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4271616"/>
        <c:crosses val="autoZero"/>
        <c:auto val="1"/>
        <c:lblAlgn val="ctr"/>
        <c:lblOffset val="100"/>
        <c:noMultiLvlLbl val="0"/>
      </c:catAx>
      <c:valAx>
        <c:axId val="164271616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42700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73110343369"/>
          <c:h val="0.82404629629630965"/>
        </c:manualLayout>
      </c:layout>
      <c:lineChart>
        <c:grouping val="standard"/>
        <c:varyColors val="0"/>
        <c:ser>
          <c:idx val="0"/>
          <c:order val="0"/>
          <c:tx>
            <c:strRef>
              <c:f>PowerCo!$B$76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879629629629732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PowerCo!$C$76:$F$76</c:f>
              <c:numCache>
                <c:formatCode>0.0</c:formatCode>
                <c:ptCount val="4"/>
                <c:pt idx="0">
                  <c:v>100</c:v>
                </c:pt>
                <c:pt idx="1">
                  <c:v>90.215800852512658</c:v>
                </c:pt>
                <c:pt idx="2">
                  <c:v>93.690356653807797</c:v>
                </c:pt>
                <c:pt idx="3">
                  <c:v>96.739217077998632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PowerCo!$B$77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351898148148147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PowerCo!$C$77:$F$77</c:f>
              <c:numCache>
                <c:formatCode>0.0</c:formatCode>
                <c:ptCount val="4"/>
                <c:pt idx="0">
                  <c:v>100</c:v>
                </c:pt>
                <c:pt idx="1">
                  <c:v>164.58333214103854</c:v>
                </c:pt>
                <c:pt idx="2">
                  <c:v>167.31732289184887</c:v>
                </c:pt>
                <c:pt idx="3">
                  <c:v>760.77128579365456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PowerCo!$B$78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351898148148147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PowerCo!$C$78:$F$78</c:f>
              <c:numCache>
                <c:formatCode>0.0</c:formatCode>
                <c:ptCount val="4"/>
                <c:pt idx="0">
                  <c:v>100</c:v>
                </c:pt>
                <c:pt idx="1">
                  <c:v>116.38215564310327</c:v>
                </c:pt>
                <c:pt idx="2">
                  <c:v>113.11252467821404</c:v>
                </c:pt>
                <c:pt idx="3">
                  <c:v>114.99639584007402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PowerCo!$B$79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376173659406751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PowerCo!$C$79:$F$79</c:f>
              <c:numCache>
                <c:formatCode>0.0</c:formatCode>
                <c:ptCount val="4"/>
                <c:pt idx="0">
                  <c:v>100</c:v>
                </c:pt>
                <c:pt idx="1">
                  <c:v>89.490549306861482</c:v>
                </c:pt>
                <c:pt idx="2">
                  <c:v>87.821104547597258</c:v>
                </c:pt>
                <c:pt idx="3">
                  <c:v>81.142367825773519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89632"/>
        <c:axId val="164391168"/>
      </c:lineChart>
      <c:catAx>
        <c:axId val="16438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4391168"/>
        <c:crosses val="autoZero"/>
        <c:auto val="1"/>
        <c:lblAlgn val="ctr"/>
        <c:lblOffset val="100"/>
        <c:noMultiLvlLbl val="0"/>
      </c:catAx>
      <c:valAx>
        <c:axId val="164391168"/>
        <c:scaling>
          <c:orientation val="minMax"/>
          <c:max val="8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4389632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32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465"/>
          <c:y val="0.16445370370370369"/>
          <c:w val="0.70330041907982266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PowerCo!$B$70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PowerCo!$C$69:$F$69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PowerCo!$C$70:$F$70</c:f>
              <c:numCache>
                <c:formatCode>0</c:formatCode>
                <c:ptCount val="4"/>
                <c:pt idx="0">
                  <c:v>731.42887539310254</c:v>
                </c:pt>
                <c:pt idx="1">
                  <c:v>659.86441760241439</c:v>
                </c:pt>
                <c:pt idx="2">
                  <c:v>685.27832202473314</c:v>
                </c:pt>
                <c:pt idx="3">
                  <c:v>707.57856753769761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25248"/>
        <c:axId val="164326784"/>
      </c:lineChart>
      <c:catAx>
        <c:axId val="16432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4326784"/>
        <c:crosses val="autoZero"/>
        <c:auto val="1"/>
        <c:lblAlgn val="ctr"/>
        <c:lblOffset val="100"/>
        <c:noMultiLvlLbl val="0"/>
      </c:catAx>
      <c:valAx>
        <c:axId val="164326784"/>
        <c:scaling>
          <c:orientation val="minMax"/>
          <c:max val="1000"/>
          <c:min val="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64325248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93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904"/>
          <c:y val="0.17621296296296779"/>
          <c:w val="0.73692152777777775"/>
          <c:h val="0.5728240740740983"/>
        </c:manualLayout>
      </c:layout>
      <c:lineChart>
        <c:grouping val="standard"/>
        <c:varyColors val="0"/>
        <c:ser>
          <c:idx val="1"/>
          <c:order val="0"/>
          <c:tx>
            <c:strRef>
              <c:f>PowerCo!$B$71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PowerCo!$C$69:$F$69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PowerCo!$C$71:$F$71</c:f>
              <c:numCache>
                <c:formatCode>0</c:formatCode>
                <c:ptCount val="4"/>
                <c:pt idx="0">
                  <c:v>2004.5987731654341</c:v>
                </c:pt>
                <c:pt idx="1">
                  <c:v>3299.23545693405</c:v>
                </c:pt>
                <c:pt idx="2">
                  <c:v>3354.0410019832507</c:v>
                </c:pt>
                <c:pt idx="3">
                  <c:v>15250.411861614497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47904"/>
        <c:axId val="164349440"/>
      </c:lineChart>
      <c:catAx>
        <c:axId val="16434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4349440"/>
        <c:crosses val="autoZero"/>
        <c:auto val="1"/>
        <c:lblAlgn val="ctr"/>
        <c:lblOffset val="100"/>
        <c:noMultiLvlLbl val="0"/>
      </c:catAx>
      <c:valAx>
        <c:axId val="164349440"/>
        <c:scaling>
          <c:orientation val="minMax"/>
          <c:max val="18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64347904"/>
        <c:crosses val="autoZero"/>
        <c:crossBetween val="midCat"/>
        <c:majorUnit val="3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95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PowerCo!$B$72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PowerCo!$C$69:$F$69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PowerCo!$C$72:$F$72</c:f>
              <c:numCache>
                <c:formatCode>0</c:formatCode>
                <c:ptCount val="4"/>
                <c:pt idx="0">
                  <c:v>44167.226169713875</c:v>
                </c:pt>
                <c:pt idx="1">
                  <c:v>51402.769904077846</c:v>
                </c:pt>
                <c:pt idx="2">
                  <c:v>49958.664600900214</c:v>
                </c:pt>
                <c:pt idx="3">
                  <c:v>50790.718237704925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60032"/>
        <c:axId val="164461568"/>
      </c:lineChart>
      <c:catAx>
        <c:axId val="16446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4461568"/>
        <c:crosses val="autoZero"/>
        <c:auto val="1"/>
        <c:lblAlgn val="ctr"/>
        <c:lblOffset val="100"/>
        <c:noMultiLvlLbl val="0"/>
      </c:catAx>
      <c:valAx>
        <c:axId val="164461568"/>
        <c:scaling>
          <c:orientation val="minMax"/>
          <c:max val="70000"/>
          <c:min val="3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64460032"/>
        <c:crosses val="autoZero"/>
        <c:crossBetween val="midCat"/>
        <c:majorUnit val="7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PowerCo!$B$73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PowerCo!$C$69:$F$69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PowerCo!$C$73:$F$73</c:f>
              <c:numCache>
                <c:formatCode>0</c:formatCode>
                <c:ptCount val="4"/>
                <c:pt idx="0">
                  <c:v>2220713.0113198939</c:v>
                </c:pt>
                <c:pt idx="1">
                  <c:v>1987328.2723591179</c:v>
                </c:pt>
                <c:pt idx="2">
                  <c:v>1950254.6953733393</c:v>
                </c:pt>
                <c:pt idx="3">
                  <c:v>1801939.1199999999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86144"/>
        <c:axId val="164561664"/>
      </c:lineChart>
      <c:catAx>
        <c:axId val="16448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4561664"/>
        <c:crosses val="autoZero"/>
        <c:auto val="1"/>
        <c:lblAlgn val="ctr"/>
        <c:lblOffset val="100"/>
        <c:noMultiLvlLbl val="0"/>
      </c:catAx>
      <c:valAx>
        <c:axId val="164561664"/>
        <c:scaling>
          <c:orientation val="minMax"/>
          <c:max val="2400000"/>
          <c:min val="12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64486144"/>
        <c:crosses val="autoZero"/>
        <c:crossBetween val="midCat"/>
        <c:majorUnit val="24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58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PowerCo!$B$105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21919363997841E-4"/>
                  <c:y val="-2.939861111111110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PowerCo!$C$105:$F$105</c:f>
              <c:numCache>
                <c:formatCode>0.0</c:formatCode>
                <c:ptCount val="4"/>
                <c:pt idx="0">
                  <c:v>100</c:v>
                </c:pt>
                <c:pt idx="1">
                  <c:v>103.30798235652885</c:v>
                </c:pt>
                <c:pt idx="2">
                  <c:v>104.00920587531633</c:v>
                </c:pt>
                <c:pt idx="3">
                  <c:v>107.01762662290619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PowerCo!$B$106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7670997984656694"/>
                  <c:y val="0.69379537037038486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PowerCo!$C$106:$F$106</c:f>
              <c:numCache>
                <c:formatCode>0.0</c:formatCode>
                <c:ptCount val="4"/>
                <c:pt idx="0">
                  <c:v>100</c:v>
                </c:pt>
                <c:pt idx="1">
                  <c:v>107.30668864167011</c:v>
                </c:pt>
                <c:pt idx="2">
                  <c:v>107.41656365883807</c:v>
                </c:pt>
                <c:pt idx="3">
                  <c:v>8.3367669276198324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PowerCo!$B$107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727995457130103E-5"/>
                  <c:y val="2.35467592592592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PowerCo!$C$107:$F$107</c:f>
              <c:numCache>
                <c:formatCode>0.0</c:formatCode>
                <c:ptCount val="4"/>
                <c:pt idx="0">
                  <c:v>100</c:v>
                </c:pt>
                <c:pt idx="1">
                  <c:v>95.481335952848724</c:v>
                </c:pt>
                <c:pt idx="2">
                  <c:v>98.035363457760312</c:v>
                </c:pt>
                <c:pt idx="3">
                  <c:v>95.874263261296662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00832"/>
        <c:axId val="164606720"/>
      </c:lineChart>
      <c:catAx>
        <c:axId val="1646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4606720"/>
        <c:crosses val="autoZero"/>
        <c:auto val="1"/>
        <c:lblAlgn val="ctr"/>
        <c:lblOffset val="100"/>
        <c:noMultiLvlLbl val="0"/>
      </c:catAx>
      <c:valAx>
        <c:axId val="164606720"/>
        <c:scaling>
          <c:orientation val="minMax"/>
          <c:max val="1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460083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2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PowerCo!$B$98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PowerCo!$C$97:$F$97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PowerCo!$C$98:$F$98</c:f>
              <c:numCache>
                <c:formatCode>General</c:formatCode>
                <c:ptCount val="4"/>
                <c:pt idx="0">
                  <c:v>296767</c:v>
                </c:pt>
                <c:pt idx="1">
                  <c:v>306584</c:v>
                </c:pt>
                <c:pt idx="2">
                  <c:v>308665</c:v>
                </c:pt>
                <c:pt idx="3">
                  <c:v>317593</c:v>
                </c:pt>
              </c:numCache>
            </c:numRef>
          </c:val>
        </c:ser>
        <c:ser>
          <c:idx val="1"/>
          <c:order val="1"/>
          <c:tx>
            <c:strRef>
              <c:f>PowerCo!$B$99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PowerCo!$C$97:$F$97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PowerCo!$C$99:$F$99</c:f>
              <c:numCache>
                <c:formatCode>General</c:formatCode>
                <c:ptCount val="4"/>
                <c:pt idx="0">
                  <c:v>7281</c:v>
                </c:pt>
                <c:pt idx="1">
                  <c:v>7813</c:v>
                </c:pt>
                <c:pt idx="2">
                  <c:v>7821</c:v>
                </c:pt>
                <c:pt idx="3">
                  <c:v>607</c:v>
                </c:pt>
              </c:numCache>
            </c:numRef>
          </c:val>
        </c:ser>
        <c:ser>
          <c:idx val="2"/>
          <c:order val="2"/>
          <c:tx>
            <c:strRef>
              <c:f>PowerCo!$B$100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PowerCo!$C$97:$F$97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PowerCo!$C$100:$F$100</c:f>
              <c:numCache>
                <c:formatCode>General</c:formatCode>
                <c:ptCount val="4"/>
                <c:pt idx="0">
                  <c:v>1018</c:v>
                </c:pt>
                <c:pt idx="1">
                  <c:v>972</c:v>
                </c:pt>
                <c:pt idx="2">
                  <c:v>998</c:v>
                </c:pt>
                <c:pt idx="3">
                  <c:v>976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665984"/>
        <c:axId val="164671872"/>
      </c:barChart>
      <c:catAx>
        <c:axId val="16466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4671872"/>
        <c:crosses val="autoZero"/>
        <c:auto val="1"/>
        <c:lblAlgn val="ctr"/>
        <c:lblOffset val="100"/>
        <c:noMultiLvlLbl val="0"/>
      </c:catAx>
      <c:valAx>
        <c:axId val="16467187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4665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3.5277777777779448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PowerCo!$B$209</c:f>
              <c:strCache>
                <c:ptCount val="1"/>
                <c:pt idx="0">
                  <c:v>Powerco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PowerCo!$C$204:$F$204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PowerCo!$C$209:$F$209</c:f>
              <c:numCache>
                <c:formatCode>_(* #,##0.00_);_(* \(#,##0.00\);_(* "-"??_);_(@_)</c:formatCode>
                <c:ptCount val="4"/>
                <c:pt idx="0">
                  <c:v>14584.742697015323</c:v>
                </c:pt>
                <c:pt idx="1">
                  <c:v>24132.196896631835</c:v>
                </c:pt>
                <c:pt idx="2">
                  <c:v>19591.050008234459</c:v>
                </c:pt>
                <c:pt idx="3">
                  <c:v>18536.257211166452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PowerCo!$B$210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49170145498344958"/>
                  <c:y val="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PowerCo!$C$204:$F$204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97984"/>
        <c:axId val="164699520"/>
      </c:lineChart>
      <c:catAx>
        <c:axId val="16469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4699520"/>
        <c:crosses val="autoZero"/>
        <c:auto val="1"/>
        <c:lblAlgn val="ctr"/>
        <c:lblOffset val="100"/>
        <c:noMultiLvlLbl val="0"/>
      </c:catAx>
      <c:valAx>
        <c:axId val="164699520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4697984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3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PowerCo!$C$204:$F$204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PowerCo!$C$212:$F$212</c:f>
              <c:numCache>
                <c:formatCode>_(* #,##0.00_);_(* \(#,##0.00\);_(* "-"??_);_(@_)</c:formatCode>
                <c:ptCount val="4"/>
                <c:pt idx="0">
                  <c:v>5.4941292733370221E-2</c:v>
                </c:pt>
                <c:pt idx="1">
                  <c:v>8.4258366041306126E-2</c:v>
                </c:pt>
                <c:pt idx="2">
                  <c:v>6.5607051860528509E-2</c:v>
                </c:pt>
                <c:pt idx="3">
                  <c:v>5.9582023642363265E-2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444588449208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PowerCo!$C$204:$F$204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47136"/>
        <c:axId val="164748672"/>
      </c:lineChart>
      <c:catAx>
        <c:axId val="1647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4748672"/>
        <c:crosses val="autoZero"/>
        <c:auto val="1"/>
        <c:lblAlgn val="ctr"/>
        <c:lblOffset val="100"/>
        <c:noMultiLvlLbl val="0"/>
      </c:catAx>
      <c:valAx>
        <c:axId val="164748672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4747136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3159722222223"/>
          <c:y val="6.4675925925925928E-2"/>
          <c:w val="0.76542083333335442"/>
          <c:h val="0.80984259259260005"/>
        </c:manualLayout>
      </c:layout>
      <c:lineChart>
        <c:grouping val="standard"/>
        <c:varyColors val="0"/>
        <c:ser>
          <c:idx val="1"/>
          <c:order val="0"/>
          <c:tx>
            <c:strRef>
              <c:f>Aurora!$B$230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2917129629629724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Aurora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Aurora!$C$230:$F$230</c:f>
              <c:numCache>
                <c:formatCode>_(* #,##0.00_);_(* \(#,##0.00\);_(* "-"??_);_(@_)</c:formatCode>
                <c:ptCount val="4"/>
                <c:pt idx="0">
                  <c:v>129.10999999999999</c:v>
                </c:pt>
                <c:pt idx="1">
                  <c:v>67.97</c:v>
                </c:pt>
                <c:pt idx="2">
                  <c:v>72.47</c:v>
                </c:pt>
                <c:pt idx="3">
                  <c:v>111.54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Aurora!$B$231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Aurora!$C$229:$F$229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Aurora!$C$231:$F$231</c:f>
              <c:numCache>
                <c:formatCode>_(* #,##0.00_);_(* \(#,##0.00\);_(* "-"??_);_(@_)</c:formatCode>
                <c:ptCount val="4"/>
                <c:pt idx="0">
                  <c:v>106.2</c:v>
                </c:pt>
                <c:pt idx="1">
                  <c:v>106.2</c:v>
                </c:pt>
                <c:pt idx="2">
                  <c:v>106.2</c:v>
                </c:pt>
                <c:pt idx="3">
                  <c:v>98.29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Aurora!$B$232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8796296296298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Industry average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Aurora!$C$229:$F$229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Aurora!$C$232:$F$232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49280"/>
        <c:axId val="118450816"/>
      </c:lineChart>
      <c:catAx>
        <c:axId val="11844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8450816"/>
        <c:crosses val="autoZero"/>
        <c:auto val="1"/>
        <c:lblAlgn val="ctr"/>
        <c:lblOffset val="100"/>
        <c:noMultiLvlLbl val="0"/>
      </c:catAx>
      <c:valAx>
        <c:axId val="11845081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84492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32"/>
          <c:w val="0.79809047321242665"/>
          <c:h val="0.72979551178440372"/>
        </c:manualLayout>
      </c:layout>
      <c:lineChart>
        <c:grouping val="standard"/>
        <c:varyColors val="0"/>
        <c:ser>
          <c:idx val="0"/>
          <c:order val="0"/>
          <c:tx>
            <c:strRef>
              <c:f>PowerCo!$B$206</c:f>
              <c:strCache>
                <c:ptCount val="1"/>
                <c:pt idx="0">
                  <c:v>Powerco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PowerCo!$C$204:$F$204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PowerCo!$C$206:$F$206</c:f>
              <c:numCache>
                <c:formatCode>_(* #,##0.00_);_(* \(#,##0.00\);_(* "-"??_);_(@_)</c:formatCode>
                <c:ptCount val="4"/>
                <c:pt idx="0">
                  <c:v>210.22318784527633</c:v>
                </c:pt>
                <c:pt idx="1">
                  <c:v>334.88387383495166</c:v>
                </c:pt>
                <c:pt idx="2">
                  <c:v>265.00562738617231</c:v>
                </c:pt>
                <c:pt idx="3">
                  <c:v>249.94595542967781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PowerCo!$B$207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5988850572340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PowerCo!$C$204:$F$204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854400"/>
        <c:axId val="164860288"/>
      </c:lineChart>
      <c:catAx>
        <c:axId val="16485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4860288"/>
        <c:crosses val="autoZero"/>
        <c:auto val="1"/>
        <c:lblAlgn val="ctr"/>
        <c:lblOffset val="100"/>
        <c:noMultiLvlLbl val="0"/>
      </c:catAx>
      <c:valAx>
        <c:axId val="164860288"/>
        <c:scaling>
          <c:orientation val="minMax"/>
          <c:max val="65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4854400"/>
        <c:crosses val="autoZero"/>
        <c:crossBetween val="midCat"/>
        <c:majorUnit val="13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409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PowerCo!$B$162</c:f>
              <c:strCache>
                <c:ptCount val="1"/>
                <c:pt idx="0">
                  <c:v>Powerco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PowerCo!$C$160:$F$160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PowerCo!$C$162:$F$162</c:f>
              <c:numCache>
                <c:formatCode>_(* #,##0.00_);_(* \(#,##0.00\);_(* "-"??_);_(@_)</c:formatCode>
                <c:ptCount val="4"/>
                <c:pt idx="0">
                  <c:v>203.67436198400443</c:v>
                </c:pt>
                <c:pt idx="1">
                  <c:v>191.53667002085751</c:v>
                </c:pt>
                <c:pt idx="2">
                  <c:v>184.30155431087479</c:v>
                </c:pt>
                <c:pt idx="3">
                  <c:v>179.42020358354662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PowerCo!$B$163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PowerCo!$C$160:$F$160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78080"/>
        <c:axId val="163679616"/>
      </c:lineChart>
      <c:catAx>
        <c:axId val="1636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3679616"/>
        <c:crosses val="autoZero"/>
        <c:auto val="1"/>
        <c:lblAlgn val="ctr"/>
        <c:lblOffset val="100"/>
        <c:noMultiLvlLbl val="0"/>
      </c:catAx>
      <c:valAx>
        <c:axId val="163679616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367808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9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PowerCo!$C$160:$F$160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PowerCo!$C$165:$F$165</c:f>
              <c:numCache>
                <c:formatCode>_(* #,##0.00_);_(* \(#,##0.00\);_(* "-"??_);_(@_)</c:formatCode>
                <c:ptCount val="4"/>
                <c:pt idx="0">
                  <c:v>2270.9750958577824</c:v>
                </c:pt>
                <c:pt idx="1">
                  <c:v>2063.4585560961232</c:v>
                </c:pt>
                <c:pt idx="2">
                  <c:v>1948.1529954622445</c:v>
                </c:pt>
                <c:pt idx="3">
                  <c:v>1914.0213903743315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2730151815203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PowerCo!$C$160:$F$160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83424"/>
        <c:axId val="163784960"/>
      </c:lineChart>
      <c:catAx>
        <c:axId val="16378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3784960"/>
        <c:crosses val="autoZero"/>
        <c:auto val="1"/>
        <c:lblAlgn val="ctr"/>
        <c:lblOffset val="100"/>
        <c:noMultiLvlLbl val="0"/>
      </c:catAx>
      <c:valAx>
        <c:axId val="163784960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63783424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26327073267044"/>
          <c:y val="0.13550222222222241"/>
          <c:w val="0.7695508593816110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PowerCo!$B$168</c:f>
              <c:strCache>
                <c:ptCount val="1"/>
                <c:pt idx="0">
                  <c:v>Powerco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PowerCo!$C$160:$F$160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PowerCo!$C$168:$F$168</c:f>
              <c:numCache>
                <c:formatCode>_(* #,##0.00_);_(* \(#,##0.00\);_(* "-"??_);_(@_)</c:formatCode>
                <c:ptCount val="4"/>
                <c:pt idx="0">
                  <c:v>14.130402045381272</c:v>
                </c:pt>
                <c:pt idx="1">
                  <c:v>13.802398368535943</c:v>
                </c:pt>
                <c:pt idx="2">
                  <c:v>13.624846395575396</c:v>
                </c:pt>
                <c:pt idx="3">
                  <c:v>13.305992636636907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PowerCo!$B$169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63120173503103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PowerCo!$C$160:$F$160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31808"/>
        <c:axId val="163833344"/>
      </c:lineChart>
      <c:catAx>
        <c:axId val="16383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3833344"/>
        <c:crosses val="autoZero"/>
        <c:auto val="1"/>
        <c:lblAlgn val="ctr"/>
        <c:lblOffset val="100"/>
        <c:noMultiLvlLbl val="0"/>
      </c:catAx>
      <c:valAx>
        <c:axId val="163833344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3831808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813"/>
          <c:h val="0.77599166666669928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PowerCo!$B$178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PowerCo!$C$178:$D$178</c:f>
              <c:numCache>
                <c:formatCode>_-* #,##0_-;\-* #,##0_-;_-* "-"??_-;_-@_-</c:formatCode>
                <c:ptCount val="2"/>
                <c:pt idx="0">
                  <c:v>24709.425924523719</c:v>
                </c:pt>
                <c:pt idx="1">
                  <c:v>26732.9833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63885824"/>
        <c:axId val="163887360"/>
      </c:barChart>
      <c:lineChart>
        <c:grouping val="standard"/>
        <c:varyColors val="0"/>
        <c:ser>
          <c:idx val="1"/>
          <c:order val="0"/>
          <c:tx>
            <c:strRef>
              <c:f>PowerCo!$B$179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PowerCo!$C$177:$D$177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PowerCo!$C$179:$D$179</c:f>
              <c:numCache>
                <c:formatCode>_-* #,##0_-;\-* #,##0_-;_-* "-"??_-;_-@_-</c:formatCode>
                <c:ptCount val="2"/>
                <c:pt idx="0">
                  <c:v>28194.648912073571</c:v>
                </c:pt>
                <c:pt idx="1">
                  <c:v>28385.65831560161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PowerCo!$B$180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PowerCo!$C$177:$D$177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PowerCo!$C$180:$D$180</c:f>
              <c:numCache>
                <c:formatCode>_-* #,##0_-;\-* #,##0_-;_-* "-"??_-;_-@_-</c:formatCode>
                <c:ptCount val="2"/>
                <c:pt idx="1">
                  <c:v>26083.204710193739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885824"/>
        <c:axId val="163887360"/>
      </c:lineChart>
      <c:catAx>
        <c:axId val="16388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3887360"/>
        <c:crosses val="autoZero"/>
        <c:auto val="1"/>
        <c:lblAlgn val="ctr"/>
        <c:lblOffset val="100"/>
        <c:noMultiLvlLbl val="0"/>
      </c:catAx>
      <c:valAx>
        <c:axId val="16388736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3885824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326"/>
          <c:y val="3.5277777777779476E-2"/>
          <c:w val="0.7717227593675065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PowerCo!$V$177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15860463355147952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PowerCo!$W$177:$AC$177</c:f>
              <c:numCache>
                <c:formatCode>General</c:formatCode>
                <c:ptCount val="7"/>
                <c:pt idx="0">
                  <c:v>28194.648912073571</c:v>
                </c:pt>
                <c:pt idx="1">
                  <c:v>28385.65831560161</c:v>
                </c:pt>
                <c:pt idx="2">
                  <c:v>28932.73416157594</c:v>
                </c:pt>
                <c:pt idx="3">
                  <c:v>30024.809664355816</c:v>
                </c:pt>
                <c:pt idx="4">
                  <c:v>29959.40970553915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PowerCo!$V$178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0162125321195666"/>
                  <c:y val="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PowerCo!$W$178:$AC$178</c:f>
              <c:numCache>
                <c:formatCode>General</c:formatCode>
                <c:ptCount val="7"/>
                <c:pt idx="1">
                  <c:v>26083.204710193739</c:v>
                </c:pt>
                <c:pt idx="2">
                  <c:v>26602.810756918429</c:v>
                </c:pt>
                <c:pt idx="3">
                  <c:v>27202.904799116161</c:v>
                </c:pt>
                <c:pt idx="4">
                  <c:v>27536.063970251405</c:v>
                </c:pt>
                <c:pt idx="5">
                  <c:v>28156.534720163829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PowerCo!$V$179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90331674135473E-5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PowerCo!$W$179:$AC$179</c:f>
              <c:numCache>
                <c:formatCode>General</c:formatCode>
                <c:ptCount val="7"/>
                <c:pt idx="2">
                  <c:v>26774.799999999999</c:v>
                </c:pt>
                <c:pt idx="3">
                  <c:v>27619</c:v>
                </c:pt>
                <c:pt idx="4">
                  <c:v>28033.8</c:v>
                </c:pt>
                <c:pt idx="5">
                  <c:v>28597</c:v>
                </c:pt>
                <c:pt idx="6">
                  <c:v>29229.8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PowerCo!$V$176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813703690451832E-3"/>
                  <c:y val="-4.6296296296297747E-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PowerCo!$C$178:$I$178</c:f>
              <c:numCache>
                <c:formatCode>_-* #,##0_-;\-* #,##0_-;_-* "-"??_-;_-@_-</c:formatCode>
                <c:ptCount val="7"/>
                <c:pt idx="0">
                  <c:v>24709.425924523719</c:v>
                </c:pt>
                <c:pt idx="1">
                  <c:v>26732.9833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05184"/>
        <c:axId val="165006720"/>
      </c:lineChart>
      <c:catAx>
        <c:axId val="16500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5006720"/>
        <c:crosses val="autoZero"/>
        <c:auto val="1"/>
        <c:lblAlgn val="ctr"/>
        <c:lblOffset val="100"/>
        <c:noMultiLvlLbl val="0"/>
      </c:catAx>
      <c:valAx>
        <c:axId val="165006720"/>
        <c:scaling>
          <c:orientation val="minMax"/>
          <c:max val="40000"/>
          <c:min val="2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5005184"/>
        <c:crosses val="autoZero"/>
        <c:crossBetween val="midCat"/>
        <c:maj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7066"/>
          <c:h val="0.7757828703703907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PowerCo!$B$222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PowerCo!$C$222:$D$222</c:f>
              <c:numCache>
                <c:formatCode>_-* #,##0_-;\-* #,##0_-;_-* "-"??_-;_-@_-</c:formatCode>
                <c:ptCount val="2"/>
                <c:pt idx="0">
                  <c:v>81974.573090188889</c:v>
                </c:pt>
                <c:pt idx="1">
                  <c:v>76829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65054720"/>
        <c:axId val="165072896"/>
      </c:barChart>
      <c:lineChart>
        <c:grouping val="standard"/>
        <c:varyColors val="0"/>
        <c:ser>
          <c:idx val="1"/>
          <c:order val="0"/>
          <c:tx>
            <c:strRef>
              <c:f>PowerCo!$B$223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PowerCo!$C$221:$D$221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PowerCo!$C$223:$D$223</c:f>
              <c:numCache>
                <c:formatCode>_-* #,##0_-;\-* #,##0_-;_-* "-"??_-;_-@_-</c:formatCode>
                <c:ptCount val="2"/>
                <c:pt idx="0">
                  <c:v>78779.959914887746</c:v>
                </c:pt>
                <c:pt idx="1">
                  <c:v>83230.271398174184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PowerCo!$B$224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PowerCo!$C$221:$D$221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PowerCo!$C$224:$D$224</c:f>
              <c:numCache>
                <c:formatCode>_-* #,##0_-;\-* #,##0_-;_-* "-"??_-;_-@_-</c:formatCode>
                <c:ptCount val="2"/>
                <c:pt idx="1">
                  <c:v>85450.74263695399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54720"/>
        <c:axId val="165072896"/>
      </c:lineChart>
      <c:catAx>
        <c:axId val="16505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5072896"/>
        <c:crosses val="autoZero"/>
        <c:auto val="1"/>
        <c:lblAlgn val="ctr"/>
        <c:lblOffset val="100"/>
        <c:noMultiLvlLbl val="0"/>
      </c:catAx>
      <c:valAx>
        <c:axId val="16507289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5054720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733E-3"/>
          <c:w val="0.90316284722220508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PowerCo!$V$221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4547268062587968"/>
                  <c:y val="0.1293518518518518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PowerCo!$W$221:$AC$221</c:f>
              <c:numCache>
                <c:formatCode>General</c:formatCode>
                <c:ptCount val="7"/>
                <c:pt idx="0">
                  <c:v>78779.959914887746</c:v>
                </c:pt>
                <c:pt idx="1">
                  <c:v>83230.271398174184</c:v>
                </c:pt>
                <c:pt idx="2">
                  <c:v>86192.993342027563</c:v>
                </c:pt>
                <c:pt idx="3">
                  <c:v>89456.762715354489</c:v>
                </c:pt>
                <c:pt idx="4">
                  <c:v>90762.685702519026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PowerCo!$V$222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21636392040720104"/>
                  <c:y val="-3.527777777777874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PowerCo!$W$222:$AC$222</c:f>
              <c:numCache>
                <c:formatCode>General</c:formatCode>
                <c:ptCount val="7"/>
                <c:pt idx="1">
                  <c:v>85450.74263695399</c:v>
                </c:pt>
                <c:pt idx="2">
                  <c:v>88720.185389776598</c:v>
                </c:pt>
                <c:pt idx="3">
                  <c:v>92251.468836733024</c:v>
                </c:pt>
                <c:pt idx="4">
                  <c:v>93722.667133733921</c:v>
                </c:pt>
                <c:pt idx="5">
                  <c:v>95474.045161811853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PowerCo!$V$223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0"/>
                  <c:y val="-5.8800925925927275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PowerCo!$W$223:$AC$223</c:f>
              <c:numCache>
                <c:formatCode>General</c:formatCode>
                <c:ptCount val="7"/>
                <c:pt idx="2">
                  <c:v>85633</c:v>
                </c:pt>
                <c:pt idx="3">
                  <c:v>88057</c:v>
                </c:pt>
                <c:pt idx="4">
                  <c:v>89667.8</c:v>
                </c:pt>
                <c:pt idx="5">
                  <c:v>91289</c:v>
                </c:pt>
                <c:pt idx="6">
                  <c:v>96053.2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PowerCo!$V$220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0569767747960258"/>
                  <c:y val="6.41893764990899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PowerCo!$W$220:$AC$220</c:f>
              <c:numCache>
                <c:formatCode>General</c:formatCode>
                <c:ptCount val="7"/>
                <c:pt idx="0">
                  <c:v>81974.573090188889</c:v>
                </c:pt>
                <c:pt idx="1">
                  <c:v>76829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22048"/>
        <c:axId val="165123584"/>
      </c:lineChart>
      <c:catAx>
        <c:axId val="16512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5123584"/>
        <c:crosses val="autoZero"/>
        <c:auto val="1"/>
        <c:lblAlgn val="ctr"/>
        <c:lblOffset val="100"/>
        <c:noMultiLvlLbl val="0"/>
      </c:catAx>
      <c:valAx>
        <c:axId val="165123584"/>
        <c:scaling>
          <c:orientation val="minMax"/>
          <c:max val="120000"/>
          <c:min val="6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5122048"/>
        <c:crosses val="autoZero"/>
        <c:crossBetween val="midCat"/>
        <c:majorUnit val="1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17"/>
          <c:y val="6.4675925925925928E-2"/>
          <c:w val="0.79206254113289798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PowerCo!$B$237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5495887607353E-3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PowerCo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PowerCo!$C$236:$F$236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PowerCo!$C$237:$F$237</c:f>
              <c:numCache>
                <c:formatCode>_(* #,##0.00_);_(* \(#,##0.00\);_(* "-"??_);_(@_)</c:formatCode>
                <c:ptCount val="4"/>
                <c:pt idx="0">
                  <c:v>2.4961819099999998</c:v>
                </c:pt>
                <c:pt idx="1">
                  <c:v>2.76</c:v>
                </c:pt>
                <c:pt idx="2">
                  <c:v>2.4788800000000002</c:v>
                </c:pt>
                <c:pt idx="3">
                  <c:v>2.62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PowerCo!$B$238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5484626057300768"/>
                  <c:y val="-5.87962962962976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PowerCo!$C$238:$F$238</c:f>
              <c:numCache>
                <c:formatCode>_(* #,##0.00_);_(* \(#,##0.00\);_(* "-"??_);_(@_)</c:formatCode>
                <c:ptCount val="4"/>
                <c:pt idx="0">
                  <c:v>2.7719999999999998</c:v>
                </c:pt>
                <c:pt idx="1">
                  <c:v>2.7719999999999998</c:v>
                </c:pt>
                <c:pt idx="2">
                  <c:v>2.7719999999999998</c:v>
                </c:pt>
                <c:pt idx="3">
                  <c:v>2.8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PowerCo!$B$239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5627816357534E-3"/>
                  <c:y val="5.87958333333340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PowerCo!$C$236:$F$236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71968"/>
        <c:axId val="165590144"/>
      </c:lineChart>
      <c:catAx>
        <c:axId val="16557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5590144"/>
        <c:crosses val="autoZero"/>
        <c:auto val="1"/>
        <c:lblAlgn val="ctr"/>
        <c:lblOffset val="100"/>
        <c:noMultiLvlLbl val="0"/>
      </c:catAx>
      <c:valAx>
        <c:axId val="165590144"/>
        <c:scaling>
          <c:orientation val="minMax"/>
          <c:max val="4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557196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66" l="0.70000000000000062" r="0.70000000000000062" t="0.75000000000001366" header="0.30000000000000032" footer="0.30000000000000032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2"/>
          <c:y val="6.4675925925925928E-2"/>
          <c:w val="0.79206254113289798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PowerCo!$B$230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75560721646058571"/>
                  <c:y val="-0.13182542456639476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PowerCo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PowerCo!$C$229:$F$229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PowerCo!$C$230:$F$230</c:f>
              <c:numCache>
                <c:formatCode>_(* #,##0.00_);_(* \(#,##0.00\);_(* "-"??_);_(@_)</c:formatCode>
                <c:ptCount val="4"/>
                <c:pt idx="0">
                  <c:v>328.65657899999997</c:v>
                </c:pt>
                <c:pt idx="1">
                  <c:v>290.69</c:v>
                </c:pt>
                <c:pt idx="2">
                  <c:v>226.085228</c:v>
                </c:pt>
                <c:pt idx="3">
                  <c:v>273.93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PowerCo!$B$231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0.55054200687822996"/>
                  <c:y val="5.879629629629734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PowerCo!$C$229:$F$229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PowerCo!$C$231:$F$231</c:f>
              <c:numCache>
                <c:formatCode>_(* #,##0.00_);_(* \(#,##0.00\);_(* "-"??_);_(@_)</c:formatCode>
                <c:ptCount val="4"/>
                <c:pt idx="0">
                  <c:v>197.9</c:v>
                </c:pt>
                <c:pt idx="1">
                  <c:v>197.9</c:v>
                </c:pt>
                <c:pt idx="2">
                  <c:v>197.9</c:v>
                </c:pt>
                <c:pt idx="3">
                  <c:v>210.1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PowerCo!$B$232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5.87958333333340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PowerCo!$C$229:$F$229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66080"/>
        <c:axId val="165188352"/>
      </c:lineChart>
      <c:catAx>
        <c:axId val="16516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5188352"/>
        <c:crosses val="autoZero"/>
        <c:auto val="1"/>
        <c:lblAlgn val="ctr"/>
        <c:lblOffset val="100"/>
        <c:noMultiLvlLbl val="0"/>
      </c:catAx>
      <c:valAx>
        <c:axId val="165188352"/>
        <c:scaling>
          <c:orientation val="minMax"/>
          <c:max val="51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516608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11736111110656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Buller!$B$26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2192638888889868"/>
                  <c:y val="-0.3942564814814863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Buller!$C$26:$F$26</c:f>
              <c:numCache>
                <c:formatCode>0</c:formatCode>
                <c:ptCount val="4"/>
                <c:pt idx="0">
                  <c:v>2442.8279395131776</c:v>
                </c:pt>
                <c:pt idx="1">
                  <c:v>2514.2650833962516</c:v>
                </c:pt>
                <c:pt idx="2">
                  <c:v>2538.734014173695</c:v>
                </c:pt>
                <c:pt idx="3">
                  <c:v>2610.88</c:v>
                </c:pt>
              </c:numCache>
            </c:numRef>
          </c:val>
        </c:ser>
        <c:ser>
          <c:idx val="1"/>
          <c:order val="1"/>
          <c:tx>
            <c:strRef>
              <c:f>Buller!$B$27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2204062500000558"/>
                  <c:y val="-9.0187500000000004E-2"/>
                </c:manualLayout>
              </c:layout>
              <c:tx>
                <c:rich>
                  <a:bodyPr/>
                  <a:lstStyle/>
                  <a:p>
                    <a:r>
                      <a:rPr lang="en-US" sz="8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Buller!$C$27:$F$27</c:f>
              <c:numCache>
                <c:formatCode>0</c:formatCode>
                <c:ptCount val="4"/>
                <c:pt idx="0">
                  <c:v>1039.2871603318981</c:v>
                </c:pt>
                <c:pt idx="1">
                  <c:v>1062.1783787493989</c:v>
                </c:pt>
                <c:pt idx="2">
                  <c:v>1101.1572849020506</c:v>
                </c:pt>
                <c:pt idx="3">
                  <c:v>1129.5999999999999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488832"/>
        <c:axId val="116502912"/>
      </c:areaChart>
      <c:catAx>
        <c:axId val="1164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6502912"/>
        <c:crosses val="autoZero"/>
        <c:auto val="1"/>
        <c:lblAlgn val="ctr"/>
        <c:lblOffset val="100"/>
        <c:noMultiLvlLbl val="0"/>
      </c:catAx>
      <c:valAx>
        <c:axId val="116502912"/>
        <c:scaling>
          <c:orientation val="minMax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6488832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761"/>
          <c:h val="0.70204027777778966"/>
        </c:manualLayout>
      </c:layout>
      <c:barChart>
        <c:barDir val="col"/>
        <c:grouping val="clustered"/>
        <c:varyColors val="0"/>
        <c:ser>
          <c:idx val="0"/>
          <c:order val="0"/>
          <c:tx>
            <c:v>Smaller connection points</c:v>
          </c:tx>
          <c:invertIfNegative val="0"/>
          <c:cat>
            <c:numRef>
              <c:f>Buller!$V$53:$Y$53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PowerCo!$V$54:$Y$54</c:f>
              <c:numCache>
                <c:formatCode>0</c:formatCode>
                <c:ptCount val="4"/>
                <c:pt idx="0">
                  <c:v>231659.43673120238</c:v>
                </c:pt>
                <c:pt idx="1">
                  <c:v>228080.79923124434</c:v>
                </c:pt>
                <c:pt idx="2">
                  <c:v>237753.38794427525</c:v>
                </c:pt>
                <c:pt idx="3">
                  <c:v>233979</c:v>
                </c:pt>
              </c:numCache>
            </c:numRef>
          </c:val>
        </c:ser>
        <c:ser>
          <c:idx val="1"/>
          <c:order val="1"/>
          <c:tx>
            <c:v>Larger connection points</c:v>
          </c:tx>
          <c:spPr>
            <a:solidFill>
              <a:srgbClr val="4785D1"/>
            </a:solidFill>
          </c:spPr>
          <c:invertIfNegative val="0"/>
          <c:cat>
            <c:numRef>
              <c:f>Buller!$V$53:$Y$53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PowerCo!$V$55:$Y$55</c:f>
              <c:numCache>
                <c:formatCode>0</c:formatCode>
                <c:ptCount val="4"/>
                <c:pt idx="0">
                  <c:v>44962.236240768725</c:v>
                </c:pt>
                <c:pt idx="1">
                  <c:v>49963.492346763662</c:v>
                </c:pt>
                <c:pt idx="2">
                  <c:v>49858.747271698412</c:v>
                </c:pt>
                <c:pt idx="3">
                  <c:v>49571.741000000002</c:v>
                </c:pt>
              </c:numCache>
            </c:numRef>
          </c:val>
        </c:ser>
        <c:ser>
          <c:idx val="3"/>
          <c:order val="2"/>
          <c:tx>
            <c:strRef>
              <c:f>Buller!$B$57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Buller!$V$53:$Y$53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PowerCo!$V$57:$Y$57</c:f>
              <c:numCache>
                <c:formatCode>0</c:formatCode>
                <c:ptCount val="4"/>
                <c:pt idx="0">
                  <c:v>11103.565056599467</c:v>
                </c:pt>
                <c:pt idx="1">
                  <c:v>9936.6413617955895</c:v>
                </c:pt>
                <c:pt idx="2">
                  <c:v>9751.273476866696</c:v>
                </c:pt>
                <c:pt idx="3">
                  <c:v>9009.6955999999991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58208"/>
        <c:axId val="165372288"/>
      </c:barChart>
      <c:catAx>
        <c:axId val="16535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5372288"/>
        <c:crosses val="autoZero"/>
        <c:auto val="1"/>
        <c:lblAlgn val="ctr"/>
        <c:lblOffset val="100"/>
        <c:noMultiLvlLbl val="0"/>
      </c:catAx>
      <c:valAx>
        <c:axId val="165372288"/>
        <c:scaling>
          <c:orientation val="minMax"/>
          <c:max val="25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5358208"/>
        <c:crosses val="autoZero"/>
        <c:crossBetween val="between"/>
        <c:majorUnit val="50000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47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 orientation="portrait"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2734028431560402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Buller!$B$61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225750822987912E-4"/>
                  <c:y val="-4.053849902534142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Buller!$V$60:$Y$60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PowerCo!$V$61:$Y$61</c:f>
              <c:numCache>
                <c:formatCode>0.0</c:formatCode>
                <c:ptCount val="4"/>
                <c:pt idx="0">
                  <c:v>100</c:v>
                </c:pt>
                <c:pt idx="1">
                  <c:v>98.455216178346149</c:v>
                </c:pt>
                <c:pt idx="2">
                  <c:v>102.63056463361076</c:v>
                </c:pt>
                <c:pt idx="3">
                  <c:v>101.00128158020563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751953969399256E-6"/>
                  <c:y val="-4.11574074074074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Buller!$V$60:$Y$60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PowerCo!$V$62:$Y$62</c:f>
              <c:numCache>
                <c:formatCode>0.0</c:formatCode>
                <c:ptCount val="4"/>
                <c:pt idx="0">
                  <c:v>100</c:v>
                </c:pt>
                <c:pt idx="1">
                  <c:v>111.12323701875873</c:v>
                </c:pt>
                <c:pt idx="2">
                  <c:v>110.89027468453597</c:v>
                </c:pt>
                <c:pt idx="3">
                  <c:v>110.25194728871534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Buller!$B$64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99129593877385E-4"/>
                  <c:y val="5.04410331384015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Buller!$V$60:$Y$60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PowerCo!$V$64:$Y$64</c:f>
              <c:numCache>
                <c:formatCode>0.0</c:formatCode>
                <c:ptCount val="4"/>
                <c:pt idx="0">
                  <c:v>100</c:v>
                </c:pt>
                <c:pt idx="1">
                  <c:v>89.490549306861482</c:v>
                </c:pt>
                <c:pt idx="2">
                  <c:v>87.821104547597272</c:v>
                </c:pt>
                <c:pt idx="3">
                  <c:v>81.142367825773533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15552"/>
        <c:axId val="165446016"/>
      </c:lineChart>
      <c:catAx>
        <c:axId val="16541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5446016"/>
        <c:crosses val="autoZero"/>
        <c:auto val="1"/>
        <c:lblAlgn val="ctr"/>
        <c:lblOffset val="100"/>
        <c:noMultiLvlLbl val="0"/>
      </c:catAx>
      <c:valAx>
        <c:axId val="165446016"/>
        <c:scaling>
          <c:orientation val="minMax"/>
          <c:max val="130"/>
          <c:min val="7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541555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308117366031571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Buller!$B$84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295023615580459E-5"/>
                  <c:y val="-2.80593743773660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Buller!$V$83:$Y$83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PowerCo!$V$84:$Y$84</c:f>
              <c:numCache>
                <c:formatCode>0.00</c:formatCode>
                <c:ptCount val="4"/>
                <c:pt idx="0">
                  <c:v>8.3562298193439908</c:v>
                </c:pt>
                <c:pt idx="1">
                  <c:v>8.2659534092677927</c:v>
                </c:pt>
                <c:pt idx="2">
                  <c:v>8.6586591512157476</c:v>
                </c:pt>
                <c:pt idx="3">
                  <c:v>8.6842834878767281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162429519653284E-5"/>
                  <c:y val="-3.40341130604288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Buller!$V$83:$Y$83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PowerCo!$V$85:$Y$85</c:f>
              <c:numCache>
                <c:formatCode>0.00</c:formatCode>
                <c:ptCount val="4"/>
                <c:pt idx="0">
                  <c:v>3.8664168045214806</c:v>
                </c:pt>
                <c:pt idx="1">
                  <c:v>4.5231712444517767</c:v>
                </c:pt>
                <c:pt idx="2">
                  <c:v>4.6077847893903332</c:v>
                </c:pt>
                <c:pt idx="3">
                  <c:v>4.5736058972625386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Buller!$B$87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9248552127998073E-5"/>
                  <c:y val="-4.12524366471734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Buller!$V$83:$Y$83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PowerCo!$V$87:$Y$87</c:f>
              <c:numCache>
                <c:formatCode>0.00</c:formatCode>
                <c:ptCount val="4"/>
                <c:pt idx="0">
                  <c:v>2.4029602445556812</c:v>
                </c:pt>
                <c:pt idx="1">
                  <c:v>1.9385882856805379</c:v>
                </c:pt>
                <c:pt idx="2">
                  <c:v>2.0892609123522949</c:v>
                </c:pt>
                <c:pt idx="3">
                  <c:v>1.7137080064347059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72512"/>
        <c:axId val="165490688"/>
      </c:lineChart>
      <c:catAx>
        <c:axId val="16547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5490688"/>
        <c:crosses val="autoZero"/>
        <c:auto val="1"/>
        <c:lblAlgn val="ctr"/>
        <c:lblOffset val="100"/>
        <c:noMultiLvlLbl val="0"/>
      </c:catAx>
      <c:valAx>
        <c:axId val="16549068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547251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124E-2"/>
          <c:y val="5.8338380979806134E-2"/>
          <c:w val="0.83883540276753665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Buller!$B$90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8028632354795E-3"/>
                  <c:y val="-3.249269005847965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Buller!$V$89:$Y$89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PowerCo!$V$90:$Y$90</c:f>
              <c:numCache>
                <c:formatCode>0.0</c:formatCode>
                <c:ptCount val="4"/>
                <c:pt idx="0">
                  <c:v>100</c:v>
                </c:pt>
                <c:pt idx="1">
                  <c:v>98.919651421419559</c:v>
                </c:pt>
                <c:pt idx="2">
                  <c:v>103.61920792522552</c:v>
                </c:pt>
                <c:pt idx="3">
                  <c:v>103.9258574216487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6921571403743E-3"/>
                  <c:y val="-3.49688109161793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Buller!$V$89:$Y$89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PowerCo!$V$91:$Y$91</c:f>
              <c:numCache>
                <c:formatCode>0.0</c:formatCode>
                <c:ptCount val="4"/>
                <c:pt idx="0">
                  <c:v>100</c:v>
                </c:pt>
                <c:pt idx="1">
                  <c:v>116.98612625421738</c:v>
                </c:pt>
                <c:pt idx="2">
                  <c:v>119.17454900366353</c:v>
                </c:pt>
                <c:pt idx="3">
                  <c:v>118.29055501502204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Buller!$B$93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8043546457205E-3"/>
                  <c:y val="-7.860136452241715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Buller!$V$89:$Y$89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PowerCo!$V$93:$Y$93</c:f>
              <c:numCache>
                <c:formatCode>0.0</c:formatCode>
                <c:ptCount val="4"/>
                <c:pt idx="0">
                  <c:v>100</c:v>
                </c:pt>
                <c:pt idx="1">
                  <c:v>80.675004510488364</c:v>
                </c:pt>
                <c:pt idx="2">
                  <c:v>86.945296622608467</c:v>
                </c:pt>
                <c:pt idx="3">
                  <c:v>71.316535940093289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29472"/>
        <c:axId val="165531008"/>
      </c:lineChart>
      <c:catAx>
        <c:axId val="16552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5531008"/>
        <c:crosses val="autoZero"/>
        <c:auto val="1"/>
        <c:lblAlgn val="ctr"/>
        <c:lblOffset val="100"/>
        <c:noMultiLvlLbl val="0"/>
      </c:catAx>
      <c:valAx>
        <c:axId val="165531008"/>
        <c:scaling>
          <c:orientation val="minMax"/>
          <c:max val="130"/>
          <c:min val="7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552947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4477242494732452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Buller!$B$120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097209564907673E-6"/>
                  <c:y val="-3.899171539961019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Buller!$V$119:$Y$119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PowerCo!$V$120:$Y$120</c:f>
              <c:numCache>
                <c:formatCode>0.0</c:formatCode>
                <c:ptCount val="4"/>
                <c:pt idx="0">
                  <c:v>100</c:v>
                </c:pt>
                <c:pt idx="1">
                  <c:v>99.530492438661341</c:v>
                </c:pt>
                <c:pt idx="2">
                  <c:v>99.045888005312463</c:v>
                </c:pt>
                <c:pt idx="3">
                  <c:v>97.185901647577964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Buller!$B$121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114852127914E-3"/>
                  <c:y val="-3.558771929824561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Buller!$V$119:$Y$119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PowerCo!$V$121:$Y$121</c:f>
              <c:numCache>
                <c:formatCode>0.0</c:formatCode>
                <c:ptCount val="4"/>
                <c:pt idx="0">
                  <c:v>100</c:v>
                </c:pt>
                <c:pt idx="1">
                  <c:v>94.988389287531177</c:v>
                </c:pt>
                <c:pt idx="2">
                  <c:v>93.048621212845646</c:v>
                </c:pt>
                <c:pt idx="3">
                  <c:v>93.20435369900342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Buller!$B$123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097209564907673E-6"/>
                  <c:y val="-3.558771929824562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Buller!$V$119:$Y$119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PowerCo!$V$123:$Y$123</c:f>
              <c:numCache>
                <c:formatCode>0.0</c:formatCode>
                <c:ptCount val="4"/>
                <c:pt idx="0">
                  <c:v>100</c:v>
                </c:pt>
                <c:pt idx="1">
                  <c:v>110.9272318605536</c:v>
                </c:pt>
                <c:pt idx="2">
                  <c:v>101.00730914610632</c:v>
                </c:pt>
                <c:pt idx="3">
                  <c:v>113.77777503654141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91936"/>
        <c:axId val="165993472"/>
      </c:lineChart>
      <c:catAx>
        <c:axId val="16599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5993472"/>
        <c:crosses val="autoZero"/>
        <c:auto val="1"/>
        <c:lblAlgn val="ctr"/>
        <c:lblOffset val="100"/>
        <c:noMultiLvlLbl val="0"/>
      </c:catAx>
      <c:valAx>
        <c:axId val="165993472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5991936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737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v>Smaller</c:v>
          </c:tx>
          <c:invertIfNegative val="0"/>
          <c:cat>
            <c:numRef>
              <c:f>Buller!$V$112:$Y$112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PowerCo!$V$113:$Y$113</c:f>
              <c:numCache>
                <c:formatCode>0</c:formatCode>
                <c:ptCount val="4"/>
                <c:pt idx="0">
                  <c:v>2772296.1399999997</c:v>
                </c:pt>
                <c:pt idx="1">
                  <c:v>2759280</c:v>
                </c:pt>
                <c:pt idx="2">
                  <c:v>2745845.33</c:v>
                </c:pt>
                <c:pt idx="3">
                  <c:v>2694281</c:v>
                </c:pt>
              </c:numCache>
            </c:numRef>
          </c:val>
        </c:ser>
        <c:ser>
          <c:idx val="1"/>
          <c:order val="1"/>
          <c:tx>
            <c:v>Larger</c:v>
          </c:tx>
          <c:spPr>
            <a:solidFill>
              <a:schemeClr val="accent5"/>
            </a:solidFill>
          </c:spPr>
          <c:invertIfNegative val="0"/>
          <c:cat>
            <c:numRef>
              <c:f>Buller!$V$112:$Y$112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PowerCo!$V$114:$Y$114</c:f>
              <c:numCache>
                <c:formatCode>0</c:formatCode>
                <c:ptCount val="4"/>
                <c:pt idx="0">
                  <c:v>1162891.6000000001</c:v>
                </c:pt>
                <c:pt idx="1">
                  <c:v>1104612</c:v>
                </c:pt>
                <c:pt idx="2">
                  <c:v>1082054.6000000001</c:v>
                </c:pt>
                <c:pt idx="3">
                  <c:v>1083865.6000000001</c:v>
                </c:pt>
              </c:numCache>
            </c:numRef>
          </c:val>
        </c:ser>
        <c:ser>
          <c:idx val="3"/>
          <c:order val="2"/>
          <c:tx>
            <c:strRef>
              <c:f>Buller!$B$116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Buller!$V$112:$Y$112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PowerCo!$V$116:$Y$116</c:f>
              <c:numCache>
                <c:formatCode>0</c:formatCode>
                <c:ptCount val="4"/>
                <c:pt idx="0">
                  <c:v>462078.6</c:v>
                </c:pt>
                <c:pt idx="1">
                  <c:v>512571</c:v>
                </c:pt>
                <c:pt idx="2">
                  <c:v>466733.16</c:v>
                </c:pt>
                <c:pt idx="3">
                  <c:v>525742.75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778560"/>
        <c:axId val="165780096"/>
      </c:barChart>
      <c:catAx>
        <c:axId val="16577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5780096"/>
        <c:crosses val="autoZero"/>
        <c:auto val="1"/>
        <c:lblAlgn val="ctr"/>
        <c:lblOffset val="100"/>
        <c:noMultiLvlLbl val="0"/>
      </c:catAx>
      <c:valAx>
        <c:axId val="1657800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57785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3537020080817759"/>
          <c:h val="0.82404629629630866"/>
        </c:manualLayout>
      </c:layout>
      <c:lineChart>
        <c:grouping val="standard"/>
        <c:varyColors val="0"/>
        <c:ser>
          <c:idx val="0"/>
          <c:order val="0"/>
          <c:tx>
            <c:strRef>
              <c:f>Buller!$B$76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785087719298258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Buller!$V$75:$Y$75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PowerCo!$V$76:$Y$76</c:f>
              <c:numCache>
                <c:formatCode>0.0</c:formatCode>
                <c:ptCount val="4"/>
                <c:pt idx="0">
                  <c:v>100</c:v>
                </c:pt>
                <c:pt idx="1">
                  <c:v>95.214367721682407</c:v>
                </c:pt>
                <c:pt idx="2">
                  <c:v>98.597150950500435</c:v>
                </c:pt>
                <c:pt idx="3">
                  <c:v>96.509232124130591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56846978557504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Buller!$V$75:$Y$75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PowerCo!$V$77:$Y$77</c:f>
              <c:numCache>
                <c:formatCode>0.0</c:formatCode>
                <c:ptCount val="4"/>
                <c:pt idx="0">
                  <c:v>100</c:v>
                </c:pt>
                <c:pt idx="1">
                  <c:v>116.38215564310327</c:v>
                </c:pt>
                <c:pt idx="2">
                  <c:v>113.11252467821404</c:v>
                </c:pt>
                <c:pt idx="3">
                  <c:v>114.996395840074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Buller!$B$79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930068226120857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Buller!$V$75:$Y$75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PowerCo!$V$79:$Y$79</c:f>
              <c:numCache>
                <c:formatCode>0.0</c:formatCode>
                <c:ptCount val="4"/>
                <c:pt idx="0">
                  <c:v>100</c:v>
                </c:pt>
                <c:pt idx="1">
                  <c:v>89.490549306861482</c:v>
                </c:pt>
                <c:pt idx="2">
                  <c:v>87.821104547597258</c:v>
                </c:pt>
                <c:pt idx="3">
                  <c:v>81.142367825773547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27712"/>
        <c:axId val="165829248"/>
      </c:lineChart>
      <c:catAx>
        <c:axId val="16582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5829248"/>
        <c:crosses val="autoZero"/>
        <c:auto val="1"/>
        <c:lblAlgn val="ctr"/>
        <c:lblOffset val="100"/>
        <c:noMultiLvlLbl val="0"/>
      </c:catAx>
      <c:valAx>
        <c:axId val="165829248"/>
        <c:scaling>
          <c:orientation val="minMax"/>
          <c:max val="130"/>
          <c:min val="7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582771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Smaller </a:t>
            </a:r>
          </a:p>
        </c:rich>
      </c:tx>
      <c:layout>
        <c:manualLayout>
          <c:xMode val="edge"/>
          <c:yMode val="edge"/>
          <c:x val="0.400015895890292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399"/>
          <c:y val="0.16445370370370369"/>
          <c:w val="0.70330041907982155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Buller!$B$70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Buller!$V$69:$Y$69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PowerCo!$V$70:$Y$70</c:f>
              <c:numCache>
                <c:formatCode>0</c:formatCode>
                <c:ptCount val="4"/>
                <c:pt idx="0">
                  <c:v>761.91731809188809</c:v>
                </c:pt>
                <c:pt idx="1">
                  <c:v>725.45475698319103</c:v>
                </c:pt>
                <c:pt idx="2">
                  <c:v>751.22876823706349</c:v>
                </c:pt>
                <c:pt idx="3">
                  <c:v>735.32055311125077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73920"/>
        <c:axId val="165892096"/>
      </c:lineChart>
      <c:catAx>
        <c:axId val="16587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5892096"/>
        <c:crosses val="autoZero"/>
        <c:auto val="1"/>
        <c:lblAlgn val="ctr"/>
        <c:lblOffset val="100"/>
        <c:noMultiLvlLbl val="0"/>
      </c:catAx>
      <c:valAx>
        <c:axId val="165892096"/>
        <c:scaling>
          <c:orientation val="minMax"/>
          <c:max val="1000"/>
          <c:min val="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6587392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Larger</a:t>
            </a:r>
          </a:p>
        </c:rich>
      </c:tx>
      <c:layout>
        <c:manualLayout>
          <c:xMode val="edge"/>
          <c:yMode val="edge"/>
          <c:x val="0.316318676568618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73"/>
          <c:y val="0.17621296296296743"/>
          <c:w val="0.73692152777777775"/>
          <c:h val="0.5728240740740963"/>
        </c:manualLayout>
      </c:layout>
      <c:lineChart>
        <c:grouping val="standard"/>
        <c:varyColors val="0"/>
        <c:ser>
          <c:idx val="1"/>
          <c:order val="0"/>
          <c:tx>
            <c:strRef>
              <c:f>Buller!$B$71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Buller!$V$69:$Y$69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PowerCo!$V$71:$Y$71</c:f>
              <c:numCache>
                <c:formatCode>0</c:formatCode>
                <c:ptCount val="4"/>
                <c:pt idx="0">
                  <c:v>44167.226169713875</c:v>
                </c:pt>
                <c:pt idx="1">
                  <c:v>51402.769904077846</c:v>
                </c:pt>
                <c:pt idx="2">
                  <c:v>49958.664600900214</c:v>
                </c:pt>
                <c:pt idx="3">
                  <c:v>50790.718237704918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08480"/>
        <c:axId val="165910016"/>
      </c:lineChart>
      <c:catAx>
        <c:axId val="1659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5910016"/>
        <c:crosses val="autoZero"/>
        <c:auto val="1"/>
        <c:lblAlgn val="ctr"/>
        <c:lblOffset val="100"/>
        <c:noMultiLvlLbl val="0"/>
      </c:catAx>
      <c:valAx>
        <c:axId val="165910016"/>
        <c:scaling>
          <c:orientation val="minMax"/>
          <c:max val="60000"/>
          <c:min val="3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65908480"/>
        <c:crosses val="autoZero"/>
        <c:crossBetween val="midCat"/>
        <c:majorUnit val="6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Buller!$B$73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Buller!$V$69:$Y$69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PowerCo!$V$73:$Y$73</c:f>
              <c:numCache>
                <c:formatCode>0</c:formatCode>
                <c:ptCount val="4"/>
                <c:pt idx="0">
                  <c:v>2220713.0113198934</c:v>
                </c:pt>
                <c:pt idx="1">
                  <c:v>1987328.2723591179</c:v>
                </c:pt>
                <c:pt idx="2">
                  <c:v>1950254.6953733391</c:v>
                </c:pt>
                <c:pt idx="3">
                  <c:v>1801939.1199999999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20608"/>
        <c:axId val="166022144"/>
      </c:lineChart>
      <c:catAx>
        <c:axId val="16602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66022144"/>
        <c:crosses val="autoZero"/>
        <c:auto val="1"/>
        <c:lblAlgn val="ctr"/>
        <c:lblOffset val="100"/>
        <c:noMultiLvlLbl val="0"/>
      </c:catAx>
      <c:valAx>
        <c:axId val="166022144"/>
        <c:scaling>
          <c:orientation val="minMax"/>
          <c:max val="3000000"/>
          <c:min val="15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66020608"/>
        <c:crosses val="autoZero"/>
        <c:crossBetween val="midCat"/>
        <c:majorUnit val="3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2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Buller!$B$28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Buller!$C$25:$F$25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Buller!$C$28:$F$28</c:f>
              <c:numCache>
                <c:formatCode>0</c:formatCode>
                <c:ptCount val="4"/>
                <c:pt idx="0">
                  <c:v>796.93056941632688</c:v>
                </c:pt>
                <c:pt idx="1">
                  <c:v>875.32135355892615</c:v>
                </c:pt>
                <c:pt idx="2">
                  <c:v>913.69157392686805</c:v>
                </c:pt>
                <c:pt idx="3">
                  <c:v>922.39999999999986</c:v>
                </c:pt>
              </c:numCache>
            </c:numRef>
          </c:val>
        </c:ser>
        <c:ser>
          <c:idx val="1"/>
          <c:order val="1"/>
          <c:tx>
            <c:strRef>
              <c:f>Buller!$B$29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Buller!$C$25:$F$25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Buller!$C$29:$F$29</c:f>
              <c:numCache>
                <c:formatCode>0</c:formatCode>
                <c:ptCount val="4"/>
                <c:pt idx="0">
                  <c:v>242.35659091557125</c:v>
                </c:pt>
                <c:pt idx="1">
                  <c:v>186.85702519047285</c:v>
                </c:pt>
                <c:pt idx="2">
                  <c:v>187.46571097518253</c:v>
                </c:pt>
                <c:pt idx="3">
                  <c:v>207.19999999999996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540544"/>
        <c:axId val="116542080"/>
      </c:barChart>
      <c:catAx>
        <c:axId val="11654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6542080"/>
        <c:crosses val="autoZero"/>
        <c:auto val="1"/>
        <c:lblAlgn val="ctr"/>
        <c:lblOffset val="100"/>
        <c:noMultiLvlLbl val="0"/>
      </c:catAx>
      <c:valAx>
        <c:axId val="116542080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654054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81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Buller!$B$105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0887557860298E-4"/>
                  <c:y val="-3.218323586744645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Buller!$V$104:$Y$104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PowerCo!$V$105:$Y$105</c:f>
              <c:numCache>
                <c:formatCode>0.0</c:formatCode>
                <c:ptCount val="4"/>
                <c:pt idx="0">
                  <c:v>100</c:v>
                </c:pt>
                <c:pt idx="1">
                  <c:v>103.4037388833342</c:v>
                </c:pt>
                <c:pt idx="2">
                  <c:v>104.09080145240226</c:v>
                </c:pt>
                <c:pt idx="3">
                  <c:v>104.65452823238437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20259460293669873"/>
                  <c:y val="4.93596491228070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Buller!$V$104:$Y$104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PowerCo!$V$106:$Y$106</c:f>
              <c:numCache>
                <c:formatCode>0.0</c:formatCode>
                <c:ptCount val="4"/>
                <c:pt idx="0">
                  <c:v>100</c:v>
                </c:pt>
                <c:pt idx="1">
                  <c:v>95.481335952848724</c:v>
                </c:pt>
                <c:pt idx="2">
                  <c:v>98.035363457760312</c:v>
                </c:pt>
                <c:pt idx="3">
                  <c:v>95.874263261296662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80896"/>
        <c:axId val="166082432"/>
      </c:lineChart>
      <c:catAx>
        <c:axId val="16608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6082432"/>
        <c:crosses val="autoZero"/>
        <c:auto val="1"/>
        <c:lblAlgn val="ctr"/>
        <c:lblOffset val="100"/>
        <c:noMultiLvlLbl val="0"/>
      </c:catAx>
      <c:valAx>
        <c:axId val="166082432"/>
        <c:scaling>
          <c:orientation val="minMax"/>
          <c:max val="11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6080896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452"/>
        </c:manualLayout>
      </c:layout>
      <c:barChart>
        <c:barDir val="col"/>
        <c:grouping val="stacked"/>
        <c:varyColors val="0"/>
        <c:ser>
          <c:idx val="0"/>
          <c:order val="0"/>
          <c:tx>
            <c:v>Smaller</c:v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Buller!$V$97:$Y$97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PowerCo!$V$98:$Y$98</c:f>
              <c:numCache>
                <c:formatCode>General</c:formatCode>
                <c:ptCount val="4"/>
                <c:pt idx="0">
                  <c:v>304048</c:v>
                </c:pt>
                <c:pt idx="1">
                  <c:v>314397</c:v>
                </c:pt>
                <c:pt idx="2">
                  <c:v>316486</c:v>
                </c:pt>
                <c:pt idx="3">
                  <c:v>318200</c:v>
                </c:pt>
              </c:numCache>
            </c:numRef>
          </c:val>
        </c:ser>
        <c:ser>
          <c:idx val="1"/>
          <c:order val="1"/>
          <c:tx>
            <c:v>Larger</c:v>
          </c:tx>
          <c:spPr>
            <a:solidFill>
              <a:schemeClr val="accent4"/>
            </a:solidFill>
          </c:spPr>
          <c:invertIfNegative val="0"/>
          <c:cat>
            <c:numRef>
              <c:f>Buller!$V$97:$Y$97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PowerCo!$V$99:$Y$99</c:f>
              <c:numCache>
                <c:formatCode>General</c:formatCode>
                <c:ptCount val="4"/>
                <c:pt idx="0">
                  <c:v>1018</c:v>
                </c:pt>
                <c:pt idx="1">
                  <c:v>972</c:v>
                </c:pt>
                <c:pt idx="2">
                  <c:v>998</c:v>
                </c:pt>
                <c:pt idx="3">
                  <c:v>976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107776"/>
        <c:axId val="166113664"/>
      </c:barChart>
      <c:catAx>
        <c:axId val="1661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6113664"/>
        <c:crosses val="autoZero"/>
        <c:auto val="1"/>
        <c:lblAlgn val="ctr"/>
        <c:lblOffset val="100"/>
        <c:noMultiLvlLbl val="0"/>
      </c:catAx>
      <c:valAx>
        <c:axId val="166113664"/>
        <c:scaling>
          <c:orientation val="minMax"/>
          <c:max val="35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6107776"/>
        <c:crosses val="autoZero"/>
        <c:crossBetween val="between"/>
        <c:majorUnit val="50000"/>
      </c:valAx>
    </c:plotArea>
    <c:legend>
      <c:legendPos val="t"/>
      <c:layout>
        <c:manualLayout>
          <c:xMode val="edge"/>
          <c:yMode val="edge"/>
          <c:x val="0"/>
          <c:y val="3.5277777777779268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Scanpower!$B$26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79562009287"/>
                  <c:y val="-0.3589936606725883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Scanpower!$C$26:$F$26</c:f>
              <c:numCache>
                <c:formatCode>0</c:formatCode>
                <c:ptCount val="4"/>
                <c:pt idx="0">
                  <c:v>1794.2437531483749</c:v>
                </c:pt>
                <c:pt idx="1">
                  <c:v>1797.9798201661054</c:v>
                </c:pt>
                <c:pt idx="2">
                  <c:v>1817.3985610735358</c:v>
                </c:pt>
                <c:pt idx="3">
                  <c:v>1931.1999999999998</c:v>
                </c:pt>
              </c:numCache>
            </c:numRef>
          </c:val>
        </c:ser>
        <c:ser>
          <c:idx val="1"/>
          <c:order val="1"/>
          <c:tx>
            <c:strRef>
              <c:f>Scanpower!$B$27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1763016379747094"/>
                  <c:y val="-7.839311228146428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Scanpower!$C$27:$F$27</c:f>
              <c:numCache>
                <c:formatCode>0</c:formatCode>
                <c:ptCount val="4"/>
                <c:pt idx="0">
                  <c:v>639.95939665250489</c:v>
                </c:pt>
                <c:pt idx="1">
                  <c:v>641.12721532020021</c:v>
                </c:pt>
                <c:pt idx="2">
                  <c:v>664.28067149901631</c:v>
                </c:pt>
                <c:pt idx="3">
                  <c:v>704.8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508608"/>
        <c:axId val="163510144"/>
      </c:areaChart>
      <c:catAx>
        <c:axId val="16350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3510144"/>
        <c:crosses val="autoZero"/>
        <c:auto val="1"/>
        <c:lblAlgn val="ctr"/>
        <c:lblOffset val="100"/>
        <c:noMultiLvlLbl val="0"/>
      </c:catAx>
      <c:valAx>
        <c:axId val="163510144"/>
        <c:scaling>
          <c:orientation val="minMax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3508608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Scanpower!$B$28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Scanpower!$C$25:$F$25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Scanpower!$C$28:$F$28</c:f>
              <c:numCache>
                <c:formatCode>0</c:formatCode>
                <c:ptCount val="4"/>
                <c:pt idx="0">
                  <c:v>473.50095520515526</c:v>
                </c:pt>
                <c:pt idx="1">
                  <c:v>480.84541149015013</c:v>
                </c:pt>
                <c:pt idx="2">
                  <c:v>475.99989221524606</c:v>
                </c:pt>
                <c:pt idx="3">
                  <c:v>516</c:v>
                </c:pt>
              </c:numCache>
            </c:numRef>
          </c:val>
        </c:ser>
        <c:ser>
          <c:idx val="1"/>
          <c:order val="1"/>
          <c:tx>
            <c:strRef>
              <c:f>Scanpower!$B$29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Scanpower!$C$25:$F$25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Scanpower!$C$29:$F$29</c:f>
              <c:numCache>
                <c:formatCode>0</c:formatCode>
                <c:ptCount val="4"/>
                <c:pt idx="0">
                  <c:v>166.45844144734966</c:v>
                </c:pt>
                <c:pt idx="1">
                  <c:v>160.28180383005005</c:v>
                </c:pt>
                <c:pt idx="2">
                  <c:v>188.28077928377027</c:v>
                </c:pt>
                <c:pt idx="3">
                  <c:v>188.8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0064"/>
        <c:axId val="163578240"/>
      </c:barChart>
      <c:catAx>
        <c:axId val="16356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3578240"/>
        <c:crosses val="autoZero"/>
        <c:auto val="1"/>
        <c:lblAlgn val="ctr"/>
        <c:lblOffset val="100"/>
        <c:noMultiLvlLbl val="0"/>
      </c:catAx>
      <c:valAx>
        <c:axId val="163578240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356006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0503465888361913"/>
          <c:w val="0.89745624999998208"/>
          <c:h val="0.697392027140369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Scanpower!$B$40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Scanpower!$C$39:$F$39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Scanpower!$C$40:$F$40</c:f>
              <c:numCache>
                <c:formatCode>0</c:formatCode>
                <c:ptCount val="4"/>
                <c:pt idx="0">
                  <c:v>6489.0761597901392</c:v>
                </c:pt>
                <c:pt idx="1">
                  <c:v>6034.443819067882</c:v>
                </c:pt>
                <c:pt idx="2">
                  <c:v>6294.3650130689002</c:v>
                </c:pt>
                <c:pt idx="3">
                  <c:v>6558</c:v>
                </c:pt>
              </c:numCache>
            </c:numRef>
          </c:val>
        </c:ser>
        <c:ser>
          <c:idx val="1"/>
          <c:order val="1"/>
          <c:tx>
            <c:strRef>
              <c:f>Scanpower!$B$41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Scanpower!$C$39:$F$39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Scanpower!$C$41:$F$41</c:f>
              <c:numCache>
                <c:formatCode>0</c:formatCode>
                <c:ptCount val="4"/>
                <c:pt idx="0">
                  <c:v>120.74705597217073</c:v>
                </c:pt>
                <c:pt idx="1">
                  <c:v>14.533324181481223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599872"/>
        <c:axId val="163601408"/>
      </c:barChart>
      <c:catAx>
        <c:axId val="16359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3601408"/>
        <c:crosses val="autoZero"/>
        <c:auto val="1"/>
        <c:lblAlgn val="ctr"/>
        <c:lblOffset val="100"/>
        <c:noMultiLvlLbl val="0"/>
      </c:catAx>
      <c:valAx>
        <c:axId val="16360140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3599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742"/>
          <c:h val="0.1579757745122770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993E-2"/>
          <c:y val="9.9262962962965245E-2"/>
          <c:w val="0.81073204086216033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Scanpower!$B$45</c:f>
              <c:strCache>
                <c:ptCount val="1"/>
                <c:pt idx="0">
                  <c:v>Scanpower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Scanpower!$B$46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5.2448011306279026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Scanpower!$C$45:$F$45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Scanpower!$C$46:$F$46</c:f>
              <c:numCache>
                <c:formatCode>0.0</c:formatCode>
                <c:ptCount val="4"/>
                <c:pt idx="0">
                  <c:v>100</c:v>
                </c:pt>
                <c:pt idx="1">
                  <c:v>92.993881878912021</c:v>
                </c:pt>
                <c:pt idx="2">
                  <c:v>96.999401117715706</c:v>
                </c:pt>
                <c:pt idx="3">
                  <c:v>101.06215181502955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Scanpower!$B$47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Scanpower!$C$45:$F$45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Scanpower!$C$47:$F$47</c:f>
              <c:numCache>
                <c:formatCode>0.0</c:formatCode>
                <c:ptCount val="4"/>
                <c:pt idx="0">
                  <c:v>100</c:v>
                </c:pt>
                <c:pt idx="1">
                  <c:v>12.036172695449238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41216"/>
        <c:axId val="163642752"/>
      </c:lineChart>
      <c:catAx>
        <c:axId val="16364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3642752"/>
        <c:crossesAt val="0"/>
        <c:auto val="1"/>
        <c:lblAlgn val="ctr"/>
        <c:lblOffset val="100"/>
        <c:noMultiLvlLbl val="0"/>
      </c:catAx>
      <c:valAx>
        <c:axId val="163642752"/>
        <c:scaling>
          <c:orientation val="minMax"/>
          <c:max val="1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3641216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3005"/>
          <c:h val="0.702040277777791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Scanpower!$B$54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Scanpower!$C$53:$F$53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Scanpower!$C$54:$F$54</c:f>
              <c:numCache>
                <c:formatCode>0</c:formatCode>
                <c:ptCount val="4"/>
                <c:pt idx="0">
                  <c:v>4861.1471015939096</c:v>
                </c:pt>
                <c:pt idx="1">
                  <c:v>4805.339831148327</c:v>
                </c:pt>
                <c:pt idx="2">
                  <c:v>5133.9115087170912</c:v>
                </c:pt>
                <c:pt idx="3">
                  <c:v>5371</c:v>
                </c:pt>
              </c:numCache>
            </c:numRef>
          </c:val>
        </c:ser>
        <c:ser>
          <c:idx val="1"/>
          <c:order val="1"/>
          <c:tx>
            <c:strRef>
              <c:f>Scanpower!$B$55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Scanpower!$C$53:$F$53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Scanpower!$C$55:$F$55</c:f>
              <c:numCache>
                <c:formatCode>0</c:formatCode>
                <c:ptCount val="4"/>
                <c:pt idx="0">
                  <c:v>79.779304838755664</c:v>
                </c:pt>
                <c:pt idx="1">
                  <c:v>73.704715491797629</c:v>
                </c:pt>
                <c:pt idx="2">
                  <c:v>68.261970844224081</c:v>
                </c:pt>
                <c:pt idx="3">
                  <c:v>80</c:v>
                </c:pt>
              </c:numCache>
            </c:numRef>
          </c:val>
        </c:ser>
        <c:ser>
          <c:idx val="2"/>
          <c:order val="2"/>
          <c:tx>
            <c:strRef>
              <c:f>Scanpower!$B$56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Scanpower!$C$53:$F$53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Scanpower!$C$56:$F$56</c:f>
              <c:numCache>
                <c:formatCode>0</c:formatCode>
                <c:ptCount val="4"/>
                <c:pt idx="0">
                  <c:v>307.25813350061304</c:v>
                </c:pt>
                <c:pt idx="1">
                  <c:v>262.63792985105351</c:v>
                </c:pt>
                <c:pt idx="2">
                  <c:v>297.49993263452882</c:v>
                </c:pt>
                <c:pt idx="3">
                  <c:v>314</c:v>
                </c:pt>
              </c:numCache>
            </c:numRef>
          </c:val>
        </c:ser>
        <c:ser>
          <c:idx val="3"/>
          <c:order val="3"/>
          <c:tx>
            <c:strRef>
              <c:f>Scanpower!$B$57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Scanpower!$C$53:$F$53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Scanpower!$C$57:$F$57</c:f>
              <c:numCache>
                <c:formatCode>0</c:formatCode>
                <c:ptCount val="4"/>
                <c:pt idx="0">
                  <c:v>1240.8916198568618</c:v>
                </c:pt>
                <c:pt idx="1">
                  <c:v>892.76134257670367</c:v>
                </c:pt>
                <c:pt idx="2">
                  <c:v>794.69160087305636</c:v>
                </c:pt>
                <c:pt idx="3">
                  <c:v>793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907264"/>
        <c:axId val="166917248"/>
      </c:barChart>
      <c:catAx>
        <c:axId val="1669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6917248"/>
        <c:crosses val="autoZero"/>
        <c:auto val="1"/>
        <c:lblAlgn val="ctr"/>
        <c:lblOffset val="100"/>
        <c:noMultiLvlLbl val="0"/>
      </c:catAx>
      <c:valAx>
        <c:axId val="16691724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6907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143530544666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Scanpower!$B$61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75652979340337E-6"/>
                  <c:y val="-5.8796296296297857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Scanpower!$C$61:$F$61</c:f>
              <c:numCache>
                <c:formatCode>0.0</c:formatCode>
                <c:ptCount val="4"/>
                <c:pt idx="0">
                  <c:v>100</c:v>
                </c:pt>
                <c:pt idx="1">
                  <c:v>98.851973221972983</c:v>
                </c:pt>
                <c:pt idx="2">
                  <c:v>105.61111197465604</c:v>
                </c:pt>
                <c:pt idx="3">
                  <c:v>110.488324828494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Scanpower!$B$62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28393821881842E-6"/>
                  <c:y val="4.29162037037040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Scanpower!$C$62:$F$62</c:f>
              <c:numCache>
                <c:formatCode>0.0</c:formatCode>
                <c:ptCount val="4"/>
                <c:pt idx="0">
                  <c:v>100</c:v>
                </c:pt>
                <c:pt idx="1">
                  <c:v>92.385757986691459</c:v>
                </c:pt>
                <c:pt idx="2">
                  <c:v>85.56350670413886</c:v>
                </c:pt>
                <c:pt idx="3">
                  <c:v>100.27663209361172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Scanpower!$B$63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070984554705866E-6"/>
                  <c:y val="-1.763981481481481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Scanpower!$C$63:$F$63</c:f>
              <c:numCache>
                <c:formatCode>0.0</c:formatCode>
                <c:ptCount val="4"/>
                <c:pt idx="0">
                  <c:v>100</c:v>
                </c:pt>
                <c:pt idx="1">
                  <c:v>85.477942230137742</c:v>
                </c:pt>
                <c:pt idx="2">
                  <c:v>96.824103318304907</c:v>
                </c:pt>
                <c:pt idx="3">
                  <c:v>102.1942027775071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Scanpower!$B$64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Scanpower!$C$64:$F$64</c:f>
              <c:numCache>
                <c:formatCode>0.0</c:formatCode>
                <c:ptCount val="4"/>
                <c:pt idx="0">
                  <c:v>100</c:v>
                </c:pt>
                <c:pt idx="1">
                  <c:v>71.945150429792136</c:v>
                </c:pt>
                <c:pt idx="2">
                  <c:v>64.041983051245438</c:v>
                </c:pt>
                <c:pt idx="3">
                  <c:v>63.905661647668587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82400"/>
        <c:axId val="166983936"/>
      </c:lineChart>
      <c:catAx>
        <c:axId val="16698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6983936"/>
        <c:crosses val="autoZero"/>
        <c:auto val="1"/>
        <c:lblAlgn val="ctr"/>
        <c:lblOffset val="100"/>
        <c:noMultiLvlLbl val="0"/>
      </c:catAx>
      <c:valAx>
        <c:axId val="166983936"/>
        <c:scaling>
          <c:orientation val="minMax"/>
          <c:max val="140"/>
          <c:min val="6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6982400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460351024323177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Scanpower!$B$84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354918846777024E-3"/>
                  <c:y val="-2.8059872484559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Scanpower!$C$84:$F$84</c:f>
              <c:numCache>
                <c:formatCode>0.00</c:formatCode>
                <c:ptCount val="4"/>
                <c:pt idx="0">
                  <c:v>8.5129452070712741</c:v>
                </c:pt>
                <c:pt idx="1">
                  <c:v>8.3611842830392664</c:v>
                </c:pt>
                <c:pt idx="2">
                  <c:v>8.6397487609254</c:v>
                </c:pt>
                <c:pt idx="3">
                  <c:v>9.1547495270074482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Scanpower!$B$85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89310829817164E-3"/>
                  <c:y val="3.527744570631659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Scanpower!$C$85:$F$85</c:f>
              <c:numCache>
                <c:formatCode>0.00</c:formatCode>
                <c:ptCount val="4"/>
                <c:pt idx="0">
                  <c:v>5.5058181393206116</c:v>
                </c:pt>
                <c:pt idx="1">
                  <c:v>5.3917129108849764</c:v>
                </c:pt>
                <c:pt idx="2">
                  <c:v>5.0415044936649984</c:v>
                </c:pt>
                <c:pt idx="3">
                  <c:v>5.8436815193571956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Scanpower!$B$86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13218553147734E-3"/>
                  <c:y val="-2.8505678421996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Scanpower!$C$86:$F$86</c:f>
              <c:numCache>
                <c:formatCode>0.00</c:formatCode>
                <c:ptCount val="4"/>
                <c:pt idx="0">
                  <c:v>6.4105598477073453</c:v>
                </c:pt>
                <c:pt idx="1">
                  <c:v>5.8690040190179555</c:v>
                </c:pt>
                <c:pt idx="2">
                  <c:v>6.0652381780739821</c:v>
                </c:pt>
                <c:pt idx="3">
                  <c:v>6.330645161290323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Scanpower!$B$87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98312236286917E-3"/>
                  <c:y val="2.80593743773660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Scanpower!$C$87:$F$87</c:f>
              <c:numCache>
                <c:formatCode>0.00</c:formatCode>
                <c:ptCount val="4"/>
                <c:pt idx="0">
                  <c:v>4.6852619213021018</c:v>
                </c:pt>
                <c:pt idx="1">
                  <c:v>5.1922841838821903</c:v>
                </c:pt>
                <c:pt idx="2">
                  <c:v>4.5713966916305591</c:v>
                </c:pt>
                <c:pt idx="3">
                  <c:v>4.8356607110189644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67776"/>
        <c:axId val="166669312"/>
      </c:lineChart>
      <c:catAx>
        <c:axId val="16666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6669312"/>
        <c:crosses val="autoZero"/>
        <c:auto val="1"/>
        <c:lblAlgn val="ctr"/>
        <c:lblOffset val="100"/>
        <c:noMultiLvlLbl val="0"/>
      </c:catAx>
      <c:valAx>
        <c:axId val="16666931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6667776"/>
        <c:crosses val="autoZero"/>
        <c:crossBetween val="midCat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721E-2"/>
          <c:y val="5.8338380979806134E-2"/>
          <c:w val="0.8033586279718756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Scanpower!$B$90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-2.753536561068022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Scanpower!$C$90:$F$90</c:f>
              <c:numCache>
                <c:formatCode>0.0</c:formatCode>
                <c:ptCount val="4"/>
                <c:pt idx="0">
                  <c:v>100</c:v>
                </c:pt>
                <c:pt idx="1">
                  <c:v>98.217292366618921</c:v>
                </c:pt>
                <c:pt idx="2">
                  <c:v>101.48953800088829</c:v>
                </c:pt>
                <c:pt idx="3">
                  <c:v>107.53915718150118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Scanpower!$B$91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4372068629340671"/>
                  <c:y val="0.33207411835027711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Scanpower!$C$91:$F$91</c:f>
              <c:numCache>
                <c:formatCode>0.0</c:formatCode>
                <c:ptCount val="4"/>
                <c:pt idx="0">
                  <c:v>100</c:v>
                </c:pt>
                <c:pt idx="1">
                  <c:v>97.927551808863129</c:v>
                </c:pt>
                <c:pt idx="2">
                  <c:v>91.566854663439585</c:v>
                </c:pt>
                <c:pt idx="3">
                  <c:v>106.13647911149995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Scanpower!$B$92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200616792511424E-3"/>
                  <c:y val="2.850518031480375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Scanpower!$C$92:$F$92</c:f>
              <c:numCache>
                <c:formatCode>0.0</c:formatCode>
                <c:ptCount val="4"/>
                <c:pt idx="0">
                  <c:v>100</c:v>
                </c:pt>
                <c:pt idx="1">
                  <c:v>91.552128962916228</c:v>
                </c:pt>
                <c:pt idx="2">
                  <c:v>94.61323694284107</c:v>
                </c:pt>
                <c:pt idx="3">
                  <c:v>98.753389901732163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Scanpower!$B$93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2.798166965531021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Scanpower!$C$93:$F$93</c:f>
              <c:numCache>
                <c:formatCode>0.0</c:formatCode>
                <c:ptCount val="4"/>
                <c:pt idx="0">
                  <c:v>100</c:v>
                </c:pt>
                <c:pt idx="1">
                  <c:v>110.82164180138685</c:v>
                </c:pt>
                <c:pt idx="2">
                  <c:v>97.569714744146083</c:v>
                </c:pt>
                <c:pt idx="3">
                  <c:v>103.21004016943122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13600"/>
        <c:axId val="140283904"/>
      </c:lineChart>
      <c:catAx>
        <c:axId val="16671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0283904"/>
        <c:crosses val="autoZero"/>
        <c:auto val="1"/>
        <c:lblAlgn val="ctr"/>
        <c:lblOffset val="100"/>
        <c:noMultiLvlLbl val="0"/>
      </c:catAx>
      <c:valAx>
        <c:axId val="140283904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671360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245"/>
          <c:w val="0.89745624999998508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Buller!$B$40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Buller!$C$39:$F$39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Buller!$C$40:$F$40</c:f>
              <c:numCache>
                <c:formatCode>0</c:formatCode>
                <c:ptCount val="4"/>
                <c:pt idx="0">
                  <c:v>5996.3850474751216</c:v>
                </c:pt>
                <c:pt idx="1">
                  <c:v>4865.5493170430354</c:v>
                </c:pt>
                <c:pt idx="2">
                  <c:v>5465.0330090808648</c:v>
                </c:pt>
                <c:pt idx="3">
                  <c:v>6200.4471999999996</c:v>
                </c:pt>
              </c:numCache>
            </c:numRef>
          </c:val>
        </c:ser>
        <c:ser>
          <c:idx val="1"/>
          <c:order val="1"/>
          <c:tx>
            <c:strRef>
              <c:f>Buller!$B$41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Buller!$C$39:$F$39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Buller!$C$41:$F$41</c:f>
              <c:numCache>
                <c:formatCode>0</c:formatCode>
                <c:ptCount val="4"/>
                <c:pt idx="0">
                  <c:v>546.59604801687999</c:v>
                </c:pt>
                <c:pt idx="1">
                  <c:v>444.30448211956883</c:v>
                </c:pt>
                <c:pt idx="2">
                  <c:v>1077.9278381072995</c:v>
                </c:pt>
                <c:pt idx="3">
                  <c:v>325.79676999999998</c:v>
                </c:pt>
              </c:numCache>
            </c:numRef>
          </c:val>
        </c:ser>
        <c:ser>
          <c:idx val="3"/>
          <c:order val="2"/>
          <c:tx>
            <c:strRef>
              <c:f>Buller!$B$42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Buller!$C$39:$F$39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Buller!$C$42:$F$42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6257920"/>
        <c:axId val="116259456"/>
      </c:barChart>
      <c:catAx>
        <c:axId val="11625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6259456"/>
        <c:crosses val="autoZero"/>
        <c:auto val="1"/>
        <c:lblAlgn val="ctr"/>
        <c:lblOffset val="100"/>
        <c:noMultiLvlLbl val="0"/>
      </c:catAx>
      <c:valAx>
        <c:axId val="11625945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6257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4042"/>
          <c:h val="0.21171296296296757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 orientation="portrait"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393292516689997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Scanpower!$B$120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0420862289160472"/>
                  <c:y val="-4.115833333333333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Scanpower!$C$120:$F$120</c:f>
              <c:numCache>
                <c:formatCode>0.0</c:formatCode>
                <c:ptCount val="4"/>
                <c:pt idx="0">
                  <c:v>100</c:v>
                </c:pt>
                <c:pt idx="1">
                  <c:v>100.6462007250057</c:v>
                </c:pt>
                <c:pt idx="2">
                  <c:v>104.06108260511706</c:v>
                </c:pt>
                <c:pt idx="3">
                  <c:v>102.74241283295098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Scanpower!$B$121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801338294663E-3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Scanpower!$C$121:$F$121</c:f>
              <c:numCache>
                <c:formatCode>0.0</c:formatCode>
                <c:ptCount val="4"/>
                <c:pt idx="0">
                  <c:v>100</c:v>
                </c:pt>
                <c:pt idx="1">
                  <c:v>94.340924775707379</c:v>
                </c:pt>
                <c:pt idx="2">
                  <c:v>93.443754313319531</c:v>
                </c:pt>
                <c:pt idx="3">
                  <c:v>94.478951000690131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Scanpower!$B$122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9539855332818882"/>
                  <c:y val="4.703703703703853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Scanpower!$C$122:$F$122</c:f>
              <c:numCache>
                <c:formatCode>0.0</c:formatCode>
                <c:ptCount val="4"/>
                <c:pt idx="0">
                  <c:v>100</c:v>
                </c:pt>
                <c:pt idx="1">
                  <c:v>93.365324431462554</c:v>
                </c:pt>
                <c:pt idx="2">
                  <c:v>102.33674108074275</c:v>
                </c:pt>
                <c:pt idx="3">
                  <c:v>103.48424786146464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Scanpower!$B$123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243122740617068E-6"/>
                  <c:y val="-2.939861111111110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700" baseline="0"/>
                      <a:t> 5</a:t>
                    </a:r>
                    <a:endParaRPr lang="en-US" sz="80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Scanpower!$C$123:$F$123</c:f>
              <c:numCache>
                <c:formatCode>0.0</c:formatCode>
                <c:ptCount val="4"/>
                <c:pt idx="0">
                  <c:v>100</c:v>
                </c:pt>
                <c:pt idx="1">
                  <c:v>64.919765905229383</c:v>
                </c:pt>
                <c:pt idx="2">
                  <c:v>65.637153105531425</c:v>
                </c:pt>
                <c:pt idx="3">
                  <c:v>61.91806683028129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307456"/>
        <c:axId val="140321536"/>
      </c:lineChart>
      <c:catAx>
        <c:axId val="1403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0321536"/>
        <c:crosses val="autoZero"/>
        <c:auto val="1"/>
        <c:lblAlgn val="ctr"/>
        <c:lblOffset val="100"/>
        <c:noMultiLvlLbl val="0"/>
      </c:catAx>
      <c:valAx>
        <c:axId val="140321536"/>
        <c:scaling>
          <c:orientation val="minMax"/>
          <c:max val="14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0307456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632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Scanpower!$B$113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Scanpower!$C$112:$F$112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Scanpower!$C$113:$F$113</c:f>
              <c:numCache>
                <c:formatCode>General</c:formatCode>
                <c:ptCount val="4"/>
                <c:pt idx="0">
                  <c:v>57103</c:v>
                </c:pt>
                <c:pt idx="1">
                  <c:v>57472</c:v>
                </c:pt>
                <c:pt idx="2">
                  <c:v>59422</c:v>
                </c:pt>
                <c:pt idx="3">
                  <c:v>58669</c:v>
                </c:pt>
              </c:numCache>
            </c:numRef>
          </c:val>
        </c:ser>
        <c:ser>
          <c:idx val="1"/>
          <c:order val="1"/>
          <c:tx>
            <c:strRef>
              <c:f>Scanpower!$B$114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Scanpower!$C$112:$F$112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Scanpower!$C$114:$F$114</c:f>
              <c:numCache>
                <c:formatCode>General</c:formatCode>
                <c:ptCount val="4"/>
                <c:pt idx="0">
                  <c:v>1449</c:v>
                </c:pt>
                <c:pt idx="1">
                  <c:v>1367</c:v>
                </c:pt>
                <c:pt idx="2">
                  <c:v>1354</c:v>
                </c:pt>
                <c:pt idx="3">
                  <c:v>1369</c:v>
                </c:pt>
              </c:numCache>
            </c:numRef>
          </c:val>
        </c:ser>
        <c:ser>
          <c:idx val="2"/>
          <c:order val="2"/>
          <c:tx>
            <c:strRef>
              <c:f>Scanpower!$B$115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Scanpower!$C$112:$F$112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Scanpower!$C$115:$F$115</c:f>
              <c:numCache>
                <c:formatCode>General</c:formatCode>
                <c:ptCount val="4"/>
                <c:pt idx="0">
                  <c:v>4793</c:v>
                </c:pt>
                <c:pt idx="1">
                  <c:v>4475</c:v>
                </c:pt>
                <c:pt idx="2">
                  <c:v>4905</c:v>
                </c:pt>
                <c:pt idx="3">
                  <c:v>4960</c:v>
                </c:pt>
              </c:numCache>
            </c:numRef>
          </c:val>
        </c:ser>
        <c:ser>
          <c:idx val="3"/>
          <c:order val="3"/>
          <c:tx>
            <c:strRef>
              <c:f>Scanpower!$B$116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Scanpower!$C$112:$F$112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Scanpower!$C$116:$F$116</c:f>
              <c:numCache>
                <c:formatCode>General</c:formatCode>
                <c:ptCount val="4"/>
                <c:pt idx="0">
                  <c:v>26485</c:v>
                </c:pt>
                <c:pt idx="1">
                  <c:v>17194</c:v>
                </c:pt>
                <c:pt idx="2">
                  <c:v>17384</c:v>
                </c:pt>
                <c:pt idx="3">
                  <c:v>16399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8629888"/>
        <c:axId val="158631424"/>
      </c:barChart>
      <c:catAx>
        <c:axId val="15862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8631424"/>
        <c:crosses val="autoZero"/>
        <c:auto val="1"/>
        <c:lblAlgn val="ctr"/>
        <c:lblOffset val="100"/>
        <c:noMultiLvlLbl val="0"/>
      </c:catAx>
      <c:valAx>
        <c:axId val="15863142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8629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Scanpower!$U$138:$U$144</c:f>
              <c:strCache>
                <c:ptCount val="7"/>
                <c:pt idx="0">
                  <c:v>General management, admin and overheads</c:v>
                </c:pt>
                <c:pt idx="1">
                  <c:v>Refurbishment and renewal maintenance</c:v>
                </c:pt>
                <c:pt idx="2">
                  <c:v>Fault and emergency maintenance</c:v>
                </c:pt>
                <c:pt idx="3">
                  <c:v>System management and operations</c:v>
                </c:pt>
                <c:pt idx="4">
                  <c:v>Routine and preventative maintenance</c:v>
                </c:pt>
                <c:pt idx="5">
                  <c:v>Other</c:v>
                </c:pt>
                <c:pt idx="6">
                  <c:v>Pass-through costs</c:v>
                </c:pt>
              </c:strCache>
            </c:strRef>
          </c:cat>
          <c:val>
            <c:numRef>
              <c:f>Scanpower!$V$138:$V$144</c:f>
              <c:numCache>
                <c:formatCode>General</c:formatCode>
                <c:ptCount val="7"/>
                <c:pt idx="0">
                  <c:v>822</c:v>
                </c:pt>
                <c:pt idx="1">
                  <c:v>332</c:v>
                </c:pt>
                <c:pt idx="2">
                  <c:v>327</c:v>
                </c:pt>
                <c:pt idx="3">
                  <c:v>207</c:v>
                </c:pt>
                <c:pt idx="4">
                  <c:v>166</c:v>
                </c:pt>
                <c:pt idx="5">
                  <c:v>71</c:v>
                </c:pt>
                <c:pt idx="6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66737408"/>
        <c:axId val="166738944"/>
      </c:barChart>
      <c:catAx>
        <c:axId val="166737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6738944"/>
        <c:crosses val="autoZero"/>
        <c:auto val="1"/>
        <c:lblAlgn val="ctr"/>
        <c:lblOffset val="100"/>
        <c:noMultiLvlLbl val="0"/>
      </c:catAx>
      <c:valAx>
        <c:axId val="166738944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67374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3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Scanpower!$U$186:$U$191</c:f>
              <c:strCache>
                <c:ptCount val="6"/>
                <c:pt idx="0">
                  <c:v>Asset replacement and renewal</c:v>
                </c:pt>
                <c:pt idx="1">
                  <c:v>Reliability, safety and environment</c:v>
                </c:pt>
                <c:pt idx="2">
                  <c:v>System growth</c:v>
                </c:pt>
                <c:pt idx="3">
                  <c:v>Customer connection</c:v>
                </c:pt>
                <c:pt idx="4">
                  <c:v>Non-network capex</c:v>
                </c:pt>
                <c:pt idx="5">
                  <c:v>Asset relocations</c:v>
                </c:pt>
              </c:strCache>
            </c:strRef>
          </c:cat>
          <c:val>
            <c:numRef>
              <c:f>Scanpower!$V$186:$V$191</c:f>
              <c:numCache>
                <c:formatCode>General</c:formatCode>
                <c:ptCount val="6"/>
                <c:pt idx="0">
                  <c:v>1352</c:v>
                </c:pt>
                <c:pt idx="1">
                  <c:v>65</c:v>
                </c:pt>
                <c:pt idx="2">
                  <c:v>39</c:v>
                </c:pt>
                <c:pt idx="3">
                  <c:v>30</c:v>
                </c:pt>
                <c:pt idx="4">
                  <c:v>24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66750848"/>
        <c:axId val="166773120"/>
      </c:barChart>
      <c:catAx>
        <c:axId val="166750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6773120"/>
        <c:crosses val="autoZero"/>
        <c:auto val="1"/>
        <c:lblAlgn val="ctr"/>
        <c:lblOffset val="100"/>
        <c:noMultiLvlLbl val="0"/>
      </c:catAx>
      <c:valAx>
        <c:axId val="166773120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67508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2650572427561286"/>
          <c:h val="0.82404629629630965"/>
        </c:manualLayout>
      </c:layout>
      <c:lineChart>
        <c:grouping val="standard"/>
        <c:varyColors val="0"/>
        <c:ser>
          <c:idx val="0"/>
          <c:order val="0"/>
          <c:tx>
            <c:strRef>
              <c:f>Scanpower!$B$76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Scanpower!$C$76:$F$76</c:f>
              <c:numCache>
                <c:formatCode>0.0</c:formatCode>
                <c:ptCount val="4"/>
                <c:pt idx="0">
                  <c:v>100</c:v>
                </c:pt>
                <c:pt idx="1">
                  <c:v>97.429015910610843</c:v>
                </c:pt>
                <c:pt idx="2">
                  <c:v>104.81445959916316</c:v>
                </c:pt>
                <c:pt idx="3">
                  <c:v>109.63866601585252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Scanpower!$B$77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3990740740740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Scanpower!$C$77:$F$77</c:f>
              <c:numCache>
                <c:formatCode>0.0</c:formatCode>
                <c:ptCount val="4"/>
                <c:pt idx="0">
                  <c:v>100</c:v>
                </c:pt>
                <c:pt idx="1">
                  <c:v>118.78168884003189</c:v>
                </c:pt>
                <c:pt idx="2">
                  <c:v>110.01022290532138</c:v>
                </c:pt>
                <c:pt idx="3">
                  <c:v>128.92709840607225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Scanpower!$B$78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52782407407408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Scanpower!$C$78:$F$78</c:f>
              <c:numCache>
                <c:formatCode>0.0</c:formatCode>
                <c:ptCount val="4"/>
                <c:pt idx="0">
                  <c:v>100</c:v>
                </c:pt>
                <c:pt idx="1">
                  <c:v>71.231618525114797</c:v>
                </c:pt>
                <c:pt idx="2">
                  <c:v>74.480079475619164</c:v>
                </c:pt>
                <c:pt idx="3">
                  <c:v>78.610925213467013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Scanpower!$B$79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115740740740737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Scanpower!$C$79:$F$79</c:f>
              <c:numCache>
                <c:formatCode>0.0</c:formatCode>
                <c:ptCount val="4"/>
                <c:pt idx="0">
                  <c:v>100</c:v>
                </c:pt>
                <c:pt idx="1">
                  <c:v>71.945150429792136</c:v>
                </c:pt>
                <c:pt idx="2">
                  <c:v>64.041983051245438</c:v>
                </c:pt>
                <c:pt idx="3">
                  <c:v>63.905661647668587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48096"/>
        <c:axId val="140174464"/>
      </c:lineChart>
      <c:catAx>
        <c:axId val="14014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40174464"/>
        <c:crosses val="autoZero"/>
        <c:auto val="1"/>
        <c:lblAlgn val="ctr"/>
        <c:lblOffset val="100"/>
        <c:noMultiLvlLbl val="0"/>
      </c:catAx>
      <c:valAx>
        <c:axId val="140174464"/>
        <c:scaling>
          <c:orientation val="minMax"/>
          <c:max val="14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40148096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38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518"/>
          <c:y val="0.16445370370370369"/>
          <c:w val="0.70330041907982355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Scanpower!$B$70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Scanpower!$C$69:$F$69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Scanpower!$C$70:$F$70</c:f>
              <c:numCache>
                <c:formatCode>0</c:formatCode>
                <c:ptCount val="4"/>
                <c:pt idx="0">
                  <c:v>724.46305537912212</c:v>
                </c:pt>
                <c:pt idx="1">
                  <c:v>705.83722549182232</c:v>
                </c:pt>
                <c:pt idx="2">
                  <c:v>759.34203649121298</c:v>
                </c:pt>
                <c:pt idx="3">
                  <c:v>794.29162969535639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71680"/>
        <c:axId val="140073216"/>
      </c:lineChart>
      <c:catAx>
        <c:axId val="14007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073216"/>
        <c:crosses val="autoZero"/>
        <c:auto val="1"/>
        <c:lblAlgn val="ctr"/>
        <c:lblOffset val="100"/>
        <c:noMultiLvlLbl val="0"/>
      </c:catAx>
      <c:valAx>
        <c:axId val="140073216"/>
        <c:scaling>
          <c:orientation val="minMax"/>
          <c:max val="1000"/>
          <c:min val="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007168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203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931"/>
          <c:y val="0.17621296296296807"/>
          <c:w val="0.73692152777777775"/>
          <c:h val="0.57282407407409974"/>
        </c:manualLayout>
      </c:layout>
      <c:lineChart>
        <c:grouping val="standard"/>
        <c:varyColors val="0"/>
        <c:ser>
          <c:idx val="1"/>
          <c:order val="0"/>
          <c:tx>
            <c:strRef>
              <c:f>Scanpower!$B$71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Scanpower!$C$69:$F$69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Scanpower!$C$71:$F$71</c:f>
              <c:numCache>
                <c:formatCode>0</c:formatCode>
                <c:ptCount val="4"/>
                <c:pt idx="0">
                  <c:v>8864.3672043061833</c:v>
                </c:pt>
                <c:pt idx="1">
                  <c:v>10529.245070256804</c:v>
                </c:pt>
                <c:pt idx="2">
                  <c:v>9751.7101206034386</c:v>
                </c:pt>
                <c:pt idx="3">
                  <c:v>11428.571428571429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97792"/>
        <c:axId val="140099584"/>
      </c:lineChart>
      <c:catAx>
        <c:axId val="1400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099584"/>
        <c:crosses val="autoZero"/>
        <c:auto val="1"/>
        <c:lblAlgn val="ctr"/>
        <c:lblOffset val="100"/>
        <c:noMultiLvlLbl val="0"/>
      </c:catAx>
      <c:valAx>
        <c:axId val="140099584"/>
        <c:scaling>
          <c:orientation val="minMax"/>
          <c:max val="14000"/>
          <c:min val="7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0097792"/>
        <c:crosses val="autoZero"/>
        <c:crossBetween val="midCat"/>
        <c:majorUnit val="14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9005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Scanpower!$B$72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Scanpower!$C$69:$F$69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Scanpower!$C$72:$F$72</c:f>
              <c:numCache>
                <c:formatCode>0</c:formatCode>
                <c:ptCount val="4"/>
                <c:pt idx="0">
                  <c:v>30725.813350061304</c:v>
                </c:pt>
                <c:pt idx="1">
                  <c:v>21886.494154254462</c:v>
                </c:pt>
                <c:pt idx="2">
                  <c:v>22884.610202656062</c:v>
                </c:pt>
                <c:pt idx="3">
                  <c:v>24153.846153846152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10560"/>
        <c:axId val="140212096"/>
      </c:lineChart>
      <c:catAx>
        <c:axId val="14021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212096"/>
        <c:crosses val="autoZero"/>
        <c:auto val="1"/>
        <c:lblAlgn val="ctr"/>
        <c:lblOffset val="100"/>
        <c:noMultiLvlLbl val="0"/>
      </c:catAx>
      <c:valAx>
        <c:axId val="140212096"/>
        <c:scaling>
          <c:orientation val="minMax"/>
          <c:max val="40000"/>
          <c:min val="2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0210560"/>
        <c:crosses val="autoZero"/>
        <c:crossBetween val="midCat"/>
        <c:maj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Scanpower!$B$73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Scanpower!$C$69:$F$69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Scanpower!$C$73:$F$73</c:f>
              <c:numCache>
                <c:formatCode>0</c:formatCode>
                <c:ptCount val="4"/>
                <c:pt idx="0">
                  <c:v>248178.32397137236</c:v>
                </c:pt>
                <c:pt idx="1">
                  <c:v>178552.26851534072</c:v>
                </c:pt>
                <c:pt idx="2">
                  <c:v>158938.32017461129</c:v>
                </c:pt>
                <c:pt idx="3">
                  <c:v>158600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232576"/>
        <c:axId val="140234112"/>
      </c:lineChart>
      <c:catAx>
        <c:axId val="14023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40234112"/>
        <c:crosses val="autoZero"/>
        <c:auto val="1"/>
        <c:lblAlgn val="ctr"/>
        <c:lblOffset val="100"/>
        <c:noMultiLvlLbl val="0"/>
      </c:catAx>
      <c:valAx>
        <c:axId val="140234112"/>
        <c:scaling>
          <c:orientation val="minMax"/>
          <c:max val="280000"/>
          <c:min val="14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40232576"/>
        <c:crosses val="autoZero"/>
        <c:crossBetween val="midCat"/>
        <c:majorUnit val="2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4"/>
          <c:y val="6.4675925925925928E-2"/>
          <c:w val="0.80486462046778562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Scanpower!$B$105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1631162507608E-4"/>
                  <c:y val="-2.939861111111110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Scanpower!$C$105:$F$105</c:f>
              <c:numCache>
                <c:formatCode>0.0</c:formatCode>
                <c:ptCount val="4"/>
                <c:pt idx="0">
                  <c:v>100</c:v>
                </c:pt>
                <c:pt idx="1">
                  <c:v>101.46050670640834</c:v>
                </c:pt>
                <c:pt idx="2">
                  <c:v>100.76005961251863</c:v>
                </c:pt>
                <c:pt idx="3">
                  <c:v>100.77496274217586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Scanpower!$B$106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20764316146422329"/>
                  <c:y val="-3.16421296296300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Scanpower!$C$106:$F$106</c:f>
              <c:numCache>
                <c:formatCode>0.0</c:formatCode>
                <c:ptCount val="4"/>
                <c:pt idx="0">
                  <c:v>100</c:v>
                </c:pt>
                <c:pt idx="1">
                  <c:v>77.777777777777786</c:v>
                </c:pt>
                <c:pt idx="2">
                  <c:v>77.777777777777786</c:v>
                </c:pt>
                <c:pt idx="3">
                  <c:v>77.777777777777786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Scanpower!$B$107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687940179117542E-5"/>
                  <c:y val="-2.937037037037078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Scanpower!$C$107:$F$107</c:f>
              <c:numCache>
                <c:formatCode>0.0</c:formatCode>
                <c:ptCount val="4"/>
                <c:pt idx="0">
                  <c:v>100</c:v>
                </c:pt>
                <c:pt idx="1">
                  <c:v>120</c:v>
                </c:pt>
                <c:pt idx="2">
                  <c:v>130</c:v>
                </c:pt>
                <c:pt idx="3">
                  <c:v>130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72384"/>
        <c:axId val="167873920"/>
      </c:lineChart>
      <c:catAx>
        <c:axId val="16787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7873920"/>
        <c:crosses val="autoZero"/>
        <c:auto val="1"/>
        <c:lblAlgn val="ctr"/>
        <c:lblOffset val="100"/>
        <c:noMultiLvlLbl val="0"/>
      </c:catAx>
      <c:valAx>
        <c:axId val="167873920"/>
        <c:scaling>
          <c:orientation val="minMax"/>
          <c:max val="14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7872384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133E-2"/>
          <c:y val="9.9262962962965245E-2"/>
          <c:w val="0.78880302404607161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Buller!$B$46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0570630841154427E-5"/>
                  <c:y val="-5.8901427464267506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Buller!$C$46:$F$46</c:f>
              <c:numCache>
                <c:formatCode>0.0</c:formatCode>
                <c:ptCount val="4"/>
                <c:pt idx="0">
                  <c:v>100</c:v>
                </c:pt>
                <c:pt idx="1">
                  <c:v>81.141375654182795</c:v>
                </c:pt>
                <c:pt idx="2">
                  <c:v>91.138793886860356</c:v>
                </c:pt>
                <c:pt idx="3">
                  <c:v>103.40308620792793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Buller!$C$45:$F$45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Buller!$C$47:$F$47</c:f>
              <c:numCache>
                <c:formatCode>0.0</c:formatCode>
                <c:ptCount val="4"/>
                <c:pt idx="0">
                  <c:v>100</c:v>
                </c:pt>
                <c:pt idx="1">
                  <c:v>81.285710669069417</c:v>
                </c:pt>
                <c:pt idx="2">
                  <c:v>197.20739694664073</c:v>
                </c:pt>
                <c:pt idx="3">
                  <c:v>59.604669880441342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18848"/>
        <c:axId val="118720384"/>
      </c:lineChart>
      <c:catAx>
        <c:axId val="1187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8720384"/>
        <c:crossesAt val="0"/>
        <c:auto val="1"/>
        <c:lblAlgn val="ctr"/>
        <c:lblOffset val="100"/>
        <c:noMultiLvlLbl val="0"/>
      </c:catAx>
      <c:valAx>
        <c:axId val="118720384"/>
        <c:scaling>
          <c:orientation val="minMax"/>
          <c:max val="200"/>
          <c:min val="4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8718848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 orientation="portrait"/>
  </c:printSettings>
  <c:userShapes r:id="rId1"/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0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Scanpower!$B$98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Scanpower!$C$97:$F$97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Scanpower!$C$98:$F$98</c:f>
              <c:numCache>
                <c:formatCode>General</c:formatCode>
                <c:ptCount val="4"/>
                <c:pt idx="0">
                  <c:v>6710</c:v>
                </c:pt>
                <c:pt idx="1">
                  <c:v>6808</c:v>
                </c:pt>
                <c:pt idx="2">
                  <c:v>6761</c:v>
                </c:pt>
                <c:pt idx="3">
                  <c:v>6762</c:v>
                </c:pt>
              </c:numCache>
            </c:numRef>
          </c:val>
        </c:ser>
        <c:ser>
          <c:idx val="1"/>
          <c:order val="1"/>
          <c:tx>
            <c:strRef>
              <c:f>Scanpower!$B$99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Scanpower!$C$97:$F$97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Scanpower!$C$99:$F$99</c:f>
              <c:numCache>
                <c:formatCode>General</c:formatCode>
                <c:ptCount val="4"/>
                <c:pt idx="0">
                  <c:v>9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</c:numCache>
            </c:numRef>
          </c:val>
        </c:ser>
        <c:ser>
          <c:idx val="2"/>
          <c:order val="2"/>
          <c:tx>
            <c:strRef>
              <c:f>Scanpower!$B$100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Scanpower!$C$97:$F$97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Scanpower!$C$100:$F$100</c:f>
              <c:numCache>
                <c:formatCode>General</c:formatCode>
                <c:ptCount val="4"/>
                <c:pt idx="0">
                  <c:v>10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941632"/>
        <c:axId val="167943168"/>
      </c:barChart>
      <c:catAx>
        <c:axId val="16794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7943168"/>
        <c:crosses val="autoZero"/>
        <c:auto val="1"/>
        <c:lblAlgn val="ctr"/>
        <c:lblOffset val="100"/>
        <c:noMultiLvlLbl val="0"/>
      </c:catAx>
      <c:valAx>
        <c:axId val="167943168"/>
        <c:scaling>
          <c:orientation val="minMax"/>
          <c:max val="7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7941632"/>
        <c:crosses val="autoZero"/>
        <c:crossBetween val="between"/>
        <c:majorUnit val="1000"/>
      </c:valAx>
    </c:plotArea>
    <c:legend>
      <c:legendPos val="t"/>
      <c:layout>
        <c:manualLayout>
          <c:xMode val="edge"/>
          <c:yMode val="edge"/>
          <c:x val="0"/>
          <c:y val="3.5277777777779573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Scanpower!$B$209</c:f>
              <c:strCache>
                <c:ptCount val="1"/>
                <c:pt idx="0">
                  <c:v>Scanpower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Scanpower!$C$204:$F$204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Scanpower!$C$209:$F$209</c:f>
              <c:numCache>
                <c:formatCode>_(* #,##0.00_);_(* \(#,##0.00\);_(* "-"??_);_(@_)</c:formatCode>
                <c:ptCount val="4"/>
                <c:pt idx="0">
                  <c:v>17006.188108546889</c:v>
                </c:pt>
                <c:pt idx="1">
                  <c:v>10521.751637892845</c:v>
                </c:pt>
                <c:pt idx="2">
                  <c:v>13761.912993370488</c:v>
                </c:pt>
                <c:pt idx="3">
                  <c:v>18551.052250082928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Scanpower!$B$210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Scanpower!$C$204:$F$204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990016"/>
        <c:axId val="167991552"/>
      </c:lineChart>
      <c:catAx>
        <c:axId val="1679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7991552"/>
        <c:crosses val="autoZero"/>
        <c:auto val="1"/>
        <c:lblAlgn val="ctr"/>
        <c:lblOffset val="100"/>
        <c:noMultiLvlLbl val="0"/>
      </c:catAx>
      <c:valAx>
        <c:axId val="167991552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7990016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40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Scanpower!$C$204:$F$204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Scanpower!$C$212:$F$212</c:f>
              <c:numCache>
                <c:formatCode>_(* #,##0.00_);_(* \(#,##0.00\);_(* "-"??_);_(@_)</c:formatCode>
                <c:ptCount val="4"/>
                <c:pt idx="0">
                  <c:v>5.4445688331824067E-2</c:v>
                </c:pt>
                <c:pt idx="1">
                  <c:v>3.0648803622448203E-2</c:v>
                </c:pt>
                <c:pt idx="2">
                  <c:v>4.1214809825610668E-2</c:v>
                </c:pt>
                <c:pt idx="3">
                  <c:v>4.5890996180471121E-2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444588449208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Scanpower!$C$204:$F$204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26880"/>
        <c:axId val="168028416"/>
      </c:lineChart>
      <c:catAx>
        <c:axId val="1680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8028416"/>
        <c:crosses val="autoZero"/>
        <c:auto val="1"/>
        <c:lblAlgn val="ctr"/>
        <c:lblOffset val="100"/>
        <c:noMultiLvlLbl val="0"/>
      </c:catAx>
      <c:valAx>
        <c:axId val="168028416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8026880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68"/>
          <c:w val="0.79809047321242665"/>
          <c:h val="0.72979551178440483"/>
        </c:manualLayout>
      </c:layout>
      <c:lineChart>
        <c:grouping val="standard"/>
        <c:varyColors val="0"/>
        <c:ser>
          <c:idx val="0"/>
          <c:order val="0"/>
          <c:tx>
            <c:strRef>
              <c:f>Scanpower!$B$206</c:f>
              <c:strCache>
                <c:ptCount val="1"/>
                <c:pt idx="0">
                  <c:v>Scanpower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Scanpower!$C$204:$F$204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Scanpower!$C$206:$F$206</c:f>
              <c:numCache>
                <c:formatCode>_(* #,##0.00_);_(* \(#,##0.00\);_(* "-"??_);_(@_)</c:formatCode>
                <c:ptCount val="4"/>
                <c:pt idx="0">
                  <c:v>226.85860971053864</c:v>
                </c:pt>
                <c:pt idx="1">
                  <c:v>123.98787776104757</c:v>
                </c:pt>
                <c:pt idx="2">
                  <c:v>168.45465705781308</c:v>
                </c:pt>
                <c:pt idx="3">
                  <c:v>222.48416089583029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Scanpower!$B$207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5988850572340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Scanpower!$C$204:$F$204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18624"/>
        <c:axId val="168220160"/>
      </c:lineChart>
      <c:catAx>
        <c:axId val="16821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8220160"/>
        <c:crosses val="autoZero"/>
        <c:auto val="1"/>
        <c:lblAlgn val="ctr"/>
        <c:lblOffset val="100"/>
        <c:noMultiLvlLbl val="0"/>
      </c:catAx>
      <c:valAx>
        <c:axId val="168220160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8218624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309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Scanpower!$B$162</c:f>
              <c:strCache>
                <c:ptCount val="1"/>
                <c:pt idx="0">
                  <c:v>Scanpower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Scanpower!$C$160:$F$160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Scanpower!$C$162:$F$162</c:f>
              <c:numCache>
                <c:formatCode>_(* #,##0.00_);_(* \(#,##0.00\);_(* "-"??_);_(@_)</c:formatCode>
                <c:ptCount val="4"/>
                <c:pt idx="0">
                  <c:v>296.82135667137516</c:v>
                </c:pt>
                <c:pt idx="1">
                  <c:v>279.88440053412944</c:v>
                </c:pt>
                <c:pt idx="2">
                  <c:v>273.10073189675751</c:v>
                </c:pt>
                <c:pt idx="3">
                  <c:v>286.87196110210698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Scanpower!$B$163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81560086751545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Scanpower!$C$160:$F$160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64448"/>
        <c:axId val="168265984"/>
      </c:lineChart>
      <c:catAx>
        <c:axId val="1682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8265984"/>
        <c:crosses val="autoZero"/>
        <c:auto val="1"/>
        <c:lblAlgn val="ctr"/>
        <c:lblOffset val="100"/>
        <c:noMultiLvlLbl val="0"/>
      </c:catAx>
      <c:valAx>
        <c:axId val="168265984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8264448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3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Scanpower!$C$160:$F$160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Scanpower!$C$165:$F$165</c:f>
              <c:numCache>
                <c:formatCode>_(* #,##0.00_);_(* \(#,##0.00\);_(* "-"??_);_(@_)</c:formatCode>
                <c:ptCount val="4"/>
                <c:pt idx="0">
                  <c:v>2263.0515446996142</c:v>
                </c:pt>
                <c:pt idx="1">
                  <c:v>2139.8742426047429</c:v>
                </c:pt>
                <c:pt idx="2">
                  <c:v>2047.2558455115493</c:v>
                </c:pt>
                <c:pt idx="3">
                  <c:v>1873.9172281039462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2340130127319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Scanpower!$C$160:$F$160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83520"/>
        <c:axId val="168326272"/>
      </c:lineChart>
      <c:catAx>
        <c:axId val="16828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326272"/>
        <c:crosses val="autoZero"/>
        <c:auto val="1"/>
        <c:lblAlgn val="ctr"/>
        <c:lblOffset val="100"/>
        <c:noMultiLvlLbl val="0"/>
      </c:catAx>
      <c:valAx>
        <c:axId val="168326272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68283520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26327073267044"/>
          <c:y val="0.13550222222222241"/>
          <c:w val="0.7695508593816110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Scanpower!$B$168</c:f>
              <c:strCache>
                <c:ptCount val="1"/>
                <c:pt idx="0">
                  <c:v>Scanpower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Scanpower!$C$160:$F$160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Scanpower!$C$168:$F$168</c:f>
              <c:numCache>
                <c:formatCode>_(* #,##0.00_);_(* \(#,##0.00\);_(* "-"??_);_(@_)</c:formatCode>
                <c:ptCount val="4"/>
                <c:pt idx="0">
                  <c:v>22.250862916899038</c:v>
                </c:pt>
                <c:pt idx="1">
                  <c:v>23.751307006125757</c:v>
                </c:pt>
                <c:pt idx="2">
                  <c:v>22.31098015591882</c:v>
                </c:pt>
                <c:pt idx="3">
                  <c:v>23.919800484047325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Scanpower!$B$169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815600867515448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Scanpower!$C$160:$F$160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356480"/>
        <c:axId val="168427904"/>
      </c:lineChart>
      <c:catAx>
        <c:axId val="16835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8427904"/>
        <c:crosses val="autoZero"/>
        <c:auto val="1"/>
        <c:lblAlgn val="ctr"/>
        <c:lblOffset val="100"/>
        <c:noMultiLvlLbl val="0"/>
      </c:catAx>
      <c:valAx>
        <c:axId val="168427904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8356480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913"/>
          <c:h val="0.7759916666667012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Scanpower!$B$178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Scanpower!$C$178:$D$178</c:f>
              <c:numCache>
                <c:formatCode>_-* #,##0_-;\-* #,##0_-;_-* "-"??_-;_-@_-</c:formatCode>
                <c:ptCount val="2"/>
                <c:pt idx="0">
                  <c:v>609.26356066934329</c:v>
                </c:pt>
                <c:pt idx="1">
                  <c:v>825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68476032"/>
        <c:axId val="168486016"/>
      </c:barChart>
      <c:lineChart>
        <c:grouping val="standard"/>
        <c:varyColors val="0"/>
        <c:ser>
          <c:idx val="1"/>
          <c:order val="0"/>
          <c:tx>
            <c:strRef>
              <c:f>Scanpower!$B$179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Scanpower!$C$177:$D$177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Scanpower!$C$179:$D$179</c:f>
              <c:numCache>
                <c:formatCode>_-* #,##0_-;\-* #,##0_-;_-* "-"??_-;_-@_-</c:formatCode>
                <c:ptCount val="2"/>
                <c:pt idx="0">
                  <c:v>704.01525154266915</c:v>
                </c:pt>
                <c:pt idx="1">
                  <c:v>731.52380695750571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Scanpower!$B$180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Scanpower!$C$177:$D$177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Scanpower!$C$180:$D$180</c:f>
              <c:numCache>
                <c:formatCode>_-* #,##0_-;\-* #,##0_-;_-* "-"??_-;_-@_-</c:formatCode>
                <c:ptCount val="2"/>
                <c:pt idx="1">
                  <c:v>690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76032"/>
        <c:axId val="168486016"/>
      </c:lineChart>
      <c:catAx>
        <c:axId val="16847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8486016"/>
        <c:crosses val="autoZero"/>
        <c:auto val="1"/>
        <c:lblAlgn val="ctr"/>
        <c:lblOffset val="100"/>
        <c:noMultiLvlLbl val="0"/>
      </c:catAx>
      <c:valAx>
        <c:axId val="16848601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8476032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376"/>
          <c:y val="3.5277777777779608E-2"/>
          <c:w val="0.7717227593675075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Scanpower!$V$177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7.4782045639367009E-2"/>
                  <c:y val="-2.939861111111110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Scanpower!$W$177:$AC$177</c:f>
              <c:numCache>
                <c:formatCode>General</c:formatCode>
                <c:ptCount val="7"/>
                <c:pt idx="0">
                  <c:v>704.01525154266915</c:v>
                </c:pt>
                <c:pt idx="1">
                  <c:v>731.52380695750571</c:v>
                </c:pt>
                <c:pt idx="2">
                  <c:v>762.0888685295464</c:v>
                </c:pt>
                <c:pt idx="3">
                  <c:v>791.63509471585235</c:v>
                </c:pt>
                <c:pt idx="4">
                  <c:v>824.2378270593623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Scanpower!$V$178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1484444444444444"/>
                  <c:y val="-4.11574074074074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Scanpower!$W$178:$AC$178</c:f>
              <c:numCache>
                <c:formatCode>General</c:formatCode>
                <c:ptCount val="7"/>
                <c:pt idx="1">
                  <c:v>690</c:v>
                </c:pt>
                <c:pt idx="2">
                  <c:v>690</c:v>
                </c:pt>
                <c:pt idx="3">
                  <c:v>690</c:v>
                </c:pt>
                <c:pt idx="4">
                  <c:v>690</c:v>
                </c:pt>
                <c:pt idx="5">
                  <c:v>690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Scanpower!$V$179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77777777778694E-5"/>
                  <c:y val="4.115694444444445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Scanpower!$W$179:$AC$179</c:f>
              <c:numCache>
                <c:formatCode>General</c:formatCode>
                <c:ptCount val="7"/>
                <c:pt idx="2">
                  <c:v>674.5675500969619</c:v>
                </c:pt>
                <c:pt idx="3">
                  <c:v>674.5675500969619</c:v>
                </c:pt>
                <c:pt idx="4">
                  <c:v>674.5675500969619</c:v>
                </c:pt>
                <c:pt idx="5">
                  <c:v>674.5675500969619</c:v>
                </c:pt>
                <c:pt idx="6">
                  <c:v>674.5675500969619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Scanpower!$V$176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7.4972916666666722E-2"/>
                  <c:y val="-0.4056949074074073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Scanpower!$C$178:$I$178</c:f>
              <c:numCache>
                <c:formatCode>_-* #,##0_-;\-* #,##0_-;_-* "-"??_-;_-@_-</c:formatCode>
                <c:ptCount val="7"/>
                <c:pt idx="0">
                  <c:v>609.26356066934329</c:v>
                </c:pt>
                <c:pt idx="1">
                  <c:v>825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555648"/>
        <c:axId val="168557184"/>
      </c:lineChart>
      <c:catAx>
        <c:axId val="16855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8557184"/>
        <c:crosses val="autoZero"/>
        <c:auto val="1"/>
        <c:lblAlgn val="ctr"/>
        <c:lblOffset val="100"/>
        <c:noMultiLvlLbl val="0"/>
      </c:catAx>
      <c:valAx>
        <c:axId val="168557184"/>
        <c:scaling>
          <c:orientation val="minMax"/>
          <c:max val="1000"/>
          <c:min val="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8555648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7244"/>
          <c:h val="0.77578287037039195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Scanpower!$B$222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Scanpower!$C$222:$D$222</c:f>
              <c:numCache>
                <c:formatCode>_-* #,##0_-;\-* #,##0_-;_-* "-"??_-;_-@_-</c:formatCode>
                <c:ptCount val="2"/>
                <c:pt idx="0">
                  <c:v>1056.5322950068712</c:v>
                </c:pt>
                <c:pt idx="1">
                  <c:v>1486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68600704"/>
        <c:axId val="168602240"/>
      </c:barChart>
      <c:lineChart>
        <c:grouping val="standard"/>
        <c:varyColors val="0"/>
        <c:ser>
          <c:idx val="1"/>
          <c:order val="0"/>
          <c:tx>
            <c:strRef>
              <c:f>Scanpower!$B$223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Scanpower!$C$221:$D$221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Scanpower!$C$223:$D$223</c:f>
              <c:numCache>
                <c:formatCode>_-* #,##0_-;\-* #,##0_-;_-* "-"??_-;_-@_-</c:formatCode>
                <c:ptCount val="2"/>
                <c:pt idx="0">
                  <c:v>1276.6007383255637</c:v>
                </c:pt>
                <c:pt idx="1">
                  <c:v>1588.3643663603782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Scanpower!$B$224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Scanpower!$C$221:$D$221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Scanpower!$C$224:$D$224</c:f>
              <c:numCache>
                <c:formatCode>_-* #,##0_-;\-* #,##0_-;_-* "-"??_-;_-@_-</c:formatCode>
                <c:ptCount val="2"/>
                <c:pt idx="1">
                  <c:v>1230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00704"/>
        <c:axId val="168602240"/>
      </c:lineChart>
      <c:catAx>
        <c:axId val="16860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68602240"/>
        <c:crosses val="autoZero"/>
        <c:auto val="1"/>
        <c:lblAlgn val="ctr"/>
        <c:lblOffset val="100"/>
        <c:noMultiLvlLbl val="0"/>
      </c:catAx>
      <c:valAx>
        <c:axId val="16860224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8600704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898E-3"/>
          <c:w val="0.90316284722220408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643E-2"/>
          <c:y val="5.1489936964064897E-2"/>
          <c:w val="0.84459131069340276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Alpine!$B$84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219616977948626E-5"/>
                  <c:y val="-4.70372584180118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Alpine!$C$84:$F$84</c:f>
              <c:numCache>
                <c:formatCode>0.00</c:formatCode>
                <c:ptCount val="4"/>
                <c:pt idx="0">
                  <c:v>5.8593072454244588</c:v>
                </c:pt>
                <c:pt idx="1">
                  <c:v>5.2259868204896778</c:v>
                </c:pt>
                <c:pt idx="2">
                  <c:v>6.7773714031653389</c:v>
                </c:pt>
                <c:pt idx="3">
                  <c:v>6.244986651346693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Alpine!$B$85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193798557741445E-5"/>
                  <c:y val="3.527794381350980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Alpine!$C$85:$F$85</c:f>
              <c:numCache>
                <c:formatCode>0.00</c:formatCode>
                <c:ptCount val="4"/>
                <c:pt idx="0">
                  <c:v>5.3376071317941358</c:v>
                </c:pt>
                <c:pt idx="1">
                  <c:v>6.0338394419344255</c:v>
                </c:pt>
                <c:pt idx="2">
                  <c:v>6.0303083229079242</c:v>
                </c:pt>
                <c:pt idx="3">
                  <c:v>6.045405675907026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Alpine!$B$86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655070927428586E-5"/>
                  <c:y val="-4.11576011157601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Alpine!$C$86:$F$86</c:f>
              <c:numCache>
                <c:formatCode>0.00</c:formatCode>
                <c:ptCount val="4"/>
                <c:pt idx="0">
                  <c:v>5.4843736357087618</c:v>
                </c:pt>
                <c:pt idx="1">
                  <c:v>3.1720526059617242</c:v>
                </c:pt>
                <c:pt idx="2">
                  <c:v>3.5703291010940745</c:v>
                </c:pt>
                <c:pt idx="3">
                  <c:v>3.4421250248474187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Alpine!$B$87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9199123827778883E-5"/>
                  <c:y val="3.438533572424785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Alpine!$C$87:$F$87</c:f>
              <c:numCache>
                <c:formatCode>0.00</c:formatCode>
                <c:ptCount val="4"/>
                <c:pt idx="0">
                  <c:v>2.7743619746112973</c:v>
                </c:pt>
                <c:pt idx="1">
                  <c:v>2.0242939572547041</c:v>
                </c:pt>
                <c:pt idx="2">
                  <c:v>2.2512307321027967</c:v>
                </c:pt>
                <c:pt idx="3">
                  <c:v>2.1545333364378267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4192"/>
        <c:axId val="114105728"/>
      </c:lineChart>
      <c:catAx>
        <c:axId val="11410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105728"/>
        <c:crosses val="autoZero"/>
        <c:auto val="1"/>
        <c:lblAlgn val="ctr"/>
        <c:lblOffset val="100"/>
        <c:noMultiLvlLbl val="0"/>
      </c:catAx>
      <c:valAx>
        <c:axId val="11410572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410419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672"/>
          <c:h val="0.702040277777788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Buller!$B$54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Buller!$C$53:$F$53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Buller!$C$54:$F$54</c:f>
              <c:numCache>
                <c:formatCode>0</c:formatCode>
                <c:ptCount val="4"/>
                <c:pt idx="0">
                  <c:v>3508.1332154771744</c:v>
                </c:pt>
                <c:pt idx="1">
                  <c:v>3611.5310590980839</c:v>
                </c:pt>
                <c:pt idx="2">
                  <c:v>3934.7422597073637</c:v>
                </c:pt>
                <c:pt idx="3">
                  <c:v>2865.5581000000002</c:v>
                </c:pt>
              </c:numCache>
            </c:numRef>
          </c:val>
        </c:ser>
        <c:ser>
          <c:idx val="1"/>
          <c:order val="1"/>
          <c:tx>
            <c:strRef>
              <c:f>Buller!$B$55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Buller!$C$53:$F$53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Buller!$C$55:$F$55</c:f>
              <c:numCache>
                <c:formatCode>0</c:formatCode>
                <c:ptCount val="4"/>
                <c:pt idx="0">
                  <c:v>374.10025377092182</c:v>
                </c:pt>
                <c:pt idx="1">
                  <c:v>389.28546914681846</c:v>
                </c:pt>
                <c:pt idx="2">
                  <c:v>470.70194820942572</c:v>
                </c:pt>
                <c:pt idx="3">
                  <c:v>1555.3861999999999</c:v>
                </c:pt>
              </c:numCache>
            </c:numRef>
          </c:val>
        </c:ser>
        <c:ser>
          <c:idx val="2"/>
          <c:order val="2"/>
          <c:tx>
            <c:strRef>
              <c:f>Buller!$B$56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Buller!$C$53:$F$53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Buller!$C$56:$F$56</c:f>
              <c:numCache>
                <c:formatCode>0</c:formatCode>
                <c:ptCount val="4"/>
                <c:pt idx="0">
                  <c:v>210.22924923726154</c:v>
                </c:pt>
                <c:pt idx="1">
                  <c:v>238.76175441004867</c:v>
                </c:pt>
                <c:pt idx="2">
                  <c:v>252.67117566220256</c:v>
                </c:pt>
                <c:pt idx="3">
                  <c:v>257.33213000000001</c:v>
                </c:pt>
              </c:numCache>
            </c:numRef>
          </c:val>
        </c:ser>
        <c:ser>
          <c:idx val="3"/>
          <c:order val="3"/>
          <c:tx>
            <c:strRef>
              <c:f>Buller!$B$57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Buller!$C$53:$F$53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Buller!$C$57:$F$57</c:f>
              <c:numCache>
                <c:formatCode>0</c:formatCode>
                <c:ptCount val="4"/>
                <c:pt idx="0">
                  <c:v>1903.9223289897634</c:v>
                </c:pt>
                <c:pt idx="1">
                  <c:v>625.97103438808415</c:v>
                </c:pt>
                <c:pt idx="2">
                  <c:v>806.91762550187264</c:v>
                </c:pt>
                <c:pt idx="3">
                  <c:v>1522.1706999999999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44960"/>
        <c:axId val="118746496"/>
      </c:barChart>
      <c:catAx>
        <c:axId val="11874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8746496"/>
        <c:crosses val="autoZero"/>
        <c:auto val="1"/>
        <c:lblAlgn val="ctr"/>
        <c:lblOffset val="100"/>
        <c:noMultiLvlLbl val="0"/>
      </c:catAx>
      <c:valAx>
        <c:axId val="1187464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8744960"/>
        <c:crosses val="autoZero"/>
        <c:crossBetween val="between"/>
        <c:majorUnit val="1000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3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 orientation="portrait"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Scanpower!$V$221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2808755164974867"/>
                  <c:y val="-0.3233796296296365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Scanpower!$W$221:$AC$221</c:f>
              <c:numCache>
                <c:formatCode>General</c:formatCode>
                <c:ptCount val="7"/>
                <c:pt idx="0">
                  <c:v>1276.6007383255637</c:v>
                </c:pt>
                <c:pt idx="1">
                  <c:v>1588.3643663603782</c:v>
                </c:pt>
                <c:pt idx="2">
                  <c:v>1155.3593274231359</c:v>
                </c:pt>
                <c:pt idx="3">
                  <c:v>1023.9295626633611</c:v>
                </c:pt>
                <c:pt idx="4">
                  <c:v>1023.9295626633611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Scanpower!$V$222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65802953838750156"/>
                  <c:y val="-6.467592592592592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Scanpower!$W$222:$AC$222</c:f>
              <c:numCache>
                <c:formatCode>General</c:formatCode>
                <c:ptCount val="7"/>
                <c:pt idx="1">
                  <c:v>1230</c:v>
                </c:pt>
                <c:pt idx="2">
                  <c:v>966</c:v>
                </c:pt>
                <c:pt idx="3">
                  <c:v>942</c:v>
                </c:pt>
                <c:pt idx="4">
                  <c:v>1030</c:v>
                </c:pt>
                <c:pt idx="5">
                  <c:v>1022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Scanpower!$V$223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0"/>
                  <c:y val="-4.039814814814812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Scanpower!$W$223:$AC$223</c:f>
              <c:numCache>
                <c:formatCode>General</c:formatCode>
                <c:ptCount val="7"/>
                <c:pt idx="2">
                  <c:v>917.02081447963803</c:v>
                </c:pt>
                <c:pt idx="3">
                  <c:v>980.5670329670329</c:v>
                </c:pt>
                <c:pt idx="4">
                  <c:v>948.30510665804775</c:v>
                </c:pt>
                <c:pt idx="5">
                  <c:v>1035.3145442792502</c:v>
                </c:pt>
                <c:pt idx="6">
                  <c:v>1038.2474466709762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Scanpower!$V$220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7468839370060622E-2"/>
                  <c:y val="2.351835068804484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Scanpower!$W$219:$AC$219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Scanpower!$W$220:$AC$220</c:f>
              <c:numCache>
                <c:formatCode>General</c:formatCode>
                <c:ptCount val="7"/>
                <c:pt idx="0">
                  <c:v>1056.5322950068712</c:v>
                </c:pt>
                <c:pt idx="1">
                  <c:v>1486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917632"/>
        <c:axId val="168628608"/>
      </c:lineChart>
      <c:catAx>
        <c:axId val="16891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8628608"/>
        <c:crosses val="autoZero"/>
        <c:auto val="1"/>
        <c:lblAlgn val="ctr"/>
        <c:lblOffset val="100"/>
        <c:noMultiLvlLbl val="0"/>
      </c:catAx>
      <c:valAx>
        <c:axId val="168628608"/>
        <c:scaling>
          <c:orientation val="minMax"/>
          <c:max val="1600"/>
          <c:min val="8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8917632"/>
        <c:crosses val="autoZero"/>
        <c:crossBetween val="midCat"/>
        <c:majorUnit val="16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28"/>
          <c:y val="6.4675925925925928E-2"/>
          <c:w val="0.82291942570563958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Scanpower!$B$237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5495887607361E-3"/>
                  <c:y val="-3.5277777777778671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Scanpower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Scanpower!$C$236:$F$236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Scanpower!$C$237:$F$237</c:f>
              <c:numCache>
                <c:formatCode>_(* #,##0.00_);_(* \(#,##0.00\);_(* "-"??_);_(@_)</c:formatCode>
                <c:ptCount val="4"/>
                <c:pt idx="0">
                  <c:v>1.2999999999999998</c:v>
                </c:pt>
                <c:pt idx="1">
                  <c:v>0.89</c:v>
                </c:pt>
                <c:pt idx="2">
                  <c:v>0.74</c:v>
                </c:pt>
                <c:pt idx="3">
                  <c:v>1.63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Scanpower!$B$239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-5.879675925925942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Scanpower!$C$236:$F$236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53952"/>
        <c:axId val="168655488"/>
      </c:lineChart>
      <c:catAx>
        <c:axId val="1686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8655488"/>
        <c:crosses val="autoZero"/>
        <c:auto val="1"/>
        <c:lblAlgn val="ctr"/>
        <c:lblOffset val="100"/>
        <c:noMultiLvlLbl val="0"/>
      </c:catAx>
      <c:valAx>
        <c:axId val="168655488"/>
        <c:scaling>
          <c:orientation val="minMax"/>
          <c:max val="4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865395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33"/>
          <c:y val="6.4675925925925928E-2"/>
          <c:w val="0.7964611170337037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Scanpower!$B$230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5495887607361E-3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Scanpower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Scanpower!$C$229:$F$229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Scanpower!$C$230:$F$230</c:f>
              <c:numCache>
                <c:formatCode>_(* #,##0.00_);_(* \(#,##0.00\);_(* "-"??_);_(@_)</c:formatCode>
                <c:ptCount val="4"/>
                <c:pt idx="0">
                  <c:v>58.31</c:v>
                </c:pt>
                <c:pt idx="1">
                  <c:v>35.57</c:v>
                </c:pt>
                <c:pt idx="2">
                  <c:v>65.88</c:v>
                </c:pt>
                <c:pt idx="3">
                  <c:v>103.65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Scanpower!$B$232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-6.46763888888888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Scanpower!$C$229:$F$229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Scanpower!$C$232:$F$232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89024"/>
        <c:axId val="168842368"/>
      </c:lineChart>
      <c:catAx>
        <c:axId val="1686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8842368"/>
        <c:crosses val="autoZero"/>
        <c:auto val="1"/>
        <c:lblAlgn val="ctr"/>
        <c:lblOffset val="100"/>
        <c:noMultiLvlLbl val="0"/>
      </c:catAx>
      <c:valAx>
        <c:axId val="168842368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8689024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TEL!$B$26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0870820465780857"/>
                  <c:y val="-0.4032611216325899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TEL!$C$26:$F$26</c:f>
              <c:numCache>
                <c:formatCode>0</c:formatCode>
                <c:ptCount val="4"/>
                <c:pt idx="0">
                  <c:v>2102.508112115423</c:v>
                </c:pt>
                <c:pt idx="1">
                  <c:v>2135.9834168439829</c:v>
                </c:pt>
                <c:pt idx="2">
                  <c:v>2157.8118401552097</c:v>
                </c:pt>
                <c:pt idx="3">
                  <c:v>2337.7599999999998</c:v>
                </c:pt>
              </c:numCache>
            </c:numRef>
          </c:val>
        </c:ser>
        <c:ser>
          <c:idx val="1"/>
          <c:order val="1"/>
          <c:tx>
            <c:strRef>
              <c:f>TEL!$B$27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1763016379747028"/>
                  <c:y val="-7.839311228146428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TEL!$C$27:$F$27</c:f>
              <c:numCache>
                <c:formatCode>0</c:formatCode>
                <c:ptCount val="4"/>
                <c:pt idx="0">
                  <c:v>745.18183114253941</c:v>
                </c:pt>
                <c:pt idx="1">
                  <c:v>783.13855446495961</c:v>
                </c:pt>
                <c:pt idx="2">
                  <c:v>951.99978443049213</c:v>
                </c:pt>
                <c:pt idx="3">
                  <c:v>955.19999999999982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140608"/>
        <c:axId val="169142144"/>
      </c:areaChart>
      <c:catAx>
        <c:axId val="16914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9142144"/>
        <c:crosses val="autoZero"/>
        <c:auto val="1"/>
        <c:lblAlgn val="ctr"/>
        <c:lblOffset val="100"/>
        <c:noMultiLvlLbl val="0"/>
      </c:catAx>
      <c:valAx>
        <c:axId val="169142144"/>
        <c:scaling>
          <c:orientation val="minMax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9140608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6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TEL!$B$28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TEL!$C$25:$F$25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TEL!$C$28:$F$28</c:f>
              <c:numCache>
                <c:formatCode>0</c:formatCode>
                <c:ptCount val="4"/>
                <c:pt idx="0">
                  <c:v>544.22423084599814</c:v>
                </c:pt>
                <c:pt idx="1">
                  <c:v>578.84154025670932</c:v>
                </c:pt>
                <c:pt idx="2">
                  <c:v>790.6162593301176</c:v>
                </c:pt>
                <c:pt idx="3">
                  <c:v>793.59999999999991</c:v>
                </c:pt>
              </c:numCache>
            </c:numRef>
          </c:val>
        </c:ser>
        <c:ser>
          <c:idx val="1"/>
          <c:order val="1"/>
          <c:tx>
            <c:strRef>
              <c:f>TEL!$B$29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TEL!$C$25:$F$25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TEL!$C$29:$F$29</c:f>
              <c:numCache>
                <c:formatCode>0</c:formatCode>
                <c:ptCount val="4"/>
                <c:pt idx="0">
                  <c:v>200.9576002965413</c:v>
                </c:pt>
                <c:pt idx="1">
                  <c:v>204.29701420825032</c:v>
                </c:pt>
                <c:pt idx="2">
                  <c:v>161.38352510037453</c:v>
                </c:pt>
                <c:pt idx="3">
                  <c:v>161.60000000000002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41216"/>
        <c:axId val="169255296"/>
      </c:barChart>
      <c:catAx>
        <c:axId val="16924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9255296"/>
        <c:crosses val="autoZero"/>
        <c:auto val="1"/>
        <c:lblAlgn val="ctr"/>
        <c:lblOffset val="100"/>
        <c:noMultiLvlLbl val="0"/>
      </c:catAx>
      <c:valAx>
        <c:axId val="169255296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9241216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356"/>
          <c:w val="0.89745624999998286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TEL!$B$40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TEL!$C$39:$F$39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TEL!$C$40:$F$40</c:f>
              <c:numCache>
                <c:formatCode>0</c:formatCode>
                <c:ptCount val="4"/>
                <c:pt idx="0">
                  <c:v>25463.61352684554</c:v>
                </c:pt>
                <c:pt idx="1">
                  <c:v>26480.754753243178</c:v>
                </c:pt>
                <c:pt idx="2">
                  <c:v>27426.029748592056</c:v>
                </c:pt>
                <c:pt idx="3">
                  <c:v>31490</c:v>
                </c:pt>
              </c:numCache>
            </c:numRef>
          </c:val>
        </c:ser>
        <c:ser>
          <c:idx val="1"/>
          <c:order val="1"/>
          <c:tx>
            <c:strRef>
              <c:f>TEL!$B$41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TEL!$C$39:$F$39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TEL!$C$41:$F$41</c:f>
              <c:numCache>
                <c:formatCode>0</c:formatCode>
                <c:ptCount val="4"/>
                <c:pt idx="0">
                  <c:v>2779.3384847880011</c:v>
                </c:pt>
                <c:pt idx="1">
                  <c:v>2767.5601619877816</c:v>
                </c:pt>
                <c:pt idx="2">
                  <c:v>1208.3387674813396</c:v>
                </c:pt>
                <c:pt idx="3">
                  <c:v>1141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305600"/>
        <c:axId val="169307136"/>
      </c:barChart>
      <c:catAx>
        <c:axId val="16930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9307136"/>
        <c:crosses val="autoZero"/>
        <c:auto val="1"/>
        <c:lblAlgn val="ctr"/>
        <c:lblOffset val="100"/>
        <c:noMultiLvlLbl val="0"/>
      </c:catAx>
      <c:valAx>
        <c:axId val="16930713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9305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82"/>
          <c:h val="0.21171296296296843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799E-2"/>
          <c:y val="9.9262962962965245E-2"/>
          <c:w val="0.86941313257319941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TEL!$B$45</c:f>
              <c:strCache>
                <c:ptCount val="1"/>
                <c:pt idx="0">
                  <c:v>Top Energy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5.9359649122807084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TEL!$C$45:$F$45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TEL!$C$46:$F$46</c:f>
              <c:numCache>
                <c:formatCode>0.0</c:formatCode>
                <c:ptCount val="4"/>
                <c:pt idx="0">
                  <c:v>100</c:v>
                </c:pt>
                <c:pt idx="1">
                  <c:v>103.99448894134878</c:v>
                </c:pt>
                <c:pt idx="2">
                  <c:v>107.70674680432765</c:v>
                </c:pt>
                <c:pt idx="3">
                  <c:v>123.66665857067387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TEL!$B$47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TEL!$C$45:$F$45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TEL!$C$47:$F$47</c:f>
              <c:numCache>
                <c:formatCode>0.0</c:formatCode>
                <c:ptCount val="4"/>
                <c:pt idx="0">
                  <c:v>100</c:v>
                </c:pt>
                <c:pt idx="1">
                  <c:v>99.576218482754626</c:v>
                </c:pt>
                <c:pt idx="2">
                  <c:v>43.475768572085514</c:v>
                </c:pt>
                <c:pt idx="3">
                  <c:v>41.052934223196338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63328"/>
        <c:axId val="169364864"/>
      </c:lineChart>
      <c:catAx>
        <c:axId val="16936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9364864"/>
        <c:crossesAt val="0"/>
        <c:auto val="1"/>
        <c:lblAlgn val="ctr"/>
        <c:lblOffset val="100"/>
        <c:noMultiLvlLbl val="0"/>
      </c:catAx>
      <c:valAx>
        <c:axId val="169364864"/>
        <c:scaling>
          <c:orientation val="minMax"/>
          <c:max val="15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9363328"/>
        <c:crosses val="autoZero"/>
        <c:crossBetween val="midCat"/>
        <c:majorUnit val="2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916"/>
          <c:h val="0.702040277777790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TEL!$B$54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TEL!$C$53:$F$53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TEL!$C$54:$F$54</c:f>
              <c:numCache>
                <c:formatCode>0</c:formatCode>
                <c:ptCount val="4"/>
                <c:pt idx="0">
                  <c:v>20458.00119757064</c:v>
                </c:pt>
                <c:pt idx="1">
                  <c:v>21587.145739584044</c:v>
                </c:pt>
                <c:pt idx="2">
                  <c:v>22224.875104416478</c:v>
                </c:pt>
                <c:pt idx="3">
                  <c:v>25763.687999999998</c:v>
                </c:pt>
              </c:numCache>
            </c:numRef>
          </c:val>
        </c:ser>
        <c:ser>
          <c:idx val="1"/>
          <c:order val="1"/>
          <c:tx>
            <c:strRef>
              <c:f>TEL!$B$55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TEL!$C$53:$F$53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TEL!$C$55:$F$55</c:f>
              <c:numCache>
                <c:formatCode>0</c:formatCode>
                <c:ptCount val="4"/>
                <c:pt idx="0">
                  <c:v>2791.1975706424109</c:v>
                </c:pt>
                <c:pt idx="1">
                  <c:v>2825.7142206053941</c:v>
                </c:pt>
                <c:pt idx="2">
                  <c:v>3032.0541079464306</c:v>
                </c:pt>
                <c:pt idx="3">
                  <c:v>2843.6651000000002</c:v>
                </c:pt>
              </c:numCache>
            </c:numRef>
          </c:val>
        </c:ser>
        <c:ser>
          <c:idx val="2"/>
          <c:order val="2"/>
          <c:tx>
            <c:strRef>
              <c:f>TEL!$B$56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TEL!$C$53:$F$53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TEL!$C$56:$F$56</c:f>
              <c:numCache>
                <c:formatCode>0</c:formatCode>
                <c:ptCount val="4"/>
                <c:pt idx="0">
                  <c:v>528.26836987824697</c:v>
                </c:pt>
                <c:pt idx="1">
                  <c:v>496.8113061980917</c:v>
                </c:pt>
                <c:pt idx="2">
                  <c:v>524.70022365336411</c:v>
                </c:pt>
                <c:pt idx="3">
                  <c:v>516.30462</c:v>
                </c:pt>
              </c:numCache>
            </c:numRef>
          </c:val>
        </c:ser>
        <c:ser>
          <c:idx val="3"/>
          <c:order val="3"/>
          <c:tx>
            <c:strRef>
              <c:f>TEL!$B$57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TEL!$C$53:$F$53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TEL!$C$57:$F$57</c:f>
              <c:numCache>
                <c:formatCode>0</c:formatCode>
                <c:ptCount val="4"/>
                <c:pt idx="0">
                  <c:v>1686.1463887542413</c:v>
                </c:pt>
                <c:pt idx="1">
                  <c:v>1571.0834868556519</c:v>
                </c:pt>
                <c:pt idx="2">
                  <c:v>1644.4003125757858</c:v>
                </c:pt>
                <c:pt idx="3">
                  <c:v>2366.3425000000002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393536"/>
        <c:axId val="169485440"/>
      </c:barChart>
      <c:catAx>
        <c:axId val="1693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9485440"/>
        <c:crosses val="autoZero"/>
        <c:auto val="1"/>
        <c:lblAlgn val="ctr"/>
        <c:lblOffset val="100"/>
        <c:noMultiLvlLbl val="0"/>
      </c:catAx>
      <c:valAx>
        <c:axId val="16948544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9393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83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 orientation="portrait"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3640430801223908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TEL!$B$61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0390793879875E-6"/>
                  <c:y val="-3.00170565302144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TEL!$C$61:$F$61</c:f>
              <c:numCache>
                <c:formatCode>0.0</c:formatCode>
                <c:ptCount val="4"/>
                <c:pt idx="0">
                  <c:v>100</c:v>
                </c:pt>
                <c:pt idx="1">
                  <c:v>105.51932972878842</c:v>
                </c:pt>
                <c:pt idx="2">
                  <c:v>108.63659108132056</c:v>
                </c:pt>
                <c:pt idx="3">
                  <c:v>125.93453168366908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37826489671321E-6"/>
                  <c:y val="-5.452685185185210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TEL!$C$62:$F$62</c:f>
              <c:numCache>
                <c:formatCode>0.0</c:formatCode>
                <c:ptCount val="4"/>
                <c:pt idx="0">
                  <c:v>100</c:v>
                </c:pt>
                <c:pt idx="1">
                  <c:v>101.23662510766083</c:v>
                </c:pt>
                <c:pt idx="2">
                  <c:v>108.62914685213721</c:v>
                </c:pt>
                <c:pt idx="3">
                  <c:v>101.87974975005132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TEL!$B$63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1879884923498131E-6"/>
                  <c:y val="3.558625730994154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TEL!$C$63:$F$63</c:f>
              <c:numCache>
                <c:formatCode>0.0</c:formatCode>
                <c:ptCount val="4"/>
                <c:pt idx="0">
                  <c:v>100</c:v>
                </c:pt>
                <c:pt idx="1">
                  <c:v>94.045249446336271</c:v>
                </c:pt>
                <c:pt idx="2">
                  <c:v>99.32455804126505</c:v>
                </c:pt>
                <c:pt idx="3">
                  <c:v>97.735289379334915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TEL!$B$64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382797270955165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TEL!$C$64:$F$64</c:f>
              <c:numCache>
                <c:formatCode>0.0</c:formatCode>
                <c:ptCount val="4"/>
                <c:pt idx="0">
                  <c:v>100</c:v>
                </c:pt>
                <c:pt idx="1">
                  <c:v>93.175983848970546</c:v>
                </c:pt>
                <c:pt idx="2">
                  <c:v>97.524172488410201</c:v>
                </c:pt>
                <c:pt idx="3">
                  <c:v>140.34027625254419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30112"/>
        <c:axId val="169531648"/>
      </c:lineChart>
      <c:catAx>
        <c:axId val="16953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9531648"/>
        <c:crosses val="autoZero"/>
        <c:auto val="1"/>
        <c:lblAlgn val="ctr"/>
        <c:lblOffset val="100"/>
        <c:noMultiLvlLbl val="0"/>
      </c:catAx>
      <c:valAx>
        <c:axId val="169531648"/>
        <c:scaling>
          <c:orientation val="minMax"/>
          <c:max val="141"/>
          <c:min val="9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953011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46035102432311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TEL!$B$84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354918846777024E-3"/>
                  <c:y val="-2.805987248455943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TEL!$C$84:$F$84</c:f>
              <c:numCache>
                <c:formatCode>0.00</c:formatCode>
                <c:ptCount val="4"/>
                <c:pt idx="0">
                  <c:v>9.0510114575811365</c:v>
                </c:pt>
                <c:pt idx="1">
                  <c:v>9.5927385142025265</c:v>
                </c:pt>
                <c:pt idx="2">
                  <c:v>9.5971029775655303</c:v>
                </c:pt>
                <c:pt idx="3">
                  <c:v>11.444050158985561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90609520707183E-3"/>
                  <c:y val="-4.06340904562661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TEL!$C$85:$F$85</c:f>
              <c:numCache>
                <c:formatCode>0.00</c:formatCode>
                <c:ptCount val="4"/>
                <c:pt idx="0">
                  <c:v>7.9796379846262351</c:v>
                </c:pt>
                <c:pt idx="1">
                  <c:v>8.4560625435014867</c:v>
                </c:pt>
                <c:pt idx="2">
                  <c:v>8.8690265537965622</c:v>
                </c:pt>
                <c:pt idx="3">
                  <c:v>9.1533838451044467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TEL!$B$86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13218553147734E-3"/>
                  <c:y val="-2.8505678421996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TEL!$C$86:$F$86</c:f>
              <c:numCache>
                <c:formatCode>0.00</c:formatCode>
                <c:ptCount val="4"/>
                <c:pt idx="0">
                  <c:v>6.1930641251846064</c:v>
                </c:pt>
                <c:pt idx="1">
                  <c:v>6.754283273714794</c:v>
                </c:pt>
                <c:pt idx="2">
                  <c:v>6.7720730982623145</c:v>
                </c:pt>
                <c:pt idx="3">
                  <c:v>7.3692321965339369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TEL!$B$87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99660429540984E-3"/>
                  <c:y val="-2.887427774457132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TEL!$C$87:$F$87</c:f>
              <c:numCache>
                <c:formatCode>0.00</c:formatCode>
                <c:ptCount val="4"/>
                <c:pt idx="0">
                  <c:v>3.1348003063029699</c:v>
                </c:pt>
                <c:pt idx="1">
                  <c:v>2.674742370716706</c:v>
                </c:pt>
                <c:pt idx="2">
                  <c:v>3.0281384659984272</c:v>
                </c:pt>
                <c:pt idx="3">
                  <c:v>3.6864970880420902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04608"/>
        <c:axId val="169606144"/>
      </c:lineChart>
      <c:catAx>
        <c:axId val="16960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9606144"/>
        <c:crosses val="autoZero"/>
        <c:auto val="1"/>
        <c:lblAlgn val="ctr"/>
        <c:lblOffset val="100"/>
        <c:noMultiLvlLbl val="0"/>
      </c:catAx>
      <c:valAx>
        <c:axId val="16960614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9604608"/>
        <c:crosses val="autoZero"/>
        <c:crossBetween val="midCat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79659268305467834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Buller!$B$61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14108216697220771"/>
                  <c:y val="6.467592592592592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Buller!$C$61:$F$61</c:f>
              <c:numCache>
                <c:formatCode>0.0</c:formatCode>
                <c:ptCount val="4"/>
                <c:pt idx="0">
                  <c:v>100</c:v>
                </c:pt>
                <c:pt idx="1">
                  <c:v>102.94737506445706</c:v>
                </c:pt>
                <c:pt idx="2">
                  <c:v>112.16057139301543</c:v>
                </c:pt>
                <c:pt idx="3">
                  <c:v>81.683274949700802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28393821881842E-6"/>
                  <c:y val="-4.11574074074074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Buller!$C$62:$F$62</c:f>
              <c:numCache>
                <c:formatCode>0.0</c:formatCode>
                <c:ptCount val="4"/>
                <c:pt idx="0">
                  <c:v>100</c:v>
                </c:pt>
                <c:pt idx="1">
                  <c:v>104.05912993183779</c:v>
                </c:pt>
                <c:pt idx="2">
                  <c:v>125.82240815523676</c:v>
                </c:pt>
                <c:pt idx="3">
                  <c:v>415.76721328620965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Buller!$B$63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070984554705866E-6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Buller!$C$63:$F$63</c:f>
              <c:numCache>
                <c:formatCode>0.0</c:formatCode>
                <c:ptCount val="4"/>
                <c:pt idx="0">
                  <c:v>100</c:v>
                </c:pt>
                <c:pt idx="1">
                  <c:v>113.5720910750082</c:v>
                </c:pt>
                <c:pt idx="2">
                  <c:v>120.18840222230051</c:v>
                </c:pt>
                <c:pt idx="3">
                  <c:v>122.40548398171696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Buller!$B$64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4247721807640982"/>
                  <c:y val="-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Buller!$C$64:$F$64</c:f>
              <c:numCache>
                <c:formatCode>0.0</c:formatCode>
                <c:ptCount val="4"/>
                <c:pt idx="0">
                  <c:v>100</c:v>
                </c:pt>
                <c:pt idx="1">
                  <c:v>32.877971168090106</c:v>
                </c:pt>
                <c:pt idx="2">
                  <c:v>42.381856298204646</c:v>
                </c:pt>
                <c:pt idx="3">
                  <c:v>79.949201541623609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07552"/>
        <c:axId val="119476992"/>
      </c:lineChart>
      <c:catAx>
        <c:axId val="11880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9476992"/>
        <c:crosses val="autoZero"/>
        <c:auto val="1"/>
        <c:lblAlgn val="ctr"/>
        <c:lblOffset val="100"/>
        <c:noMultiLvlLbl val="0"/>
      </c:catAx>
      <c:valAx>
        <c:axId val="119476992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880755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513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TEL!$B$90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-2.753536561068040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TEL!$C$90:$F$90</c:f>
              <c:numCache>
                <c:formatCode>0.0</c:formatCode>
                <c:ptCount val="4"/>
                <c:pt idx="0">
                  <c:v>100</c:v>
                </c:pt>
                <c:pt idx="1">
                  <c:v>105.98526539448405</c:v>
                </c:pt>
                <c:pt idx="2">
                  <c:v>106.0334861196865</c:v>
                </c:pt>
                <c:pt idx="3">
                  <c:v>126.43946162945153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5036252654544E-3"/>
                  <c:y val="3.475393504682208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TEL!$C$91:$F$91</c:f>
              <c:numCache>
                <c:formatCode>0.0</c:formatCode>
                <c:ptCount val="4"/>
                <c:pt idx="0">
                  <c:v>100</c:v>
                </c:pt>
                <c:pt idx="1">
                  <c:v>105.9705034212472</c:v>
                </c:pt>
                <c:pt idx="2">
                  <c:v>111.14572579462683</c:v>
                </c:pt>
                <c:pt idx="3">
                  <c:v>114.70926203343535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TEL!$B$92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199260519208582E-3"/>
                  <c:y val="-2.21020123530583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TEL!$C$92:$F$92</c:f>
              <c:numCache>
                <c:formatCode>0.0</c:formatCode>
                <c:ptCount val="4"/>
                <c:pt idx="0">
                  <c:v>100</c:v>
                </c:pt>
                <c:pt idx="1">
                  <c:v>109.06205938104119</c:v>
                </c:pt>
                <c:pt idx="2">
                  <c:v>109.34931338306542</c:v>
                </c:pt>
                <c:pt idx="3">
                  <c:v>118.99169857722522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TEL!$B$93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45683130664313043"/>
                  <c:y val="0.53405807929866511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TEL!$C$93:$F$93</c:f>
              <c:numCache>
                <c:formatCode>0.0</c:formatCode>
                <c:ptCount val="4"/>
                <c:pt idx="0">
                  <c:v>100</c:v>
                </c:pt>
                <c:pt idx="1">
                  <c:v>85.324170899777869</c:v>
                </c:pt>
                <c:pt idx="2">
                  <c:v>96.597491709756326</c:v>
                </c:pt>
                <c:pt idx="3">
                  <c:v>117.59910449893265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62720"/>
        <c:axId val="169684992"/>
      </c:lineChart>
      <c:catAx>
        <c:axId val="16966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9684992"/>
        <c:crosses val="autoZero"/>
        <c:auto val="1"/>
        <c:lblAlgn val="ctr"/>
        <c:lblOffset val="100"/>
        <c:noMultiLvlLbl val="0"/>
      </c:catAx>
      <c:valAx>
        <c:axId val="169684992"/>
        <c:scaling>
          <c:orientation val="minMax"/>
          <c:max val="13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966272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3595986973720249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TEL!$B$120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097175893961748E-6"/>
                  <c:y val="-3.094639376218324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TEL!$C$120:$F$120</c:f>
              <c:numCache>
                <c:formatCode>0.0</c:formatCode>
                <c:ptCount val="4"/>
                <c:pt idx="0">
                  <c:v>100</c:v>
                </c:pt>
                <c:pt idx="1">
                  <c:v>99.560376941114015</c:v>
                </c:pt>
                <c:pt idx="2">
                  <c:v>102.45498385170112</c:v>
                </c:pt>
                <c:pt idx="3">
                  <c:v>99.600654780338886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TEL!$B$121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099732670674E-3"/>
                  <c:y val="3.558723196881095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TEL!$C$121:$F$121</c:f>
              <c:numCache>
                <c:formatCode>0.0</c:formatCode>
                <c:ptCount val="4"/>
                <c:pt idx="0">
                  <c:v>100</c:v>
                </c:pt>
                <c:pt idx="1">
                  <c:v>95.532833986105942</c:v>
                </c:pt>
                <c:pt idx="2">
                  <c:v>97.735784327739509</c:v>
                </c:pt>
                <c:pt idx="3">
                  <c:v>88.815626518768397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TEL!$B$122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6992005781443384E-5"/>
                  <c:y val="-3.682504873294360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TEL!$C$122:$F$122</c:f>
              <c:numCache>
                <c:formatCode>0.0</c:formatCode>
                <c:ptCount val="4"/>
                <c:pt idx="0">
                  <c:v>100</c:v>
                </c:pt>
                <c:pt idx="1">
                  <c:v>86.230949589683476</c:v>
                </c:pt>
                <c:pt idx="2">
                  <c:v>90.832356389214539</c:v>
                </c:pt>
                <c:pt idx="3">
                  <c:v>82.13622508792497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TEL!$B$123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-4.115787037037034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700" baseline="0"/>
                      <a:t> 5</a:t>
                    </a:r>
                    <a:endParaRPr lang="en-US" sz="80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TEL!$C$123:$F$123</c:f>
              <c:numCache>
                <c:formatCode>0.0</c:formatCode>
                <c:ptCount val="4"/>
                <c:pt idx="0">
                  <c:v>100</c:v>
                </c:pt>
                <c:pt idx="1">
                  <c:v>109.20233137502788</c:v>
                </c:pt>
                <c:pt idx="2">
                  <c:v>100.95932178181006</c:v>
                </c:pt>
                <c:pt idx="3">
                  <c:v>119.33787833717557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37216"/>
        <c:axId val="169767680"/>
      </c:lineChart>
      <c:catAx>
        <c:axId val="16973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9767680"/>
        <c:crosses val="autoZero"/>
        <c:auto val="1"/>
        <c:lblAlgn val="ctr"/>
        <c:lblOffset val="100"/>
        <c:noMultiLvlLbl val="0"/>
      </c:catAx>
      <c:valAx>
        <c:axId val="169767680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9737216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607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TEL!$B$113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TEL!$C$112:$F$112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TEL!$C$113:$F$113</c:f>
              <c:numCache>
                <c:formatCode>General</c:formatCode>
                <c:ptCount val="4"/>
                <c:pt idx="0">
                  <c:v>226030</c:v>
                </c:pt>
                <c:pt idx="1">
                  <c:v>225036.32</c:v>
                </c:pt>
                <c:pt idx="2">
                  <c:v>231579</c:v>
                </c:pt>
                <c:pt idx="3">
                  <c:v>225127.36</c:v>
                </c:pt>
              </c:numCache>
            </c:numRef>
          </c:val>
        </c:ser>
        <c:ser>
          <c:idx val="1"/>
          <c:order val="1"/>
          <c:tx>
            <c:strRef>
              <c:f>TEL!$B$114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TEL!$C$112:$F$112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TEL!$C$114:$F$114</c:f>
              <c:numCache>
                <c:formatCode>General</c:formatCode>
                <c:ptCount val="4"/>
                <c:pt idx="0">
                  <c:v>34979</c:v>
                </c:pt>
                <c:pt idx="1">
                  <c:v>33416.43</c:v>
                </c:pt>
                <c:pt idx="2">
                  <c:v>34187</c:v>
                </c:pt>
                <c:pt idx="3">
                  <c:v>31066.817999999999</c:v>
                </c:pt>
              </c:numCache>
            </c:numRef>
          </c:val>
        </c:ser>
        <c:ser>
          <c:idx val="2"/>
          <c:order val="2"/>
          <c:tx>
            <c:strRef>
              <c:f>TEL!$B$115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TEL!$C$112:$F$112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TEL!$C$115:$F$115</c:f>
              <c:numCache>
                <c:formatCode>General</c:formatCode>
                <c:ptCount val="4"/>
                <c:pt idx="0">
                  <c:v>8530</c:v>
                </c:pt>
                <c:pt idx="1">
                  <c:v>7355.5</c:v>
                </c:pt>
                <c:pt idx="2">
                  <c:v>7748</c:v>
                </c:pt>
                <c:pt idx="3">
                  <c:v>7006.22</c:v>
                </c:pt>
              </c:numCache>
            </c:numRef>
          </c:val>
        </c:ser>
        <c:ser>
          <c:idx val="3"/>
          <c:order val="3"/>
          <c:tx>
            <c:strRef>
              <c:f>TEL!$B$116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TEL!$C$112:$F$112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TEL!$C$116:$F$116</c:f>
              <c:numCache>
                <c:formatCode>General</c:formatCode>
                <c:ptCount val="4"/>
                <c:pt idx="0">
                  <c:v>53788</c:v>
                </c:pt>
                <c:pt idx="1">
                  <c:v>58737.75</c:v>
                </c:pt>
                <c:pt idx="2">
                  <c:v>54304</c:v>
                </c:pt>
                <c:pt idx="3">
                  <c:v>64189.457999999999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832448"/>
        <c:axId val="169833984"/>
      </c:barChart>
      <c:catAx>
        <c:axId val="16983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9833984"/>
        <c:crosses val="autoZero"/>
        <c:auto val="1"/>
        <c:lblAlgn val="ctr"/>
        <c:lblOffset val="100"/>
        <c:noMultiLvlLbl val="0"/>
      </c:catAx>
      <c:valAx>
        <c:axId val="16983398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9832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TEL!$U$138:$U$144</c:f>
              <c:strCache>
                <c:ptCount val="7"/>
                <c:pt idx="0">
                  <c:v>General management, admin and overheads</c:v>
                </c:pt>
                <c:pt idx="1">
                  <c:v>Routine and preventative maintenance</c:v>
                </c:pt>
                <c:pt idx="2">
                  <c:v>System management and operations</c:v>
                </c:pt>
                <c:pt idx="3">
                  <c:v>Fault and emergency maintenance</c:v>
                </c:pt>
                <c:pt idx="4">
                  <c:v>Refurbishment and renewal maintenance</c:v>
                </c:pt>
                <c:pt idx="5">
                  <c:v>Pass-through costs</c:v>
                </c:pt>
                <c:pt idx="6">
                  <c:v>Other</c:v>
                </c:pt>
              </c:strCache>
            </c:strRef>
          </c:cat>
          <c:val>
            <c:numRef>
              <c:f>TEL!$V$138:$V$144</c:f>
              <c:numCache>
                <c:formatCode>General</c:formatCode>
                <c:ptCount val="7"/>
                <c:pt idx="0">
                  <c:v>3973</c:v>
                </c:pt>
                <c:pt idx="1">
                  <c:v>3952</c:v>
                </c:pt>
                <c:pt idx="2">
                  <c:v>2239</c:v>
                </c:pt>
                <c:pt idx="3">
                  <c:v>1298</c:v>
                </c:pt>
                <c:pt idx="4">
                  <c:v>729</c:v>
                </c:pt>
                <c:pt idx="5">
                  <c:v>303</c:v>
                </c:pt>
                <c:pt idx="6">
                  <c:v>151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69862656"/>
        <c:axId val="169864192"/>
      </c:barChart>
      <c:catAx>
        <c:axId val="169862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9864192"/>
        <c:crosses val="autoZero"/>
        <c:auto val="1"/>
        <c:lblAlgn val="ctr"/>
        <c:lblOffset val="100"/>
        <c:noMultiLvlLbl val="0"/>
      </c:catAx>
      <c:valAx>
        <c:axId val="169864192"/>
        <c:scaling>
          <c:orientation val="minMax"/>
          <c:max val="40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9862656"/>
        <c:crosses val="autoZero"/>
        <c:crossBetween val="between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84970664983832"/>
          <c:y val="5.1014483439099333E-2"/>
          <c:w val="0.70498057595532959"/>
          <c:h val="0.8328039561239124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TEL!$U$186:$U$191</c:f>
              <c:strCache>
                <c:ptCount val="6"/>
                <c:pt idx="0">
                  <c:v>System growth</c:v>
                </c:pt>
                <c:pt idx="1">
                  <c:v>Asset replacement and renewal</c:v>
                </c:pt>
                <c:pt idx="2">
                  <c:v>Customer connection</c:v>
                </c:pt>
                <c:pt idx="3">
                  <c:v>Reliability, safety and environment</c:v>
                </c:pt>
                <c:pt idx="4">
                  <c:v>Non-network capex</c:v>
                </c:pt>
                <c:pt idx="5">
                  <c:v>Asset relocations</c:v>
                </c:pt>
              </c:strCache>
            </c:strRef>
          </c:cat>
          <c:val>
            <c:numRef>
              <c:f>TEL!$V$186:$V$191</c:f>
              <c:numCache>
                <c:formatCode>General</c:formatCode>
                <c:ptCount val="6"/>
                <c:pt idx="0">
                  <c:v>6.7130000000000001</c:v>
                </c:pt>
                <c:pt idx="1">
                  <c:v>5.0460000000000003</c:v>
                </c:pt>
                <c:pt idx="2">
                  <c:v>1.006</c:v>
                </c:pt>
                <c:pt idx="3">
                  <c:v>0.94599999999999995</c:v>
                </c:pt>
                <c:pt idx="4">
                  <c:v>0.154</c:v>
                </c:pt>
                <c:pt idx="5">
                  <c:v>0.152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70007168"/>
        <c:axId val="170021248"/>
      </c:barChart>
      <c:catAx>
        <c:axId val="170007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0021248"/>
        <c:crosses val="autoZero"/>
        <c:auto val="1"/>
        <c:lblAlgn val="ctr"/>
        <c:lblOffset val="100"/>
        <c:noMultiLvlLbl val="0"/>
      </c:catAx>
      <c:valAx>
        <c:axId val="170021248"/>
        <c:scaling>
          <c:orientation val="minMax"/>
          <c:max val="7"/>
          <c:min val="0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0007168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68744841764"/>
          <c:h val="0.82404629629630965"/>
        </c:manualLayout>
      </c:layout>
      <c:lineChart>
        <c:grouping val="standard"/>
        <c:varyColors val="0"/>
        <c:ser>
          <c:idx val="0"/>
          <c:order val="0"/>
          <c:tx>
            <c:strRef>
              <c:f>TEL!$B$76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8796296296297354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TEL!$C$76:$F$76</c:f>
              <c:numCache>
                <c:formatCode>0.0</c:formatCode>
                <c:ptCount val="4"/>
                <c:pt idx="0">
                  <c:v>100</c:v>
                </c:pt>
                <c:pt idx="1">
                  <c:v>103.83916333424325</c:v>
                </c:pt>
                <c:pt idx="2">
                  <c:v>105.65033501098424</c:v>
                </c:pt>
                <c:pt idx="3">
                  <c:v>121.765190831407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589717348927896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TEL!$C$77:$F$77</c:f>
              <c:numCache>
                <c:formatCode>0.0</c:formatCode>
                <c:ptCount val="4"/>
                <c:pt idx="0">
                  <c:v>100</c:v>
                </c:pt>
                <c:pt idx="1">
                  <c:v>102.47121809677864</c:v>
                </c:pt>
                <c:pt idx="2">
                  <c:v>103.63470331870562</c:v>
                </c:pt>
                <c:pt idx="3">
                  <c:v>97.195623324761598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TEL!$B$78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351898148148147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TEL!$C$78:$F$78</c:f>
              <c:numCache>
                <c:formatCode>0.0</c:formatCode>
                <c:ptCount val="4"/>
                <c:pt idx="0">
                  <c:v>100</c:v>
                </c:pt>
                <c:pt idx="1">
                  <c:v>94.045249446336271</c:v>
                </c:pt>
                <c:pt idx="2">
                  <c:v>92.229946752603254</c:v>
                </c:pt>
                <c:pt idx="3">
                  <c:v>90.754197280810985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TEL!$B$79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TEL!$C$79:$F$79</c:f>
              <c:numCache>
                <c:formatCode>0.0</c:formatCode>
                <c:ptCount val="4"/>
                <c:pt idx="0">
                  <c:v>100</c:v>
                </c:pt>
                <c:pt idx="1">
                  <c:v>93.175983848970546</c:v>
                </c:pt>
                <c:pt idx="2">
                  <c:v>97.524172488410215</c:v>
                </c:pt>
                <c:pt idx="3">
                  <c:v>140.34027625254419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065280"/>
        <c:axId val="170169472"/>
      </c:lineChart>
      <c:catAx>
        <c:axId val="17006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0169472"/>
        <c:crosses val="autoZero"/>
        <c:auto val="1"/>
        <c:lblAlgn val="ctr"/>
        <c:lblOffset val="100"/>
        <c:noMultiLvlLbl val="0"/>
      </c:catAx>
      <c:valAx>
        <c:axId val="170169472"/>
        <c:scaling>
          <c:orientation val="minMax"/>
          <c:max val="141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006528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3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479"/>
          <c:y val="0.16445370370370369"/>
          <c:w val="0.70330041907982288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TEL!$B$70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TEL!$C$69:$F$69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TEL!$C$70:$F$70</c:f>
              <c:numCache>
                <c:formatCode>0</c:formatCode>
                <c:ptCount val="4"/>
                <c:pt idx="0">
                  <c:v>686.76361064724028</c:v>
                </c:pt>
                <c:pt idx="1">
                  <c:v>713.12958738013424</c:v>
                </c:pt>
                <c:pt idx="2">
                  <c:v>725.56805538234073</c:v>
                </c:pt>
                <c:pt idx="3">
                  <c:v>836.23902106527305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185472"/>
        <c:axId val="170187008"/>
      </c:lineChart>
      <c:catAx>
        <c:axId val="17018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0187008"/>
        <c:crosses val="autoZero"/>
        <c:auto val="1"/>
        <c:lblAlgn val="ctr"/>
        <c:lblOffset val="100"/>
        <c:noMultiLvlLbl val="0"/>
      </c:catAx>
      <c:valAx>
        <c:axId val="170187008"/>
        <c:scaling>
          <c:orientation val="minMax"/>
          <c:max val="1000"/>
          <c:min val="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0185472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96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909"/>
          <c:y val="0.17621296296296787"/>
          <c:w val="0.73692152777777775"/>
          <c:h val="0.57282407407409874"/>
        </c:manualLayout>
      </c:layout>
      <c:lineChart>
        <c:grouping val="standard"/>
        <c:varyColors val="0"/>
        <c:ser>
          <c:idx val="1"/>
          <c:order val="0"/>
          <c:tx>
            <c:strRef>
              <c:f>TEL!$B$71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TEL!$C$69:$F$69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TEL!$C$71:$F$71</c:f>
              <c:numCache>
                <c:formatCode>0</c:formatCode>
                <c:ptCount val="4"/>
                <c:pt idx="0">
                  <c:v>16814.44319664103</c:v>
                </c:pt>
                <c:pt idx="1">
                  <c:v>17229.964759788989</c:v>
                </c:pt>
                <c:pt idx="2">
                  <c:v>17425.598321531212</c:v>
                </c:pt>
                <c:pt idx="3">
                  <c:v>16342.902873563218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23872"/>
        <c:axId val="170225664"/>
      </c:lineChart>
      <c:catAx>
        <c:axId val="17022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0225664"/>
        <c:crosses val="autoZero"/>
        <c:auto val="1"/>
        <c:lblAlgn val="ctr"/>
        <c:lblOffset val="100"/>
        <c:noMultiLvlLbl val="0"/>
      </c:catAx>
      <c:valAx>
        <c:axId val="170225664"/>
        <c:scaling>
          <c:orientation val="minMax"/>
          <c:max val="20000"/>
          <c:min val="1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022387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9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TEL!$B$72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TEL!$C$69:$F$69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TEL!$C$72:$F$72</c:f>
              <c:numCache>
                <c:formatCode>0</c:formatCode>
                <c:ptCount val="4"/>
                <c:pt idx="0">
                  <c:v>40636.028452172846</c:v>
                </c:pt>
                <c:pt idx="1">
                  <c:v>38216.25432293013</c:v>
                </c:pt>
                <c:pt idx="2">
                  <c:v>37478.587403811725</c:v>
                </c:pt>
                <c:pt idx="3">
                  <c:v>36878.901428571429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34240"/>
        <c:axId val="170235776"/>
      </c:lineChart>
      <c:catAx>
        <c:axId val="17023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0235776"/>
        <c:crosses val="autoZero"/>
        <c:auto val="1"/>
        <c:lblAlgn val="ctr"/>
        <c:lblOffset val="100"/>
        <c:noMultiLvlLbl val="0"/>
      </c:catAx>
      <c:valAx>
        <c:axId val="170235776"/>
        <c:scaling>
          <c:orientation val="minMax"/>
          <c:max val="50000"/>
          <c:min val="2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0234240"/>
        <c:crosses val="autoZero"/>
        <c:crossBetween val="midCat"/>
        <c:maj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TEL!$B$73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TEL!$C$69:$F$69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TEL!$C$73:$F$73</c:f>
              <c:numCache>
                <c:formatCode>0</c:formatCode>
                <c:ptCount val="4"/>
                <c:pt idx="0">
                  <c:v>337229.27775084827</c:v>
                </c:pt>
                <c:pt idx="1">
                  <c:v>314216.6973711304</c:v>
                </c:pt>
                <c:pt idx="2">
                  <c:v>328880.06251515722</c:v>
                </c:pt>
                <c:pt idx="3">
                  <c:v>473268.5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38880"/>
        <c:axId val="170540416"/>
      </c:lineChart>
      <c:catAx>
        <c:axId val="17053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0540416"/>
        <c:crosses val="autoZero"/>
        <c:auto val="1"/>
        <c:lblAlgn val="ctr"/>
        <c:lblOffset val="100"/>
        <c:noMultiLvlLbl val="0"/>
      </c:catAx>
      <c:valAx>
        <c:axId val="170540416"/>
        <c:scaling>
          <c:orientation val="minMax"/>
          <c:max val="500000"/>
          <c:min val="25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0538880"/>
        <c:crosses val="autoZero"/>
        <c:crossBetween val="midCat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643E-2"/>
          <c:y val="5.1489936964064897E-2"/>
          <c:w val="0.79931392178337557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Buller!$B$84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295023615580411E-5"/>
                  <c:y val="-2.80593743773660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Buller!$C$84:$F$84</c:f>
              <c:numCache>
                <c:formatCode>0.00</c:formatCode>
                <c:ptCount val="4"/>
                <c:pt idx="0">
                  <c:v>11.920262369953022</c:v>
                </c:pt>
                <c:pt idx="1">
                  <c:v>12.026056038968163</c:v>
                </c:pt>
                <c:pt idx="2">
                  <c:v>12.874201680814593</c:v>
                </c:pt>
                <c:pt idx="3">
                  <c:v>14.243030227118419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068816026650513E-5"/>
                  <c:y val="-2.16557083084280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Buller!$C$85:$F$85</c:f>
              <c:numCache>
                <c:formatCode>0.00</c:formatCode>
                <c:ptCount val="4"/>
                <c:pt idx="0">
                  <c:v>8.9863140468633631</c:v>
                </c:pt>
                <c:pt idx="1">
                  <c:v>8.6461961124384707</c:v>
                </c:pt>
                <c:pt idx="2">
                  <c:v>9.1380692721690107</c:v>
                </c:pt>
                <c:pt idx="3">
                  <c:v>10.932827113314408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Buller!$B$86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76427772834319E-5"/>
                  <c:y val="1.577605100617653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Buller!$C$86:$F$86</c:f>
              <c:numCache>
                <c:formatCode>0.00</c:formatCode>
                <c:ptCount val="4"/>
                <c:pt idx="0">
                  <c:v>8.5493797981806239</c:v>
                </c:pt>
                <c:pt idx="1">
                  <c:v>8.4671672508593954</c:v>
                </c:pt>
                <c:pt idx="2">
                  <c:v>8.995057873342919</c:v>
                </c:pt>
                <c:pt idx="3">
                  <c:v>7.9245429498481252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Buller!$B$87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9199123827778897E-5"/>
                  <c:y val="-2.887427774457131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Buller!$C$87:$F$87</c:f>
              <c:numCache>
                <c:formatCode>0.00</c:formatCode>
                <c:ptCount val="4"/>
                <c:pt idx="0">
                  <c:v>25.433106184741693</c:v>
                </c:pt>
                <c:pt idx="1">
                  <c:v>8.0117144670495843</c:v>
                </c:pt>
                <c:pt idx="2">
                  <c:v>8.5144837554275892</c:v>
                </c:pt>
                <c:pt idx="3">
                  <c:v>8.310204130210554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49952"/>
        <c:axId val="119551488"/>
      </c:lineChart>
      <c:catAx>
        <c:axId val="11954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9551488"/>
        <c:crosses val="autoZero"/>
        <c:auto val="1"/>
        <c:lblAlgn val="ctr"/>
        <c:lblOffset val="100"/>
        <c:noMultiLvlLbl val="0"/>
      </c:catAx>
      <c:valAx>
        <c:axId val="11955148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954995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53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TEL!$B$105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21919363997841E-4"/>
                  <c:y val="3.527731481481569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TEL!$C$105:$F$105</c:f>
              <c:numCache>
                <c:formatCode>0.0</c:formatCode>
                <c:ptCount val="4"/>
                <c:pt idx="0">
                  <c:v>100</c:v>
                </c:pt>
                <c:pt idx="1">
                  <c:v>101.61804693007485</c:v>
                </c:pt>
                <c:pt idx="2">
                  <c:v>102.8265467118735</c:v>
                </c:pt>
                <c:pt idx="3">
                  <c:v>103.42408271509618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7670997984656694"/>
                  <c:y val="-2.332731481481480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TEL!$C$106:$F$106</c:f>
              <c:numCache>
                <c:formatCode>0.0</c:formatCode>
                <c:ptCount val="4"/>
                <c:pt idx="0">
                  <c:v>100</c:v>
                </c:pt>
                <c:pt idx="1">
                  <c:v>98.795180722891558</c:v>
                </c:pt>
                <c:pt idx="2">
                  <c:v>104.81927710843372</c:v>
                </c:pt>
                <c:pt idx="3">
                  <c:v>104.81927710843372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TEL!$B$107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727995457129981E-5"/>
                  <c:y val="-4.112916666666532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TEL!$C$107:$F$107</c:f>
              <c:numCache>
                <c:formatCode>0.0</c:formatCode>
                <c:ptCount val="4"/>
                <c:pt idx="0">
                  <c:v>100</c:v>
                </c:pt>
                <c:pt idx="1">
                  <c:v>100</c:v>
                </c:pt>
                <c:pt idx="2">
                  <c:v>107.69230769230769</c:v>
                </c:pt>
                <c:pt idx="3">
                  <c:v>107.69230769230769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34080"/>
        <c:axId val="170335616"/>
      </c:lineChart>
      <c:catAx>
        <c:axId val="1703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0335616"/>
        <c:crosses val="autoZero"/>
        <c:auto val="1"/>
        <c:lblAlgn val="ctr"/>
        <c:lblOffset val="100"/>
        <c:noMultiLvlLbl val="0"/>
      </c:catAx>
      <c:valAx>
        <c:axId val="170335616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033408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1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TEL!$B$98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TEL!$C$97:$F$97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TEL!$C$98:$F$98</c:f>
              <c:numCache>
                <c:formatCode>General</c:formatCode>
                <c:ptCount val="4"/>
                <c:pt idx="0">
                  <c:v>29789</c:v>
                </c:pt>
                <c:pt idx="1">
                  <c:v>30271</c:v>
                </c:pt>
                <c:pt idx="2">
                  <c:v>30631</c:v>
                </c:pt>
                <c:pt idx="3">
                  <c:v>30809</c:v>
                </c:pt>
              </c:numCache>
            </c:numRef>
          </c:val>
        </c:ser>
        <c:ser>
          <c:idx val="1"/>
          <c:order val="1"/>
          <c:tx>
            <c:strRef>
              <c:f>TEL!$B$99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TEL!$C$97:$F$97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TEL!$C$99:$F$99</c:f>
              <c:numCache>
                <c:formatCode>General</c:formatCode>
                <c:ptCount val="4"/>
                <c:pt idx="0">
                  <c:v>166</c:v>
                </c:pt>
                <c:pt idx="1">
                  <c:v>164</c:v>
                </c:pt>
                <c:pt idx="2">
                  <c:v>174</c:v>
                </c:pt>
                <c:pt idx="3">
                  <c:v>174</c:v>
                </c:pt>
              </c:numCache>
            </c:numRef>
          </c:val>
        </c:ser>
        <c:ser>
          <c:idx val="2"/>
          <c:order val="2"/>
          <c:tx>
            <c:strRef>
              <c:f>TEL!$B$100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TEL!$C$97:$F$97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TEL!$C$100:$F$100</c:f>
              <c:numCache>
                <c:formatCode>General</c:formatCode>
                <c:ptCount val="4"/>
                <c:pt idx="0">
                  <c:v>13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0395136"/>
        <c:axId val="170396672"/>
      </c:barChart>
      <c:catAx>
        <c:axId val="17039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0396672"/>
        <c:crosses val="autoZero"/>
        <c:auto val="1"/>
        <c:lblAlgn val="ctr"/>
        <c:lblOffset val="100"/>
        <c:noMultiLvlLbl val="0"/>
      </c:catAx>
      <c:valAx>
        <c:axId val="17039667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0395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3.5277777777779476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TEL!$B$209</c:f>
              <c:strCache>
                <c:ptCount val="1"/>
                <c:pt idx="0">
                  <c:v>Top Energy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TEL!$C$204:$F$204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TEL!$C$209:$F$209</c:f>
              <c:numCache>
                <c:formatCode>_(* #,##0.00_);_(* \(#,##0.00\);_(* "-"??_);_(@_)</c:formatCode>
                <c:ptCount val="4"/>
                <c:pt idx="0">
                  <c:v>20669.891250396173</c:v>
                </c:pt>
                <c:pt idx="1">
                  <c:v>34247.467893857764</c:v>
                </c:pt>
                <c:pt idx="2">
                  <c:v>25205.312027735865</c:v>
                </c:pt>
                <c:pt idx="3">
                  <c:v>42814.399234165641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6.7246510251394824E-3"/>
                  <c:y val="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TEL!$C$204:$F$204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31232"/>
        <c:axId val="170432768"/>
      </c:lineChart>
      <c:catAx>
        <c:axId val="17043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0432768"/>
        <c:crosses val="autoZero"/>
        <c:auto val="1"/>
        <c:lblAlgn val="ctr"/>
        <c:lblOffset val="100"/>
        <c:noMultiLvlLbl val="0"/>
      </c:catAx>
      <c:valAx>
        <c:axId val="170432768"/>
        <c:scaling>
          <c:orientation val="minMax"/>
          <c:max val="42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0431232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3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TEL!$C$204:$F$204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TEL!$C$212:$F$212</c:f>
              <c:numCache>
                <c:formatCode>_(* #,##0.00_);_(* \(#,##0.00\);_(* "-"??_);_(@_)</c:formatCode>
                <c:ptCount val="4"/>
                <c:pt idx="0">
                  <c:v>5.1959695235725946E-2</c:v>
                </c:pt>
                <c:pt idx="1">
                  <c:v>8.2711580231507459E-2</c:v>
                </c:pt>
                <c:pt idx="2">
                  <c:v>6.0463896008659666E-2</c:v>
                </c:pt>
                <c:pt idx="3">
                  <c:v>9.6113495796705931E-2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444588449208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TEL!$C$204:$F$204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96768"/>
        <c:axId val="170498304"/>
      </c:lineChart>
      <c:catAx>
        <c:axId val="17049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0498304"/>
        <c:crosses val="autoZero"/>
        <c:auto val="1"/>
        <c:lblAlgn val="ctr"/>
        <c:lblOffset val="100"/>
        <c:noMultiLvlLbl val="0"/>
      </c:catAx>
      <c:valAx>
        <c:axId val="170498304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0496768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43"/>
          <c:w val="0.79809047321242665"/>
          <c:h val="0.72979551178440394"/>
        </c:manualLayout>
      </c:layout>
      <c:lineChart>
        <c:grouping val="standard"/>
        <c:varyColors val="0"/>
        <c:ser>
          <c:idx val="0"/>
          <c:order val="0"/>
          <c:tx>
            <c:strRef>
              <c:f>TEL!$B$206</c:f>
              <c:strCache>
                <c:ptCount val="1"/>
                <c:pt idx="0">
                  <c:v>Top Energy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TEL!$C$204:$F$204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TEL!$C$206:$F$206</c:f>
              <c:numCache>
                <c:formatCode>_(* #,##0.00_);_(* \(#,##0.00\);_(* "-"??_);_(@_)</c:formatCode>
                <c:ptCount val="4"/>
                <c:pt idx="0">
                  <c:v>222.97180556890677</c:v>
                </c:pt>
                <c:pt idx="1">
                  <c:v>364.98468837487155</c:v>
                </c:pt>
                <c:pt idx="2">
                  <c:v>268.06238574838812</c:v>
                </c:pt>
                <c:pt idx="3">
                  <c:v>452.13212050835426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4277750408814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TEL!$C$204:$F$204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18880"/>
        <c:axId val="170620416"/>
      </c:lineChart>
      <c:catAx>
        <c:axId val="1706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0620416"/>
        <c:crosses val="autoZero"/>
        <c:auto val="1"/>
        <c:lblAlgn val="ctr"/>
        <c:lblOffset val="100"/>
        <c:noMultiLvlLbl val="0"/>
      </c:catAx>
      <c:valAx>
        <c:axId val="170620416"/>
        <c:scaling>
          <c:orientation val="minMax"/>
          <c:max val="65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0618880"/>
        <c:crosses val="autoZero"/>
        <c:crossBetween val="midCat"/>
        <c:majorUnit val="13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386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TEL!$B$162</c:f>
              <c:strCache>
                <c:ptCount val="1"/>
                <c:pt idx="0">
                  <c:v>Top Energy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TEL!$C$160:$F$160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TEL!$C$162:$F$162</c:f>
              <c:numCache>
                <c:formatCode>_(* #,##0.00_);_(* \(#,##0.00\);_(* "-"??_);_(@_)</c:formatCode>
                <c:ptCount val="4"/>
                <c:pt idx="0">
                  <c:v>310.98793853020931</c:v>
                </c:pt>
                <c:pt idx="1">
                  <c:v>337.37307003325884</c:v>
                </c:pt>
                <c:pt idx="2">
                  <c:v>377.27053895586965</c:v>
                </c:pt>
                <c:pt idx="3">
                  <c:v>407.87691116702149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6216374269007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TEL!$C$160:$F$160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44224"/>
        <c:axId val="170645760"/>
      </c:lineChart>
      <c:catAx>
        <c:axId val="17064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0645760"/>
        <c:crosses val="autoZero"/>
        <c:auto val="1"/>
        <c:lblAlgn val="ctr"/>
        <c:lblOffset val="100"/>
        <c:noMultiLvlLbl val="0"/>
      </c:catAx>
      <c:valAx>
        <c:axId val="170645760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0644224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TEL!$C$160:$F$160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TEL!$C$165:$F$165</c:f>
              <c:numCache>
                <c:formatCode>_(* #,##0.00_);_(* \(#,##0.00\);_(* "-"??_);_(@_)</c:formatCode>
                <c:ptCount val="4"/>
                <c:pt idx="0">
                  <c:v>2275.7976210256584</c:v>
                </c:pt>
                <c:pt idx="1">
                  <c:v>2677.4684508746136</c:v>
                </c:pt>
                <c:pt idx="2">
                  <c:v>3023.5475288927923</c:v>
                </c:pt>
                <c:pt idx="3">
                  <c:v>3285.2689010132503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TEL!$C$160:$F$160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91968"/>
        <c:axId val="170697856"/>
      </c:lineChart>
      <c:catAx>
        <c:axId val="17069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0697856"/>
        <c:crosses val="autoZero"/>
        <c:auto val="1"/>
        <c:lblAlgn val="ctr"/>
        <c:lblOffset val="100"/>
        <c:noMultiLvlLbl val="0"/>
      </c:catAx>
      <c:valAx>
        <c:axId val="170697856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0691968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26327073267044"/>
          <c:y val="0.13550222222222241"/>
          <c:w val="0.7695508593816110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TEL!$B$168</c:f>
              <c:strCache>
                <c:ptCount val="1"/>
                <c:pt idx="0">
                  <c:v>Top Energy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TEL!$C$160:$F$160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TEL!$C$168:$F$168</c:f>
              <c:numCache>
                <c:formatCode>_(* #,##0.00_);_(* \(#,##0.00\);_(* "-"??_);_(@_)</c:formatCode>
                <c:ptCount val="4"/>
                <c:pt idx="0">
                  <c:v>28.829146596374457</c:v>
                </c:pt>
                <c:pt idx="1">
                  <c:v>31.656597529234165</c:v>
                </c:pt>
                <c:pt idx="2">
                  <c:v>35.473912636815932</c:v>
                </c:pt>
                <c:pt idx="3">
                  <c:v>38.623676843548871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631201735031040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TEL!$C$160:$F$160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44448"/>
        <c:axId val="170754432"/>
      </c:lineChart>
      <c:catAx>
        <c:axId val="17074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0754432"/>
        <c:crosses val="autoZero"/>
        <c:auto val="1"/>
        <c:lblAlgn val="ctr"/>
        <c:lblOffset val="100"/>
        <c:noMultiLvlLbl val="0"/>
      </c:catAx>
      <c:valAx>
        <c:axId val="170754432"/>
        <c:scaling>
          <c:orientation val="minMax"/>
          <c:max val="4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0744448"/>
        <c:crosses val="autoZero"/>
        <c:crossBetween val="midCat"/>
        <c:majorUnit val="8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835"/>
          <c:h val="0.7759916666666998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TEL!$B$178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TEL!$C$178:$D$178</c:f>
              <c:numCache>
                <c:formatCode>_-* #,##0_-;\-* #,##0_-;_-* "-"??_-;_-@_-</c:formatCode>
                <c:ptCount val="2"/>
                <c:pt idx="0">
                  <c:v>6110.9746436366568</c:v>
                </c:pt>
                <c:pt idx="1">
                  <c:v>5979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70790272"/>
        <c:axId val="170820736"/>
      </c:barChart>
      <c:lineChart>
        <c:grouping val="standard"/>
        <c:varyColors val="0"/>
        <c:ser>
          <c:idx val="1"/>
          <c:order val="0"/>
          <c:tx>
            <c:strRef>
              <c:f>TEL!$B$179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TEL!$C$177:$D$177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TEL!$C$179:$D$179</c:f>
              <c:numCache>
                <c:formatCode>_-* #,##0_-;\-* #,##0_-;_-* "-"??_-;_-@_-</c:formatCode>
                <c:ptCount val="2"/>
                <c:pt idx="0">
                  <c:v>5903.6185170657291</c:v>
                </c:pt>
                <c:pt idx="1">
                  <c:v>5944.0905964853455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TEL!$B$180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TEL!$C$177:$D$177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TEL!$C$180:$D$180</c:f>
              <c:numCache>
                <c:formatCode>_-* #,##0_-;\-* #,##0_-;_-* "-"??_-;_-@_-</c:formatCode>
                <c:ptCount val="2"/>
                <c:pt idx="1">
                  <c:v>6372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90272"/>
        <c:axId val="170820736"/>
      </c:lineChart>
      <c:catAx>
        <c:axId val="17079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0820736"/>
        <c:crosses val="autoZero"/>
        <c:auto val="1"/>
        <c:lblAlgn val="ctr"/>
        <c:lblOffset val="100"/>
        <c:noMultiLvlLbl val="0"/>
      </c:catAx>
      <c:valAx>
        <c:axId val="17082073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0790272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337"/>
          <c:y val="3.5277777777779504E-2"/>
          <c:w val="0.77172275936750689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TEL!$V$177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15860463355147963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TEL!$W$177:$AC$177</c:f>
              <c:numCache>
                <c:formatCode>General</c:formatCode>
                <c:ptCount val="7"/>
                <c:pt idx="0">
                  <c:v>5903.6185170657291</c:v>
                </c:pt>
                <c:pt idx="1">
                  <c:v>5944.0905964853455</c:v>
                </c:pt>
                <c:pt idx="2">
                  <c:v>5996.7746337332883</c:v>
                </c:pt>
                <c:pt idx="3">
                  <c:v>3935.8968011693983</c:v>
                </c:pt>
                <c:pt idx="4">
                  <c:v>4132.691641227877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TEL!$V$178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55071862845399311"/>
                  <c:y val="-0.6006605620671946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TEL!$W$178:$AC$178</c:f>
              <c:numCache>
                <c:formatCode>General</c:formatCode>
                <c:ptCount val="7"/>
                <c:pt idx="1">
                  <c:v>6372</c:v>
                </c:pt>
                <c:pt idx="2">
                  <c:v>6063.9350000000004</c:v>
                </c:pt>
                <c:pt idx="3">
                  <c:v>3646.5129999999999</c:v>
                </c:pt>
                <c:pt idx="4">
                  <c:v>3839.848</c:v>
                </c:pt>
                <c:pt idx="5">
                  <c:v>3961.1390000000001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TEL!$V$179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90331674135493E-5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TEL!$W$179:$AC$179</c:f>
              <c:numCache>
                <c:formatCode>General</c:formatCode>
                <c:ptCount val="7"/>
                <c:pt idx="2">
                  <c:v>5941.5714285714284</c:v>
                </c:pt>
                <c:pt idx="3">
                  <c:v>3636.7989657401422</c:v>
                </c:pt>
                <c:pt idx="4">
                  <c:v>3734.5623787976729</c:v>
                </c:pt>
                <c:pt idx="5">
                  <c:v>3930.0892049127342</c:v>
                </c:pt>
                <c:pt idx="6">
                  <c:v>4089.9323852617968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TEL!$V$176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202254638921141E-2"/>
                  <c:y val="-3.599542597117063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TEL!$C$178:$I$178</c:f>
              <c:numCache>
                <c:formatCode>_-* #,##0_-;\-* #,##0_-;_-* "-"??_-;_-@_-</c:formatCode>
                <c:ptCount val="7"/>
                <c:pt idx="0">
                  <c:v>6110.9746436366568</c:v>
                </c:pt>
                <c:pt idx="1">
                  <c:v>5979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84576"/>
        <c:axId val="170986112"/>
      </c:lineChart>
      <c:catAx>
        <c:axId val="1709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0986112"/>
        <c:crosses val="autoZero"/>
        <c:auto val="1"/>
        <c:lblAlgn val="ctr"/>
        <c:lblOffset val="100"/>
        <c:noMultiLvlLbl val="0"/>
      </c:catAx>
      <c:valAx>
        <c:axId val="170986112"/>
        <c:scaling>
          <c:orientation val="minMax"/>
          <c:max val="7000"/>
          <c:min val="3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0984576"/>
        <c:crosses val="autoZero"/>
        <c:crossBetween val="midCat"/>
        <c:majorUnit val="7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29902E-2"/>
          <c:y val="5.8338380979806134E-2"/>
          <c:w val="0.83883540276753665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Buller!$B$90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737776122814E-3"/>
                  <c:y val="2.939828651125722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Buller!$C$90:$F$90</c:f>
              <c:numCache>
                <c:formatCode>0.0</c:formatCode>
                <c:ptCount val="4"/>
                <c:pt idx="0">
                  <c:v>100</c:v>
                </c:pt>
                <c:pt idx="1">
                  <c:v>100.88751124540522</c:v>
                </c:pt>
                <c:pt idx="2">
                  <c:v>108.00267042163544</c:v>
                </c:pt>
                <c:pt idx="3">
                  <c:v>119.48587862478861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7544664217008E-3"/>
                  <c:y val="-4.11576011157601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Buller!$C$91:$F$91</c:f>
              <c:numCache>
                <c:formatCode>0.0</c:formatCode>
                <c:ptCount val="4"/>
                <c:pt idx="0">
                  <c:v>100</c:v>
                </c:pt>
                <c:pt idx="1">
                  <c:v>96.21515637389048</c:v>
                </c:pt>
                <c:pt idx="2">
                  <c:v>101.68873716758895</c:v>
                </c:pt>
                <c:pt idx="3">
                  <c:v>121.66086179828612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Buller!$B$92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200616792511424E-3"/>
                  <c:y val="4.11576011157601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Buller!$C$92:$F$92</c:f>
              <c:numCache>
                <c:formatCode>0.0</c:formatCode>
                <c:ptCount val="4"/>
                <c:pt idx="0">
                  <c:v>100</c:v>
                </c:pt>
                <c:pt idx="1">
                  <c:v>99.038379984724457</c:v>
                </c:pt>
                <c:pt idx="2">
                  <c:v>105.21298720706196</c:v>
                </c:pt>
                <c:pt idx="3">
                  <c:v>92.691436535952363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Buller!$B$93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737776122814E-3"/>
                  <c:y val="-3.527794381350975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Buller!$C$93:$F$93</c:f>
              <c:numCache>
                <c:formatCode>0.0</c:formatCode>
                <c:ptCount val="4"/>
                <c:pt idx="0">
                  <c:v>100</c:v>
                </c:pt>
                <c:pt idx="1">
                  <c:v>31.501124592701629</c:v>
                </c:pt>
                <c:pt idx="2">
                  <c:v>33.477954653198275</c:v>
                </c:pt>
                <c:pt idx="3">
                  <c:v>32.674751050251849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59904"/>
        <c:axId val="119261440"/>
      </c:lineChart>
      <c:catAx>
        <c:axId val="11925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9261440"/>
        <c:crosses val="autoZero"/>
        <c:auto val="1"/>
        <c:lblAlgn val="ctr"/>
        <c:lblOffset val="100"/>
        <c:noMultiLvlLbl val="0"/>
      </c:catAx>
      <c:valAx>
        <c:axId val="11926144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9259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7111"/>
          <c:h val="0.77578287037039095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TEL!$B$222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TEL!$C$222:$D$222</c:f>
              <c:numCache>
                <c:formatCode>_-* #,##0_-;\-* #,##0_-;_-* "-"??_-;_-@_-</c:formatCode>
                <c:ptCount val="2"/>
                <c:pt idx="0">
                  <c:v>8305.5460645091734</c:v>
                </c:pt>
                <c:pt idx="1">
                  <c:v>13863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71054208"/>
        <c:axId val="171055744"/>
      </c:barChart>
      <c:lineChart>
        <c:grouping val="standard"/>
        <c:varyColors val="0"/>
        <c:ser>
          <c:idx val="1"/>
          <c:order val="0"/>
          <c:tx>
            <c:strRef>
              <c:f>TEL!$B$223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TEL!$C$221:$D$221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TEL!$C$223:$D$223</c:f>
              <c:numCache>
                <c:formatCode>_-* #,##0_-;\-* #,##0_-;_-* "-"??_-;_-@_-</c:formatCode>
                <c:ptCount val="2"/>
                <c:pt idx="0">
                  <c:v>10273.17190320929</c:v>
                </c:pt>
                <c:pt idx="1">
                  <c:v>12721.9936945919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TEL!$B$224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TEL!$C$221:$D$221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TEL!$C$224:$D$224</c:f>
              <c:numCache>
                <c:formatCode>_-* #,##0_-;\-* #,##0_-;_-* "-"??_-;_-@_-</c:formatCode>
                <c:ptCount val="2"/>
                <c:pt idx="1">
                  <c:v>15454.5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54208"/>
        <c:axId val="171055744"/>
      </c:lineChart>
      <c:catAx>
        <c:axId val="17105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1055744"/>
        <c:crosses val="autoZero"/>
        <c:auto val="1"/>
        <c:lblAlgn val="ctr"/>
        <c:lblOffset val="100"/>
        <c:noMultiLvlLbl val="0"/>
      </c:catAx>
      <c:valAx>
        <c:axId val="17105574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1054208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777E-3"/>
          <c:w val="0.9031628472222048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TEL!$V$221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14112729677924649"/>
                  <c:y val="-1.76388888888888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TEL!$W$221:$AC$221</c:f>
              <c:numCache>
                <c:formatCode>General</c:formatCode>
                <c:ptCount val="7"/>
                <c:pt idx="0">
                  <c:v>10273.17190320929</c:v>
                </c:pt>
                <c:pt idx="1">
                  <c:v>12721.9936945919</c:v>
                </c:pt>
                <c:pt idx="2">
                  <c:v>13786.880439761793</c:v>
                </c:pt>
                <c:pt idx="3">
                  <c:v>16615.676888254155</c:v>
                </c:pt>
                <c:pt idx="4">
                  <c:v>21306.395004176655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TEL!$V$222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4124420379537631"/>
                  <c:y val="-3.52777777777787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TEL!$W$222:$AC$222</c:f>
              <c:numCache>
                <c:formatCode>General</c:formatCode>
                <c:ptCount val="7"/>
                <c:pt idx="1">
                  <c:v>15454.5</c:v>
                </c:pt>
                <c:pt idx="2">
                  <c:v>17338.5</c:v>
                </c:pt>
                <c:pt idx="3">
                  <c:v>16409.612000000001</c:v>
                </c:pt>
                <c:pt idx="4">
                  <c:v>15964.68</c:v>
                </c:pt>
                <c:pt idx="5">
                  <c:v>16440.343000000001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TEL!$V$223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3256420578557521E-2"/>
                  <c:y val="0.1528699074074109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TEL!$W$223:$AC$223</c:f>
              <c:numCache>
                <c:formatCode>General</c:formatCode>
                <c:ptCount val="7"/>
                <c:pt idx="2">
                  <c:v>16950.715238784745</c:v>
                </c:pt>
                <c:pt idx="3">
                  <c:v>16042.596760698127</c:v>
                </c:pt>
                <c:pt idx="4">
                  <c:v>15607.616051712992</c:v>
                </c:pt>
                <c:pt idx="5">
                  <c:v>16072.640435164836</c:v>
                </c:pt>
                <c:pt idx="6">
                  <c:v>13833.522947640595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TEL!$V$220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8.8416853770229859E-3"/>
                  <c:y val="-2.84702729044835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TEL!$W$220:$AC$220</c:f>
              <c:numCache>
                <c:formatCode>General</c:formatCode>
                <c:ptCount val="7"/>
                <c:pt idx="0">
                  <c:v>8305.5460645091734</c:v>
                </c:pt>
                <c:pt idx="1">
                  <c:v>13863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00800"/>
        <c:axId val="171139456"/>
      </c:lineChart>
      <c:catAx>
        <c:axId val="17110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139456"/>
        <c:crosses val="autoZero"/>
        <c:auto val="1"/>
        <c:lblAlgn val="ctr"/>
        <c:lblOffset val="100"/>
        <c:noMultiLvlLbl val="0"/>
      </c:catAx>
      <c:valAx>
        <c:axId val="171139456"/>
        <c:scaling>
          <c:orientation val="minMax"/>
          <c:max val="23000"/>
          <c:min val="8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1100800"/>
        <c:crosses val="autoZero"/>
        <c:crossBetween val="midCat"/>
        <c:majorUnit val="3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2"/>
          <c:y val="6.4675925925925928E-2"/>
          <c:w val="0.79206254113289776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TEL!$B$237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6111111111141E-3"/>
                  <c:y val="-3.8681773879142255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Top Energy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TEL!$C$236:$F$236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TEL!$C$237:$F$237</c:f>
              <c:numCache>
                <c:formatCode>_(* #,##0.00_);_(* \(#,##0.00\);_(* "-"??_);_(@_)</c:formatCode>
                <c:ptCount val="4"/>
                <c:pt idx="0">
                  <c:v>6.3956900000000001</c:v>
                </c:pt>
                <c:pt idx="1">
                  <c:v>10.88180624</c:v>
                </c:pt>
                <c:pt idx="2">
                  <c:v>4.19263034</c:v>
                </c:pt>
                <c:pt idx="3">
                  <c:v>4.9260000000000002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5484626057300749"/>
                  <c:y val="-0.14699074074074298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TEL!$C$238:$F$238</c:f>
              <c:numCache>
                <c:formatCode>_(* #,##0.00_);_(* \(#,##0.00\);_(* "-"??_);_(@_)</c:formatCode>
                <c:ptCount val="4"/>
                <c:pt idx="0">
                  <c:v>6.48</c:v>
                </c:pt>
                <c:pt idx="1">
                  <c:v>6.48</c:v>
                </c:pt>
                <c:pt idx="2">
                  <c:v>6.48</c:v>
                </c:pt>
                <c:pt idx="3">
                  <c:v>7.6630000000000003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TEL!$B$239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6666666852E-3"/>
                  <c:y val="3.094054580896696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TEL!$C$236:$F$236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182336"/>
        <c:axId val="171204608"/>
      </c:lineChart>
      <c:catAx>
        <c:axId val="17118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204608"/>
        <c:crosses val="autoZero"/>
        <c:auto val="1"/>
        <c:lblAlgn val="ctr"/>
        <c:lblOffset val="100"/>
        <c:noMultiLvlLbl val="0"/>
      </c:catAx>
      <c:valAx>
        <c:axId val="171204608"/>
        <c:scaling>
          <c:orientation val="minMax"/>
          <c:max val="11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1182336"/>
        <c:crosses val="autoZero"/>
        <c:crossBetween val="midCat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88" l="0.70000000000000062" r="0.70000000000000062" t="0.75000000000001388" header="0.30000000000000032" footer="0.30000000000000032"/>
    <c:pageSetup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23"/>
          <c:y val="6.4675925925925928E-2"/>
          <c:w val="0.77442361111111335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TEL!$B$230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5495887607361E-3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Top Energy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TEL!$C$229:$F$229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TEL!$C$230:$F$230</c:f>
              <c:numCache>
                <c:formatCode>_(* #,##0.00_);_(* \(#,##0.00\);_(* "-"??_);_(@_)</c:formatCode>
                <c:ptCount val="4"/>
                <c:pt idx="0">
                  <c:v>818.30200000000002</c:v>
                </c:pt>
                <c:pt idx="1">
                  <c:v>915.15621999999996</c:v>
                </c:pt>
                <c:pt idx="2">
                  <c:v>463.03188299999999</c:v>
                </c:pt>
                <c:pt idx="3">
                  <c:v>440.017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TEL!$B$231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5293126830903339"/>
                  <c:y val="-0.14111111111111121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TEL!$C$229:$F$229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TEL!$C$231:$F$231</c:f>
              <c:numCache>
                <c:formatCode>_(* #,##0.00_);_(* \(#,##0.00\);_(* "-"??_);_(@_)</c:formatCode>
                <c:ptCount val="4"/>
                <c:pt idx="0">
                  <c:v>464.4</c:v>
                </c:pt>
                <c:pt idx="1">
                  <c:v>464.4</c:v>
                </c:pt>
                <c:pt idx="2">
                  <c:v>464.4</c:v>
                </c:pt>
                <c:pt idx="3">
                  <c:v>579.68100000000004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TEL!$B$232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6666666852E-3"/>
                  <c:y val="2.475146198830418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TEL!$C$229:$F$229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TEL!$C$232:$F$232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239296"/>
        <c:axId val="171240832"/>
      </c:lineChart>
      <c:catAx>
        <c:axId val="17123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240832"/>
        <c:crosses val="autoZero"/>
        <c:auto val="1"/>
        <c:lblAlgn val="ctr"/>
        <c:lblOffset val="100"/>
        <c:noMultiLvlLbl val="0"/>
      </c:catAx>
      <c:valAx>
        <c:axId val="171240832"/>
        <c:scaling>
          <c:orientation val="minMax"/>
          <c:max val="11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1239296"/>
        <c:crosses val="autoZero"/>
        <c:crossBetween val="midCat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Unison!$B$26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93318120603"/>
                  <c:y val="-0.3835364086112936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Unison!$C$26:$F$26</c:f>
              <c:numCache>
                <c:formatCode>0</c:formatCode>
                <c:ptCount val="4"/>
                <c:pt idx="0">
                  <c:v>1907.0711448033503</c:v>
                </c:pt>
                <c:pt idx="1">
                  <c:v>1919.554024951176</c:v>
                </c:pt>
                <c:pt idx="2">
                  <c:v>1947.0133856731536</c:v>
                </c:pt>
                <c:pt idx="3">
                  <c:v>2036.8351313033738</c:v>
                </c:pt>
              </c:numCache>
            </c:numRef>
          </c:val>
        </c:ser>
        <c:ser>
          <c:idx val="1"/>
          <c:order val="1"/>
          <c:tx>
            <c:strRef>
              <c:f>Unison!$B$27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176301637974705"/>
                  <c:y val="-7.839311228146428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Unison!$C$27:$F$27</c:f>
              <c:numCache>
                <c:formatCode>0</c:formatCode>
                <c:ptCount val="4"/>
                <c:pt idx="0">
                  <c:v>688.51140035337846</c:v>
                </c:pt>
                <c:pt idx="1">
                  <c:v>690.24616753671467</c:v>
                </c:pt>
                <c:pt idx="2">
                  <c:v>760.57015808956658</c:v>
                </c:pt>
                <c:pt idx="3">
                  <c:v>777.26932703306272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432576"/>
        <c:axId val="171438464"/>
      </c:areaChart>
      <c:catAx>
        <c:axId val="17143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438464"/>
        <c:crosses val="autoZero"/>
        <c:auto val="1"/>
        <c:lblAlgn val="ctr"/>
        <c:lblOffset val="100"/>
        <c:noMultiLvlLbl val="0"/>
      </c:catAx>
      <c:valAx>
        <c:axId val="171438464"/>
        <c:scaling>
          <c:orientation val="minMax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1432576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7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Unison!$B$28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Unison!$C$25:$F$25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Unison!$C$28:$F$28</c:f>
              <c:numCache>
                <c:formatCode>0</c:formatCode>
                <c:ptCount val="4"/>
                <c:pt idx="0">
                  <c:v>527.0933568704753</c:v>
                </c:pt>
                <c:pt idx="1">
                  <c:v>524.14578764569501</c:v>
                </c:pt>
                <c:pt idx="2">
                  <c:v>577.07293879337305</c:v>
                </c:pt>
                <c:pt idx="3">
                  <c:v>593.40798109918842</c:v>
                </c:pt>
              </c:numCache>
            </c:numRef>
          </c:val>
        </c:ser>
        <c:ser>
          <c:idx val="1"/>
          <c:order val="1"/>
          <c:tx>
            <c:strRef>
              <c:f>Unison!$B$29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Unison!$C$25:$F$25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Unison!$C$29:$F$29</c:f>
              <c:numCache>
                <c:formatCode>0</c:formatCode>
                <c:ptCount val="4"/>
                <c:pt idx="0">
                  <c:v>161.41804348290299</c:v>
                </c:pt>
                <c:pt idx="1">
                  <c:v>166.10037989101954</c:v>
                </c:pt>
                <c:pt idx="2">
                  <c:v>183.49721929619344</c:v>
                </c:pt>
                <c:pt idx="3">
                  <c:v>183.86134593387436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549824"/>
        <c:axId val="171551360"/>
      </c:barChart>
      <c:catAx>
        <c:axId val="1715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551360"/>
        <c:crosses val="autoZero"/>
        <c:auto val="1"/>
        <c:lblAlgn val="ctr"/>
        <c:lblOffset val="100"/>
        <c:noMultiLvlLbl val="0"/>
      </c:catAx>
      <c:valAx>
        <c:axId val="171551360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154982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367"/>
          <c:w val="0.89745624999998252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Unison!$B$40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Unison!$C$39:$F$39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Unison!$C$40:$F$40</c:f>
              <c:numCache>
                <c:formatCode>0</c:formatCode>
                <c:ptCount val="4"/>
                <c:pt idx="0">
                  <c:v>93275.729396937633</c:v>
                </c:pt>
                <c:pt idx="1">
                  <c:v>93428.34961438668</c:v>
                </c:pt>
                <c:pt idx="2">
                  <c:v>105688.23668454096</c:v>
                </c:pt>
                <c:pt idx="3">
                  <c:v>105661</c:v>
                </c:pt>
              </c:numCache>
            </c:numRef>
          </c:val>
        </c:ser>
        <c:ser>
          <c:idx val="1"/>
          <c:order val="1"/>
          <c:tx>
            <c:strRef>
              <c:f>Unison!$B$41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Unison!$C$39:$F$39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Unison!$C$41:$F$41</c:f>
              <c:numCache>
                <c:formatCode>0</c:formatCode>
                <c:ptCount val="4"/>
                <c:pt idx="0">
                  <c:v>9650.1440638989461</c:v>
                </c:pt>
                <c:pt idx="1">
                  <c:v>6310.4796052440097</c:v>
                </c:pt>
                <c:pt idx="2">
                  <c:v>6080.850737786639</c:v>
                </c:pt>
                <c:pt idx="3">
                  <c:v>5214.7259999999997</c:v>
                </c:pt>
              </c:numCache>
            </c:numRef>
          </c:val>
        </c:ser>
        <c:ser>
          <c:idx val="3"/>
          <c:order val="2"/>
          <c:tx>
            <c:strRef>
              <c:f>Unison!$B$42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Unison!$C$39:$F$39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Unison!$C$42:$F$42</c:f>
              <c:numCache>
                <c:formatCode>0</c:formatCode>
                <c:ptCount val="4"/>
                <c:pt idx="0">
                  <c:v>143.18697994069171</c:v>
                </c:pt>
                <c:pt idx="1">
                  <c:v>105.4229377088338</c:v>
                </c:pt>
                <c:pt idx="2">
                  <c:v>460.22322626714441</c:v>
                </c:pt>
                <c:pt idx="3">
                  <c:v>419.15827999999999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852928"/>
        <c:axId val="171854464"/>
      </c:barChart>
      <c:catAx>
        <c:axId val="1718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854464"/>
        <c:crosses val="autoZero"/>
        <c:auto val="1"/>
        <c:lblAlgn val="ctr"/>
        <c:lblOffset val="100"/>
        <c:noMultiLvlLbl val="0"/>
      </c:catAx>
      <c:valAx>
        <c:axId val="17185446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1852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798"/>
          <c:h val="0.2117129629629684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868E-2"/>
          <c:y val="9.9262962962965245E-2"/>
          <c:w val="0.81073204086216077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Unison!$B$45</c:f>
              <c:strCache>
                <c:ptCount val="1"/>
                <c:pt idx="0">
                  <c:v>Unison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Unison!$B$46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6.5548732943469787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Unison!$C$45:$F$45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Unison!$C$46:$F$46</c:f>
              <c:numCache>
                <c:formatCode>0.0</c:formatCode>
                <c:ptCount val="4"/>
                <c:pt idx="0">
                  <c:v>100</c:v>
                </c:pt>
                <c:pt idx="1">
                  <c:v>100.16362264700132</c:v>
                </c:pt>
                <c:pt idx="2">
                  <c:v>113.30732803469328</c:v>
                </c:pt>
                <c:pt idx="3">
                  <c:v>113.27812785076863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Unison!$B$47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Unison!$C$45:$F$45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Unison!$C$47:$F$47</c:f>
              <c:numCache>
                <c:formatCode>0.0</c:formatCode>
                <c:ptCount val="4"/>
                <c:pt idx="0">
                  <c:v>100</c:v>
                </c:pt>
                <c:pt idx="1">
                  <c:v>65.392594799195024</c:v>
                </c:pt>
                <c:pt idx="2">
                  <c:v>63.013056567051848</c:v>
                </c:pt>
                <c:pt idx="3">
                  <c:v>54.03780467390343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Unison!$B$42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3.4965034965034968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val>
            <c:numRef>
              <c:f>Unison!$C$42:$F$42</c:f>
              <c:numCache>
                <c:formatCode>0</c:formatCode>
                <c:ptCount val="4"/>
                <c:pt idx="0">
                  <c:v>143.18697994069171</c:v>
                </c:pt>
                <c:pt idx="1">
                  <c:v>105.4229377088338</c:v>
                </c:pt>
                <c:pt idx="2">
                  <c:v>460.22322626714441</c:v>
                </c:pt>
                <c:pt idx="3">
                  <c:v>419.15827999999999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580416"/>
        <c:axId val="171610880"/>
      </c:lineChart>
      <c:catAx>
        <c:axId val="17158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610880"/>
        <c:crossesAt val="0"/>
        <c:auto val="1"/>
        <c:lblAlgn val="ctr"/>
        <c:lblOffset val="100"/>
        <c:noMultiLvlLbl val="0"/>
      </c:catAx>
      <c:valAx>
        <c:axId val="171610880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1580416"/>
        <c:crosses val="autoZero"/>
        <c:crossBetween val="midCat"/>
        <c:maj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961"/>
          <c:h val="0.702040277777791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Unison!$B$54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Unison!$C$53:$F$53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Unison!$C$54:$F$54</c:f>
              <c:numCache>
                <c:formatCode>0</c:formatCode>
                <c:ptCount val="4"/>
                <c:pt idx="0">
                  <c:v>57945.755335747475</c:v>
                </c:pt>
                <c:pt idx="1">
                  <c:v>59164.81186684053</c:v>
                </c:pt>
                <c:pt idx="2">
                  <c:v>69113.707038344422</c:v>
                </c:pt>
                <c:pt idx="3">
                  <c:v>68243</c:v>
                </c:pt>
              </c:numCache>
            </c:numRef>
          </c:val>
        </c:ser>
        <c:ser>
          <c:idx val="1"/>
          <c:order val="1"/>
          <c:tx>
            <c:strRef>
              <c:f>Unison!$B$55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Unison!$C$53:$F$53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Unison!$C$55:$F$55</c:f>
              <c:numCache>
                <c:formatCode>0</c:formatCode>
                <c:ptCount val="4"/>
                <c:pt idx="0">
                  <c:v>21414.792244304408</c:v>
                </c:pt>
                <c:pt idx="1">
                  <c:v>19640.567870135212</c:v>
                </c:pt>
                <c:pt idx="2">
                  <c:v>23055.382844439649</c:v>
                </c:pt>
                <c:pt idx="3">
                  <c:v>18480</c:v>
                </c:pt>
              </c:numCache>
            </c:numRef>
          </c:val>
        </c:ser>
        <c:ser>
          <c:idx val="2"/>
          <c:order val="2"/>
          <c:tx>
            <c:strRef>
              <c:f>Unison!$B$56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Unison!$C$53:$F$53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Unison!$C$56:$F$56</c:f>
              <c:numCache>
                <c:formatCode>0</c:formatCode>
                <c:ptCount val="4"/>
                <c:pt idx="0">
                  <c:v>10967.951019360724</c:v>
                </c:pt>
                <c:pt idx="1">
                  <c:v>12617.899530509983</c:v>
                </c:pt>
                <c:pt idx="2">
                  <c:v>11592.076724421329</c:v>
                </c:pt>
                <c:pt idx="3">
                  <c:v>17024</c:v>
                </c:pt>
              </c:numCache>
            </c:numRef>
          </c:val>
        </c:ser>
        <c:ser>
          <c:idx val="3"/>
          <c:order val="3"/>
          <c:tx>
            <c:strRef>
              <c:f>Unison!$B$57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Unison!$C$53:$F$53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Unison!$C$57:$F$57</c:f>
              <c:numCache>
                <c:formatCode>0</c:formatCode>
                <c:ptCount val="4"/>
                <c:pt idx="0">
                  <c:v>2947.2307975250205</c:v>
                </c:pt>
                <c:pt idx="1">
                  <c:v>2005.0704507104119</c:v>
                </c:pt>
                <c:pt idx="2">
                  <c:v>1927.064983158632</c:v>
                </c:pt>
                <c:pt idx="3">
                  <c:v>1914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635456"/>
        <c:axId val="171636992"/>
      </c:barChart>
      <c:catAx>
        <c:axId val="17163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636992"/>
        <c:crosses val="autoZero"/>
        <c:auto val="1"/>
        <c:lblAlgn val="ctr"/>
        <c:lblOffset val="100"/>
        <c:noMultiLvlLbl val="0"/>
      </c:catAx>
      <c:valAx>
        <c:axId val="17163699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1635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8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 orientation="portrait"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0558428163998541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Unison!$B$61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75652979340337E-6"/>
                  <c:y val="-5.8796296296297805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Unison!$C$61:$F$61</c:f>
              <c:numCache>
                <c:formatCode>0.0</c:formatCode>
                <c:ptCount val="4"/>
                <c:pt idx="0">
                  <c:v>100</c:v>
                </c:pt>
                <c:pt idx="1">
                  <c:v>102.10378918012137</c:v>
                </c:pt>
                <c:pt idx="2">
                  <c:v>119.27311437721011</c:v>
                </c:pt>
                <c:pt idx="3">
                  <c:v>117.7704900118888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Unison!$B$62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751953969399295E-6"/>
                  <c:y val="2.558674463937621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Unison!$C$62:$F$62</c:f>
              <c:numCache>
                <c:formatCode>0.0</c:formatCode>
                <c:ptCount val="4"/>
                <c:pt idx="0">
                  <c:v>100</c:v>
                </c:pt>
                <c:pt idx="1">
                  <c:v>91.714958735398994</c:v>
                </c:pt>
                <c:pt idx="2">
                  <c:v>107.66101571950379</c:v>
                </c:pt>
                <c:pt idx="3">
                  <c:v>86.295490468346898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Unison!$B$63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094566224176908E-6"/>
                  <c:y val="-5.8805555555556093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Unison!$C$63:$F$63</c:f>
              <c:numCache>
                <c:formatCode>0.0</c:formatCode>
                <c:ptCount val="4"/>
                <c:pt idx="0">
                  <c:v>100</c:v>
                </c:pt>
                <c:pt idx="1">
                  <c:v>115.04336141031955</c:v>
                </c:pt>
                <c:pt idx="2">
                  <c:v>105.69044941902908</c:v>
                </c:pt>
                <c:pt idx="3">
                  <c:v>155.21586456712913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Unison!$B$64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527777777777877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Unison!$C$64:$F$64</c:f>
              <c:numCache>
                <c:formatCode>0.0</c:formatCode>
                <c:ptCount val="4"/>
                <c:pt idx="0">
                  <c:v>100</c:v>
                </c:pt>
                <c:pt idx="1">
                  <c:v>68.032352688299767</c:v>
                </c:pt>
                <c:pt idx="2">
                  <c:v>65.385615024683943</c:v>
                </c:pt>
                <c:pt idx="3">
                  <c:v>64.942318111201502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755392"/>
        <c:axId val="171756928"/>
      </c:lineChart>
      <c:catAx>
        <c:axId val="17175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756928"/>
        <c:crosses val="autoZero"/>
        <c:auto val="1"/>
        <c:lblAlgn val="ctr"/>
        <c:lblOffset val="100"/>
        <c:noMultiLvlLbl val="0"/>
      </c:catAx>
      <c:valAx>
        <c:axId val="171756928"/>
        <c:scaling>
          <c:orientation val="minMax"/>
          <c:max val="160"/>
          <c:min val="6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1755392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227523283556909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Buller!$B$120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3.52773148148157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Buller!$C$120:$F$120</c:f>
              <c:numCache>
                <c:formatCode>0.0</c:formatCode>
                <c:ptCount val="4"/>
                <c:pt idx="0">
                  <c:v>100</c:v>
                </c:pt>
                <c:pt idx="1">
                  <c:v>102.04174311926606</c:v>
                </c:pt>
                <c:pt idx="2">
                  <c:v>103.84981311586816</c:v>
                </c:pt>
                <c:pt idx="3">
                  <c:v>68.362283384301733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Buller!$B$121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801338294663E-3"/>
                  <c:y val="-2.939861111111112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Buller!$C$121:$F$121</c:f>
              <c:numCache>
                <c:formatCode>0.0</c:formatCode>
                <c:ptCount val="4"/>
                <c:pt idx="0">
                  <c:v>100</c:v>
                </c:pt>
                <c:pt idx="1">
                  <c:v>108.15253423012253</c:v>
                </c:pt>
                <c:pt idx="2">
                  <c:v>123.7328849387461</c:v>
                </c:pt>
                <c:pt idx="3">
                  <c:v>341.74278164785011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Buller!$B$122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009866764143629E-5"/>
                  <c:y val="-5.29166666666668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Buller!$C$122:$F$122</c:f>
              <c:numCache>
                <c:formatCode>0.0</c:formatCode>
                <c:ptCount val="4"/>
                <c:pt idx="0">
                  <c:v>100</c:v>
                </c:pt>
                <c:pt idx="1">
                  <c:v>114.67482716551443</c:v>
                </c:pt>
                <c:pt idx="2">
                  <c:v>114.23342822285483</c:v>
                </c:pt>
                <c:pt idx="3">
                  <c:v>132.05694997966651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Buller!$B$123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-2.939861111111110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Buller!$C$123:$F$123</c:f>
              <c:numCache>
                <c:formatCode>0.0</c:formatCode>
                <c:ptCount val="4"/>
                <c:pt idx="0">
                  <c:v>100</c:v>
                </c:pt>
                <c:pt idx="1">
                  <c:v>104.37078546620357</c:v>
                </c:pt>
                <c:pt idx="2">
                  <c:v>126.59631311781993</c:v>
                </c:pt>
                <c:pt idx="3">
                  <c:v>244.68189954581882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330304"/>
        <c:axId val="119331840"/>
      </c:lineChart>
      <c:catAx>
        <c:axId val="11933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9331840"/>
        <c:crosses val="autoZero"/>
        <c:auto val="1"/>
        <c:lblAlgn val="ctr"/>
        <c:lblOffset val="100"/>
        <c:noMultiLvlLbl val="0"/>
      </c:catAx>
      <c:valAx>
        <c:axId val="119331840"/>
        <c:scaling>
          <c:orientation val="minMax"/>
          <c:max val="4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9330304"/>
        <c:crosses val="autoZero"/>
        <c:crossBetween val="midCat"/>
        <c:maj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460351024323133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Unison!$B$84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354918846777024E-3"/>
                  <c:y val="-2.805987248455945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Unison!$C$84:$F$84</c:f>
              <c:numCache>
                <c:formatCode>0.00</c:formatCode>
                <c:ptCount val="4"/>
                <c:pt idx="0">
                  <c:v>7.7204856536869748</c:v>
                </c:pt>
                <c:pt idx="1">
                  <c:v>7.9255818739645534</c:v>
                </c:pt>
                <c:pt idx="2">
                  <c:v>8.8252311609418257</c:v>
                </c:pt>
                <c:pt idx="3">
                  <c:v>9.0335535297581533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Unison!$B$85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90197824254724E-3"/>
                  <c:y val="2.74454324782810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Unison!$C$85:$F$85</c:f>
              <c:numCache>
                <c:formatCode>0.00</c:formatCode>
                <c:ptCount val="4"/>
                <c:pt idx="0">
                  <c:v>5.8224911309275509</c:v>
                </c:pt>
                <c:pt idx="1">
                  <c:v>6.1033753455921484</c:v>
                </c:pt>
                <c:pt idx="2">
                  <c:v>6.2079876516652845</c:v>
                </c:pt>
                <c:pt idx="3">
                  <c:v>4.3218148703827381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Unison!$B$86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13218553147734E-3"/>
                  <c:y val="-2.8505678421996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Unison!$C$86:$F$86</c:f>
              <c:numCache>
                <c:formatCode>0.00</c:formatCode>
                <c:ptCount val="4"/>
                <c:pt idx="0">
                  <c:v>3.0663074100301815</c:v>
                </c:pt>
                <c:pt idx="1">
                  <c:v>3.1417812224987651</c:v>
                </c:pt>
                <c:pt idx="2">
                  <c:v>3.2117649352789677</c:v>
                </c:pt>
                <c:pt idx="3">
                  <c:v>5.3359096817047122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Unison!$B$87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99660429540984E-3"/>
                  <c:y val="-2.887427774457133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Unison!$C$87:$F$87</c:f>
              <c:numCache>
                <c:formatCode>0.00</c:formatCode>
                <c:ptCount val="4"/>
                <c:pt idx="0">
                  <c:v>3.1690586607306011</c:v>
                </c:pt>
                <c:pt idx="1">
                  <c:v>2.16542336390535</c:v>
                </c:pt>
                <c:pt idx="2">
                  <c:v>2.3117379185070308</c:v>
                </c:pt>
                <c:pt idx="3">
                  <c:v>2.2034764526594079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829888"/>
        <c:axId val="171917696"/>
      </c:lineChart>
      <c:catAx>
        <c:axId val="17182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917696"/>
        <c:crosses val="autoZero"/>
        <c:auto val="1"/>
        <c:lblAlgn val="ctr"/>
        <c:lblOffset val="100"/>
        <c:noMultiLvlLbl val="0"/>
      </c:catAx>
      <c:valAx>
        <c:axId val="17191769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1829888"/>
        <c:crosses val="autoZero"/>
        <c:crossBetween val="midCat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582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Unison!$B$90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-8.5574815700338747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Unison!$C$90:$F$90</c:f>
              <c:numCache>
                <c:formatCode>0.0</c:formatCode>
                <c:ptCount val="4"/>
                <c:pt idx="0">
                  <c:v>100</c:v>
                </c:pt>
                <c:pt idx="1">
                  <c:v>102.65651967346943</c:v>
                </c:pt>
                <c:pt idx="2">
                  <c:v>114.30927478930386</c:v>
                </c:pt>
                <c:pt idx="3">
                  <c:v>117.00758132286812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Unison!$B$91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5036252654544E-3"/>
                  <c:y val="-6.013548515640581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Unison!$C$91:$F$91</c:f>
              <c:numCache>
                <c:formatCode>0.0</c:formatCode>
                <c:ptCount val="4"/>
                <c:pt idx="0">
                  <c:v>100</c:v>
                </c:pt>
                <c:pt idx="1">
                  <c:v>104.82412438848749</c:v>
                </c:pt>
                <c:pt idx="2">
                  <c:v>106.62081765466462</c:v>
                </c:pt>
                <c:pt idx="3">
                  <c:v>74.226216463025381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Unison!$B$92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199260519208582E-3"/>
                  <c:y val="-2.842797369994023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Unison!$C$92:$F$92</c:f>
              <c:numCache>
                <c:formatCode>0.0</c:formatCode>
                <c:ptCount val="4"/>
                <c:pt idx="0">
                  <c:v>100</c:v>
                </c:pt>
                <c:pt idx="1">
                  <c:v>102.46139092974506</c:v>
                </c:pt>
                <c:pt idx="2">
                  <c:v>104.74373589461321</c:v>
                </c:pt>
                <c:pt idx="3">
                  <c:v>174.01744079052369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Unison!$B$93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2.16557083084280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Unison!$C$93:$F$93</c:f>
              <c:numCache>
                <c:formatCode>0.0</c:formatCode>
                <c:ptCount val="4"/>
                <c:pt idx="0">
                  <c:v>100</c:v>
                </c:pt>
                <c:pt idx="1">
                  <c:v>68.330176109966018</c:v>
                </c:pt>
                <c:pt idx="2">
                  <c:v>72.947148222686366</c:v>
                </c:pt>
                <c:pt idx="3">
                  <c:v>69.530945575851661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69920"/>
        <c:axId val="171992192"/>
      </c:lineChart>
      <c:catAx>
        <c:axId val="17196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992192"/>
        <c:crosses val="autoZero"/>
        <c:auto val="1"/>
        <c:lblAlgn val="ctr"/>
        <c:lblOffset val="100"/>
        <c:noMultiLvlLbl val="0"/>
      </c:catAx>
      <c:valAx>
        <c:axId val="171992192"/>
        <c:scaling>
          <c:orientation val="minMax"/>
          <c:max val="18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1969920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393292516689997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Unison!$B$120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243122740617068E-6"/>
                  <c:y val="-2.93990740740740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Unison!$C$120:$F$120</c:f>
              <c:numCache>
                <c:formatCode>0.0</c:formatCode>
                <c:ptCount val="4"/>
                <c:pt idx="0">
                  <c:v>100</c:v>
                </c:pt>
                <c:pt idx="1">
                  <c:v>99.461572927753465</c:v>
                </c:pt>
                <c:pt idx="2">
                  <c:v>104.34246442124287</c:v>
                </c:pt>
                <c:pt idx="3">
                  <c:v>100.65201645944251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Unison!$B$121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599648674489365E-3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Unison!$C$121:$F$121</c:f>
              <c:numCache>
                <c:formatCode>0.0</c:formatCode>
                <c:ptCount val="4"/>
                <c:pt idx="0">
                  <c:v>100</c:v>
                </c:pt>
                <c:pt idx="1">
                  <c:v>87.494132930216736</c:v>
                </c:pt>
                <c:pt idx="2">
                  <c:v>100.97560503447673</c:v>
                </c:pt>
                <c:pt idx="3">
                  <c:v>116.26012287900143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Unison!$B$122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017546479607951E-5"/>
                  <c:y val="1.175925925925926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Unison!$C$122:$F$122</c:f>
              <c:numCache>
                <c:formatCode>0.0</c:formatCode>
                <c:ptCount val="4"/>
                <c:pt idx="0">
                  <c:v>100</c:v>
                </c:pt>
                <c:pt idx="1">
                  <c:v>112.27971860073771</c:v>
                </c:pt>
                <c:pt idx="2">
                  <c:v>100.90383784417274</c:v>
                </c:pt>
                <c:pt idx="3">
                  <c:v>89.195579398258531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Unison!$B$123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243122740617068E-6"/>
                  <c:y val="-2.939861111111110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700" baseline="0"/>
                      <a:t> 5</a:t>
                    </a:r>
                    <a:endParaRPr lang="en-US" sz="80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Unison!$C$123:$F$123</c:f>
              <c:numCache>
                <c:formatCode>0.0</c:formatCode>
                <c:ptCount val="4"/>
                <c:pt idx="0">
                  <c:v>100</c:v>
                </c:pt>
                <c:pt idx="1">
                  <c:v>99.564140708218062</c:v>
                </c:pt>
                <c:pt idx="2">
                  <c:v>89.634230559748161</c:v>
                </c:pt>
                <c:pt idx="3">
                  <c:v>93.400596775079947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065152"/>
        <c:axId val="172066688"/>
      </c:lineChart>
      <c:catAx>
        <c:axId val="17206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2066688"/>
        <c:crosses val="autoZero"/>
        <c:auto val="1"/>
        <c:lblAlgn val="ctr"/>
        <c:lblOffset val="100"/>
        <c:noMultiLvlLbl val="0"/>
      </c:catAx>
      <c:valAx>
        <c:axId val="172066688"/>
        <c:scaling>
          <c:orientation val="minMax"/>
          <c:max val="16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2065152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6168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Unison!$B$113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Unison!$C$112:$F$112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Unison!$C$113:$F$113</c:f>
              <c:numCache>
                <c:formatCode>General</c:formatCode>
                <c:ptCount val="4"/>
                <c:pt idx="0">
                  <c:v>750545.47</c:v>
                </c:pt>
                <c:pt idx="1">
                  <c:v>746504.33</c:v>
                </c:pt>
                <c:pt idx="2">
                  <c:v>783137.64</c:v>
                </c:pt>
                <c:pt idx="3">
                  <c:v>755439.15</c:v>
                </c:pt>
              </c:numCache>
            </c:numRef>
          </c:val>
        </c:ser>
        <c:ser>
          <c:idx val="1"/>
          <c:order val="1"/>
          <c:tx>
            <c:strRef>
              <c:f>Unison!$B$114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Unison!$C$112:$F$112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Unison!$C$114:$F$114</c:f>
              <c:numCache>
                <c:formatCode>General</c:formatCode>
                <c:ptCount val="4"/>
                <c:pt idx="0">
                  <c:v>367794.33</c:v>
                </c:pt>
                <c:pt idx="1">
                  <c:v>321798.46000000002</c:v>
                </c:pt>
                <c:pt idx="2">
                  <c:v>371382.55</c:v>
                </c:pt>
                <c:pt idx="3">
                  <c:v>427598.14</c:v>
                </c:pt>
              </c:numCache>
            </c:numRef>
          </c:val>
        </c:ser>
        <c:ser>
          <c:idx val="2"/>
          <c:order val="2"/>
          <c:tx>
            <c:strRef>
              <c:f>Unison!$B$115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Unison!$C$112:$F$112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Unison!$C$115:$F$115</c:f>
              <c:numCache>
                <c:formatCode>General</c:formatCode>
                <c:ptCount val="4"/>
                <c:pt idx="0">
                  <c:v>357692.48</c:v>
                </c:pt>
                <c:pt idx="1">
                  <c:v>401616.11</c:v>
                </c:pt>
                <c:pt idx="2">
                  <c:v>360925.44</c:v>
                </c:pt>
                <c:pt idx="3">
                  <c:v>319045.88</c:v>
                </c:pt>
              </c:numCache>
            </c:numRef>
          </c:val>
        </c:ser>
        <c:ser>
          <c:idx val="3"/>
          <c:order val="3"/>
          <c:tx>
            <c:strRef>
              <c:f>Unison!$B$116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Unison!$C$112:$F$112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Unison!$C$116:$F$116</c:f>
              <c:numCache>
                <c:formatCode>General</c:formatCode>
                <c:ptCount val="4"/>
                <c:pt idx="0">
                  <c:v>93000.197</c:v>
                </c:pt>
                <c:pt idx="1">
                  <c:v>92594.846999999994</c:v>
                </c:pt>
                <c:pt idx="2">
                  <c:v>83360.010999999999</c:v>
                </c:pt>
                <c:pt idx="3">
                  <c:v>86862.739000000001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176512"/>
        <c:axId val="172178048"/>
      </c:barChart>
      <c:catAx>
        <c:axId val="17217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2178048"/>
        <c:crosses val="autoZero"/>
        <c:auto val="1"/>
        <c:lblAlgn val="ctr"/>
        <c:lblOffset val="100"/>
        <c:noMultiLvlLbl val="0"/>
      </c:catAx>
      <c:valAx>
        <c:axId val="17217804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21765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Unison!$U$138:$U$144</c:f>
              <c:strCache>
                <c:ptCount val="7"/>
                <c:pt idx="0">
                  <c:v>General management, admin and overheads</c:v>
                </c:pt>
                <c:pt idx="1">
                  <c:v>System management and operations</c:v>
                </c:pt>
                <c:pt idx="2">
                  <c:v>Routine and preventative maintenance</c:v>
                </c:pt>
                <c:pt idx="3">
                  <c:v>Fault and emergency maintenance</c:v>
                </c:pt>
                <c:pt idx="4">
                  <c:v>Refurbishment and renewal maintenance</c:v>
                </c:pt>
                <c:pt idx="5">
                  <c:v>Pass-through costs</c:v>
                </c:pt>
                <c:pt idx="6">
                  <c:v>Other</c:v>
                </c:pt>
              </c:strCache>
            </c:strRef>
          </c:cat>
          <c:val>
            <c:numRef>
              <c:f>Unison!$V$138:$V$144</c:f>
              <c:numCache>
                <c:formatCode>General</c:formatCode>
                <c:ptCount val="7"/>
                <c:pt idx="0">
                  <c:v>15380.415999999999</c:v>
                </c:pt>
                <c:pt idx="1">
                  <c:v>4433.0780000000004</c:v>
                </c:pt>
                <c:pt idx="2">
                  <c:v>4305.4694</c:v>
                </c:pt>
                <c:pt idx="3">
                  <c:v>3463.739</c:v>
                </c:pt>
                <c:pt idx="4">
                  <c:v>1243.4704999999999</c:v>
                </c:pt>
                <c:pt idx="5">
                  <c:v>685.76472999999999</c:v>
                </c:pt>
                <c:pt idx="6">
                  <c:v>-2.1940000000000001E-11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72202624"/>
        <c:axId val="172208512"/>
      </c:barChart>
      <c:catAx>
        <c:axId val="172202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2208512"/>
        <c:crosses val="autoZero"/>
        <c:auto val="1"/>
        <c:lblAlgn val="ctr"/>
        <c:lblOffset val="100"/>
        <c:noMultiLvlLbl val="0"/>
      </c:catAx>
      <c:valAx>
        <c:axId val="172208512"/>
        <c:scaling>
          <c:orientation val="minMax"/>
          <c:max val="160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220262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27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Unison!$U$186:$U$191</c:f>
              <c:strCache>
                <c:ptCount val="6"/>
                <c:pt idx="0">
                  <c:v>Asset replacement and renewal</c:v>
                </c:pt>
                <c:pt idx="1">
                  <c:v>Non-network capex</c:v>
                </c:pt>
                <c:pt idx="2">
                  <c:v>Customer connection</c:v>
                </c:pt>
                <c:pt idx="3">
                  <c:v>Reliability, safety and environment</c:v>
                </c:pt>
                <c:pt idx="4">
                  <c:v>System growth</c:v>
                </c:pt>
                <c:pt idx="5">
                  <c:v>Asset relocations</c:v>
                </c:pt>
              </c:strCache>
            </c:strRef>
          </c:cat>
          <c:val>
            <c:numRef>
              <c:f>Unison!$V$186:$V$191</c:f>
              <c:numCache>
                <c:formatCode>General</c:formatCode>
                <c:ptCount val="6"/>
                <c:pt idx="0">
                  <c:v>9.9209472999999999</c:v>
                </c:pt>
                <c:pt idx="1">
                  <c:v>8.7846109000000006</c:v>
                </c:pt>
                <c:pt idx="2">
                  <c:v>8.641350000000001</c:v>
                </c:pt>
                <c:pt idx="3">
                  <c:v>5.2612479999999993</c:v>
                </c:pt>
                <c:pt idx="4">
                  <c:v>2.6640722999999999</c:v>
                </c:pt>
                <c:pt idx="5">
                  <c:v>0.97006899999999996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72261376"/>
        <c:axId val="172262912"/>
      </c:barChart>
      <c:catAx>
        <c:axId val="172261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2262912"/>
        <c:crosses val="autoZero"/>
        <c:auto val="1"/>
        <c:lblAlgn val="ctr"/>
        <c:lblOffset val="100"/>
        <c:noMultiLvlLbl val="0"/>
      </c:catAx>
      <c:valAx>
        <c:axId val="172262912"/>
        <c:scaling>
          <c:orientation val="minMax"/>
          <c:max val="10"/>
          <c:min val="0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2261376"/>
        <c:crosses val="autoZero"/>
        <c:crossBetween val="between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68744841764"/>
          <c:h val="0.82404629629630965"/>
        </c:manualLayout>
      </c:layout>
      <c:lineChart>
        <c:grouping val="standard"/>
        <c:varyColors val="0"/>
        <c:ser>
          <c:idx val="0"/>
          <c:order val="0"/>
          <c:tx>
            <c:strRef>
              <c:f>Unison!$B$76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5.8796296296297719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Unison!$C$76:$F$76</c:f>
              <c:numCache>
                <c:formatCode>0.0</c:formatCode>
                <c:ptCount val="4"/>
                <c:pt idx="0">
                  <c:v>100</c:v>
                </c:pt>
                <c:pt idx="1">
                  <c:v>102.86171762578506</c:v>
                </c:pt>
                <c:pt idx="2">
                  <c:v>119.75496168986288</c:v>
                </c:pt>
                <c:pt idx="3">
                  <c:v>117.47117830327547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Unison!$B$77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939722222222224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Unison!$C$77:$F$77</c:f>
              <c:numCache>
                <c:formatCode>0.0</c:formatCode>
                <c:ptCount val="4"/>
                <c:pt idx="0">
                  <c:v>100</c:v>
                </c:pt>
                <c:pt idx="1">
                  <c:v>90.695082481935245</c:v>
                </c:pt>
                <c:pt idx="2">
                  <c:v>99.72946745997514</c:v>
                </c:pt>
                <c:pt idx="3">
                  <c:v>81.362804166222574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Unison!$B$78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1.763842592592592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Unison!$C$78:$F$78</c:f>
              <c:numCache>
                <c:formatCode>0.0</c:formatCode>
                <c:ptCount val="4"/>
                <c:pt idx="0">
                  <c:v>100</c:v>
                </c:pt>
                <c:pt idx="1">
                  <c:v>107.64110759303355</c:v>
                </c:pt>
                <c:pt idx="2">
                  <c:v>107.85370423169924</c:v>
                </c:pt>
                <c:pt idx="3">
                  <c:v>97.428663190518094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Unison!$B$79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115740740740737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Unison!$C$79:$F$79</c:f>
              <c:numCache>
                <c:formatCode>0.0</c:formatCode>
                <c:ptCount val="4"/>
                <c:pt idx="0">
                  <c:v>100</c:v>
                </c:pt>
                <c:pt idx="1">
                  <c:v>68.032352688299781</c:v>
                </c:pt>
                <c:pt idx="2">
                  <c:v>65.385615024683943</c:v>
                </c:pt>
                <c:pt idx="3">
                  <c:v>64.942318111201516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307200"/>
        <c:axId val="172308736"/>
      </c:lineChart>
      <c:catAx>
        <c:axId val="1723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2308736"/>
        <c:crosses val="autoZero"/>
        <c:auto val="1"/>
        <c:lblAlgn val="ctr"/>
        <c:lblOffset val="100"/>
        <c:noMultiLvlLbl val="0"/>
      </c:catAx>
      <c:valAx>
        <c:axId val="172308736"/>
        <c:scaling>
          <c:orientation val="minMax"/>
          <c:max val="16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2307200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3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493"/>
          <c:y val="0.16445370370370369"/>
          <c:w val="0.7033004190798231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Unison!$B$70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Unison!$C$69:$F$69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Unison!$C$70:$F$70</c:f>
              <c:numCache>
                <c:formatCode>0</c:formatCode>
                <c:ptCount val="4"/>
                <c:pt idx="0">
                  <c:v>570.05170030248371</c:v>
                </c:pt>
                <c:pt idx="1">
                  <c:v>586.36497028612735</c:v>
                </c:pt>
                <c:pt idx="2">
                  <c:v>682.66519530965138</c:v>
                </c:pt>
                <c:pt idx="3">
                  <c:v>669.6464492831841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357504"/>
        <c:axId val="172359040"/>
      </c:lineChart>
      <c:catAx>
        <c:axId val="1723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2359040"/>
        <c:crosses val="autoZero"/>
        <c:auto val="1"/>
        <c:lblAlgn val="ctr"/>
        <c:lblOffset val="100"/>
        <c:noMultiLvlLbl val="0"/>
      </c:catAx>
      <c:valAx>
        <c:axId val="172359040"/>
        <c:scaling>
          <c:orientation val="minMax"/>
          <c:max val="800"/>
          <c:min val="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2357504"/>
        <c:crosses val="autoZero"/>
        <c:crossBetween val="midCat"/>
        <c:majorUnit val="8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9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918"/>
          <c:y val="0.17621296296296796"/>
          <c:w val="0.73692152777777775"/>
          <c:h val="0.57282407407409897"/>
        </c:manualLayout>
      </c:layout>
      <c:lineChart>
        <c:grouping val="standard"/>
        <c:varyColors val="0"/>
        <c:ser>
          <c:idx val="1"/>
          <c:order val="0"/>
          <c:tx>
            <c:strRef>
              <c:f>Unison!$B$71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Unison!$C$69:$F$69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Unison!$C$71:$F$71</c:f>
              <c:numCache>
                <c:formatCode>0</c:formatCode>
                <c:ptCount val="4"/>
                <c:pt idx="0">
                  <c:v>3490.0248116532607</c:v>
                </c:pt>
                <c:pt idx="1">
                  <c:v>3165.28088156893</c:v>
                </c:pt>
                <c:pt idx="2">
                  <c:v>3480.5831588827973</c:v>
                </c:pt>
                <c:pt idx="3">
                  <c:v>2839.5820528580207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384256"/>
        <c:axId val="172385792"/>
      </c:lineChart>
      <c:catAx>
        <c:axId val="17238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2385792"/>
        <c:crosses val="autoZero"/>
        <c:auto val="1"/>
        <c:lblAlgn val="ctr"/>
        <c:lblOffset val="100"/>
        <c:noMultiLvlLbl val="0"/>
      </c:catAx>
      <c:valAx>
        <c:axId val="172385792"/>
        <c:scaling>
          <c:orientation val="minMax"/>
          <c:max val="4000"/>
          <c:min val="2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2384256"/>
        <c:crosses val="autoZero"/>
        <c:crossBetween val="midCat"/>
        <c:majorUnit val="4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9000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Unison!$B$72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Unison!$C$69:$F$69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Unison!$C$72:$F$72</c:f>
              <c:numCache>
                <c:formatCode>0</c:formatCode>
                <c:ptCount val="4"/>
                <c:pt idx="0">
                  <c:v>31426.793751749927</c:v>
                </c:pt>
                <c:pt idx="1">
                  <c:v>33828.148875361883</c:v>
                </c:pt>
                <c:pt idx="2">
                  <c:v>33894.961182518506</c:v>
                </c:pt>
                <c:pt idx="3">
                  <c:v>30618.705035971223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22656"/>
        <c:axId val="172424192"/>
      </c:lineChart>
      <c:catAx>
        <c:axId val="17242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2424192"/>
        <c:crosses val="autoZero"/>
        <c:auto val="1"/>
        <c:lblAlgn val="ctr"/>
        <c:lblOffset val="100"/>
        <c:noMultiLvlLbl val="0"/>
      </c:catAx>
      <c:valAx>
        <c:axId val="172424192"/>
        <c:scaling>
          <c:orientation val="minMax"/>
          <c:max val="40000"/>
          <c:min val="2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2422656"/>
        <c:crosses val="autoZero"/>
        <c:crossBetween val="midCat"/>
        <c:maj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557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Buller!$B$113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Buller!$C$112:$F$112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Buller!$C$113:$F$113</c:f>
              <c:numCache>
                <c:formatCode>General</c:formatCode>
                <c:ptCount val="4"/>
                <c:pt idx="0">
                  <c:v>29430</c:v>
                </c:pt>
                <c:pt idx="1">
                  <c:v>30030.884999999998</c:v>
                </c:pt>
                <c:pt idx="2">
                  <c:v>30563</c:v>
                </c:pt>
                <c:pt idx="3">
                  <c:v>20119.02</c:v>
                </c:pt>
              </c:numCache>
            </c:numRef>
          </c:val>
        </c:ser>
        <c:ser>
          <c:idx val="1"/>
          <c:order val="1"/>
          <c:tx>
            <c:strRef>
              <c:f>Buller!$B$114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Buller!$C$112:$F$112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Buller!$C$114:$F$114</c:f>
              <c:numCache>
                <c:formatCode>General</c:formatCode>
                <c:ptCount val="4"/>
                <c:pt idx="0">
                  <c:v>4163</c:v>
                </c:pt>
                <c:pt idx="1">
                  <c:v>4502.3900000000003</c:v>
                </c:pt>
                <c:pt idx="2">
                  <c:v>5151</c:v>
                </c:pt>
                <c:pt idx="3">
                  <c:v>14226.752</c:v>
                </c:pt>
              </c:numCache>
            </c:numRef>
          </c:val>
        </c:ser>
        <c:ser>
          <c:idx val="2"/>
          <c:order val="2"/>
          <c:tx>
            <c:strRef>
              <c:f>Buller!$B$115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Buller!$C$112:$F$112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Buller!$C$115:$F$115</c:f>
              <c:numCache>
                <c:formatCode>General</c:formatCode>
                <c:ptCount val="4"/>
                <c:pt idx="0">
                  <c:v>2459</c:v>
                </c:pt>
                <c:pt idx="1">
                  <c:v>2819.8539999999998</c:v>
                </c:pt>
                <c:pt idx="2">
                  <c:v>2809</c:v>
                </c:pt>
                <c:pt idx="3">
                  <c:v>3247.2804000000001</c:v>
                </c:pt>
              </c:numCache>
            </c:numRef>
          </c:val>
        </c:ser>
        <c:ser>
          <c:idx val="3"/>
          <c:order val="3"/>
          <c:tx>
            <c:strRef>
              <c:f>Buller!$B$116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Buller!$C$112:$F$112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Buller!$C$116:$F$116</c:f>
              <c:numCache>
                <c:formatCode>General</c:formatCode>
                <c:ptCount val="4"/>
                <c:pt idx="0">
                  <c:v>7486</c:v>
                </c:pt>
                <c:pt idx="1">
                  <c:v>7813.1970000000001</c:v>
                </c:pt>
                <c:pt idx="2">
                  <c:v>9477</c:v>
                </c:pt>
                <c:pt idx="3">
                  <c:v>18316.886999999999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441664"/>
        <c:axId val="119468032"/>
      </c:barChart>
      <c:catAx>
        <c:axId val="11944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9468032"/>
        <c:crosses val="autoZero"/>
        <c:auto val="1"/>
        <c:lblAlgn val="ctr"/>
        <c:lblOffset val="100"/>
        <c:noMultiLvlLbl val="0"/>
      </c:catAx>
      <c:valAx>
        <c:axId val="11946803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9441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Unison!$B$73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Unison!$C$69:$F$69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Unison!$C$73:$F$73</c:f>
              <c:numCache>
                <c:formatCode>0</c:formatCode>
                <c:ptCount val="4"/>
                <c:pt idx="0">
                  <c:v>589446.15950500406</c:v>
                </c:pt>
                <c:pt idx="1">
                  <c:v>401014.09014208242</c:v>
                </c:pt>
                <c:pt idx="2">
                  <c:v>385412.99663172639</c:v>
                </c:pt>
                <c:pt idx="3">
                  <c:v>382800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452864"/>
        <c:axId val="172458752"/>
      </c:lineChart>
      <c:catAx>
        <c:axId val="17245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2458752"/>
        <c:crosses val="autoZero"/>
        <c:auto val="1"/>
        <c:lblAlgn val="ctr"/>
        <c:lblOffset val="100"/>
        <c:noMultiLvlLbl val="0"/>
      </c:catAx>
      <c:valAx>
        <c:axId val="172458752"/>
        <c:scaling>
          <c:orientation val="minMax"/>
          <c:max val="600000"/>
          <c:min val="3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2452864"/>
        <c:crosses val="autoZero"/>
        <c:crossBetween val="midCat"/>
        <c:majorUnit val="6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49"/>
          <c:y val="6.4675925925925928E-2"/>
          <c:w val="0.78719125970247261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Unison!$B$105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21919363997841E-4"/>
                  <c:y val="-4.629629629629779E-7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Unison!$C$105:$F$105</c:f>
              <c:numCache>
                <c:formatCode>0.0</c:formatCode>
                <c:ptCount val="4"/>
                <c:pt idx="0">
                  <c:v>100</c:v>
                </c:pt>
                <c:pt idx="1">
                  <c:v>99.263157894736835</c:v>
                </c:pt>
                <c:pt idx="2">
                  <c:v>99.597638957206101</c:v>
                </c:pt>
                <c:pt idx="3">
                  <c:v>100.25479586817512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Unison!$B$106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20764299473338454"/>
                  <c:y val="-3.16421296296300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Unison!$C$106:$F$106</c:f>
              <c:numCache>
                <c:formatCode>0.0</c:formatCode>
                <c:ptCount val="4"/>
                <c:pt idx="0">
                  <c:v>100</c:v>
                </c:pt>
                <c:pt idx="1">
                  <c:v>101.1245110821382</c:v>
                </c:pt>
                <c:pt idx="2">
                  <c:v>107.95306388526727</c:v>
                </c:pt>
                <c:pt idx="3">
                  <c:v>106.06258148631029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Unison!$B$107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727995457130212E-5"/>
                  <c:y val="2.824074074074121E-5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Unison!$C$107:$F$107</c:f>
              <c:numCache>
                <c:formatCode>0.0</c:formatCode>
                <c:ptCount val="4"/>
                <c:pt idx="0">
                  <c:v>100</c:v>
                </c:pt>
                <c:pt idx="1">
                  <c:v>106.87679083094557</c:v>
                </c:pt>
                <c:pt idx="2">
                  <c:v>97.994269340974213</c:v>
                </c:pt>
                <c:pt idx="3">
                  <c:v>159.31232091690543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06112"/>
        <c:axId val="172536576"/>
      </c:lineChart>
      <c:catAx>
        <c:axId val="17250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2536576"/>
        <c:crosses val="autoZero"/>
        <c:auto val="1"/>
        <c:lblAlgn val="ctr"/>
        <c:lblOffset val="100"/>
        <c:noMultiLvlLbl val="0"/>
      </c:catAx>
      <c:valAx>
        <c:axId val="172536576"/>
        <c:scaling>
          <c:orientation val="minMax"/>
          <c:max val="16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2506112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1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Unison!$B$98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Unison!$C$97:$F$97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Unison!$C$98:$F$98</c:f>
              <c:numCache>
                <c:formatCode>General</c:formatCode>
                <c:ptCount val="4"/>
                <c:pt idx="0">
                  <c:v>101650</c:v>
                </c:pt>
                <c:pt idx="1">
                  <c:v>100901</c:v>
                </c:pt>
                <c:pt idx="2">
                  <c:v>101241</c:v>
                </c:pt>
                <c:pt idx="3">
                  <c:v>101909</c:v>
                </c:pt>
              </c:numCache>
            </c:numRef>
          </c:val>
        </c:ser>
        <c:ser>
          <c:idx val="1"/>
          <c:order val="1"/>
          <c:tx>
            <c:strRef>
              <c:f>Unison!$B$99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Unison!$C$97:$F$97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Unison!$C$99:$F$99</c:f>
              <c:numCache>
                <c:formatCode>General</c:formatCode>
                <c:ptCount val="4"/>
                <c:pt idx="0">
                  <c:v>6136</c:v>
                </c:pt>
                <c:pt idx="1">
                  <c:v>6205</c:v>
                </c:pt>
                <c:pt idx="2">
                  <c:v>6624</c:v>
                </c:pt>
                <c:pt idx="3">
                  <c:v>6508</c:v>
                </c:pt>
              </c:numCache>
            </c:numRef>
          </c:val>
        </c:ser>
        <c:ser>
          <c:idx val="2"/>
          <c:order val="2"/>
          <c:tx>
            <c:strRef>
              <c:f>Unison!$B$100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Unison!$C$97:$F$97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Unison!$C$100:$F$100</c:f>
              <c:numCache>
                <c:formatCode>General</c:formatCode>
                <c:ptCount val="4"/>
                <c:pt idx="0">
                  <c:v>349</c:v>
                </c:pt>
                <c:pt idx="1">
                  <c:v>373</c:v>
                </c:pt>
                <c:pt idx="2">
                  <c:v>342</c:v>
                </c:pt>
                <c:pt idx="3">
                  <c:v>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2546688"/>
        <c:axId val="172687744"/>
      </c:barChart>
      <c:catAx>
        <c:axId val="17254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2687744"/>
        <c:crosses val="autoZero"/>
        <c:auto val="1"/>
        <c:lblAlgn val="ctr"/>
        <c:lblOffset val="100"/>
        <c:noMultiLvlLbl val="0"/>
      </c:catAx>
      <c:valAx>
        <c:axId val="17268774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2546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3.5277777777779504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Unison!$B$209</c:f>
              <c:strCache>
                <c:ptCount val="1"/>
                <c:pt idx="0">
                  <c:v>Unison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Unison!$C$204:$F$204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Unison!$C$209:$F$209</c:f>
              <c:numCache>
                <c:formatCode>_(* #,##0.00_);_(* \(#,##0.00\);_(* "-"??_);_(@_)</c:formatCode>
                <c:ptCount val="4"/>
                <c:pt idx="0">
                  <c:v>24981.277010400521</c:v>
                </c:pt>
                <c:pt idx="1">
                  <c:v>21539.027410536404</c:v>
                </c:pt>
                <c:pt idx="2">
                  <c:v>23207.144514081338</c:v>
                </c:pt>
                <c:pt idx="3">
                  <c:v>22809.019296829942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Unison!$B$210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6.7246510251394824E-3"/>
                  <c:y val="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Unison!$C$204:$F$204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734336"/>
        <c:axId val="172735872"/>
      </c:lineChart>
      <c:catAx>
        <c:axId val="17273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2735872"/>
        <c:crosses val="autoZero"/>
        <c:auto val="1"/>
        <c:lblAlgn val="ctr"/>
        <c:lblOffset val="100"/>
        <c:noMultiLvlLbl val="0"/>
      </c:catAx>
      <c:valAx>
        <c:axId val="172735872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2734336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36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Unison!$C$204:$F$204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Unison!$C$212:$F$212</c:f>
              <c:numCache>
                <c:formatCode>_(* #,##0.00_);_(* \(#,##0.00\);_(* "-"??_);_(@_)</c:formatCode>
                <c:ptCount val="4"/>
                <c:pt idx="0">
                  <c:v>9.5908715226034155E-2</c:v>
                </c:pt>
                <c:pt idx="1">
                  <c:v>7.9827415196667709E-2</c:v>
                </c:pt>
                <c:pt idx="2">
                  <c:v>8.2033766327087212E-2</c:v>
                </c:pt>
                <c:pt idx="3">
                  <c:v>7.6025769717356875E-2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426659205447034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Unison!$C$204:$F$204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791680"/>
        <c:axId val="172793216"/>
      </c:lineChart>
      <c:catAx>
        <c:axId val="17279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2793216"/>
        <c:crosses val="autoZero"/>
        <c:auto val="1"/>
        <c:lblAlgn val="ctr"/>
        <c:lblOffset val="100"/>
        <c:noMultiLvlLbl val="0"/>
      </c:catAx>
      <c:valAx>
        <c:axId val="172793216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2791680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49"/>
          <c:w val="0.79809047321242665"/>
          <c:h val="0.72979551178440416"/>
        </c:manualLayout>
      </c:layout>
      <c:lineChart>
        <c:grouping val="standard"/>
        <c:varyColors val="0"/>
        <c:ser>
          <c:idx val="0"/>
          <c:order val="0"/>
          <c:tx>
            <c:strRef>
              <c:f>Unison!$B$206</c:f>
              <c:strCache>
                <c:ptCount val="1"/>
                <c:pt idx="0">
                  <c:v>Unison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Unison!$C$204:$F$204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Unison!$C$206:$F$206</c:f>
              <c:numCache>
                <c:formatCode>_(* #,##0.00_);_(* \(#,##0.00\);_(* "-"??_);_(@_)</c:formatCode>
                <c:ptCount val="4"/>
                <c:pt idx="0">
                  <c:v>362.4600975240603</c:v>
                </c:pt>
                <c:pt idx="1">
                  <c:v>313.1166166682757</c:v>
                </c:pt>
                <c:pt idx="2">
                  <c:v>342.87984290665958</c:v>
                </c:pt>
                <c:pt idx="3">
                  <c:v>332.56526913688998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Unison!$B$207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Unison!$C$204:$F$204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837504"/>
        <c:axId val="172872064"/>
      </c:lineChart>
      <c:catAx>
        <c:axId val="17283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2872064"/>
        <c:crosses val="autoZero"/>
        <c:auto val="1"/>
        <c:lblAlgn val="ctr"/>
        <c:lblOffset val="100"/>
        <c:noMultiLvlLbl val="0"/>
      </c:catAx>
      <c:valAx>
        <c:axId val="172872064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2837504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353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Unison!$B$162</c:f>
              <c:strCache>
                <c:ptCount val="1"/>
                <c:pt idx="0">
                  <c:v>Unison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Unison!$C$160:$F$160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Unison!$C$162:$F$162</c:f>
              <c:numCache>
                <c:formatCode>_(* #,##0.00_);_(* \(#,##0.00\);_(* "-"??_);_(@_)</c:formatCode>
                <c:ptCount val="4"/>
                <c:pt idx="0">
                  <c:v>217.93697711852431</c:v>
                </c:pt>
                <c:pt idx="1">
                  <c:v>207.24011531067993</c:v>
                </c:pt>
                <c:pt idx="2">
                  <c:v>242.66200208269842</c:v>
                </c:pt>
                <c:pt idx="3">
                  <c:v>270.80638293967587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Unison!$B$163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Unison!$C$160:$F$160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221760"/>
        <c:axId val="173223296"/>
      </c:lineChart>
      <c:catAx>
        <c:axId val="17322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3223296"/>
        <c:crosses val="autoZero"/>
        <c:auto val="1"/>
        <c:lblAlgn val="ctr"/>
        <c:lblOffset val="100"/>
        <c:noMultiLvlLbl val="0"/>
      </c:catAx>
      <c:valAx>
        <c:axId val="173223296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322176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30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Unison!$C$160:$F$160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Unison!$C$165:$F$165</c:f>
              <c:numCache>
                <c:formatCode>_(* #,##0.00_);_(* \(#,##0.00\);_(* "-"??_);_(@_)</c:formatCode>
                <c:ptCount val="4"/>
                <c:pt idx="0">
                  <c:v>3000.7263439772369</c:v>
                </c:pt>
                <c:pt idx="1">
                  <c:v>2821.40551666284</c:v>
                </c:pt>
                <c:pt idx="2">
                  <c:v>3303.4269177724191</c:v>
                </c:pt>
                <c:pt idx="3">
                  <c:v>3697.3732708617254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Unison!$C$160:$F$160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265664"/>
        <c:axId val="173267200"/>
      </c:lineChart>
      <c:catAx>
        <c:axId val="17326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3267200"/>
        <c:crosses val="autoZero"/>
        <c:auto val="1"/>
        <c:lblAlgn val="ctr"/>
        <c:lblOffset val="100"/>
        <c:noMultiLvlLbl val="0"/>
      </c:catAx>
      <c:valAx>
        <c:axId val="173267200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3265664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26327073267044"/>
          <c:y val="0.13550222222222241"/>
          <c:w val="0.7695508593816110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Unison!$B$168</c:f>
              <c:strCache>
                <c:ptCount val="1"/>
                <c:pt idx="0">
                  <c:v>Unison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Unison!$C$160:$F$160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Unison!$C$168:$F$168</c:f>
              <c:numCache>
                <c:formatCode>_(* #,##0.00_);_(* \(#,##0.00\);_(* "-"??_);_(@_)</c:formatCode>
                <c:ptCount val="4"/>
                <c:pt idx="0">
                  <c:v>15.02053338670135</c:v>
                </c:pt>
                <c:pt idx="1">
                  <c:v>14.255872370288413</c:v>
                </c:pt>
                <c:pt idx="2">
                  <c:v>16.424098024165627</c:v>
                </c:pt>
                <c:pt idx="3">
                  <c:v>18.57328045771758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Unison!$B$169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Unison!$C$160:$F$160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924928"/>
        <c:axId val="172926464"/>
      </c:lineChart>
      <c:catAx>
        <c:axId val="17292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2926464"/>
        <c:crosses val="autoZero"/>
        <c:auto val="1"/>
        <c:lblAlgn val="ctr"/>
        <c:lblOffset val="100"/>
        <c:noMultiLvlLbl val="0"/>
      </c:catAx>
      <c:valAx>
        <c:axId val="172926464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2924928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868"/>
          <c:h val="0.7759916666667002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Unison!$B$178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Unison!$C$178:$D$178</c:f>
              <c:numCache>
                <c:formatCode>_-* #,##0_-;\-* #,##0_-;_-* "-"??_-;_-@_-</c:formatCode>
                <c:ptCount val="2"/>
                <c:pt idx="0">
                  <c:v>9561.1149839670161</c:v>
                </c:pt>
                <c:pt idx="1">
                  <c:v>9012.678899999999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73044480"/>
        <c:axId val="173046016"/>
      </c:barChart>
      <c:lineChart>
        <c:grouping val="standard"/>
        <c:varyColors val="0"/>
        <c:ser>
          <c:idx val="1"/>
          <c:order val="0"/>
          <c:tx>
            <c:strRef>
              <c:f>Unison!$B$179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Unison!$C$177:$D$177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Unison!$C$179:$D$179</c:f>
              <c:numCache>
                <c:formatCode>_-* #,##0_-;\-* #,##0_-;_-* "-"??_-;_-@_-</c:formatCode>
                <c:ptCount val="2"/>
                <c:pt idx="0">
                  <c:v>9388.5680795451462</c:v>
                </c:pt>
                <c:pt idx="1">
                  <c:v>9607.6176874781049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Unison!$B$180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Unison!$C$177:$D$177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Unison!$C$180:$D$180</c:f>
              <c:numCache>
                <c:formatCode>_-* #,##0_-;\-* #,##0_-;_-* "-"??_-;_-@_-</c:formatCode>
                <c:ptCount val="2"/>
                <c:pt idx="1">
                  <c:v>11036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044480"/>
        <c:axId val="173046016"/>
      </c:lineChart>
      <c:catAx>
        <c:axId val="1730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3046016"/>
        <c:crosses val="autoZero"/>
        <c:auto val="1"/>
        <c:lblAlgn val="ctr"/>
        <c:lblOffset val="100"/>
        <c:noMultiLvlLbl val="0"/>
      </c:catAx>
      <c:valAx>
        <c:axId val="17304601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3044480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351"/>
          <c:y val="3.5277777777779545E-2"/>
          <c:w val="0.77172275936750712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Buller!$U$138:$U$144</c:f>
              <c:strCache>
                <c:ptCount val="7"/>
                <c:pt idx="0">
                  <c:v>General management, admin and overheads</c:v>
                </c:pt>
                <c:pt idx="1">
                  <c:v>Routine and preventative maintenance</c:v>
                </c:pt>
                <c:pt idx="2">
                  <c:v>Refurbishment and renewal maintenance</c:v>
                </c:pt>
                <c:pt idx="3">
                  <c:v>System management and operations</c:v>
                </c:pt>
                <c:pt idx="4">
                  <c:v>Fault and emergency maintenance</c:v>
                </c:pt>
                <c:pt idx="5">
                  <c:v>Pass-through costs</c:v>
                </c:pt>
                <c:pt idx="6">
                  <c:v>Other</c:v>
                </c:pt>
              </c:strCache>
            </c:strRef>
          </c:cat>
          <c:val>
            <c:numRef>
              <c:f>Buller!$V$138:$V$144</c:f>
              <c:numCache>
                <c:formatCode>General</c:formatCode>
                <c:ptCount val="7"/>
                <c:pt idx="0">
                  <c:v>1709.944</c:v>
                </c:pt>
                <c:pt idx="1">
                  <c:v>323.79111999999998</c:v>
                </c:pt>
                <c:pt idx="2">
                  <c:v>320.76582000000002</c:v>
                </c:pt>
                <c:pt idx="3">
                  <c:v>274.90791999999999</c:v>
                </c:pt>
                <c:pt idx="4">
                  <c:v>196.00413</c:v>
                </c:pt>
                <c:pt idx="5">
                  <c:v>49.357370000000003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19947264"/>
        <c:axId val="119948800"/>
      </c:barChart>
      <c:catAx>
        <c:axId val="119947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9948800"/>
        <c:crosses val="autoZero"/>
        <c:auto val="1"/>
        <c:lblAlgn val="ctr"/>
        <c:lblOffset val="100"/>
        <c:noMultiLvlLbl val="0"/>
      </c:catAx>
      <c:valAx>
        <c:axId val="119948800"/>
        <c:scaling>
          <c:orientation val="minMax"/>
          <c:max val="20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9947264"/>
        <c:crosses val="autoZero"/>
        <c:crossBetween val="between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Unison!$V$177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7.4782045639367009E-2"/>
                  <c:y val="-2.939861111111110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Unison!$W$177:$AC$177</c:f>
              <c:numCache>
                <c:formatCode>General</c:formatCode>
                <c:ptCount val="7"/>
                <c:pt idx="0">
                  <c:v>9388.5680795451462</c:v>
                </c:pt>
                <c:pt idx="1">
                  <c:v>9607.6176874781049</c:v>
                </c:pt>
                <c:pt idx="2">
                  <c:v>9800.1775753819602</c:v>
                </c:pt>
                <c:pt idx="3">
                  <c:v>9995.7939694430206</c:v>
                </c:pt>
                <c:pt idx="4">
                  <c:v>10195.48570504702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Unison!$V$178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8.8386107752147711E-2"/>
                  <c:y val="-3.527777777777876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Unison!$W$178:$AC$178</c:f>
              <c:numCache>
                <c:formatCode>General</c:formatCode>
                <c:ptCount val="7"/>
                <c:pt idx="1">
                  <c:v>11036</c:v>
                </c:pt>
                <c:pt idx="2">
                  <c:v>11036</c:v>
                </c:pt>
                <c:pt idx="3">
                  <c:v>11036</c:v>
                </c:pt>
                <c:pt idx="4">
                  <c:v>11036</c:v>
                </c:pt>
                <c:pt idx="5">
                  <c:v>11036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Unison!$V$179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9033167413551E-5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Unison!$W$179:$AC$179</c:f>
              <c:numCache>
                <c:formatCode>General</c:formatCode>
                <c:ptCount val="7"/>
                <c:pt idx="2">
                  <c:v>9372.578409825468</c:v>
                </c:pt>
                <c:pt idx="3">
                  <c:v>9372.578409825468</c:v>
                </c:pt>
                <c:pt idx="4">
                  <c:v>9372.578409825468</c:v>
                </c:pt>
                <c:pt idx="5">
                  <c:v>9372.578409825468</c:v>
                </c:pt>
                <c:pt idx="6">
                  <c:v>9269.926826115061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Unison!$V$176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1007390309358482"/>
                  <c:y val="0.1197435753855166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Unison!$C$178:$I$178</c:f>
              <c:numCache>
                <c:formatCode>_-* #,##0_-;\-* #,##0_-;_-* "-"??_-;_-@_-</c:formatCode>
                <c:ptCount val="7"/>
                <c:pt idx="0">
                  <c:v>9561.1149839670161</c:v>
                </c:pt>
                <c:pt idx="1">
                  <c:v>9012.678899999999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095168"/>
        <c:axId val="173125632"/>
      </c:lineChart>
      <c:catAx>
        <c:axId val="17309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3125632"/>
        <c:crosses val="autoZero"/>
        <c:auto val="1"/>
        <c:lblAlgn val="ctr"/>
        <c:lblOffset val="100"/>
        <c:noMultiLvlLbl val="0"/>
      </c:catAx>
      <c:valAx>
        <c:axId val="173125632"/>
        <c:scaling>
          <c:orientation val="minMax"/>
          <c:max val="12000"/>
          <c:min val="8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3095168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7155"/>
          <c:h val="0.77578287037039129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Unison!$B$222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Unison!$C$222:$D$222</c:f>
              <c:numCache>
                <c:formatCode>_-* #,##0_-;\-* #,##0_-;_-* "-"??_-;_-@_-</c:formatCode>
                <c:ptCount val="2"/>
                <c:pt idx="0">
                  <c:v>34788.458235563572</c:v>
                </c:pt>
                <c:pt idx="1">
                  <c:v>27457.687000000002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73553920"/>
        <c:axId val="173568000"/>
      </c:barChart>
      <c:lineChart>
        <c:grouping val="standard"/>
        <c:varyColors val="0"/>
        <c:ser>
          <c:idx val="1"/>
          <c:order val="0"/>
          <c:tx>
            <c:strRef>
              <c:f>Unison!$B$223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Unison!$C$221:$D$221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Unison!$C$223:$D$223</c:f>
              <c:numCache>
                <c:formatCode>_-* #,##0_-;\-* #,##0_-;_-* "-"??_-;_-@_-</c:formatCode>
                <c:ptCount val="2"/>
                <c:pt idx="0">
                  <c:v>35480.942308210499</c:v>
                </c:pt>
                <c:pt idx="1">
                  <c:v>28833.04141629166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Unison!$B$224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Unison!$C$221:$D$221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Unison!$C$224:$D$224</c:f>
              <c:numCache>
                <c:formatCode>_-* #,##0_-;\-* #,##0_-;_-* "-"??_-;_-@_-</c:formatCode>
                <c:ptCount val="2"/>
                <c:pt idx="1">
                  <c:v>41400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553920"/>
        <c:axId val="173568000"/>
      </c:lineChart>
      <c:catAx>
        <c:axId val="17355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3568000"/>
        <c:crosses val="autoZero"/>
        <c:auto val="1"/>
        <c:lblAlgn val="ctr"/>
        <c:lblOffset val="100"/>
        <c:noMultiLvlLbl val="0"/>
      </c:catAx>
      <c:valAx>
        <c:axId val="17356800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3553920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82E-3"/>
          <c:w val="0.90316284722220452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Unison!$V$221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2.6253431775742485E-2"/>
                  <c:y val="-5.880116959064327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Unison!$W$221:$AC$221</c:f>
              <c:numCache>
                <c:formatCode>General</c:formatCode>
                <c:ptCount val="7"/>
                <c:pt idx="0">
                  <c:v>35480.942308210499</c:v>
                </c:pt>
                <c:pt idx="1">
                  <c:v>28833.04141629166</c:v>
                </c:pt>
                <c:pt idx="2">
                  <c:v>28221.740184850849</c:v>
                </c:pt>
                <c:pt idx="3">
                  <c:v>26184.069413381472</c:v>
                </c:pt>
                <c:pt idx="4">
                  <c:v>26285.952951954943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Unison!$V$222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21195671279851666"/>
                  <c:y val="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Unison!$W$222:$AC$222</c:f>
              <c:numCache>
                <c:formatCode>General</c:formatCode>
                <c:ptCount val="7"/>
                <c:pt idx="1">
                  <c:v>41400</c:v>
                </c:pt>
                <c:pt idx="2">
                  <c:v>49500</c:v>
                </c:pt>
                <c:pt idx="3">
                  <c:v>44900</c:v>
                </c:pt>
                <c:pt idx="4">
                  <c:v>46800</c:v>
                </c:pt>
                <c:pt idx="5">
                  <c:v>29800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Unison!$V$223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3256540121691696E-2"/>
                  <c:y val="0.6820365740740740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Unison!$W$223:$AC$223</c:f>
              <c:numCache>
                <c:formatCode>General</c:formatCode>
                <c:ptCount val="7"/>
                <c:pt idx="2">
                  <c:v>31728.138073691014</c:v>
                </c:pt>
                <c:pt idx="3">
                  <c:v>51204.56522301228</c:v>
                </c:pt>
                <c:pt idx="4">
                  <c:v>46544.183322559795</c:v>
                </c:pt>
                <c:pt idx="5">
                  <c:v>50231.819263089848</c:v>
                </c:pt>
                <c:pt idx="6">
                  <c:v>30496.319069166126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Unison!$V$220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8.3804102569803321E-2"/>
                  <c:y val="0.2735575048732942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Unison!$W$220:$AC$220</c:f>
              <c:numCache>
                <c:formatCode>General</c:formatCode>
                <c:ptCount val="7"/>
                <c:pt idx="0">
                  <c:v>34788.458235563572</c:v>
                </c:pt>
                <c:pt idx="1">
                  <c:v>27457.687000000002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371392"/>
        <c:axId val="173372928"/>
      </c:lineChart>
      <c:catAx>
        <c:axId val="17337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3372928"/>
        <c:crosses val="autoZero"/>
        <c:auto val="1"/>
        <c:lblAlgn val="ctr"/>
        <c:lblOffset val="100"/>
        <c:noMultiLvlLbl val="0"/>
      </c:catAx>
      <c:valAx>
        <c:axId val="173372928"/>
        <c:scaling>
          <c:orientation val="minMax"/>
          <c:max val="52000"/>
          <c:min val="2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3371392"/>
        <c:crosses val="autoZero"/>
        <c:crossBetween val="midCat"/>
        <c:maj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23"/>
          <c:y val="6.4675925925925928E-2"/>
          <c:w val="0.7920663194444445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Unison!$B$237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6319561295208E-3"/>
                  <c:y val="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Unison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Unison!$C$236:$F$236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Unison!$C$237:$F$237</c:f>
              <c:numCache>
                <c:formatCode>_(* #,##0.00_);_(* \(#,##0.00\);_(* "-"??_);_(@_)</c:formatCode>
                <c:ptCount val="4"/>
                <c:pt idx="0">
                  <c:v>2.0245850000000001</c:v>
                </c:pt>
                <c:pt idx="1">
                  <c:v>2.0699540000000001</c:v>
                </c:pt>
                <c:pt idx="2">
                  <c:v>1.5899999999999999</c:v>
                </c:pt>
                <c:pt idx="3">
                  <c:v>1.8199999999999998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Unison!$B$238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5484626057300746"/>
                  <c:y val="-0.1175925925925926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Unison!$C$238:$F$238</c:f>
              <c:numCache>
                <c:formatCode>_(* #,##0.00_);_(* \(#,##0.00\);_(* "-"??_);_(@_)</c:formatCode>
                <c:ptCount val="4"/>
                <c:pt idx="0">
                  <c:v>2.39</c:v>
                </c:pt>
                <c:pt idx="1">
                  <c:v>2.39</c:v>
                </c:pt>
                <c:pt idx="2">
                  <c:v>2.39</c:v>
                </c:pt>
                <c:pt idx="3">
                  <c:v>2.7012999999999998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Unison!$B$239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-5.880092592592702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Unison!$C$236:$F$236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07616"/>
        <c:axId val="173438080"/>
      </c:lineChart>
      <c:catAx>
        <c:axId val="17340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3438080"/>
        <c:crosses val="autoZero"/>
        <c:auto val="1"/>
        <c:lblAlgn val="ctr"/>
        <c:lblOffset val="100"/>
        <c:noMultiLvlLbl val="0"/>
      </c:catAx>
      <c:valAx>
        <c:axId val="173438080"/>
        <c:scaling>
          <c:orientation val="minMax"/>
          <c:max val="4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34076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1" l="0.70000000000000062" r="0.70000000000000062" t="0.7500000000000141" header="0.30000000000000032" footer="0.30000000000000032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26"/>
          <c:y val="6.4675925925925928E-2"/>
          <c:w val="0.81852652562960448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Unison!$B$230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6319561295208E-3"/>
                  <c:y val="3.527777777777870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Unison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Unison!$C$229:$F$229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Unison!$C$230:$F$230</c:f>
              <c:numCache>
                <c:formatCode>_(* #,##0.00_);_(* \(#,##0.00\);_(* "-"??_);_(@_)</c:formatCode>
                <c:ptCount val="4"/>
                <c:pt idx="0">
                  <c:v>117.79870700000001</c:v>
                </c:pt>
                <c:pt idx="1">
                  <c:v>129.24463</c:v>
                </c:pt>
                <c:pt idx="2">
                  <c:v>110.88</c:v>
                </c:pt>
                <c:pt idx="3">
                  <c:v>127.98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Unison!$B$231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0.57396770140970044"/>
                  <c:y val="-4.70370370370382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Unison!$C$229:$F$229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Unison!$C$231:$F$231</c:f>
              <c:numCache>
                <c:formatCode>_(* #,##0.00_);_(* \(#,##0.00\);_(* "-"??_);_(@_)</c:formatCode>
                <c:ptCount val="4"/>
                <c:pt idx="0">
                  <c:v>152.69999999999999</c:v>
                </c:pt>
                <c:pt idx="1">
                  <c:v>152.69999999999999</c:v>
                </c:pt>
                <c:pt idx="2">
                  <c:v>152.69999999999999</c:v>
                </c:pt>
                <c:pt idx="3">
                  <c:v>147.8587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Unison!$B$232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5627816357534E-3"/>
                  <c:y val="-5.879675925925942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Unison!$C$229:$F$229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460480"/>
        <c:axId val="173478656"/>
      </c:lineChart>
      <c:catAx>
        <c:axId val="17346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3478656"/>
        <c:crosses val="autoZero"/>
        <c:auto val="1"/>
        <c:lblAlgn val="ctr"/>
        <c:lblOffset val="100"/>
        <c:noMultiLvlLbl val="0"/>
      </c:catAx>
      <c:valAx>
        <c:axId val="173478656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346048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716"/>
          <c:h val="0.70204027777778943"/>
        </c:manualLayout>
      </c:layout>
      <c:barChart>
        <c:barDir val="col"/>
        <c:grouping val="clustered"/>
        <c:varyColors val="0"/>
        <c:ser>
          <c:idx val="0"/>
          <c:order val="0"/>
          <c:tx>
            <c:v>Smaller connection points</c:v>
          </c:tx>
          <c:invertIfNegative val="0"/>
          <c:cat>
            <c:numRef>
              <c:f>Buller!$V$53:$Y$53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Unison!$V$54:$Y$54</c:f>
              <c:numCache>
                <c:formatCode>0</c:formatCode>
                <c:ptCount val="4"/>
                <c:pt idx="0">
                  <c:v>79360.547580051876</c:v>
                </c:pt>
                <c:pt idx="1">
                  <c:v>78805.379736975738</c:v>
                </c:pt>
                <c:pt idx="2">
                  <c:v>92169.089882784072</c:v>
                </c:pt>
                <c:pt idx="3">
                  <c:v>86723</c:v>
                </c:pt>
              </c:numCache>
            </c:numRef>
          </c:val>
        </c:ser>
        <c:ser>
          <c:idx val="1"/>
          <c:order val="1"/>
          <c:tx>
            <c:v>Larger connection points</c:v>
          </c:tx>
          <c:spPr>
            <a:solidFill>
              <a:srgbClr val="4785D1"/>
            </a:solidFill>
          </c:spPr>
          <c:invertIfNegative val="0"/>
          <c:cat>
            <c:numRef>
              <c:f>Buller!$V$53:$Y$53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Unison!$V$55:$Y$55</c:f>
              <c:numCache>
                <c:formatCode>0</c:formatCode>
                <c:ptCount val="4"/>
                <c:pt idx="0">
                  <c:v>10967.951019360724</c:v>
                </c:pt>
                <c:pt idx="1">
                  <c:v>12617.899530509983</c:v>
                </c:pt>
                <c:pt idx="2">
                  <c:v>11592.076724421329</c:v>
                </c:pt>
                <c:pt idx="3">
                  <c:v>17024</c:v>
                </c:pt>
              </c:numCache>
            </c:numRef>
          </c:val>
        </c:ser>
        <c:ser>
          <c:idx val="3"/>
          <c:order val="2"/>
          <c:tx>
            <c:strRef>
              <c:f>Buller!$B$57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Buller!$V$53:$Y$53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Unison!$V$57:$Y$57</c:f>
              <c:numCache>
                <c:formatCode>0</c:formatCode>
                <c:ptCount val="4"/>
                <c:pt idx="0">
                  <c:v>2947.2307975250205</c:v>
                </c:pt>
                <c:pt idx="1">
                  <c:v>2005.0704507104119</c:v>
                </c:pt>
                <c:pt idx="2">
                  <c:v>1927.064983158632</c:v>
                </c:pt>
                <c:pt idx="3">
                  <c:v>1914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521536"/>
        <c:axId val="173527424"/>
      </c:barChart>
      <c:catAx>
        <c:axId val="17352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3527424"/>
        <c:crosses val="autoZero"/>
        <c:auto val="1"/>
        <c:lblAlgn val="ctr"/>
        <c:lblOffset val="100"/>
        <c:noMultiLvlLbl val="0"/>
      </c:catAx>
      <c:valAx>
        <c:axId val="17352742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3521536"/>
        <c:crosses val="autoZero"/>
        <c:crossBetween val="between"/>
        <c:majorUnit val="20000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4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 orientation="portrait"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2294778739208163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Unison!$B$61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225750822987912E-4"/>
                  <c:y val="-2.816033138401565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Buller!$V$60:$Y$60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Unison!$V$61:$Y$61</c:f>
              <c:numCache>
                <c:formatCode>0.0</c:formatCode>
                <c:ptCount val="4"/>
                <c:pt idx="0">
                  <c:v>100</c:v>
                </c:pt>
                <c:pt idx="1">
                  <c:v>99.300448572993858</c:v>
                </c:pt>
                <c:pt idx="2">
                  <c:v>116.13968488537969</c:v>
                </c:pt>
                <c:pt idx="3">
                  <c:v>109.27721978294258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28393821881842E-6"/>
                  <c:y val="-4.11574074074074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Buller!$V$60:$Y$60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Unison!$V$62:$Y$62</c:f>
              <c:numCache>
                <c:formatCode>0.0</c:formatCode>
                <c:ptCount val="4"/>
                <c:pt idx="0">
                  <c:v>100</c:v>
                </c:pt>
                <c:pt idx="1">
                  <c:v>115.04336141031955</c:v>
                </c:pt>
                <c:pt idx="2">
                  <c:v>105.69044941902908</c:v>
                </c:pt>
                <c:pt idx="3">
                  <c:v>155.21586456712913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Buller!$B$64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991295938773882E-4"/>
                  <c:y val="-4.85843079922026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Buller!$V$60:$Y$60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Unison!$V$64:$Y$64</c:f>
              <c:numCache>
                <c:formatCode>0.0</c:formatCode>
                <c:ptCount val="4"/>
                <c:pt idx="0">
                  <c:v>100</c:v>
                </c:pt>
                <c:pt idx="1">
                  <c:v>68.032352688299767</c:v>
                </c:pt>
                <c:pt idx="2">
                  <c:v>65.385615024683943</c:v>
                </c:pt>
                <c:pt idx="3">
                  <c:v>64.942318111201502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636608"/>
        <c:axId val="173662976"/>
      </c:lineChart>
      <c:catAx>
        <c:axId val="17363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3662976"/>
        <c:crosses val="autoZero"/>
        <c:auto val="1"/>
        <c:lblAlgn val="ctr"/>
        <c:lblOffset val="100"/>
        <c:noMultiLvlLbl val="0"/>
      </c:catAx>
      <c:valAx>
        <c:axId val="173662976"/>
        <c:scaling>
          <c:orientation val="minMax"/>
          <c:max val="160"/>
          <c:min val="6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3636608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4E-2"/>
          <c:y val="5.1489936964064897E-2"/>
          <c:w val="0.79931392178337557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Buller!$B$84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295023615580445E-5"/>
                  <c:y val="-2.80593743773660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Buller!$V$83:$Y$83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Unison!$V$84:$Y$84</c:f>
              <c:numCache>
                <c:formatCode>0.00</c:formatCode>
                <c:ptCount val="4"/>
                <c:pt idx="0">
                  <c:v>7.0962821478813396</c:v>
                </c:pt>
                <c:pt idx="1">
                  <c:v>7.3766894998912935</c:v>
                </c:pt>
                <c:pt idx="2">
                  <c:v>7.983324213912975</c:v>
                </c:pt>
                <c:pt idx="3">
                  <c:v>7.3305381608047195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068816026650513E-5"/>
                  <c:y val="-2.16557083084280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Buller!$V$83:$Y$83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Unison!$V$85:$Y$85</c:f>
              <c:numCache>
                <c:formatCode>0.00</c:formatCode>
                <c:ptCount val="4"/>
                <c:pt idx="0">
                  <c:v>3.066307410030181</c:v>
                </c:pt>
                <c:pt idx="1">
                  <c:v>3.1417812224987647</c:v>
                </c:pt>
                <c:pt idx="2">
                  <c:v>3.2117649352789672</c:v>
                </c:pt>
                <c:pt idx="3">
                  <c:v>5.3359096817047131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Buller!$B$87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9248552127998073E-5"/>
                  <c:y val="8.252923976608189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Buller!$V$83:$Y$83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Unison!$V$87:$Y$87</c:f>
              <c:numCache>
                <c:formatCode>0.00</c:formatCode>
                <c:ptCount val="4"/>
                <c:pt idx="0">
                  <c:v>3.1690586607306006</c:v>
                </c:pt>
                <c:pt idx="1">
                  <c:v>2.16542336390535</c:v>
                </c:pt>
                <c:pt idx="2">
                  <c:v>2.3117379185070308</c:v>
                </c:pt>
                <c:pt idx="3">
                  <c:v>2.2034764526594079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767680"/>
        <c:axId val="173802240"/>
      </c:lineChart>
      <c:catAx>
        <c:axId val="17376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3802240"/>
        <c:crosses val="autoZero"/>
        <c:auto val="1"/>
        <c:lblAlgn val="ctr"/>
        <c:lblOffset val="100"/>
        <c:noMultiLvlLbl val="0"/>
      </c:catAx>
      <c:valAx>
        <c:axId val="17380224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37676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055E-2"/>
          <c:y val="5.8338380979806134E-2"/>
          <c:w val="0.83883540276753665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Buller!$B$90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8028632354795E-3"/>
                  <c:y val="-4.487085769980506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Buller!$V$89:$Y$89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Unison!$V$90:$Y$90</c:f>
              <c:numCache>
                <c:formatCode>0.0</c:formatCode>
                <c:ptCount val="4"/>
                <c:pt idx="0">
                  <c:v>100</c:v>
                </c:pt>
                <c:pt idx="1">
                  <c:v>103.95146847555479</c:v>
                </c:pt>
                <c:pt idx="2">
                  <c:v>112.50009579025082</c:v>
                </c:pt>
                <c:pt idx="3">
                  <c:v>103.3011090602326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690681384833E-3"/>
                  <c:y val="-3.496832358674464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Buller!$V$89:$Y$89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Unison!$V$91:$Y$91</c:f>
              <c:numCache>
                <c:formatCode>0.0</c:formatCode>
                <c:ptCount val="4"/>
                <c:pt idx="0">
                  <c:v>100</c:v>
                </c:pt>
                <c:pt idx="1">
                  <c:v>102.46139092974506</c:v>
                </c:pt>
                <c:pt idx="2">
                  <c:v>104.74373589461321</c:v>
                </c:pt>
                <c:pt idx="3">
                  <c:v>174.01744079052378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Buller!$B$93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8028632354795E-3"/>
                  <c:y val="-4.76559454191033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Buller!$V$89:$Y$89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Unison!$V$93:$Y$93</c:f>
              <c:numCache>
                <c:formatCode>0.0</c:formatCode>
                <c:ptCount val="4"/>
                <c:pt idx="0">
                  <c:v>100</c:v>
                </c:pt>
                <c:pt idx="1">
                  <c:v>68.330176109966018</c:v>
                </c:pt>
                <c:pt idx="2">
                  <c:v>72.94714822268638</c:v>
                </c:pt>
                <c:pt idx="3">
                  <c:v>69.530945575851675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829120"/>
        <c:axId val="173855488"/>
      </c:lineChart>
      <c:catAx>
        <c:axId val="1738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3855488"/>
        <c:crosses val="autoZero"/>
        <c:auto val="1"/>
        <c:lblAlgn val="ctr"/>
        <c:lblOffset val="100"/>
        <c:noMultiLvlLbl val="0"/>
      </c:catAx>
      <c:valAx>
        <c:axId val="173855488"/>
        <c:scaling>
          <c:orientation val="minMax"/>
          <c:max val="18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3829120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227523283556909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Buller!$B$120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097175893961748E-6"/>
                  <c:y val="-3.899171539961019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Buller!$V$119:$Y$119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Unison!$V$120:$Y$120</c:f>
              <c:numCache>
                <c:formatCode>0.0</c:formatCode>
                <c:ptCount val="4"/>
                <c:pt idx="0">
                  <c:v>100</c:v>
                </c:pt>
                <c:pt idx="1">
                  <c:v>95.525777585667612</c:v>
                </c:pt>
                <c:pt idx="2">
                  <c:v>103.23518755211967</c:v>
                </c:pt>
                <c:pt idx="3">
                  <c:v>105.78513703974409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Buller!$B$121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099732670674E-3"/>
                  <c:y val="3.868128654970760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Buller!$V$119:$Y$119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Unison!$V$121:$Y$121</c:f>
              <c:numCache>
                <c:formatCode>0.0</c:formatCode>
                <c:ptCount val="4"/>
                <c:pt idx="0">
                  <c:v>100</c:v>
                </c:pt>
                <c:pt idx="1">
                  <c:v>112.27971860073771</c:v>
                </c:pt>
                <c:pt idx="2">
                  <c:v>100.90383784417274</c:v>
                </c:pt>
                <c:pt idx="3">
                  <c:v>89.195579398258531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Buller!$B$123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-2.939861111111110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Buller!$V$119:$Y$119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Unison!$V$123:$Y$123</c:f>
              <c:numCache>
                <c:formatCode>0.0</c:formatCode>
                <c:ptCount val="4"/>
                <c:pt idx="0">
                  <c:v>100</c:v>
                </c:pt>
                <c:pt idx="1">
                  <c:v>99.564140708218062</c:v>
                </c:pt>
                <c:pt idx="2">
                  <c:v>89.634230559748161</c:v>
                </c:pt>
                <c:pt idx="3">
                  <c:v>93.400596775079947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898752"/>
        <c:axId val="173908736"/>
      </c:lineChart>
      <c:catAx>
        <c:axId val="17389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3908736"/>
        <c:crosses val="autoZero"/>
        <c:auto val="1"/>
        <c:lblAlgn val="ctr"/>
        <c:lblOffset val="100"/>
        <c:noMultiLvlLbl val="0"/>
      </c:catAx>
      <c:valAx>
        <c:axId val="173908736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389875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02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Buller!$U$186:$U$191</c:f>
              <c:strCache>
                <c:ptCount val="6"/>
                <c:pt idx="0">
                  <c:v>Asset replacement and renewal</c:v>
                </c:pt>
                <c:pt idx="1">
                  <c:v>Customer connection</c:v>
                </c:pt>
                <c:pt idx="2">
                  <c:v>Reliability, safety and environment</c:v>
                </c:pt>
                <c:pt idx="3">
                  <c:v>Non-network capex</c:v>
                </c:pt>
                <c:pt idx="4">
                  <c:v>Asset relocations</c:v>
                </c:pt>
                <c:pt idx="5">
                  <c:v>System growth</c:v>
                </c:pt>
              </c:strCache>
            </c:strRef>
          </c:cat>
          <c:val>
            <c:numRef>
              <c:f>Buller!$V$186:$V$191</c:f>
              <c:numCache>
                <c:formatCode>General</c:formatCode>
                <c:ptCount val="6"/>
                <c:pt idx="0">
                  <c:v>0.73724699999999999</c:v>
                </c:pt>
                <c:pt idx="1">
                  <c:v>0.32100000000000001</c:v>
                </c:pt>
                <c:pt idx="2">
                  <c:v>0.216</c:v>
                </c:pt>
                <c:pt idx="3">
                  <c:v>0.15270800000000001</c:v>
                </c:pt>
                <c:pt idx="4">
                  <c:v>2.1000000000000001E-2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19981184"/>
        <c:axId val="119982720"/>
      </c:barChart>
      <c:catAx>
        <c:axId val="119981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9982720"/>
        <c:crosses val="autoZero"/>
        <c:auto val="1"/>
        <c:lblAlgn val="ctr"/>
        <c:lblOffset val="100"/>
        <c:noMultiLvlLbl val="0"/>
      </c:catAx>
      <c:valAx>
        <c:axId val="119982720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9981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682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v>Smaller</c:v>
          </c:tx>
          <c:invertIfNegative val="0"/>
          <c:cat>
            <c:numRef>
              <c:f>Buller!$V$112:$Y$112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Unison!$V$113:$Y$113</c:f>
              <c:numCache>
                <c:formatCode>0</c:formatCode>
                <c:ptCount val="4"/>
                <c:pt idx="0">
                  <c:v>1118339.8</c:v>
                </c:pt>
                <c:pt idx="1">
                  <c:v>1068302.79</c:v>
                </c:pt>
                <c:pt idx="2">
                  <c:v>1154520.19</c:v>
                </c:pt>
                <c:pt idx="3">
                  <c:v>1183037.29</c:v>
                </c:pt>
              </c:numCache>
            </c:numRef>
          </c:val>
        </c:ser>
        <c:ser>
          <c:idx val="1"/>
          <c:order val="1"/>
          <c:tx>
            <c:v>Larger</c:v>
          </c:tx>
          <c:spPr>
            <a:solidFill>
              <a:srgbClr val="4785D1"/>
            </a:solidFill>
          </c:spPr>
          <c:invertIfNegative val="0"/>
          <c:cat>
            <c:numRef>
              <c:f>Buller!$V$112:$Y$112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Unison!$V$114:$Y$114</c:f>
              <c:numCache>
                <c:formatCode>0</c:formatCode>
                <c:ptCount val="4"/>
                <c:pt idx="0">
                  <c:v>357692.48</c:v>
                </c:pt>
                <c:pt idx="1">
                  <c:v>401616.11</c:v>
                </c:pt>
                <c:pt idx="2">
                  <c:v>360925.44</c:v>
                </c:pt>
                <c:pt idx="3">
                  <c:v>319045.88</c:v>
                </c:pt>
              </c:numCache>
            </c:numRef>
          </c:val>
        </c:ser>
        <c:ser>
          <c:idx val="3"/>
          <c:order val="2"/>
          <c:tx>
            <c:strRef>
              <c:f>Buller!$B$116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Buller!$V$112:$Y$112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Unison!$V$116:$Y$116</c:f>
              <c:numCache>
                <c:formatCode>0</c:formatCode>
                <c:ptCount val="4"/>
                <c:pt idx="0">
                  <c:v>93000.197</c:v>
                </c:pt>
                <c:pt idx="1">
                  <c:v>92594.846999999994</c:v>
                </c:pt>
                <c:pt idx="2">
                  <c:v>83360.010999999999</c:v>
                </c:pt>
                <c:pt idx="3">
                  <c:v>86862.739000000001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3956096"/>
        <c:axId val="173974272"/>
      </c:barChart>
      <c:catAx>
        <c:axId val="17395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3974272"/>
        <c:crosses val="autoZero"/>
        <c:auto val="1"/>
        <c:lblAlgn val="ctr"/>
        <c:lblOffset val="100"/>
        <c:noMultiLvlLbl val="0"/>
      </c:catAx>
      <c:valAx>
        <c:axId val="17397427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3956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3096209795151643"/>
          <c:h val="0.82404629629630843"/>
        </c:manualLayout>
      </c:layout>
      <c:lineChart>
        <c:grouping val="standard"/>
        <c:varyColors val="0"/>
        <c:ser>
          <c:idx val="0"/>
          <c:order val="0"/>
          <c:tx>
            <c:strRef>
              <c:f>Buller!$B$76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403947368421064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Buller!$V$75:$Y$75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Unison!$V$76:$Y$76</c:f>
              <c:numCache>
                <c:formatCode>0.0</c:formatCode>
                <c:ptCount val="4"/>
                <c:pt idx="0">
                  <c:v>100</c:v>
                </c:pt>
                <c:pt idx="1">
                  <c:v>99.930892292576686</c:v>
                </c:pt>
                <c:pt idx="2">
                  <c:v>116.05462453117821</c:v>
                </c:pt>
                <c:pt idx="3">
                  <c:v>108.64121320018307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00170565302144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Buller!$V$75:$Y$75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Unison!$V$77:$Y$77</c:f>
              <c:numCache>
                <c:formatCode>0.0</c:formatCode>
                <c:ptCount val="4"/>
                <c:pt idx="0">
                  <c:v>100</c:v>
                </c:pt>
                <c:pt idx="1">
                  <c:v>107.64110759303358</c:v>
                </c:pt>
                <c:pt idx="2">
                  <c:v>107.85370423169927</c:v>
                </c:pt>
                <c:pt idx="3">
                  <c:v>97.428663190518108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Buller!$B$79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930116959064328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Buller!$V$75:$Y$75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Unison!$V$79:$Y$79</c:f>
              <c:numCache>
                <c:formatCode>0.0</c:formatCode>
                <c:ptCount val="4"/>
                <c:pt idx="0">
                  <c:v>100</c:v>
                </c:pt>
                <c:pt idx="1">
                  <c:v>68.032352688299767</c:v>
                </c:pt>
                <c:pt idx="2">
                  <c:v>65.385615024683943</c:v>
                </c:pt>
                <c:pt idx="3">
                  <c:v>64.942318111201516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001536"/>
        <c:axId val="174036096"/>
      </c:lineChart>
      <c:catAx>
        <c:axId val="17400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4036096"/>
        <c:crosses val="autoZero"/>
        <c:auto val="1"/>
        <c:lblAlgn val="ctr"/>
        <c:lblOffset val="100"/>
        <c:noMultiLvlLbl val="0"/>
      </c:catAx>
      <c:valAx>
        <c:axId val="174036096"/>
        <c:scaling>
          <c:orientation val="minMax"/>
          <c:max val="12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4001536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Smaller </a:t>
            </a:r>
          </a:p>
        </c:rich>
      </c:tx>
      <c:layout>
        <c:manualLayout>
          <c:xMode val="edge"/>
          <c:yMode val="edge"/>
          <c:x val="0.4000158958902924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385"/>
          <c:y val="0.16445370370370369"/>
          <c:w val="0.70330041907982133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Buller!$B$70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Buller!$V$69:$Y$69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Unison!$V$70:$Y$70</c:f>
              <c:numCache>
                <c:formatCode>0</c:formatCode>
                <c:ptCount val="4"/>
                <c:pt idx="0">
                  <c:v>736.27880782338957</c:v>
                </c:pt>
                <c:pt idx="1">
                  <c:v>735.76998241905915</c:v>
                </c:pt>
                <c:pt idx="2">
                  <c:v>854.48560592206991</c:v>
                </c:pt>
                <c:pt idx="3">
                  <c:v>799.90222935517488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34400"/>
        <c:axId val="174135936"/>
      </c:lineChart>
      <c:catAx>
        <c:axId val="17413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4135936"/>
        <c:crosses val="autoZero"/>
        <c:auto val="1"/>
        <c:lblAlgn val="ctr"/>
        <c:lblOffset val="100"/>
        <c:noMultiLvlLbl val="0"/>
      </c:catAx>
      <c:valAx>
        <c:axId val="174135936"/>
        <c:scaling>
          <c:orientation val="minMax"/>
          <c:max val="1000"/>
          <c:min val="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413440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Larger</a:t>
            </a:r>
          </a:p>
        </c:rich>
      </c:tx>
      <c:layout>
        <c:manualLayout>
          <c:xMode val="edge"/>
          <c:yMode val="edge"/>
          <c:x val="0.316318676568617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62"/>
          <c:y val="0.17621296296296732"/>
          <c:w val="0.73692152777777775"/>
          <c:h val="0.57282407407409586"/>
        </c:manualLayout>
      </c:layout>
      <c:lineChart>
        <c:grouping val="standard"/>
        <c:varyColors val="0"/>
        <c:ser>
          <c:idx val="1"/>
          <c:order val="0"/>
          <c:tx>
            <c:strRef>
              <c:f>Buller!$B$71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Buller!$V$69:$Y$69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Unison!$V$71:$Y$71</c:f>
              <c:numCache>
                <c:formatCode>0</c:formatCode>
                <c:ptCount val="4"/>
                <c:pt idx="0">
                  <c:v>31426.793751749923</c:v>
                </c:pt>
                <c:pt idx="1">
                  <c:v>33828.148875361891</c:v>
                </c:pt>
                <c:pt idx="2">
                  <c:v>33894.961182518506</c:v>
                </c:pt>
                <c:pt idx="3">
                  <c:v>30618.705035971223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60512"/>
        <c:axId val="174166400"/>
      </c:lineChart>
      <c:catAx>
        <c:axId val="17416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4166400"/>
        <c:crosses val="autoZero"/>
        <c:auto val="1"/>
        <c:lblAlgn val="ctr"/>
        <c:lblOffset val="100"/>
        <c:noMultiLvlLbl val="0"/>
      </c:catAx>
      <c:valAx>
        <c:axId val="174166400"/>
        <c:scaling>
          <c:orientation val="minMax"/>
          <c:max val="40000"/>
          <c:min val="2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4160512"/>
        <c:crosses val="autoZero"/>
        <c:crossBetween val="midCat"/>
        <c:maj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Buller!$B$73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Buller!$V$69:$Y$69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Unison!$V$73:$Y$73</c:f>
              <c:numCache>
                <c:formatCode>0</c:formatCode>
                <c:ptCount val="4"/>
                <c:pt idx="0">
                  <c:v>589446.15950500406</c:v>
                </c:pt>
                <c:pt idx="1">
                  <c:v>401014.09014208236</c:v>
                </c:pt>
                <c:pt idx="2">
                  <c:v>385412.99663172639</c:v>
                </c:pt>
                <c:pt idx="3">
                  <c:v>382800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87264"/>
        <c:axId val="174188800"/>
      </c:lineChart>
      <c:catAx>
        <c:axId val="1741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4188800"/>
        <c:crosses val="autoZero"/>
        <c:auto val="1"/>
        <c:lblAlgn val="ctr"/>
        <c:lblOffset val="100"/>
        <c:noMultiLvlLbl val="0"/>
      </c:catAx>
      <c:valAx>
        <c:axId val="174188800"/>
        <c:scaling>
          <c:orientation val="minMax"/>
          <c:max val="700000"/>
          <c:min val="35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4187264"/>
        <c:crosses val="autoZero"/>
        <c:crossBetween val="midCat"/>
        <c:majorUnit val="7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84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Buller!$B$105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08875578602972E-4"/>
                  <c:y val="-3.837231968810928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Buller!$V$104:$Y$104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Unison!$V$105:$Y$105</c:f>
              <c:numCache>
                <c:formatCode>0.0</c:formatCode>
                <c:ptCount val="4"/>
                <c:pt idx="0">
                  <c:v>100</c:v>
                </c:pt>
                <c:pt idx="1">
                  <c:v>99.369120293915728</c:v>
                </c:pt>
                <c:pt idx="2">
                  <c:v>100.07329337761861</c:v>
                </c:pt>
                <c:pt idx="3">
                  <c:v>100.58541925667525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6286514216155121"/>
                  <c:y val="-0.6408796296296434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Buller!$V$104:$Y$104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Unison!$V$106:$Y$106</c:f>
              <c:numCache>
                <c:formatCode>0.0</c:formatCode>
                <c:ptCount val="4"/>
                <c:pt idx="0">
                  <c:v>100</c:v>
                </c:pt>
                <c:pt idx="1">
                  <c:v>106.87679083094557</c:v>
                </c:pt>
                <c:pt idx="2">
                  <c:v>97.994269340974213</c:v>
                </c:pt>
                <c:pt idx="3">
                  <c:v>159.31232091690543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300544"/>
        <c:axId val="174306432"/>
      </c:lineChart>
      <c:catAx>
        <c:axId val="17430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4306432"/>
        <c:crosses val="autoZero"/>
        <c:auto val="1"/>
        <c:lblAlgn val="ctr"/>
        <c:lblOffset val="100"/>
        <c:noMultiLvlLbl val="0"/>
      </c:catAx>
      <c:valAx>
        <c:axId val="174306432"/>
        <c:scaling>
          <c:orientation val="minMax"/>
          <c:max val="16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4300544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507"/>
        </c:manualLayout>
      </c:layout>
      <c:barChart>
        <c:barDir val="col"/>
        <c:grouping val="stacked"/>
        <c:varyColors val="0"/>
        <c:ser>
          <c:idx val="0"/>
          <c:order val="0"/>
          <c:tx>
            <c:v>Smaller</c:v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Buller!$V$97:$Y$97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Unison!$V$98:$Y$98</c:f>
              <c:numCache>
                <c:formatCode>General</c:formatCode>
                <c:ptCount val="4"/>
                <c:pt idx="0">
                  <c:v>107786</c:v>
                </c:pt>
                <c:pt idx="1">
                  <c:v>107106</c:v>
                </c:pt>
                <c:pt idx="2">
                  <c:v>107865</c:v>
                </c:pt>
                <c:pt idx="3">
                  <c:v>108417</c:v>
                </c:pt>
              </c:numCache>
            </c:numRef>
          </c:val>
        </c:ser>
        <c:ser>
          <c:idx val="1"/>
          <c:order val="1"/>
          <c:tx>
            <c:v>Larger</c:v>
          </c:tx>
          <c:spPr>
            <a:solidFill>
              <a:schemeClr val="accent4"/>
            </a:solidFill>
          </c:spPr>
          <c:invertIfNegative val="0"/>
          <c:cat>
            <c:numRef>
              <c:f>Buller!$V$97:$Y$97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Unison!$V$99:$Y$99</c:f>
              <c:numCache>
                <c:formatCode>General</c:formatCode>
                <c:ptCount val="4"/>
                <c:pt idx="0">
                  <c:v>349</c:v>
                </c:pt>
                <c:pt idx="1">
                  <c:v>373</c:v>
                </c:pt>
                <c:pt idx="2">
                  <c:v>342</c:v>
                </c:pt>
                <c:pt idx="3">
                  <c:v>556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405504"/>
        <c:axId val="174407040"/>
      </c:barChart>
      <c:catAx>
        <c:axId val="17440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4407040"/>
        <c:crosses val="autoZero"/>
        <c:auto val="1"/>
        <c:lblAlgn val="ctr"/>
        <c:lblOffset val="100"/>
        <c:noMultiLvlLbl val="0"/>
      </c:catAx>
      <c:valAx>
        <c:axId val="174407040"/>
        <c:scaling>
          <c:orientation val="minMax"/>
          <c:max val="12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4405504"/>
        <c:crosses val="autoZero"/>
        <c:crossBetween val="between"/>
        <c:majorUnit val="20000"/>
      </c:valAx>
    </c:plotArea>
    <c:legend>
      <c:legendPos val="t"/>
      <c:layout>
        <c:manualLayout>
          <c:xMode val="edge"/>
          <c:yMode val="edge"/>
          <c:x val="0"/>
          <c:y val="3.527777777777924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Vector!$B$26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75808049588"/>
                  <c:y val="-0.3942556245679018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Vector!$E$25:$F$25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Vector!$E$26:$F$26</c:f>
              <c:numCache>
                <c:formatCode>0</c:formatCode>
                <c:ptCount val="2"/>
                <c:pt idx="0">
                  <c:v>1912.8153059528295</c:v>
                </c:pt>
                <c:pt idx="1">
                  <c:v>2019.271523773217</c:v>
                </c:pt>
              </c:numCache>
            </c:numRef>
          </c:val>
        </c:ser>
        <c:ser>
          <c:idx val="1"/>
          <c:order val="1"/>
          <c:tx>
            <c:strRef>
              <c:f>Vector!$B$27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1763016379747072"/>
                  <c:y val="-7.839311228146428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Vector!$E$25:$F$25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Vector!$E$27:$F$27</c:f>
              <c:numCache>
                <c:formatCode>0</c:formatCode>
                <c:ptCount val="2"/>
                <c:pt idx="0">
                  <c:v>793.27949290988215</c:v>
                </c:pt>
                <c:pt idx="1">
                  <c:v>822.41391338636413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590976"/>
        <c:axId val="174641920"/>
      </c:areaChart>
      <c:catAx>
        <c:axId val="17459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4641920"/>
        <c:crosses val="autoZero"/>
        <c:auto val="1"/>
        <c:lblAlgn val="ctr"/>
        <c:lblOffset val="100"/>
        <c:noMultiLvlLbl val="0"/>
      </c:catAx>
      <c:valAx>
        <c:axId val="174641920"/>
        <c:scaling>
          <c:orientation val="minMax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4590976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7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Vector!$B$28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Vector!$E$25:$F$25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Vector!$E$28:$F$28</c:f>
              <c:numCache>
                <c:formatCode>0</c:formatCode>
                <c:ptCount val="2"/>
                <c:pt idx="0">
                  <c:v>602.78487343390054</c:v>
                </c:pt>
                <c:pt idx="1">
                  <c:v>625.08430232117269</c:v>
                </c:pt>
              </c:numCache>
            </c:numRef>
          </c:val>
        </c:ser>
        <c:ser>
          <c:idx val="1"/>
          <c:order val="1"/>
          <c:tx>
            <c:strRef>
              <c:f>Vector!$B$29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Vector!$E$25:$F$25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Vector!$E$29:$F$29</c:f>
              <c:numCache>
                <c:formatCode>0</c:formatCode>
                <c:ptCount val="2"/>
                <c:pt idx="0">
                  <c:v>190.49461947598161</c:v>
                </c:pt>
                <c:pt idx="1">
                  <c:v>197.32961106519153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925312"/>
        <c:axId val="174926848"/>
      </c:barChart>
      <c:catAx>
        <c:axId val="17492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4926848"/>
        <c:crosses val="autoZero"/>
        <c:auto val="1"/>
        <c:lblAlgn val="ctr"/>
        <c:lblOffset val="100"/>
        <c:noMultiLvlLbl val="0"/>
      </c:catAx>
      <c:valAx>
        <c:axId val="174926848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492531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384"/>
          <c:w val="0.8974562499999823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Vector!$B$40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Vector!$E$39:$F$39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Vector!$E$40:$F$40</c:f>
              <c:numCache>
                <c:formatCode>0</c:formatCode>
                <c:ptCount val="2"/>
                <c:pt idx="0">
                  <c:v>542376.16177413706</c:v>
                </c:pt>
                <c:pt idx="1">
                  <c:v>538136</c:v>
                </c:pt>
              </c:numCache>
            </c:numRef>
          </c:val>
        </c:ser>
        <c:ser>
          <c:idx val="1"/>
          <c:order val="1"/>
          <c:tx>
            <c:strRef>
              <c:f>Vector!$B$41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Vector!$E$39:$F$39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Vector!$E$41:$F$41</c:f>
              <c:numCache>
                <c:formatCode>0</c:formatCode>
                <c:ptCount val="2"/>
                <c:pt idx="0">
                  <c:v>20744.087528765052</c:v>
                </c:pt>
                <c:pt idx="1">
                  <c:v>24683</c:v>
                </c:pt>
              </c:numCache>
            </c:numRef>
          </c:val>
        </c:ser>
        <c:ser>
          <c:idx val="3"/>
          <c:order val="2"/>
          <c:tx>
            <c:strRef>
              <c:f>Vector!$B$42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Vector!$E$39:$F$39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Vector!$E$42:$F$42</c:f>
              <c:numCache>
                <c:formatCode>0</c:formatCode>
                <c:ptCount val="2"/>
                <c:pt idx="0">
                  <c:v>16623.388453288779</c:v>
                </c:pt>
                <c:pt idx="1">
                  <c:v>13987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654976"/>
        <c:axId val="174656512"/>
      </c:barChart>
      <c:catAx>
        <c:axId val="17465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4656512"/>
        <c:crosses val="autoZero"/>
        <c:auto val="1"/>
        <c:lblAlgn val="ctr"/>
        <c:lblOffset val="100"/>
        <c:noMultiLvlLbl val="0"/>
      </c:catAx>
      <c:valAx>
        <c:axId val="17465651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4654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776"/>
          <c:h val="0.21171296296296857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32965488029063"/>
          <c:h val="0.82404629629630799"/>
        </c:manualLayout>
      </c:layout>
      <c:lineChart>
        <c:grouping val="standard"/>
        <c:varyColors val="0"/>
        <c:ser>
          <c:idx val="0"/>
          <c:order val="0"/>
          <c:tx>
            <c:strRef>
              <c:f>Buller!$B$76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5.87962962962977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Buller!$C$76:$F$76</c:f>
              <c:numCache>
                <c:formatCode>0.0</c:formatCode>
                <c:ptCount val="4"/>
                <c:pt idx="0">
                  <c:v>100</c:v>
                </c:pt>
                <c:pt idx="1">
                  <c:v>101.10518406283884</c:v>
                </c:pt>
                <c:pt idx="2">
                  <c:v>109.41610681137655</c:v>
                </c:pt>
                <c:pt idx="3">
                  <c:v>90.412131989899322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Buller!$C$77:$F$77</c:f>
              <c:numCache>
                <c:formatCode>0.0</c:formatCode>
                <c:ptCount val="4"/>
                <c:pt idx="0">
                  <c:v>100</c:v>
                </c:pt>
                <c:pt idx="1">
                  <c:v>105.44658499759562</c:v>
                </c:pt>
                <c:pt idx="2">
                  <c:v>132.81254194163878</c:v>
                </c:pt>
                <c:pt idx="3">
                  <c:v>49.83960285449831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Buller!$B$78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115787037037034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Buller!$C$78:$F$78</c:f>
              <c:numCache>
                <c:formatCode>0.0</c:formatCode>
                <c:ptCount val="4"/>
                <c:pt idx="0">
                  <c:v>100</c:v>
                </c:pt>
                <c:pt idx="1">
                  <c:v>164.04857599723405</c:v>
                </c:pt>
                <c:pt idx="2">
                  <c:v>173.60546987665631</c:v>
                </c:pt>
                <c:pt idx="3">
                  <c:v>113.66223512588003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Buller!$B$79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7.643518518518517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Buller!$C$79:$F$79</c:f>
              <c:numCache>
                <c:formatCode>0.0</c:formatCode>
                <c:ptCount val="4"/>
                <c:pt idx="0">
                  <c:v>100</c:v>
                </c:pt>
                <c:pt idx="1">
                  <c:v>20.548731980056321</c:v>
                </c:pt>
                <c:pt idx="2">
                  <c:v>23.545475721224808</c:v>
                </c:pt>
                <c:pt idx="3">
                  <c:v>79.949201541623594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47488"/>
        <c:axId val="120049024"/>
      </c:lineChart>
      <c:catAx>
        <c:axId val="1200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0049024"/>
        <c:crosses val="autoZero"/>
        <c:auto val="1"/>
        <c:lblAlgn val="ctr"/>
        <c:lblOffset val="100"/>
        <c:noMultiLvlLbl val="0"/>
      </c:catAx>
      <c:valAx>
        <c:axId val="12004902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00474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924E-2"/>
          <c:y val="9.9262962962965245E-2"/>
          <c:w val="0.81073204086216055"/>
          <c:h val="0.8046537037037037"/>
        </c:manualLayout>
      </c:layout>
      <c:lineChart>
        <c:grouping val="standard"/>
        <c:varyColors val="0"/>
        <c:ser>
          <c:idx val="1"/>
          <c:order val="0"/>
          <c:tx>
            <c:strRef>
              <c:f>Vector!$B$46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5.2447552447552448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Vector!$E$45:$F$45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Vector!$E$46:$F$46</c:f>
              <c:numCache>
                <c:formatCode>0.0</c:formatCode>
                <c:ptCount val="2"/>
                <c:pt idx="0">
                  <c:v>100</c:v>
                </c:pt>
                <c:pt idx="1">
                  <c:v>99.218224901281189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Vector!$B$47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1"/>
              <c:layout>
                <c:manualLayout>
                  <c:x val="0"/>
                  <c:y val="-4.6620046620046617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Capital contributions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Vector!$E$45:$F$45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Vector!$E$47:$F$47</c:f>
              <c:numCache>
                <c:formatCode>0.0</c:formatCode>
                <c:ptCount val="2"/>
                <c:pt idx="0">
                  <c:v>100</c:v>
                </c:pt>
                <c:pt idx="1">
                  <c:v>118.9881211490889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Vector!$B$48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1"/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-3.4965034965034968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Vector!$E$45:$F$45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Vector!$E$48:$F$48</c:f>
              <c:numCache>
                <c:formatCode>0.0</c:formatCode>
                <c:ptCount val="2"/>
                <c:pt idx="0">
                  <c:v>100</c:v>
                </c:pt>
                <c:pt idx="1">
                  <c:v>84.140486996998533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713856"/>
        <c:axId val="174723840"/>
      </c:lineChart>
      <c:catAx>
        <c:axId val="17471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4723840"/>
        <c:crossesAt val="0"/>
        <c:auto val="1"/>
        <c:lblAlgn val="ctr"/>
        <c:lblOffset val="100"/>
        <c:noMultiLvlLbl val="0"/>
      </c:catAx>
      <c:valAx>
        <c:axId val="174723840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4713856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983"/>
          <c:h val="0.70204027777779143"/>
        </c:manualLayout>
      </c:layout>
      <c:barChart>
        <c:barDir val="col"/>
        <c:grouping val="clustered"/>
        <c:varyColors val="0"/>
        <c:ser>
          <c:idx val="0"/>
          <c:order val="0"/>
          <c:tx>
            <c:v>Small</c:v>
          </c:tx>
          <c:invertIfNegative val="0"/>
          <c:cat>
            <c:numRef>
              <c:f>Vector!$E$53:$F$53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Vector!$E$54:$F$54</c:f>
              <c:numCache>
                <c:formatCode>0</c:formatCode>
                <c:ptCount val="2"/>
                <c:pt idx="0">
                  <c:v>341872.75058338494</c:v>
                </c:pt>
                <c:pt idx="1">
                  <c:v>335766</c:v>
                </c:pt>
              </c:numCache>
            </c:numRef>
          </c:val>
        </c:ser>
        <c:ser>
          <c:idx val="1"/>
          <c:order val="1"/>
          <c:tx>
            <c:v>Medium</c:v>
          </c:tx>
          <c:invertIfNegative val="0"/>
          <c:cat>
            <c:numRef>
              <c:f>Vector!$E$53:$F$53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Vector!$E$55:$F$55</c:f>
              <c:numCache>
                <c:formatCode>0</c:formatCode>
                <c:ptCount val="2"/>
                <c:pt idx="0">
                  <c:v>66269.037134542319</c:v>
                </c:pt>
                <c:pt idx="1">
                  <c:v>67061</c:v>
                </c:pt>
              </c:numCache>
            </c:numRef>
          </c:val>
        </c:ser>
        <c:ser>
          <c:idx val="2"/>
          <c:order val="2"/>
          <c:tx>
            <c:v>Large</c:v>
          </c:tx>
          <c:invertIfNegative val="0"/>
          <c:cat>
            <c:numRef>
              <c:f>Vector!$E$53:$F$53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Vector!$E$56:$F$56</c:f>
              <c:numCache>
                <c:formatCode>0</c:formatCode>
                <c:ptCount val="2"/>
                <c:pt idx="0">
                  <c:v>123033.80724313544</c:v>
                </c:pt>
                <c:pt idx="1">
                  <c:v>124576</c:v>
                </c:pt>
              </c:numCache>
            </c:numRef>
          </c:val>
        </c:ser>
        <c:ser>
          <c:idx val="3"/>
          <c:order val="3"/>
          <c:tx>
            <c:v>Largest 5</c:v>
          </c:tx>
          <c:invertIfNegative val="0"/>
          <c:cat>
            <c:numRef>
              <c:f>Vector!$E$53:$F$53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Vector!$E$57:$F$57</c:f>
              <c:numCache>
                <c:formatCode>0</c:formatCode>
                <c:ptCount val="2"/>
                <c:pt idx="0">
                  <c:v>11200.568850745061</c:v>
                </c:pt>
                <c:pt idx="1">
                  <c:v>10733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772992"/>
        <c:axId val="174774528"/>
      </c:barChart>
      <c:catAx>
        <c:axId val="17477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4774528"/>
        <c:crosses val="autoZero"/>
        <c:auto val="1"/>
        <c:lblAlgn val="ctr"/>
        <c:lblOffset val="100"/>
        <c:noMultiLvlLbl val="0"/>
      </c:catAx>
      <c:valAx>
        <c:axId val="17477452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4772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95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0553570108199957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v>Small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75652979340337E-6"/>
                  <c:y val="-5.8796296296297831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Vector!$E$60:$F$60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Vector!$E$61:$F$61</c:f>
              <c:numCache>
                <c:formatCode>0.0</c:formatCode>
                <c:ptCount val="2"/>
                <c:pt idx="0">
                  <c:v>100</c:v>
                </c:pt>
                <c:pt idx="1">
                  <c:v>98.213735791178408</c:v>
                </c:pt>
              </c:numCache>
            </c:numRef>
          </c:val>
          <c:smooth val="0"/>
        </c:ser>
        <c:ser>
          <c:idx val="1"/>
          <c:order val="1"/>
          <c:tx>
            <c:v>Medium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2.0837826489671418E-6"/>
                  <c:y val="1.939768518518524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Vector!$E$60:$F$60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Vector!$E$62:$F$62</c:f>
              <c:numCache>
                <c:formatCode>0.0</c:formatCode>
                <c:ptCount val="2"/>
                <c:pt idx="0">
                  <c:v>100</c:v>
                </c:pt>
                <c:pt idx="1">
                  <c:v>101.19507223841173</c:v>
                </c:pt>
              </c:numCache>
            </c:numRef>
          </c:val>
          <c:smooth val="0"/>
        </c:ser>
        <c:ser>
          <c:idx val="2"/>
          <c:order val="2"/>
          <c:tx>
            <c:v>Large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1.76388888888888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5.2094566224176942E-6"/>
                  <c:y val="-5.8805555555556093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Vector!$E$60:$F$60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Vector!$E$63:$F$63</c:f>
              <c:numCache>
                <c:formatCode>0.0</c:formatCode>
                <c:ptCount val="2"/>
                <c:pt idx="0">
                  <c:v>100</c:v>
                </c:pt>
                <c:pt idx="1">
                  <c:v>101.25347072599074</c:v>
                </c:pt>
              </c:numCache>
            </c:numRef>
          </c:val>
          <c:smooth val="0"/>
        </c:ser>
        <c:ser>
          <c:idx val="3"/>
          <c:order val="3"/>
          <c:tx>
            <c:v>Largest 5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1.76388888888888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Vector!$E$60:$F$60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Vector!$E$64:$F$64</c:f>
              <c:numCache>
                <c:formatCode>0.0</c:formatCode>
                <c:ptCount val="2"/>
                <c:pt idx="0">
                  <c:v>100</c:v>
                </c:pt>
                <c:pt idx="1">
                  <c:v>95.825490142726466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876544"/>
        <c:axId val="174878080"/>
      </c:lineChart>
      <c:catAx>
        <c:axId val="17487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4878080"/>
        <c:crosses val="autoZero"/>
        <c:auto val="1"/>
        <c:lblAlgn val="ctr"/>
        <c:lblOffset val="100"/>
        <c:noMultiLvlLbl val="0"/>
      </c:catAx>
      <c:valAx>
        <c:axId val="174878080"/>
        <c:scaling>
          <c:orientation val="minMax"/>
          <c:max val="110"/>
          <c:min val="9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4876544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460351024323155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v>Small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3.16298067344092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4.1354918846777024E-3"/>
                  <c:y val="-2.8059872484559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Vector!$E$83:$F$83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Vector!$E$84:$F$84</c:f>
              <c:numCache>
                <c:formatCode>0.00</c:formatCode>
                <c:ptCount val="2"/>
                <c:pt idx="0">
                  <c:v>9.1273867344494324</c:v>
                </c:pt>
                <c:pt idx="1">
                  <c:v>9.2253088098805982</c:v>
                </c:pt>
              </c:numCache>
            </c:numRef>
          </c:val>
          <c:smooth val="0"/>
        </c:ser>
        <c:ser>
          <c:idx val="1"/>
          <c:order val="1"/>
          <c:tx>
            <c:v>Medium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4.263939699775683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4.1590609520707183E-3"/>
                  <c:y val="-4.06340904562661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Vector!$E$83:$F$83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Vector!$E$85:$F$85</c:f>
              <c:numCache>
                <c:formatCode>0.00</c:formatCode>
                <c:ptCount val="2"/>
                <c:pt idx="0">
                  <c:v>7.0335704804879704</c:v>
                </c:pt>
                <c:pt idx="1">
                  <c:v>7.063498918266446</c:v>
                </c:pt>
              </c:numCache>
            </c:numRef>
          </c:val>
          <c:smooth val="0"/>
        </c:ser>
        <c:ser>
          <c:idx val="2"/>
          <c:order val="2"/>
          <c:tx>
            <c:v>Large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4.277633663564188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4.1513218553147734E-3"/>
                  <c:y val="-2.8505678421996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Vector!$E$83:$F$83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Vector!$E$86:$F$86</c:f>
              <c:numCache>
                <c:formatCode>0.00</c:formatCode>
                <c:ptCount val="2"/>
                <c:pt idx="0">
                  <c:v>3.8776522509159994</c:v>
                </c:pt>
                <c:pt idx="1">
                  <c:v>3.9005939688831694</c:v>
                </c:pt>
              </c:numCache>
            </c:numRef>
          </c:val>
          <c:smooth val="0"/>
        </c:ser>
        <c:ser>
          <c:idx val="3"/>
          <c:order val="3"/>
          <c:tx>
            <c:v>Largest 5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4.263939699775683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4.1699660429540984E-3"/>
                  <c:y val="-2.88742777445713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Vector!$E$83:$F$83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Vector!$E$87:$F$87</c:f>
              <c:numCache>
                <c:formatCode>0.00</c:formatCode>
                <c:ptCount val="2"/>
                <c:pt idx="0">
                  <c:v>2.4874909104580647</c:v>
                </c:pt>
                <c:pt idx="1">
                  <c:v>2.1190062999618964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08384"/>
        <c:axId val="175034752"/>
      </c:lineChart>
      <c:catAx>
        <c:axId val="17500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5034752"/>
        <c:crosses val="autoZero"/>
        <c:auto val="1"/>
        <c:lblAlgn val="ctr"/>
        <c:lblOffset val="100"/>
        <c:noMultiLvlLbl val="0"/>
      </c:catAx>
      <c:valAx>
        <c:axId val="17503475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5008384"/>
        <c:crosses val="autoZero"/>
        <c:crossBetween val="midCat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652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v>Small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3.16298067344092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-8.5574815700338747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Vector!$E$89:$F$89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Vector!$E$90:$F$90</c:f>
              <c:numCache>
                <c:formatCode>0.0</c:formatCode>
                <c:ptCount val="2"/>
                <c:pt idx="0">
                  <c:v>100</c:v>
                </c:pt>
                <c:pt idx="1">
                  <c:v>101.07283802341342</c:v>
                </c:pt>
              </c:numCache>
            </c:numRef>
          </c:val>
          <c:smooth val="0"/>
        </c:ser>
        <c:ser>
          <c:idx val="1"/>
          <c:order val="1"/>
          <c:tx>
            <c:v>Medium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4.428172942817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4.2525036252654544E-3"/>
                  <c:y val="-6.013548515640581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Vector!$E$89:$F$89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Vector!$E$91:$F$91</c:f>
              <c:numCache>
                <c:formatCode>0.0</c:formatCode>
                <c:ptCount val="2"/>
                <c:pt idx="0">
                  <c:v>100</c:v>
                </c:pt>
                <c:pt idx="1">
                  <c:v>100.42550846488993</c:v>
                </c:pt>
              </c:numCache>
            </c:numRef>
          </c:val>
          <c:smooth val="0"/>
        </c:ser>
        <c:ser>
          <c:idx val="2"/>
          <c:order val="2"/>
          <c:tx>
            <c:v>Large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0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0.26152644972778138"/>
                  <c:y val="2.8505678421996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Vector!$E$89:$F$89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Vector!$E$92:$F$92</c:f>
              <c:numCache>
                <c:formatCode>0.0</c:formatCode>
                <c:ptCount val="2"/>
                <c:pt idx="0">
                  <c:v>100</c:v>
                </c:pt>
                <c:pt idx="1">
                  <c:v>100.59163938596481</c:v>
                </c:pt>
              </c:numCache>
            </c:numRef>
          </c:val>
          <c:smooth val="0"/>
        </c:ser>
        <c:ser>
          <c:idx val="3"/>
          <c:order val="3"/>
          <c:tx>
            <c:v>Largest 5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2.16557083084280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Vector!$E$89:$F$89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Vector!$E$93:$F$93</c:f>
              <c:numCache>
                <c:formatCode>0.0</c:formatCode>
                <c:ptCount val="2"/>
                <c:pt idx="0">
                  <c:v>100</c:v>
                </c:pt>
                <c:pt idx="1">
                  <c:v>85.186494191919977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78784"/>
        <c:axId val="175101056"/>
      </c:lineChart>
      <c:catAx>
        <c:axId val="17507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5101056"/>
        <c:crosses val="autoZero"/>
        <c:auto val="1"/>
        <c:lblAlgn val="ctr"/>
        <c:lblOffset val="100"/>
        <c:noMultiLvlLbl val="0"/>
      </c:catAx>
      <c:valAx>
        <c:axId val="175101056"/>
        <c:scaling>
          <c:orientation val="minMax"/>
          <c:max val="102"/>
          <c:min val="84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5078784"/>
        <c:crosses val="autoZero"/>
        <c:crossBetween val="midCat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817127859017623"/>
          <c:y val="3.2653061224489806E-2"/>
        </c:manualLayout>
      </c:layout>
      <c:overlay val="0"/>
      <c:txPr>
        <a:bodyPr/>
        <a:lstStyle/>
        <a:p>
          <a:pPr>
            <a:defRPr sz="1050"/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Vector!$B$98</c:f>
              <c:strCache>
                <c:ptCount val="1"/>
                <c:pt idx="0">
                  <c:v>Small</c:v>
                </c:pt>
              </c:strCache>
            </c:strRef>
          </c:tx>
          <c:marker>
            <c:symbol val="none"/>
          </c:marker>
          <c:cat>
            <c:numRef>
              <c:f>Vector!$C$97:$F$97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Vector!$C$98:$F$98</c:f>
              <c:numCache>
                <c:formatCode>General</c:formatCode>
                <c:ptCount val="4"/>
                <c:pt idx="0">
                  <c:v>631963</c:v>
                </c:pt>
                <c:pt idx="1">
                  <c:v>486419</c:v>
                </c:pt>
                <c:pt idx="2">
                  <c:v>490832.49</c:v>
                </c:pt>
                <c:pt idx="3">
                  <c:v>483600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41632"/>
        <c:axId val="175143168"/>
      </c:lineChart>
      <c:catAx>
        <c:axId val="17514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5143168"/>
        <c:crosses val="autoZero"/>
        <c:auto val="1"/>
        <c:lblAlgn val="ctr"/>
        <c:lblOffset val="100"/>
        <c:noMultiLvlLbl val="0"/>
      </c:catAx>
      <c:valAx>
        <c:axId val="17514316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514163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/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Vector!$B$99</c:f>
              <c:strCache>
                <c:ptCount val="1"/>
                <c:pt idx="0">
                  <c:v>Medium</c:v>
                </c:pt>
              </c:strCache>
            </c:strRef>
          </c:tx>
          <c:marker>
            <c:symbol val="none"/>
          </c:marker>
          <c:cat>
            <c:numRef>
              <c:f>Vector!$C$97:$F$97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Vector!$C$99:$F$99</c:f>
              <c:numCache>
                <c:formatCode>General</c:formatCode>
                <c:ptCount val="4"/>
                <c:pt idx="0">
                  <c:v>41160.000999999997</c:v>
                </c:pt>
                <c:pt idx="1">
                  <c:v>30204</c:v>
                </c:pt>
                <c:pt idx="2">
                  <c:v>30651.169000000002</c:v>
                </c:pt>
                <c:pt idx="3">
                  <c:v>41621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71840"/>
        <c:axId val="175251456"/>
      </c:lineChart>
      <c:catAx>
        <c:axId val="17517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5251456"/>
        <c:crosses val="autoZero"/>
        <c:auto val="1"/>
        <c:lblAlgn val="ctr"/>
        <c:lblOffset val="100"/>
        <c:noMultiLvlLbl val="0"/>
      </c:catAx>
      <c:valAx>
        <c:axId val="17525145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51718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050"/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Vector!$B$100</c:f>
              <c:strCache>
                <c:ptCount val="1"/>
                <c:pt idx="0">
                  <c:v>Large</c:v>
                </c:pt>
              </c:strCache>
            </c:strRef>
          </c:tx>
          <c:marker>
            <c:symbol val="none"/>
          </c:marker>
          <c:cat>
            <c:numRef>
              <c:f>Vector!$C$97:$F$97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Vector!$C$100:$F$100</c:f>
              <c:numCache>
                <c:formatCode>General</c:formatCode>
                <c:ptCount val="4"/>
                <c:pt idx="0">
                  <c:v>6473.9976999999999</c:v>
                </c:pt>
                <c:pt idx="1">
                  <c:v>5514</c:v>
                </c:pt>
                <c:pt idx="2">
                  <c:v>5602.3451999999997</c:v>
                </c:pt>
                <c:pt idx="3">
                  <c:v>5954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76032"/>
        <c:axId val="175277568"/>
      </c:lineChart>
      <c:catAx>
        <c:axId val="17527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5277568"/>
        <c:crosses val="autoZero"/>
        <c:auto val="1"/>
        <c:lblAlgn val="ctr"/>
        <c:lblOffset val="100"/>
        <c:noMultiLvlLbl val="0"/>
      </c:catAx>
      <c:valAx>
        <c:axId val="17527756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52760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393292516689997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Vector!$B$113</c:f>
              <c:strCache>
                <c:ptCount val="1"/>
                <c:pt idx="0">
                  <c:v>Small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5.8787037037038746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Vector!$E$119:$F$119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Vector!$E$120:$F$120</c:f>
              <c:numCache>
                <c:formatCode>0.0</c:formatCode>
                <c:ptCount val="2"/>
                <c:pt idx="0">
                  <c:v>100</c:v>
                </c:pt>
                <c:pt idx="1">
                  <c:v>97.171245719277508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Vector!$B$114</c:f>
              <c:strCache>
                <c:ptCount val="1"/>
                <c:pt idx="0">
                  <c:v>Medium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4.3600801338294663E-3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Vector!$E$119:$F$119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Vector!$E$121:$F$121</c:f>
              <c:numCache>
                <c:formatCode>0.0</c:formatCode>
                <c:ptCount val="2"/>
                <c:pt idx="0">
                  <c:v>100</c:v>
                </c:pt>
                <c:pt idx="1">
                  <c:v>100.76630308901136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Vector!$B$115</c:f>
              <c:strCache>
                <c:ptCount val="1"/>
                <c:pt idx="0">
                  <c:v>Large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1.763888888888889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1.7009866764143629E-5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Vector!$E$119:$F$119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Vector!$E$122:$F$122</c:f>
              <c:numCache>
                <c:formatCode>0.0</c:formatCode>
                <c:ptCount val="2"/>
                <c:pt idx="0">
                  <c:v>100</c:v>
                </c:pt>
                <c:pt idx="1">
                  <c:v>100.65793871544982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Vector!$B$116</c:f>
              <c:strCache>
                <c:ptCount val="1"/>
                <c:pt idx="0">
                  <c:v>Largest 5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9.7243122740617068E-6"/>
                  <c:y val="-2.939861111111110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700" baseline="0"/>
                      <a:t> 5</a:t>
                    </a:r>
                    <a:endParaRPr lang="en-US" sz="80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Vector!$E$119:$F$119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Vector!$E$123:$F$123</c:f>
              <c:numCache>
                <c:formatCode>0.0</c:formatCode>
                <c:ptCount val="2"/>
                <c:pt idx="0">
                  <c:v>100</c:v>
                </c:pt>
                <c:pt idx="1">
                  <c:v>112.48906420170022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613440"/>
        <c:axId val="175614976"/>
      </c:lineChart>
      <c:catAx>
        <c:axId val="17561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5614976"/>
        <c:crosses val="autoZero"/>
        <c:auto val="1"/>
        <c:lblAlgn val="ctr"/>
        <c:lblOffset val="100"/>
        <c:noMultiLvlLbl val="0"/>
      </c:catAx>
      <c:valAx>
        <c:axId val="175614976"/>
        <c:scaling>
          <c:orientation val="minMax"/>
          <c:max val="115"/>
          <c:min val="9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5613440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6237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Vector!$B$113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Vector!$E$112:$F$112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Vector!$E$113:$F$113</c:f>
              <c:numCache>
                <c:formatCode>General</c:formatCode>
                <c:ptCount val="2"/>
                <c:pt idx="0">
                  <c:v>3745571</c:v>
                </c:pt>
                <c:pt idx="1">
                  <c:v>3639618</c:v>
                </c:pt>
              </c:numCache>
            </c:numRef>
          </c:val>
        </c:ser>
        <c:ser>
          <c:idx val="1"/>
          <c:order val="1"/>
          <c:tx>
            <c:strRef>
              <c:f>Vector!$B$114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Vector!$E$112:$F$112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Vector!$E$114:$F$114</c:f>
              <c:numCache>
                <c:formatCode>General</c:formatCode>
                <c:ptCount val="2"/>
                <c:pt idx="0">
                  <c:v>942182.03</c:v>
                </c:pt>
                <c:pt idx="1">
                  <c:v>949402</c:v>
                </c:pt>
              </c:numCache>
            </c:numRef>
          </c:val>
        </c:ser>
        <c:ser>
          <c:idx val="2"/>
          <c:order val="2"/>
          <c:tx>
            <c:strRef>
              <c:f>Vector!$B$115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Vector!$E$112:$F$112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Vector!$E$115:$F$115</c:f>
              <c:numCache>
                <c:formatCode>General</c:formatCode>
                <c:ptCount val="2"/>
                <c:pt idx="0">
                  <c:v>3172894.3</c:v>
                </c:pt>
                <c:pt idx="1">
                  <c:v>3193770</c:v>
                </c:pt>
              </c:numCache>
            </c:numRef>
          </c:val>
        </c:ser>
        <c:ser>
          <c:idx val="3"/>
          <c:order val="3"/>
          <c:tx>
            <c:strRef>
              <c:f>Vector!$B$116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Vector!$E$112:$F$112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Vector!$E$116:$F$116</c:f>
              <c:numCache>
                <c:formatCode>General</c:formatCode>
                <c:ptCount val="2"/>
                <c:pt idx="0">
                  <c:v>450275.77</c:v>
                </c:pt>
                <c:pt idx="1">
                  <c:v>506511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327488"/>
        <c:axId val="175345664"/>
      </c:barChart>
      <c:catAx>
        <c:axId val="1753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5345664"/>
        <c:crosses val="autoZero"/>
        <c:auto val="1"/>
        <c:lblAlgn val="ctr"/>
        <c:lblOffset val="100"/>
        <c:noMultiLvlLbl val="0"/>
      </c:catAx>
      <c:valAx>
        <c:axId val="17534566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53274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20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357"/>
          <c:y val="0.16445370370370369"/>
          <c:w val="0.70330041907982088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Buller!$B$70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Buller!$C$70:$F$70</c:f>
              <c:numCache>
                <c:formatCode>0</c:formatCode>
                <c:ptCount val="4"/>
                <c:pt idx="0">
                  <c:v>830.13090759043405</c:v>
                </c:pt>
                <c:pt idx="1">
                  <c:v>839.30538208182293</c:v>
                </c:pt>
                <c:pt idx="2">
                  <c:v>908.29692052339885</c:v>
                </c:pt>
                <c:pt idx="3">
                  <c:v>750.53905185961241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097792"/>
        <c:axId val="120111872"/>
      </c:lineChart>
      <c:catAx>
        <c:axId val="1200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20111872"/>
        <c:crosses val="autoZero"/>
        <c:auto val="1"/>
        <c:lblAlgn val="ctr"/>
        <c:lblOffset val="100"/>
        <c:noMultiLvlLbl val="0"/>
      </c:catAx>
      <c:valAx>
        <c:axId val="120111872"/>
        <c:scaling>
          <c:orientation val="minMax"/>
          <c:max val="1200"/>
          <c:min val="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20097792"/>
        <c:crosses val="autoZero"/>
        <c:crossBetween val="midCat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Vector!$U$138:$U$144</c:f>
              <c:strCache>
                <c:ptCount val="7"/>
                <c:pt idx="0">
                  <c:v>General management, admin and overheads</c:v>
                </c:pt>
                <c:pt idx="1">
                  <c:v>Routine and preventative maintenance</c:v>
                </c:pt>
                <c:pt idx="2">
                  <c:v>Fault and emergency maintenance</c:v>
                </c:pt>
                <c:pt idx="3">
                  <c:v>Refurbishment and renewal maintenance</c:v>
                </c:pt>
                <c:pt idx="4">
                  <c:v>Pass-through costs</c:v>
                </c:pt>
                <c:pt idx="5">
                  <c:v>System management and operations</c:v>
                </c:pt>
                <c:pt idx="6">
                  <c:v>Other</c:v>
                </c:pt>
              </c:strCache>
            </c:strRef>
          </c:cat>
          <c:val>
            <c:numRef>
              <c:f>Vector!$V$138:$V$144</c:f>
              <c:numCache>
                <c:formatCode>General</c:formatCode>
                <c:ptCount val="7"/>
                <c:pt idx="0">
                  <c:v>42398</c:v>
                </c:pt>
                <c:pt idx="1">
                  <c:v>15159</c:v>
                </c:pt>
                <c:pt idx="2">
                  <c:v>13148</c:v>
                </c:pt>
                <c:pt idx="3">
                  <c:v>10315</c:v>
                </c:pt>
                <c:pt idx="4">
                  <c:v>6791</c:v>
                </c:pt>
                <c:pt idx="5">
                  <c:v>3898</c:v>
                </c:pt>
                <c:pt idx="6">
                  <c:v>431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75370240"/>
        <c:axId val="175371776"/>
      </c:barChart>
      <c:catAx>
        <c:axId val="175370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5371776"/>
        <c:crosses val="autoZero"/>
        <c:auto val="1"/>
        <c:lblAlgn val="ctr"/>
        <c:lblOffset val="100"/>
        <c:noMultiLvlLbl val="0"/>
      </c:catAx>
      <c:valAx>
        <c:axId val="175371776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53702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944600694445026"/>
          <c:y val="5.1014483439099333E-2"/>
          <c:w val="0.69838420138889612"/>
          <c:h val="0.83280395612391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Vector!$U$186:$U$191</c:f>
              <c:strCache>
                <c:ptCount val="6"/>
                <c:pt idx="0">
                  <c:v>Asset replacement and renewal</c:v>
                </c:pt>
                <c:pt idx="1">
                  <c:v>System growth</c:v>
                </c:pt>
                <c:pt idx="2">
                  <c:v>Customer connection</c:v>
                </c:pt>
                <c:pt idx="3">
                  <c:v>Asset relocations</c:v>
                </c:pt>
                <c:pt idx="4">
                  <c:v>Non-network capex</c:v>
                </c:pt>
                <c:pt idx="5">
                  <c:v>Reliability, safety and environment</c:v>
                </c:pt>
              </c:strCache>
            </c:strRef>
          </c:cat>
          <c:val>
            <c:numRef>
              <c:f>Vector!$V$186:$V$191</c:f>
              <c:numCache>
                <c:formatCode>General</c:formatCode>
                <c:ptCount val="6"/>
                <c:pt idx="0">
                  <c:v>56.100999999999999</c:v>
                </c:pt>
                <c:pt idx="1">
                  <c:v>31.097999999999999</c:v>
                </c:pt>
                <c:pt idx="2">
                  <c:v>25.748999999999999</c:v>
                </c:pt>
                <c:pt idx="3">
                  <c:v>17.056999999999999</c:v>
                </c:pt>
                <c:pt idx="4">
                  <c:v>17.04</c:v>
                </c:pt>
                <c:pt idx="5">
                  <c:v>2.5870000000000002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75391872"/>
        <c:axId val="175393408"/>
      </c:barChart>
      <c:catAx>
        <c:axId val="175391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5393408"/>
        <c:crosses val="autoZero"/>
        <c:auto val="1"/>
        <c:lblAlgn val="ctr"/>
        <c:lblOffset val="100"/>
        <c:noMultiLvlLbl val="0"/>
      </c:catAx>
      <c:valAx>
        <c:axId val="175393408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53918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68744841764"/>
          <c:h val="0.82404629629630965"/>
        </c:manualLayout>
      </c:layout>
      <c:lineChart>
        <c:grouping val="standard"/>
        <c:varyColors val="0"/>
        <c:ser>
          <c:idx val="0"/>
          <c:order val="0"/>
          <c:tx>
            <c:v>Small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5.8796296296297753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Vector!$E$75:$F$75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Vector!$E$76:$F$76</c:f>
              <c:numCache>
                <c:formatCode>0.0</c:formatCode>
                <c:ptCount val="2"/>
                <c:pt idx="0">
                  <c:v>100</c:v>
                </c:pt>
                <c:pt idx="1">
                  <c:v>99.682573388308967</c:v>
                </c:pt>
              </c:numCache>
            </c:numRef>
          </c:val>
          <c:smooth val="0"/>
        </c:ser>
        <c:ser>
          <c:idx val="1"/>
          <c:order val="1"/>
          <c:tx>
            <c:v>Medium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1.763888888888900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939722222222224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Vector!$E$75:$F$75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Vector!$E$77:$F$77</c:f>
              <c:numCache>
                <c:formatCode>0.0</c:formatCode>
                <c:ptCount val="2"/>
                <c:pt idx="0">
                  <c:v>100</c:v>
                </c:pt>
                <c:pt idx="1">
                  <c:v>74.5236121464349</c:v>
                </c:pt>
              </c:numCache>
            </c:numRef>
          </c:val>
          <c:smooth val="0"/>
        </c:ser>
        <c:ser>
          <c:idx val="2"/>
          <c:order val="2"/>
          <c:tx>
            <c:v>Large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1.175925925925926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1.763842592592592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Vector!$E$75:$F$75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Vector!$E$78:$F$78</c:f>
              <c:numCache>
                <c:formatCode>0.0</c:formatCode>
                <c:ptCount val="2"/>
                <c:pt idx="0">
                  <c:v>100</c:v>
                </c:pt>
                <c:pt idx="1">
                  <c:v>95.27324415604545</c:v>
                </c:pt>
              </c:numCache>
            </c:numRef>
          </c:val>
          <c:smooth val="0"/>
        </c:ser>
        <c:ser>
          <c:idx val="3"/>
          <c:order val="3"/>
          <c:tx>
            <c:v>Largest 5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115740740740737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Vector!$E$75:$F$75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Vector!$E$79:$F$79</c:f>
              <c:numCache>
                <c:formatCode>0.0</c:formatCode>
                <c:ptCount val="2"/>
                <c:pt idx="0">
                  <c:v>100</c:v>
                </c:pt>
                <c:pt idx="1">
                  <c:v>95.825490142726451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507328"/>
        <c:axId val="175508864"/>
      </c:lineChart>
      <c:catAx>
        <c:axId val="17550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5508864"/>
        <c:crosses val="autoZero"/>
        <c:auto val="1"/>
        <c:lblAlgn val="ctr"/>
        <c:lblOffset val="100"/>
        <c:noMultiLvlLbl val="0"/>
      </c:catAx>
      <c:valAx>
        <c:axId val="175508864"/>
        <c:scaling>
          <c:orientation val="minMax"/>
          <c:max val="110"/>
          <c:min val="7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5507328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36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504"/>
          <c:y val="0.16445370370370369"/>
          <c:w val="0.70330041907982332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Vector!$B$70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Vector!$E$69:$F$69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Vector!$E$70:$F$70</c:f>
              <c:numCache>
                <c:formatCode>0</c:formatCode>
                <c:ptCount val="2"/>
                <c:pt idx="0">
                  <c:v>696.51613849642456</c:v>
                </c:pt>
                <c:pt idx="1">
                  <c:v>694.3052109181142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558016"/>
        <c:axId val="175637632"/>
      </c:lineChart>
      <c:catAx>
        <c:axId val="17555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5637632"/>
        <c:crosses val="autoZero"/>
        <c:auto val="1"/>
        <c:lblAlgn val="ctr"/>
        <c:lblOffset val="100"/>
        <c:noMultiLvlLbl val="0"/>
      </c:catAx>
      <c:valAx>
        <c:axId val="175637632"/>
        <c:scaling>
          <c:orientation val="minMax"/>
          <c:max val="1000"/>
          <c:min val="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5558016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7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20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926"/>
          <c:y val="0.17621296296296801"/>
          <c:w val="0.73692152777777775"/>
          <c:h val="0.57282407407409941"/>
        </c:manualLayout>
      </c:layout>
      <c:lineChart>
        <c:grouping val="standard"/>
        <c:varyColors val="0"/>
        <c:ser>
          <c:idx val="1"/>
          <c:order val="0"/>
          <c:tx>
            <c:strRef>
              <c:f>Vector!$B$71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Vector!$E$69:$F$69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Vector!$E$71:$F$71</c:f>
              <c:numCache>
                <c:formatCode>0</c:formatCode>
                <c:ptCount val="2"/>
                <c:pt idx="0">
                  <c:v>2162.0394685286656</c:v>
                </c:pt>
                <c:pt idx="1">
                  <c:v>1611.2299079791453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666304"/>
        <c:axId val="175667840"/>
      </c:lineChart>
      <c:catAx>
        <c:axId val="1756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5667840"/>
        <c:crosses val="autoZero"/>
        <c:auto val="1"/>
        <c:lblAlgn val="ctr"/>
        <c:lblOffset val="100"/>
        <c:noMultiLvlLbl val="0"/>
      </c:catAx>
      <c:valAx>
        <c:axId val="175667840"/>
        <c:scaling>
          <c:orientation val="minMax"/>
          <c:max val="3000"/>
          <c:min val="1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5666304"/>
        <c:crosses val="autoZero"/>
        <c:crossBetween val="midCat"/>
        <c:majorUnit val="3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7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9003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Vector!$B$72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Vector!$E$69:$F$69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Vector!$E$72:$F$72</c:f>
              <c:numCache>
                <c:formatCode>0</c:formatCode>
                <c:ptCount val="2"/>
                <c:pt idx="0">
                  <c:v>21961.125716268867</c:v>
                </c:pt>
                <c:pt idx="1">
                  <c:v>20923.076923076922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688320"/>
        <c:axId val="175694208"/>
      </c:lineChart>
      <c:catAx>
        <c:axId val="1756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5694208"/>
        <c:crosses val="autoZero"/>
        <c:auto val="1"/>
        <c:lblAlgn val="ctr"/>
        <c:lblOffset val="100"/>
        <c:noMultiLvlLbl val="0"/>
      </c:catAx>
      <c:valAx>
        <c:axId val="175694208"/>
        <c:scaling>
          <c:orientation val="minMax"/>
          <c:max val="30000"/>
          <c:min val="1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5688320"/>
        <c:crosses val="autoZero"/>
        <c:crossBetween val="midCat"/>
        <c:majorUnit val="3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7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Vector!$B$73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Vector!$E$69:$F$69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Vector!$E$73:$F$73</c:f>
              <c:numCache>
                <c:formatCode>0</c:formatCode>
                <c:ptCount val="2"/>
                <c:pt idx="0">
                  <c:v>1120056.8850745063</c:v>
                </c:pt>
                <c:pt idx="1">
                  <c:v>1073300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792896"/>
        <c:axId val="175794432"/>
      </c:lineChart>
      <c:catAx>
        <c:axId val="17579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5794432"/>
        <c:crosses val="autoZero"/>
        <c:auto val="1"/>
        <c:lblAlgn val="ctr"/>
        <c:lblOffset val="100"/>
        <c:noMultiLvlLbl val="0"/>
      </c:catAx>
      <c:valAx>
        <c:axId val="175794432"/>
        <c:scaling>
          <c:orientation val="minMax"/>
          <c:max val="1500000"/>
          <c:min val="75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5792896"/>
        <c:crosses val="autoZero"/>
        <c:crossBetween val="midCat"/>
        <c:majorUnit val="1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7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44"/>
          <c:y val="6.4675925925925928E-2"/>
          <c:w val="0.80486462046778562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Vector!$B$98</c:f>
              <c:strCache>
                <c:ptCount val="1"/>
                <c:pt idx="0">
                  <c:v>Small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21919363997841E-4"/>
                  <c:y val="-4.6296296296297827E-7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Vector!$E$104:$F$104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Vector!$E$105:$F$105</c:f>
              <c:numCache>
                <c:formatCode>0.0</c:formatCode>
                <c:ptCount val="2"/>
                <c:pt idx="0">
                  <c:v>100</c:v>
                </c:pt>
                <c:pt idx="1">
                  <c:v>98.526485074368239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Vector!$B$99</c:f>
              <c:strCache>
                <c:ptCount val="1"/>
                <c:pt idx="0">
                  <c:v>Medium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3.52777777777784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.20764316146422332"/>
                  <c:y val="-0.2962254629629689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Vector!$E$104:$F$104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Vector!$E$106:$F$106</c:f>
              <c:numCache>
                <c:formatCode>0.0</c:formatCode>
                <c:ptCount val="2"/>
                <c:pt idx="0">
                  <c:v>100</c:v>
                </c:pt>
                <c:pt idx="1">
                  <c:v>135.78927446454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Vector!$B$100</c:f>
              <c:strCache>
                <c:ptCount val="1"/>
                <c:pt idx="0">
                  <c:v>Large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8.8727995457130293E-5"/>
                  <c:y val="2.8240740740741217E-5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Vector!$E$104:$F$104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Vector!$E$107:$F$107</c:f>
              <c:numCache>
                <c:formatCode>0.0</c:formatCode>
                <c:ptCount val="2"/>
                <c:pt idx="0">
                  <c:v>100</c:v>
                </c:pt>
                <c:pt idx="1">
                  <c:v>106.27692131502357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20576"/>
        <c:axId val="176122112"/>
      </c:lineChart>
      <c:catAx>
        <c:axId val="17612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6122112"/>
        <c:crosses val="autoZero"/>
        <c:auto val="1"/>
        <c:lblAlgn val="ctr"/>
        <c:lblOffset val="100"/>
        <c:noMultiLvlLbl val="0"/>
      </c:catAx>
      <c:valAx>
        <c:axId val="176122112"/>
        <c:scaling>
          <c:orientation val="minMax"/>
          <c:max val="14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6120576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Vector!$B$98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Vector!$E$97:$F$97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Vector!$E$98:$F$98</c:f>
              <c:numCache>
                <c:formatCode>General</c:formatCode>
                <c:ptCount val="2"/>
                <c:pt idx="0">
                  <c:v>490832.49</c:v>
                </c:pt>
                <c:pt idx="1">
                  <c:v>483600</c:v>
                </c:pt>
              </c:numCache>
            </c:numRef>
          </c:val>
        </c:ser>
        <c:ser>
          <c:idx val="1"/>
          <c:order val="1"/>
          <c:tx>
            <c:strRef>
              <c:f>Vector!$B$99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Vector!$E$97:$F$97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Vector!$E$99:$F$99</c:f>
              <c:numCache>
                <c:formatCode>General</c:formatCode>
                <c:ptCount val="2"/>
                <c:pt idx="0">
                  <c:v>30651.169000000002</c:v>
                </c:pt>
                <c:pt idx="1">
                  <c:v>41621</c:v>
                </c:pt>
              </c:numCache>
            </c:numRef>
          </c:val>
        </c:ser>
        <c:ser>
          <c:idx val="2"/>
          <c:order val="2"/>
          <c:tx>
            <c:strRef>
              <c:f>Vector!$B$100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Vector!$E$97:$F$97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Vector!$E$100:$F$100</c:f>
              <c:numCache>
                <c:formatCode>General</c:formatCode>
                <c:ptCount val="2"/>
                <c:pt idx="0">
                  <c:v>5602.3451999999997</c:v>
                </c:pt>
                <c:pt idx="1">
                  <c:v>5954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5833472"/>
        <c:axId val="175835008"/>
      </c:barChart>
      <c:catAx>
        <c:axId val="17583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5835008"/>
        <c:crosses val="autoZero"/>
        <c:auto val="1"/>
        <c:lblAlgn val="ctr"/>
        <c:lblOffset val="100"/>
        <c:noMultiLvlLbl val="0"/>
      </c:catAx>
      <c:valAx>
        <c:axId val="17583500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58334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3.5277777777779545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7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Vector!$B$209</c:f>
              <c:strCache>
                <c:ptCount val="1"/>
                <c:pt idx="0">
                  <c:v>Vector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Vector!$E$204:$F$204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Vector!$E$209:$F$209</c:f>
              <c:numCache>
                <c:formatCode>_(* #,##0.00_);_(* \(#,##0.00\);_(* "-"??_);_(@_)</c:formatCode>
                <c:ptCount val="2"/>
                <c:pt idx="0">
                  <c:v>14178.99515696944</c:v>
                </c:pt>
                <c:pt idx="1">
                  <c:v>18051.220482885106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Vector!$B$210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0.68590780856850952"/>
                  <c:y val="-2.125666502452885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Vector!$E$204:$F$204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Vector!$E$210:$F$210</c:f>
              <c:numCache>
                <c:formatCode>_(* #,##0.00_);_(* \(#,##0.00\);_(* "-"??_);_(@_)</c:formatCode>
                <c:ptCount val="2"/>
                <c:pt idx="0">
                  <c:v>17432.184323005218</c:v>
                </c:pt>
                <c:pt idx="1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878528"/>
        <c:axId val="175880064"/>
      </c:lineChart>
      <c:catAx>
        <c:axId val="17587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5880064"/>
        <c:crosses val="autoZero"/>
        <c:auto val="1"/>
        <c:lblAlgn val="ctr"/>
        <c:lblOffset val="100"/>
        <c:noMultiLvlLbl val="0"/>
      </c:catAx>
      <c:valAx>
        <c:axId val="175880064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5878528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29902E-2"/>
          <c:y val="5.8338380979806134E-2"/>
          <c:w val="0.83883540276753665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Alpine!$B$90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737776122814E-3"/>
                  <c:y val="2.939828651125722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Alpine!$C$90:$F$90</c:f>
              <c:numCache>
                <c:formatCode>0.0</c:formatCode>
                <c:ptCount val="4"/>
                <c:pt idx="0">
                  <c:v>100</c:v>
                </c:pt>
                <c:pt idx="1">
                  <c:v>89.191206427528755</c:v>
                </c:pt>
                <c:pt idx="2">
                  <c:v>115.66847614037987</c:v>
                </c:pt>
                <c:pt idx="3">
                  <c:v>106.58233797559279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Alpine!$B$91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7544664217008E-3"/>
                  <c:y val="-4.11576011157601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Alpine!$C$91:$F$91</c:f>
              <c:numCache>
                <c:formatCode>0.0</c:formatCode>
                <c:ptCount val="4"/>
                <c:pt idx="0">
                  <c:v>100</c:v>
                </c:pt>
                <c:pt idx="1">
                  <c:v>113.04390325007422</c:v>
                </c:pt>
                <c:pt idx="2">
                  <c:v>112.97774778116631</c:v>
                </c:pt>
                <c:pt idx="3">
                  <c:v>113.26059649270172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Alpine!$B$92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200616792511424E-3"/>
                  <c:y val="2.8505678421996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Alpine!$C$92:$F$92</c:f>
              <c:numCache>
                <c:formatCode>0.0</c:formatCode>
                <c:ptCount val="4"/>
                <c:pt idx="0">
                  <c:v>100</c:v>
                </c:pt>
                <c:pt idx="1">
                  <c:v>57.838010621823557</c:v>
                </c:pt>
                <c:pt idx="2">
                  <c:v>65.100033991988767</c:v>
                </c:pt>
                <c:pt idx="3">
                  <c:v>62.762409228206842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Alpine!$B$93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737776122814E-3"/>
                  <c:y val="-3.527794381350975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Alpine!$C$89:$F$89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Alpine!$C$93:$F$93</c:f>
              <c:numCache>
                <c:formatCode>0.0</c:formatCode>
                <c:ptCount val="4"/>
                <c:pt idx="0">
                  <c:v>100</c:v>
                </c:pt>
                <c:pt idx="1">
                  <c:v>72.964305875707453</c:v>
                </c:pt>
                <c:pt idx="2">
                  <c:v>81.144088359926641</c:v>
                </c:pt>
                <c:pt idx="3">
                  <c:v>77.658696167059745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58208"/>
        <c:axId val="114647424"/>
      </c:lineChart>
      <c:catAx>
        <c:axId val="11415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647424"/>
        <c:crosses val="autoZero"/>
        <c:auto val="1"/>
        <c:lblAlgn val="ctr"/>
        <c:lblOffset val="100"/>
        <c:noMultiLvlLbl val="0"/>
      </c:catAx>
      <c:valAx>
        <c:axId val="11464742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41582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7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48"/>
          <c:y val="0.17621296296296718"/>
          <c:w val="0.73692152777777775"/>
          <c:h val="0.57282407407409508"/>
        </c:manualLayout>
      </c:layout>
      <c:lineChart>
        <c:grouping val="standard"/>
        <c:varyColors val="0"/>
        <c:ser>
          <c:idx val="1"/>
          <c:order val="0"/>
          <c:tx>
            <c:strRef>
              <c:f>Buller!$B$71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Buller!$C$71:$F$71</c:f>
              <c:numCache>
                <c:formatCode>0</c:formatCode>
                <c:ptCount val="4"/>
                <c:pt idx="0">
                  <c:v>4922.3717601437083</c:v>
                </c:pt>
                <c:pt idx="1">
                  <c:v>5190.4729219575793</c:v>
                </c:pt>
                <c:pt idx="2">
                  <c:v>6537.5270584642458</c:v>
                </c:pt>
                <c:pt idx="3">
                  <c:v>2453.2905362776023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35424"/>
        <c:axId val="119736960"/>
      </c:lineChart>
      <c:catAx>
        <c:axId val="11973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19736960"/>
        <c:crosses val="autoZero"/>
        <c:auto val="1"/>
        <c:lblAlgn val="ctr"/>
        <c:lblOffset val="100"/>
        <c:noMultiLvlLbl val="0"/>
      </c:catAx>
      <c:valAx>
        <c:axId val="119736960"/>
        <c:scaling>
          <c:orientation val="minMax"/>
          <c:max val="7200"/>
          <c:min val="2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19735424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8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38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tx>
            <c:strRef>
              <c:f>Vector!$B$212</c:f>
              <c:strCache>
                <c:ptCount val="1"/>
                <c:pt idx="0">
                  <c:v>Vector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Vector!$E$204:$F$204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Vector!$E$212:$F$212</c:f>
              <c:numCache>
                <c:formatCode>_(* #,##0.00_);_(* \(#,##0.00\);_(* "-"??_);_(@_)</c:formatCode>
                <c:ptCount val="2"/>
                <c:pt idx="0">
                  <c:v>5.3357169419277269E-2</c:v>
                </c:pt>
                <c:pt idx="1">
                  <c:v>6.4267443827190879E-2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Vector!$B$213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0.6509318833099581"/>
                  <c:y val="-4.2513330049057933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444588449208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Vector!$E$204:$F$204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Vector!$E$213:$F$213</c:f>
              <c:numCache>
                <c:formatCode>_(* #,##0.00_);_(* \(#,##0.00\);_(* "-"??_);_(@_)</c:formatCode>
                <c:ptCount val="2"/>
                <c:pt idx="0">
                  <c:v>6.3393701017924006E-2</c:v>
                </c:pt>
                <c:pt idx="1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935872"/>
        <c:axId val="175937408"/>
      </c:lineChart>
      <c:catAx>
        <c:axId val="17593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5937408"/>
        <c:crosses val="autoZero"/>
        <c:auto val="1"/>
        <c:lblAlgn val="ctr"/>
        <c:lblOffset val="100"/>
        <c:noMultiLvlLbl val="0"/>
      </c:catAx>
      <c:valAx>
        <c:axId val="175937408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5935872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  <c:userShapes r:id="rId1"/>
</c:chartSpace>
</file>

<file path=xl/charts/chart8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57"/>
          <c:w val="0.76332249809514074"/>
          <c:h val="0.7297955117844046"/>
        </c:manualLayout>
      </c:layout>
      <c:lineChart>
        <c:grouping val="standard"/>
        <c:varyColors val="0"/>
        <c:ser>
          <c:idx val="0"/>
          <c:order val="0"/>
          <c:tx>
            <c:strRef>
              <c:f>Vector!$B$206</c:f>
              <c:strCache>
                <c:ptCount val="1"/>
                <c:pt idx="0">
                  <c:v>Vector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Vector!$E$204:$F$204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Vector!$E$206:$F$206</c:f>
              <c:numCache>
                <c:formatCode>_(* #,##0.00_);_(* \(#,##0.00\);_(* "-"??_);_(@_)</c:formatCode>
                <c:ptCount val="2"/>
                <c:pt idx="0">
                  <c:v>223.56560749060873</c:v>
                </c:pt>
                <c:pt idx="1">
                  <c:v>281.69470146935629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Vector!$B$207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0.65228522215768958"/>
                  <c:y val="-2.125666502452885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6.376999507358656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Vector!$E$204:$F$204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Vector!$E$207:$F$207</c:f>
              <c:numCache>
                <c:formatCode>_(* #,##0.00_);_(* \(#,##0.00\);_(* "-"??_);_(@_)</c:formatCode>
                <c:ptCount val="2"/>
                <c:pt idx="0">
                  <c:v>270.96257169694115</c:v>
                </c:pt>
                <c:pt idx="1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01024"/>
        <c:axId val="176002560"/>
      </c:lineChart>
      <c:catAx>
        <c:axId val="17600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6002560"/>
        <c:crosses val="autoZero"/>
        <c:auto val="1"/>
        <c:lblAlgn val="ctr"/>
        <c:lblOffset val="100"/>
        <c:noMultiLvlLbl val="0"/>
      </c:catAx>
      <c:valAx>
        <c:axId val="176002560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6001024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  <c:userShapes r:id="rId1"/>
</c:chartSpace>
</file>

<file path=xl/charts/chart8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331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Vector!$B$162</c:f>
              <c:strCache>
                <c:ptCount val="1"/>
                <c:pt idx="0">
                  <c:v>Vector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Vector!$E$160:$F$160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Vector!$E$162:$F$162</c:f>
              <c:numCache>
                <c:formatCode>_(* #,##0.00_);_(* \(#,##0.00\);_(* "-"??_);_(@_)</c:formatCode>
                <c:ptCount val="2"/>
                <c:pt idx="0">
                  <c:v>174.19948885299732</c:v>
                </c:pt>
                <c:pt idx="1">
                  <c:v>173.46122349087418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Vector!$B$163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4.2234013012731934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2340130127319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Vector!$E$160:$F$160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Vector!$E$163:$F$163</c:f>
              <c:numCache>
                <c:formatCode>_(* #,##0.00_);_(* \(#,##0.00\);_(* "-"??_);_(@_)</c:formatCode>
                <c:ptCount val="2"/>
                <c:pt idx="0">
                  <c:v>224.81562001127224</c:v>
                </c:pt>
                <c:pt idx="1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64224"/>
        <c:axId val="176170112"/>
      </c:lineChart>
      <c:catAx>
        <c:axId val="17616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6170112"/>
        <c:crosses val="autoZero"/>
        <c:auto val="1"/>
        <c:lblAlgn val="ctr"/>
        <c:lblOffset val="100"/>
        <c:noMultiLvlLbl val="0"/>
      </c:catAx>
      <c:valAx>
        <c:axId val="176170112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6164224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  <c:userShapes r:id="rId1"/>
</c:chartSpace>
</file>

<file path=xl/charts/chart8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3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tx>
            <c:strRef>
              <c:f>Vector!$B$165</c:f>
              <c:strCache>
                <c:ptCount val="1"/>
                <c:pt idx="0">
                  <c:v>Vector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Vector!$E$160:$F$160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Vector!$E$165:$F$165</c:f>
              <c:numCache>
                <c:formatCode>_(* #,##0.00_);_(* \(#,##0.00\);_(* "-"??_);_(@_)</c:formatCode>
                <c:ptCount val="2"/>
                <c:pt idx="0">
                  <c:v>5207.8438640389495</c:v>
                </c:pt>
                <c:pt idx="1">
                  <c:v>5199.8376503912241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Vector!$B$166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3.519501084394319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Vector!$E$160:$F$160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Vector!$E$166:$F$166</c:f>
              <c:numCache>
                <c:formatCode>_(* #,##0.00_);_(* \(#,##0.00\);_(* "-"??_);_(@_)</c:formatCode>
                <c:ptCount val="2"/>
                <c:pt idx="0">
                  <c:v>3017.8575351243162</c:v>
                </c:pt>
                <c:pt idx="1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225280"/>
        <c:axId val="176231168"/>
      </c:lineChart>
      <c:catAx>
        <c:axId val="17622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231168"/>
        <c:crosses val="autoZero"/>
        <c:auto val="1"/>
        <c:lblAlgn val="ctr"/>
        <c:lblOffset val="100"/>
        <c:noMultiLvlLbl val="0"/>
      </c:catAx>
      <c:valAx>
        <c:axId val="176231168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6225280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377" l="0.70000000000000062" r="0.70000000000000062" t="0.75000000000001377" header="0.30000000000000032" footer="0.30000000000000032"/>
    <c:pageSetup/>
  </c:printSettings>
  <c:userShapes r:id="rId1"/>
</c:chartSpace>
</file>

<file path=xl/charts/chart8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26327073267044"/>
          <c:y val="0.13550222222222241"/>
          <c:w val="0.7695508593816110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Vector!$B$168</c:f>
              <c:strCache>
                <c:ptCount val="1"/>
                <c:pt idx="0">
                  <c:v>Vector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Vector!$E$160:$F$160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Vector!$E$168:$F$168</c:f>
              <c:numCache>
                <c:formatCode>_(* #,##0.00_);_(* \(#,##0.00\);_(* "-"??_);_(@_)</c:formatCode>
                <c:ptCount val="2"/>
                <c:pt idx="0">
                  <c:v>11.048093383043975</c:v>
                </c:pt>
                <c:pt idx="1">
                  <c:v>11.115533143265036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Vector!$B$169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4.2234013012731934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92730151815203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Vector!$E$160:$F$160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Vector!$E$169:$F$169</c:f>
              <c:numCache>
                <c:formatCode>_(* #,##0.00_);_(* \(#,##0.00\);_(* "-"??_);_(@_)</c:formatCode>
                <c:ptCount val="2"/>
                <c:pt idx="0">
                  <c:v>14.463353009176652</c:v>
                </c:pt>
                <c:pt idx="1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269952"/>
        <c:axId val="176284032"/>
      </c:lineChart>
      <c:catAx>
        <c:axId val="17626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6284032"/>
        <c:crosses val="autoZero"/>
        <c:auto val="1"/>
        <c:lblAlgn val="ctr"/>
        <c:lblOffset val="100"/>
        <c:noMultiLvlLbl val="0"/>
      </c:catAx>
      <c:valAx>
        <c:axId val="176284032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6269952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  <c:userShapes r:id="rId1"/>
</c:chartSpace>
</file>

<file path=xl/charts/chart8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72"/>
          <c:h val="0.7757828703703917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Vector!$B$222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Vector!$C$222:$D$222</c:f>
              <c:numCache>
                <c:formatCode>_-* #,##0_-;\-* #,##0_-;_-* "-"??_-;_-@_-</c:formatCode>
                <c:ptCount val="2"/>
                <c:pt idx="0">
                  <c:v>116163.53533992615</c:v>
                </c:pt>
                <c:pt idx="1">
                  <c:v>132592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76319488"/>
        <c:axId val="176337664"/>
      </c:barChart>
      <c:lineChart>
        <c:grouping val="standard"/>
        <c:varyColors val="0"/>
        <c:ser>
          <c:idx val="1"/>
          <c:order val="0"/>
          <c:tx>
            <c:strRef>
              <c:f>Vector!$B$223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Vector!$C$221:$D$221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Vector!$C$223:$D$223</c:f>
              <c:numCache>
                <c:formatCode>_-* #,##0_-;\-* #,##0_-;_-* "-"??_-;_-@_-</c:formatCode>
                <c:ptCount val="2"/>
                <c:pt idx="0">
                  <c:v>105013.40087844573</c:v>
                </c:pt>
                <c:pt idx="1">
                  <c:v>90660.047964215453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Vector!$B$224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Vector!$C$221:$D$221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Vector!$C$224:$D$224</c:f>
              <c:numCache>
                <c:formatCode>_-* #,##0_-;\-* #,##0_-;_-* "-"??_-;_-@_-</c:formatCode>
                <c:ptCount val="2"/>
                <c:pt idx="1">
                  <c:v>136100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19488"/>
        <c:axId val="176337664"/>
      </c:lineChart>
      <c:catAx>
        <c:axId val="1763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337664"/>
        <c:crosses val="autoZero"/>
        <c:auto val="1"/>
        <c:lblAlgn val="ctr"/>
        <c:lblOffset val="100"/>
        <c:noMultiLvlLbl val="0"/>
      </c:catAx>
      <c:valAx>
        <c:axId val="176337664"/>
        <c:scaling>
          <c:orientation val="minMax"/>
          <c:max val="142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6319488"/>
        <c:crosses val="autoZero"/>
        <c:crossBetween val="between"/>
        <c:majorUnit val="20000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855E-3"/>
          <c:w val="0.9031628472222043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Vector!$V$221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2808755164974867"/>
                  <c:y val="0.1411111111111112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Vector!$W$221:$AC$221</c:f>
              <c:numCache>
                <c:formatCode>General</c:formatCode>
                <c:ptCount val="7"/>
                <c:pt idx="0">
                  <c:v>105013.40087844573</c:v>
                </c:pt>
                <c:pt idx="1">
                  <c:v>90660.047964215453</c:v>
                </c:pt>
                <c:pt idx="2">
                  <c:v>104175.91819137182</c:v>
                </c:pt>
                <c:pt idx="3">
                  <c:v>127065.0739672873</c:v>
                </c:pt>
                <c:pt idx="4">
                  <c:v>144631.83368812478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Vector!$V$222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3.084221651630431E-2"/>
                  <c:y val="-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Vector!$W$222:$AC$222</c:f>
              <c:numCache>
                <c:formatCode>General</c:formatCode>
                <c:ptCount val="7"/>
                <c:pt idx="1">
                  <c:v>136100</c:v>
                </c:pt>
                <c:pt idx="2">
                  <c:v>147300</c:v>
                </c:pt>
                <c:pt idx="3">
                  <c:v>155800</c:v>
                </c:pt>
                <c:pt idx="4">
                  <c:v>162700</c:v>
                </c:pt>
                <c:pt idx="5">
                  <c:v>153300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Vector!$V$223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0"/>
                  <c:y val="-4.039814814814812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Vector!$W$223:$AC$223</c:f>
              <c:numCache>
                <c:formatCode>General</c:formatCode>
                <c:ptCount val="7"/>
                <c:pt idx="2">
                  <c:v>158572.2559793148</c:v>
                </c:pt>
                <c:pt idx="3">
                  <c:v>157790.14867485454</c:v>
                </c:pt>
                <c:pt idx="4">
                  <c:v>149675.78539107949</c:v>
                </c:pt>
                <c:pt idx="5">
                  <c:v>141952.47575953457</c:v>
                </c:pt>
                <c:pt idx="6">
                  <c:v>143418.92695539753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Vector!$V$220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57534623421661E-2"/>
                  <c:y val="1.052095516569205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Vector!$W$220:$AC$220</c:f>
              <c:numCache>
                <c:formatCode>General</c:formatCode>
                <c:ptCount val="7"/>
                <c:pt idx="0">
                  <c:v>116163.53533992615</c:v>
                </c:pt>
                <c:pt idx="1">
                  <c:v>132592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14496"/>
        <c:axId val="176716032"/>
      </c:lineChart>
      <c:catAx>
        <c:axId val="17671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6716032"/>
        <c:crosses val="autoZero"/>
        <c:auto val="1"/>
        <c:lblAlgn val="ctr"/>
        <c:lblOffset val="100"/>
        <c:noMultiLvlLbl val="0"/>
      </c:catAx>
      <c:valAx>
        <c:axId val="176716032"/>
        <c:scaling>
          <c:orientation val="minMax"/>
          <c:max val="170000"/>
          <c:min val="8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6714496"/>
        <c:crosses val="autoZero"/>
        <c:crossBetween val="midCat"/>
        <c:majorUnit val="17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</c:chartSpace>
</file>

<file path=xl/charts/chart8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26"/>
          <c:y val="6.4675925925925928E-2"/>
          <c:w val="0.76119795201347284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Vector!$B$237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54958876073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Vector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Vector!$C$236:$F$236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Vector!$C$237:$F$237</c:f>
              <c:numCache>
                <c:formatCode>_(* #,##0.00_);_(* \(#,##0.00\);_(* "-"??_);_(@_)</c:formatCode>
                <c:ptCount val="4"/>
                <c:pt idx="0">
                  <c:v>1.49237474</c:v>
                </c:pt>
                <c:pt idx="1">
                  <c:v>1.68</c:v>
                </c:pt>
                <c:pt idx="2">
                  <c:v>1.01823792</c:v>
                </c:pt>
                <c:pt idx="3">
                  <c:v>1.24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Vector!$B$238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7845663684619545"/>
                  <c:y val="-0.1117134259259259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Vector!$C$238:$F$238</c:f>
              <c:numCache>
                <c:formatCode>_(* #,##0.00_);_(* \(#,##0.00\);_(* "-"??_);_(@_)</c:formatCode>
                <c:ptCount val="4"/>
                <c:pt idx="0">
                  <c:v>1.312757</c:v>
                </c:pt>
                <c:pt idx="1">
                  <c:v>1.3129999999999999</c:v>
                </c:pt>
                <c:pt idx="2">
                  <c:v>1.3129999999999999</c:v>
                </c:pt>
                <c:pt idx="3">
                  <c:v>1.86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Vector!$B$239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-2.939861111111110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Vector!$C$236:$F$236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Vector!$C$239:$F$239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460544"/>
        <c:axId val="176462080"/>
      </c:lineChart>
      <c:catAx>
        <c:axId val="1764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6462080"/>
        <c:crosses val="autoZero"/>
        <c:auto val="1"/>
        <c:lblAlgn val="ctr"/>
        <c:lblOffset val="100"/>
        <c:noMultiLvlLbl val="0"/>
      </c:catAx>
      <c:valAx>
        <c:axId val="176462080"/>
        <c:scaling>
          <c:orientation val="minMax"/>
          <c:max val="4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646054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8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28"/>
          <c:y val="6.4675925925925928E-2"/>
          <c:w val="0.78764376364911382"/>
          <c:h val="0.83924074074074051"/>
        </c:manualLayout>
      </c:layout>
      <c:lineChart>
        <c:grouping val="standard"/>
        <c:varyColors val="0"/>
        <c:ser>
          <c:idx val="0"/>
          <c:order val="0"/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1372450317861693E-2"/>
                  <c:y val="4.7430088749611514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Vector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Vector!$C$229:$F$229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Vector!$C$230:$F$230</c:f>
              <c:numCache>
                <c:formatCode>_(* #,##0.00_);_(* \(#,##0.00\);_(* "-"??_);_(@_)</c:formatCode>
                <c:ptCount val="4"/>
                <c:pt idx="0">
                  <c:v>199.4297133</c:v>
                </c:pt>
                <c:pt idx="1">
                  <c:v>153.44</c:v>
                </c:pt>
                <c:pt idx="2">
                  <c:v>66.779208300000008</c:v>
                </c:pt>
                <c:pt idx="3">
                  <c:v>123.15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Vector!$B$231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700107540039017"/>
                  <c:y val="-0.1291706336865765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Vector!$E$229:$F$229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Vector!$C$231:$F$231</c:f>
              <c:numCache>
                <c:formatCode>_(* #,##0.00_);_(* \(#,##0.00\);_(* "-"??_);_(@_)</c:formatCode>
                <c:ptCount val="4"/>
                <c:pt idx="0">
                  <c:v>85.456789999999998</c:v>
                </c:pt>
                <c:pt idx="1">
                  <c:v>85.46</c:v>
                </c:pt>
                <c:pt idx="2">
                  <c:v>85.46</c:v>
                </c:pt>
                <c:pt idx="3">
                  <c:v>127.35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Vector!$B$232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.46746590503249824"/>
                  <c:y val="7.844413080400930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Vector!$E$229:$F$229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521600"/>
        <c:axId val="176523136"/>
      </c:lineChart>
      <c:catAx>
        <c:axId val="17652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6523136"/>
        <c:crosses val="autoZero"/>
        <c:auto val="1"/>
        <c:lblAlgn val="ctr"/>
        <c:lblOffset val="100"/>
        <c:noMultiLvlLbl val="0"/>
      </c:catAx>
      <c:valAx>
        <c:axId val="176523136"/>
        <c:scaling>
          <c:orientation val="minMax"/>
          <c:max val="4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6521600"/>
        <c:crosses val="autoZero"/>
        <c:crossBetween val="midCat"/>
        <c:maj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8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913"/>
          <c:h val="0.7759916666667012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Vector!$B$178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Vector!$C$178:$D$178</c:f>
              <c:numCache>
                <c:formatCode>_-* #,##0_-;\-* #,##0_-;_-* "-"??_-;_-@_-</c:formatCode>
                <c:ptCount val="2"/>
                <c:pt idx="0">
                  <c:v>41763.413436986331</c:v>
                </c:pt>
                <c:pt idx="1">
                  <c:v>38622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76587136"/>
        <c:axId val="176588672"/>
      </c:barChart>
      <c:lineChart>
        <c:grouping val="standard"/>
        <c:varyColors val="0"/>
        <c:ser>
          <c:idx val="1"/>
          <c:order val="0"/>
          <c:tx>
            <c:strRef>
              <c:f>Vector!$B$179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Vector!$C$177:$D$177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Vector!$C$179:$D$179</c:f>
              <c:numCache>
                <c:formatCode>_-* #,##0_-;\-* #,##0_-;_-* "-"??_-;_-@_-</c:formatCode>
                <c:ptCount val="2"/>
                <c:pt idx="0">
                  <c:v>45077.352806445524</c:v>
                </c:pt>
                <c:pt idx="1">
                  <c:v>44793.097733825547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Vector!$B$180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Vector!$C$177:$D$177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Vector!$C$180:$D$180</c:f>
              <c:numCache>
                <c:formatCode>_-* #,##0_-;\-* #,##0_-;_-* "-"??_-;_-@_-</c:formatCode>
                <c:ptCount val="2"/>
                <c:pt idx="1">
                  <c:v>40400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587136"/>
        <c:axId val="176588672"/>
      </c:lineChart>
      <c:catAx>
        <c:axId val="17658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6588672"/>
        <c:crosses val="autoZero"/>
        <c:auto val="1"/>
        <c:lblAlgn val="ctr"/>
        <c:lblOffset val="100"/>
        <c:noMultiLvlLbl val="0"/>
      </c:catAx>
      <c:valAx>
        <c:axId val="17658867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6587136"/>
        <c:crosses val="autoZero"/>
        <c:crossBetween val="between"/>
        <c:majorUnit val="10000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376"/>
          <c:y val="3.5277777777779608E-2"/>
          <c:w val="0.7717227593675075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75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Buller!$B$72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Buller!$C$72:$F$72</c:f>
              <c:numCache>
                <c:formatCode>0</c:formatCode>
                <c:ptCount val="4"/>
                <c:pt idx="0">
                  <c:v>16171.480710558581</c:v>
                </c:pt>
                <c:pt idx="1">
                  <c:v>26529.08382333874</c:v>
                </c:pt>
                <c:pt idx="2">
                  <c:v>28074.57507357806</c:v>
                </c:pt>
                <c:pt idx="3">
                  <c:v>18380.866428571429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49248"/>
        <c:axId val="119767424"/>
      </c:lineChart>
      <c:catAx>
        <c:axId val="11974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19767424"/>
        <c:crosses val="autoZero"/>
        <c:auto val="1"/>
        <c:lblAlgn val="ctr"/>
        <c:lblOffset val="100"/>
        <c:noMultiLvlLbl val="0"/>
      </c:catAx>
      <c:valAx>
        <c:axId val="119767424"/>
        <c:scaling>
          <c:orientation val="minMax"/>
          <c:max val="60000"/>
          <c:min val="1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19749248"/>
        <c:crosses val="autoZero"/>
        <c:crossBetween val="midCat"/>
        <c:majorUnit val="1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8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Vector!$V$177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3229166666666741E-2"/>
                  <c:y val="-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Vector!$W$177:$AC$177</c:f>
              <c:numCache>
                <c:formatCode>General</c:formatCode>
                <c:ptCount val="7"/>
                <c:pt idx="0">
                  <c:v>45077.352806445524</c:v>
                </c:pt>
                <c:pt idx="1">
                  <c:v>44793.097733825547</c:v>
                </c:pt>
                <c:pt idx="2">
                  <c:v>43925.04998517959</c:v>
                </c:pt>
                <c:pt idx="3">
                  <c:v>43413.594621540775</c:v>
                </c:pt>
                <c:pt idx="4">
                  <c:v>42834.896122443475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Vector!$V$178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8.838611111111111E-2"/>
                  <c:y val="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Vector!$W$178:$AC$178</c:f>
              <c:numCache>
                <c:formatCode>General</c:formatCode>
                <c:ptCount val="7"/>
                <c:pt idx="1">
                  <c:v>40400</c:v>
                </c:pt>
                <c:pt idx="2">
                  <c:v>40400</c:v>
                </c:pt>
                <c:pt idx="3">
                  <c:v>40400</c:v>
                </c:pt>
                <c:pt idx="4">
                  <c:v>40400</c:v>
                </c:pt>
                <c:pt idx="5">
                  <c:v>40400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Vector!$V$179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77777777778945E-5"/>
                  <c:y val="-4.11578703703703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Vector!$W$179:$AC$179</c:f>
              <c:numCache>
                <c:formatCode>General</c:formatCode>
                <c:ptCount val="7"/>
                <c:pt idx="2">
                  <c:v>43211.428571428572</c:v>
                </c:pt>
                <c:pt idx="3">
                  <c:v>43895.772462831286</c:v>
                </c:pt>
                <c:pt idx="4">
                  <c:v>43700.245636716223</c:v>
                </c:pt>
                <c:pt idx="5">
                  <c:v>43993.535875888818</c:v>
                </c:pt>
                <c:pt idx="6">
                  <c:v>43211.428571428572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Vector!$V$176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0567098857218366"/>
                  <c:y val="0.1197435753855166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Vector!$W$175:$AC$175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Vector!$C$178:$I$178</c:f>
              <c:numCache>
                <c:formatCode>_-* #,##0_-;\-* #,##0_-;_-* "-"??_-;_-@_-</c:formatCode>
                <c:ptCount val="7"/>
                <c:pt idx="0">
                  <c:v>41763.413436986331</c:v>
                </c:pt>
                <c:pt idx="1">
                  <c:v>38622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88384"/>
        <c:axId val="177089920"/>
      </c:lineChart>
      <c:catAx>
        <c:axId val="17708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7089920"/>
        <c:crosses val="autoZero"/>
        <c:auto val="1"/>
        <c:lblAlgn val="ctr"/>
        <c:lblOffset val="100"/>
        <c:noMultiLvlLbl val="0"/>
      </c:catAx>
      <c:valAx>
        <c:axId val="177089920"/>
        <c:scaling>
          <c:orientation val="minMax"/>
          <c:max val="60000"/>
          <c:min val="3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7088384"/>
        <c:crosses val="autoZero"/>
        <c:crossBetween val="midCat"/>
        <c:majorUnit val="6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8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Waipa!$B$26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0870751106710681"/>
                  <c:y val="-0.3544104858346546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Waipa!$C$26:$F$26</c:f>
              <c:numCache>
                <c:formatCode>0</c:formatCode>
                <c:ptCount val="4"/>
                <c:pt idx="0">
                  <c:v>1697.646108370639</c:v>
                </c:pt>
                <c:pt idx="1">
                  <c:v>1714.2401903585235</c:v>
                </c:pt>
                <c:pt idx="2">
                  <c:v>1723.0544043545037</c:v>
                </c:pt>
                <c:pt idx="3">
                  <c:v>1783.911111111111</c:v>
                </c:pt>
              </c:numCache>
            </c:numRef>
          </c:val>
        </c:ser>
        <c:ser>
          <c:idx val="1"/>
          <c:order val="1"/>
          <c:tx>
            <c:strRef>
              <c:f>Waipa!$B$27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1763011226269838"/>
                  <c:y val="-3.137717113550143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Waipa!$C$27:$F$27</c:f>
              <c:numCache>
                <c:formatCode>0</c:formatCode>
                <c:ptCount val="4"/>
                <c:pt idx="0">
                  <c:v>454.52641783809986</c:v>
                </c:pt>
                <c:pt idx="1">
                  <c:v>501.60730317798055</c:v>
                </c:pt>
                <c:pt idx="2">
                  <c:v>515.12317102745817</c:v>
                </c:pt>
                <c:pt idx="3">
                  <c:v>528.79999999999995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468224"/>
        <c:axId val="166470016"/>
      </c:areaChart>
      <c:catAx>
        <c:axId val="16646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6470016"/>
        <c:crosses val="autoZero"/>
        <c:auto val="1"/>
        <c:lblAlgn val="ctr"/>
        <c:lblOffset val="100"/>
        <c:noMultiLvlLbl val="0"/>
      </c:catAx>
      <c:valAx>
        <c:axId val="166470016"/>
        <c:scaling>
          <c:orientation val="minMax"/>
          <c:max val="2500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6468224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Waipa!$B$28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Waipa!$C$25:$F$25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Waipa!$C$28:$F$28</c:f>
              <c:numCache>
                <c:formatCode>0</c:formatCode>
                <c:ptCount val="4"/>
                <c:pt idx="0">
                  <c:v>361.37868894528248</c:v>
                </c:pt>
                <c:pt idx="1">
                  <c:v>365.4092937058137</c:v>
                </c:pt>
                <c:pt idx="2">
                  <c:v>376.56155856754066</c:v>
                </c:pt>
                <c:pt idx="3">
                  <c:v>386.4</c:v>
                </c:pt>
              </c:numCache>
            </c:numRef>
          </c:val>
        </c:ser>
        <c:ser>
          <c:idx val="1"/>
          <c:order val="1"/>
          <c:tx>
            <c:strRef>
              <c:f>Waipa!$B$29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Waipa!$C$25:$F$25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Waipa!$C$29:$F$29</c:f>
              <c:numCache>
                <c:formatCode>0</c:formatCode>
                <c:ptCount val="4"/>
                <c:pt idx="0">
                  <c:v>93.147728892817454</c:v>
                </c:pt>
                <c:pt idx="1">
                  <c:v>136.19800947216692</c:v>
                </c:pt>
                <c:pt idx="2">
                  <c:v>138.56161245991751</c:v>
                </c:pt>
                <c:pt idx="3">
                  <c:v>142.4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11744"/>
        <c:axId val="166513280"/>
      </c:barChart>
      <c:catAx>
        <c:axId val="16651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6513280"/>
        <c:crosses val="autoZero"/>
        <c:auto val="1"/>
        <c:lblAlgn val="ctr"/>
        <c:lblOffset val="100"/>
        <c:noMultiLvlLbl val="0"/>
      </c:catAx>
      <c:valAx>
        <c:axId val="166513280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651174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395"/>
          <c:w val="0.89745624999998208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Waipa!$B$40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rgbClr val="1F497D"/>
            </a:solidFill>
          </c:spPr>
          <c:invertIfNegative val="0"/>
          <c:cat>
            <c:numRef>
              <c:f>Waipa!$C$39:$F$39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Waipa!$C$40:$F$40</c:f>
              <c:numCache>
                <c:formatCode>0</c:formatCode>
                <c:ptCount val="4"/>
                <c:pt idx="0">
                  <c:v>16869.812683983917</c:v>
                </c:pt>
                <c:pt idx="1">
                  <c:v>18061.352988400024</c:v>
                </c:pt>
                <c:pt idx="2">
                  <c:v>19629.010914823095</c:v>
                </c:pt>
                <c:pt idx="3">
                  <c:v>19847.906999999999</c:v>
                </c:pt>
              </c:numCache>
            </c:numRef>
          </c:val>
        </c:ser>
        <c:ser>
          <c:idx val="1"/>
          <c:order val="1"/>
          <c:tx>
            <c:strRef>
              <c:f>Waipa!$B$41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Waipa!$C$39:$F$39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Waipa!$C$41:$F$41</c:f>
              <c:numCache>
                <c:formatCode>0</c:formatCode>
                <c:ptCount val="4"/>
                <c:pt idx="0">
                  <c:v>2245.5929422029599</c:v>
                </c:pt>
                <c:pt idx="1">
                  <c:v>1323.8061387603811</c:v>
                </c:pt>
                <c:pt idx="2">
                  <c:v>1240.2773210368891</c:v>
                </c:pt>
                <c:pt idx="3">
                  <c:v>689.40782999999999</c:v>
                </c:pt>
              </c:numCache>
            </c:numRef>
          </c:val>
        </c:ser>
        <c:ser>
          <c:idx val="3"/>
          <c:order val="2"/>
          <c:tx>
            <c:strRef>
              <c:f>Waipa!$B$42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Waipa!$C$39:$F$39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Waipa!$C$42:$F$42</c:f>
              <c:numCache>
                <c:formatCode>0</c:formatCode>
                <c:ptCount val="4"/>
                <c:pt idx="0">
                  <c:v>65.588474742664872</c:v>
                </c:pt>
                <c:pt idx="1">
                  <c:v>71.405335987370421</c:v>
                </c:pt>
                <c:pt idx="2">
                  <c:v>76.281203788634087</c:v>
                </c:pt>
                <c:pt idx="3">
                  <c:v>75.296629999999993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569088"/>
        <c:axId val="166570624"/>
      </c:barChart>
      <c:catAx>
        <c:axId val="16656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6570624"/>
        <c:crosses val="autoZero"/>
        <c:auto val="1"/>
        <c:lblAlgn val="ctr"/>
        <c:lblOffset val="100"/>
        <c:noMultiLvlLbl val="0"/>
      </c:catAx>
      <c:valAx>
        <c:axId val="16657062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65690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742"/>
          <c:h val="0.21171296296296868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993E-2"/>
          <c:y val="9.9262962962965245E-2"/>
          <c:w val="0.81073204086216033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Waipa!$B$45</c:f>
              <c:strCache>
                <c:ptCount val="1"/>
                <c:pt idx="0">
                  <c:v>Waipa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Waipa!$B$46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5.2447552447552455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Waipa!$C$45:$F$45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Waipa!$C$46:$F$46</c:f>
              <c:numCache>
                <c:formatCode>0.0</c:formatCode>
                <c:ptCount val="4"/>
                <c:pt idx="0">
                  <c:v>100</c:v>
                </c:pt>
                <c:pt idx="1">
                  <c:v>107.0631507695835</c:v>
                </c:pt>
                <c:pt idx="2">
                  <c:v>116.35583205650374</c:v>
                </c:pt>
                <c:pt idx="3">
                  <c:v>117.65339290840771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Waipa!$B$47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Waipa!$C$45:$F$45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Waipa!$C$47:$F$47</c:f>
              <c:numCache>
                <c:formatCode>0.0</c:formatCode>
                <c:ptCount val="4"/>
                <c:pt idx="0">
                  <c:v>100</c:v>
                </c:pt>
                <c:pt idx="1">
                  <c:v>58.951295841788131</c:v>
                </c:pt>
                <c:pt idx="2">
                  <c:v>55.231618238885218</c:v>
                </c:pt>
                <c:pt idx="3">
                  <c:v>30.700480797008595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Waipa!$B$48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1.7482517482517723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Waipa!$C$45:$F$45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Waipa!$C$48:$F$48</c:f>
              <c:numCache>
                <c:formatCode>0.0</c:formatCode>
                <c:ptCount val="4"/>
                <c:pt idx="0">
                  <c:v>100</c:v>
                </c:pt>
                <c:pt idx="1">
                  <c:v>108.86872467690077</c:v>
                </c:pt>
                <c:pt idx="2">
                  <c:v>116.30275606792495</c:v>
                </c:pt>
                <c:pt idx="3">
                  <c:v>114.80161765527386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421312"/>
        <c:axId val="177459968"/>
      </c:lineChart>
      <c:catAx>
        <c:axId val="17742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7459968"/>
        <c:crossesAt val="0"/>
        <c:auto val="1"/>
        <c:lblAlgn val="ctr"/>
        <c:lblOffset val="100"/>
        <c:noMultiLvlLbl val="0"/>
      </c:catAx>
      <c:valAx>
        <c:axId val="177459968"/>
        <c:scaling>
          <c:orientation val="minMax"/>
          <c:max val="14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7421312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3005"/>
          <c:h val="0.702040277777791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Waipa!$B$54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Waipa!$C$53:$F$53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Waipa!$C$54:$F$54</c:f>
              <c:numCache>
                <c:formatCode>0</c:formatCode>
                <c:ptCount val="4"/>
                <c:pt idx="0">
                  <c:v>8442.7501569958076</c:v>
                </c:pt>
                <c:pt idx="1">
                  <c:v>10744.415976937329</c:v>
                </c:pt>
                <c:pt idx="2">
                  <c:v>10990.399412034167</c:v>
                </c:pt>
                <c:pt idx="3">
                  <c:v>11746.689</c:v>
                </c:pt>
              </c:numCache>
            </c:numRef>
          </c:val>
        </c:ser>
        <c:ser>
          <c:idx val="1"/>
          <c:order val="1"/>
          <c:tx>
            <c:strRef>
              <c:f>Waipa!$B$55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Waipa!$C$53:$F$53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Waipa!$C$55:$F$55</c:f>
              <c:numCache>
                <c:formatCode>0</c:formatCode>
                <c:ptCount val="4"/>
                <c:pt idx="0">
                  <c:v>5093.2216494539653</c:v>
                </c:pt>
                <c:pt idx="1">
                  <c:v>4673.5125113048234</c:v>
                </c:pt>
                <c:pt idx="2">
                  <c:v>5543.7915314866204</c:v>
                </c:pt>
                <c:pt idx="3">
                  <c:v>5495.9745999999996</c:v>
                </c:pt>
              </c:numCache>
            </c:numRef>
          </c:val>
        </c:ser>
        <c:ser>
          <c:idx val="2"/>
          <c:order val="2"/>
          <c:tx>
            <c:strRef>
              <c:f>Waipa!$B$56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Waipa!$C$53:$F$53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Waipa!$C$56:$F$56</c:f>
              <c:numCache>
                <c:formatCode>0</c:formatCode>
                <c:ptCount val="4"/>
                <c:pt idx="0">
                  <c:v>1308.8184152433635</c:v>
                </c:pt>
                <c:pt idx="1">
                  <c:v>1053.6921631409155</c:v>
                </c:pt>
                <c:pt idx="2">
                  <c:v>1463.7696625528815</c:v>
                </c:pt>
                <c:pt idx="3">
                  <c:v>1061.0476000000001</c:v>
                </c:pt>
              </c:numCache>
            </c:numRef>
          </c:val>
        </c:ser>
        <c:ser>
          <c:idx val="3"/>
          <c:order val="3"/>
          <c:tx>
            <c:strRef>
              <c:f>Waipa!$B$57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Waipa!$C$53:$F$53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Waipa!$C$57:$F$57</c:f>
              <c:numCache>
                <c:formatCode>0</c:formatCode>
                <c:ptCount val="4"/>
                <c:pt idx="0">
                  <c:v>2025.0222466710386</c:v>
                </c:pt>
                <c:pt idx="1">
                  <c:v>1589.7323370169534</c:v>
                </c:pt>
                <c:pt idx="2">
                  <c:v>1631.0507162835816</c:v>
                </c:pt>
                <c:pt idx="3">
                  <c:v>1544.1962000000001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230592"/>
        <c:axId val="177232128"/>
      </c:barChart>
      <c:catAx>
        <c:axId val="17723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7232128"/>
        <c:crosses val="autoZero"/>
        <c:auto val="1"/>
        <c:lblAlgn val="ctr"/>
        <c:lblOffset val="100"/>
        <c:noMultiLvlLbl val="0"/>
      </c:catAx>
      <c:valAx>
        <c:axId val="17723212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7230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</c:chartSpace>
</file>

<file path=xl/charts/chart8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0553570108199957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Waipa!$B$61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75652979340337E-6"/>
                  <c:y val="-5.8796296296297857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Waipa!$C$61:$F$61</c:f>
              <c:numCache>
                <c:formatCode>0.0</c:formatCode>
                <c:ptCount val="4"/>
                <c:pt idx="0">
                  <c:v>100</c:v>
                </c:pt>
                <c:pt idx="1">
                  <c:v>127.26203875681814</c:v>
                </c:pt>
                <c:pt idx="2">
                  <c:v>130.17558506012799</c:v>
                </c:pt>
                <c:pt idx="3">
                  <c:v>139.13344326867818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Waipa!$B$62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751953969399295E-6"/>
                  <c:y val="-4.311208576998049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Waipa!$C$62:$F$62</c:f>
              <c:numCache>
                <c:formatCode>0.0</c:formatCode>
                <c:ptCount val="4"/>
                <c:pt idx="0">
                  <c:v>100</c:v>
                </c:pt>
                <c:pt idx="1">
                  <c:v>91.759456645792397</c:v>
                </c:pt>
                <c:pt idx="2">
                  <c:v>108.84646129784986</c:v>
                </c:pt>
                <c:pt idx="3">
                  <c:v>107.9076266117186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Waipa!$B$63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094566224176985E-6"/>
                  <c:y val="-5.8805555555556093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Waipa!$C$63:$F$63</c:f>
              <c:numCache>
                <c:formatCode>0.0</c:formatCode>
                <c:ptCount val="4"/>
                <c:pt idx="0">
                  <c:v>100</c:v>
                </c:pt>
                <c:pt idx="1">
                  <c:v>80.507131537035292</c:v>
                </c:pt>
                <c:pt idx="2">
                  <c:v>111.83901796497157</c:v>
                </c:pt>
                <c:pt idx="3">
                  <c:v>81.069122167165375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Waipa!$B$64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382748538011695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Waipa!$C$64:$F$64</c:f>
              <c:numCache>
                <c:formatCode>0.0</c:formatCode>
                <c:ptCount val="4"/>
                <c:pt idx="0">
                  <c:v>100</c:v>
                </c:pt>
                <c:pt idx="1">
                  <c:v>78.504438142856742</c:v>
                </c:pt>
                <c:pt idx="2">
                  <c:v>80.544829518040501</c:v>
                </c:pt>
                <c:pt idx="3">
                  <c:v>76.255764722512311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346432"/>
        <c:axId val="177347968"/>
      </c:lineChart>
      <c:catAx>
        <c:axId val="17734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7347968"/>
        <c:crosses val="autoZero"/>
        <c:auto val="1"/>
        <c:lblAlgn val="ctr"/>
        <c:lblOffset val="100"/>
        <c:noMultiLvlLbl val="0"/>
      </c:catAx>
      <c:valAx>
        <c:axId val="177347968"/>
        <c:scaling>
          <c:orientation val="minMax"/>
          <c:max val="140"/>
          <c:min val="7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734643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460351024323177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Waipa!$B$84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11130836849507536"/>
                  <c:y val="-2.80598724845592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Waipa!$C$84:$F$84</c:f>
              <c:numCache>
                <c:formatCode>0.00</c:formatCode>
                <c:ptCount val="4"/>
                <c:pt idx="0">
                  <c:v>5.8445392105878309</c:v>
                </c:pt>
                <c:pt idx="1">
                  <c:v>6.8283975710665912</c:v>
                </c:pt>
                <c:pt idx="2">
                  <c:v>7.1384395886421785</c:v>
                </c:pt>
                <c:pt idx="3">
                  <c:v>7.0798987150490431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Waipa!$B$85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3636744022503717"/>
                  <c:y val="-2.165620641562120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Waipa!$C$85:$F$85</c:f>
              <c:numCache>
                <c:formatCode>0.00</c:formatCode>
                <c:ptCount val="4"/>
                <c:pt idx="0">
                  <c:v>6.2555841978733691</c:v>
                </c:pt>
                <c:pt idx="1">
                  <c:v>6.1661208424839629</c:v>
                </c:pt>
                <c:pt idx="2">
                  <c:v>6.3728068400153939</c:v>
                </c:pt>
                <c:pt idx="3">
                  <c:v>6.516652150764819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Waipa!$B$86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41051547116737525"/>
                  <c:y val="0.1233173939031668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Waipa!$C$86:$F$86</c:f>
              <c:numCache>
                <c:formatCode>0.00</c:formatCode>
                <c:ptCount val="4"/>
                <c:pt idx="0">
                  <c:v>5.3768040478423806</c:v>
                </c:pt>
                <c:pt idx="1">
                  <c:v>5.5799314746322546</c:v>
                </c:pt>
                <c:pt idx="2">
                  <c:v>5.9867848027437924</c:v>
                </c:pt>
                <c:pt idx="3">
                  <c:v>6.6847194295222776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Waipa!$B$87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99660429540984E-3"/>
                  <c:y val="-2.887427774457138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Waipa!$C$87:$F$87</c:f>
              <c:numCache>
                <c:formatCode>0.00</c:formatCode>
                <c:ptCount val="4"/>
                <c:pt idx="0">
                  <c:v>2.952561886724697</c:v>
                </c:pt>
                <c:pt idx="1">
                  <c:v>2.3923631713963296</c:v>
                </c:pt>
                <c:pt idx="2">
                  <c:v>2.2411339167835025</c:v>
                </c:pt>
                <c:pt idx="3">
                  <c:v>2.2662180535956753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478272"/>
        <c:axId val="177521024"/>
      </c:lineChart>
      <c:catAx>
        <c:axId val="17747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7521024"/>
        <c:crosses val="autoZero"/>
        <c:auto val="1"/>
        <c:lblAlgn val="ctr"/>
        <c:lblOffset val="100"/>
        <c:noMultiLvlLbl val="0"/>
      </c:catAx>
      <c:valAx>
        <c:axId val="17752102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7478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721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Waipa!$B$90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8028632354795E-3"/>
                  <c:y val="2.898783089075579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Waipa!$C$90:$F$90</c:f>
              <c:numCache>
                <c:formatCode>0.0</c:formatCode>
                <c:ptCount val="4"/>
                <c:pt idx="0">
                  <c:v>100</c:v>
                </c:pt>
                <c:pt idx="1">
                  <c:v>116.83380545546559</c:v>
                </c:pt>
                <c:pt idx="2">
                  <c:v>122.13862088067351</c:v>
                </c:pt>
                <c:pt idx="3">
                  <c:v>121.136987193503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Waipa!$B$91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3436646013648E-3"/>
                  <c:y val="-3.537915954150075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Waipa!$C$91:$F$91</c:f>
              <c:numCache>
                <c:formatCode>0.0</c:formatCode>
                <c:ptCount val="4"/>
                <c:pt idx="0">
                  <c:v>100</c:v>
                </c:pt>
                <c:pt idx="1">
                  <c:v>98.56986409966602</c:v>
                </c:pt>
                <c:pt idx="2">
                  <c:v>101.87388800844333</c:v>
                </c:pt>
                <c:pt idx="3">
                  <c:v>104.17335846874545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Waipa!$B$92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200616792511424E-3"/>
                  <c:y val="-2.210251046025105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Waipa!$C$92:$F$92</c:f>
              <c:numCache>
                <c:formatCode>0.0</c:formatCode>
                <c:ptCount val="4"/>
                <c:pt idx="0">
                  <c:v>100</c:v>
                </c:pt>
                <c:pt idx="1">
                  <c:v>103.77784693253579</c:v>
                </c:pt>
                <c:pt idx="2">
                  <c:v>111.34467147163724</c:v>
                </c:pt>
                <c:pt idx="3">
                  <c:v>124.32514501257938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Waipa!$B$93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4558464519939E-3"/>
                  <c:y val="-2.785722605127979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Waipa!$C$93:$F$93</c:f>
              <c:numCache>
                <c:formatCode>0.0</c:formatCode>
                <c:ptCount val="4"/>
                <c:pt idx="0">
                  <c:v>100</c:v>
                </c:pt>
                <c:pt idx="1">
                  <c:v>81.026690148405294</c:v>
                </c:pt>
                <c:pt idx="2">
                  <c:v>75.904722839513866</c:v>
                </c:pt>
                <c:pt idx="3">
                  <c:v>76.754294762966381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560960"/>
        <c:axId val="177591424"/>
      </c:lineChart>
      <c:catAx>
        <c:axId val="17756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7591424"/>
        <c:crosses val="autoZero"/>
        <c:auto val="1"/>
        <c:lblAlgn val="ctr"/>
        <c:lblOffset val="100"/>
        <c:noMultiLvlLbl val="0"/>
      </c:catAx>
      <c:valAx>
        <c:axId val="177591424"/>
        <c:scaling>
          <c:orientation val="minMax"/>
          <c:max val="140"/>
          <c:min val="7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756096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393292516689997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Waipa!$B$120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5.8787037037038806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Waipa!$C$120:$F$120</c:f>
              <c:numCache>
                <c:formatCode>0.0</c:formatCode>
                <c:ptCount val="4"/>
                <c:pt idx="0">
                  <c:v>100</c:v>
                </c:pt>
                <c:pt idx="1">
                  <c:v>108.92569856874819</c:v>
                </c:pt>
                <c:pt idx="2">
                  <c:v>106.58019889327748</c:v>
                </c:pt>
                <c:pt idx="3">
                  <c:v>114.85628501427709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Waipa!$B$121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801338294663E-3"/>
                  <c:y val="-2.939814814814807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Waipa!$C$121:$F$121</c:f>
              <c:numCache>
                <c:formatCode>0.0</c:formatCode>
                <c:ptCount val="4"/>
                <c:pt idx="0">
                  <c:v>100</c:v>
                </c:pt>
                <c:pt idx="1">
                  <c:v>93.090781329486788</c:v>
                </c:pt>
                <c:pt idx="2">
                  <c:v>106.84431842714066</c:v>
                </c:pt>
                <c:pt idx="3">
                  <c:v>103.58466713357765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Waipa!$B$122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009866764143629E-5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Waipa!$C$122:$F$122</c:f>
              <c:numCache>
                <c:formatCode>0.0</c:formatCode>
                <c:ptCount val="4"/>
                <c:pt idx="0">
                  <c:v>100</c:v>
                </c:pt>
                <c:pt idx="1">
                  <c:v>77.576413383649793</c:v>
                </c:pt>
                <c:pt idx="2">
                  <c:v>100.44397858182215</c:v>
                </c:pt>
                <c:pt idx="3">
                  <c:v>65.207341732006569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Waipa!$B$123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2.351805555555560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700" baseline="0"/>
                      <a:t> 5</a:t>
                    </a:r>
                    <a:endParaRPr lang="en-US" sz="80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Waipa!$C$123:$F$123</c:f>
              <c:numCache>
                <c:formatCode>0.0</c:formatCode>
                <c:ptCount val="4"/>
                <c:pt idx="0">
                  <c:v>100</c:v>
                </c:pt>
                <c:pt idx="1">
                  <c:v>96.887134349275655</c:v>
                </c:pt>
                <c:pt idx="2">
                  <c:v>106.11306715174661</c:v>
                </c:pt>
                <c:pt idx="3">
                  <c:v>99.350485804092614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738112"/>
        <c:axId val="177739648"/>
      </c:lineChart>
      <c:catAx>
        <c:axId val="17773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7739648"/>
        <c:crosses val="autoZero"/>
        <c:auto val="1"/>
        <c:lblAlgn val="ctr"/>
        <c:lblOffset val="100"/>
        <c:noMultiLvlLbl val="0"/>
      </c:catAx>
      <c:valAx>
        <c:axId val="177739648"/>
        <c:scaling>
          <c:orientation val="minMax"/>
          <c:max val="14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7738112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Buller!$B$73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Buller!$C$69:$F$69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Buller!$C$73:$F$73</c:f>
              <c:numCache>
                <c:formatCode>0</c:formatCode>
                <c:ptCount val="4"/>
                <c:pt idx="0">
                  <c:v>380784.46579795267</c:v>
                </c:pt>
                <c:pt idx="1">
                  <c:v>78246.379298510525</c:v>
                </c:pt>
                <c:pt idx="2">
                  <c:v>89657.513944652528</c:v>
                </c:pt>
                <c:pt idx="3">
                  <c:v>304434.13999999996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92000"/>
        <c:axId val="119793536"/>
      </c:lineChart>
      <c:catAx>
        <c:axId val="11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19793536"/>
        <c:crosses val="autoZero"/>
        <c:auto val="1"/>
        <c:lblAlgn val="ctr"/>
        <c:lblOffset val="100"/>
        <c:noMultiLvlLbl val="0"/>
      </c:catAx>
      <c:valAx>
        <c:axId val="119793536"/>
        <c:scaling>
          <c:orientation val="minMax"/>
          <c:max val="420000"/>
          <c:min val="7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19792000"/>
        <c:crosses val="autoZero"/>
        <c:crossBetween val="midCat"/>
        <c:majorUnit val="7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8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632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Waipa!$B$113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Waipa!$C$112:$F$112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Waipa!$C$113:$F$113</c:f>
              <c:numCache>
                <c:formatCode>General</c:formatCode>
                <c:ptCount val="4"/>
                <c:pt idx="0">
                  <c:v>144455.35999999999</c:v>
                </c:pt>
                <c:pt idx="1">
                  <c:v>157349.01</c:v>
                </c:pt>
                <c:pt idx="2">
                  <c:v>153960.81</c:v>
                </c:pt>
                <c:pt idx="3">
                  <c:v>165916.06</c:v>
                </c:pt>
              </c:numCache>
            </c:numRef>
          </c:val>
        </c:ser>
        <c:ser>
          <c:idx val="1"/>
          <c:order val="1"/>
          <c:tx>
            <c:strRef>
              <c:f>Waipa!$B$114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Waipa!$C$112:$F$112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Waipa!$C$114:$F$114</c:f>
              <c:numCache>
                <c:formatCode>General</c:formatCode>
                <c:ptCount val="4"/>
                <c:pt idx="0">
                  <c:v>81418.801000000007</c:v>
                </c:pt>
                <c:pt idx="1">
                  <c:v>75793.398000000001</c:v>
                </c:pt>
                <c:pt idx="2">
                  <c:v>86991.362999999998</c:v>
                </c:pt>
                <c:pt idx="3">
                  <c:v>84337.394</c:v>
                </c:pt>
              </c:numCache>
            </c:numRef>
          </c:val>
        </c:ser>
        <c:ser>
          <c:idx val="2"/>
          <c:order val="2"/>
          <c:tx>
            <c:strRef>
              <c:f>Waipa!$B$115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Waipa!$C$112:$F$112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Waipa!$C$115:$F$115</c:f>
              <c:numCache>
                <c:formatCode>General</c:formatCode>
                <c:ptCount val="4"/>
                <c:pt idx="0">
                  <c:v>24341.94</c:v>
                </c:pt>
                <c:pt idx="1">
                  <c:v>18883.603999999999</c:v>
                </c:pt>
                <c:pt idx="2">
                  <c:v>24450.012999999999</c:v>
                </c:pt>
                <c:pt idx="3">
                  <c:v>15872.732</c:v>
                </c:pt>
              </c:numCache>
            </c:numRef>
          </c:val>
        </c:ser>
        <c:ser>
          <c:idx val="3"/>
          <c:order val="3"/>
          <c:tx>
            <c:strRef>
              <c:f>Waipa!$B$116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Waipa!$C$112:$F$112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Waipa!$C$116:$F$116</c:f>
              <c:numCache>
                <c:formatCode>General</c:formatCode>
                <c:ptCount val="4"/>
                <c:pt idx="0">
                  <c:v>68585.259999999995</c:v>
                </c:pt>
                <c:pt idx="1">
                  <c:v>66450.293000000005</c:v>
                </c:pt>
                <c:pt idx="2">
                  <c:v>72777.922999999995</c:v>
                </c:pt>
                <c:pt idx="3">
                  <c:v>68139.789000000004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7771648"/>
        <c:axId val="177773184"/>
      </c:barChart>
      <c:catAx>
        <c:axId val="17777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7773184"/>
        <c:crosses val="autoZero"/>
        <c:auto val="1"/>
        <c:lblAlgn val="ctr"/>
        <c:lblOffset val="100"/>
        <c:noMultiLvlLbl val="0"/>
      </c:catAx>
      <c:valAx>
        <c:axId val="17777318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7771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Waipa!$U$138:$U$144</c:f>
              <c:strCache>
                <c:ptCount val="7"/>
                <c:pt idx="0">
                  <c:v>Routine and preventative maintenance</c:v>
                </c:pt>
                <c:pt idx="1">
                  <c:v>General management, admin and overheads</c:v>
                </c:pt>
                <c:pt idx="2">
                  <c:v>System management and operations</c:v>
                </c:pt>
                <c:pt idx="3">
                  <c:v>Fault and emergency maintenance</c:v>
                </c:pt>
                <c:pt idx="4">
                  <c:v>Pass-through costs</c:v>
                </c:pt>
                <c:pt idx="5">
                  <c:v>Refurbishment and renewal maintenance</c:v>
                </c:pt>
                <c:pt idx="6">
                  <c:v>Other</c:v>
                </c:pt>
              </c:strCache>
            </c:strRef>
          </c:cat>
          <c:val>
            <c:numRef>
              <c:f>Waipa!$V$138:$V$144</c:f>
              <c:numCache>
                <c:formatCode>General</c:formatCode>
                <c:ptCount val="7"/>
                <c:pt idx="0">
                  <c:v>1950.3819000000001</c:v>
                </c:pt>
                <c:pt idx="1">
                  <c:v>1688.8442</c:v>
                </c:pt>
                <c:pt idx="2">
                  <c:v>1043.4775999999999</c:v>
                </c:pt>
                <c:pt idx="3">
                  <c:v>493.31535000000002</c:v>
                </c:pt>
                <c:pt idx="4">
                  <c:v>122.13209000000001</c:v>
                </c:pt>
                <c:pt idx="5">
                  <c:v>119.87846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77801856"/>
        <c:axId val="177811840"/>
      </c:barChart>
      <c:catAx>
        <c:axId val="177801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7811840"/>
        <c:crosses val="autoZero"/>
        <c:auto val="1"/>
        <c:lblAlgn val="ctr"/>
        <c:lblOffset val="100"/>
        <c:noMultiLvlLbl val="0"/>
      </c:catAx>
      <c:valAx>
        <c:axId val="177811840"/>
        <c:scaling>
          <c:orientation val="minMax"/>
          <c:max val="20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7801856"/>
        <c:crosses val="autoZero"/>
        <c:crossBetween val="between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3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Waipa!$U$186:$U$191</c:f>
              <c:strCache>
                <c:ptCount val="6"/>
                <c:pt idx="0">
                  <c:v>Reliability, safety and environment</c:v>
                </c:pt>
                <c:pt idx="1">
                  <c:v>Customer connection</c:v>
                </c:pt>
                <c:pt idx="2">
                  <c:v>Non-network capex</c:v>
                </c:pt>
                <c:pt idx="3">
                  <c:v>System growth</c:v>
                </c:pt>
                <c:pt idx="4">
                  <c:v>Asset replacement and renewal</c:v>
                </c:pt>
                <c:pt idx="5">
                  <c:v>Asset relocations</c:v>
                </c:pt>
              </c:strCache>
            </c:strRef>
          </c:cat>
          <c:val>
            <c:numRef>
              <c:f>Waipa!$V$186:$V$191</c:f>
              <c:numCache>
                <c:formatCode>General</c:formatCode>
                <c:ptCount val="6"/>
                <c:pt idx="0">
                  <c:v>1.6173276000000001</c:v>
                </c:pt>
                <c:pt idx="1">
                  <c:v>1.4022140999999999</c:v>
                </c:pt>
                <c:pt idx="2">
                  <c:v>1.3355119</c:v>
                </c:pt>
                <c:pt idx="3">
                  <c:v>0.44531968999999999</c:v>
                </c:pt>
                <c:pt idx="4">
                  <c:v>0.39328686000000002</c:v>
                </c:pt>
                <c:pt idx="5">
                  <c:v>7.6200475000000004E-2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77831936"/>
        <c:axId val="177833472"/>
      </c:barChart>
      <c:catAx>
        <c:axId val="177831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7833472"/>
        <c:crosses val="autoZero"/>
        <c:auto val="1"/>
        <c:lblAlgn val="ctr"/>
        <c:lblOffset val="100"/>
        <c:noMultiLvlLbl val="0"/>
      </c:catAx>
      <c:valAx>
        <c:axId val="177833472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78319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4485282837068965"/>
          <c:h val="0.82404629629630965"/>
        </c:manualLayout>
      </c:layout>
      <c:lineChart>
        <c:grouping val="standard"/>
        <c:varyColors val="0"/>
        <c:ser>
          <c:idx val="0"/>
          <c:order val="0"/>
          <c:tx>
            <c:strRef>
              <c:f>Waipa!$B$76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1.887670565302144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Waipa!$C$76:$F$76</c:f>
              <c:numCache>
                <c:formatCode>0.0</c:formatCode>
                <c:ptCount val="4"/>
                <c:pt idx="0">
                  <c:v>100</c:v>
                </c:pt>
                <c:pt idx="1">
                  <c:v>126.21629638403485</c:v>
                </c:pt>
                <c:pt idx="2">
                  <c:v>128.17973845872788</c:v>
                </c:pt>
                <c:pt idx="3">
                  <c:v>134.40393017872634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Waipa!$B$77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527870370370365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Waipa!$C$77:$F$77</c:f>
              <c:numCache>
                <c:formatCode>0.0</c:formatCode>
                <c:ptCount val="4"/>
                <c:pt idx="0">
                  <c:v>100</c:v>
                </c:pt>
                <c:pt idx="1">
                  <c:v>90.103148764099387</c:v>
                </c:pt>
                <c:pt idx="2">
                  <c:v>99.908562901063533</c:v>
                </c:pt>
                <c:pt idx="3">
                  <c:v>103.16651823686276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Waipa!$B$78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332407407407407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Waipa!$C$78:$F$78</c:f>
              <c:numCache>
                <c:formatCode>0.0</c:formatCode>
                <c:ptCount val="4"/>
                <c:pt idx="0">
                  <c:v>100</c:v>
                </c:pt>
                <c:pt idx="1">
                  <c:v>93.681025788550158</c:v>
                </c:pt>
                <c:pt idx="2">
                  <c:v>110.11841768858741</c:v>
                </c:pt>
                <c:pt idx="3">
                  <c:v>89.455583081010076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Waipa!$B$79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487134502923986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Waipa!$C$79:$F$79</c:f>
              <c:numCache>
                <c:formatCode>0.0</c:formatCode>
                <c:ptCount val="4"/>
                <c:pt idx="0">
                  <c:v>100</c:v>
                </c:pt>
                <c:pt idx="1">
                  <c:v>78.504438142856742</c:v>
                </c:pt>
                <c:pt idx="2">
                  <c:v>80.544829518040501</c:v>
                </c:pt>
                <c:pt idx="3">
                  <c:v>76.255764722512296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225920"/>
        <c:axId val="178227456"/>
      </c:lineChart>
      <c:catAx>
        <c:axId val="1782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8227456"/>
        <c:crosses val="autoZero"/>
        <c:auto val="1"/>
        <c:lblAlgn val="ctr"/>
        <c:lblOffset val="100"/>
        <c:noMultiLvlLbl val="0"/>
      </c:catAx>
      <c:valAx>
        <c:axId val="178227456"/>
        <c:scaling>
          <c:orientation val="minMax"/>
          <c:max val="140"/>
          <c:min val="7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822592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38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518"/>
          <c:y val="0.16445370370370369"/>
          <c:w val="0.70330041907982355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Waipa!$B$70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Waipa!$C$69:$F$69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Waipa!$C$70:$F$70</c:f>
              <c:numCache>
                <c:formatCode>0</c:formatCode>
                <c:ptCount val="4"/>
                <c:pt idx="0">
                  <c:v>402.0165781151282</c:v>
                </c:pt>
                <c:pt idx="1">
                  <c:v>507.41043574674518</c:v>
                </c:pt>
                <c:pt idx="2">
                  <c:v>515.30379838869874</c:v>
                </c:pt>
                <c:pt idx="3">
                  <c:v>540.32608095676176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05888"/>
        <c:axId val="178007424"/>
      </c:lineChart>
      <c:catAx>
        <c:axId val="17800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8007424"/>
        <c:crosses val="autoZero"/>
        <c:auto val="1"/>
        <c:lblAlgn val="ctr"/>
        <c:lblOffset val="100"/>
        <c:noMultiLvlLbl val="0"/>
      </c:catAx>
      <c:valAx>
        <c:axId val="178007424"/>
        <c:scaling>
          <c:orientation val="minMax"/>
          <c:max val="600"/>
          <c:min val="3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8005888"/>
        <c:crosses val="autoZero"/>
        <c:crossBetween val="midCat"/>
        <c:majorUnit val="6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8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203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931"/>
          <c:y val="0.17621296296296807"/>
          <c:w val="0.73692152777777775"/>
          <c:h val="0.57282407407409974"/>
        </c:manualLayout>
      </c:layout>
      <c:lineChart>
        <c:grouping val="standard"/>
        <c:varyColors val="0"/>
        <c:ser>
          <c:idx val="1"/>
          <c:order val="0"/>
          <c:tx>
            <c:strRef>
              <c:f>Waipa!$B$71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Waipa!$C$69:$F$69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Waipa!$C$71:$F$71</c:f>
              <c:numCache>
                <c:formatCode>0</c:formatCode>
                <c:ptCount val="4"/>
                <c:pt idx="0">
                  <c:v>3120.8465989301258</c:v>
                </c:pt>
                <c:pt idx="1">
                  <c:v>2811.9810537333474</c:v>
                </c:pt>
                <c:pt idx="2">
                  <c:v>3117.9929873378069</c:v>
                </c:pt>
                <c:pt idx="3">
                  <c:v>3219.6687756297597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36736"/>
        <c:axId val="178038272"/>
      </c:lineChart>
      <c:catAx>
        <c:axId val="17803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8038272"/>
        <c:crosses val="autoZero"/>
        <c:auto val="1"/>
        <c:lblAlgn val="ctr"/>
        <c:lblOffset val="100"/>
        <c:noMultiLvlLbl val="0"/>
      </c:catAx>
      <c:valAx>
        <c:axId val="178038272"/>
        <c:scaling>
          <c:orientation val="minMax"/>
          <c:max val="4000"/>
          <c:min val="2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8036736"/>
        <c:crosses val="autoZero"/>
        <c:crossBetween val="midCat"/>
        <c:majorUnit val="4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8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9005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Waipa!$B$72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Waipa!$C$69:$F$69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Waipa!$C$72:$F$72</c:f>
              <c:numCache>
                <c:formatCode>0</c:formatCode>
                <c:ptCount val="4"/>
                <c:pt idx="0">
                  <c:v>20450.287738177554</c:v>
                </c:pt>
                <c:pt idx="1">
                  <c:v>19158.039329834824</c:v>
                </c:pt>
                <c:pt idx="2">
                  <c:v>22519.533270044332</c:v>
                </c:pt>
                <c:pt idx="3">
                  <c:v>18293.924137931037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71040"/>
        <c:axId val="178072576"/>
      </c:lineChart>
      <c:catAx>
        <c:axId val="17807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8072576"/>
        <c:crosses val="autoZero"/>
        <c:auto val="1"/>
        <c:lblAlgn val="ctr"/>
        <c:lblOffset val="100"/>
        <c:noMultiLvlLbl val="0"/>
      </c:catAx>
      <c:valAx>
        <c:axId val="178072576"/>
        <c:scaling>
          <c:orientation val="minMax"/>
          <c:max val="30000"/>
          <c:min val="1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8071040"/>
        <c:crosses val="autoZero"/>
        <c:crossBetween val="midCat"/>
        <c:majorUnit val="3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8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Waipa!$B$73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Waipa!$C$69:$F$69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Waipa!$C$73:$F$73</c:f>
              <c:numCache>
                <c:formatCode>0</c:formatCode>
                <c:ptCount val="4"/>
                <c:pt idx="0">
                  <c:v>405004.44933420775</c:v>
                </c:pt>
                <c:pt idx="1">
                  <c:v>317946.46740339068</c:v>
                </c:pt>
                <c:pt idx="2">
                  <c:v>326210.14325671631</c:v>
                </c:pt>
                <c:pt idx="3">
                  <c:v>308839.24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109440"/>
        <c:axId val="178111232"/>
      </c:lineChart>
      <c:catAx>
        <c:axId val="17810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78111232"/>
        <c:crosses val="autoZero"/>
        <c:auto val="1"/>
        <c:lblAlgn val="ctr"/>
        <c:lblOffset val="100"/>
        <c:noMultiLvlLbl val="0"/>
      </c:catAx>
      <c:valAx>
        <c:axId val="178111232"/>
        <c:scaling>
          <c:orientation val="minMax"/>
          <c:max val="500000"/>
          <c:min val="25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78109440"/>
        <c:crosses val="autoZero"/>
        <c:crossBetween val="midCat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8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4"/>
          <c:y val="6.4675925925925928E-2"/>
          <c:w val="0.80486462046778562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Waipa!$B$105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1631162507608E-4"/>
                  <c:y val="2.939768518518523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Waipa!$C$105:$F$105</c:f>
              <c:numCache>
                <c:formatCode>0.0</c:formatCode>
                <c:ptCount val="4"/>
                <c:pt idx="0">
                  <c:v>100</c:v>
                </c:pt>
                <c:pt idx="1">
                  <c:v>100.82853197466788</c:v>
                </c:pt>
                <c:pt idx="2">
                  <c:v>101.55706871101376</c:v>
                </c:pt>
                <c:pt idx="3">
                  <c:v>103.51888005333079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Waipa!$B$106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9135170854708286"/>
                  <c:y val="9.515277777777777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Waipa!$C$106:$F$106</c:f>
              <c:numCache>
                <c:formatCode>0.0</c:formatCode>
                <c:ptCount val="4"/>
                <c:pt idx="0">
                  <c:v>100</c:v>
                </c:pt>
                <c:pt idx="1">
                  <c:v>101.83823529411764</c:v>
                </c:pt>
                <c:pt idx="2">
                  <c:v>108.94607843137254</c:v>
                </c:pt>
                <c:pt idx="3">
                  <c:v>104.59558823529412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Waipa!$B$107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727995457130388E-5"/>
                  <c:y val="2.8240740740741231E-5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Waipa!$C$107:$F$107</c:f>
              <c:numCache>
                <c:formatCode>0.0</c:formatCode>
                <c:ptCount val="4"/>
                <c:pt idx="0">
                  <c:v>100</c:v>
                </c:pt>
                <c:pt idx="1">
                  <c:v>85.9375</c:v>
                </c:pt>
                <c:pt idx="2">
                  <c:v>101.5625</c:v>
                </c:pt>
                <c:pt idx="3">
                  <c:v>90.625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162688"/>
        <c:axId val="178262784"/>
      </c:lineChart>
      <c:catAx>
        <c:axId val="17816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8262784"/>
        <c:crosses val="autoZero"/>
        <c:auto val="1"/>
        <c:lblAlgn val="ctr"/>
        <c:lblOffset val="100"/>
        <c:noMultiLvlLbl val="0"/>
      </c:catAx>
      <c:valAx>
        <c:axId val="178262784"/>
        <c:scaling>
          <c:orientation val="minMax"/>
          <c:max val="14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8162688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0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Waipa!$B$98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Waipa!$C$97:$F$97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Waipa!$C$98:$F$98</c:f>
              <c:numCache>
                <c:formatCode>General</c:formatCode>
                <c:ptCount val="4"/>
                <c:pt idx="0">
                  <c:v>21001</c:v>
                </c:pt>
                <c:pt idx="1">
                  <c:v>21175</c:v>
                </c:pt>
                <c:pt idx="2">
                  <c:v>21328</c:v>
                </c:pt>
                <c:pt idx="3">
                  <c:v>21740</c:v>
                </c:pt>
              </c:numCache>
            </c:numRef>
          </c:val>
        </c:ser>
        <c:ser>
          <c:idx val="1"/>
          <c:order val="1"/>
          <c:tx>
            <c:strRef>
              <c:f>Waipa!$B$99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Waipa!$C$97:$F$97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Waipa!$C$99:$F$99</c:f>
              <c:numCache>
                <c:formatCode>General</c:formatCode>
                <c:ptCount val="4"/>
                <c:pt idx="0">
                  <c:v>1632</c:v>
                </c:pt>
                <c:pt idx="1">
                  <c:v>1662</c:v>
                </c:pt>
                <c:pt idx="2">
                  <c:v>1778</c:v>
                </c:pt>
                <c:pt idx="3">
                  <c:v>1707</c:v>
                </c:pt>
              </c:numCache>
            </c:numRef>
          </c:val>
        </c:ser>
        <c:ser>
          <c:idx val="2"/>
          <c:order val="2"/>
          <c:tx>
            <c:strRef>
              <c:f>Waipa!$B$100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Waipa!$C$97:$F$97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Waipa!$C$100:$F$100</c:f>
              <c:numCache>
                <c:formatCode>General</c:formatCode>
                <c:ptCount val="4"/>
                <c:pt idx="0">
                  <c:v>64</c:v>
                </c:pt>
                <c:pt idx="1">
                  <c:v>55</c:v>
                </c:pt>
                <c:pt idx="2">
                  <c:v>65</c:v>
                </c:pt>
                <c:pt idx="3">
                  <c:v>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281088"/>
        <c:axId val="178291072"/>
      </c:barChart>
      <c:catAx>
        <c:axId val="17828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8291072"/>
        <c:crosses val="autoZero"/>
        <c:auto val="1"/>
        <c:lblAlgn val="ctr"/>
        <c:lblOffset val="100"/>
        <c:noMultiLvlLbl val="0"/>
      </c:catAx>
      <c:valAx>
        <c:axId val="17829107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8281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3.5277777777779573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9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Buller!$B$105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1631162507608E-4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Buller!$C$105:$F$105</c:f>
              <c:numCache>
                <c:formatCode>0.0</c:formatCode>
                <c:ptCount val="4"/>
                <c:pt idx="0">
                  <c:v>100</c:v>
                </c:pt>
                <c:pt idx="1">
                  <c:v>101.82205395172741</c:v>
                </c:pt>
                <c:pt idx="2">
                  <c:v>102.50828206341693</c:v>
                </c:pt>
                <c:pt idx="3">
                  <c:v>90.345480359678191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3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6286514216155121"/>
                  <c:y val="-0.6408796296296427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Buller!$C$106:$F$106</c:f>
              <c:numCache>
                <c:formatCode>0.0</c:formatCode>
                <c:ptCount val="4"/>
                <c:pt idx="0">
                  <c:v>100</c:v>
                </c:pt>
                <c:pt idx="1">
                  <c:v>98.68421052631578</c:v>
                </c:pt>
                <c:pt idx="2">
                  <c:v>94.73684210526315</c:v>
                </c:pt>
                <c:pt idx="3">
                  <c:v>834.21052631578959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Buller!$B$107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687940179118057E-5"/>
                  <c:y val="-3.527777777777883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Buller!$C$107:$F$107</c:f>
              <c:numCache>
                <c:formatCode>0.0</c:formatCode>
                <c:ptCount val="4"/>
                <c:pt idx="0">
                  <c:v>100</c:v>
                </c:pt>
                <c:pt idx="1">
                  <c:v>69.230769230769226</c:v>
                </c:pt>
                <c:pt idx="2">
                  <c:v>69.230769230769226</c:v>
                </c:pt>
                <c:pt idx="3">
                  <c:v>107.69230769230769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78016"/>
        <c:axId val="119879552"/>
      </c:lineChart>
      <c:catAx>
        <c:axId val="1198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9879552"/>
        <c:crosses val="autoZero"/>
        <c:auto val="1"/>
        <c:lblAlgn val="ctr"/>
        <c:lblOffset val="100"/>
        <c:noMultiLvlLbl val="0"/>
      </c:catAx>
      <c:valAx>
        <c:axId val="119879552"/>
        <c:scaling>
          <c:orientation val="minMax"/>
          <c:max val="1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9878016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8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Waipa!$B$209</c:f>
              <c:strCache>
                <c:ptCount val="1"/>
                <c:pt idx="0">
                  <c:v>Waipa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Waipa!$C$204:$F$204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Waipa!$C$209:$F$209</c:f>
              <c:numCache>
                <c:formatCode>_(* #,##0.00_);_(* \(#,##0.00\);_(* "-"??_);_(@_)</c:formatCode>
                <c:ptCount val="4"/>
                <c:pt idx="0">
                  <c:v>16617.85538152618</c:v>
                </c:pt>
                <c:pt idx="1">
                  <c:v>15515.89014960585</c:v>
                </c:pt>
                <c:pt idx="2">
                  <c:v>10848.977950769358</c:v>
                </c:pt>
                <c:pt idx="3">
                  <c:v>15765.471194009502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Waipa!$B$210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Waipa!$C$204:$F$204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661248"/>
        <c:axId val="178662784"/>
      </c:lineChart>
      <c:catAx>
        <c:axId val="1786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8662784"/>
        <c:crosses val="autoZero"/>
        <c:auto val="1"/>
        <c:lblAlgn val="ctr"/>
        <c:lblOffset val="100"/>
        <c:noMultiLvlLbl val="0"/>
      </c:catAx>
      <c:valAx>
        <c:axId val="178662784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8661248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8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40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Waipa!$C$204:$F$204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Waipa!$C$212:$F$212</c:f>
              <c:numCache>
                <c:formatCode>_(* #,##0.00_);_(* \(#,##0.00\);_(* "-"??_);_(@_)</c:formatCode>
                <c:ptCount val="4"/>
                <c:pt idx="0">
                  <c:v>6.6700611471793292E-2</c:v>
                </c:pt>
                <c:pt idx="1">
                  <c:v>6.1260165463779229E-2</c:v>
                </c:pt>
                <c:pt idx="2">
                  <c:v>4.5213801488870511E-2</c:v>
                </c:pt>
                <c:pt idx="3">
                  <c:v>6.1997445355335586E-2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444588449208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Waipa!$C$204:$F$204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10400"/>
        <c:axId val="178711936"/>
      </c:lineChart>
      <c:catAx>
        <c:axId val="1787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8711936"/>
        <c:crosses val="autoZero"/>
        <c:auto val="1"/>
        <c:lblAlgn val="ctr"/>
        <c:lblOffset val="100"/>
        <c:noMultiLvlLbl val="0"/>
      </c:catAx>
      <c:valAx>
        <c:axId val="178711936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8710400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8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68"/>
          <c:w val="0.79809047321242665"/>
          <c:h val="0.72979551178440483"/>
        </c:manualLayout>
      </c:layout>
      <c:lineChart>
        <c:grouping val="standard"/>
        <c:varyColors val="0"/>
        <c:ser>
          <c:idx val="0"/>
          <c:order val="0"/>
          <c:tx>
            <c:strRef>
              <c:f>Waipa!$B$206</c:f>
              <c:strCache>
                <c:ptCount val="1"/>
                <c:pt idx="0">
                  <c:v>Waipa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Waipa!$C$204:$F$204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Waipa!$C$206:$F$206</c:f>
              <c:numCache>
                <c:formatCode>_(* #,##0.00_);_(* \(#,##0.00\);_(* "-"??_);_(@_)</c:formatCode>
                <c:ptCount val="4"/>
                <c:pt idx="0">
                  <c:v>233.3624752238446</c:v>
                </c:pt>
                <c:pt idx="1">
                  <c:v>215.81182528856917</c:v>
                </c:pt>
                <c:pt idx="2">
                  <c:v>158.30637495382197</c:v>
                </c:pt>
                <c:pt idx="3">
                  <c:v>224.15400255210551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Waipa!$B$207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6.376999507358656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Waipa!$C$204:$F$204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28544"/>
        <c:axId val="178450816"/>
      </c:lineChart>
      <c:catAx>
        <c:axId val="17842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8450816"/>
        <c:crosses val="autoZero"/>
        <c:auto val="1"/>
        <c:lblAlgn val="ctr"/>
        <c:lblOffset val="100"/>
        <c:noMultiLvlLbl val="0"/>
      </c:catAx>
      <c:valAx>
        <c:axId val="178450816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8428544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8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309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Waipa!$B$162</c:f>
              <c:strCache>
                <c:ptCount val="1"/>
                <c:pt idx="0">
                  <c:v>Waipa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Waipa!$C$160:$F$160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Waipa!$C$162:$F$162</c:f>
              <c:numCache>
                <c:formatCode>_(* #,##0.00_);_(* \(#,##0.00\);_(* "-"??_);_(@_)</c:formatCode>
                <c:ptCount val="4"/>
                <c:pt idx="0">
                  <c:v>187.41969221021245</c:v>
                </c:pt>
                <c:pt idx="1">
                  <c:v>210.8317010592215</c:v>
                </c:pt>
                <c:pt idx="2">
                  <c:v>222.20303445497589</c:v>
                </c:pt>
                <c:pt idx="3">
                  <c:v>230.45638451722672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Waipa!$B$163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61271193728985685"/>
                  <c:y val="-4.22340130127319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Waipa!$C$160:$F$160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76928"/>
        <c:axId val="178478464"/>
      </c:lineChart>
      <c:catAx>
        <c:axId val="17847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8478464"/>
        <c:crosses val="autoZero"/>
        <c:auto val="1"/>
        <c:lblAlgn val="ctr"/>
        <c:lblOffset val="100"/>
        <c:noMultiLvlLbl val="0"/>
      </c:catAx>
      <c:valAx>
        <c:axId val="178478464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8476928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8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3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Waipa!$C$160:$F$160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Waipa!$C$165:$F$165</c:f>
              <c:numCache>
                <c:formatCode>_(* #,##0.00_);_(* \(#,##0.00\);_(* "-"??_);_(@_)</c:formatCode>
                <c:ptCount val="4"/>
                <c:pt idx="0">
                  <c:v>2117.4706242913821</c:v>
                </c:pt>
                <c:pt idx="1">
                  <c:v>2345.8517935229493</c:v>
                </c:pt>
                <c:pt idx="2">
                  <c:v>2484.819282397832</c:v>
                </c:pt>
                <c:pt idx="3">
                  <c:v>2599.6816774831796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Waipa!$C$160:$F$160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516736"/>
        <c:axId val="178518272"/>
      </c:lineChart>
      <c:catAx>
        <c:axId val="1785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518272"/>
        <c:crosses val="autoZero"/>
        <c:auto val="1"/>
        <c:lblAlgn val="ctr"/>
        <c:lblOffset val="100"/>
        <c:noMultiLvlLbl val="0"/>
      </c:catAx>
      <c:valAx>
        <c:axId val="178518272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78516736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8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26327073267044"/>
          <c:y val="0.13550222222222241"/>
          <c:w val="0.7695508593816110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Waipa!$B$168</c:f>
              <c:strCache>
                <c:ptCount val="1"/>
                <c:pt idx="0">
                  <c:v>Waipa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Waipa!$C$160:$F$160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Waipa!$C$168:$F$168</c:f>
              <c:numCache>
                <c:formatCode>_(* #,##0.00_);_(* \(#,##0.00\);_(* "-"??_);_(@_)</c:formatCode>
                <c:ptCount val="4"/>
                <c:pt idx="0">
                  <c:v>13.346247453931802</c:v>
                </c:pt>
                <c:pt idx="1">
                  <c:v>15.157841834270824</c:v>
                </c:pt>
                <c:pt idx="2">
                  <c:v>15.227913734360177</c:v>
                </c:pt>
                <c:pt idx="3">
                  <c:v>16.208737966824174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Waipa!$B$169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815600867515448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Waipa!$C$160:$F$160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24864"/>
        <c:axId val="178726400"/>
      </c:lineChart>
      <c:catAx>
        <c:axId val="17872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8726400"/>
        <c:crosses val="autoZero"/>
        <c:auto val="1"/>
        <c:lblAlgn val="ctr"/>
        <c:lblOffset val="100"/>
        <c:noMultiLvlLbl val="0"/>
      </c:catAx>
      <c:valAx>
        <c:axId val="178726400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8724864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8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913"/>
          <c:h val="0.7759916666667012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Waipa!$B$178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Waipa!$C$178:$D$178</c:f>
              <c:numCache>
                <c:formatCode>_-* #,##0_-;\-* #,##0_-;_-* "-"??_-;_-@_-</c:formatCode>
                <c:ptCount val="2"/>
                <c:pt idx="0">
                  <c:v>2560.3475269165474</c:v>
                </c:pt>
                <c:pt idx="1">
                  <c:v>2563.5757100000001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78758400"/>
        <c:axId val="178759936"/>
      </c:barChart>
      <c:lineChart>
        <c:grouping val="standard"/>
        <c:varyColors val="0"/>
        <c:ser>
          <c:idx val="1"/>
          <c:order val="0"/>
          <c:tx>
            <c:strRef>
              <c:f>Waipa!$B$179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Waipa!$C$177:$D$177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Waipa!$C$179:$D$179</c:f>
              <c:numCache>
                <c:formatCode>_-* #,##0_-;\-* #,##0_-;_-* "-"??_-;_-@_-</c:formatCode>
                <c:ptCount val="2"/>
                <c:pt idx="0">
                  <c:v>1911.3351836382742</c:v>
                </c:pt>
                <c:pt idx="1">
                  <c:v>1776.8489127212954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Waipa!$B$180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Waipa!$C$177:$D$177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Waipa!$C$180:$D$180</c:f>
              <c:numCache>
                <c:formatCode>_-* #,##0_-;\-* #,##0_-;_-* "-"??_-;_-@_-</c:formatCode>
                <c:ptCount val="2"/>
                <c:pt idx="1">
                  <c:v>1744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58400"/>
        <c:axId val="178759936"/>
      </c:lineChart>
      <c:catAx>
        <c:axId val="17875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8759936"/>
        <c:crosses val="autoZero"/>
        <c:auto val="1"/>
        <c:lblAlgn val="ctr"/>
        <c:lblOffset val="100"/>
        <c:noMultiLvlLbl val="0"/>
      </c:catAx>
      <c:valAx>
        <c:axId val="17875993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8758400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376"/>
          <c:y val="3.5277777777779608E-2"/>
          <c:w val="0.7717227593675075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Waipa!$V$177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40128472222222528"/>
                  <c:y val="3.527777777777851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Waipa!$W$177:$AC$177</c:f>
              <c:numCache>
                <c:formatCode>General</c:formatCode>
                <c:ptCount val="7"/>
                <c:pt idx="0">
                  <c:v>1911.3351836382742</c:v>
                </c:pt>
                <c:pt idx="1">
                  <c:v>1776.8489127212954</c:v>
                </c:pt>
                <c:pt idx="2">
                  <c:v>1776.8489127212954</c:v>
                </c:pt>
                <c:pt idx="3">
                  <c:v>1776.8489127212954</c:v>
                </c:pt>
                <c:pt idx="4">
                  <c:v>1776.8489127212954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Waipa!$V$178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2807395833333332"/>
                  <c:y val="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Waipa!$W$178:$AC$178</c:f>
              <c:numCache>
                <c:formatCode>General</c:formatCode>
                <c:ptCount val="7"/>
                <c:pt idx="1">
                  <c:v>1744</c:v>
                </c:pt>
                <c:pt idx="2">
                  <c:v>1744</c:v>
                </c:pt>
                <c:pt idx="3">
                  <c:v>1744</c:v>
                </c:pt>
                <c:pt idx="4">
                  <c:v>1744</c:v>
                </c:pt>
                <c:pt idx="5">
                  <c:v>1744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Waipa!$V$179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77777777778945E-5"/>
                  <c:y val="-4.11578703703703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Waipa!$W$179:$AC$179</c:f>
              <c:numCache>
                <c:formatCode>General</c:formatCode>
                <c:ptCount val="7"/>
                <c:pt idx="2">
                  <c:v>2115.6002585649644</c:v>
                </c:pt>
                <c:pt idx="3">
                  <c:v>2115.6002585649644</c:v>
                </c:pt>
                <c:pt idx="4">
                  <c:v>2115.6002585649644</c:v>
                </c:pt>
                <c:pt idx="5">
                  <c:v>2115.6002585649644</c:v>
                </c:pt>
                <c:pt idx="6">
                  <c:v>2115.6002585649644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Waipa!$V$176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1466056129186365"/>
                  <c:y val="-4.804891538734342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Waipa!$C$178:$I$178</c:f>
              <c:numCache>
                <c:formatCode>_-* #,##0_-;\-* #,##0_-;_-* "-"??_-;_-@_-</c:formatCode>
                <c:ptCount val="7"/>
                <c:pt idx="0">
                  <c:v>2560.3475269165474</c:v>
                </c:pt>
                <c:pt idx="1">
                  <c:v>2563.5757100000001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16896"/>
        <c:axId val="178818432"/>
      </c:lineChart>
      <c:catAx>
        <c:axId val="1788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8818432"/>
        <c:crosses val="autoZero"/>
        <c:auto val="1"/>
        <c:lblAlgn val="ctr"/>
        <c:lblOffset val="100"/>
        <c:noMultiLvlLbl val="0"/>
      </c:catAx>
      <c:valAx>
        <c:axId val="178818432"/>
        <c:scaling>
          <c:orientation val="minMax"/>
          <c:max val="3000"/>
          <c:min val="1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8816896"/>
        <c:crosses val="autoZero"/>
        <c:crossBetween val="midCat"/>
        <c:majorUnit val="3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8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7244"/>
          <c:h val="0.77578287037039195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Waipa!$B$222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Waipa!$C$222:$D$222</c:f>
              <c:numCache>
                <c:formatCode>_-* #,##0_-;\-* #,##0_-;_-* "-"??_-;_-@_-</c:formatCode>
                <c:ptCount val="2"/>
                <c:pt idx="0">
                  <c:v>3629.7320839104304</c:v>
                </c:pt>
                <c:pt idx="1">
                  <c:v>3934.3487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78862336"/>
        <c:axId val="178884608"/>
      </c:barChart>
      <c:lineChart>
        <c:grouping val="standard"/>
        <c:varyColors val="0"/>
        <c:ser>
          <c:idx val="1"/>
          <c:order val="0"/>
          <c:tx>
            <c:strRef>
              <c:f>Waipa!$B$223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Waipa!$C$221:$D$221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Waipa!$C$223:$D$223</c:f>
              <c:numCache>
                <c:formatCode>_-* #,##0_-;\-* #,##0_-;_-* "-"??_-;_-@_-</c:formatCode>
                <c:ptCount val="2"/>
                <c:pt idx="0">
                  <c:v>4850.6752714828481</c:v>
                </c:pt>
                <c:pt idx="1">
                  <c:v>3584.2628870146314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Waipa!$B$224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Waipa!$C$221:$D$221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Waipa!$C$224:$D$224</c:f>
              <c:numCache>
                <c:formatCode>_-* #,##0_-;\-* #,##0_-;_-* "-"??_-;_-@_-</c:formatCode>
                <c:ptCount val="2"/>
                <c:pt idx="1">
                  <c:v>3518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862336"/>
        <c:axId val="178884608"/>
      </c:lineChart>
      <c:catAx>
        <c:axId val="17886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8884608"/>
        <c:crosses val="autoZero"/>
        <c:auto val="1"/>
        <c:lblAlgn val="ctr"/>
        <c:lblOffset val="100"/>
        <c:noMultiLvlLbl val="0"/>
      </c:catAx>
      <c:valAx>
        <c:axId val="17888460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8862336"/>
        <c:crosses val="autoZero"/>
        <c:crossBetween val="between"/>
        <c:majorUnit val="1000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898E-3"/>
          <c:w val="0.90316284722220408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Waipa!$V$221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21174858114257988"/>
                  <c:y val="-4.115833333333333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Waipa!$W$221:$AC$221</c:f>
              <c:numCache>
                <c:formatCode>General</c:formatCode>
                <c:ptCount val="7"/>
                <c:pt idx="0">
                  <c:v>4850.6752714828481</c:v>
                </c:pt>
                <c:pt idx="1">
                  <c:v>3584.2628870146314</c:v>
                </c:pt>
                <c:pt idx="2">
                  <c:v>3584.2628870146314</c:v>
                </c:pt>
                <c:pt idx="3">
                  <c:v>3584.2628870146314</c:v>
                </c:pt>
                <c:pt idx="4">
                  <c:v>3584.2628870146314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Waipa!$V$222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0592802265581176"/>
                  <c:y val="5.291666666666683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Waipa!$W$222:$AC$222</c:f>
              <c:numCache>
                <c:formatCode>General</c:formatCode>
                <c:ptCount val="7"/>
                <c:pt idx="1">
                  <c:v>3518</c:v>
                </c:pt>
                <c:pt idx="2">
                  <c:v>3518</c:v>
                </c:pt>
                <c:pt idx="3">
                  <c:v>3518</c:v>
                </c:pt>
                <c:pt idx="4">
                  <c:v>3518</c:v>
                </c:pt>
                <c:pt idx="5">
                  <c:v>3648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Waipa!$V$223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4.4168121258535108E-3"/>
                  <c:y val="-9.919444444444526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Waipa!$W$223:$AC$223</c:f>
              <c:numCache>
                <c:formatCode>General</c:formatCode>
                <c:ptCount val="7"/>
                <c:pt idx="2">
                  <c:v>4678.956948933419</c:v>
                </c:pt>
                <c:pt idx="3">
                  <c:v>5645.8371040723978</c:v>
                </c:pt>
                <c:pt idx="4">
                  <c:v>5039.7039431157073</c:v>
                </c:pt>
                <c:pt idx="5">
                  <c:v>4809.9599224305102</c:v>
                </c:pt>
                <c:pt idx="6">
                  <c:v>5026.0170652876532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Waipa!$V$220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1909755413035746"/>
                  <c:y val="-9.90253411306050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Waipa!$W$219:$AC$219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Waipa!$W$220:$AC$220</c:f>
              <c:numCache>
                <c:formatCode>General</c:formatCode>
                <c:ptCount val="7"/>
                <c:pt idx="0">
                  <c:v>3629.7320839104304</c:v>
                </c:pt>
                <c:pt idx="1">
                  <c:v>3934.3487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290112"/>
        <c:axId val="179291648"/>
      </c:lineChart>
      <c:catAx>
        <c:axId val="17929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9291648"/>
        <c:crosses val="autoZero"/>
        <c:auto val="1"/>
        <c:lblAlgn val="ctr"/>
        <c:lblOffset val="100"/>
        <c:noMultiLvlLbl val="0"/>
      </c:catAx>
      <c:valAx>
        <c:axId val="179291648"/>
        <c:scaling>
          <c:orientation val="minMax"/>
          <c:max val="6000"/>
          <c:min val="3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9290112"/>
        <c:crosses val="autoZero"/>
        <c:crossBetween val="midCat"/>
        <c:majorUnit val="6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6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Buller!$B$98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Buller!$C$97:$F$97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Buller!$C$98:$F$98</c:f>
              <c:numCache>
                <c:formatCode>General</c:formatCode>
                <c:ptCount val="4"/>
                <c:pt idx="0">
                  <c:v>4226</c:v>
                </c:pt>
                <c:pt idx="1">
                  <c:v>4303</c:v>
                </c:pt>
                <c:pt idx="2">
                  <c:v>4332</c:v>
                </c:pt>
                <c:pt idx="3">
                  <c:v>3818</c:v>
                </c:pt>
              </c:numCache>
            </c:numRef>
          </c:val>
        </c:ser>
        <c:ser>
          <c:idx val="1"/>
          <c:order val="1"/>
          <c:tx>
            <c:strRef>
              <c:f>Buller!$B$99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Buller!$C$97:$F$97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Buller!$C$99:$F$99</c:f>
              <c:numCache>
                <c:formatCode>General</c:formatCode>
                <c:ptCount val="4"/>
                <c:pt idx="0">
                  <c:v>76</c:v>
                </c:pt>
                <c:pt idx="1">
                  <c:v>75</c:v>
                </c:pt>
                <c:pt idx="2">
                  <c:v>72</c:v>
                </c:pt>
                <c:pt idx="3">
                  <c:v>634</c:v>
                </c:pt>
              </c:numCache>
            </c:numRef>
          </c:val>
        </c:ser>
        <c:ser>
          <c:idx val="2"/>
          <c:order val="2"/>
          <c:tx>
            <c:strRef>
              <c:f>Buller!$B$100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Buller!$C$97:$F$97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Buller!$C$100:$F$100</c:f>
              <c:numCache>
                <c:formatCode>General</c:formatCode>
                <c:ptCount val="4"/>
                <c:pt idx="0">
                  <c:v>13</c:v>
                </c:pt>
                <c:pt idx="1">
                  <c:v>9</c:v>
                </c:pt>
                <c:pt idx="2">
                  <c:v>9</c:v>
                </c:pt>
                <c:pt idx="3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9898112"/>
        <c:axId val="119899648"/>
      </c:barChart>
      <c:catAx>
        <c:axId val="11989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9899648"/>
        <c:crosses val="autoZero"/>
        <c:auto val="1"/>
        <c:lblAlgn val="ctr"/>
        <c:lblOffset val="100"/>
        <c:noMultiLvlLbl val="0"/>
      </c:catAx>
      <c:valAx>
        <c:axId val="119899648"/>
        <c:scaling>
          <c:orientation val="minMax"/>
          <c:max val="5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19898112"/>
        <c:crosses val="autoZero"/>
        <c:crossBetween val="between"/>
        <c:majorUnit val="1000"/>
      </c:valAx>
    </c:plotArea>
    <c:legend>
      <c:legendPos val="t"/>
      <c:layout>
        <c:manualLayout>
          <c:xMode val="edge"/>
          <c:yMode val="edge"/>
          <c:x val="0"/>
          <c:y val="3.5277777777779185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8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28"/>
          <c:y val="6.4675925925925928E-2"/>
          <c:w val="0.8273281023979383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Waipa!$B$237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6914055181337E-3"/>
                  <c:y val="3.74389397890107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Waipa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Waipa!$C$236:$F$236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Waipa!$C$237:$F$237</c:f>
              <c:numCache>
                <c:formatCode>_(* #,##0.00_);_(* \(#,##0.00\);_(* "-"??_);_(@_)</c:formatCode>
                <c:ptCount val="4"/>
                <c:pt idx="0">
                  <c:v>1.8783999999999998</c:v>
                </c:pt>
                <c:pt idx="1">
                  <c:v>2.5291000000000001</c:v>
                </c:pt>
                <c:pt idx="2">
                  <c:v>1.9085000000000001</c:v>
                </c:pt>
                <c:pt idx="3">
                  <c:v>1.5618999999999998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Waipa!$B$239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7985715048848E-3"/>
                  <c:y val="-5.684711623567691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Waipa!$C$236:$F$236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93408"/>
        <c:axId val="179019776"/>
      </c:lineChart>
      <c:catAx>
        <c:axId val="1789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9019776"/>
        <c:crosses val="autoZero"/>
        <c:auto val="1"/>
        <c:lblAlgn val="ctr"/>
        <c:lblOffset val="100"/>
        <c:noMultiLvlLbl val="0"/>
      </c:catAx>
      <c:valAx>
        <c:axId val="179019776"/>
        <c:scaling>
          <c:orientation val="minMax"/>
          <c:max val="5.2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899340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8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33"/>
          <c:y val="6.4675925925925928E-2"/>
          <c:w val="0.83176107888302875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Waipa!$B$230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3577233345967552E-3"/>
                  <c:y val="4.0809511279094796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Waipa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Waipa!$C$229:$F$229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Waipa!$C$230:$F$230</c:f>
              <c:numCache>
                <c:formatCode>_(* #,##0.00_);_(* \(#,##0.00\);_(* "-"??_);_(@_)</c:formatCode>
                <c:ptCount val="4"/>
                <c:pt idx="0">
                  <c:v>112.67</c:v>
                </c:pt>
                <c:pt idx="1">
                  <c:v>234.45000000000002</c:v>
                </c:pt>
                <c:pt idx="2">
                  <c:v>126.82000000000001</c:v>
                </c:pt>
                <c:pt idx="3">
                  <c:v>114.27000000000001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Waipa!$B$232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2250806716096205E-4"/>
                  <c:y val="-6.271128866349308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Waipa!$C$229:$F$229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Waipa!$C$232:$F$232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041024"/>
        <c:axId val="179042560"/>
      </c:lineChart>
      <c:catAx>
        <c:axId val="17904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9042560"/>
        <c:crosses val="autoZero"/>
        <c:auto val="1"/>
        <c:lblAlgn val="ctr"/>
        <c:lblOffset val="100"/>
        <c:noMultiLvlLbl val="0"/>
      </c:catAx>
      <c:valAx>
        <c:axId val="179042560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9041024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WEL!$B$26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79562009287"/>
                  <c:y val="-0.35899366067258831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WEL!$C$26:$F$26</c:f>
              <c:numCache>
                <c:formatCode>0</c:formatCode>
                <c:ptCount val="4"/>
                <c:pt idx="0">
                  <c:v>1835.3552507769955</c:v>
                </c:pt>
                <c:pt idx="1">
                  <c:v>1878.298681152741</c:v>
                </c:pt>
                <c:pt idx="2">
                  <c:v>1863.6989691585902</c:v>
                </c:pt>
                <c:pt idx="3">
                  <c:v>1957.6</c:v>
                </c:pt>
              </c:numCache>
            </c:numRef>
          </c:val>
        </c:ser>
        <c:ser>
          <c:idx val="1"/>
          <c:order val="1"/>
          <c:tx>
            <c:strRef>
              <c:f>WEL!$B$27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1763016379747094"/>
                  <c:y val="-7.839311228146428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WEL!$C$27:$F$27</c:f>
              <c:numCache>
                <c:formatCode>0</c:formatCode>
                <c:ptCount val="4"/>
                <c:pt idx="0">
                  <c:v>674.45855550169642</c:v>
                </c:pt>
                <c:pt idx="1">
                  <c:v>686.80337703342684</c:v>
                </c:pt>
                <c:pt idx="2">
                  <c:v>711.55463339710593</c:v>
                </c:pt>
                <c:pt idx="3">
                  <c:v>723.19999999999982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891776"/>
        <c:axId val="176893312"/>
      </c:areaChart>
      <c:catAx>
        <c:axId val="17689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6893312"/>
        <c:crosses val="autoZero"/>
        <c:auto val="1"/>
        <c:lblAlgn val="ctr"/>
        <c:lblOffset val="100"/>
        <c:noMultiLvlLbl val="0"/>
      </c:catAx>
      <c:valAx>
        <c:axId val="176893312"/>
        <c:scaling>
          <c:orientation val="minMax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6891776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8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WEL!$B$28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WEL!$C$25:$F$25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WEL!$C$28:$F$28</c:f>
              <c:numCache>
                <c:formatCode>0</c:formatCode>
                <c:ptCount val="4"/>
                <c:pt idx="0">
                  <c:v>533.01200422001079</c:v>
                </c:pt>
                <c:pt idx="1">
                  <c:v>513.23396252316536</c:v>
                </c:pt>
                <c:pt idx="2">
                  <c:v>528.16426396486213</c:v>
                </c:pt>
                <c:pt idx="3">
                  <c:v>550.39999999999986</c:v>
                </c:pt>
              </c:numCache>
            </c:numRef>
          </c:val>
        </c:ser>
        <c:ser>
          <c:idx val="1"/>
          <c:order val="1"/>
          <c:tx>
            <c:strRef>
              <c:f>WEL!$B$29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WEL!$C$25:$F$25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WEL!$C$29:$F$29</c:f>
              <c:numCache>
                <c:formatCode>0</c:formatCode>
                <c:ptCount val="4"/>
                <c:pt idx="0">
                  <c:v>141.44655128168571</c:v>
                </c:pt>
                <c:pt idx="1">
                  <c:v>173.56941451026145</c:v>
                </c:pt>
                <c:pt idx="2">
                  <c:v>183.3903694322438</c:v>
                </c:pt>
                <c:pt idx="3">
                  <c:v>172.79999999999995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976256"/>
        <c:axId val="176977792"/>
      </c:barChart>
      <c:catAx>
        <c:axId val="17697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6977792"/>
        <c:crosses val="autoZero"/>
        <c:auto val="1"/>
        <c:lblAlgn val="ctr"/>
        <c:lblOffset val="100"/>
        <c:noMultiLvlLbl val="0"/>
      </c:catAx>
      <c:valAx>
        <c:axId val="176977792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6976256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395"/>
          <c:w val="0.89745624999998208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WEL!$B$40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WEL!$C$39:$F$39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WEL!$C$40:$F$40</c:f>
              <c:numCache>
                <c:formatCode>0</c:formatCode>
                <c:ptCount val="4"/>
                <c:pt idx="0">
                  <c:v>71887.806606883183</c:v>
                </c:pt>
                <c:pt idx="1">
                  <c:v>77252.569829089145</c:v>
                </c:pt>
                <c:pt idx="2">
                  <c:v>80319.321161919637</c:v>
                </c:pt>
                <c:pt idx="3">
                  <c:v>79115.964000000007</c:v>
                </c:pt>
              </c:numCache>
            </c:numRef>
          </c:val>
        </c:ser>
        <c:ser>
          <c:idx val="1"/>
          <c:order val="1"/>
          <c:tx>
            <c:strRef>
              <c:f>WEL!$B$41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WEL!$C$39:$F$39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WEL!$C$41:$F$41</c:f>
              <c:numCache>
                <c:formatCode>0</c:formatCode>
                <c:ptCount val="4"/>
                <c:pt idx="0">
                  <c:v>8869.0468834364583</c:v>
                </c:pt>
                <c:pt idx="1">
                  <c:v>6773.6535326240628</c:v>
                </c:pt>
                <c:pt idx="2">
                  <c:v>5615.6010871439721</c:v>
                </c:pt>
                <c:pt idx="3">
                  <c:v>5479.0478999999996</c:v>
                </c:pt>
              </c:numCache>
            </c:numRef>
          </c:val>
        </c:ser>
        <c:ser>
          <c:idx val="3"/>
          <c:order val="2"/>
          <c:tx>
            <c:strRef>
              <c:f>WEL!$B$42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WEL!$C$39:$F$39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WEL!$C$42:$F$42</c:f>
              <c:numCache>
                <c:formatCode>0</c:formatCode>
                <c:ptCount val="4"/>
                <c:pt idx="0">
                  <c:v>1520.7431903281913</c:v>
                </c:pt>
                <c:pt idx="1">
                  <c:v>1663.100917482325</c:v>
                </c:pt>
                <c:pt idx="2">
                  <c:v>1789.2834929535716</c:v>
                </c:pt>
                <c:pt idx="3">
                  <c:v>2481.8393999999998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6996736"/>
        <c:axId val="176998272"/>
      </c:barChart>
      <c:catAx>
        <c:axId val="1769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6998272"/>
        <c:crosses val="autoZero"/>
        <c:auto val="1"/>
        <c:lblAlgn val="ctr"/>
        <c:lblOffset val="100"/>
        <c:noMultiLvlLbl val="0"/>
      </c:catAx>
      <c:valAx>
        <c:axId val="17699827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6996736"/>
        <c:crosses val="autoZero"/>
        <c:crossBetween val="between"/>
        <c:majorUnit val="20000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742"/>
          <c:h val="0.21171296296296868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993E-2"/>
          <c:y val="9.9262962962965245E-2"/>
          <c:w val="0.81073204086216033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WEL!$B$45</c:f>
              <c:strCache>
                <c:ptCount val="1"/>
                <c:pt idx="0">
                  <c:v>WEL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WEL!$B$46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5.2447552447552448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WEL!$C$45:$F$45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WEL!$C$46:$F$46</c:f>
              <c:numCache>
                <c:formatCode>0.0</c:formatCode>
                <c:ptCount val="4"/>
                <c:pt idx="0">
                  <c:v>100</c:v>
                </c:pt>
                <c:pt idx="1">
                  <c:v>107.46268870260995</c:v>
                </c:pt>
                <c:pt idx="2">
                  <c:v>111.72871305024508</c:v>
                </c:pt>
                <c:pt idx="3">
                  <c:v>110.05477525923671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WEL!$B$47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WEL!$C$47:$F$47</c:f>
              <c:numCache>
                <c:formatCode>0.0</c:formatCode>
                <c:ptCount val="4"/>
                <c:pt idx="0">
                  <c:v>100</c:v>
                </c:pt>
                <c:pt idx="1">
                  <c:v>76.374086433958496</c:v>
                </c:pt>
                <c:pt idx="2">
                  <c:v>63.31684972408349</c:v>
                </c:pt>
                <c:pt idx="3">
                  <c:v>61.777189499725047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WEL!$B$48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3.4965034965034968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WEL!$C$45:$F$45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WEL!$C$48:$F$48</c:f>
              <c:numCache>
                <c:formatCode>0.0</c:formatCode>
                <c:ptCount val="4"/>
                <c:pt idx="0">
                  <c:v>100</c:v>
                </c:pt>
                <c:pt idx="1">
                  <c:v>109.36106293682705</c:v>
                </c:pt>
                <c:pt idx="2">
                  <c:v>117.65849121227541</c:v>
                </c:pt>
                <c:pt idx="3">
                  <c:v>163.19911315627161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218688"/>
        <c:axId val="179228672"/>
      </c:lineChart>
      <c:catAx>
        <c:axId val="17921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9228672"/>
        <c:crossesAt val="0"/>
        <c:auto val="1"/>
        <c:lblAlgn val="ctr"/>
        <c:lblOffset val="100"/>
        <c:noMultiLvlLbl val="0"/>
      </c:catAx>
      <c:valAx>
        <c:axId val="179228672"/>
        <c:scaling>
          <c:orientation val="minMax"/>
          <c:max val="164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9218688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3005"/>
          <c:h val="0.702040277777791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WEL!$B$54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WEL!$C$53:$F$53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WEL!$C$54:$F$54</c:f>
              <c:numCache>
                <c:formatCode>0</c:formatCode>
                <c:ptCount val="4"/>
                <c:pt idx="0">
                  <c:v>51664.317753984767</c:v>
                </c:pt>
                <c:pt idx="1">
                  <c:v>56901.032778090448</c:v>
                </c:pt>
                <c:pt idx="2">
                  <c:v>60061.016382743655</c:v>
                </c:pt>
                <c:pt idx="3">
                  <c:v>56916.506000000001</c:v>
                </c:pt>
              </c:numCache>
            </c:numRef>
          </c:val>
        </c:ser>
        <c:ser>
          <c:idx val="1"/>
          <c:order val="1"/>
          <c:tx>
            <c:strRef>
              <c:f>WEL!$B$55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WEL!$C$53:$F$53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WEL!$C$55:$F$55</c:f>
              <c:numCache>
                <c:formatCode>0</c:formatCode>
                <c:ptCount val="4"/>
                <c:pt idx="0">
                  <c:v>1392.7665121895584</c:v>
                </c:pt>
                <c:pt idx="1">
                  <c:v>1407.5561841169604</c:v>
                </c:pt>
                <c:pt idx="2">
                  <c:v>1270.7252165395703</c:v>
                </c:pt>
                <c:pt idx="3">
                  <c:v>1569.3579999999999</c:v>
                </c:pt>
              </c:numCache>
            </c:numRef>
          </c:val>
        </c:ser>
        <c:ser>
          <c:idx val="2"/>
          <c:order val="2"/>
          <c:tx>
            <c:strRef>
              <c:f>WEL!$B$56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WEL!$C$53:$F$53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WEL!$C$56:$F$56</c:f>
              <c:numCache>
                <c:formatCode>0</c:formatCode>
                <c:ptCount val="4"/>
                <c:pt idx="0">
                  <c:v>16191.831979983461</c:v>
                </c:pt>
                <c:pt idx="1">
                  <c:v>16265.489843091491</c:v>
                </c:pt>
                <c:pt idx="2">
                  <c:v>16200.836665409175</c:v>
                </c:pt>
                <c:pt idx="3">
                  <c:v>17632.895</c:v>
                </c:pt>
              </c:numCache>
            </c:numRef>
          </c:val>
        </c:ser>
        <c:ser>
          <c:idx val="3"/>
          <c:order val="3"/>
          <c:tx>
            <c:strRef>
              <c:f>WEL!$B$57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WEL!$C$53:$F$53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WEL!$C$57:$F$57</c:f>
              <c:numCache>
                <c:formatCode>0</c:formatCode>
                <c:ptCount val="4"/>
                <c:pt idx="0">
                  <c:v>2638.8903607253851</c:v>
                </c:pt>
                <c:pt idx="1">
                  <c:v>2678.4912314091557</c:v>
                </c:pt>
                <c:pt idx="2">
                  <c:v>2786.7425915766207</c:v>
                </c:pt>
                <c:pt idx="3">
                  <c:v>2997.2055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609600"/>
        <c:axId val="179611136"/>
      </c:barChart>
      <c:catAx>
        <c:axId val="17960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9611136"/>
        <c:crosses val="autoZero"/>
        <c:auto val="1"/>
        <c:lblAlgn val="ctr"/>
        <c:lblOffset val="100"/>
        <c:noMultiLvlLbl val="0"/>
      </c:catAx>
      <c:valAx>
        <c:axId val="17961113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9609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</c:chartSpace>
</file>

<file path=xl/charts/chart8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0553570108199957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WEL!$B$61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6893344390896184"/>
                  <c:y val="-0.14699074074074289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WEL!$C$61:$F$61</c:f>
              <c:numCache>
                <c:formatCode>0.0</c:formatCode>
                <c:ptCount val="4"/>
                <c:pt idx="0">
                  <c:v>100</c:v>
                </c:pt>
                <c:pt idx="1">
                  <c:v>110.13603827895662</c:v>
                </c:pt>
                <c:pt idx="2">
                  <c:v>116.25241364599511</c:v>
                </c:pt>
                <c:pt idx="3">
                  <c:v>110.16598781198488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WEL!$B$62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43205274582452002"/>
                  <c:y val="0.4250921296296335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WEL!$C$62:$F$62</c:f>
              <c:numCache>
                <c:formatCode>0.0</c:formatCode>
                <c:ptCount val="4"/>
                <c:pt idx="0">
                  <c:v>100</c:v>
                </c:pt>
                <c:pt idx="1">
                  <c:v>101.06189169526709</c:v>
                </c:pt>
                <c:pt idx="2">
                  <c:v>91.237490664667988</c:v>
                </c:pt>
                <c:pt idx="3">
                  <c:v>112.67918823901239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WEL!$B$63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6151669586692342"/>
                  <c:y val="0.14698981481481491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WEL!$C$63:$F$63</c:f>
              <c:numCache>
                <c:formatCode>0.0</c:formatCode>
                <c:ptCount val="4"/>
                <c:pt idx="0">
                  <c:v>100</c:v>
                </c:pt>
                <c:pt idx="1">
                  <c:v>100.45490753114959</c:v>
                </c:pt>
                <c:pt idx="2">
                  <c:v>100.05561251769932</c:v>
                </c:pt>
                <c:pt idx="3">
                  <c:v>108.8999380786436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WEL!$B$64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3065075192237964"/>
                  <c:y val="0.1352314814814857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WEL!$C$64:$F$64</c:f>
              <c:numCache>
                <c:formatCode>0.0</c:formatCode>
                <c:ptCount val="4"/>
                <c:pt idx="0">
                  <c:v>100</c:v>
                </c:pt>
                <c:pt idx="1">
                  <c:v>101.50066373628668</c:v>
                </c:pt>
                <c:pt idx="2">
                  <c:v>105.60281825466191</c:v>
                </c:pt>
                <c:pt idx="3">
                  <c:v>113.57825033610416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672192"/>
        <c:axId val="179673728"/>
      </c:lineChart>
      <c:catAx>
        <c:axId val="17967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9673728"/>
        <c:crosses val="autoZero"/>
        <c:auto val="1"/>
        <c:lblAlgn val="ctr"/>
        <c:lblOffset val="100"/>
        <c:noMultiLvlLbl val="0"/>
      </c:catAx>
      <c:valAx>
        <c:axId val="179673728"/>
        <c:scaling>
          <c:orientation val="minMax"/>
          <c:max val="130"/>
          <c:min val="9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967219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460351024323177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WEL!$B$84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354918846777024E-3"/>
                  <c:y val="-2.8059872484559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WEL!$C$84:$F$84</c:f>
              <c:numCache>
                <c:formatCode>0.00</c:formatCode>
                <c:ptCount val="4"/>
                <c:pt idx="0">
                  <c:v>7.2721212402534334</c:v>
                </c:pt>
                <c:pt idx="1">
                  <c:v>7.9622147263834497</c:v>
                </c:pt>
                <c:pt idx="2">
                  <c:v>8.0337792338966949</c:v>
                </c:pt>
                <c:pt idx="3">
                  <c:v>7.8903820029134373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WEL!$B$85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90609520707183E-3"/>
                  <c:y val="-4.06340904562661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WEL!$C$85:$F$85</c:f>
              <c:numCache>
                <c:formatCode>0.00</c:formatCode>
                <c:ptCount val="4"/>
                <c:pt idx="0">
                  <c:v>5.9788044919104912</c:v>
                </c:pt>
                <c:pt idx="1">
                  <c:v>6.1486641074842332</c:v>
                </c:pt>
                <c:pt idx="2">
                  <c:v>6.3378552805105928</c:v>
                </c:pt>
                <c:pt idx="3">
                  <c:v>6.3059748601288987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WEL!$B$86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13218553147734E-3"/>
                  <c:y val="-2.8505678421996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WEL!$C$86:$F$86</c:f>
              <c:numCache>
                <c:formatCode>0.00</c:formatCode>
                <c:ptCount val="4"/>
                <c:pt idx="0">
                  <c:v>4.6985626839609136</c:v>
                </c:pt>
                <c:pt idx="1">
                  <c:v>4.8328590776251419</c:v>
                </c:pt>
                <c:pt idx="2">
                  <c:v>5.0187440923709685</c:v>
                </c:pt>
                <c:pt idx="3">
                  <c:v>5.0102360530527292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WEL!$B$87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99660429540984E-3"/>
                  <c:y val="-2.887427774457138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WEL!$C$87:$F$87</c:f>
              <c:numCache>
                <c:formatCode>0.00</c:formatCode>
                <c:ptCount val="4"/>
                <c:pt idx="0">
                  <c:v>3.2223199346480325</c:v>
                </c:pt>
                <c:pt idx="1">
                  <c:v>3.414218211780188</c:v>
                </c:pt>
                <c:pt idx="2">
                  <c:v>3.7528601928521041</c:v>
                </c:pt>
                <c:pt idx="3">
                  <c:v>3.783116662409638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812224"/>
        <c:axId val="179813760"/>
      </c:lineChart>
      <c:catAx>
        <c:axId val="17981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9813760"/>
        <c:crosses val="autoZero"/>
        <c:auto val="1"/>
        <c:lblAlgn val="ctr"/>
        <c:lblOffset val="100"/>
        <c:noMultiLvlLbl val="0"/>
      </c:catAx>
      <c:valAx>
        <c:axId val="17981376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9812224"/>
        <c:crosses val="autoZero"/>
        <c:crossBetween val="midCat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721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WEL!$B$90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-2.75353656106802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WEL!$C$90:$F$90</c:f>
              <c:numCache>
                <c:formatCode>0.0</c:formatCode>
                <c:ptCount val="4"/>
                <c:pt idx="0">
                  <c:v>100</c:v>
                </c:pt>
                <c:pt idx="1">
                  <c:v>109.48957619559663</c:v>
                </c:pt>
                <c:pt idx="2">
                  <c:v>110.47367017792895</c:v>
                </c:pt>
                <c:pt idx="3">
                  <c:v>108.50179393651662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WEL!$B$91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6698344326781E-3"/>
                  <c:y val="3.475393504682208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WEL!$C$91:$F$91</c:f>
              <c:numCache>
                <c:formatCode>0.0</c:formatCode>
                <c:ptCount val="4"/>
                <c:pt idx="0">
                  <c:v>100</c:v>
                </c:pt>
                <c:pt idx="1">
                  <c:v>102.84102977114517</c:v>
                </c:pt>
                <c:pt idx="2">
                  <c:v>106.00539437417478</c:v>
                </c:pt>
                <c:pt idx="3">
                  <c:v>105.47217037555048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WEL!$B$92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200616792511424E-3"/>
                  <c:y val="-3.1241283124128923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WEL!$C$92:$F$92</c:f>
              <c:numCache>
                <c:formatCode>0.0</c:formatCode>
                <c:ptCount val="4"/>
                <c:pt idx="0">
                  <c:v>100</c:v>
                </c:pt>
                <c:pt idx="1">
                  <c:v>102.85824416310683</c:v>
                </c:pt>
                <c:pt idx="2">
                  <c:v>106.81445433308852</c:v>
                </c:pt>
                <c:pt idx="3">
                  <c:v>106.63337684427941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WEL!$B$93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-2.89519824666270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WEL!$C$93:$F$93</c:f>
              <c:numCache>
                <c:formatCode>0.0</c:formatCode>
                <c:ptCount val="4"/>
                <c:pt idx="0">
                  <c:v>100</c:v>
                </c:pt>
                <c:pt idx="1">
                  <c:v>105.95528318180847</c:v>
                </c:pt>
                <c:pt idx="2">
                  <c:v>116.46454321619126</c:v>
                </c:pt>
                <c:pt idx="3">
                  <c:v>117.40350862531159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862144"/>
        <c:axId val="179896704"/>
      </c:lineChart>
      <c:catAx>
        <c:axId val="17986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9896704"/>
        <c:crosses val="autoZero"/>
        <c:auto val="1"/>
        <c:lblAlgn val="ctr"/>
        <c:lblOffset val="100"/>
        <c:noMultiLvlLbl val="0"/>
      </c:catAx>
      <c:valAx>
        <c:axId val="179896704"/>
        <c:scaling>
          <c:orientation val="minMax"/>
          <c:max val="13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9862144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157"/>
          <c:w val="0.79809047321242665"/>
          <c:h val="0.72979551178440139"/>
        </c:manualLayout>
      </c:layout>
      <c:lineChart>
        <c:grouping val="standard"/>
        <c:varyColors val="0"/>
        <c:ser>
          <c:idx val="0"/>
          <c:order val="0"/>
          <c:tx>
            <c:strRef>
              <c:f>Buller!$B$206</c:f>
              <c:strCache>
                <c:ptCount val="1"/>
                <c:pt idx="0">
                  <c:v>Alpine Energy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486855880615096E-2"/>
                  <c:y val="-5.647683062060672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B</a:t>
                    </a:r>
                    <a:r>
                      <a:rPr lang="en-US" sz="800"/>
                      <a:t>uller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Buller!$C$206:$F$206</c:f>
              <c:numCache>
                <c:formatCode>_(* #,##0.00_);_(* \(#,##0.00\);_(* "-"??_);_(@_)</c:formatCode>
                <c:ptCount val="4"/>
                <c:pt idx="0">
                  <c:v>281.00443333470616</c:v>
                </c:pt>
                <c:pt idx="1">
                  <c:v>300.20892304018577</c:v>
                </c:pt>
                <c:pt idx="2">
                  <c:v>372.55920821641564</c:v>
                </c:pt>
                <c:pt idx="3">
                  <c:v>323.85484231715503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cat>
            <c:numRef>
              <c:f>Buller!$C$204:$F$204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470528"/>
        <c:axId val="120472320"/>
      </c:lineChart>
      <c:catAx>
        <c:axId val="12047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0472320"/>
        <c:crosses val="autoZero"/>
        <c:auto val="1"/>
        <c:lblAlgn val="ctr"/>
        <c:lblOffset val="100"/>
        <c:noMultiLvlLbl val="0"/>
      </c:catAx>
      <c:valAx>
        <c:axId val="120472320"/>
        <c:scaling>
          <c:orientation val="minMax"/>
          <c:max val="6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0470528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8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393292516689997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WEL!$B$120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8657390387898352"/>
                  <c:y val="-0.1175939814814837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WEL!$C$120:$F$120</c:f>
              <c:numCache>
                <c:formatCode>0.0</c:formatCode>
                <c:ptCount val="4"/>
                <c:pt idx="0">
                  <c:v>100</c:v>
                </c:pt>
                <c:pt idx="1">
                  <c:v>100.59043253780172</c:v>
                </c:pt>
                <c:pt idx="2">
                  <c:v>105.23087850594524</c:v>
                </c:pt>
                <c:pt idx="3">
                  <c:v>101.53379388035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WEL!$B$121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801338294663E-3"/>
                  <c:y val="-4.11574074074074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WEL!$C$121:$F$121</c:f>
              <c:numCache>
                <c:formatCode>0.0</c:formatCode>
                <c:ptCount val="4"/>
                <c:pt idx="0">
                  <c:v>100</c:v>
                </c:pt>
                <c:pt idx="1">
                  <c:v>98.270011414863063</c:v>
                </c:pt>
                <c:pt idx="2">
                  <c:v>86.06872433549988</c:v>
                </c:pt>
                <c:pt idx="3">
                  <c:v>106.83309904195598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WEL!$B$122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2625931160027782"/>
                  <c:y val="0.1352314814814857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WEL!$C$122:$F$122</c:f>
              <c:numCache>
                <c:formatCode>0.0</c:formatCode>
                <c:ptCount val="4"/>
                <c:pt idx="0">
                  <c:v>100</c:v>
                </c:pt>
                <c:pt idx="1">
                  <c:v>97.663447736725701</c:v>
                </c:pt>
                <c:pt idx="2">
                  <c:v>93.672352812557989</c:v>
                </c:pt>
                <c:pt idx="3">
                  <c:v>102.12556452908186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WEL!$B$123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4.115694444444445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700" baseline="0"/>
                      <a:t> 5</a:t>
                    </a:r>
                    <a:endParaRPr lang="en-US" sz="80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WEL!$C$123:$F$123</c:f>
              <c:numCache>
                <c:formatCode>0.0</c:formatCode>
                <c:ptCount val="4"/>
                <c:pt idx="0">
                  <c:v>100</c:v>
                </c:pt>
                <c:pt idx="1">
                  <c:v>95.795755235840275</c:v>
                </c:pt>
                <c:pt idx="2">
                  <c:v>90.673792502352484</c:v>
                </c:pt>
                <c:pt idx="3">
                  <c:v>96.741785374221152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944832"/>
        <c:axId val="179971200"/>
      </c:lineChart>
      <c:catAx>
        <c:axId val="17994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9971200"/>
        <c:crosses val="autoZero"/>
        <c:auto val="1"/>
        <c:lblAlgn val="ctr"/>
        <c:lblOffset val="100"/>
        <c:noMultiLvlLbl val="0"/>
      </c:catAx>
      <c:valAx>
        <c:axId val="179971200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994483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632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WEL!$B$113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WEL!$C$112:$F$112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WEL!$C$113:$F$113</c:f>
              <c:numCache>
                <c:formatCode>General</c:formatCode>
                <c:ptCount val="4"/>
                <c:pt idx="0">
                  <c:v>710443.57</c:v>
                </c:pt>
                <c:pt idx="1">
                  <c:v>714638.26</c:v>
                </c:pt>
                <c:pt idx="2">
                  <c:v>747606.01</c:v>
                </c:pt>
                <c:pt idx="3">
                  <c:v>721340.31</c:v>
                </c:pt>
              </c:numCache>
            </c:numRef>
          </c:val>
        </c:ser>
        <c:ser>
          <c:idx val="1"/>
          <c:order val="1"/>
          <c:tx>
            <c:strRef>
              <c:f>WEL!$B$114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WEL!$C$112:$F$112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WEL!$C$114:$F$114</c:f>
              <c:numCache>
                <c:formatCode>General</c:formatCode>
                <c:ptCount val="4"/>
                <c:pt idx="0">
                  <c:v>23295.066999999999</c:v>
                </c:pt>
                <c:pt idx="1">
                  <c:v>22892.064999999999</c:v>
                </c:pt>
                <c:pt idx="2">
                  <c:v>20049.767</c:v>
                </c:pt>
                <c:pt idx="3">
                  <c:v>24886.842000000001</c:v>
                </c:pt>
              </c:numCache>
            </c:numRef>
          </c:val>
        </c:ser>
        <c:ser>
          <c:idx val="2"/>
          <c:order val="2"/>
          <c:tx>
            <c:strRef>
              <c:f>WEL!$B$115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WEL!$C$112:$F$112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WEL!$C$115:$F$115</c:f>
              <c:numCache>
                <c:formatCode>General</c:formatCode>
                <c:ptCount val="4"/>
                <c:pt idx="0">
                  <c:v>344612.45</c:v>
                </c:pt>
                <c:pt idx="1">
                  <c:v>336560.4</c:v>
                </c:pt>
                <c:pt idx="2">
                  <c:v>322806.59000000003</c:v>
                </c:pt>
                <c:pt idx="3">
                  <c:v>351937.41</c:v>
                </c:pt>
              </c:numCache>
            </c:numRef>
          </c:val>
        </c:ser>
        <c:ser>
          <c:idx val="3"/>
          <c:order val="3"/>
          <c:tx>
            <c:strRef>
              <c:f>WEL!$B$116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WEL!$C$112:$F$112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WEL!$C$116:$F$116</c:f>
              <c:numCache>
                <c:formatCode>General</c:formatCode>
                <c:ptCount val="4"/>
                <c:pt idx="0">
                  <c:v>81894.114000000001</c:v>
                </c:pt>
                <c:pt idx="1">
                  <c:v>78451.085000000006</c:v>
                </c:pt>
                <c:pt idx="2">
                  <c:v>74256.498999999996</c:v>
                </c:pt>
                <c:pt idx="3">
                  <c:v>79225.827999999994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019584"/>
        <c:axId val="180021120"/>
      </c:barChart>
      <c:catAx>
        <c:axId val="18001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0021120"/>
        <c:crosses val="autoZero"/>
        <c:auto val="1"/>
        <c:lblAlgn val="ctr"/>
        <c:lblOffset val="100"/>
        <c:noMultiLvlLbl val="0"/>
      </c:catAx>
      <c:valAx>
        <c:axId val="18002112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0019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WEL!$U$138:$U$144</c:f>
              <c:strCache>
                <c:ptCount val="7"/>
                <c:pt idx="0">
                  <c:v>General management, admin and overheads</c:v>
                </c:pt>
                <c:pt idx="1">
                  <c:v>System management and operations</c:v>
                </c:pt>
                <c:pt idx="2">
                  <c:v>Routine and preventative maintenance</c:v>
                </c:pt>
                <c:pt idx="3">
                  <c:v>Fault and emergency maintenance</c:v>
                </c:pt>
                <c:pt idx="4">
                  <c:v>Refurbishment and renewal maintenance</c:v>
                </c:pt>
                <c:pt idx="5">
                  <c:v>Other</c:v>
                </c:pt>
                <c:pt idx="6">
                  <c:v>Pass-through costs</c:v>
                </c:pt>
              </c:strCache>
            </c:strRef>
          </c:cat>
          <c:val>
            <c:numRef>
              <c:f>WEL!$V$138:$V$144</c:f>
              <c:numCache>
                <c:formatCode>General</c:formatCode>
                <c:ptCount val="7"/>
                <c:pt idx="0">
                  <c:v>5322.7161999999998</c:v>
                </c:pt>
                <c:pt idx="1">
                  <c:v>3425.5081</c:v>
                </c:pt>
                <c:pt idx="2">
                  <c:v>3052.9521</c:v>
                </c:pt>
                <c:pt idx="3">
                  <c:v>2428.0556000000001</c:v>
                </c:pt>
                <c:pt idx="4">
                  <c:v>1579.5706</c:v>
                </c:pt>
                <c:pt idx="5">
                  <c:v>1475.4087</c:v>
                </c:pt>
                <c:pt idx="6">
                  <c:v>488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80365184"/>
        <c:axId val="180366720"/>
      </c:barChart>
      <c:catAx>
        <c:axId val="180365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0366720"/>
        <c:crosses val="autoZero"/>
        <c:auto val="1"/>
        <c:lblAlgn val="ctr"/>
        <c:lblOffset val="100"/>
        <c:noMultiLvlLbl val="0"/>
      </c:catAx>
      <c:valAx>
        <c:axId val="180366720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03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724114583332915"/>
          <c:y val="5.1014483439099333E-2"/>
          <c:w val="0.70058906250000064"/>
          <c:h val="0.8328039561239132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WEL!$U$186:$U$191</c:f>
              <c:strCache>
                <c:ptCount val="6"/>
                <c:pt idx="0">
                  <c:v>System growth</c:v>
                </c:pt>
                <c:pt idx="1">
                  <c:v>Non-network capex</c:v>
                </c:pt>
                <c:pt idx="2">
                  <c:v>Asset replacement and renewal</c:v>
                </c:pt>
                <c:pt idx="3">
                  <c:v>Customer connection</c:v>
                </c:pt>
                <c:pt idx="4">
                  <c:v>Asset relocations</c:v>
                </c:pt>
                <c:pt idx="5">
                  <c:v>Reliability, safety and environment</c:v>
                </c:pt>
              </c:strCache>
            </c:strRef>
          </c:cat>
          <c:val>
            <c:numRef>
              <c:f>WEL!$V$186:$V$191</c:f>
              <c:numCache>
                <c:formatCode>General</c:formatCode>
                <c:ptCount val="6"/>
                <c:pt idx="0">
                  <c:v>29.089894000000001</c:v>
                </c:pt>
                <c:pt idx="1">
                  <c:v>6.4022380999999999</c:v>
                </c:pt>
                <c:pt idx="2">
                  <c:v>5.5189244999999998</c:v>
                </c:pt>
                <c:pt idx="3">
                  <c:v>5.1376058999999996</c:v>
                </c:pt>
                <c:pt idx="4">
                  <c:v>3.5017374000000001</c:v>
                </c:pt>
                <c:pt idx="5">
                  <c:v>0.67901775999999991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80386816"/>
        <c:axId val="180400896"/>
      </c:barChart>
      <c:catAx>
        <c:axId val="180386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0400896"/>
        <c:crosses val="autoZero"/>
        <c:auto val="1"/>
        <c:lblAlgn val="ctr"/>
        <c:lblOffset val="100"/>
        <c:noMultiLvlLbl val="0"/>
      </c:catAx>
      <c:valAx>
        <c:axId val="180400896"/>
        <c:scaling>
          <c:orientation val="minMax"/>
          <c:max val="30"/>
          <c:min val="0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0386816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68744841764"/>
          <c:h val="0.82404629629630965"/>
        </c:manualLayout>
      </c:layout>
      <c:lineChart>
        <c:grouping val="standard"/>
        <c:varyColors val="0"/>
        <c:ser>
          <c:idx val="0"/>
          <c:order val="0"/>
          <c:tx>
            <c:strRef>
              <c:f>WEL!$B$76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3009915014164305"/>
                  <c:y val="-0.1293518518518518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WEL!$C$76:$F$76</c:f>
              <c:numCache>
                <c:formatCode>0.0</c:formatCode>
                <c:ptCount val="4"/>
                <c:pt idx="0">
                  <c:v>100</c:v>
                </c:pt>
                <c:pt idx="1">
                  <c:v>106.94422678227818</c:v>
                </c:pt>
                <c:pt idx="2">
                  <c:v>112.09345214043178</c:v>
                </c:pt>
                <c:pt idx="3">
                  <c:v>107.1382176515996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WEL!$B$77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939722222222224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WEL!$C$77:$F$77</c:f>
              <c:numCache>
                <c:formatCode>0.0</c:formatCode>
                <c:ptCount val="4"/>
                <c:pt idx="0">
                  <c:v>100</c:v>
                </c:pt>
                <c:pt idx="1">
                  <c:v>107.00670885381223</c:v>
                </c:pt>
                <c:pt idx="2">
                  <c:v>99.868064105920368</c:v>
                </c:pt>
                <c:pt idx="3">
                  <c:v>101.97781281966488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WEL!$B$78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15934844192634987"/>
                  <c:y val="5.87958333333340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WEL!$C$78:$F$78</c:f>
              <c:numCache>
                <c:formatCode>0.0</c:formatCode>
                <c:ptCount val="4"/>
                <c:pt idx="0">
                  <c:v>100</c:v>
                </c:pt>
                <c:pt idx="1">
                  <c:v>99.950109000842303</c:v>
                </c:pt>
                <c:pt idx="2">
                  <c:v>104.82016549473263</c:v>
                </c:pt>
                <c:pt idx="3">
                  <c:v>108.08114155173649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WEL!$B$79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115740740740737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WEL!$C$79:$F$79</c:f>
              <c:numCache>
                <c:formatCode>0.0</c:formatCode>
                <c:ptCount val="4"/>
                <c:pt idx="0">
                  <c:v>100</c:v>
                </c:pt>
                <c:pt idx="1">
                  <c:v>101.5006637362867</c:v>
                </c:pt>
                <c:pt idx="2">
                  <c:v>105.60281825466194</c:v>
                </c:pt>
                <c:pt idx="3">
                  <c:v>113.57825033610418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54368"/>
        <c:axId val="180155904"/>
      </c:lineChart>
      <c:catAx>
        <c:axId val="18015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0155904"/>
        <c:crosses val="autoZero"/>
        <c:auto val="1"/>
        <c:lblAlgn val="ctr"/>
        <c:lblOffset val="100"/>
        <c:noMultiLvlLbl val="0"/>
      </c:catAx>
      <c:valAx>
        <c:axId val="180155904"/>
        <c:scaling>
          <c:orientation val="minMax"/>
          <c:max val="13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0154368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38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518"/>
          <c:y val="0.16445370370370369"/>
          <c:w val="0.70330041907982355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WEL!$B$70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WEL!$C$70:$F$70</c:f>
              <c:numCache>
                <c:formatCode>0</c:formatCode>
                <c:ptCount val="4"/>
                <c:pt idx="0">
                  <c:v>639.81371600867828</c:v>
                </c:pt>
                <c:pt idx="1">
                  <c:v>684.24383143244211</c:v>
                </c:pt>
                <c:pt idx="2">
                  <c:v>717.18928154210585</c:v>
                </c:pt>
                <c:pt idx="3">
                  <c:v>685.48501162216519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96480"/>
        <c:axId val="180198016"/>
      </c:lineChart>
      <c:catAx>
        <c:axId val="18019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0198016"/>
        <c:crosses val="autoZero"/>
        <c:auto val="1"/>
        <c:lblAlgn val="ctr"/>
        <c:lblOffset val="100"/>
        <c:noMultiLvlLbl val="0"/>
      </c:catAx>
      <c:valAx>
        <c:axId val="180198016"/>
        <c:scaling>
          <c:orientation val="minMax"/>
          <c:max val="800"/>
          <c:min val="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0196480"/>
        <c:crosses val="autoZero"/>
        <c:crossBetween val="midCat"/>
        <c:majorUnit val="8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8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203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931"/>
          <c:y val="0.17621296296296807"/>
          <c:w val="0.73692152777777775"/>
          <c:h val="0.57282407407409974"/>
        </c:manualLayout>
      </c:layout>
      <c:lineChart>
        <c:grouping val="standard"/>
        <c:varyColors val="0"/>
        <c:ser>
          <c:idx val="1"/>
          <c:order val="0"/>
          <c:tx>
            <c:strRef>
              <c:f>WEL!$B$71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WEL!$C$71:$F$71</c:f>
              <c:numCache>
                <c:formatCode>0</c:formatCode>
                <c:ptCount val="4"/>
                <c:pt idx="0">
                  <c:v>8597.3241493182613</c:v>
                </c:pt>
                <c:pt idx="1">
                  <c:v>9199.7136216794806</c:v>
                </c:pt>
                <c:pt idx="2">
                  <c:v>8585.9811928349336</c:v>
                </c:pt>
                <c:pt idx="3">
                  <c:v>8767.363128491621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206592"/>
        <c:axId val="180216576"/>
      </c:lineChart>
      <c:catAx>
        <c:axId val="18020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0216576"/>
        <c:crosses val="autoZero"/>
        <c:auto val="1"/>
        <c:lblAlgn val="ctr"/>
        <c:lblOffset val="100"/>
        <c:noMultiLvlLbl val="0"/>
      </c:catAx>
      <c:valAx>
        <c:axId val="180216576"/>
        <c:scaling>
          <c:orientation val="minMax"/>
          <c:max val="12000"/>
          <c:min val="6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0206592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8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9005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WEL!$B$72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WEL!$C$72:$F$72</c:f>
              <c:numCache>
                <c:formatCode>0</c:formatCode>
                <c:ptCount val="4"/>
                <c:pt idx="0">
                  <c:v>40888.464595917831</c:v>
                </c:pt>
                <c:pt idx="1">
                  <c:v>40868.064932390684</c:v>
                </c:pt>
                <c:pt idx="2">
                  <c:v>42859.356257696229</c:v>
                </c:pt>
                <c:pt idx="3">
                  <c:v>44192.719298245611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314880"/>
        <c:axId val="180316416"/>
      </c:lineChart>
      <c:catAx>
        <c:axId val="1803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0316416"/>
        <c:crosses val="autoZero"/>
        <c:auto val="1"/>
        <c:lblAlgn val="ctr"/>
        <c:lblOffset val="100"/>
        <c:noMultiLvlLbl val="0"/>
      </c:catAx>
      <c:valAx>
        <c:axId val="180316416"/>
        <c:scaling>
          <c:orientation val="minMax"/>
          <c:max val="60000"/>
          <c:min val="3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0314880"/>
        <c:crosses val="autoZero"/>
        <c:crossBetween val="midCat"/>
        <c:majorUnit val="6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8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WEL!$B$73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WEL!$C$73:$F$73</c:f>
              <c:numCache>
                <c:formatCode>0</c:formatCode>
                <c:ptCount val="4"/>
                <c:pt idx="0">
                  <c:v>527778.07214507693</c:v>
                </c:pt>
                <c:pt idx="1">
                  <c:v>535698.24628183118</c:v>
                </c:pt>
                <c:pt idx="2">
                  <c:v>557348.51831532409</c:v>
                </c:pt>
                <c:pt idx="3">
                  <c:v>599441.1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332800"/>
        <c:axId val="180436992"/>
      </c:lineChart>
      <c:catAx>
        <c:axId val="18033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0436992"/>
        <c:crosses val="autoZero"/>
        <c:auto val="1"/>
        <c:lblAlgn val="ctr"/>
        <c:lblOffset val="100"/>
        <c:noMultiLvlLbl val="0"/>
      </c:catAx>
      <c:valAx>
        <c:axId val="180436992"/>
        <c:scaling>
          <c:orientation val="minMax"/>
          <c:max val="800000"/>
          <c:min val="4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0332800"/>
        <c:crosses val="autoZero"/>
        <c:crossBetween val="midCat"/>
        <c:majorUnit val="8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8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4"/>
          <c:y val="6.4675925925925928E-2"/>
          <c:w val="0.81811564211808863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WEL!$B$105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1631162507608E-4"/>
                  <c:y val="-2.939861111111110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WEL!$C$105:$F$105</c:f>
              <c:numCache>
                <c:formatCode>0.0</c:formatCode>
                <c:ptCount val="4"/>
                <c:pt idx="0">
                  <c:v>100</c:v>
                </c:pt>
                <c:pt idx="1">
                  <c:v>102.98455708429826</c:v>
                </c:pt>
                <c:pt idx="2">
                  <c:v>103.71026266579153</c:v>
                </c:pt>
                <c:pt idx="3">
                  <c:v>102.82604118936459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WEL!$B$106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20764316146422332"/>
                  <c:y val="-0.419697685185185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WEL!$C$106:$F$106</c:f>
              <c:numCache>
                <c:formatCode>0.0</c:formatCode>
                <c:ptCount val="4"/>
                <c:pt idx="0">
                  <c:v>100</c:v>
                </c:pt>
                <c:pt idx="1">
                  <c:v>94.444444444444443</c:v>
                </c:pt>
                <c:pt idx="2">
                  <c:v>91.358024691358025</c:v>
                </c:pt>
                <c:pt idx="3">
                  <c:v>110.49382716049382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WEL!$B$107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687940179117569E-5"/>
                  <c:y val="3.53060185185186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WEL!$C$107:$F$107</c:f>
              <c:numCache>
                <c:formatCode>0.0</c:formatCode>
                <c:ptCount val="4"/>
                <c:pt idx="0">
                  <c:v>100</c:v>
                </c:pt>
                <c:pt idx="1">
                  <c:v>100.50505050505049</c:v>
                </c:pt>
                <c:pt idx="2">
                  <c:v>95.454545454545453</c:v>
                </c:pt>
                <c:pt idx="3">
                  <c:v>100.75757575757575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476160"/>
        <c:axId val="180486144"/>
      </c:lineChart>
      <c:catAx>
        <c:axId val="18047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0486144"/>
        <c:crosses val="autoZero"/>
        <c:auto val="1"/>
        <c:lblAlgn val="ctr"/>
        <c:lblOffset val="100"/>
        <c:noMultiLvlLbl val="0"/>
      </c:catAx>
      <c:valAx>
        <c:axId val="180486144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047616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Buller!$B$209</c:f>
              <c:strCache>
                <c:ptCount val="1"/>
                <c:pt idx="0">
                  <c:v>Alpine Energy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102565049191554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B</a:t>
                    </a:r>
                    <a:r>
                      <a:rPr lang="en-US"/>
                      <a:t>uller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Buller!$C$209:$F$209</c:f>
              <c:numCache>
                <c:formatCode>_(* #,##0.00_);_(* \(#,##0.00\);_(* "-"??_);_(@_)</c:formatCode>
                <c:ptCount val="4"/>
                <c:pt idx="0">
                  <c:v>27882.290229361261</c:v>
                </c:pt>
                <c:pt idx="1">
                  <c:v>29212.431774096847</c:v>
                </c:pt>
                <c:pt idx="2">
                  <c:v>34322.017056937293</c:v>
                </c:pt>
                <c:pt idx="3">
                  <c:v>25897.989079201183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cat>
            <c:numRef>
              <c:f>Buller!$C$204:$F$204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531200"/>
        <c:axId val="120545280"/>
      </c:lineChart>
      <c:catAx>
        <c:axId val="12053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0545280"/>
        <c:crosses val="autoZero"/>
        <c:auto val="1"/>
        <c:lblAlgn val="ctr"/>
        <c:lblOffset val="100"/>
        <c:noMultiLvlLbl val="0"/>
      </c:catAx>
      <c:valAx>
        <c:axId val="120545280"/>
        <c:scaling>
          <c:orientation val="minMax"/>
          <c:max val="4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0531200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8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0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WEL!$B$98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WEL!$C$97:$F$97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WEL!$C$98:$F$98</c:f>
              <c:numCache>
                <c:formatCode>General</c:formatCode>
                <c:ptCount val="4"/>
                <c:pt idx="0">
                  <c:v>80749</c:v>
                </c:pt>
                <c:pt idx="1">
                  <c:v>83159</c:v>
                </c:pt>
                <c:pt idx="2">
                  <c:v>83745</c:v>
                </c:pt>
                <c:pt idx="3">
                  <c:v>83031</c:v>
                </c:pt>
              </c:numCache>
            </c:numRef>
          </c:val>
        </c:ser>
        <c:ser>
          <c:idx val="1"/>
          <c:order val="1"/>
          <c:tx>
            <c:strRef>
              <c:f>WEL!$B$99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WEL!$C$97:$F$97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WEL!$C$99:$F$99</c:f>
              <c:numCache>
                <c:formatCode>General</c:formatCode>
                <c:ptCount val="4"/>
                <c:pt idx="0">
                  <c:v>162</c:v>
                </c:pt>
                <c:pt idx="1">
                  <c:v>153</c:v>
                </c:pt>
                <c:pt idx="2">
                  <c:v>148</c:v>
                </c:pt>
                <c:pt idx="3">
                  <c:v>179</c:v>
                </c:pt>
              </c:numCache>
            </c:numRef>
          </c:val>
        </c:ser>
        <c:ser>
          <c:idx val="2"/>
          <c:order val="2"/>
          <c:tx>
            <c:strRef>
              <c:f>WEL!$B$100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WEL!$C$97:$F$97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WEL!$C$100:$F$100</c:f>
              <c:numCache>
                <c:formatCode>General</c:formatCode>
                <c:ptCount val="4"/>
                <c:pt idx="0">
                  <c:v>396</c:v>
                </c:pt>
                <c:pt idx="1">
                  <c:v>398</c:v>
                </c:pt>
                <c:pt idx="2">
                  <c:v>378</c:v>
                </c:pt>
                <c:pt idx="3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0512640"/>
        <c:axId val="180514176"/>
      </c:barChart>
      <c:catAx>
        <c:axId val="18051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0514176"/>
        <c:crosses val="autoZero"/>
        <c:auto val="1"/>
        <c:lblAlgn val="ctr"/>
        <c:lblOffset val="100"/>
        <c:noMultiLvlLbl val="0"/>
      </c:catAx>
      <c:valAx>
        <c:axId val="18051417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0512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3.5277777777779573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8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WEL!$B$209</c:f>
              <c:strCache>
                <c:ptCount val="1"/>
                <c:pt idx="0">
                  <c:v>WEL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WEL!$C$209:$F$209</c:f>
              <c:numCache>
                <c:formatCode>_(* #,##0.00_);_(* \(#,##0.00\);_(* "-"??_);_(@_)</c:formatCode>
                <c:ptCount val="4"/>
                <c:pt idx="0">
                  <c:v>31650.010845770874</c:v>
                </c:pt>
                <c:pt idx="1">
                  <c:v>33290.655312517112</c:v>
                </c:pt>
                <c:pt idx="2">
                  <c:v>27409.068514591851</c:v>
                </c:pt>
                <c:pt idx="3">
                  <c:v>42746.584758518373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WEL!$B$210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18944"/>
        <c:axId val="166820480"/>
      </c:lineChart>
      <c:catAx>
        <c:axId val="1668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66820480"/>
        <c:crosses val="autoZero"/>
        <c:auto val="1"/>
        <c:lblAlgn val="ctr"/>
        <c:lblOffset val="100"/>
        <c:noMultiLvlLbl val="0"/>
      </c:catAx>
      <c:valAx>
        <c:axId val="166820480"/>
        <c:scaling>
          <c:orientation val="minMax"/>
          <c:max val="45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66818944"/>
        <c:crosses val="autoZero"/>
        <c:crossBetween val="midCat"/>
        <c:majorUnit val="9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8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40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WEL!$C$204:$F$204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WEL!$C$212:$F$212</c:f>
              <c:numCache>
                <c:formatCode>_(* #,##0.00_);_(* \(#,##0.00\);_(* "-"??_);_(@_)</c:formatCode>
                <c:ptCount val="4"/>
                <c:pt idx="0">
                  <c:v>0.11989387182175221</c:v>
                </c:pt>
                <c:pt idx="1">
                  <c:v>0.11989781869245725</c:v>
                </c:pt>
                <c:pt idx="2">
                  <c:v>9.6666204216508872E-2</c:v>
                </c:pt>
                <c:pt idx="3">
                  <c:v>0.13267629583112181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444588449208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015680"/>
        <c:axId val="181017216"/>
      </c:lineChart>
      <c:catAx>
        <c:axId val="18101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1017216"/>
        <c:crosses val="autoZero"/>
        <c:auto val="1"/>
        <c:lblAlgn val="ctr"/>
        <c:lblOffset val="100"/>
        <c:noMultiLvlLbl val="0"/>
      </c:catAx>
      <c:valAx>
        <c:axId val="181017216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1015680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8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68"/>
          <c:w val="0.79809047321242665"/>
          <c:h val="0.72979551178440483"/>
        </c:manualLayout>
      </c:layout>
      <c:lineChart>
        <c:grouping val="standard"/>
        <c:varyColors val="0"/>
        <c:ser>
          <c:idx val="0"/>
          <c:order val="0"/>
          <c:tx>
            <c:strRef>
              <c:f>WEL!$B$206</c:f>
              <c:strCache>
                <c:ptCount val="1"/>
                <c:pt idx="0">
                  <c:v>WEL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WEL!$C$206:$F$206</c:f>
              <c:numCache>
                <c:formatCode>_(* #,##0.00_);_(* \(#,##0.00\);_(* "-"??_);_(@_)</c:formatCode>
                <c:ptCount val="4"/>
                <c:pt idx="0">
                  <c:v>451.61566798754927</c:v>
                </c:pt>
                <c:pt idx="1">
                  <c:v>458.32732640476127</c:v>
                </c:pt>
                <c:pt idx="2">
                  <c:v>378.80130996288062</c:v>
                </c:pt>
                <c:pt idx="3">
                  <c:v>601.92573133685744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WEL!$B$207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6.376999507358656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061504"/>
        <c:axId val="181063040"/>
      </c:lineChart>
      <c:catAx>
        <c:axId val="18106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1063040"/>
        <c:crosses val="autoZero"/>
        <c:auto val="1"/>
        <c:lblAlgn val="ctr"/>
        <c:lblOffset val="100"/>
        <c:noMultiLvlLbl val="0"/>
      </c:catAx>
      <c:valAx>
        <c:axId val="181063040"/>
        <c:scaling>
          <c:orientation val="minMax"/>
          <c:max val="605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1061504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8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309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WEL!$B$162</c:f>
              <c:strCache>
                <c:ptCount val="1"/>
                <c:pt idx="0">
                  <c:v>WEL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WEL!$C$162:$F$162</c:f>
              <c:numCache>
                <c:formatCode>_(* #,##0.00_);_(* \(#,##0.00\);_(* "-"??_);_(@_)</c:formatCode>
                <c:ptCount val="4"/>
                <c:pt idx="0">
                  <c:v>198.43189630803587</c:v>
                </c:pt>
                <c:pt idx="1">
                  <c:v>199.59946725922643</c:v>
                </c:pt>
                <c:pt idx="2">
                  <c:v>204.66692992948268</c:v>
                </c:pt>
                <c:pt idx="3">
                  <c:v>212.55066137249742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WEL!$B$163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2340130127319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761728"/>
        <c:axId val="180763264"/>
      </c:lineChart>
      <c:catAx>
        <c:axId val="18076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0763264"/>
        <c:crosses val="autoZero"/>
        <c:auto val="1"/>
        <c:lblAlgn val="ctr"/>
        <c:lblOffset val="100"/>
        <c:noMultiLvlLbl val="0"/>
      </c:catAx>
      <c:valAx>
        <c:axId val="180763264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0761728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8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3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WEL!$C$160:$F$160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WEL!$C$165:$F$165</c:f>
              <c:numCache>
                <c:formatCode>_(* #,##0.00_);_(* \(#,##0.00\);_(* "-"??_);_(@_)</c:formatCode>
                <c:ptCount val="4"/>
                <c:pt idx="0">
                  <c:v>3193.4792729465926</c:v>
                </c:pt>
                <c:pt idx="1">
                  <c:v>3233.0687850175377</c:v>
                </c:pt>
                <c:pt idx="2">
                  <c:v>3420.2875642944837</c:v>
                </c:pt>
                <c:pt idx="3">
                  <c:v>3516.9407791170124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46592"/>
        <c:axId val="180848128"/>
      </c:lineChart>
      <c:catAx>
        <c:axId val="18084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0848128"/>
        <c:crosses val="autoZero"/>
        <c:auto val="1"/>
        <c:lblAlgn val="ctr"/>
        <c:lblOffset val="100"/>
        <c:noMultiLvlLbl val="0"/>
      </c:catAx>
      <c:valAx>
        <c:axId val="180848128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80846592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8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26327073267044"/>
          <c:y val="0.13550222222222241"/>
          <c:w val="0.7695508593816110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WEL!$B$168</c:f>
              <c:strCache>
                <c:ptCount val="1"/>
                <c:pt idx="0">
                  <c:v>WEL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WEL!$C$168:$F$168</c:f>
              <c:numCache>
                <c:formatCode>_(* #,##0.00_);_(* \(#,##0.00\);_(* "-"??_);_(@_)</c:formatCode>
                <c:ptCount val="4"/>
                <c:pt idx="0">
                  <c:v>13.906452135025043</c:v>
                </c:pt>
                <c:pt idx="1">
                  <c:v>14.497929061338036</c:v>
                </c:pt>
                <c:pt idx="2">
                  <c:v>14.809161841753047</c:v>
                </c:pt>
                <c:pt idx="3">
                  <c:v>15.09457793349239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WEL!$B$169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4.22340130127319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947968"/>
        <c:axId val="180949760"/>
      </c:lineChart>
      <c:catAx>
        <c:axId val="18094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0949760"/>
        <c:crosses val="autoZero"/>
        <c:auto val="1"/>
        <c:lblAlgn val="ctr"/>
        <c:lblOffset val="100"/>
        <c:noMultiLvlLbl val="0"/>
      </c:catAx>
      <c:valAx>
        <c:axId val="180949760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0947968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8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913"/>
          <c:h val="0.7759916666667012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WEL!$B$178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WEL!$C$178:$D$178</c:f>
              <c:numCache>
                <c:formatCode>_-* #,##0_-;\-* #,##0_-;_-* "-"??_-;_-@_-</c:formatCode>
                <c:ptCount val="2"/>
                <c:pt idx="0">
                  <c:v>6411.177852200155</c:v>
                </c:pt>
                <c:pt idx="1">
                  <c:v>7060.5782999999992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81002240"/>
        <c:axId val="181003776"/>
      </c:barChart>
      <c:lineChart>
        <c:grouping val="standard"/>
        <c:varyColors val="0"/>
        <c:ser>
          <c:idx val="1"/>
          <c:order val="0"/>
          <c:tx>
            <c:strRef>
              <c:f>WEL!$B$179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WEL!$C$177:$D$177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WEL!$C$179:$D$179</c:f>
              <c:numCache>
                <c:formatCode>_-* #,##0_-;\-* #,##0_-;_-* "-"??_-;_-@_-</c:formatCode>
                <c:ptCount val="2"/>
                <c:pt idx="0">
                  <c:v>5955.548630654127</c:v>
                </c:pt>
                <c:pt idx="1">
                  <c:v>5795.6820646578335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WEL!$B$180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WEL!$C$177:$D$177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WEL!$C$180:$D$180</c:f>
              <c:numCache>
                <c:formatCode>_-* #,##0_-;\-* #,##0_-;_-* "-"??_-;_-@_-</c:formatCode>
                <c:ptCount val="2"/>
                <c:pt idx="1">
                  <c:v>7046.2655277411013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002240"/>
        <c:axId val="181003776"/>
      </c:lineChart>
      <c:catAx>
        <c:axId val="1810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1003776"/>
        <c:crosses val="autoZero"/>
        <c:auto val="1"/>
        <c:lblAlgn val="ctr"/>
        <c:lblOffset val="100"/>
        <c:noMultiLvlLbl val="0"/>
      </c:catAx>
      <c:valAx>
        <c:axId val="18100377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1002240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376"/>
          <c:y val="3.5277777777779608E-2"/>
          <c:w val="0.7717227593675075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WEL!$V$177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7.4782045639367009E-2"/>
                  <c:y val="-2.939861111111110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WEL!$W$177:$AC$177</c:f>
              <c:numCache>
                <c:formatCode>General</c:formatCode>
                <c:ptCount val="7"/>
                <c:pt idx="0">
                  <c:v>5955.548630654127</c:v>
                </c:pt>
                <c:pt idx="1">
                  <c:v>5795.6820646578335</c:v>
                </c:pt>
                <c:pt idx="2">
                  <c:v>5746.8916191914323</c:v>
                </c:pt>
                <c:pt idx="3">
                  <c:v>5515.396526872124</c:v>
                </c:pt>
                <c:pt idx="4">
                  <c:v>5544.463175235087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WEL!$V$178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8.838611111111111E-2"/>
                  <c:y val="-2.939861111111110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WEL!$W$178:$AC$178</c:f>
              <c:numCache>
                <c:formatCode>General</c:formatCode>
                <c:ptCount val="7"/>
                <c:pt idx="1">
                  <c:v>7046.2655277411013</c:v>
                </c:pt>
                <c:pt idx="2">
                  <c:v>6600.7186252054644</c:v>
                </c:pt>
                <c:pt idx="3">
                  <c:v>6534.4943251327095</c:v>
                </c:pt>
                <c:pt idx="4">
                  <c:v>6279.7854786990374</c:v>
                </c:pt>
                <c:pt idx="5">
                  <c:v>6300.1621864137314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WEL!$V$179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77777777778945E-5"/>
                  <c:y val="-4.11578703703703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WEL!$W$179:$AC$179</c:f>
              <c:numCache>
                <c:formatCode>General</c:formatCode>
                <c:ptCount val="7"/>
                <c:pt idx="2">
                  <c:v>7001.4408837561732</c:v>
                </c:pt>
                <c:pt idx="3">
                  <c:v>6992.2674161791856</c:v>
                </c:pt>
                <c:pt idx="4">
                  <c:v>6708.4276405946985</c:v>
                </c:pt>
                <c:pt idx="5">
                  <c:v>6749.4882740788617</c:v>
                </c:pt>
                <c:pt idx="6">
                  <c:v>6712.3577297996117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WEL!$V$176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021559720334209E-5"/>
                  <c:y val="-0.1605434016981674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WEL!$C$178:$I$178</c:f>
              <c:numCache>
                <c:formatCode>_-* #,##0_-;\-* #,##0_-;_-* "-"??_-;_-@_-</c:formatCode>
                <c:ptCount val="7"/>
                <c:pt idx="0">
                  <c:v>6411.177852200155</c:v>
                </c:pt>
                <c:pt idx="1">
                  <c:v>7060.5782999999992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138560"/>
        <c:axId val="181140096"/>
      </c:lineChart>
      <c:catAx>
        <c:axId val="18113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1140096"/>
        <c:crosses val="autoZero"/>
        <c:auto val="1"/>
        <c:lblAlgn val="ctr"/>
        <c:lblOffset val="100"/>
        <c:noMultiLvlLbl val="0"/>
      </c:catAx>
      <c:valAx>
        <c:axId val="181140096"/>
        <c:scaling>
          <c:orientation val="minMax"/>
          <c:max val="8000"/>
          <c:min val="4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1138560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8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7244"/>
          <c:h val="0.77578287037039195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WEL!$B$222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WEL!$C$222:$D$222</c:f>
              <c:numCache>
                <c:formatCode>_-* #,##0_-;\-* #,##0_-;_-* "-"??_-;_-@_-</c:formatCode>
                <c:ptCount val="2"/>
                <c:pt idx="0">
                  <c:v>29410.509162242997</c:v>
                </c:pt>
                <c:pt idx="1">
                  <c:v>43927.18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81179904"/>
        <c:axId val="181181440"/>
      </c:barChart>
      <c:lineChart>
        <c:grouping val="standard"/>
        <c:varyColors val="0"/>
        <c:ser>
          <c:idx val="1"/>
          <c:order val="0"/>
          <c:tx>
            <c:strRef>
              <c:f>WEL!$B$223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WEL!$C$221:$D$221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WEL!$C$223:$D$223</c:f>
              <c:numCache>
                <c:formatCode>_-* #,##0_-;\-* #,##0_-;_-* "-"??_-;_-@_-</c:formatCode>
                <c:ptCount val="2"/>
                <c:pt idx="0">
                  <c:v>28579.594590277651</c:v>
                </c:pt>
                <c:pt idx="1">
                  <c:v>26213.227072975078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WEL!$B$224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WEL!$C$221:$D$221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WEL!$C$224:$D$224</c:f>
              <c:numCache>
                <c:formatCode>_-* #,##0_-;\-* #,##0_-;_-* "-"??_-;_-@_-</c:formatCode>
                <c:ptCount val="2"/>
                <c:pt idx="1">
                  <c:v>35650.367801577289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179904"/>
        <c:axId val="181181440"/>
      </c:lineChart>
      <c:catAx>
        <c:axId val="18117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1181440"/>
        <c:crosses val="autoZero"/>
        <c:auto val="1"/>
        <c:lblAlgn val="ctr"/>
        <c:lblOffset val="100"/>
        <c:noMultiLvlLbl val="0"/>
      </c:catAx>
      <c:valAx>
        <c:axId val="18118144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1179904"/>
        <c:crosses val="autoZero"/>
        <c:crossBetween val="between"/>
        <c:majorUnit val="10000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898E-3"/>
          <c:w val="0.90316284722220408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1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1254479012717524E-7"/>
                  <c:y val="3.606435915618292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B</a:t>
                    </a:r>
                    <a:r>
                      <a:rPr lang="en-US"/>
                      <a:t>uller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Buller!$C$212:$F$212</c:f>
              <c:numCache>
                <c:formatCode>_(* #,##0.00_);_(* \(#,##0.00\);_(* "-"??_);_(@_)</c:formatCode>
                <c:ptCount val="4"/>
                <c:pt idx="0">
                  <c:v>4.4730705066745473E-2</c:v>
                </c:pt>
                <c:pt idx="1">
                  <c:v>4.8226058873128121E-2</c:v>
                </c:pt>
                <c:pt idx="2">
                  <c:v>5.9620714913209277E-2</c:v>
                </c:pt>
                <c:pt idx="3">
                  <c:v>5.0657522186620139E-2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cat>
            <c:numRef>
              <c:f>Buller!$C$204:$F$204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573312"/>
        <c:axId val="120607872"/>
      </c:lineChart>
      <c:catAx>
        <c:axId val="12057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0607872"/>
        <c:crosses val="autoZero"/>
        <c:auto val="1"/>
        <c:lblAlgn val="ctr"/>
        <c:lblOffset val="100"/>
        <c:noMultiLvlLbl val="0"/>
      </c:catAx>
      <c:valAx>
        <c:axId val="120607872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0573312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8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WEL!$V$221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9.2494653744535069E-2"/>
                  <c:y val="2.939722222222224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WEL!$W$221:$AC$221</c:f>
              <c:numCache>
                <c:formatCode>General</c:formatCode>
                <c:ptCount val="7"/>
                <c:pt idx="0">
                  <c:v>28579.594590277651</c:v>
                </c:pt>
                <c:pt idx="1">
                  <c:v>26213.227072975078</c:v>
                </c:pt>
                <c:pt idx="2">
                  <c:v>25364.511252333268</c:v>
                </c:pt>
                <c:pt idx="3">
                  <c:v>26253.467909243576</c:v>
                </c:pt>
                <c:pt idx="4">
                  <c:v>23526.322014564532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WEL!$V$222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1476163747110142"/>
                  <c:y val="6.529434697855748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WEL!$W$222:$AC$222</c:f>
              <c:numCache>
                <c:formatCode>General</c:formatCode>
                <c:ptCount val="7"/>
                <c:pt idx="1">
                  <c:v>35650.367801577289</c:v>
                </c:pt>
                <c:pt idx="2">
                  <c:v>26128.323122444919</c:v>
                </c:pt>
                <c:pt idx="3">
                  <c:v>27363.18609770991</c:v>
                </c:pt>
                <c:pt idx="4">
                  <c:v>28083.601143572712</c:v>
                </c:pt>
                <c:pt idx="5">
                  <c:v>30198.605479605696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WEL!$V$223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0"/>
                  <c:y val="6.6388888888888904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WEL!$W$223:$AC$223</c:f>
              <c:numCache>
                <c:formatCode>General</c:formatCode>
                <c:ptCount val="7"/>
                <c:pt idx="2">
                  <c:v>39172.946606820944</c:v>
                </c:pt>
                <c:pt idx="3">
                  <c:v>38107.78332832062</c:v>
                </c:pt>
                <c:pt idx="4">
                  <c:v>38402.215444157722</c:v>
                </c:pt>
                <c:pt idx="5">
                  <c:v>31278.448614802845</c:v>
                </c:pt>
                <c:pt idx="6">
                  <c:v>28940.093441952165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WEL!$V$220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7.0717157767206135E-2"/>
                  <c:y val="-0.5372124756335282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WEL!$W$220:$AC$220</c:f>
              <c:numCache>
                <c:formatCode>General</c:formatCode>
                <c:ptCount val="7"/>
                <c:pt idx="0">
                  <c:v>29410.509162242997</c:v>
                </c:pt>
                <c:pt idx="1">
                  <c:v>43927.18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00224"/>
        <c:axId val="181342976"/>
      </c:lineChart>
      <c:catAx>
        <c:axId val="18130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1342976"/>
        <c:crosses val="autoZero"/>
        <c:auto val="1"/>
        <c:lblAlgn val="ctr"/>
        <c:lblOffset val="100"/>
        <c:noMultiLvlLbl val="0"/>
      </c:catAx>
      <c:valAx>
        <c:axId val="181342976"/>
        <c:scaling>
          <c:orientation val="minMax"/>
          <c:max val="45000"/>
          <c:min val="2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1300224"/>
        <c:crosses val="autoZero"/>
        <c:crossBetween val="midCat"/>
        <c:majorUnit val="5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8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28"/>
          <c:y val="6.4675925925925928E-2"/>
          <c:w val="0.81851074901333309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WEL!$B$237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5495887607361E-3"/>
                  <c:y val="-3.5277777777778685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WEL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WEL!$C$237:$F$237</c:f>
              <c:numCache>
                <c:formatCode>_(* #,##0.00_);_(* \(#,##0.00\);_(* "-"??_);_(@_)</c:formatCode>
                <c:ptCount val="4"/>
                <c:pt idx="0">
                  <c:v>1.41089788</c:v>
                </c:pt>
                <c:pt idx="1">
                  <c:v>1.6408640299999999</c:v>
                </c:pt>
                <c:pt idx="2">
                  <c:v>1.1609167599999999</c:v>
                </c:pt>
                <c:pt idx="3">
                  <c:v>1.2553997399999999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WEL!$B$239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-6.46763888888888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68320"/>
        <c:axId val="181369856"/>
      </c:lineChart>
      <c:catAx>
        <c:axId val="18136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1369856"/>
        <c:crosses val="autoZero"/>
        <c:auto val="1"/>
        <c:lblAlgn val="ctr"/>
        <c:lblOffset val="100"/>
        <c:noMultiLvlLbl val="0"/>
      </c:catAx>
      <c:valAx>
        <c:axId val="181369856"/>
        <c:scaling>
          <c:orientation val="minMax"/>
          <c:max val="4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136832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54" l="0.70000000000000062" r="0.70000000000000062" t="0.75000000000001454" header="0.30000000000000032" footer="0.30000000000000032"/>
    <c:pageSetup/>
  </c:printSettings>
</c:chartSpace>
</file>

<file path=xl/charts/chart8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33"/>
          <c:y val="6.4675925925925928E-2"/>
          <c:w val="0.82732185387980295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WEL!$B$230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5495887607361E-3"/>
                  <c:y val="-2.9398148148148038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WEL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WEL!$C$230:$F$230</c:f>
              <c:numCache>
                <c:formatCode>_(* #,##0.00_);_(* \(#,##0.00\);_(* "-"??_);_(@_)</c:formatCode>
                <c:ptCount val="4"/>
                <c:pt idx="0">
                  <c:v>80.13</c:v>
                </c:pt>
                <c:pt idx="1">
                  <c:v>84.1621375</c:v>
                </c:pt>
                <c:pt idx="2">
                  <c:v>74.980100999999991</c:v>
                </c:pt>
                <c:pt idx="3">
                  <c:v>82.552322000000004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WEL!$B$232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-5.879675925925942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WEL!$C$232:$F$232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698560"/>
        <c:axId val="181700096"/>
      </c:lineChart>
      <c:catAx>
        <c:axId val="18169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1700096"/>
        <c:crosses val="autoZero"/>
        <c:auto val="1"/>
        <c:lblAlgn val="ctr"/>
        <c:lblOffset val="100"/>
        <c:noMultiLvlLbl val="0"/>
      </c:catAx>
      <c:valAx>
        <c:axId val="181700096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169856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7190395943069"/>
          <c:y val="3.9745409651868735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Wellington!$B$26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0430195162858931"/>
                  <c:y val="-0.388378955824713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Wellington!$E$25:$F$25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Wellington!$E$26:$F$26</c:f>
              <c:numCache>
                <c:formatCode>0</c:formatCode>
                <c:ptCount val="2"/>
                <c:pt idx="0">
                  <c:v>1866.6177424567159</c:v>
                </c:pt>
                <c:pt idx="1">
                  <c:v>1936.5443225283709</c:v>
                </c:pt>
              </c:numCache>
            </c:numRef>
          </c:val>
        </c:ser>
        <c:ser>
          <c:idx val="1"/>
          <c:order val="1"/>
          <c:tx>
            <c:strRef>
              <c:f>Wellington!$B$27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1763014517865168"/>
                  <c:y val="-6.601510721247563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Wellington!$E$25:$F$25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Wellington!$E$27:$F$27</c:f>
              <c:numCache>
                <c:formatCode>0</c:formatCode>
                <c:ptCount val="2"/>
                <c:pt idx="0">
                  <c:v>692.80806229958773</c:v>
                </c:pt>
                <c:pt idx="1">
                  <c:v>715.2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487488"/>
        <c:axId val="179489024"/>
      </c:areaChart>
      <c:catAx>
        <c:axId val="17948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9489024"/>
        <c:crosses val="autoZero"/>
        <c:auto val="1"/>
        <c:lblAlgn val="ctr"/>
        <c:lblOffset val="100"/>
        <c:noMultiLvlLbl val="0"/>
      </c:catAx>
      <c:valAx>
        <c:axId val="179489024"/>
        <c:scaling>
          <c:orientation val="minMax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9487488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Wellington!$B$28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Wellington!$E$25:$F$25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Wellington!$E$28:$F$28</c:f>
              <c:numCache>
                <c:formatCode>0</c:formatCode>
                <c:ptCount val="2"/>
                <c:pt idx="0">
                  <c:v>484.96564360971138</c:v>
                </c:pt>
                <c:pt idx="1">
                  <c:v>497.580120156193</c:v>
                </c:pt>
              </c:numCache>
            </c:numRef>
          </c:val>
        </c:ser>
        <c:ser>
          <c:idx val="1"/>
          <c:order val="1"/>
          <c:tx>
            <c:strRef>
              <c:f>Wellington!$B$29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Wellington!$E$25:$F$25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Wellington!$E$29:$F$29</c:f>
              <c:numCache>
                <c:formatCode>0</c:formatCode>
                <c:ptCount val="2"/>
                <c:pt idx="0">
                  <c:v>207.84241868987633</c:v>
                </c:pt>
                <c:pt idx="1">
                  <c:v>217.61987984380698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522560"/>
        <c:axId val="179524352"/>
      </c:barChart>
      <c:catAx>
        <c:axId val="1795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9524352"/>
        <c:crosses val="autoZero"/>
        <c:auto val="1"/>
        <c:lblAlgn val="ctr"/>
        <c:lblOffset val="100"/>
        <c:noMultiLvlLbl val="0"/>
      </c:catAx>
      <c:valAx>
        <c:axId val="179524352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952256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406"/>
          <c:w val="0.89745624999998186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Wellington!$B$40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Wellington!$E$39:$F$39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Wellington!$E$40:$F$40</c:f>
              <c:numCache>
                <c:formatCode>0</c:formatCode>
                <c:ptCount val="2"/>
                <c:pt idx="0">
                  <c:v>150045.77210261108</c:v>
                </c:pt>
                <c:pt idx="1">
                  <c:v>148082</c:v>
                </c:pt>
              </c:numCache>
            </c:numRef>
          </c:val>
        </c:ser>
        <c:ser>
          <c:idx val="1"/>
          <c:order val="1"/>
          <c:tx>
            <c:strRef>
              <c:f>Wellington!$B$41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rgbClr val="A9C6E9"/>
            </a:solidFill>
          </c:spPr>
          <c:invertIfNegative val="0"/>
          <c:cat>
            <c:numRef>
              <c:f>Wellington!$E$39:$F$39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Wellington!$E$41:$F$41</c:f>
              <c:numCache>
                <c:formatCode>0</c:formatCode>
                <c:ptCount val="2"/>
                <c:pt idx="0">
                  <c:v>3473.8962193689194</c:v>
                </c:pt>
                <c:pt idx="1">
                  <c:v>3401.5493000000001</c:v>
                </c:pt>
              </c:numCache>
            </c:numRef>
          </c:val>
        </c:ser>
        <c:ser>
          <c:idx val="3"/>
          <c:order val="2"/>
          <c:tx>
            <c:strRef>
              <c:f>Wellington!$B$42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Wellington!$E$39:$F$39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Wellington!$E$42:$F$42</c:f>
              <c:numCache>
                <c:formatCode>0</c:formatCode>
                <c:ptCount val="2"/>
                <c:pt idx="0">
                  <c:v>308.36220534612374</c:v>
                </c:pt>
                <c:pt idx="1">
                  <c:v>239.78279000000001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559424"/>
        <c:axId val="181805824"/>
      </c:barChart>
      <c:catAx>
        <c:axId val="1795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1805824"/>
        <c:crosses val="autoZero"/>
        <c:auto val="1"/>
        <c:lblAlgn val="ctr"/>
        <c:lblOffset val="100"/>
        <c:noMultiLvlLbl val="0"/>
      </c:catAx>
      <c:valAx>
        <c:axId val="181805824"/>
        <c:scaling>
          <c:orientation val="minMax"/>
          <c:max val="16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79559424"/>
        <c:crosses val="autoZero"/>
        <c:crossBetween val="between"/>
        <c:majorUnit val="20000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72"/>
          <c:h val="0.2117129629629687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3076E-2"/>
          <c:y val="9.9262962962965245E-2"/>
          <c:w val="0.81073204086216011"/>
          <c:h val="0.8046537037037037"/>
        </c:manualLayout>
      </c:layout>
      <c:lineChart>
        <c:grouping val="standard"/>
        <c:varyColors val="0"/>
        <c:ser>
          <c:idx val="1"/>
          <c:order val="0"/>
          <c:tx>
            <c:strRef>
              <c:f>Wellington!$B$46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5.244755244755244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5.244755244755244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Wellington!$E$45:$F$45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Wellington!$E$46:$F$46</c:f>
              <c:numCache>
                <c:formatCode>0.0</c:formatCode>
                <c:ptCount val="2"/>
                <c:pt idx="0">
                  <c:v>100</c:v>
                </c:pt>
                <c:pt idx="1">
                  <c:v>98.691217969628539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Wellington!$B$47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Wellington!$E$45:$F$45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Wellington!$E$47:$F$47</c:f>
              <c:numCache>
                <c:formatCode>0.0</c:formatCode>
                <c:ptCount val="2"/>
                <c:pt idx="0">
                  <c:v>100</c:v>
                </c:pt>
                <c:pt idx="1">
                  <c:v>97.917412760762829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Wellington!$B$48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3"/>
              <c:layout>
                <c:manualLayout>
                  <c:x val="0"/>
                  <c:y val="-3.496503496503496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Wellington!$E$45:$F$45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Wellington!$E$48:$F$48</c:f>
              <c:numCache>
                <c:formatCode>0.0</c:formatCode>
                <c:ptCount val="2"/>
                <c:pt idx="0">
                  <c:v>100</c:v>
                </c:pt>
                <c:pt idx="1">
                  <c:v>77.760109975492554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844992"/>
        <c:axId val="181859072"/>
      </c:lineChart>
      <c:catAx>
        <c:axId val="18184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1859072"/>
        <c:crossesAt val="0"/>
        <c:auto val="1"/>
        <c:lblAlgn val="ctr"/>
        <c:lblOffset val="100"/>
        <c:noMultiLvlLbl val="0"/>
      </c:catAx>
      <c:valAx>
        <c:axId val="181859072"/>
        <c:scaling>
          <c:orientation val="minMax"/>
          <c:max val="110"/>
          <c:min val="7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1844992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3038"/>
          <c:h val="0.702040277777791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Wellington!$B$54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Wellington!$E$53:$F$53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Wellington!$E$54:$F$54</c:f>
              <c:numCache>
                <c:formatCode>0</c:formatCode>
                <c:ptCount val="2"/>
                <c:pt idx="0">
                  <c:v>97908.334285252335</c:v>
                </c:pt>
                <c:pt idx="1">
                  <c:v>95975.591</c:v>
                </c:pt>
              </c:numCache>
            </c:numRef>
          </c:val>
        </c:ser>
        <c:ser>
          <c:idx val="1"/>
          <c:order val="1"/>
          <c:tx>
            <c:strRef>
              <c:f>Wellington!$B$55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Wellington!$E$53:$F$53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Wellington!$E$55:$F$55</c:f>
              <c:numCache>
                <c:formatCode>0</c:formatCode>
                <c:ptCount val="2"/>
                <c:pt idx="0">
                  <c:v>18651.613601897006</c:v>
                </c:pt>
                <c:pt idx="1">
                  <c:v>18456.884999999998</c:v>
                </c:pt>
              </c:numCache>
            </c:numRef>
          </c:val>
        </c:ser>
        <c:ser>
          <c:idx val="2"/>
          <c:order val="2"/>
          <c:tx>
            <c:strRef>
              <c:f>Wellington!$B$56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Wellington!$E$53:$F$53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Wellington!$E$56:$F$56</c:f>
              <c:numCache>
                <c:formatCode>0</c:formatCode>
                <c:ptCount val="2"/>
                <c:pt idx="0">
                  <c:v>30775.225916574596</c:v>
                </c:pt>
                <c:pt idx="1">
                  <c:v>31808.23</c:v>
                </c:pt>
              </c:numCache>
            </c:numRef>
          </c:val>
        </c:ser>
        <c:ser>
          <c:idx val="3"/>
          <c:order val="3"/>
          <c:tx>
            <c:strRef>
              <c:f>Wellington!$B$57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Wellington!$E$53:$F$53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Wellington!$E$57:$F$57</c:f>
              <c:numCache>
                <c:formatCode>0</c:formatCode>
                <c:ptCount val="2"/>
                <c:pt idx="0">
                  <c:v>2710.6029855298962</c:v>
                </c:pt>
                <c:pt idx="1">
                  <c:v>1841.2909999999999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912320"/>
        <c:axId val="181913856"/>
      </c:barChart>
      <c:catAx>
        <c:axId val="1819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1913856"/>
        <c:crosses val="autoZero"/>
        <c:auto val="1"/>
        <c:lblAlgn val="ctr"/>
        <c:lblOffset val="100"/>
        <c:noMultiLvlLbl val="0"/>
      </c:catAx>
      <c:valAx>
        <c:axId val="18191385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1912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20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1438915701588865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Wellington!$B$61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Small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NZ"/>
                      <a:t>Small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4.1675652979340337E-6"/>
                  <c:y val="-5.8796296296297901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Wellington!$E$60:$F$60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Wellington!$E$61:$F$61</c:f>
              <c:numCache>
                <c:formatCode>0.0</c:formatCode>
                <c:ptCount val="2"/>
                <c:pt idx="0">
                  <c:v>100</c:v>
                </c:pt>
                <c:pt idx="1">
                  <c:v>98.0259665335319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Wellington!$B$62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1"/>
              <c:layout>
                <c:manualLayout>
                  <c:x val="0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Medium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0837826489671477E-6"/>
                  <c:y val="1.939768518518524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Wellington!$E$60:$F$60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Wellington!$E$62:$F$62</c:f>
              <c:numCache>
                <c:formatCode>0.0</c:formatCode>
                <c:ptCount val="2"/>
                <c:pt idx="0">
                  <c:v>100</c:v>
                </c:pt>
                <c:pt idx="1">
                  <c:v>98.955969139971884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Wellington!$B$63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NZ"/>
                      <a:t>Large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5.2094566224177027E-6"/>
                  <c:y val="-5.8805555555556093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Wellington!$E$60:$F$60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Wellington!$E$63:$F$63</c:f>
              <c:numCache>
                <c:formatCode>0.0</c:formatCode>
                <c:ptCount val="2"/>
                <c:pt idx="0">
                  <c:v>100</c:v>
                </c:pt>
                <c:pt idx="1">
                  <c:v>103.35660926170182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Wellington!$B$64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1.7638888888889002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1.1759259259259261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Wellington!$E$60:$F$60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Wellington!$E$64:$F$64</c:f>
              <c:numCache>
                <c:formatCode>0.0</c:formatCode>
                <c:ptCount val="2"/>
                <c:pt idx="0">
                  <c:v>100</c:v>
                </c:pt>
                <c:pt idx="1">
                  <c:v>67.929202831599696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54432"/>
        <c:axId val="181955968"/>
      </c:lineChart>
      <c:catAx>
        <c:axId val="18195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1955968"/>
        <c:crosses val="autoZero"/>
        <c:auto val="1"/>
        <c:lblAlgn val="ctr"/>
        <c:lblOffset val="100"/>
        <c:noMultiLvlLbl val="0"/>
      </c:catAx>
      <c:valAx>
        <c:axId val="181955968"/>
        <c:scaling>
          <c:orientation val="minMax"/>
          <c:max val="110"/>
          <c:min val="6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195443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460351024323199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v>Small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3.16298067344092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-2.530384538752788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Small</a:t>
                    </a:r>
                  </a:p>
                </c:rich>
              </c:tx>
              <c:showLegendKey val="0"/>
              <c:showVal val="1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4.1354918846777024E-3"/>
                  <c:y val="-2.805987248455952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Wellington!$E$83:$F$83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Wellington!$E$84:$F$84</c:f>
              <c:numCache>
                <c:formatCode>0.00</c:formatCode>
                <c:ptCount val="2"/>
                <c:pt idx="0">
                  <c:v>8.0181837817048436</c:v>
                </c:pt>
                <c:pt idx="1">
                  <c:v>8.2421513260829187</c:v>
                </c:pt>
              </c:numCache>
            </c:numRef>
          </c:val>
          <c:smooth val="0"/>
        </c:ser>
        <c:ser>
          <c:idx val="1"/>
          <c:order val="1"/>
          <c:tx>
            <c:v>Medium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3.16298067344092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-2.5303845387527883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Medium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4.1590609520707183E-3"/>
                  <c:y val="-4.06340904562661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Wellington!$E$83:$F$83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Wellington!$E$85:$F$85</c:f>
              <c:numCache>
                <c:formatCode>0.00</c:formatCode>
                <c:ptCount val="2"/>
                <c:pt idx="0">
                  <c:v>4.7789338841341271</c:v>
                </c:pt>
                <c:pt idx="1">
                  <c:v>4.8466555833008789</c:v>
                </c:pt>
              </c:numCache>
            </c:numRef>
          </c:val>
          <c:smooth val="0"/>
        </c:ser>
        <c:ser>
          <c:idx val="2"/>
          <c:order val="2"/>
          <c:tx>
            <c:v>Large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1.89778840406455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-2.5303845387527953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4.1513218553147734E-3"/>
                  <c:y val="-2.8505678421996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Wellington!$E$83:$F$83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Wellington!$E$86:$F$86</c:f>
              <c:numCache>
                <c:formatCode>0.00</c:formatCode>
                <c:ptCount val="2"/>
                <c:pt idx="0">
                  <c:v>3.6325924539721868</c:v>
                </c:pt>
                <c:pt idx="1">
                  <c:v>3.8078390230454362</c:v>
                </c:pt>
              </c:numCache>
            </c:numRef>
          </c:val>
          <c:smooth val="0"/>
        </c:ser>
        <c:ser>
          <c:idx val="3"/>
          <c:order val="3"/>
          <c:tx>
            <c:v>Largest 5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1.897788404064558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1.8977884040645581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4.1699660429540984E-3"/>
                  <c:y val="-2.887427774457139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Wellington!$E$83:$F$83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Wellington!$E$87:$F$87</c:f>
              <c:numCache>
                <c:formatCode>0.00</c:formatCode>
                <c:ptCount val="2"/>
                <c:pt idx="0">
                  <c:v>5.8599690436113354</c:v>
                </c:pt>
                <c:pt idx="1">
                  <c:v>2.4788951932986971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090368"/>
        <c:axId val="182116736"/>
      </c:lineChart>
      <c:catAx>
        <c:axId val="18209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2116736"/>
        <c:crosses val="autoZero"/>
        <c:auto val="1"/>
        <c:lblAlgn val="ctr"/>
        <c:lblOffset val="100"/>
        <c:noMultiLvlLbl val="0"/>
      </c:catAx>
      <c:valAx>
        <c:axId val="18211673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2090368"/>
        <c:crosses val="autoZero"/>
        <c:crossBetween val="midCat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608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Buller!$B$162</c:f>
              <c:strCache>
                <c:ptCount val="1"/>
                <c:pt idx="0">
                  <c:v>Buller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79415130972552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B</a:t>
                    </a:r>
                    <a:r>
                      <a:rPr lang="en-US"/>
                      <a:t>uller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Buller!$C$160:$F$160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Buller!$C$162:$F$162</c:f>
              <c:numCache>
                <c:formatCode>_(* #,##0.00_);_(* \(#,##0.00\);_(* "-"??_);_(@_)</c:formatCode>
                <c:ptCount val="4"/>
                <c:pt idx="0">
                  <c:v>669.0700584106105</c:v>
                </c:pt>
                <c:pt idx="1">
                  <c:v>441.69212123143001</c:v>
                </c:pt>
                <c:pt idx="2">
                  <c:v>580.84215455385515</c:v>
                </c:pt>
                <c:pt idx="3">
                  <c:v>642.98150301945884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cat>
            <c:numRef>
              <c:f>Buller!$C$160:$F$160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29888"/>
        <c:axId val="120635776"/>
      </c:lineChart>
      <c:catAx>
        <c:axId val="12062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0635776"/>
        <c:crosses val="autoZero"/>
        <c:auto val="1"/>
        <c:lblAlgn val="ctr"/>
        <c:lblOffset val="100"/>
        <c:noMultiLvlLbl val="0"/>
      </c:catAx>
      <c:valAx>
        <c:axId val="120635776"/>
        <c:scaling>
          <c:orientation val="minMax"/>
          <c:max val="1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0629888"/>
        <c:crosses val="autoZero"/>
        <c:crossBetween val="midCat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8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777E-2"/>
          <c:y val="5.8338380979806134E-2"/>
          <c:w val="0.81665437551154962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v>Small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2"/>
              <c:layout>
                <c:manualLayout>
                  <c:x val="0"/>
                  <c:y val="-3.795576808129125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Small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4.2975683560351283E-3"/>
                  <c:y val="-8.5574815700338747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Wellington!$E$89:$F$89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Wellington!$E$90:$F$90</c:f>
              <c:numCache>
                <c:formatCode>0.0</c:formatCode>
                <c:ptCount val="2"/>
                <c:pt idx="0">
                  <c:v>100</c:v>
                </c:pt>
                <c:pt idx="1">
                  <c:v>102.79324533430008</c:v>
                </c:pt>
              </c:numCache>
            </c:numRef>
          </c:val>
          <c:smooth val="0"/>
        </c:ser>
        <c:ser>
          <c:idx val="1"/>
          <c:order val="1"/>
          <c:tx>
            <c:v>Medium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5.060769077505479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-1.26519226937637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Medium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4.2525036252654544E-3"/>
                  <c:y val="-6.013548515640581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Wellington!$E$89:$F$89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Wellington!$E$91:$F$91</c:f>
              <c:numCache>
                <c:formatCode>0.0</c:formatCode>
                <c:ptCount val="2"/>
                <c:pt idx="0">
                  <c:v>100</c:v>
                </c:pt>
                <c:pt idx="1">
                  <c:v>101.41708801185941</c:v>
                </c:pt>
              </c:numCache>
            </c:numRef>
          </c:val>
          <c:smooth val="0"/>
        </c:ser>
        <c:ser>
          <c:idx val="2"/>
          <c:order val="2"/>
          <c:tx>
            <c:v>Large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3.795576808129125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1.265192269376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0.26152644972778138"/>
                  <c:y val="2.8505678421996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Wellington!$E$89:$F$89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Wellington!$E$92:$F$92</c:f>
              <c:numCache>
                <c:formatCode>0.0</c:formatCode>
                <c:ptCount val="2"/>
                <c:pt idx="0">
                  <c:v>100</c:v>
                </c:pt>
                <c:pt idx="1">
                  <c:v>104.82428379439096</c:v>
                </c:pt>
              </c:numCache>
            </c:numRef>
          </c:val>
          <c:smooth val="0"/>
        </c:ser>
        <c:ser>
          <c:idx val="3"/>
          <c:order val="3"/>
          <c:tx>
            <c:v>Largest 5</c:v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6.9585574815700532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2.16557083084280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Wellington!$E$89:$F$89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Wellington!$E$93:$F$93</c:f>
              <c:numCache>
                <c:formatCode>0.0</c:formatCode>
                <c:ptCount val="2"/>
                <c:pt idx="0">
                  <c:v>100</c:v>
                </c:pt>
                <c:pt idx="1">
                  <c:v>42.302189224041072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222208"/>
        <c:axId val="182252672"/>
      </c:lineChart>
      <c:catAx>
        <c:axId val="1822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2252672"/>
        <c:crosses val="autoZero"/>
        <c:auto val="1"/>
        <c:lblAlgn val="ctr"/>
        <c:lblOffset val="100"/>
        <c:noMultiLvlLbl val="0"/>
      </c:catAx>
      <c:valAx>
        <c:axId val="182252672"/>
        <c:scaling>
          <c:orientation val="minMax"/>
          <c:max val="110"/>
          <c:min val="4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2222208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7830662263541156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Wellington!$B$113</c:f>
              <c:strCache>
                <c:ptCount val="1"/>
                <c:pt idx="0">
                  <c:v>Small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1.7634719012622365E-2"/>
                  <c:y val="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-3.5277777777778643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Small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9.7199238652249766E-6"/>
                  <c:y val="5.878703703703885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Wellington!$E$119:$F$119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Wellington!$E$120:$F$120</c:f>
              <c:numCache>
                <c:formatCode>0.0</c:formatCode>
                <c:ptCount val="2"/>
                <c:pt idx="0">
                  <c:v>100</c:v>
                </c:pt>
                <c:pt idx="1">
                  <c:v>95.362264528895651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Wellington!$B$114</c:f>
              <c:strCache>
                <c:ptCount val="1"/>
                <c:pt idx="0">
                  <c:v>Medium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2"/>
              <c:layout>
                <c:manualLayout>
                  <c:x val="0"/>
                  <c:y val="1.1759259259259261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Medium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4.3600801338294663E-3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Wellington!$E$119:$F$119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Wellington!$E$121:$F$121</c:f>
              <c:numCache>
                <c:formatCode>0.0</c:formatCode>
                <c:ptCount val="2"/>
                <c:pt idx="0">
                  <c:v>100</c:v>
                </c:pt>
                <c:pt idx="1">
                  <c:v>97.573270027631125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Wellington!$B$115</c:f>
              <c:strCache>
                <c:ptCount val="1"/>
                <c:pt idx="0">
                  <c:v>Large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1.7634719012622365E-2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1.7009866764143629E-5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Wellington!$E$119:$F$119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Wellington!$E$122:$F$122</c:f>
              <c:numCache>
                <c:formatCode>0.0</c:formatCode>
                <c:ptCount val="2"/>
                <c:pt idx="0">
                  <c:v>100</c:v>
                </c:pt>
                <c:pt idx="1">
                  <c:v>98.599871633210554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Wellington!$B$116</c:f>
              <c:strCache>
                <c:ptCount val="1"/>
                <c:pt idx="0">
                  <c:v>Largest 5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2.351851851851851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9.7243122740617068E-6"/>
                  <c:y val="-2.939861111111110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700" baseline="0"/>
                      <a:t> 5</a:t>
                    </a:r>
                    <a:endParaRPr lang="en-US" sz="80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Wellington!$E$119:$F$119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Wellington!$E$123:$F$123</c:f>
              <c:numCache>
                <c:formatCode>0.0</c:formatCode>
                <c:ptCount val="2"/>
                <c:pt idx="0">
                  <c:v>100</c:v>
                </c:pt>
                <c:pt idx="1">
                  <c:v>160.58082117649442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317440"/>
        <c:axId val="182318976"/>
      </c:lineChart>
      <c:catAx>
        <c:axId val="18231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2318976"/>
        <c:crosses val="autoZero"/>
        <c:auto val="1"/>
        <c:lblAlgn val="ctr"/>
        <c:lblOffset val="100"/>
        <c:noMultiLvlLbl val="0"/>
      </c:catAx>
      <c:valAx>
        <c:axId val="182318976"/>
        <c:scaling>
          <c:orientation val="minMax"/>
          <c:max val="161.5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231744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639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Wellington!$B$113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Wellington!$E$112:$F$112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Wellington!$E$113:$F$113</c:f>
              <c:numCache>
                <c:formatCode>General</c:formatCode>
                <c:ptCount val="2"/>
                <c:pt idx="0">
                  <c:v>1221078.7</c:v>
                </c:pt>
                <c:pt idx="1">
                  <c:v>1164448.3</c:v>
                </c:pt>
              </c:numCache>
            </c:numRef>
          </c:val>
        </c:ser>
        <c:ser>
          <c:idx val="1"/>
          <c:order val="1"/>
          <c:tx>
            <c:strRef>
              <c:f>Wellington!$B$114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Wellington!$E$112:$F$112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Wellington!$E$114:$F$114</c:f>
              <c:numCache>
                <c:formatCode>General</c:formatCode>
                <c:ptCount val="2"/>
                <c:pt idx="0">
                  <c:v>390288.17</c:v>
                </c:pt>
                <c:pt idx="1">
                  <c:v>380816.93</c:v>
                </c:pt>
              </c:numCache>
            </c:numRef>
          </c:val>
        </c:ser>
        <c:ser>
          <c:idx val="2"/>
          <c:order val="2"/>
          <c:tx>
            <c:strRef>
              <c:f>Wellington!$B$115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Wellington!$E$112:$F$112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Wellington!$E$115:$F$115</c:f>
              <c:numCache>
                <c:formatCode>General</c:formatCode>
                <c:ptCount val="2"/>
                <c:pt idx="0">
                  <c:v>847197.32</c:v>
                </c:pt>
                <c:pt idx="1">
                  <c:v>835335.47</c:v>
                </c:pt>
              </c:numCache>
            </c:numRef>
          </c:val>
        </c:ser>
        <c:ser>
          <c:idx val="3"/>
          <c:order val="3"/>
          <c:tx>
            <c:strRef>
              <c:f>Wellington!$B$116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Wellington!$E$112:$F$112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Wellington!$E$116:$F$116</c:f>
              <c:numCache>
                <c:formatCode>General</c:formatCode>
                <c:ptCount val="2"/>
                <c:pt idx="0">
                  <c:v>46256.267999999996</c:v>
                </c:pt>
                <c:pt idx="1">
                  <c:v>74278.695000000007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367360"/>
        <c:axId val="182368896"/>
      </c:barChart>
      <c:catAx>
        <c:axId val="18236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2368896"/>
        <c:crosses val="autoZero"/>
        <c:auto val="1"/>
        <c:lblAlgn val="ctr"/>
        <c:lblOffset val="100"/>
        <c:noMultiLvlLbl val="0"/>
      </c:catAx>
      <c:valAx>
        <c:axId val="182368896"/>
        <c:scaling>
          <c:orientation val="minMax"/>
          <c:max val="260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2367360"/>
        <c:crosses val="autoZero"/>
        <c:crossBetween val="between"/>
        <c:majorUnit val="500000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Wellington!$U$138:$U$144</c:f>
              <c:strCache>
                <c:ptCount val="7"/>
                <c:pt idx="0">
                  <c:v>System management and operations</c:v>
                </c:pt>
                <c:pt idx="1">
                  <c:v>Routine and preventative maintenance</c:v>
                </c:pt>
                <c:pt idx="2">
                  <c:v>General management, admin and overheads</c:v>
                </c:pt>
                <c:pt idx="3">
                  <c:v>Fault and emergency maintenance</c:v>
                </c:pt>
                <c:pt idx="4">
                  <c:v>Pass-through costs</c:v>
                </c:pt>
                <c:pt idx="5">
                  <c:v>Refurbishment and renewal maintenance</c:v>
                </c:pt>
                <c:pt idx="6">
                  <c:v>Other</c:v>
                </c:pt>
              </c:strCache>
            </c:strRef>
          </c:cat>
          <c:val>
            <c:numRef>
              <c:f>Wellington!$V$138:$V$144</c:f>
              <c:numCache>
                <c:formatCode>General</c:formatCode>
                <c:ptCount val="7"/>
                <c:pt idx="0">
                  <c:v>14813.481</c:v>
                </c:pt>
                <c:pt idx="1">
                  <c:v>5343.7659000000003</c:v>
                </c:pt>
                <c:pt idx="2">
                  <c:v>4774.2853999999998</c:v>
                </c:pt>
                <c:pt idx="3">
                  <c:v>3971.2586999999999</c:v>
                </c:pt>
                <c:pt idx="4">
                  <c:v>2104.9247999999998</c:v>
                </c:pt>
                <c:pt idx="5">
                  <c:v>600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82377088"/>
        <c:axId val="182661504"/>
      </c:barChart>
      <c:catAx>
        <c:axId val="182377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2661504"/>
        <c:crosses val="autoZero"/>
        <c:auto val="1"/>
        <c:lblAlgn val="ctr"/>
        <c:lblOffset val="100"/>
        <c:noMultiLvlLbl val="0"/>
      </c:catAx>
      <c:valAx>
        <c:axId val="182661504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23770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385572916667046"/>
          <c:y val="5.1014483439099333E-2"/>
          <c:w val="0.69397447916666666"/>
          <c:h val="0.8328039561239134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Wellington!$U$186:$U$191</c:f>
              <c:strCache>
                <c:ptCount val="6"/>
                <c:pt idx="0">
                  <c:v>Reliability, safety and environment</c:v>
                </c:pt>
                <c:pt idx="1">
                  <c:v>Customer connection</c:v>
                </c:pt>
                <c:pt idx="2">
                  <c:v>Asset relocations</c:v>
                </c:pt>
                <c:pt idx="3">
                  <c:v>System growth</c:v>
                </c:pt>
                <c:pt idx="4">
                  <c:v>Non-network capex</c:v>
                </c:pt>
                <c:pt idx="5">
                  <c:v>Asset replacement and renewal</c:v>
                </c:pt>
              </c:strCache>
            </c:strRef>
          </c:cat>
          <c:val>
            <c:numRef>
              <c:f>Wellington!$V$186:$V$191</c:f>
              <c:numCache>
                <c:formatCode>General</c:formatCode>
                <c:ptCount val="6"/>
                <c:pt idx="0">
                  <c:v>17.528434000000001</c:v>
                </c:pt>
                <c:pt idx="1">
                  <c:v>4.8292140999999997</c:v>
                </c:pt>
                <c:pt idx="2">
                  <c:v>1.8156238</c:v>
                </c:pt>
                <c:pt idx="3">
                  <c:v>1.5326415999999998</c:v>
                </c:pt>
                <c:pt idx="4">
                  <c:v>1.0269603999999999</c:v>
                </c:pt>
                <c:pt idx="5">
                  <c:v>0.56729503000000003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82710272"/>
        <c:axId val="182711808"/>
      </c:barChart>
      <c:catAx>
        <c:axId val="182710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2711808"/>
        <c:crosses val="autoZero"/>
        <c:auto val="1"/>
        <c:lblAlgn val="ctr"/>
        <c:lblOffset val="100"/>
        <c:noMultiLvlLbl val="0"/>
      </c:catAx>
      <c:valAx>
        <c:axId val="182711808"/>
        <c:scaling>
          <c:orientation val="minMax"/>
          <c:max val="18"/>
          <c:min val="0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2710272"/>
        <c:crosses val="autoZero"/>
        <c:crossBetween val="between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68744841764"/>
          <c:h val="0.82404629629630965"/>
        </c:manualLayout>
      </c:layout>
      <c:lineChart>
        <c:grouping val="standard"/>
        <c:varyColors val="0"/>
        <c:ser>
          <c:idx val="0"/>
          <c:order val="0"/>
          <c:tx>
            <c:strRef>
              <c:f>Wellington!$B$76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2.3518518518518466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Small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NZ"/>
                      <a:t>Small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5.8796296296297823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Wellington!$E$75:$F$75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Wellington!$E$76:$F$76</c:f>
              <c:numCache>
                <c:formatCode>0.0</c:formatCode>
                <c:ptCount val="2"/>
                <c:pt idx="0">
                  <c:v>100</c:v>
                </c:pt>
                <c:pt idx="1">
                  <c:v>97.598812911456264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Wellington!$B$77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Medium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3.5277777777778602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Medium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2.939722222222224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Wellington!$E$75:$F$75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Wellington!$E$77:$F$77</c:f>
              <c:numCache>
                <c:formatCode>0.0</c:formatCode>
                <c:ptCount val="2"/>
                <c:pt idx="0">
                  <c:v>100</c:v>
                </c:pt>
                <c:pt idx="1">
                  <c:v>101.47760587551176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Wellington!$B$78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3.5277777777778477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tx>
                <c:rich>
                  <a:bodyPr/>
                  <a:lstStyle/>
                  <a:p>
                    <a:r>
                      <a:rPr lang="en-NZ"/>
                      <a:t>Large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1.763842592592592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Wellington!$E$75:$F$75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Wellington!$E$78:$F$78</c:f>
              <c:numCache>
                <c:formatCode>0.0</c:formatCode>
                <c:ptCount val="2"/>
                <c:pt idx="0">
                  <c:v>100</c:v>
                </c:pt>
                <c:pt idx="1">
                  <c:v>122.92945507357966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Wellington!$B$79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-4.115740740740737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Wellington!$E$75:$F$75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Wellington!$E$79:$F$79</c:f>
              <c:numCache>
                <c:formatCode>0.0</c:formatCode>
                <c:ptCount val="2"/>
                <c:pt idx="0">
                  <c:v>100</c:v>
                </c:pt>
                <c:pt idx="1">
                  <c:v>67.929202831599696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534912"/>
        <c:axId val="182536448"/>
      </c:lineChart>
      <c:catAx>
        <c:axId val="18253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2536448"/>
        <c:crosses val="autoZero"/>
        <c:auto val="1"/>
        <c:lblAlgn val="ctr"/>
        <c:lblOffset val="100"/>
        <c:noMultiLvlLbl val="0"/>
      </c:catAx>
      <c:valAx>
        <c:axId val="182536448"/>
        <c:scaling>
          <c:orientation val="minMax"/>
          <c:max val="13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253491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3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532"/>
          <c:y val="0.16445370370370369"/>
          <c:w val="0.70330041907982377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Wellington!$B$70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Wellington!$E$69:$F$69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Wellington!$E$70:$F$70</c:f>
              <c:numCache>
                <c:formatCode>0</c:formatCode>
                <c:ptCount val="2"/>
                <c:pt idx="0">
                  <c:v>645.34379781334962</c:v>
                </c:pt>
                <c:pt idx="1">
                  <c:v>629.84788586353773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556544"/>
        <c:axId val="182558080"/>
      </c:lineChart>
      <c:catAx>
        <c:axId val="18255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2558080"/>
        <c:crosses val="autoZero"/>
        <c:auto val="1"/>
        <c:lblAlgn val="ctr"/>
        <c:lblOffset val="100"/>
        <c:noMultiLvlLbl val="0"/>
      </c:catAx>
      <c:valAx>
        <c:axId val="182558080"/>
        <c:scaling>
          <c:orientation val="minMax"/>
          <c:max val="800"/>
          <c:min val="4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2556544"/>
        <c:crosses val="autoZero"/>
        <c:crossBetween val="midCat"/>
        <c:majorUnit val="8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206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937"/>
          <c:y val="0.17621296296296818"/>
          <c:w val="0.73692152777777775"/>
          <c:h val="0.57282407407409996"/>
        </c:manualLayout>
      </c:layout>
      <c:lineChart>
        <c:grouping val="standard"/>
        <c:varyColors val="0"/>
        <c:ser>
          <c:idx val="1"/>
          <c:order val="0"/>
          <c:tx>
            <c:strRef>
              <c:f>Wellington!$B$71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Wellington!$E$69:$F$69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Wellington!$E$71:$F$71</c:f>
              <c:numCache>
                <c:formatCode>0</c:formatCode>
                <c:ptCount val="2"/>
                <c:pt idx="0">
                  <c:v>1679.2665527952647</c:v>
                </c:pt>
                <c:pt idx="1">
                  <c:v>1704.0794940448711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595584"/>
        <c:axId val="182597120"/>
      </c:lineChart>
      <c:catAx>
        <c:axId val="1825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2597120"/>
        <c:crosses val="autoZero"/>
        <c:auto val="1"/>
        <c:lblAlgn val="ctr"/>
        <c:lblOffset val="100"/>
        <c:noMultiLvlLbl val="0"/>
      </c:catAx>
      <c:valAx>
        <c:axId val="182597120"/>
        <c:scaling>
          <c:orientation val="minMax"/>
          <c:max val="2000"/>
          <c:min val="1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2595584"/>
        <c:crosses val="autoZero"/>
        <c:crossBetween val="midCat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900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Wellington!$B$72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Wellington!$E$69:$F$69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Wellington!$E$72:$F$72</c:f>
              <c:numCache>
                <c:formatCode>0</c:formatCode>
                <c:ptCount val="2"/>
                <c:pt idx="0">
                  <c:v>25000.183522806336</c:v>
                </c:pt>
                <c:pt idx="1">
                  <c:v>30732.589371980677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617600"/>
        <c:axId val="182619136"/>
      </c:lineChart>
      <c:catAx>
        <c:axId val="18261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2619136"/>
        <c:crosses val="autoZero"/>
        <c:auto val="1"/>
        <c:lblAlgn val="ctr"/>
        <c:lblOffset val="100"/>
        <c:noMultiLvlLbl val="0"/>
      </c:catAx>
      <c:valAx>
        <c:axId val="182619136"/>
        <c:scaling>
          <c:orientation val="minMax"/>
          <c:max val="40000"/>
          <c:min val="2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2617600"/>
        <c:crosses val="autoZero"/>
        <c:crossBetween val="midCat"/>
        <c:maj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Wellington!$B$73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Wellington!$E$69:$F$69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Wellington!$E$73:$F$73</c:f>
              <c:numCache>
                <c:formatCode>0</c:formatCode>
                <c:ptCount val="2"/>
                <c:pt idx="0">
                  <c:v>542120.59710597922</c:v>
                </c:pt>
                <c:pt idx="1">
                  <c:v>368258.2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053312"/>
        <c:axId val="183055104"/>
      </c:lineChart>
      <c:catAx>
        <c:axId val="18305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3055104"/>
        <c:crosses val="autoZero"/>
        <c:auto val="1"/>
        <c:lblAlgn val="ctr"/>
        <c:lblOffset val="100"/>
        <c:noMultiLvlLbl val="0"/>
      </c:catAx>
      <c:valAx>
        <c:axId val="183055104"/>
        <c:scaling>
          <c:orientation val="minMax"/>
          <c:max val="600000"/>
          <c:min val="3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3053312"/>
        <c:crosses val="autoZero"/>
        <c:crossBetween val="midCat"/>
        <c:majorUnit val="6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94357218820599"/>
          <c:y val="0.14255777777777778"/>
          <c:w val="0.7090850643861448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00233561851490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B</a:t>
                    </a:r>
                    <a:r>
                      <a:rPr lang="en-US"/>
                      <a:t>uller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Buller!$C$165:$F$165</c:f>
              <c:numCache>
                <c:formatCode>_(* #,##0.00_);_(* \(#,##0.00\);_(* "-"??_);_(@_)</c:formatCode>
                <c:ptCount val="4"/>
                <c:pt idx="0">
                  <c:v>4821.3221890472678</c:v>
                </c:pt>
                <c:pt idx="1">
                  <c:v>3223.146830065974</c:v>
                </c:pt>
                <c:pt idx="2">
                  <c:v>4165.5595320096454</c:v>
                </c:pt>
                <c:pt idx="3">
                  <c:v>4612.9917039747106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cat>
            <c:numRef>
              <c:f>Buller!$C$160:$F$160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77888"/>
        <c:axId val="120679424"/>
      </c:lineChart>
      <c:catAx>
        <c:axId val="12067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0679424"/>
        <c:crosses val="autoZero"/>
        <c:auto val="1"/>
        <c:lblAlgn val="ctr"/>
        <c:lblOffset val="100"/>
        <c:noMultiLvlLbl val="0"/>
      </c:catAx>
      <c:valAx>
        <c:axId val="120679424"/>
        <c:scaling>
          <c:orientation val="minMax"/>
          <c:max val="12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20677888"/>
        <c:crosses val="autoZero"/>
        <c:crossBetween val="midCat"/>
        <c:majorUnit val="24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8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37"/>
          <c:y val="6.4675925925925928E-2"/>
          <c:w val="0.82255551233883972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Wellington!$B$98</c:f>
              <c:strCache>
                <c:ptCount val="1"/>
                <c:pt idx="0">
                  <c:v>Small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3.527777777777846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-2.3518518518518466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Small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1.2421919363997841E-4"/>
                  <c:y val="-4.6296296296297896E-7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Wellington!$E$104:$F$104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Wellington!$E$105:$F$105</c:f>
              <c:numCache>
                <c:formatCode>0.0</c:formatCode>
                <c:ptCount val="2"/>
                <c:pt idx="0">
                  <c:v>100</c:v>
                </c:pt>
                <c:pt idx="1">
                  <c:v>100.43766272286854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Wellington!$B$99</c:f>
              <c:strCache>
                <c:ptCount val="1"/>
                <c:pt idx="0">
                  <c:v>Medium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2.63036062378167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2.127453703703703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Wellington!$E$104:$F$104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Wellington!$E$106:$F$106</c:f>
              <c:numCache>
                <c:formatCode>0.0</c:formatCode>
                <c:ptCount val="2"/>
                <c:pt idx="0">
                  <c:v>100</c:v>
                </c:pt>
                <c:pt idx="1">
                  <c:v>97.515080579814523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Wellington!$B$100</c:f>
              <c:strCache>
                <c:ptCount val="1"/>
                <c:pt idx="0">
                  <c:v>Large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4.518031189083846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Large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8.8727995457130496E-5"/>
                  <c:y val="2.8240740740741244E-5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Wellington!$E$104:$F$104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Wellington!$E$107:$F$107</c:f>
              <c:numCache>
                <c:formatCode>0.0</c:formatCode>
                <c:ptCount val="2"/>
                <c:pt idx="0">
                  <c:v>100</c:v>
                </c:pt>
                <c:pt idx="1">
                  <c:v>84.077985377741669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87072"/>
        <c:axId val="182805248"/>
      </c:lineChart>
      <c:catAx>
        <c:axId val="18278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2805248"/>
        <c:crosses val="autoZero"/>
        <c:auto val="1"/>
        <c:lblAlgn val="ctr"/>
        <c:lblOffset val="100"/>
        <c:noMultiLvlLbl val="0"/>
      </c:catAx>
      <c:valAx>
        <c:axId val="182805248"/>
        <c:scaling>
          <c:orientation val="minMax"/>
          <c:max val="11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2787072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29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Wellington!$B$98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Wellington!$E$97:$F$97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Wellington!$E$98:$F$98</c:f>
              <c:numCache>
                <c:formatCode>General</c:formatCode>
                <c:ptCount val="2"/>
                <c:pt idx="0">
                  <c:v>151715</c:v>
                </c:pt>
                <c:pt idx="1">
                  <c:v>152379</c:v>
                </c:pt>
              </c:numCache>
            </c:numRef>
          </c:val>
        </c:ser>
        <c:ser>
          <c:idx val="1"/>
          <c:order val="1"/>
          <c:tx>
            <c:strRef>
              <c:f>Wellington!$B$99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Wellington!$E$97:$F$97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Wellington!$E$99:$F$99</c:f>
              <c:numCache>
                <c:formatCode>General</c:formatCode>
                <c:ptCount val="2"/>
                <c:pt idx="0">
                  <c:v>11107</c:v>
                </c:pt>
                <c:pt idx="1">
                  <c:v>10831</c:v>
                </c:pt>
              </c:numCache>
            </c:numRef>
          </c:val>
        </c:ser>
        <c:ser>
          <c:idx val="2"/>
          <c:order val="2"/>
          <c:tx>
            <c:strRef>
              <c:f>Wellington!$B$100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Wellington!$E$97:$F$97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Wellington!$E$100:$F$100</c:f>
              <c:numCache>
                <c:formatCode>General</c:formatCode>
                <c:ptCount val="2"/>
                <c:pt idx="0">
                  <c:v>1231</c:v>
                </c:pt>
                <c:pt idx="1">
                  <c:v>1035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839936"/>
        <c:axId val="182849920"/>
      </c:barChart>
      <c:catAx>
        <c:axId val="18283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2849920"/>
        <c:crosses val="autoZero"/>
        <c:auto val="1"/>
        <c:lblAlgn val="ctr"/>
        <c:lblOffset val="100"/>
        <c:noMultiLvlLbl val="0"/>
      </c:catAx>
      <c:valAx>
        <c:axId val="18284992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2839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3.5277777777779608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8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Wellington!$B$209</c:f>
              <c:strCache>
                <c:ptCount val="1"/>
                <c:pt idx="0">
                  <c:v>Wellington Electricity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Wellington!$E$204:$F$204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Wellington!$E$209:$F$209</c:f>
              <c:numCache>
                <c:formatCode>_(* #,##0.00_);_(* \(#,##0.00\);_(* "-"??_);_(@_)</c:formatCode>
                <c:ptCount val="2"/>
                <c:pt idx="0">
                  <c:v>15058.653272132618</c:v>
                </c:pt>
                <c:pt idx="1">
                  <c:v>11120.778257214544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Wellington!$B$210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Wellington!$E$204:$F$204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Wellington!$E$210:$F$210</c:f>
              <c:numCache>
                <c:formatCode>_(* #,##0.00_);_(* \(#,##0.00\);_(* "-"??_);_(@_)</c:formatCode>
                <c:ptCount val="2"/>
                <c:pt idx="0">
                  <c:v>17432.184323005218</c:v>
                </c:pt>
                <c:pt idx="1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876416"/>
        <c:axId val="182886400"/>
      </c:lineChart>
      <c:catAx>
        <c:axId val="18287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2886400"/>
        <c:crosses val="autoZero"/>
        <c:auto val="1"/>
        <c:lblAlgn val="ctr"/>
        <c:lblOffset val="100"/>
        <c:noMultiLvlLbl val="0"/>
      </c:catAx>
      <c:valAx>
        <c:axId val="182886400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2876416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1"/>
</c:chartSpace>
</file>

<file path=xl/charts/chart8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4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tx>
            <c:v>Wellington</c:v>
          </c:tx>
          <c:spPr>
            <a:ln w="19050"/>
          </c:spPr>
          <c:marker>
            <c:symbol val="none"/>
          </c:marker>
          <c:cat>
            <c:numRef>
              <c:f>Wellington!$E$204:$F$204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Wellington!$E$212:$F$212</c:f>
              <c:numCache>
                <c:formatCode>_(* #,##0.00_);_(* \(#,##0.00\);_(* "-"??_);_(@_)</c:formatCode>
                <c:ptCount val="2"/>
                <c:pt idx="0">
                  <c:v>7.6149799327196982E-2</c:v>
                </c:pt>
                <c:pt idx="1">
                  <c:v>5.1671662351667993E-2</c:v>
                </c:pt>
              </c:numCache>
            </c:numRef>
          </c:val>
          <c:smooth val="0"/>
        </c:ser>
        <c:ser>
          <c:idx val="1"/>
          <c:order val="1"/>
          <c:tx>
            <c:v>Industry</c:v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3.5427775040881355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-4.959888505723412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-4.251444588449208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Wellington!$E$204:$F$204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Wellington!$E$213:$F$213</c:f>
              <c:numCache>
                <c:formatCode>_(* #,##0.00_);_(* \(#,##0.00\);_(* "-"??_);_(@_)</c:formatCode>
                <c:ptCount val="2"/>
                <c:pt idx="0">
                  <c:v>6.3393701017924006E-2</c:v>
                </c:pt>
                <c:pt idx="1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934144"/>
        <c:axId val="182948224"/>
      </c:lineChart>
      <c:catAx>
        <c:axId val="18293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2948224"/>
        <c:crosses val="autoZero"/>
        <c:auto val="1"/>
        <c:lblAlgn val="ctr"/>
        <c:lblOffset val="100"/>
        <c:noMultiLvlLbl val="0"/>
      </c:catAx>
      <c:valAx>
        <c:axId val="182948224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2934144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1"/>
</c:chartSpace>
</file>

<file path=xl/charts/chart8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76"/>
          <c:w val="0.79809047321242665"/>
          <c:h val="0.72979551178440505"/>
        </c:manualLayout>
      </c:layout>
      <c:lineChart>
        <c:grouping val="standard"/>
        <c:varyColors val="0"/>
        <c:ser>
          <c:idx val="0"/>
          <c:order val="0"/>
          <c:tx>
            <c:strRef>
              <c:f>Wellington!$B$206</c:f>
              <c:strCache>
                <c:ptCount val="1"/>
                <c:pt idx="0">
                  <c:v>Wellington Electricity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Wellington!$E$204:$F$204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Wellington!$E$206:$F$206</c:f>
              <c:numCache>
                <c:formatCode>_(* #,##0.00_);_(* \(#,##0.00\);_(* "-"??_);_(@_)</c:formatCode>
                <c:ptCount val="2"/>
                <c:pt idx="0">
                  <c:v>229.91394985899149</c:v>
                </c:pt>
                <c:pt idx="1">
                  <c:v>166.21107701674276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Wellington!$B$207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3.5427775040881418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-6.376999507358656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 average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-6.376999507358656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Wellington!$E$204:$F$204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Wellington!$E$207:$F$207</c:f>
              <c:numCache>
                <c:formatCode>_(* #,##0.00_);_(* \(#,##0.00\);_(* "-"??_);_(@_)</c:formatCode>
                <c:ptCount val="2"/>
                <c:pt idx="0">
                  <c:v>270.96257169694115</c:v>
                </c:pt>
                <c:pt idx="1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110656"/>
        <c:axId val="183124736"/>
      </c:lineChart>
      <c:catAx>
        <c:axId val="1831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3124736"/>
        <c:crosses val="autoZero"/>
        <c:auto val="1"/>
        <c:lblAlgn val="ctr"/>
        <c:lblOffset val="100"/>
        <c:noMultiLvlLbl val="0"/>
      </c:catAx>
      <c:valAx>
        <c:axId val="183124736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3110656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1"/>
</c:chartSpace>
</file>

<file path=xl/charts/chart8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935"/>
          <c:h val="0.7759916666667018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Wellington!$B$178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Wellington!$C$178:$D$178</c:f>
              <c:numCache>
                <c:formatCode>_-* #,##0_-;\-* #,##0_-;_-* "-"??_-;_-@_-</c:formatCode>
                <c:ptCount val="2"/>
                <c:pt idx="0">
                  <c:v>11044.854940799221</c:v>
                </c:pt>
                <c:pt idx="1">
                  <c:v>9915.0246000000006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83169024"/>
        <c:axId val="183170560"/>
      </c:barChart>
      <c:lineChart>
        <c:grouping val="standard"/>
        <c:varyColors val="0"/>
        <c:ser>
          <c:idx val="1"/>
          <c:order val="0"/>
          <c:tx>
            <c:strRef>
              <c:f>Wellington!$B$179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Wellington!$C$177:$D$177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Wellington!$C$179:$D$179</c:f>
              <c:numCache>
                <c:formatCode>_-* #,##0_-;\-* #,##0_-;_-* "-"??_-;_-@_-</c:formatCode>
                <c:ptCount val="2"/>
                <c:pt idx="0">
                  <c:v>11334.543666298401</c:v>
                </c:pt>
                <c:pt idx="1">
                  <c:v>10898.482121203953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Wellington!$B$180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Wellington!$C$177:$D$177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Wellington!$C$180:$D$180</c:f>
              <c:numCache>
                <c:formatCode>_-* #,##0_-;\-* #,##0_-;_-* "-"??_-;_-@_-</c:formatCode>
                <c:ptCount val="2"/>
                <c:pt idx="1">
                  <c:v>10697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169024"/>
        <c:axId val="183170560"/>
      </c:lineChart>
      <c:catAx>
        <c:axId val="18316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3170560"/>
        <c:crosses val="autoZero"/>
        <c:auto val="1"/>
        <c:lblAlgn val="ctr"/>
        <c:lblOffset val="100"/>
        <c:noMultiLvlLbl val="0"/>
      </c:catAx>
      <c:valAx>
        <c:axId val="18317056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3169024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387"/>
          <c:y val="3.5277777777779636E-2"/>
          <c:w val="0.77172275936750789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Wellington!$V$177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57319062499999995"/>
                  <c:y val="-4.703750000000002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Wellington!$W$177:$AC$177</c:f>
              <c:numCache>
                <c:formatCode>General</c:formatCode>
                <c:ptCount val="7"/>
                <c:pt idx="0">
                  <c:v>11334.543666298401</c:v>
                </c:pt>
                <c:pt idx="1">
                  <c:v>10898.482121203953</c:v>
                </c:pt>
                <c:pt idx="2">
                  <c:v>10931.084853547463</c:v>
                </c:pt>
                <c:pt idx="3">
                  <c:v>11025.83654442079</c:v>
                </c:pt>
                <c:pt idx="4">
                  <c:v>11145.040284551749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Wellington!$V$178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0603296836522352"/>
                  <c:y val="2.939814814814819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Wellington!$W$178:$AC$178</c:f>
              <c:numCache>
                <c:formatCode>General</c:formatCode>
                <c:ptCount val="7"/>
                <c:pt idx="1">
                  <c:v>10697</c:v>
                </c:pt>
                <c:pt idx="2">
                  <c:v>10729</c:v>
                </c:pt>
                <c:pt idx="3">
                  <c:v>10822</c:v>
                </c:pt>
                <c:pt idx="4">
                  <c:v>10939</c:v>
                </c:pt>
                <c:pt idx="5">
                  <c:v>10988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Wellington!$V$179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77777777778979E-5"/>
                  <c:y val="-4.11578703703703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Wellington!$W$179:$AC$179</c:f>
              <c:numCache>
                <c:formatCode>General</c:formatCode>
                <c:ptCount val="7"/>
                <c:pt idx="2">
                  <c:v>11021.84718810601</c:v>
                </c:pt>
                <c:pt idx="3">
                  <c:v>11116.677698771817</c:v>
                </c:pt>
                <c:pt idx="4">
                  <c:v>11236.926696832579</c:v>
                </c:pt>
                <c:pt idx="5">
                  <c:v>11287.763671622495</c:v>
                </c:pt>
                <c:pt idx="6">
                  <c:v>11387.482352941177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Wellington!$V$176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7.9412977087857203E-2"/>
                  <c:y val="0.1733774035509638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Wellington!$C$178:$I$178</c:f>
              <c:numCache>
                <c:formatCode>_-* #,##0_-;\-* #,##0_-;_-* "-"??_-;_-@_-</c:formatCode>
                <c:ptCount val="7"/>
                <c:pt idx="0">
                  <c:v>11044.854940799221</c:v>
                </c:pt>
                <c:pt idx="1">
                  <c:v>9915.0246000000006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219328"/>
        <c:axId val="183220864"/>
      </c:lineChart>
      <c:catAx>
        <c:axId val="18321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3220864"/>
        <c:crosses val="autoZero"/>
        <c:auto val="1"/>
        <c:lblAlgn val="ctr"/>
        <c:lblOffset val="100"/>
        <c:noMultiLvlLbl val="0"/>
      </c:catAx>
      <c:valAx>
        <c:axId val="183220864"/>
        <c:scaling>
          <c:orientation val="minMax"/>
          <c:max val="14000"/>
          <c:min val="7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3219328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8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7288"/>
          <c:h val="0.77578287037039229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Wellington!$B$222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Wellington!$C$222:$D$222</c:f>
              <c:numCache>
                <c:formatCode>_-* #,##0_-;\-* #,##0_-;_-* "-"??_-;_-@_-</c:formatCode>
                <c:ptCount val="2"/>
                <c:pt idx="0">
                  <c:v>19550.941634555787</c:v>
                </c:pt>
                <c:pt idx="1">
                  <c:v>26273.208999999999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83285248"/>
        <c:axId val="183286784"/>
      </c:barChart>
      <c:lineChart>
        <c:grouping val="standard"/>
        <c:varyColors val="0"/>
        <c:ser>
          <c:idx val="1"/>
          <c:order val="0"/>
          <c:tx>
            <c:strRef>
              <c:f>Wellington!$B$223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Wellington!$C$221:$D$221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Wellington!$C$223:$D$223</c:f>
              <c:numCache>
                <c:formatCode>_-* #,##0_-;\-* #,##0_-;_-* "-"??_-;_-@_-</c:formatCode>
                <c:ptCount val="2"/>
                <c:pt idx="0">
                  <c:v>22709.840748026189</c:v>
                </c:pt>
                <c:pt idx="1">
                  <c:v>22709.840748026189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Wellington!$B$224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Wellington!$C$221:$D$221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Wellington!$C$224:$D$224</c:f>
              <c:numCache>
                <c:formatCode>_-* #,##0_-;\-* #,##0_-;_-* "-"??_-;_-@_-</c:formatCode>
                <c:ptCount val="2"/>
                <c:pt idx="1">
                  <c:v>22290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285248"/>
        <c:axId val="183286784"/>
      </c:lineChart>
      <c:catAx>
        <c:axId val="18328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3286784"/>
        <c:crosses val="autoZero"/>
        <c:auto val="1"/>
        <c:lblAlgn val="ctr"/>
        <c:lblOffset val="100"/>
        <c:noMultiLvlLbl val="0"/>
      </c:catAx>
      <c:valAx>
        <c:axId val="18328678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3285248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933E-3"/>
          <c:w val="0.9031628472222038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4992722886183714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Wellington!$V$221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3001745510240887E-2"/>
                  <c:y val="4.115740740740740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Wellington!$W$221:$AC$221</c:f>
              <c:numCache>
                <c:formatCode>General</c:formatCode>
                <c:ptCount val="7"/>
                <c:pt idx="0">
                  <c:v>22709.840748026189</c:v>
                </c:pt>
                <c:pt idx="1">
                  <c:v>22709.840748026189</c:v>
                </c:pt>
                <c:pt idx="2">
                  <c:v>25767.365740615987</c:v>
                </c:pt>
                <c:pt idx="3">
                  <c:v>28379.659669639725</c:v>
                </c:pt>
                <c:pt idx="4">
                  <c:v>28447.92164048395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Wellington!$V$222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7.4968363778448704E-2"/>
                  <c:y val="4.703703703703848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Wellington!$W$222:$AC$222</c:f>
              <c:numCache>
                <c:formatCode>General</c:formatCode>
                <c:ptCount val="7"/>
                <c:pt idx="1">
                  <c:v>22290</c:v>
                </c:pt>
                <c:pt idx="2">
                  <c:v>25291</c:v>
                </c:pt>
                <c:pt idx="3">
                  <c:v>27855</c:v>
                </c:pt>
                <c:pt idx="4">
                  <c:v>27922</c:v>
                </c:pt>
                <c:pt idx="5">
                  <c:v>28938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Wellington!$V$223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3256420578557521E-2"/>
                  <c:y val="-6.39166666666667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Wellington!$W$223:$AC$223</c:f>
              <c:numCache>
                <c:formatCode>General</c:formatCode>
                <c:ptCount val="7"/>
                <c:pt idx="2">
                  <c:v>25981.604654169358</c:v>
                </c:pt>
                <c:pt idx="3">
                  <c:v>28616.328636069811</c:v>
                </c:pt>
                <c:pt idx="4">
                  <c:v>28684.763025210083</c:v>
                </c:pt>
                <c:pt idx="5">
                  <c:v>29728.876276664512</c:v>
                </c:pt>
                <c:pt idx="6">
                  <c:v>30510.005946994181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Wellington!$V$220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182728038792904E-2"/>
                  <c:y val="3.527777777777851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Wellington!$W$220:$AC$220</c:f>
              <c:numCache>
                <c:formatCode>General</c:formatCode>
                <c:ptCount val="7"/>
                <c:pt idx="0">
                  <c:v>19550.941634555787</c:v>
                </c:pt>
                <c:pt idx="1">
                  <c:v>26273.208999999999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343744"/>
        <c:axId val="183370112"/>
      </c:lineChart>
      <c:catAx>
        <c:axId val="18334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3370112"/>
        <c:crosses val="autoZero"/>
        <c:auto val="1"/>
        <c:lblAlgn val="ctr"/>
        <c:lblOffset val="100"/>
        <c:noMultiLvlLbl val="0"/>
      </c:catAx>
      <c:valAx>
        <c:axId val="183370112"/>
        <c:scaling>
          <c:orientation val="minMax"/>
          <c:max val="32000"/>
          <c:min val="16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3343744"/>
        <c:crosses val="autoZero"/>
        <c:crossBetween val="midCat"/>
        <c:maj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8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33"/>
          <c:y val="6.4675925925925928E-2"/>
          <c:w val="0.8273281023979383"/>
          <c:h val="0.83924074074074051"/>
        </c:manualLayout>
      </c:layout>
      <c:lineChart>
        <c:grouping val="standard"/>
        <c:varyColors val="0"/>
        <c:ser>
          <c:idx val="1"/>
          <c:order val="0"/>
          <c:tx>
            <c:strRef>
              <c:f>Wellington!$B$238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3.6216066972634812E-3"/>
                  <c:y val="-5.879675925925942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Wellington!$D$236:$F$236</c:f>
              <c:numCache>
                <c:formatCode>General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Wellington!$D$238:$F$238</c:f>
              <c:numCache>
                <c:formatCode>_(* #,##0.00_);_(* \(#,##0.00\);_(* "-"??_);_(@_)</c:formatCode>
                <c:ptCount val="3"/>
                <c:pt idx="0">
                  <c:v>0.436</c:v>
                </c:pt>
                <c:pt idx="1">
                  <c:v>0.436</c:v>
                </c:pt>
                <c:pt idx="2">
                  <c:v>0.60199999999999998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Wellington!$B$239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"/>
                  <c:y val="-5.291666666666683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0.76709273460495364"/>
                  <c:y val="-0.1175930555555568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Wellington!$D$236:$F$236</c:f>
              <c:numCache>
                <c:formatCode>General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Wellington!$D$239:$F$239</c:f>
              <c:numCache>
                <c:formatCode>_(* #,##0.00_);_(* \(#,##0.00\);_(* "-"??_);_(@_)</c:formatCode>
                <c:ptCount val="3"/>
                <c:pt idx="0">
                  <c:v>2.5370004117241378</c:v>
                </c:pt>
                <c:pt idx="1">
                  <c:v>1.984406743103448</c:v>
                </c:pt>
                <c:pt idx="2">
                  <c:v>2.1560858624137933</c:v>
                </c:pt>
              </c:numCache>
            </c:numRef>
          </c:val>
          <c:smooth val="0"/>
        </c:ser>
        <c:ser>
          <c:idx val="0"/>
          <c:order val="2"/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2"/>
              <c:layout>
                <c:manualLayout>
                  <c:x val="-0.37739300347049681"/>
                  <c:y val="-4.444462586000982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/>
                      <a:t>Wellington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Wellington!$D$236:$F$236</c:f>
              <c:numCache>
                <c:formatCode>General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Wellington!$D$237:$F$237</c:f>
              <c:numCache>
                <c:formatCode>_(* #,##0.00_);_(* \(#,##0.00\);_(* "-"??_);_(@_)</c:formatCode>
                <c:ptCount val="3"/>
                <c:pt idx="0">
                  <c:v>0.38800000000000001</c:v>
                </c:pt>
                <c:pt idx="1">
                  <c:v>0.59000000000000008</c:v>
                </c:pt>
                <c:pt idx="2">
                  <c:v>0.53600000000000003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401088"/>
        <c:axId val="183435648"/>
      </c:lineChart>
      <c:catAx>
        <c:axId val="18340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3435648"/>
        <c:crosses val="autoZero"/>
        <c:auto val="1"/>
        <c:lblAlgn val="ctr"/>
        <c:lblOffset val="100"/>
        <c:noMultiLvlLbl val="0"/>
      </c:catAx>
      <c:valAx>
        <c:axId val="183435648"/>
        <c:scaling>
          <c:orientation val="minMax"/>
          <c:max val="3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3401088"/>
        <c:crosses val="autoZero"/>
        <c:crossBetween val="midCat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4817127859017623"/>
          <c:y val="3.2653061224489806E-2"/>
        </c:manualLayout>
      </c:layout>
      <c:overlay val="0"/>
      <c:txPr>
        <a:bodyPr/>
        <a:lstStyle/>
        <a:p>
          <a:pPr>
            <a:defRPr sz="1050"/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Alpine!$B$98</c:f>
              <c:strCache>
                <c:ptCount val="1"/>
                <c:pt idx="0">
                  <c:v>Small</c:v>
                </c:pt>
              </c:strCache>
            </c:strRef>
          </c:tx>
          <c:marker>
            <c:symbol val="none"/>
          </c:marker>
          <c:cat>
            <c:numRef>
              <c:f>Alpine!$C$97:$F$97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Alpine!$C$98:$F$98</c:f>
              <c:numCache>
                <c:formatCode>General</c:formatCode>
                <c:ptCount val="4"/>
                <c:pt idx="0">
                  <c:v>3376</c:v>
                </c:pt>
                <c:pt idx="1">
                  <c:v>4128</c:v>
                </c:pt>
                <c:pt idx="2">
                  <c:v>4856</c:v>
                </c:pt>
                <c:pt idx="3">
                  <c:v>5718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62784"/>
        <c:axId val="114680960"/>
      </c:lineChart>
      <c:catAx>
        <c:axId val="11466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680960"/>
        <c:crosses val="autoZero"/>
        <c:auto val="1"/>
        <c:lblAlgn val="ctr"/>
        <c:lblOffset val="100"/>
        <c:noMultiLvlLbl val="0"/>
      </c:catAx>
      <c:valAx>
        <c:axId val="11468096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146627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20078265003841"/>
          <c:y val="0.13550222222222241"/>
          <c:w val="0.73617535958538793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Buller!$B$168</c:f>
              <c:strCache>
                <c:ptCount val="1"/>
                <c:pt idx="0">
                  <c:v>Buller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34985170984012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B</a:t>
                    </a:r>
                    <a:r>
                      <a:rPr lang="en-US"/>
                      <a:t>uller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Buller!$C$168:$F$168</c:f>
              <c:numCache>
                <c:formatCode>_(* #,##0.00_);_(* \(#,##0.00\);_(* "-"??_);_(@_)</c:formatCode>
                <c:ptCount val="4"/>
                <c:pt idx="0">
                  <c:v>66.387584462626592</c:v>
                </c:pt>
                <c:pt idx="1">
                  <c:v>42.979738330103153</c:v>
                </c:pt>
                <c:pt idx="2">
                  <c:v>53.510083488273906</c:v>
                </c:pt>
                <c:pt idx="3">
                  <c:v>51.417875441303018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cat>
            <c:numRef>
              <c:f>Buller!$C$160:$F$160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79808"/>
        <c:axId val="120281344"/>
      </c:lineChart>
      <c:catAx>
        <c:axId val="1202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0281344"/>
        <c:crosses val="autoZero"/>
        <c:auto val="1"/>
        <c:lblAlgn val="ctr"/>
        <c:lblOffset val="100"/>
        <c:noMultiLvlLbl val="0"/>
      </c:catAx>
      <c:valAx>
        <c:axId val="120281344"/>
        <c:scaling>
          <c:orientation val="minMax"/>
          <c:max val="7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0279808"/>
        <c:crosses val="autoZero"/>
        <c:crossBetween val="midCat"/>
        <c:majorUnit val="14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9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38"/>
          <c:y val="6.4675925925925928E-2"/>
          <c:w val="0.82291317718749335"/>
          <c:h val="0.83924074074074051"/>
        </c:manualLayout>
      </c:layout>
      <c:lineChart>
        <c:grouping val="standard"/>
        <c:varyColors val="0"/>
        <c:ser>
          <c:idx val="1"/>
          <c:order val="0"/>
          <c:tx>
            <c:strRef>
              <c:f>Wellington!$B$231</c:f>
              <c:strCache>
                <c:ptCount val="1"/>
                <c:pt idx="0">
                  <c:v>Price-quality path threshold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-3.6157026587275388E-3"/>
                  <c:y val="-5.29166666666668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P</a:t>
                    </a:r>
                    <a:r>
                      <a:rPr lang="en-US"/>
                      <a:t>rice-quality threshold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Wellington!$D$229:$F$229</c:f>
              <c:numCache>
                <c:formatCode>General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Wellington!$D$231:$F$231</c:f>
              <c:numCache>
                <c:formatCode>_(* #,##0.00_);_(* \(#,##0.00\);_(* "-"??_);_(@_)</c:formatCode>
                <c:ptCount val="3"/>
                <c:pt idx="0">
                  <c:v>29.7</c:v>
                </c:pt>
                <c:pt idx="1">
                  <c:v>29.7</c:v>
                </c:pt>
                <c:pt idx="2">
                  <c:v>40.744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Wellington!$B$232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"/>
                  <c:y val="-5.879629629629750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-0.75827538122035654"/>
                  <c:y val="-0.1234726851851864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Wellington!$D$229:$F$229</c:f>
              <c:numCache>
                <c:formatCode>General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Wellington!$D$232:$F$232</c:f>
              <c:numCache>
                <c:formatCode>_(* #,##0.00_);_(* \(#,##0.00\);_(* "-"??_);_(@_)</c:formatCode>
                <c:ptCount val="3"/>
                <c:pt idx="0">
                  <c:v>223.36605543103448</c:v>
                </c:pt>
                <c:pt idx="1">
                  <c:v>170.65483759655174</c:v>
                </c:pt>
                <c:pt idx="2">
                  <c:v>189.82731620689657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Wellington!$B$230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-7.1285345099982647E-2"/>
                  <c:y val="-3.790742267655108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Wellington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delete val="1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Wellington!$D$229:$F$229</c:f>
              <c:numCache>
                <c:formatCode>General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Wellington!$D$230:$F$230</c:f>
              <c:numCache>
                <c:formatCode>_(* #,##0.00_);_(* \(#,##0.00\);_(* "-"??_);_(@_)</c:formatCode>
                <c:ptCount val="3"/>
                <c:pt idx="0">
                  <c:v>26.35</c:v>
                </c:pt>
                <c:pt idx="1">
                  <c:v>40.629999999999995</c:v>
                </c:pt>
                <c:pt idx="2">
                  <c:v>34.738355999999996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454336"/>
        <c:axId val="183488896"/>
      </c:lineChart>
      <c:catAx>
        <c:axId val="18345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3488896"/>
        <c:crosses val="autoZero"/>
        <c:auto val="1"/>
        <c:lblAlgn val="ctr"/>
        <c:lblOffset val="100"/>
        <c:noMultiLvlLbl val="0"/>
      </c:catAx>
      <c:valAx>
        <c:axId val="183488896"/>
        <c:scaling>
          <c:orientation val="minMax"/>
          <c:max val="3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3454336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286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v>Wellington</c:v>
          </c:tx>
          <c:spPr>
            <a:ln w="19050"/>
          </c:spPr>
          <c:marker>
            <c:symbol val="none"/>
          </c:marker>
          <c:cat>
            <c:numRef>
              <c:f>WEL!$E$160:$F$160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Wellington!$E$162:$F$162</c:f>
              <c:numCache>
                <c:formatCode>_(* #,##0.00_);_(* \(#,##0.00\);_(* "-"??_);_(@_)</c:formatCode>
                <c:ptCount val="2"/>
                <c:pt idx="0">
                  <c:v>193.65718935097601</c:v>
                </c:pt>
                <c:pt idx="1">
                  <c:v>192.43662709284627</c:v>
                </c:pt>
              </c:numCache>
            </c:numRef>
          </c:val>
          <c:smooth val="0"/>
        </c:ser>
        <c:ser>
          <c:idx val="1"/>
          <c:order val="1"/>
          <c:tx>
            <c:v>Industry</c:v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4.2234013012731934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-3.5195010843943192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-4.22340130127319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WEL!$E$160:$F$160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Wellington!$E$163:$F$163</c:f>
              <c:numCache>
                <c:formatCode>_(* #,##0.00_);_(* \(#,##0.00\);_(* "-"??_);_(@_)</c:formatCode>
                <c:ptCount val="2"/>
                <c:pt idx="0">
                  <c:v>224.81562001127224</c:v>
                </c:pt>
                <c:pt idx="1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527296"/>
        <c:axId val="183528832"/>
      </c:lineChart>
      <c:catAx>
        <c:axId val="18352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3528832"/>
        <c:crosses val="autoZero"/>
        <c:auto val="1"/>
        <c:lblAlgn val="ctr"/>
        <c:lblOffset val="100"/>
        <c:noMultiLvlLbl val="0"/>
      </c:catAx>
      <c:valAx>
        <c:axId val="183528832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3527296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1"/>
</c:chartSpace>
</file>

<file path=xl/charts/chart9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3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tx>
            <c:v>Wellington</c:v>
          </c:tx>
          <c:spPr>
            <a:ln w="19050"/>
          </c:spPr>
          <c:marker>
            <c:symbol val="none"/>
          </c:marker>
          <c:cat>
            <c:numRef>
              <c:f>WEL!$E$160:$F$160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Wellington!$E$165:$F$165</c:f>
              <c:numCache>
                <c:formatCode>_(* #,##0.00_);_(* \(#,##0.00\);_(* "-"??_);_(@_)</c:formatCode>
                <c:ptCount val="2"/>
                <c:pt idx="0">
                  <c:v>6891.9089721127184</c:v>
                </c:pt>
                <c:pt idx="1">
                  <c:v>6864.644044223839</c:v>
                </c:pt>
              </c:numCache>
            </c:numRef>
          </c:val>
          <c:smooth val="0"/>
        </c:ser>
        <c:ser>
          <c:idx val="1"/>
          <c:order val="1"/>
          <c:tx>
            <c:v>Industry</c:v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4.2234013012731934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-3.5195010843943192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WEL!$E$160:$F$160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Wellington!$E$166:$F$166</c:f>
              <c:numCache>
                <c:formatCode>_(* #,##0.00_);_(* \(#,##0.00\);_(* "-"??_);_(@_)</c:formatCode>
                <c:ptCount val="2"/>
                <c:pt idx="0">
                  <c:v>3017.8575351243162</c:v>
                </c:pt>
                <c:pt idx="1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580544"/>
        <c:axId val="183582080"/>
      </c:lineChart>
      <c:catAx>
        <c:axId val="18358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3582080"/>
        <c:crosses val="autoZero"/>
        <c:auto val="1"/>
        <c:lblAlgn val="ctr"/>
        <c:lblOffset val="100"/>
        <c:noMultiLvlLbl val="0"/>
      </c:catAx>
      <c:valAx>
        <c:axId val="183582080"/>
        <c:scaling>
          <c:orientation val="minMax"/>
          <c:max val="705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83580544"/>
        <c:crosses val="autoZero"/>
        <c:crossBetween val="midCat"/>
        <c:majorUnit val="14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1"/>
</c:chartSpace>
</file>

<file path=xl/charts/chart9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26327073267044"/>
          <c:y val="0.13550222222222241"/>
          <c:w val="0.7695508593816110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v>Wellington</c:v>
          </c:tx>
          <c:spPr>
            <a:ln w="19050"/>
          </c:spPr>
          <c:marker>
            <c:symbol val="none"/>
          </c:marker>
          <c:cat>
            <c:numRef>
              <c:f>WEL!$E$160:$F$160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Wellington!$E$168:$F$168</c:f>
              <c:numCache>
                <c:formatCode>_(* #,##0.00_);_(* \(#,##0.00\);_(* "-"??_);_(@_)</c:formatCode>
                <c:ptCount val="2"/>
                <c:pt idx="0">
                  <c:v>12.683947493749836</c:v>
                </c:pt>
                <c:pt idx="1">
                  <c:v>12.875465924874895</c:v>
                </c:pt>
              </c:numCache>
            </c:numRef>
          </c:val>
          <c:smooth val="0"/>
        </c:ser>
        <c:ser>
          <c:idx val="1"/>
          <c:order val="1"/>
          <c:tx>
            <c:v>Industry</c:v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layout>
                <c:manualLayout>
                  <c:x val="0"/>
                  <c:y val="-4.2234013012731934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2"/>
              <c:layout>
                <c:manualLayout>
                  <c:x val="0"/>
                  <c:y val="-3.5195010843943192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2340130127319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WEL!$E$160:$F$160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Wellington!$E$169:$F$169</c:f>
              <c:numCache>
                <c:formatCode>_(* #,##0.00_);_(* \(#,##0.00\);_(* "-"??_);_(@_)</c:formatCode>
                <c:ptCount val="2"/>
                <c:pt idx="0">
                  <c:v>14.463353009176652</c:v>
                </c:pt>
                <c:pt idx="1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625600"/>
        <c:axId val="183627136"/>
      </c:lineChart>
      <c:catAx>
        <c:axId val="1836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3627136"/>
        <c:crosses val="autoZero"/>
        <c:auto val="1"/>
        <c:lblAlgn val="ctr"/>
        <c:lblOffset val="100"/>
        <c:noMultiLvlLbl val="0"/>
      </c:catAx>
      <c:valAx>
        <c:axId val="183627136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3625600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1"/>
</c:chartSpace>
</file>

<file path=xl/charts/chart9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Westpower!$B$26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93318120603"/>
                  <c:y val="-0.4264865883353306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Westpower!$C$26:$F$26</c:f>
              <c:numCache>
                <c:formatCode>0</c:formatCode>
                <c:ptCount val="4"/>
                <c:pt idx="0">
                  <c:v>2164.2472318059554</c:v>
                </c:pt>
                <c:pt idx="1">
                  <c:v>2245.8138238726051</c:v>
                </c:pt>
                <c:pt idx="2">
                  <c:v>2265.2378432270752</c:v>
                </c:pt>
                <c:pt idx="3">
                  <c:v>2366.6285714285723</c:v>
                </c:pt>
              </c:numCache>
            </c:numRef>
          </c:val>
        </c:ser>
        <c:ser>
          <c:idx val="1"/>
          <c:order val="1"/>
          <c:tx>
            <c:strRef>
              <c:f>Westpower!$B$27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1763016379747139"/>
                  <c:y val="-7.839311228146428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Westpower!$C$27:$F$27</c:f>
              <c:numCache>
                <c:formatCode>0</c:formatCode>
                <c:ptCount val="4"/>
                <c:pt idx="0">
                  <c:v>803.8304011861652</c:v>
                </c:pt>
                <c:pt idx="1">
                  <c:v>800.57854348273702</c:v>
                </c:pt>
                <c:pt idx="2">
                  <c:v>819.14365013068902</c:v>
                </c:pt>
                <c:pt idx="3">
                  <c:v>857.6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489024"/>
        <c:axId val="181527680"/>
      </c:areaChart>
      <c:catAx>
        <c:axId val="18148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1527680"/>
        <c:crosses val="autoZero"/>
        <c:auto val="1"/>
        <c:lblAlgn val="ctr"/>
        <c:lblOffset val="100"/>
        <c:noMultiLvlLbl val="0"/>
      </c:catAx>
      <c:valAx>
        <c:axId val="181527680"/>
        <c:scaling>
          <c:orientation val="minMax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1489024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9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Westpower!$B$28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Westpower!$C$25:$F$25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Westpower!$C$28:$F$28</c:f>
              <c:numCache>
                <c:formatCode>0</c:formatCode>
                <c:ptCount val="4"/>
                <c:pt idx="0">
                  <c:v>683.94582418522418</c:v>
                </c:pt>
                <c:pt idx="1">
                  <c:v>685.14242569840053</c:v>
                </c:pt>
                <c:pt idx="2">
                  <c:v>705.84915523699169</c:v>
                </c:pt>
                <c:pt idx="3">
                  <c:v>744</c:v>
                </c:pt>
              </c:numCache>
            </c:numRef>
          </c:val>
        </c:ser>
        <c:ser>
          <c:idx val="1"/>
          <c:order val="1"/>
          <c:tx>
            <c:strRef>
              <c:f>Westpower!$B$29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Westpower!$C$25:$F$25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Westpower!$C$29:$F$29</c:f>
              <c:numCache>
                <c:formatCode>0</c:formatCode>
                <c:ptCount val="4"/>
                <c:pt idx="0">
                  <c:v>119.88457700094092</c:v>
                </c:pt>
                <c:pt idx="1">
                  <c:v>115.43611778433655</c:v>
                </c:pt>
                <c:pt idx="2">
                  <c:v>113.29449489369723</c:v>
                </c:pt>
                <c:pt idx="3">
                  <c:v>113.60000000000002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577600"/>
        <c:axId val="181579136"/>
      </c:barChart>
      <c:catAx>
        <c:axId val="18157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1579136"/>
        <c:crosses val="autoZero"/>
        <c:auto val="1"/>
        <c:lblAlgn val="ctr"/>
        <c:lblOffset val="100"/>
        <c:noMultiLvlLbl val="0"/>
      </c:catAx>
      <c:valAx>
        <c:axId val="181579136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1577600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417"/>
          <c:w val="0.89745624999998153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Westpower!$B$40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Westpower!$C$39:$F$39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Westpower!$C$40:$F$40</c:f>
              <c:numCache>
                <c:formatCode>0</c:formatCode>
                <c:ptCount val="4"/>
                <c:pt idx="0">
                  <c:v>16890.572552821417</c:v>
                </c:pt>
                <c:pt idx="1">
                  <c:v>17377.703342713976</c:v>
                </c:pt>
                <c:pt idx="2">
                  <c:v>18643.668723559051</c:v>
                </c:pt>
                <c:pt idx="3">
                  <c:v>18018</c:v>
                </c:pt>
              </c:numCache>
            </c:numRef>
          </c:val>
        </c:ser>
        <c:ser>
          <c:idx val="1"/>
          <c:order val="1"/>
          <c:tx>
            <c:strRef>
              <c:f>Westpower!$B$41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Westpower!$C$39:$F$39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Westpower!$C$41:$F$41</c:f>
              <c:numCache>
                <c:formatCode>0</c:formatCode>
                <c:ptCount val="4"/>
                <c:pt idx="0">
                  <c:v>4905.3491488694362</c:v>
                </c:pt>
                <c:pt idx="1">
                  <c:v>1439.8371885510326</c:v>
                </c:pt>
                <c:pt idx="2">
                  <c:v>477.83379590956855</c:v>
                </c:pt>
                <c:pt idx="3">
                  <c:v>342</c:v>
                </c:pt>
              </c:numCache>
            </c:numRef>
          </c:val>
        </c:ser>
        <c:ser>
          <c:idx val="3"/>
          <c:order val="2"/>
          <c:tx>
            <c:strRef>
              <c:f>Westpower!$B$42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Westpower!$C$39:$F$39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Westpower!$C$42:$F$42</c:f>
              <c:numCache>
                <c:formatCode>0</c:formatCode>
                <c:ptCount val="4"/>
                <c:pt idx="0">
                  <c:v>404.28701776396451</c:v>
                </c:pt>
                <c:pt idx="1">
                  <c:v>378.90452330290333</c:v>
                </c:pt>
                <c:pt idx="2">
                  <c:v>395.3081296650588</c:v>
                </c:pt>
                <c:pt idx="3">
                  <c:v>378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606272"/>
        <c:axId val="181607808"/>
      </c:barChart>
      <c:catAx>
        <c:axId val="18160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1607808"/>
        <c:crosses val="autoZero"/>
        <c:auto val="1"/>
        <c:lblAlgn val="ctr"/>
        <c:lblOffset val="100"/>
        <c:noMultiLvlLbl val="0"/>
      </c:catAx>
      <c:valAx>
        <c:axId val="18160780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1606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698"/>
          <c:h val="0.2117129629629688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3146E-2"/>
          <c:y val="9.9262962962965245E-2"/>
          <c:w val="0.81073204086215989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Westpower!$B$45</c:f>
              <c:strCache>
                <c:ptCount val="1"/>
                <c:pt idx="0">
                  <c:v>Westpower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Westpower!$B$46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5.8275058275058245E-3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Westpower!$C$45:$F$45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Westpower!$C$46:$F$46</c:f>
              <c:numCache>
                <c:formatCode>0.0</c:formatCode>
                <c:ptCount val="4"/>
                <c:pt idx="0">
                  <c:v>100</c:v>
                </c:pt>
                <c:pt idx="1">
                  <c:v>102.88403953370538</c:v>
                </c:pt>
                <c:pt idx="2">
                  <c:v>110.37913999217743</c:v>
                </c:pt>
                <c:pt idx="3">
                  <c:v>106.67489182887562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Westpower!$B$47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Westpower!$C$45:$F$45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Westpower!$C$47:$F$47</c:f>
              <c:numCache>
                <c:formatCode>0.0</c:formatCode>
                <c:ptCount val="4"/>
                <c:pt idx="0">
                  <c:v>100</c:v>
                </c:pt>
                <c:pt idx="1">
                  <c:v>29.35238950081423</c:v>
                </c:pt>
                <c:pt idx="2">
                  <c:v>9.7410761478558072</c:v>
                </c:pt>
                <c:pt idx="3">
                  <c:v>6.9719807830360594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Westpower!$B$48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1.7482517482517723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Westpower!$C$45:$F$45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Westpower!$C$48:$F$48</c:f>
              <c:numCache>
                <c:formatCode>0.0</c:formatCode>
                <c:ptCount val="4"/>
                <c:pt idx="0">
                  <c:v>100</c:v>
                </c:pt>
                <c:pt idx="1">
                  <c:v>93.72166472189808</c:v>
                </c:pt>
                <c:pt idx="2">
                  <c:v>97.779080775690929</c:v>
                </c:pt>
                <c:pt idx="3">
                  <c:v>93.497931764083575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102912"/>
        <c:axId val="184104448"/>
      </c:lineChart>
      <c:catAx>
        <c:axId val="18410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4104448"/>
        <c:crossesAt val="0"/>
        <c:auto val="1"/>
        <c:lblAlgn val="ctr"/>
        <c:lblOffset val="100"/>
        <c:noMultiLvlLbl val="0"/>
      </c:catAx>
      <c:valAx>
        <c:axId val="184104448"/>
        <c:scaling>
          <c:orientation val="minMax"/>
          <c:max val="1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4102912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9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3072"/>
          <c:h val="0.702040277777791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Westpower!$B$54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Westpower!$C$53:$F$53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Westpower!$C$54:$F$54</c:f>
              <c:numCache>
                <c:formatCode>0</c:formatCode>
                <c:ptCount val="4"/>
                <c:pt idx="0">
                  <c:v>7569.331071255453</c:v>
                </c:pt>
                <c:pt idx="1">
                  <c:v>7680.8618299128266</c:v>
                </c:pt>
                <c:pt idx="2">
                  <c:v>8041.6676996038896</c:v>
                </c:pt>
                <c:pt idx="3">
                  <c:v>8157</c:v>
                </c:pt>
              </c:numCache>
            </c:numRef>
          </c:val>
        </c:ser>
        <c:ser>
          <c:idx val="1"/>
          <c:order val="1"/>
          <c:tx>
            <c:strRef>
              <c:f>Westpower!$B$55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Westpower!$C$53:$F$53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Westpower!$C$55:$F$55</c:f>
              <c:numCache>
                <c:formatCode>0</c:formatCode>
                <c:ptCount val="4"/>
                <c:pt idx="0">
                  <c:v>4599.1691140828598</c:v>
                </c:pt>
                <c:pt idx="1">
                  <c:v>4784.577939460497</c:v>
                </c:pt>
                <c:pt idx="2">
                  <c:v>5122.7043194740099</c:v>
                </c:pt>
                <c:pt idx="3">
                  <c:v>5255</c:v>
                </c:pt>
              </c:numCache>
            </c:numRef>
          </c:val>
        </c:ser>
        <c:ser>
          <c:idx val="2"/>
          <c:order val="2"/>
          <c:tx>
            <c:strRef>
              <c:f>Westpower!$B$56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Westpower!$C$53:$F$53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Westpower!$C$56:$F$56</c:f>
              <c:numCache>
                <c:formatCode>0</c:formatCode>
                <c:ptCount val="4"/>
                <c:pt idx="0">
                  <c:v>2185.306093353483</c:v>
                </c:pt>
                <c:pt idx="1">
                  <c:v>1524.9609444711368</c:v>
                </c:pt>
                <c:pt idx="2">
                  <c:v>1922.5423728813557</c:v>
                </c:pt>
                <c:pt idx="3">
                  <c:v>1562</c:v>
                </c:pt>
              </c:numCache>
            </c:numRef>
          </c:val>
        </c:ser>
        <c:ser>
          <c:idx val="3"/>
          <c:order val="3"/>
          <c:tx>
            <c:strRef>
              <c:f>Westpower!$B$57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Westpower!$C$53:$F$53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Westpower!$C$57:$F$57</c:f>
              <c:numCache>
                <c:formatCode>0</c:formatCode>
                <c:ptCount val="4"/>
                <c:pt idx="0">
                  <c:v>2536.7662741296226</c:v>
                </c:pt>
                <c:pt idx="1">
                  <c:v>3387.3026288695164</c:v>
                </c:pt>
                <c:pt idx="2">
                  <c:v>3556.7543315997946</c:v>
                </c:pt>
                <c:pt idx="3">
                  <c:v>3043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137216"/>
        <c:axId val="184138752"/>
      </c:barChart>
      <c:catAx>
        <c:axId val="18413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4138752"/>
        <c:crosses val="autoZero"/>
        <c:auto val="1"/>
        <c:lblAlgn val="ctr"/>
        <c:lblOffset val="100"/>
        <c:noMultiLvlLbl val="0"/>
      </c:catAx>
      <c:valAx>
        <c:axId val="184138752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4137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21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143530544666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Westpower!$B$61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0390793879875E-6"/>
                  <c:y val="2.56846978557504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Westpower!$C$61:$F$61</c:f>
              <c:numCache>
                <c:formatCode>0.0</c:formatCode>
                <c:ptCount val="4"/>
                <c:pt idx="0">
                  <c:v>100</c:v>
                </c:pt>
                <c:pt idx="1">
                  <c:v>101.47345594488411</c:v>
                </c:pt>
                <c:pt idx="2">
                  <c:v>106.24013699363918</c:v>
                </c:pt>
                <c:pt idx="3">
                  <c:v>107.76381589353676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Westpower!$B$62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751953969399295E-6"/>
                  <c:y val="2.806237816764135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Westpower!$C$62:$F$62</c:f>
              <c:numCache>
                <c:formatCode>0.0</c:formatCode>
                <c:ptCount val="4"/>
                <c:pt idx="0">
                  <c:v>100</c:v>
                </c:pt>
                <c:pt idx="1">
                  <c:v>104.03135481167472</c:v>
                </c:pt>
                <c:pt idx="2">
                  <c:v>111.38325624487393</c:v>
                </c:pt>
                <c:pt idx="3">
                  <c:v>114.25976887670768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Westpower!$B$63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1879884923498131E-6"/>
                  <c:y val="-4.6427875243664676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Westpower!$C$63:$F$63</c:f>
              <c:numCache>
                <c:formatCode>0.0</c:formatCode>
                <c:ptCount val="4"/>
                <c:pt idx="0">
                  <c:v>100</c:v>
                </c:pt>
                <c:pt idx="1">
                  <c:v>69.782487181509339</c:v>
                </c:pt>
                <c:pt idx="2">
                  <c:v>87.975884876205114</c:v>
                </c:pt>
                <c:pt idx="3">
                  <c:v>71.477401026371439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Westpower!$B$64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6.467592592592592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Westpower!$C$64:$F$64</c:f>
              <c:numCache>
                <c:formatCode>0.0</c:formatCode>
                <c:ptCount val="4"/>
                <c:pt idx="0">
                  <c:v>100</c:v>
                </c:pt>
                <c:pt idx="1">
                  <c:v>133.52836890863023</c:v>
                </c:pt>
                <c:pt idx="2">
                  <c:v>140.20820001717087</c:v>
                </c:pt>
                <c:pt idx="3">
                  <c:v>119.95586787135399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261248"/>
        <c:axId val="184304000"/>
      </c:lineChart>
      <c:catAx>
        <c:axId val="1842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4304000"/>
        <c:crosses val="autoZero"/>
        <c:auto val="1"/>
        <c:lblAlgn val="ctr"/>
        <c:lblOffset val="100"/>
        <c:noMultiLvlLbl val="0"/>
      </c:catAx>
      <c:valAx>
        <c:axId val="184304000"/>
        <c:scaling>
          <c:orientation val="minMax"/>
          <c:max val="141"/>
          <c:min val="6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4261248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613"/>
          <c:h val="0.7759916666666948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Buller!$B$178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Buller!$C$178:$D$178</c:f>
              <c:numCache>
                <c:formatCode>_-* #,##0_-;\-* #,##0_-;_-* "-"??_-;_-@_-</c:formatCode>
                <c:ptCount val="2"/>
                <c:pt idx="0">
                  <c:v>1286.7890921829105</c:v>
                </c:pt>
                <c:pt idx="1">
                  <c:v>840.56106999999997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20309248"/>
        <c:axId val="120310784"/>
      </c:barChart>
      <c:lineChart>
        <c:grouping val="standard"/>
        <c:varyColors val="0"/>
        <c:ser>
          <c:idx val="1"/>
          <c:order val="0"/>
          <c:tx>
            <c:strRef>
              <c:f>Buller!$B$179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Buller!$C$177:$D$177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Buller!$C$179:$D$179</c:f>
              <c:numCache>
                <c:formatCode>_-* #,##0_-;\-* #,##0_-;_-* "-"??_-;_-@_-</c:formatCode>
                <c:ptCount val="2"/>
                <c:pt idx="0">
                  <c:v>1120.0780768505294</c:v>
                </c:pt>
                <c:pt idx="1">
                  <c:v>1088.4941798927541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Buller!$B$180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Buller!$C$177:$D$177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Buller!$C$180:$D$180</c:f>
              <c:numCache>
                <c:formatCode>_-* #,##0_-;\-* #,##0_-;_-* "-"??_-;_-@_-</c:formatCode>
                <c:ptCount val="2"/>
                <c:pt idx="1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09248"/>
        <c:axId val="120310784"/>
      </c:lineChart>
      <c:catAx>
        <c:axId val="12030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0310784"/>
        <c:crosses val="autoZero"/>
        <c:auto val="1"/>
        <c:lblAlgn val="ctr"/>
        <c:lblOffset val="100"/>
        <c:noMultiLvlLbl val="0"/>
      </c:catAx>
      <c:valAx>
        <c:axId val="12031078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0309248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226"/>
          <c:y val="3.5277777777779212E-2"/>
          <c:w val="0.7717227593675045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</c:chartSpace>
</file>

<file path=xl/charts/chart9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460351024323221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Westpower!$B$84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354918846777024E-3"/>
                  <c:y val="-2.805987248455955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Westpower!$C$84:$F$84</c:f>
              <c:numCache>
                <c:formatCode>0.00</c:formatCode>
                <c:ptCount val="4"/>
                <c:pt idx="0">
                  <c:v>9.6348502727214846</c:v>
                </c:pt>
                <c:pt idx="1">
                  <c:v>9.5041351092764135</c:v>
                </c:pt>
                <c:pt idx="2">
                  <c:v>9.7085242235441918</c:v>
                </c:pt>
                <c:pt idx="3">
                  <c:v>9.9984065307723426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Westpower!$B$85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90609520707183E-3"/>
                  <c:y val="-4.06340904562661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Westpower!$C$85:$F$85</c:f>
              <c:numCache>
                <c:formatCode>0.00</c:formatCode>
                <c:ptCount val="4"/>
                <c:pt idx="0">
                  <c:v>8.1349390018445948</c:v>
                </c:pt>
                <c:pt idx="1">
                  <c:v>8.0593224172696907</c:v>
                </c:pt>
                <c:pt idx="2">
                  <c:v>8.3123001224670769</c:v>
                </c:pt>
                <c:pt idx="3">
                  <c:v>8.4529018144382952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Westpower!$B$86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11954992967713E-3"/>
                  <c:y val="-3.48316397688782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Westpower!$C$86:$F$86</c:f>
              <c:numCache>
                <c:formatCode>0.00</c:formatCode>
                <c:ptCount val="4"/>
                <c:pt idx="0">
                  <c:v>9.4186108669661355</c:v>
                </c:pt>
                <c:pt idx="1">
                  <c:v>6.3624872516319124</c:v>
                </c:pt>
                <c:pt idx="2">
                  <c:v>7.6920155752634862</c:v>
                </c:pt>
                <c:pt idx="3">
                  <c:v>6.1996427862671162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Westpower!$B$87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98312236286917E-3"/>
                  <c:y val="-4.15262004383343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Westpower!$C$87:$F$87</c:f>
              <c:numCache>
                <c:formatCode>0.00</c:formatCode>
                <c:ptCount val="4"/>
                <c:pt idx="0">
                  <c:v>2.9217675893825632</c:v>
                </c:pt>
                <c:pt idx="1">
                  <c:v>3.1432599280553024</c:v>
                </c:pt>
                <c:pt idx="2">
                  <c:v>2.8472256897212573</c:v>
                </c:pt>
                <c:pt idx="3">
                  <c:v>2.4437841310632828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331648"/>
        <c:axId val="184353920"/>
      </c:lineChart>
      <c:catAx>
        <c:axId val="1843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4353920"/>
        <c:crosses val="autoZero"/>
        <c:auto val="1"/>
        <c:lblAlgn val="ctr"/>
        <c:lblOffset val="100"/>
        <c:noMultiLvlLbl val="0"/>
      </c:catAx>
      <c:valAx>
        <c:axId val="184353920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4331648"/>
        <c:crosses val="autoZero"/>
        <c:crossBetween val="midCat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818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Westpower!$B$90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3489654478868988"/>
                  <c:y val="5.470213189878612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Westpower!$C$90:$F$90</c:f>
              <c:numCache>
                <c:formatCode>0.0</c:formatCode>
                <c:ptCount val="4"/>
                <c:pt idx="0">
                  <c:v>100</c:v>
                </c:pt>
                <c:pt idx="1">
                  <c:v>98.643308824267294</c:v>
                </c:pt>
                <c:pt idx="2">
                  <c:v>100.7646610869636</c:v>
                </c:pt>
                <c:pt idx="3">
                  <c:v>103.77334621462848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Westpower!$B$91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6589365078034866"/>
                  <c:y val="-1.585375572823295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Westpower!$C$91:$F$91</c:f>
              <c:numCache>
                <c:formatCode>0.0</c:formatCode>
                <c:ptCount val="4"/>
                <c:pt idx="0">
                  <c:v>100</c:v>
                </c:pt>
                <c:pt idx="1">
                  <c:v>99.070471400489197</c:v>
                </c:pt>
                <c:pt idx="2">
                  <c:v>102.18023909684221</c:v>
                </c:pt>
                <c:pt idx="3">
                  <c:v>103.9086072129318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Westpower!$B$92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200616792511424E-3"/>
                  <c:y val="1.585375572823295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Westpower!$C$92:$F$92</c:f>
              <c:numCache>
                <c:formatCode>0.0</c:formatCode>
                <c:ptCount val="4"/>
                <c:pt idx="0">
                  <c:v>100</c:v>
                </c:pt>
                <c:pt idx="1">
                  <c:v>67.552289201659704</c:v>
                </c:pt>
                <c:pt idx="2">
                  <c:v>81.668259618216837</c:v>
                </c:pt>
                <c:pt idx="3">
                  <c:v>65.823324414124642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Westpower!$B$93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2.16557083084280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Westpower!$C$93:$F$93</c:f>
              <c:numCache>
                <c:formatCode>0.0</c:formatCode>
                <c:ptCount val="4"/>
                <c:pt idx="0">
                  <c:v>100</c:v>
                </c:pt>
                <c:pt idx="1">
                  <c:v>107.5807651326417</c:v>
                </c:pt>
                <c:pt idx="2">
                  <c:v>97.448739594066808</c:v>
                </c:pt>
                <c:pt idx="3">
                  <c:v>83.640606458356629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559424"/>
        <c:axId val="153560960"/>
      </c:lineChart>
      <c:catAx>
        <c:axId val="1535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3560960"/>
        <c:crosses val="autoZero"/>
        <c:auto val="1"/>
        <c:lblAlgn val="ctr"/>
        <c:lblOffset val="100"/>
        <c:noMultiLvlLbl val="0"/>
      </c:catAx>
      <c:valAx>
        <c:axId val="153560960"/>
        <c:scaling>
          <c:orientation val="minMax"/>
          <c:max val="14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3559424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1393292516689997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Westpower!$B$120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5.8787037037038902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Westpower!$C$120:$F$120</c:f>
              <c:numCache>
                <c:formatCode>0.0</c:formatCode>
                <c:ptCount val="4"/>
                <c:pt idx="0">
                  <c:v>100</c:v>
                </c:pt>
                <c:pt idx="1">
                  <c:v>102.86907156131464</c:v>
                </c:pt>
                <c:pt idx="2">
                  <c:v>105.43392479824851</c:v>
                </c:pt>
                <c:pt idx="3">
                  <c:v>103.84537053537332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Westpower!$B$121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801338294663E-3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Westpower!$C$121:$F$121</c:f>
              <c:numCache>
                <c:formatCode>0.0</c:formatCode>
                <c:ptCount val="4"/>
                <c:pt idx="0">
                  <c:v>100</c:v>
                </c:pt>
                <c:pt idx="1">
                  <c:v>105.00742889486345</c:v>
                </c:pt>
                <c:pt idx="2">
                  <c:v>109.00665062968729</c:v>
                </c:pt>
                <c:pt idx="3">
                  <c:v>109.96179425498798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Westpower!$B$122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009866764143629E-5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Westpower!$C$122:$F$122</c:f>
              <c:numCache>
                <c:formatCode>0.0</c:formatCode>
                <c:ptCount val="4"/>
                <c:pt idx="0">
                  <c:v>100</c:v>
                </c:pt>
                <c:pt idx="1">
                  <c:v>103.30143953107492</c:v>
                </c:pt>
                <c:pt idx="2">
                  <c:v>107.72347211447288</c:v>
                </c:pt>
                <c:pt idx="3">
                  <c:v>108.58977674338419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Westpower!$B$123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243122740617068E-6"/>
                  <c:y val="-2.939861111111110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700" baseline="0"/>
                      <a:t> 5</a:t>
                    </a:r>
                    <a:endParaRPr lang="en-US" sz="80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Westpower!$C$123:$F$123</c:f>
              <c:numCache>
                <c:formatCode>0.0</c:formatCode>
                <c:ptCount val="4"/>
                <c:pt idx="0">
                  <c:v>100</c:v>
                </c:pt>
                <c:pt idx="1">
                  <c:v>124.11918500858067</c:v>
                </c:pt>
                <c:pt idx="2">
                  <c:v>143.87892609101277</c:v>
                </c:pt>
                <c:pt idx="3">
                  <c:v>143.41821867477512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767616"/>
        <c:axId val="184769152"/>
      </c:lineChart>
      <c:catAx>
        <c:axId val="18476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4769152"/>
        <c:crosses val="autoZero"/>
        <c:auto val="1"/>
        <c:lblAlgn val="ctr"/>
        <c:lblOffset val="100"/>
        <c:noMultiLvlLbl val="0"/>
      </c:catAx>
      <c:valAx>
        <c:axId val="184769152"/>
        <c:scaling>
          <c:orientation val="minMax"/>
          <c:max val="15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4767616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6487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Westpower!$B$113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Westpower!$C$112:$F$112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Westpower!$C$113:$F$113</c:f>
              <c:numCache>
                <c:formatCode>General</c:formatCode>
                <c:ptCount val="4"/>
                <c:pt idx="0">
                  <c:v>78562</c:v>
                </c:pt>
                <c:pt idx="1">
                  <c:v>80816</c:v>
                </c:pt>
                <c:pt idx="2">
                  <c:v>82831</c:v>
                </c:pt>
                <c:pt idx="3">
                  <c:v>81583</c:v>
                </c:pt>
              </c:numCache>
            </c:numRef>
          </c:val>
        </c:ser>
        <c:ser>
          <c:idx val="1"/>
          <c:order val="1"/>
          <c:tx>
            <c:strRef>
              <c:f>Westpower!$B$114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Westpower!$C$112:$F$112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Westpower!$C$114:$F$114</c:f>
              <c:numCache>
                <c:formatCode>General</c:formatCode>
                <c:ptCount val="4"/>
                <c:pt idx="0">
                  <c:v>56536</c:v>
                </c:pt>
                <c:pt idx="1">
                  <c:v>59367</c:v>
                </c:pt>
                <c:pt idx="2">
                  <c:v>61628</c:v>
                </c:pt>
                <c:pt idx="3">
                  <c:v>62168</c:v>
                </c:pt>
              </c:numCache>
            </c:numRef>
          </c:val>
        </c:ser>
        <c:ser>
          <c:idx val="2"/>
          <c:order val="2"/>
          <c:tx>
            <c:strRef>
              <c:f>Westpower!$B$115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Westpower!$C$112:$F$112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Westpower!$C$115:$F$115</c:f>
              <c:numCache>
                <c:formatCode>General</c:formatCode>
                <c:ptCount val="4"/>
                <c:pt idx="0">
                  <c:v>23202</c:v>
                </c:pt>
                <c:pt idx="1">
                  <c:v>23968</c:v>
                </c:pt>
                <c:pt idx="2">
                  <c:v>24994</c:v>
                </c:pt>
                <c:pt idx="3">
                  <c:v>25195</c:v>
                </c:pt>
              </c:numCache>
            </c:numRef>
          </c:val>
        </c:ser>
        <c:ser>
          <c:idx val="3"/>
          <c:order val="3"/>
          <c:tx>
            <c:strRef>
              <c:f>Westpower!$B$116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Westpower!$C$112:$F$112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Westpower!$C$116:$F$116</c:f>
              <c:numCache>
                <c:formatCode>General</c:formatCode>
                <c:ptCount val="4"/>
                <c:pt idx="0">
                  <c:v>86823</c:v>
                </c:pt>
                <c:pt idx="1">
                  <c:v>107764</c:v>
                </c:pt>
                <c:pt idx="2">
                  <c:v>124920</c:v>
                </c:pt>
                <c:pt idx="3">
                  <c:v>124520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3233280"/>
        <c:axId val="153234816"/>
      </c:barChart>
      <c:catAx>
        <c:axId val="15323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3234816"/>
        <c:crosses val="autoZero"/>
        <c:auto val="1"/>
        <c:lblAlgn val="ctr"/>
        <c:lblOffset val="100"/>
        <c:noMultiLvlLbl val="0"/>
      </c:catAx>
      <c:valAx>
        <c:axId val="15323481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3233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Westpower!$U$138:$U$144</c:f>
              <c:strCache>
                <c:ptCount val="7"/>
                <c:pt idx="0">
                  <c:v>Routine and preventative maintenance</c:v>
                </c:pt>
                <c:pt idx="1">
                  <c:v>General management, admin and overheads</c:v>
                </c:pt>
                <c:pt idx="2">
                  <c:v>System management and operations</c:v>
                </c:pt>
                <c:pt idx="3">
                  <c:v>Fault and emergency maintenance</c:v>
                </c:pt>
                <c:pt idx="4">
                  <c:v>Refurbishment and renewal maintenance</c:v>
                </c:pt>
                <c:pt idx="5">
                  <c:v>Pass-through costs</c:v>
                </c:pt>
                <c:pt idx="6">
                  <c:v>Other</c:v>
                </c:pt>
              </c:strCache>
            </c:strRef>
          </c:cat>
          <c:val>
            <c:numRef>
              <c:f>Westpower!$V$138:$V$144</c:f>
              <c:numCache>
                <c:formatCode>General</c:formatCode>
                <c:ptCount val="7"/>
                <c:pt idx="0">
                  <c:v>3258</c:v>
                </c:pt>
                <c:pt idx="1">
                  <c:v>1325</c:v>
                </c:pt>
                <c:pt idx="2">
                  <c:v>1303</c:v>
                </c:pt>
                <c:pt idx="3">
                  <c:v>865</c:v>
                </c:pt>
                <c:pt idx="4">
                  <c:v>700</c:v>
                </c:pt>
                <c:pt idx="5">
                  <c:v>88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53251200"/>
        <c:axId val="153257088"/>
      </c:barChart>
      <c:catAx>
        <c:axId val="153251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53257088"/>
        <c:crosses val="autoZero"/>
        <c:auto val="1"/>
        <c:lblAlgn val="ctr"/>
        <c:lblOffset val="100"/>
        <c:noMultiLvlLbl val="0"/>
      </c:catAx>
      <c:valAx>
        <c:axId val="153257088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53251200"/>
        <c:crosses val="autoZero"/>
        <c:crossBetween val="between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37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Westpower!$U$186:$U$191</c:f>
              <c:strCache>
                <c:ptCount val="6"/>
                <c:pt idx="0">
                  <c:v>Asset replacement and renewal</c:v>
                </c:pt>
                <c:pt idx="1">
                  <c:v>Reliability, safety and environment</c:v>
                </c:pt>
                <c:pt idx="2">
                  <c:v>Customer connection</c:v>
                </c:pt>
                <c:pt idx="3">
                  <c:v>System growth</c:v>
                </c:pt>
                <c:pt idx="4">
                  <c:v>Asset relocations</c:v>
                </c:pt>
                <c:pt idx="5">
                  <c:v>Non-network capex</c:v>
                </c:pt>
              </c:strCache>
            </c:strRef>
          </c:cat>
          <c:val>
            <c:numRef>
              <c:f>Westpower!$V$186:$V$191</c:f>
              <c:numCache>
                <c:formatCode>General</c:formatCode>
                <c:ptCount val="6"/>
                <c:pt idx="0">
                  <c:v>2.4820000000000002</c:v>
                </c:pt>
                <c:pt idx="1">
                  <c:v>0.97899999999999998</c:v>
                </c:pt>
                <c:pt idx="2">
                  <c:v>0.27700000000000002</c:v>
                </c:pt>
                <c:pt idx="3">
                  <c:v>0.193</c:v>
                </c:pt>
                <c:pt idx="4">
                  <c:v>2.5000000000000001E-2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85148160"/>
        <c:axId val="185149696"/>
      </c:barChart>
      <c:catAx>
        <c:axId val="185148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5149696"/>
        <c:crosses val="autoZero"/>
        <c:auto val="1"/>
        <c:lblAlgn val="ctr"/>
        <c:lblOffset val="100"/>
        <c:noMultiLvlLbl val="0"/>
      </c:catAx>
      <c:valAx>
        <c:axId val="185149696"/>
        <c:scaling>
          <c:orientation val="minMax"/>
          <c:max val="2.5"/>
          <c:min val="0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5148160"/>
        <c:crosses val="autoZero"/>
        <c:crossBetween val="between"/>
        <c:majorUnit val="0.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3535841549375156"/>
          <c:h val="0.82404629629630965"/>
        </c:manualLayout>
      </c:layout>
      <c:lineChart>
        <c:grouping val="standard"/>
        <c:varyColors val="0"/>
        <c:ser>
          <c:idx val="0"/>
          <c:order val="0"/>
          <c:tx>
            <c:strRef>
              <c:f>Westpower!$B$76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Westpower!$C$76:$F$76</c:f>
              <c:numCache>
                <c:formatCode>0.0</c:formatCode>
                <c:ptCount val="4"/>
                <c:pt idx="0">
                  <c:v>100</c:v>
                </c:pt>
                <c:pt idx="1">
                  <c:v>99.834979134352309</c:v>
                </c:pt>
                <c:pt idx="2">
                  <c:v>103.26102476495348</c:v>
                </c:pt>
                <c:pt idx="3">
                  <c:v>103.73174495713604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Westpower!$B$77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351944444444444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Westpower!$C$77:$F$77</c:f>
              <c:numCache>
                <c:formatCode>0.0</c:formatCode>
                <c:ptCount val="4"/>
                <c:pt idx="0">
                  <c:v>100</c:v>
                </c:pt>
                <c:pt idx="1">
                  <c:v>102.5163350814076</c:v>
                </c:pt>
                <c:pt idx="2">
                  <c:v>107.03337759862441</c:v>
                </c:pt>
                <c:pt idx="3">
                  <c:v>112.18734259720271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Westpower!$B$78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52782407407408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Westpower!$C$78:$F$78</c:f>
              <c:numCache>
                <c:formatCode>0.0</c:formatCode>
                <c:ptCount val="4"/>
                <c:pt idx="0">
                  <c:v>100</c:v>
                </c:pt>
                <c:pt idx="1">
                  <c:v>66.45951160143747</c:v>
                </c:pt>
                <c:pt idx="2">
                  <c:v>83.786557024957247</c:v>
                </c:pt>
                <c:pt idx="3">
                  <c:v>84.091060031025208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Westpower!$B$79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6.467592592592592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Westpower!$C$79:$F$79</c:f>
              <c:numCache>
                <c:formatCode>0.0</c:formatCode>
                <c:ptCount val="4"/>
                <c:pt idx="0">
                  <c:v>100</c:v>
                </c:pt>
                <c:pt idx="1">
                  <c:v>133.52836890863026</c:v>
                </c:pt>
                <c:pt idx="2">
                  <c:v>140.20820001717087</c:v>
                </c:pt>
                <c:pt idx="3">
                  <c:v>119.95586787135399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210368"/>
        <c:axId val="185211904"/>
      </c:lineChart>
      <c:catAx>
        <c:axId val="18521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5211904"/>
        <c:crosses val="autoZero"/>
        <c:auto val="1"/>
        <c:lblAlgn val="ctr"/>
        <c:lblOffset val="100"/>
        <c:noMultiLvlLbl val="0"/>
      </c:catAx>
      <c:valAx>
        <c:axId val="185211904"/>
        <c:scaling>
          <c:orientation val="minMax"/>
          <c:max val="141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5210368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40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546"/>
          <c:y val="0.16445370370370369"/>
          <c:w val="0.70330041907982399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Westpower!$B$70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Westpower!$C$69:$F$69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Westpower!$C$70:$F$70</c:f>
              <c:numCache>
                <c:formatCode>0</c:formatCode>
                <c:ptCount val="4"/>
                <c:pt idx="0">
                  <c:v>653.82491761729739</c:v>
                </c:pt>
                <c:pt idx="1">
                  <c:v>652.74597007842499</c:v>
                </c:pt>
                <c:pt idx="2">
                  <c:v>675.14631010023413</c:v>
                </c:pt>
                <c:pt idx="3">
                  <c:v>678.22399600897973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252480"/>
        <c:axId val="185258368"/>
      </c:lineChart>
      <c:catAx>
        <c:axId val="18525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258368"/>
        <c:crosses val="autoZero"/>
        <c:auto val="1"/>
        <c:lblAlgn val="ctr"/>
        <c:lblOffset val="100"/>
        <c:noMultiLvlLbl val="0"/>
      </c:catAx>
      <c:valAx>
        <c:axId val="185258368"/>
        <c:scaling>
          <c:orientation val="minMax"/>
          <c:max val="1000"/>
          <c:min val="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525248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20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945"/>
          <c:y val="0.17621296296296826"/>
          <c:w val="0.73692152777777775"/>
          <c:h val="0.57282407407410041"/>
        </c:manualLayout>
      </c:layout>
      <c:lineChart>
        <c:grouping val="standard"/>
        <c:varyColors val="0"/>
        <c:ser>
          <c:idx val="1"/>
          <c:order val="0"/>
          <c:tx>
            <c:strRef>
              <c:f>Westpower!$B$71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Westpower!$C$69:$F$69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Westpower!$C$71:$F$71</c:f>
              <c:numCache>
                <c:formatCode>0</c:formatCode>
                <c:ptCount val="4"/>
                <c:pt idx="0">
                  <c:v>5664.0013720232264</c:v>
                </c:pt>
                <c:pt idx="1">
                  <c:v>5806.5266255588549</c:v>
                </c:pt>
                <c:pt idx="2">
                  <c:v>6062.3719757088875</c:v>
                </c:pt>
                <c:pt idx="3">
                  <c:v>6354.2926239419585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283328"/>
        <c:axId val="185284864"/>
      </c:lineChart>
      <c:catAx>
        <c:axId val="18528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284864"/>
        <c:crosses val="autoZero"/>
        <c:auto val="1"/>
        <c:lblAlgn val="ctr"/>
        <c:lblOffset val="100"/>
        <c:noMultiLvlLbl val="0"/>
      </c:catAx>
      <c:valAx>
        <c:axId val="185284864"/>
        <c:scaling>
          <c:orientation val="minMax"/>
          <c:max val="8000"/>
          <c:min val="4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5283328"/>
        <c:crosses val="autoZero"/>
        <c:crossBetween val="midCat"/>
        <c:majorUnit val="8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9010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Westpower!$B$72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Westpower!$C$69:$F$69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Westpower!$C$72:$F$72</c:f>
              <c:numCache>
                <c:formatCode>0</c:formatCode>
                <c:ptCount val="4"/>
                <c:pt idx="0">
                  <c:v>109265.30466767415</c:v>
                </c:pt>
                <c:pt idx="1">
                  <c:v>72617.187831958901</c:v>
                </c:pt>
                <c:pt idx="2">
                  <c:v>91549.636803874077</c:v>
                </c:pt>
                <c:pt idx="3">
                  <c:v>91882.352941176461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01248"/>
        <c:axId val="185319424"/>
      </c:lineChart>
      <c:catAx>
        <c:axId val="18530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319424"/>
        <c:crosses val="autoZero"/>
        <c:auto val="1"/>
        <c:lblAlgn val="ctr"/>
        <c:lblOffset val="100"/>
        <c:noMultiLvlLbl val="0"/>
      </c:catAx>
      <c:valAx>
        <c:axId val="185319424"/>
        <c:scaling>
          <c:orientation val="minMax"/>
          <c:max val="120000"/>
          <c:min val="6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5301248"/>
        <c:crosses val="autoZero"/>
        <c:crossBetween val="midCat"/>
        <c:majorUnit val="1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Buller!$V$177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3.9680660423310934E-2"/>
                  <c:y val="1.871461537781419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Buller!$W$177:$AC$177</c:f>
              <c:numCache>
                <c:formatCode>General</c:formatCode>
                <c:ptCount val="7"/>
                <c:pt idx="0">
                  <c:v>1120.0780768505294</c:v>
                </c:pt>
                <c:pt idx="1">
                  <c:v>1088.4941798927541</c:v>
                </c:pt>
                <c:pt idx="2">
                  <c:v>1160.5665950796258</c:v>
                </c:pt>
                <c:pt idx="3">
                  <c:v>1071.1739783352643</c:v>
                </c:pt>
                <c:pt idx="4">
                  <c:v>851.06172509498515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Buller!$V$178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1.7706996785872401E-2"/>
                  <c:y val="-2.1514439725676192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Buller!$W$178:$AC$178</c:f>
              <c:numCache>
                <c:formatCode>General</c:formatCode>
                <c:ptCount val="7"/>
                <c:pt idx="1">
                  <c:v>1419</c:v>
                </c:pt>
                <c:pt idx="2">
                  <c:v>1390</c:v>
                </c:pt>
                <c:pt idx="3">
                  <c:v>1390</c:v>
                </c:pt>
                <c:pt idx="4">
                  <c:v>1398</c:v>
                </c:pt>
                <c:pt idx="5">
                  <c:v>1415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Buller!$V$179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0"/>
                  <c:y val="3.742923075562845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Buller!$W$179:$AC$179</c:f>
              <c:numCache>
                <c:formatCode>General</c:formatCode>
                <c:ptCount val="7"/>
                <c:pt idx="2">
                  <c:v>1145.7872010342599</c:v>
                </c:pt>
                <c:pt idx="3">
                  <c:v>1136.0108597285068</c:v>
                </c:pt>
                <c:pt idx="4">
                  <c:v>1138.9437621202326</c:v>
                </c:pt>
                <c:pt idx="5">
                  <c:v>1134.0555914673562</c:v>
                </c:pt>
                <c:pt idx="6">
                  <c:v>1006.9631544925662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Buller!$V$176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638888888888881E-2"/>
                  <c:y val="1.175925925925926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Buller!$C$178:$I$178</c:f>
              <c:numCache>
                <c:formatCode>_-* #,##0_-;\-* #,##0_-;_-* "-"??_-;_-@_-</c:formatCode>
                <c:ptCount val="7"/>
                <c:pt idx="0">
                  <c:v>1286.7890921829105</c:v>
                </c:pt>
                <c:pt idx="1">
                  <c:v>840.56106999999997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224768"/>
        <c:axId val="120255232"/>
      </c:lineChart>
      <c:catAx>
        <c:axId val="12022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0255232"/>
        <c:crosses val="autoZero"/>
        <c:auto val="1"/>
        <c:lblAlgn val="ctr"/>
        <c:lblOffset val="100"/>
        <c:noMultiLvlLbl val="0"/>
      </c:catAx>
      <c:valAx>
        <c:axId val="120255232"/>
        <c:scaling>
          <c:orientation val="minMax"/>
          <c:max val="1600"/>
          <c:min val="6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0224768"/>
        <c:crosses val="autoZero"/>
        <c:crossBetween val="midCat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9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Westpower!$B$73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Westpower!$C$69:$F$69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Westpower!$C$73:$F$73</c:f>
              <c:numCache>
                <c:formatCode>0</c:formatCode>
                <c:ptCount val="4"/>
                <c:pt idx="0">
                  <c:v>507353.25482592452</c:v>
                </c:pt>
                <c:pt idx="1">
                  <c:v>677460.52577390336</c:v>
                </c:pt>
                <c:pt idx="2">
                  <c:v>711350.86631995882</c:v>
                </c:pt>
                <c:pt idx="3">
                  <c:v>608600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368576"/>
        <c:axId val="185370112"/>
      </c:lineChart>
      <c:catAx>
        <c:axId val="1853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5370112"/>
        <c:crosses val="autoZero"/>
        <c:auto val="1"/>
        <c:lblAlgn val="ctr"/>
        <c:lblOffset val="100"/>
        <c:noMultiLvlLbl val="0"/>
      </c:catAx>
      <c:valAx>
        <c:axId val="185370112"/>
        <c:scaling>
          <c:orientation val="minMax"/>
          <c:max val="800000"/>
          <c:min val="4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5368576"/>
        <c:crosses val="autoZero"/>
        <c:crossBetween val="midCat"/>
        <c:majorUnit val="8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34"/>
          <c:y val="6.4675925925925928E-2"/>
          <c:w val="0.80928162768455891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Westpower!$B$105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1631162507608E-4"/>
                  <c:y val="-2.939861111111110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Westpower!$C$105:$F$105</c:f>
              <c:numCache>
                <c:formatCode>0.0</c:formatCode>
                <c:ptCount val="4"/>
                <c:pt idx="0">
                  <c:v>100</c:v>
                </c:pt>
                <c:pt idx="1">
                  <c:v>101.64118510840458</c:v>
                </c:pt>
                <c:pt idx="2">
                  <c:v>102.88503066424808</c:v>
                </c:pt>
                <c:pt idx="3">
                  <c:v>103.88701736201089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Westpower!$B$106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8840692113729701"/>
                  <c:y val="7.419120370370373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Westpower!$C$106:$F$106</c:f>
              <c:numCache>
                <c:formatCode>0.0</c:formatCode>
                <c:ptCount val="4"/>
                <c:pt idx="0">
                  <c:v>100</c:v>
                </c:pt>
                <c:pt idx="1">
                  <c:v>101.47783251231527</c:v>
                </c:pt>
                <c:pt idx="2">
                  <c:v>104.06403940886699</c:v>
                </c:pt>
                <c:pt idx="3">
                  <c:v>101.84729064039408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Westpower!$B$107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>
              <a:solidFill>
                <a:schemeClr val="accent4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687940179117569E-5"/>
                  <c:y val="1.766712962962980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Westpower!$C$107:$F$107</c:f>
              <c:numCache>
                <c:formatCode>0.0</c:formatCode>
                <c:ptCount val="4"/>
                <c:pt idx="0">
                  <c:v>100</c:v>
                </c:pt>
                <c:pt idx="1">
                  <c:v>105</c:v>
                </c:pt>
                <c:pt idx="2">
                  <c:v>105</c:v>
                </c:pt>
                <c:pt idx="3">
                  <c:v>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25920"/>
        <c:axId val="185427456"/>
      </c:lineChart>
      <c:catAx>
        <c:axId val="185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5427456"/>
        <c:crosses val="autoZero"/>
        <c:auto val="1"/>
        <c:lblAlgn val="ctr"/>
        <c:lblOffset val="100"/>
        <c:noMultiLvlLbl val="0"/>
      </c:catAx>
      <c:valAx>
        <c:axId val="185427456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5425920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29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Westpower!$B$98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Westpower!$C$97:$F$97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Westpower!$C$98:$F$98</c:f>
              <c:numCache>
                <c:formatCode>General</c:formatCode>
                <c:ptCount val="4"/>
                <c:pt idx="0">
                  <c:v>11577</c:v>
                </c:pt>
                <c:pt idx="1">
                  <c:v>11767</c:v>
                </c:pt>
                <c:pt idx="2">
                  <c:v>11911</c:v>
                </c:pt>
                <c:pt idx="3">
                  <c:v>12027</c:v>
                </c:pt>
              </c:numCache>
            </c:numRef>
          </c:val>
        </c:ser>
        <c:ser>
          <c:idx val="1"/>
          <c:order val="1"/>
          <c:tx>
            <c:strRef>
              <c:f>Westpower!$B$99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Westpower!$C$97:$F$97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Westpower!$C$99:$F$99</c:f>
              <c:numCache>
                <c:formatCode>General</c:formatCode>
                <c:ptCount val="4"/>
                <c:pt idx="0">
                  <c:v>812</c:v>
                </c:pt>
                <c:pt idx="1">
                  <c:v>824</c:v>
                </c:pt>
                <c:pt idx="2">
                  <c:v>845</c:v>
                </c:pt>
                <c:pt idx="3">
                  <c:v>827</c:v>
                </c:pt>
              </c:numCache>
            </c:numRef>
          </c:val>
        </c:ser>
        <c:ser>
          <c:idx val="2"/>
          <c:order val="2"/>
          <c:tx>
            <c:strRef>
              <c:f>Westpower!$B$100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Westpower!$C$97:$F$97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Westpower!$C$100:$F$100</c:f>
              <c:numCache>
                <c:formatCode>General</c:formatCode>
                <c:ptCount val="4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5453952"/>
        <c:axId val="184951936"/>
      </c:barChart>
      <c:catAx>
        <c:axId val="1854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4951936"/>
        <c:crosses val="autoZero"/>
        <c:auto val="1"/>
        <c:lblAlgn val="ctr"/>
        <c:lblOffset val="100"/>
        <c:noMultiLvlLbl val="0"/>
      </c:catAx>
      <c:valAx>
        <c:axId val="18495193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5453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3.5277777777779636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Westpower!$B$209</c:f>
              <c:strCache>
                <c:ptCount val="1"/>
                <c:pt idx="0">
                  <c:v>Westpower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Westpower!$C$204:$F$204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Westpower!$C$209:$F$209</c:f>
              <c:numCache>
                <c:formatCode>_(* #,##0.00_);_(* \(#,##0.00\);_(* "-"??_);_(@_)</c:formatCode>
                <c:ptCount val="4"/>
                <c:pt idx="0">
                  <c:v>24339.610250698952</c:v>
                </c:pt>
                <c:pt idx="1">
                  <c:v>29693.257929648171</c:v>
                </c:pt>
                <c:pt idx="2">
                  <c:v>19340.266041673098</c:v>
                </c:pt>
                <c:pt idx="3">
                  <c:v>13480.266879297771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Westpower!$B$210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333004905793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Westpower!$C$204:$F$204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978048"/>
        <c:axId val="184988032"/>
      </c:lineChart>
      <c:catAx>
        <c:axId val="18497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4988032"/>
        <c:crosses val="autoZero"/>
        <c:auto val="1"/>
        <c:lblAlgn val="ctr"/>
        <c:lblOffset val="100"/>
        <c:noMultiLvlLbl val="0"/>
      </c:catAx>
      <c:valAx>
        <c:axId val="184988032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4978048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  <c:userShapes r:id="rId1"/>
</c:chartSpace>
</file>

<file path=xl/charts/chart9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4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Westpower!$C$204:$F$204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Westpower!$C$212:$F$212</c:f>
              <c:numCache>
                <c:formatCode>_(* #,##0.00_);_(* \(#,##0.00\);_(* "-"??_);_(@_)</c:formatCode>
                <c:ptCount val="4"/>
                <c:pt idx="0">
                  <c:v>5.7629498372081228E-2</c:v>
                </c:pt>
                <c:pt idx="1">
                  <c:v>7.5548616715892691E-2</c:v>
                </c:pt>
                <c:pt idx="2">
                  <c:v>5.1497999199513922E-2</c:v>
                </c:pt>
                <c:pt idx="3">
                  <c:v>3.4386406903844792E-2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444588449208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Westpower!$C$204:$F$204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051776"/>
        <c:axId val="185053568"/>
      </c:lineChart>
      <c:catAx>
        <c:axId val="18505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5053568"/>
        <c:crosses val="autoZero"/>
        <c:auto val="1"/>
        <c:lblAlgn val="ctr"/>
        <c:lblOffset val="100"/>
        <c:noMultiLvlLbl val="0"/>
      </c:catAx>
      <c:valAx>
        <c:axId val="185053568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5051776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  <c:userShapes r:id="rId1"/>
</c:chartSpace>
</file>

<file path=xl/charts/chart9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82"/>
          <c:w val="0.79809047321242665"/>
          <c:h val="0.72979551178440538"/>
        </c:manualLayout>
      </c:layout>
      <c:lineChart>
        <c:grouping val="standard"/>
        <c:varyColors val="0"/>
        <c:ser>
          <c:idx val="0"/>
          <c:order val="0"/>
          <c:tx>
            <c:strRef>
              <c:f>Westpower!$B$206</c:f>
              <c:strCache>
                <c:ptCount val="1"/>
                <c:pt idx="0">
                  <c:v>Westpower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Westpower!$C$204:$F$204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Westpower!$C$206:$F$206</c:f>
              <c:numCache>
                <c:formatCode>_(* #,##0.00_);_(* \(#,##0.00\);_(* "-"??_);_(@_)</c:formatCode>
                <c:ptCount val="4"/>
                <c:pt idx="0">
                  <c:v>480.60240724038016</c:v>
                </c:pt>
                <c:pt idx="1">
                  <c:v>639.93359990015711</c:v>
                </c:pt>
                <c:pt idx="2">
                  <c:v>445.41168326439009</c:v>
                </c:pt>
                <c:pt idx="3">
                  <c:v>307.23827275551412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Westpower!$B$207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4277750408814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Westpower!$C$204:$F$204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806208"/>
        <c:axId val="185816192"/>
      </c:lineChart>
      <c:catAx>
        <c:axId val="18580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5816192"/>
        <c:crosses val="autoZero"/>
        <c:auto val="1"/>
        <c:lblAlgn val="ctr"/>
        <c:lblOffset val="100"/>
        <c:noMultiLvlLbl val="0"/>
      </c:catAx>
      <c:valAx>
        <c:axId val="185816192"/>
        <c:scaling>
          <c:orientation val="minMax"/>
          <c:max val="65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5806208"/>
        <c:crosses val="autoZero"/>
        <c:crossBetween val="midCat"/>
        <c:majorUnit val="13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  <c:userShapes r:id="rId1"/>
</c:chartSpace>
</file>

<file path=xl/charts/chart9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253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Westpower!$B$162</c:f>
              <c:strCache>
                <c:ptCount val="1"/>
                <c:pt idx="0">
                  <c:v>Westpower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Westpower!$C$160:$F$160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Westpower!$C$162:$F$162</c:f>
              <c:numCache>
                <c:formatCode>_(* #,##0.00_);_(* \(#,##0.00\);_(* "-"??_);_(@_)</c:formatCode>
                <c:ptCount val="4"/>
                <c:pt idx="0">
                  <c:v>562.93184021180775</c:v>
                </c:pt>
                <c:pt idx="1">
                  <c:v>578.57502714124917</c:v>
                </c:pt>
                <c:pt idx="2">
                  <c:v>589.12629760327627</c:v>
                </c:pt>
                <c:pt idx="3">
                  <c:v>585.50792171481828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Westpower!$B$163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815600867515448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Westpower!$C$160:$F$160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850496"/>
        <c:axId val="185745792"/>
      </c:lineChart>
      <c:catAx>
        <c:axId val="1858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5745792"/>
        <c:crosses val="autoZero"/>
        <c:auto val="1"/>
        <c:lblAlgn val="ctr"/>
        <c:lblOffset val="100"/>
        <c:noMultiLvlLbl val="0"/>
      </c:catAx>
      <c:valAx>
        <c:axId val="185745792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5850496"/>
        <c:crosses val="autoZero"/>
        <c:crossBetween val="midCat"/>
        <c:majorUnit val="1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  <c:userShapes r:id="rId1"/>
</c:chartSpace>
</file>

<file path=xl/charts/chart9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34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Westpower!$C$160:$F$160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Westpower!$C$165:$F$165</c:f>
              <c:numCache>
                <c:formatCode>_(* #,##0.00_);_(* \(#,##0.00\);_(* "-"??_);_(@_)</c:formatCode>
                <c:ptCount val="4"/>
                <c:pt idx="0">
                  <c:v>3353.2801652540215</c:v>
                </c:pt>
                <c:pt idx="1">
                  <c:v>3448.2197059240152</c:v>
                </c:pt>
                <c:pt idx="2">
                  <c:v>3535.3109558521487</c:v>
                </c:pt>
                <c:pt idx="3">
                  <c:v>3504.8814504881452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Westpower!$C$160:$F$160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75616"/>
        <c:axId val="185777152"/>
      </c:lineChart>
      <c:catAx>
        <c:axId val="18577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5777152"/>
        <c:crosses val="autoZero"/>
        <c:auto val="1"/>
        <c:lblAlgn val="ctr"/>
        <c:lblOffset val="100"/>
        <c:noMultiLvlLbl val="0"/>
      </c:catAx>
      <c:valAx>
        <c:axId val="185777152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85775616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443" l="0.70000000000000062" r="0.70000000000000062" t="0.75000000000001443" header="0.30000000000000032" footer="0.30000000000000032"/>
    <c:pageSetup/>
  </c:printSettings>
  <c:userShapes r:id="rId1"/>
</c:chartSpace>
</file>

<file path=xl/charts/chart9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26327073267044"/>
          <c:y val="0.13550222222222241"/>
          <c:w val="0.7695508593816110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Westpower!$B$168</c:f>
              <c:strCache>
                <c:ptCount val="1"/>
                <c:pt idx="0">
                  <c:v>Westpower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Westpower!$C$160:$F$160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Westpower!$C$168:$F$168</c:f>
              <c:numCache>
                <c:formatCode>_(* #,##0.00_);_(* \(#,##0.00\);_(* "-"??_);_(@_)</c:formatCode>
                <c:ptCount val="4"/>
                <c:pt idx="0">
                  <c:v>28.509098960070581</c:v>
                </c:pt>
                <c:pt idx="1">
                  <c:v>26.846187659530148</c:v>
                </c:pt>
                <c:pt idx="2">
                  <c:v>25.580512940945933</c:v>
                </c:pt>
                <c:pt idx="3">
                  <c:v>25.689517695405939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Westpower!$B$169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4.22340130127319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Westpower!$C$160:$F$160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549568"/>
        <c:axId val="185551104"/>
      </c:lineChart>
      <c:catAx>
        <c:axId val="18554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5551104"/>
        <c:crosses val="autoZero"/>
        <c:auto val="1"/>
        <c:lblAlgn val="ctr"/>
        <c:lblOffset val="100"/>
        <c:noMultiLvlLbl val="0"/>
      </c:catAx>
      <c:valAx>
        <c:axId val="185551104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5549568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  <c:userShapes r:id="rId1"/>
</c:chartSpace>
</file>

<file path=xl/charts/chart9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968"/>
          <c:h val="0.77599166666670227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Westpower!$B$178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Westpower!$C$178:$D$178</c:f>
              <c:numCache>
                <c:formatCode>_-* #,##0_-;\-* #,##0_-;_-* "-"??_-;_-@_-</c:formatCode>
                <c:ptCount val="2"/>
                <c:pt idx="0">
                  <c:v>5034.0656409150924</c:v>
                </c:pt>
                <c:pt idx="1">
                  <c:v>4823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85615872"/>
        <c:axId val="185617408"/>
      </c:barChart>
      <c:lineChart>
        <c:grouping val="standard"/>
        <c:varyColors val="0"/>
        <c:ser>
          <c:idx val="1"/>
          <c:order val="0"/>
          <c:tx>
            <c:strRef>
              <c:f>Westpower!$B$179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Westpower!$C$177:$D$177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Westpower!$C$179:$D$179</c:f>
              <c:numCache>
                <c:formatCode>_-* #,##0_-;\-* #,##0_-;_-* "-"??_-;_-@_-</c:formatCode>
                <c:ptCount val="2"/>
                <c:pt idx="0">
                  <c:v>5230.7008703618867</c:v>
                </c:pt>
                <c:pt idx="1">
                  <c:v>5352.961116650049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Westpower!$B$180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Westpower!$C$177:$D$177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Westpower!$C$180:$D$180</c:f>
              <c:numCache>
                <c:formatCode>_-* #,##0_-;\-* #,##0_-;_-* "-"??_-;_-@_-</c:formatCode>
                <c:ptCount val="2"/>
                <c:pt idx="1">
                  <c:v>5249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15872"/>
        <c:axId val="185617408"/>
      </c:lineChart>
      <c:catAx>
        <c:axId val="18561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5617408"/>
        <c:crosses val="autoZero"/>
        <c:auto val="1"/>
        <c:lblAlgn val="ctr"/>
        <c:lblOffset val="100"/>
        <c:noMultiLvlLbl val="0"/>
      </c:catAx>
      <c:valAx>
        <c:axId val="18561740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5615872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4"/>
          <c:y val="3.5277777777779663E-2"/>
          <c:w val="0.77172275936750812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6855"/>
          <c:h val="0.77578287037038796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Buller!$B$222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Buller!$C$222:$D$222</c:f>
              <c:numCache>
                <c:formatCode>_-* #,##0_-;\-* #,##0_-;_-* "-"??_-;_-@_-</c:formatCode>
                <c:ptCount val="2"/>
                <c:pt idx="0">
                  <c:v>1509.914041658807</c:v>
                </c:pt>
                <c:pt idx="1">
                  <c:v>1295.2470000000001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20372224"/>
        <c:axId val="120382208"/>
      </c:barChart>
      <c:lineChart>
        <c:grouping val="standard"/>
        <c:varyColors val="0"/>
        <c:ser>
          <c:idx val="1"/>
          <c:order val="0"/>
          <c:tx>
            <c:strRef>
              <c:f>Buller!$B$223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Buller!$C$221:$D$221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Buller!$C$223:$D$223</c:f>
              <c:numCache>
                <c:formatCode>_-* #,##0_-;\-* #,##0_-;_-* "-"??_-;_-@_-</c:formatCode>
                <c:ptCount val="2"/>
                <c:pt idx="0">
                  <c:v>1847.1485543369888</c:v>
                </c:pt>
                <c:pt idx="1">
                  <c:v>839.5203578453827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Buller!$B$224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Buller!$C$221:$D$221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Buller!$C$224:$D$224</c:f>
              <c:numCache>
                <c:formatCode>_-* #,##0_-;\-* #,##0_-;_-* "-"??_-;_-@_-</c:formatCode>
                <c:ptCount val="2"/>
                <c:pt idx="1">
                  <c:v>1736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72224"/>
        <c:axId val="120382208"/>
      </c:lineChart>
      <c:catAx>
        <c:axId val="12037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0382208"/>
        <c:crosses val="autoZero"/>
        <c:auto val="1"/>
        <c:lblAlgn val="ctr"/>
        <c:lblOffset val="100"/>
        <c:noMultiLvlLbl val="0"/>
      </c:catAx>
      <c:valAx>
        <c:axId val="120382208"/>
        <c:scaling>
          <c:orientation val="minMax"/>
          <c:max val="2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0372224"/>
        <c:crosses val="autoZero"/>
        <c:crossBetween val="between"/>
        <c:majorUnit val="400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404E-3"/>
          <c:w val="0.90316284722220719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9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Westpower!$V$177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58189999999999997"/>
                  <c:y val="4.115694444444445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Westpower!$W$177:$AC$177</c:f>
              <c:numCache>
                <c:formatCode>General</c:formatCode>
                <c:ptCount val="7"/>
                <c:pt idx="0">
                  <c:v>5230.7008703618867</c:v>
                </c:pt>
                <c:pt idx="1">
                  <c:v>5352.961116650049</c:v>
                </c:pt>
                <c:pt idx="2">
                  <c:v>5280.6238042628866</c:v>
                </c:pt>
                <c:pt idx="3">
                  <c:v>5435.4867828945589</c:v>
                </c:pt>
                <c:pt idx="4">
                  <c:v>5650.4610492845777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Westpower!$V$178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21185833333333559"/>
                  <c:y val="-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Westpower!$W$178:$AC$178</c:f>
              <c:numCache>
                <c:formatCode>General</c:formatCode>
                <c:ptCount val="7"/>
                <c:pt idx="1">
                  <c:v>5249</c:v>
                </c:pt>
                <c:pt idx="2">
                  <c:v>5307</c:v>
                </c:pt>
                <c:pt idx="3">
                  <c:v>5417</c:v>
                </c:pt>
                <c:pt idx="4">
                  <c:v>5747</c:v>
                </c:pt>
                <c:pt idx="5">
                  <c:v>5955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Westpower!$V$179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77777777779009E-5"/>
                  <c:y val="-4.11578703703703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Westpower!$W$179:$AC$179</c:f>
              <c:numCache>
                <c:formatCode>General</c:formatCode>
                <c:ptCount val="7"/>
                <c:pt idx="2">
                  <c:v>5286.0677440206846</c:v>
                </c:pt>
                <c:pt idx="3">
                  <c:v>5375.0324499030376</c:v>
                </c:pt>
                <c:pt idx="4">
                  <c:v>5580.3356173238526</c:v>
                </c:pt>
                <c:pt idx="5">
                  <c:v>5720.1372979961216</c:v>
                </c:pt>
                <c:pt idx="6">
                  <c:v>6170.8266321913379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Westpower!$V$176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0.11005968896009051"/>
                  <c:y val="4.703655784682735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Westpower!$C$178:$I$178</c:f>
              <c:numCache>
                <c:formatCode>_-* #,##0_-;\-* #,##0_-;_-* "-"??_-;_-@_-</c:formatCode>
                <c:ptCount val="7"/>
                <c:pt idx="0">
                  <c:v>5034.0656409150924</c:v>
                </c:pt>
                <c:pt idx="1">
                  <c:v>4823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66176"/>
        <c:axId val="185696640"/>
      </c:lineChart>
      <c:catAx>
        <c:axId val="1856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5696640"/>
        <c:crosses val="autoZero"/>
        <c:auto val="1"/>
        <c:lblAlgn val="ctr"/>
        <c:lblOffset val="100"/>
        <c:noMultiLvlLbl val="0"/>
      </c:catAx>
      <c:valAx>
        <c:axId val="185696640"/>
        <c:scaling>
          <c:orientation val="minMax"/>
          <c:max val="8000"/>
          <c:min val="4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5666176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9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7333"/>
          <c:h val="0.7757828703703927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Westpower!$B$222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Westpower!$C$222:$D$222</c:f>
              <c:numCache>
                <c:formatCode>_-* #,##0_-;\-* #,##0_-;_-* "-"??_-;_-@_-</c:formatCode>
                <c:ptCount val="2"/>
                <c:pt idx="0">
                  <c:v>5693.2521354854343</c:v>
                </c:pt>
                <c:pt idx="1">
                  <c:v>3956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85728000"/>
        <c:axId val="186196736"/>
      </c:barChart>
      <c:lineChart>
        <c:grouping val="standard"/>
        <c:varyColors val="0"/>
        <c:ser>
          <c:idx val="1"/>
          <c:order val="0"/>
          <c:tx>
            <c:strRef>
              <c:f>Westpower!$B$223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Westpower!$C$221:$D$221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Westpower!$C$223:$D$223</c:f>
              <c:numCache>
                <c:formatCode>_-* #,##0_-;\-* #,##0_-;_-* "-"??_-;_-@_-</c:formatCode>
                <c:ptCount val="2"/>
                <c:pt idx="0">
                  <c:v>6744.6902535636327</c:v>
                </c:pt>
                <c:pt idx="1">
                  <c:v>6374.8530085419407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Westpower!$B$224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Westpower!$C$221:$D$221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Westpower!$C$224:$D$224</c:f>
              <c:numCache>
                <c:formatCode>_-* #,##0_-;\-* #,##0_-;_-* "-"??_-;_-@_-</c:formatCode>
                <c:ptCount val="2"/>
                <c:pt idx="1">
                  <c:v>5656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728000"/>
        <c:axId val="186196736"/>
      </c:lineChart>
      <c:catAx>
        <c:axId val="18572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6196736"/>
        <c:crosses val="autoZero"/>
        <c:auto val="1"/>
        <c:lblAlgn val="ctr"/>
        <c:lblOffset val="100"/>
        <c:noMultiLvlLbl val="0"/>
      </c:catAx>
      <c:valAx>
        <c:axId val="18619673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5728000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959E-3"/>
          <c:w val="0.90316284722220352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Westpower!$V$221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18524770838745996"/>
                  <c:y val="2.939768518518518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Westpower!$W$221:$AC$221</c:f>
              <c:numCache>
                <c:formatCode>General</c:formatCode>
                <c:ptCount val="7"/>
                <c:pt idx="0">
                  <c:v>6744.6902535636327</c:v>
                </c:pt>
                <c:pt idx="1">
                  <c:v>6374.8530085419407</c:v>
                </c:pt>
                <c:pt idx="2">
                  <c:v>6570.4694026030011</c:v>
                </c:pt>
                <c:pt idx="3">
                  <c:v>6136.4455282800236</c:v>
                </c:pt>
                <c:pt idx="4">
                  <c:v>5955.0928296192496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Westpower!$V$222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7.5010337774837912E-2"/>
                  <c:y val="3.527777777777868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Westpower!$W$222:$AC$222</c:f>
              <c:numCache>
                <c:formatCode>General</c:formatCode>
                <c:ptCount val="7"/>
                <c:pt idx="1">
                  <c:v>5656</c:v>
                </c:pt>
                <c:pt idx="2">
                  <c:v>6931</c:v>
                </c:pt>
                <c:pt idx="3">
                  <c:v>6247</c:v>
                </c:pt>
                <c:pt idx="4">
                  <c:v>6370</c:v>
                </c:pt>
                <c:pt idx="5">
                  <c:v>5605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Westpower!$V$223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0"/>
                  <c:y val="-4.0398148148148121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Westpower!$W$223:$AC$223</c:f>
              <c:numCache>
                <c:formatCode>General</c:formatCode>
                <c:ptCount val="7"/>
                <c:pt idx="2">
                  <c:v>5388.7193277310926</c:v>
                </c:pt>
                <c:pt idx="3">
                  <c:v>4916.5220426632186</c:v>
                </c:pt>
                <c:pt idx="4">
                  <c:v>3442.249773755656</c:v>
                </c:pt>
                <c:pt idx="5">
                  <c:v>2697.292566257272</c:v>
                </c:pt>
                <c:pt idx="6">
                  <c:v>2662.0977375565608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Westpower!$V$220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7.0567799106349124E-2"/>
                  <c:y val="0.37567738791423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Westpower!$W$219:$AC$219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Westpower!$W$220:$AC$220</c:f>
              <c:numCache>
                <c:formatCode>General</c:formatCode>
                <c:ptCount val="7"/>
                <c:pt idx="0">
                  <c:v>5693.2521354854343</c:v>
                </c:pt>
                <c:pt idx="1">
                  <c:v>3956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254080"/>
        <c:axId val="186255616"/>
      </c:lineChart>
      <c:catAx>
        <c:axId val="18625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6255616"/>
        <c:crosses val="autoZero"/>
        <c:auto val="1"/>
        <c:lblAlgn val="ctr"/>
        <c:lblOffset val="100"/>
        <c:noMultiLvlLbl val="0"/>
      </c:catAx>
      <c:valAx>
        <c:axId val="186255616"/>
        <c:scaling>
          <c:orientation val="minMax"/>
          <c:max val="7000"/>
          <c:min val="2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6254080"/>
        <c:crosses val="autoZero"/>
        <c:crossBetween val="midCat"/>
        <c:majorUnit val="5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9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38"/>
          <c:y val="6.4675925925925928E-2"/>
          <c:w val="0.81851074901333309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Westpower!$B$237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5495887607361E-3"/>
                  <c:y val="-3.5278240740740811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Westpower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Westpower!$C$236:$F$236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Westpower!$C$237:$F$237</c:f>
              <c:numCache>
                <c:formatCode>_(* #,##0.00_);_(* \(#,##0.00\);_(* "-"??_);_(@_)</c:formatCode>
                <c:ptCount val="4"/>
                <c:pt idx="0">
                  <c:v>1.41</c:v>
                </c:pt>
                <c:pt idx="1">
                  <c:v>3.0920000000000001</c:v>
                </c:pt>
                <c:pt idx="2">
                  <c:v>2.02</c:v>
                </c:pt>
                <c:pt idx="3">
                  <c:v>2.62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Westpower!$B$239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5.87958333333340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Westpower!$C$236:$F$236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01440"/>
        <c:axId val="186327808"/>
      </c:lineChart>
      <c:catAx>
        <c:axId val="1863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6327808"/>
        <c:crosses val="autoZero"/>
        <c:auto val="1"/>
        <c:lblAlgn val="ctr"/>
        <c:lblOffset val="100"/>
        <c:noMultiLvlLbl val="0"/>
      </c:catAx>
      <c:valAx>
        <c:axId val="186327808"/>
        <c:scaling>
          <c:orientation val="minMax"/>
          <c:max val="4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630144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44"/>
          <c:y val="6.4675925925925928E-2"/>
          <c:w val="0.83176107888302875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Westpower!$B$230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5495887607361E-3"/>
                  <c:y val="-3.5277777777778685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Westpower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Westpower!$C$229:$F$229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Westpower!$C$230:$F$230</c:f>
              <c:numCache>
                <c:formatCode>_(* #,##0.00_);_(* \(#,##0.00\);_(* "-"??_);_(@_)</c:formatCode>
                <c:ptCount val="4"/>
                <c:pt idx="0">
                  <c:v>150.52000000000001</c:v>
                </c:pt>
                <c:pt idx="1">
                  <c:v>382.46999999999997</c:v>
                </c:pt>
                <c:pt idx="2">
                  <c:v>279.3</c:v>
                </c:pt>
                <c:pt idx="3">
                  <c:v>297.28000000000003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Westpower!$B$232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7.0555092592592586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Westpower!$C$229:$F$229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Westpower!$C$232:$F$232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57248"/>
        <c:axId val="186358784"/>
      </c:lineChart>
      <c:catAx>
        <c:axId val="18635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6358784"/>
        <c:crosses val="autoZero"/>
        <c:auto val="1"/>
        <c:lblAlgn val="ctr"/>
        <c:lblOffset val="100"/>
        <c:noMultiLvlLbl val="0"/>
      </c:catAx>
      <c:valAx>
        <c:axId val="186358784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6357248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22576285090554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TPCL!$B$26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1311493720632411"/>
                  <c:y val="-0.417352798418238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TPCL!$C$26:$F$26</c:f>
              <c:numCache>
                <c:formatCode>0</c:formatCode>
                <c:ptCount val="4"/>
                <c:pt idx="0">
                  <c:v>1995.3450999401216</c:v>
                </c:pt>
                <c:pt idx="1">
                  <c:v>2006.0139748781655</c:v>
                </c:pt>
                <c:pt idx="2">
                  <c:v>1984.4875643340251</c:v>
                </c:pt>
                <c:pt idx="3">
                  <c:v>2061.7600000000002</c:v>
                </c:pt>
              </c:numCache>
            </c:numRef>
          </c:val>
        </c:ser>
        <c:ser>
          <c:idx val="1"/>
          <c:order val="1"/>
          <c:tx>
            <c:strRef>
              <c:f>TPCL!$B$27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1763016379747117"/>
                  <c:y val="-7.839311228146428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TPCL!$C$27:$F$27</c:f>
              <c:numCache>
                <c:formatCode>0</c:formatCode>
                <c:ptCount val="4"/>
                <c:pt idx="0">
                  <c:v>747.76926805622873</c:v>
                </c:pt>
                <c:pt idx="1">
                  <c:v>793.93473814263143</c:v>
                </c:pt>
                <c:pt idx="2">
                  <c:v>795.50666918164416</c:v>
                </c:pt>
                <c:pt idx="3">
                  <c:v>825.6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949568"/>
        <c:axId val="183836672"/>
      </c:areaChart>
      <c:catAx>
        <c:axId val="18394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3836672"/>
        <c:crosses val="autoZero"/>
        <c:auto val="1"/>
        <c:lblAlgn val="ctr"/>
        <c:lblOffset val="100"/>
        <c:noMultiLvlLbl val="0"/>
      </c:catAx>
      <c:valAx>
        <c:axId val="183836672"/>
        <c:scaling>
          <c:orientation val="minMax"/>
          <c:min val="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3949568"/>
        <c:crosses val="autoZero"/>
        <c:crossBetween val="midCat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TPCL!$B$28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TPCL!$C$25:$F$25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TPCL!$C$28:$F$28</c:f>
              <c:numCache>
                <c:formatCode>0</c:formatCode>
                <c:ptCount val="4"/>
                <c:pt idx="0">
                  <c:v>610.63511163069199</c:v>
                </c:pt>
                <c:pt idx="1">
                  <c:v>651.92339899787203</c:v>
                </c:pt>
                <c:pt idx="2">
                  <c:v>661.83546657325303</c:v>
                </c:pt>
                <c:pt idx="3">
                  <c:v>692</c:v>
                </c:pt>
              </c:numCache>
            </c:numRef>
          </c:val>
        </c:ser>
        <c:ser>
          <c:idx val="1"/>
          <c:order val="1"/>
          <c:tx>
            <c:strRef>
              <c:f>TPCL!$B$29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TPCL!$C$25:$F$25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TPCL!$C$29:$F$29</c:f>
              <c:numCache>
                <c:formatCode>0</c:formatCode>
                <c:ptCount val="4"/>
                <c:pt idx="0">
                  <c:v>137.13415642553676</c:v>
                </c:pt>
                <c:pt idx="1">
                  <c:v>142.01133914475938</c:v>
                </c:pt>
                <c:pt idx="2">
                  <c:v>133.67120260839101</c:v>
                </c:pt>
                <c:pt idx="3">
                  <c:v>133.6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866112"/>
        <c:axId val="183867648"/>
      </c:barChart>
      <c:catAx>
        <c:axId val="18386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3867648"/>
        <c:crosses val="autoZero"/>
        <c:auto val="1"/>
        <c:lblAlgn val="ctr"/>
        <c:lblOffset val="100"/>
        <c:noMultiLvlLbl val="0"/>
      </c:catAx>
      <c:valAx>
        <c:axId val="183867648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386611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406"/>
          <c:w val="0.89745624999998186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TPCL!$B$40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TPCL!$C$39:$F$39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TPCL!$C$40:$F$40</c:f>
              <c:numCache>
                <c:formatCode>0</c:formatCode>
                <c:ptCount val="4"/>
                <c:pt idx="0">
                  <c:v>39160.857688688659</c:v>
                </c:pt>
                <c:pt idx="1">
                  <c:v>41574.650010295823</c:v>
                </c:pt>
                <c:pt idx="2">
                  <c:v>44547.558405863485</c:v>
                </c:pt>
                <c:pt idx="3">
                  <c:v>45000.902999999998</c:v>
                </c:pt>
              </c:numCache>
            </c:numRef>
          </c:val>
        </c:ser>
        <c:ser>
          <c:idx val="1"/>
          <c:order val="1"/>
          <c:tx>
            <c:strRef>
              <c:f>TPCL!$B$41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TPCL!$C$39:$F$39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TPCL!$C$41:$F$41</c:f>
              <c:numCache>
                <c:formatCode>0</c:formatCode>
                <c:ptCount val="4"/>
                <c:pt idx="0">
                  <c:v>5325.8076473439587</c:v>
                </c:pt>
                <c:pt idx="1">
                  <c:v>5244.4538403459383</c:v>
                </c:pt>
                <c:pt idx="2">
                  <c:v>2420.7528765056181</c:v>
                </c:pt>
                <c:pt idx="3">
                  <c:v>2116</c:v>
                </c:pt>
              </c:numCache>
            </c:numRef>
          </c:val>
        </c:ser>
        <c:ser>
          <c:idx val="3"/>
          <c:order val="2"/>
          <c:tx>
            <c:strRef>
              <c:f>TPCL!$B$42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TPCL!$C$39:$F$39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TPCL!$C$42:$F$42</c:f>
              <c:numCache>
                <c:formatCode>0</c:formatCode>
                <c:ptCount val="4"/>
                <c:pt idx="0">
                  <c:v>922.85249921587626</c:v>
                </c:pt>
                <c:pt idx="1">
                  <c:v>772.34237078728779</c:v>
                </c:pt>
                <c:pt idx="2">
                  <c:v>824.2378270593623</c:v>
                </c:pt>
                <c:pt idx="3">
                  <c:v>687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4050432"/>
        <c:axId val="184051968"/>
      </c:barChart>
      <c:catAx>
        <c:axId val="18405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4051968"/>
        <c:crosses val="autoZero"/>
        <c:auto val="1"/>
        <c:lblAlgn val="ctr"/>
        <c:lblOffset val="100"/>
        <c:noMultiLvlLbl val="0"/>
      </c:catAx>
      <c:valAx>
        <c:axId val="184051968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4050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372"/>
          <c:h val="0.2117129629629687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3076E-2"/>
          <c:y val="9.9262962962965245E-2"/>
          <c:w val="0.81073204086216011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TPCL!$B$45</c:f>
              <c:strCache>
                <c:ptCount val="1"/>
                <c:pt idx="0">
                  <c:v>The Power Company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724592992309529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TPCL!$B$46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5.2447552447552448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TPCL!$C$45:$F$45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TPCL!$C$46:$F$46</c:f>
              <c:numCache>
                <c:formatCode>0.0</c:formatCode>
                <c:ptCount val="4"/>
                <c:pt idx="0">
                  <c:v>100</c:v>
                </c:pt>
                <c:pt idx="1">
                  <c:v>106.16378819073815</c:v>
                </c:pt>
                <c:pt idx="2">
                  <c:v>113.75531853770082</c:v>
                </c:pt>
                <c:pt idx="3">
                  <c:v>114.91296579287689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TPCL!$B$47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TPCL!$C$45:$F$45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TPCL!$C$47:$F$47</c:f>
              <c:numCache>
                <c:formatCode>0.0</c:formatCode>
                <c:ptCount val="4"/>
                <c:pt idx="0">
                  <c:v>100</c:v>
                </c:pt>
                <c:pt idx="1">
                  <c:v>98.472460659772565</c:v>
                </c:pt>
                <c:pt idx="2">
                  <c:v>45.453253981353896</c:v>
                </c:pt>
                <c:pt idx="3">
                  <c:v>39.731063157252279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TPCL!$B$48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TPCL!$C$45:$F$45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TPCL!$C$48:$F$48</c:f>
              <c:numCache>
                <c:formatCode>0.0</c:formatCode>
                <c:ptCount val="4"/>
                <c:pt idx="0">
                  <c:v>100</c:v>
                </c:pt>
                <c:pt idx="1">
                  <c:v>83.690770891721812</c:v>
                </c:pt>
                <c:pt idx="2">
                  <c:v>89.314145842341617</c:v>
                </c:pt>
                <c:pt idx="3">
                  <c:v>74.443099041691497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849920"/>
        <c:axId val="186876288"/>
      </c:lineChart>
      <c:catAx>
        <c:axId val="18684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6876288"/>
        <c:crossesAt val="0"/>
        <c:auto val="1"/>
        <c:lblAlgn val="ctr"/>
        <c:lblOffset val="100"/>
        <c:noMultiLvlLbl val="0"/>
      </c:catAx>
      <c:valAx>
        <c:axId val="186876288"/>
        <c:scaling>
          <c:orientation val="minMax"/>
          <c:max val="12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6849920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9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3038"/>
          <c:h val="0.702040277777791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TPCL!$B$54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TPCL!$C$53:$F$53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TPCL!$C$54:$F$54</c:f>
              <c:numCache>
                <c:formatCode>0</c:formatCode>
                <c:ptCount val="4"/>
                <c:pt idx="0">
                  <c:v>18087.503619514697</c:v>
                </c:pt>
                <c:pt idx="1">
                  <c:v>22440.673335438252</c:v>
                </c:pt>
                <c:pt idx="2">
                  <c:v>25360.234026299477</c:v>
                </c:pt>
                <c:pt idx="3">
                  <c:v>24585.013999999999</c:v>
                </c:pt>
              </c:numCache>
            </c:numRef>
          </c:val>
        </c:ser>
        <c:ser>
          <c:idx val="1"/>
          <c:order val="1"/>
          <c:tx>
            <c:strRef>
              <c:f>TPCL!$B$55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TPCL!$C$53:$F$53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TPCL!$C$55:$F$55</c:f>
              <c:numCache>
                <c:formatCode>0</c:formatCode>
                <c:ptCount val="4"/>
                <c:pt idx="0">
                  <c:v>11512.614036383336</c:v>
                </c:pt>
                <c:pt idx="1">
                  <c:v>12050.632744869241</c:v>
                </c:pt>
                <c:pt idx="2">
                  <c:v>11948.409306405107</c:v>
                </c:pt>
                <c:pt idx="3">
                  <c:v>11484.915999999999</c:v>
                </c:pt>
              </c:numCache>
            </c:numRef>
          </c:val>
        </c:ser>
        <c:ser>
          <c:idx val="2"/>
          <c:order val="2"/>
          <c:tx>
            <c:strRef>
              <c:f>TPCL!$B$56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TPCL!$C$53:$F$53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TPCL!$C$56:$F$56</c:f>
              <c:numCache>
                <c:formatCode>0</c:formatCode>
                <c:ptCount val="4"/>
                <c:pt idx="0">
                  <c:v>6030.7140823472382</c:v>
                </c:pt>
                <c:pt idx="1">
                  <c:v>4598.7161355480803</c:v>
                </c:pt>
                <c:pt idx="2">
                  <c:v>4157.6214660882215</c:v>
                </c:pt>
                <c:pt idx="3">
                  <c:v>5954.9094999999998</c:v>
                </c:pt>
              </c:numCache>
            </c:numRef>
          </c:val>
        </c:ser>
        <c:ser>
          <c:idx val="3"/>
          <c:order val="3"/>
          <c:tx>
            <c:strRef>
              <c:f>TPCL!$B$57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TPCL!$C$53:$F$53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TPCL!$C$57:$F$57</c:f>
              <c:numCache>
                <c:formatCode>0</c:formatCode>
                <c:ptCount val="4"/>
                <c:pt idx="0">
                  <c:v>3530.0265973026144</c:v>
                </c:pt>
                <c:pt idx="1">
                  <c:v>2484.232384213054</c:v>
                </c:pt>
                <c:pt idx="2">
                  <c:v>3081.2928938859095</c:v>
                </c:pt>
                <c:pt idx="3">
                  <c:v>2976.0636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917248"/>
        <c:axId val="186918784"/>
      </c:barChart>
      <c:catAx>
        <c:axId val="18691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6918784"/>
        <c:crosses val="autoZero"/>
        <c:auto val="1"/>
        <c:lblAlgn val="ctr"/>
        <c:lblOffset val="100"/>
        <c:noMultiLvlLbl val="0"/>
      </c:catAx>
      <c:valAx>
        <c:axId val="18691878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6917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20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Buller!$V$221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3.5135914351405055E-2"/>
                  <c:y val="-5.8800925925927387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Buller!$W$221:$AC$221</c:f>
              <c:numCache>
                <c:formatCode>General</c:formatCode>
                <c:ptCount val="7"/>
                <c:pt idx="0">
                  <c:v>1847.1485543369888</c:v>
                </c:pt>
                <c:pt idx="1">
                  <c:v>839.5203578453827</c:v>
                </c:pt>
                <c:pt idx="2">
                  <c:v>855.82172401713763</c:v>
                </c:pt>
                <c:pt idx="3">
                  <c:v>798.76694241599512</c:v>
                </c:pt>
                <c:pt idx="4">
                  <c:v>746.80633774352611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Buller!$V$222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6313710152498696"/>
                  <c:y val="-0.50688596491227844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Buller!$W$222:$AC$222</c:f>
              <c:numCache>
                <c:formatCode>General</c:formatCode>
                <c:ptCount val="7"/>
                <c:pt idx="1">
                  <c:v>1736</c:v>
                </c:pt>
                <c:pt idx="2">
                  <c:v>1068</c:v>
                </c:pt>
                <c:pt idx="3">
                  <c:v>1031</c:v>
                </c:pt>
                <c:pt idx="4">
                  <c:v>990</c:v>
                </c:pt>
                <c:pt idx="5">
                  <c:v>990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Buller!$V$223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8.8969133469678167E-3"/>
                  <c:y val="-0.1095467836257312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Buller!$W$223:$AC$223</c:f>
              <c:numCache>
                <c:formatCode>General</c:formatCode>
                <c:ptCount val="7"/>
                <c:pt idx="2">
                  <c:v>1593.5436328377505</c:v>
                </c:pt>
                <c:pt idx="3">
                  <c:v>1459.6077569489335</c:v>
                </c:pt>
                <c:pt idx="4">
                  <c:v>970.79069166127988</c:v>
                </c:pt>
                <c:pt idx="5">
                  <c:v>970.79069166127988</c:v>
                </c:pt>
                <c:pt idx="6">
                  <c:v>1069.5317388493859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Buller!$V$220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3.9751309132680684E-2"/>
                  <c:y val="4.70370370370382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Buller!$W$220:$AC$220</c:f>
              <c:numCache>
                <c:formatCode>General</c:formatCode>
                <c:ptCount val="7"/>
                <c:pt idx="0">
                  <c:v>1509.914041658807</c:v>
                </c:pt>
                <c:pt idx="1">
                  <c:v>1295.2470000000001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41664"/>
        <c:axId val="121043200"/>
      </c:lineChart>
      <c:catAx>
        <c:axId val="12104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1043200"/>
        <c:crosses val="autoZero"/>
        <c:auto val="1"/>
        <c:lblAlgn val="ctr"/>
        <c:lblOffset val="100"/>
        <c:noMultiLvlLbl val="0"/>
      </c:catAx>
      <c:valAx>
        <c:axId val="121043200"/>
        <c:scaling>
          <c:orientation val="minMax"/>
          <c:max val="2000"/>
          <c:min val="6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1041664"/>
        <c:crosses val="autoZero"/>
        <c:crossBetween val="midCat"/>
        <c:majorUnit val="2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9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2757908454350015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TPCL!$B$61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56787643764014E-6"/>
                  <c:y val="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TPCL!$C$61:$F$61</c:f>
              <c:numCache>
                <c:formatCode>0.0</c:formatCode>
                <c:ptCount val="4"/>
                <c:pt idx="0">
                  <c:v>100</c:v>
                </c:pt>
                <c:pt idx="1">
                  <c:v>124.06727764923235</c:v>
                </c:pt>
                <c:pt idx="2">
                  <c:v>140.20859130022893</c:v>
                </c:pt>
                <c:pt idx="3">
                  <c:v>135.92264868146373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TPCL!$B$62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828393821881842E-6"/>
                  <c:y val="-3.939861111111105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TPCL!$C$62:$F$62</c:f>
              <c:numCache>
                <c:formatCode>0.0</c:formatCode>
                <c:ptCount val="4"/>
                <c:pt idx="0">
                  <c:v>100</c:v>
                </c:pt>
                <c:pt idx="1">
                  <c:v>104.67329753942592</c:v>
                </c:pt>
                <c:pt idx="2">
                  <c:v>103.78537201581261</c:v>
                </c:pt>
                <c:pt idx="3">
                  <c:v>99.759411404779115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TPCL!$B$63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070984554705866E-6"/>
                  <c:y val="2.939722222222235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TPCL!$C$63:$F$63</c:f>
              <c:numCache>
                <c:formatCode>0.0</c:formatCode>
                <c:ptCount val="4"/>
                <c:pt idx="0">
                  <c:v>100</c:v>
                </c:pt>
                <c:pt idx="1">
                  <c:v>76.254918949137036</c:v>
                </c:pt>
                <c:pt idx="2">
                  <c:v>68.940782290743542</c:v>
                </c:pt>
                <c:pt idx="3">
                  <c:v>98.743024767678349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TPCL!$B$64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1.763888888888889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TPCL!$C$64:$F$64</c:f>
              <c:numCache>
                <c:formatCode>0.0</c:formatCode>
                <c:ptCount val="4"/>
                <c:pt idx="0">
                  <c:v>100</c:v>
                </c:pt>
                <c:pt idx="1">
                  <c:v>70.374324831187423</c:v>
                </c:pt>
                <c:pt idx="2">
                  <c:v>87.288092850076708</c:v>
                </c:pt>
                <c:pt idx="3">
                  <c:v>84.307115483891479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71648"/>
        <c:axId val="186973184"/>
      </c:lineChart>
      <c:catAx>
        <c:axId val="18697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6973184"/>
        <c:crosses val="autoZero"/>
        <c:auto val="1"/>
        <c:lblAlgn val="ctr"/>
        <c:lblOffset val="100"/>
        <c:noMultiLvlLbl val="0"/>
      </c:catAx>
      <c:valAx>
        <c:axId val="186973184"/>
        <c:scaling>
          <c:orientation val="minMax"/>
          <c:max val="141"/>
          <c:min val="6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6971648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68E-2"/>
          <c:y val="5.1489936964064897E-2"/>
          <c:w val="0.84460351024323199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TPCL!$B$84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354918846777024E-3"/>
                  <c:y val="-2.805987248455952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TPCL!$C$84:$F$84</c:f>
              <c:numCache>
                <c:formatCode>0.00</c:formatCode>
                <c:ptCount val="4"/>
                <c:pt idx="0">
                  <c:v>8.7630069738331677</c:v>
                </c:pt>
                <c:pt idx="1">
                  <c:v>9.392585937568656</c:v>
                </c:pt>
                <c:pt idx="2">
                  <c:v>9.9363234963983409</c:v>
                </c:pt>
                <c:pt idx="3">
                  <c:v>9.619400996308789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TPCL!$B$85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90609520707183E-3"/>
                  <c:y val="-4.06340904562661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TPCL!$C$85:$F$85</c:f>
              <c:numCache>
                <c:formatCode>0.00</c:formatCode>
                <c:ptCount val="4"/>
                <c:pt idx="0">
                  <c:v>8.744744877307669</c:v>
                </c:pt>
                <c:pt idx="1">
                  <c:v>8.8161573937772761</c:v>
                </c:pt>
                <c:pt idx="2">
                  <c:v>8.0571955691832038</c:v>
                </c:pt>
                <c:pt idx="3">
                  <c:v>7.8764119180276575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TPCL!$B$86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513218553147734E-3"/>
                  <c:y val="-2.850567842199648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TPCL!$C$86:$F$86</c:f>
              <c:numCache>
                <c:formatCode>0.00</c:formatCode>
                <c:ptCount val="4"/>
                <c:pt idx="0">
                  <c:v>3.9745972785122907</c:v>
                </c:pt>
                <c:pt idx="1">
                  <c:v>3.4980876363061082</c:v>
                </c:pt>
                <c:pt idx="2">
                  <c:v>3.6151865799918692</c:v>
                </c:pt>
                <c:pt idx="3">
                  <c:v>5.1230567468671673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TPCL!$B$87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99660429540984E-3"/>
                  <c:y val="-2.887427774457139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TPCL!$C$83:$F$83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TPCL!$C$87:$F$87</c:f>
              <c:numCache>
                <c:formatCode>0.00</c:formatCode>
                <c:ptCount val="4"/>
                <c:pt idx="0">
                  <c:v>2.5273172638471522</c:v>
                </c:pt>
                <c:pt idx="1">
                  <c:v>1.739713720759527</c:v>
                </c:pt>
                <c:pt idx="2">
                  <c:v>2.0514733677263073</c:v>
                </c:pt>
                <c:pt idx="3">
                  <c:v>1.931601480187813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718464"/>
        <c:axId val="186753024"/>
      </c:lineChart>
      <c:catAx>
        <c:axId val="18671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6753024"/>
        <c:crosses val="autoZero"/>
        <c:auto val="1"/>
        <c:lblAlgn val="ctr"/>
        <c:lblOffset val="100"/>
        <c:noMultiLvlLbl val="0"/>
      </c:catAx>
      <c:valAx>
        <c:axId val="18675302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6718464"/>
        <c:crosses val="autoZero"/>
        <c:crossBetween val="midCat"/>
        <c:majorUnit val="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777E-2"/>
          <c:y val="5.8338380979806134E-2"/>
          <c:w val="0.81222781376665243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TPCL!$B$90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7141244926534E-3"/>
                  <c:y val="-3.38613269575612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TPCL!$C$90:$F$90</c:f>
              <c:numCache>
                <c:formatCode>0.0</c:formatCode>
                <c:ptCount val="4"/>
                <c:pt idx="0">
                  <c:v>100</c:v>
                </c:pt>
                <c:pt idx="1">
                  <c:v>107.18450830423217</c:v>
                </c:pt>
                <c:pt idx="2">
                  <c:v>113.38942815027721</c:v>
                </c:pt>
                <c:pt idx="3">
                  <c:v>109.77283283047545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TPCL!$B$91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6698344326755E-3"/>
                  <c:y val="-4.748356246264197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TPCL!$C$91:$F$91</c:f>
              <c:numCache>
                <c:formatCode>0.0</c:formatCode>
                <c:ptCount val="4"/>
                <c:pt idx="0">
                  <c:v>100</c:v>
                </c:pt>
                <c:pt idx="1">
                  <c:v>100.81663350356762</c:v>
                </c:pt>
                <c:pt idx="2">
                  <c:v>92.137571561308391</c:v>
                </c:pt>
                <c:pt idx="3">
                  <c:v>90.070231076342694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TPCL!$B$92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200616792511424E-3"/>
                  <c:y val="-2.84279736999402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TPCL!$C$92:$F$92</c:f>
              <c:numCache>
                <c:formatCode>0.0</c:formatCode>
                <c:ptCount val="4"/>
                <c:pt idx="0">
                  <c:v>100</c:v>
                </c:pt>
                <c:pt idx="1">
                  <c:v>88.011121408895491</c:v>
                </c:pt>
                <c:pt idx="2">
                  <c:v>90.957305273077864</c:v>
                </c:pt>
                <c:pt idx="3">
                  <c:v>128.89498955186599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TPCL!$B$93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975683560351283E-3"/>
                  <c:y val="2.16557083084280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TPCL!$C$89:$F$89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TPCL!$C$93:$F$93</c:f>
              <c:numCache>
                <c:formatCode>0.0</c:formatCode>
                <c:ptCount val="4"/>
                <c:pt idx="0">
                  <c:v>100</c:v>
                </c:pt>
                <c:pt idx="1">
                  <c:v>68.836380206230487</c:v>
                </c:pt>
                <c:pt idx="2">
                  <c:v>81.171976192791007</c:v>
                </c:pt>
                <c:pt idx="3">
                  <c:v>76.42892753589139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243520"/>
        <c:axId val="187265792"/>
      </c:lineChart>
      <c:catAx>
        <c:axId val="1872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7265792"/>
        <c:crosses val="autoZero"/>
        <c:auto val="1"/>
        <c:lblAlgn val="ctr"/>
        <c:lblOffset val="100"/>
        <c:noMultiLvlLbl val="0"/>
      </c:catAx>
      <c:valAx>
        <c:axId val="187265792"/>
        <c:scaling>
          <c:orientation val="minMax"/>
          <c:max val="14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7243520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4038496452748501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TPCL!$B$120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5.878703703703885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TPCL!$C$120:$F$120</c:f>
              <c:numCache>
                <c:formatCode>0.0</c:formatCode>
                <c:ptCount val="4"/>
                <c:pt idx="0">
                  <c:v>100</c:v>
                </c:pt>
                <c:pt idx="1">
                  <c:v>115.75112822935213</c:v>
                </c:pt>
                <c:pt idx="2">
                  <c:v>123.65226069789131</c:v>
                </c:pt>
                <c:pt idx="3">
                  <c:v>123.82175550791517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TPCL!$B$121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600801338294663E-3"/>
                  <c:y val="-4.11574074074074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TPCL!$C$121:$F$121</c:f>
              <c:numCache>
                <c:formatCode>0.0</c:formatCode>
                <c:ptCount val="4"/>
                <c:pt idx="0">
                  <c:v>100</c:v>
                </c:pt>
                <c:pt idx="1">
                  <c:v>103.82542433905198</c:v>
                </c:pt>
                <c:pt idx="2">
                  <c:v>112.64174891645995</c:v>
                </c:pt>
                <c:pt idx="3">
                  <c:v>110.75736146410455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TPCL!$B$122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009866764143629E-5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TPCL!$C$122:$F$122</c:f>
              <c:numCache>
                <c:formatCode>0.0</c:formatCode>
                <c:ptCount val="4"/>
                <c:pt idx="0">
                  <c:v>100</c:v>
                </c:pt>
                <c:pt idx="1">
                  <c:v>86.642367155919217</c:v>
                </c:pt>
                <c:pt idx="2">
                  <c:v>75.794662214063052</c:v>
                </c:pt>
                <c:pt idx="3">
                  <c:v>76.607341457555421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TPCL!$B$123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7199238652249766E-6"/>
                  <c:y val="3.527685185185185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</a:t>
                    </a:r>
                    <a:r>
                      <a:rPr lang="en-US" sz="700" baseline="0"/>
                      <a:t> 5</a:t>
                    </a:r>
                    <a:endParaRPr lang="en-US" sz="80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TPCL!$C$119:$F$119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TPCL!$C$123:$F$123</c:f>
              <c:numCache>
                <c:formatCode>0.0</c:formatCode>
                <c:ptCount val="4"/>
                <c:pt idx="0">
                  <c:v>100</c:v>
                </c:pt>
                <c:pt idx="1">
                  <c:v>102.23420322269901</c:v>
                </c:pt>
                <c:pt idx="2">
                  <c:v>107.53476377458074</c:v>
                </c:pt>
                <c:pt idx="3">
                  <c:v>110.3078614367583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46944"/>
        <c:axId val="187348480"/>
      </c:lineChart>
      <c:catAx>
        <c:axId val="18734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7348480"/>
        <c:crosses val="autoZero"/>
        <c:auto val="1"/>
        <c:lblAlgn val="ctr"/>
        <c:lblOffset val="100"/>
        <c:noMultiLvlLbl val="0"/>
      </c:catAx>
      <c:valAx>
        <c:axId val="187348480"/>
        <c:scaling>
          <c:orientation val="minMax"/>
          <c:max val="14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7346944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639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TPCL!$B$113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TPCL!$C$112:$F$112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TPCL!$C$113:$F$113</c:f>
              <c:numCache>
                <c:formatCode>General</c:formatCode>
                <c:ptCount val="4"/>
                <c:pt idx="0">
                  <c:v>206407.5</c:v>
                </c:pt>
                <c:pt idx="1">
                  <c:v>238919.01</c:v>
                </c:pt>
                <c:pt idx="2">
                  <c:v>255227.54</c:v>
                </c:pt>
                <c:pt idx="3">
                  <c:v>255577.39</c:v>
                </c:pt>
              </c:numCache>
            </c:numRef>
          </c:val>
        </c:ser>
        <c:ser>
          <c:idx val="1"/>
          <c:order val="1"/>
          <c:tx>
            <c:strRef>
              <c:f>TPCL!$B$114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TPCL!$C$112:$F$112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TPCL!$C$114:$F$114</c:f>
              <c:numCache>
                <c:formatCode>General</c:formatCode>
                <c:ptCount val="4"/>
                <c:pt idx="0">
                  <c:v>131651.79999999999</c:v>
                </c:pt>
                <c:pt idx="1">
                  <c:v>136688.04</c:v>
                </c:pt>
                <c:pt idx="2">
                  <c:v>148294.89000000001</c:v>
                </c:pt>
                <c:pt idx="3">
                  <c:v>145814.06</c:v>
                </c:pt>
              </c:numCache>
            </c:numRef>
          </c:val>
        </c:ser>
        <c:ser>
          <c:idx val="2"/>
          <c:order val="2"/>
          <c:tx>
            <c:strRef>
              <c:f>TPCL!$B$115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TPCL!$C$112:$F$112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TPCL!$C$115:$F$115</c:f>
              <c:numCache>
                <c:formatCode>General</c:formatCode>
                <c:ptCount val="4"/>
                <c:pt idx="0">
                  <c:v>151731.45000000001</c:v>
                </c:pt>
                <c:pt idx="1">
                  <c:v>131463.72</c:v>
                </c:pt>
                <c:pt idx="2">
                  <c:v>115004.34</c:v>
                </c:pt>
                <c:pt idx="3">
                  <c:v>116237.43</c:v>
                </c:pt>
              </c:numCache>
            </c:numRef>
          </c:val>
        </c:ser>
        <c:ser>
          <c:idx val="3"/>
          <c:order val="3"/>
          <c:tx>
            <c:strRef>
              <c:f>TPCL!$B$116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TPCL!$C$112:$F$112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TPCL!$C$116:$F$116</c:f>
              <c:numCache>
                <c:formatCode>General</c:formatCode>
                <c:ptCount val="4"/>
                <c:pt idx="0">
                  <c:v>139674.85</c:v>
                </c:pt>
                <c:pt idx="1">
                  <c:v>142795.47</c:v>
                </c:pt>
                <c:pt idx="2">
                  <c:v>150199.01999999999</c:v>
                </c:pt>
                <c:pt idx="3">
                  <c:v>154072.34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7454208"/>
        <c:axId val="187455744"/>
      </c:barChart>
      <c:catAx>
        <c:axId val="18745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7455744"/>
        <c:crosses val="autoZero"/>
        <c:auto val="1"/>
        <c:lblAlgn val="ctr"/>
        <c:lblOffset val="100"/>
        <c:noMultiLvlLbl val="0"/>
      </c:catAx>
      <c:valAx>
        <c:axId val="18745574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7454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TPCL!$U$138:$U$144</c:f>
              <c:strCache>
                <c:ptCount val="7"/>
                <c:pt idx="0">
                  <c:v>Routine and preventative maintenance</c:v>
                </c:pt>
                <c:pt idx="1">
                  <c:v>System management and operations</c:v>
                </c:pt>
                <c:pt idx="2">
                  <c:v>General management, admin and overheads</c:v>
                </c:pt>
                <c:pt idx="3">
                  <c:v>Fault and emergency maintenance</c:v>
                </c:pt>
                <c:pt idx="4">
                  <c:v>Refurbishment and renewal maintenance</c:v>
                </c:pt>
                <c:pt idx="5">
                  <c:v>Pass-through costs</c:v>
                </c:pt>
                <c:pt idx="6">
                  <c:v>Other</c:v>
                </c:pt>
              </c:strCache>
            </c:strRef>
          </c:cat>
          <c:val>
            <c:numRef>
              <c:f>TPCL!$V$138:$V$144</c:f>
              <c:numCache>
                <c:formatCode>General</c:formatCode>
                <c:ptCount val="7"/>
                <c:pt idx="0">
                  <c:v>3150</c:v>
                </c:pt>
                <c:pt idx="1">
                  <c:v>2342</c:v>
                </c:pt>
                <c:pt idx="2">
                  <c:v>2324</c:v>
                </c:pt>
                <c:pt idx="3">
                  <c:v>2274</c:v>
                </c:pt>
                <c:pt idx="4">
                  <c:v>718</c:v>
                </c:pt>
                <c:pt idx="5">
                  <c:v>289</c:v>
                </c:pt>
                <c:pt idx="6">
                  <c:v>222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87480320"/>
        <c:axId val="187494400"/>
      </c:barChart>
      <c:catAx>
        <c:axId val="187480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7494400"/>
        <c:crosses val="autoZero"/>
        <c:auto val="1"/>
        <c:lblAlgn val="ctr"/>
        <c:lblOffset val="100"/>
        <c:noMultiLvlLbl val="0"/>
      </c:catAx>
      <c:valAx>
        <c:axId val="187494400"/>
        <c:scaling>
          <c:orientation val="minMax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74803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83142361111079"/>
          <c:y val="5.1014483439099333E-2"/>
          <c:w val="0.70499878472221578"/>
          <c:h val="0.8328039561239134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TPCL!$U$186:$U$191</c:f>
              <c:strCache>
                <c:ptCount val="6"/>
                <c:pt idx="0">
                  <c:v>Asset replacement and renewal</c:v>
                </c:pt>
                <c:pt idx="1">
                  <c:v>Customer connection</c:v>
                </c:pt>
                <c:pt idx="2">
                  <c:v>System growth</c:v>
                </c:pt>
                <c:pt idx="3">
                  <c:v>Reliability, safety and environment</c:v>
                </c:pt>
                <c:pt idx="4">
                  <c:v>Non-network capex</c:v>
                </c:pt>
                <c:pt idx="5">
                  <c:v>Asset relocations</c:v>
                </c:pt>
              </c:strCache>
            </c:strRef>
          </c:cat>
          <c:val>
            <c:numRef>
              <c:f>TPCL!$V$186:$V$191</c:f>
              <c:numCache>
                <c:formatCode>General</c:formatCode>
                <c:ptCount val="6"/>
                <c:pt idx="0">
                  <c:v>6.0129999999999999</c:v>
                </c:pt>
                <c:pt idx="1">
                  <c:v>3.335</c:v>
                </c:pt>
                <c:pt idx="2">
                  <c:v>2.234</c:v>
                </c:pt>
                <c:pt idx="3">
                  <c:v>0.35399999999999998</c:v>
                </c:pt>
                <c:pt idx="4">
                  <c:v>0.29199999999999998</c:v>
                </c:pt>
                <c:pt idx="5">
                  <c:v>8.5999999999999993E-2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87501952"/>
        <c:axId val="187536512"/>
      </c:barChart>
      <c:catAx>
        <c:axId val="187501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7536512"/>
        <c:crosses val="autoZero"/>
        <c:auto val="1"/>
        <c:lblAlgn val="ctr"/>
        <c:lblOffset val="100"/>
        <c:noMultiLvlLbl val="0"/>
      </c:catAx>
      <c:valAx>
        <c:axId val="187536512"/>
        <c:scaling>
          <c:orientation val="minMax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75019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1322668744841764"/>
          <c:h val="0.82404629629630965"/>
        </c:manualLayout>
      </c:layout>
      <c:lineChart>
        <c:grouping val="standard"/>
        <c:varyColors val="0"/>
        <c:ser>
          <c:idx val="0"/>
          <c:order val="0"/>
          <c:tx>
            <c:strRef>
              <c:f>TPCL!$B$76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5.8796296296297823E-3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TPCL!$C$76:$F$76</c:f>
              <c:numCache>
                <c:formatCode>0.0</c:formatCode>
                <c:ptCount val="4"/>
                <c:pt idx="0">
                  <c:v>100</c:v>
                </c:pt>
                <c:pt idx="1">
                  <c:v>121.65111630517028</c:v>
                </c:pt>
                <c:pt idx="2">
                  <c:v>135.7520597951997</c:v>
                </c:pt>
                <c:pt idx="3">
                  <c:v>130.01943028152732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TPCL!$B$77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52787037037038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TPCL!$C$77:$F$77</c:f>
              <c:numCache>
                <c:formatCode>0.0</c:formatCode>
                <c:ptCount val="4"/>
                <c:pt idx="0">
                  <c:v>100</c:v>
                </c:pt>
                <c:pt idx="1">
                  <c:v>101.99759974956326</c:v>
                </c:pt>
                <c:pt idx="2">
                  <c:v>101.19445419589668</c:v>
                </c:pt>
                <c:pt idx="3">
                  <c:v>97.110029692292628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TPCL!$B$78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3279036827195456E-2"/>
                  <c:y val="-1.763935185185185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TPCL!$C$78:$F$78</c:f>
              <c:numCache>
                <c:formatCode>0.0</c:formatCode>
                <c:ptCount val="4"/>
                <c:pt idx="0">
                  <c:v>100</c:v>
                </c:pt>
                <c:pt idx="1">
                  <c:v>72.241502162340353</c:v>
                </c:pt>
                <c:pt idx="2">
                  <c:v>65.845481861363226</c:v>
                </c:pt>
                <c:pt idx="3">
                  <c:v>86.864164645250881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TPCL!$B$79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TPCL!$C$79:$F$79</c:f>
              <c:numCache>
                <c:formatCode>0.0</c:formatCode>
                <c:ptCount val="4"/>
                <c:pt idx="0">
                  <c:v>100</c:v>
                </c:pt>
                <c:pt idx="1">
                  <c:v>70.374324831187423</c:v>
                </c:pt>
                <c:pt idx="2">
                  <c:v>87.288092850076708</c:v>
                </c:pt>
                <c:pt idx="3">
                  <c:v>84.307115483891479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597184"/>
        <c:axId val="187598720"/>
      </c:lineChart>
      <c:catAx>
        <c:axId val="18759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7598720"/>
        <c:crosses val="autoZero"/>
        <c:auto val="1"/>
        <c:lblAlgn val="ctr"/>
        <c:lblOffset val="100"/>
        <c:noMultiLvlLbl val="0"/>
      </c:catAx>
      <c:valAx>
        <c:axId val="187598720"/>
        <c:scaling>
          <c:orientation val="minMax"/>
          <c:max val="140"/>
          <c:min val="6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7597184"/>
        <c:crosses val="autoZero"/>
        <c:crossBetween val="midCat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39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532"/>
          <c:y val="0.16445370370370369"/>
          <c:w val="0.70330041907982377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TPCL!$B$70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TPCL!$C$69:$F$69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TPCL!$C$70:$F$70</c:f>
              <c:numCache>
                <c:formatCode>0</c:formatCode>
                <c:ptCount val="4"/>
                <c:pt idx="0">
                  <c:v>646.12072656693203</c:v>
                </c:pt>
                <c:pt idx="1">
                  <c:v>786.01307654774962</c:v>
                </c:pt>
                <c:pt idx="2">
                  <c:v>877.12219507832037</c:v>
                </c:pt>
                <c:pt idx="3">
                  <c:v>840.08248761318987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635200"/>
        <c:axId val="187636736"/>
      </c:lineChart>
      <c:catAx>
        <c:axId val="1876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7636736"/>
        <c:crosses val="autoZero"/>
        <c:auto val="1"/>
        <c:lblAlgn val="ctr"/>
        <c:lblOffset val="100"/>
        <c:noMultiLvlLbl val="0"/>
      </c:catAx>
      <c:valAx>
        <c:axId val="187636736"/>
        <c:scaling>
          <c:orientation val="minMax"/>
          <c:max val="1000"/>
          <c:min val="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7635200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206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937"/>
          <c:y val="0.17621296296296818"/>
          <c:w val="0.73692152777777775"/>
          <c:h val="0.57282407407409996"/>
        </c:manualLayout>
      </c:layout>
      <c:lineChart>
        <c:grouping val="standard"/>
        <c:varyColors val="0"/>
        <c:ser>
          <c:idx val="1"/>
          <c:order val="0"/>
          <c:tx>
            <c:strRef>
              <c:f>TPCL!$B$71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TPCL!$C$69:$F$69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TPCL!$C$71:$F$71</c:f>
              <c:numCache>
                <c:formatCode>0</c:formatCode>
                <c:ptCount val="4"/>
                <c:pt idx="0">
                  <c:v>2416.0784966176993</c:v>
                </c:pt>
                <c:pt idx="1">
                  <c:v>2464.3420746153865</c:v>
                </c:pt>
                <c:pt idx="2">
                  <c:v>2444.9374475967065</c:v>
                </c:pt>
                <c:pt idx="3">
                  <c:v>2346.2545454545452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653504"/>
        <c:axId val="187675776"/>
      </c:lineChart>
      <c:catAx>
        <c:axId val="18765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7675776"/>
        <c:crosses val="autoZero"/>
        <c:auto val="1"/>
        <c:lblAlgn val="ctr"/>
        <c:lblOffset val="100"/>
        <c:noMultiLvlLbl val="0"/>
      </c:catAx>
      <c:valAx>
        <c:axId val="187675776"/>
        <c:scaling>
          <c:orientation val="minMax"/>
          <c:max val="3000"/>
          <c:min val="1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7653504"/>
        <c:crosses val="autoZero"/>
        <c:crossBetween val="midCat"/>
        <c:majorUnit val="3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394"/>
          <c:y val="6.4675925925925928E-2"/>
          <c:w val="0.79159803421620001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Buller!$B$237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3727772198473369E-6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Buller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Buller!$C$236:$F$236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Buller!$C$237:$F$237</c:f>
              <c:numCache>
                <c:formatCode>_(* #,##0.00_);_(* \(#,##0.00\);_(* "-"??_);_(@_)</c:formatCode>
                <c:ptCount val="4"/>
                <c:pt idx="0">
                  <c:v>2.06</c:v>
                </c:pt>
                <c:pt idx="1">
                  <c:v>1.52</c:v>
                </c:pt>
                <c:pt idx="2">
                  <c:v>2.2400000000000002</c:v>
                </c:pt>
                <c:pt idx="3">
                  <c:v>2.0700000000000003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Buller!$B$239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3313575287527366E-6"/>
                  <c:y val="-4.703703703703873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Buller!$C$236:$F$236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02304"/>
        <c:axId val="120836864"/>
      </c:lineChart>
      <c:catAx>
        <c:axId val="1208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0836864"/>
        <c:crosses val="autoZero"/>
        <c:auto val="1"/>
        <c:lblAlgn val="ctr"/>
        <c:lblOffset val="100"/>
        <c:noMultiLvlLbl val="0"/>
      </c:catAx>
      <c:valAx>
        <c:axId val="12083686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08023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</c:chartSpace>
</file>

<file path=xl/charts/chart9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900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TPCL!$B$72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TPCL!$C$69:$F$69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TPCL!$C$72:$F$72</c:f>
              <c:numCache>
                <c:formatCode>0</c:formatCode>
                <c:ptCount val="4"/>
                <c:pt idx="0">
                  <c:v>25772.282403193327</c:v>
                </c:pt>
                <c:pt idx="1">
                  <c:v>18618.28394958737</c:v>
                </c:pt>
                <c:pt idx="2">
                  <c:v>16969.883535053967</c:v>
                </c:pt>
                <c:pt idx="3">
                  <c:v>22386.87781954887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114624"/>
        <c:axId val="187116160"/>
      </c:lineChart>
      <c:catAx>
        <c:axId val="18711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7116160"/>
        <c:crosses val="autoZero"/>
        <c:auto val="1"/>
        <c:lblAlgn val="ctr"/>
        <c:lblOffset val="100"/>
        <c:noMultiLvlLbl val="0"/>
      </c:catAx>
      <c:valAx>
        <c:axId val="187116160"/>
        <c:scaling>
          <c:orientation val="minMax"/>
          <c:max val="30000"/>
          <c:min val="1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7114624"/>
        <c:crosses val="autoZero"/>
        <c:crossBetween val="midCat"/>
        <c:majorUnit val="3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TPCL!$B$73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TPCL!$C$69:$F$69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TPCL!$C$73:$F$73</c:f>
              <c:numCache>
                <c:formatCode>0</c:formatCode>
                <c:ptCount val="4"/>
                <c:pt idx="0">
                  <c:v>706005.31946052285</c:v>
                </c:pt>
                <c:pt idx="1">
                  <c:v>496846.47684261081</c:v>
                </c:pt>
                <c:pt idx="2">
                  <c:v>616258.57877718192</c:v>
                </c:pt>
                <c:pt idx="3">
                  <c:v>595212.72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140736"/>
        <c:axId val="187154816"/>
      </c:lineChart>
      <c:catAx>
        <c:axId val="18714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7154816"/>
        <c:crosses val="autoZero"/>
        <c:auto val="1"/>
        <c:lblAlgn val="ctr"/>
        <c:lblOffset val="100"/>
        <c:noMultiLvlLbl val="0"/>
      </c:catAx>
      <c:valAx>
        <c:axId val="187154816"/>
        <c:scaling>
          <c:orientation val="minMax"/>
          <c:max val="800000"/>
          <c:min val="4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7140736"/>
        <c:crosses val="autoZero"/>
        <c:crossBetween val="midCat"/>
        <c:majorUnit val="8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37"/>
          <c:y val="6.4675925925925928E-2"/>
          <c:w val="0.80486462046778562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TPCL!$B$105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1631162507608E-4"/>
                  <c:y val="-3.52782407407408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TPCL!$C$105:$F$105</c:f>
              <c:numCache>
                <c:formatCode>0.0</c:formatCode>
                <c:ptCount val="4"/>
                <c:pt idx="0">
                  <c:v>100</c:v>
                </c:pt>
                <c:pt idx="1">
                  <c:v>101.98613988711867</c:v>
                </c:pt>
                <c:pt idx="2">
                  <c:v>103.28284632421234</c:v>
                </c:pt>
                <c:pt idx="3">
                  <c:v>104.54025862684861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TPCL!$B$106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20764316146422329"/>
                  <c:y val="2.715416666666668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TPCL!$C$106:$F$106</c:f>
              <c:numCache>
                <c:formatCode>0.0</c:formatCode>
                <c:ptCount val="4"/>
                <c:pt idx="0">
                  <c:v>100</c:v>
                </c:pt>
                <c:pt idx="1">
                  <c:v>102.62329485834208</c:v>
                </c:pt>
                <c:pt idx="2">
                  <c:v>102.56033578174186</c:v>
                </c:pt>
                <c:pt idx="3">
                  <c:v>102.72822665267576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TPCL!$B$107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687940179117542E-5"/>
                  <c:y val="-2.349027777777826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TPCL!$C$104:$F$104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TPCL!$C$107:$F$107</c:f>
              <c:numCache>
                <c:formatCode>0.0</c:formatCode>
                <c:ptCount val="4"/>
                <c:pt idx="0">
                  <c:v>100</c:v>
                </c:pt>
                <c:pt idx="1">
                  <c:v>105.55555555555556</c:v>
                </c:pt>
                <c:pt idx="2">
                  <c:v>104.70085470085471</c:v>
                </c:pt>
                <c:pt idx="3">
                  <c:v>113.67521367521367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189888"/>
        <c:axId val="187212160"/>
      </c:lineChart>
      <c:catAx>
        <c:axId val="18718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7212160"/>
        <c:crosses val="autoZero"/>
        <c:auto val="1"/>
        <c:lblAlgn val="ctr"/>
        <c:lblOffset val="100"/>
        <c:noMultiLvlLbl val="0"/>
      </c:catAx>
      <c:valAx>
        <c:axId val="187212160"/>
        <c:scaling>
          <c:orientation val="minMax"/>
          <c:max val="13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7189888"/>
        <c:crosses val="autoZero"/>
        <c:crossBetween val="midCat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29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TPCL!$B$98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TPCL!$C$97:$F$97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TPCL!$C$98:$F$98</c:f>
              <c:numCache>
                <c:formatCode>General</c:formatCode>
                <c:ptCount val="4"/>
                <c:pt idx="0">
                  <c:v>27994</c:v>
                </c:pt>
                <c:pt idx="1">
                  <c:v>28550</c:v>
                </c:pt>
                <c:pt idx="2">
                  <c:v>28913</c:v>
                </c:pt>
                <c:pt idx="3">
                  <c:v>29265</c:v>
                </c:pt>
              </c:numCache>
            </c:numRef>
          </c:val>
        </c:ser>
        <c:ser>
          <c:idx val="1"/>
          <c:order val="1"/>
          <c:tx>
            <c:strRef>
              <c:f>TPCL!$B$99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TPCL!$C$97:$F$97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TPCL!$C$99:$F$99</c:f>
              <c:numCache>
                <c:formatCode>General</c:formatCode>
                <c:ptCount val="4"/>
                <c:pt idx="0">
                  <c:v>4765</c:v>
                </c:pt>
                <c:pt idx="1">
                  <c:v>4890</c:v>
                </c:pt>
                <c:pt idx="2">
                  <c:v>4887</c:v>
                </c:pt>
                <c:pt idx="3">
                  <c:v>4895</c:v>
                </c:pt>
              </c:numCache>
            </c:numRef>
          </c:val>
        </c:ser>
        <c:ser>
          <c:idx val="2"/>
          <c:order val="2"/>
          <c:tx>
            <c:strRef>
              <c:f>TPCL!$B$100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TPCL!$C$97:$F$97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TPCL!$C$100:$F$100</c:f>
              <c:numCache>
                <c:formatCode>General</c:formatCode>
                <c:ptCount val="4"/>
                <c:pt idx="0">
                  <c:v>234</c:v>
                </c:pt>
                <c:pt idx="1">
                  <c:v>247</c:v>
                </c:pt>
                <c:pt idx="2">
                  <c:v>245</c:v>
                </c:pt>
                <c:pt idx="3">
                  <c:v>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7963648"/>
        <c:axId val="187985920"/>
      </c:barChart>
      <c:catAx>
        <c:axId val="18796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7985920"/>
        <c:crosses val="autoZero"/>
        <c:auto val="1"/>
        <c:lblAlgn val="ctr"/>
        <c:lblOffset val="100"/>
        <c:noMultiLvlLbl val="0"/>
      </c:catAx>
      <c:valAx>
        <c:axId val="18798592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7963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3.5277777777779608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9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TPCL!$B$209</c:f>
              <c:strCache>
                <c:ptCount val="1"/>
                <c:pt idx="0">
                  <c:v>The Power Company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TPCL!$C$204:$F$204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TPCL!$C$209:$F$209</c:f>
              <c:numCache>
                <c:formatCode>_(* #,##0.00_);_(* \(#,##0.00\);_(* "-"??_);_(@_)</c:formatCode>
                <c:ptCount val="4"/>
                <c:pt idx="0">
                  <c:v>32887.661386012296</c:v>
                </c:pt>
                <c:pt idx="1">
                  <c:v>29363.865346140588</c:v>
                </c:pt>
                <c:pt idx="2">
                  <c:v>28511.664562299804</c:v>
                </c:pt>
                <c:pt idx="3">
                  <c:v>18332.555656218698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TPCL!$B$210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67918322220999572"/>
                  <c:y val="-5.66844400654102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TPCL!$C$204:$F$204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TPCL!$C$210:$F$210</c:f>
              <c:numCache>
                <c:formatCode>_(* #,##0.00_);_(* \(#,##0.00\);_(* "-"??_);_(@_)</c:formatCode>
                <c:ptCount val="4"/>
                <c:pt idx="0">
                  <c:v>17766.223837181449</c:v>
                </c:pt>
                <c:pt idx="1">
                  <c:v>19320.423913855331</c:v>
                </c:pt>
                <c:pt idx="2">
                  <c:v>17432.184323005218</c:v>
                </c:pt>
                <c:pt idx="3">
                  <c:v>18909.483671077171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020224"/>
        <c:axId val="188021760"/>
      </c:lineChart>
      <c:catAx>
        <c:axId val="18802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8021760"/>
        <c:crosses val="autoZero"/>
        <c:auto val="1"/>
        <c:lblAlgn val="ctr"/>
        <c:lblOffset val="100"/>
        <c:noMultiLvlLbl val="0"/>
      </c:catAx>
      <c:valAx>
        <c:axId val="188021760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8020224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1"/>
</c:chartSpace>
</file>

<file path=xl/charts/chart9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4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TPCL!$C$204:$F$204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TPCL!$C$212:$F$212</c:f>
              <c:numCache>
                <c:formatCode>_(* #,##0.00_);_(* \(#,##0.00\);_(* "-"??_);_(@_)</c:formatCode>
                <c:ptCount val="4"/>
                <c:pt idx="0">
                  <c:v>7.6794263042227015E-2</c:v>
                </c:pt>
                <c:pt idx="1">
                  <c:v>7.0009616920112316E-2</c:v>
                </c:pt>
                <c:pt idx="2">
                  <c:v>6.6294291177322343E-2</c:v>
                </c:pt>
                <c:pt idx="3">
                  <c:v>4.1807562918192334E-2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514445884492082E-2"/>
                </c:manualLayout>
              </c:layout>
              <c:tx>
                <c:rich>
                  <a:bodyPr/>
                  <a:lstStyle/>
                  <a:p>
                    <a:pPr>
                      <a:defRPr sz="700"/>
                    </a:pPr>
                    <a:r>
                      <a:rPr lang="en-US" sz="700"/>
                      <a:t>Industry 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TPCL!$C$204:$F$204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TPCL!$C$213:$F$213</c:f>
              <c:numCache>
                <c:formatCode>_(* #,##0.00_);_(* \(#,##0.00\);_(* "-"??_);_(@_)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065280"/>
        <c:axId val="188066816"/>
      </c:lineChart>
      <c:catAx>
        <c:axId val="18806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8066816"/>
        <c:crosses val="autoZero"/>
        <c:auto val="1"/>
        <c:lblAlgn val="ctr"/>
        <c:lblOffset val="100"/>
        <c:noMultiLvlLbl val="0"/>
      </c:catAx>
      <c:valAx>
        <c:axId val="188066816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8065280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1"/>
</c:chartSpace>
</file>

<file path=xl/charts/chart9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276"/>
          <c:w val="0.79809047321242665"/>
          <c:h val="0.72979551178440505"/>
        </c:manualLayout>
      </c:layout>
      <c:lineChart>
        <c:grouping val="standard"/>
        <c:varyColors val="0"/>
        <c:ser>
          <c:idx val="0"/>
          <c:order val="0"/>
          <c:tx>
            <c:strRef>
              <c:f>TPCL!$B$206</c:f>
              <c:strCache>
                <c:ptCount val="1"/>
                <c:pt idx="0">
                  <c:v>The Power Company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TPCL!$C$204:$F$204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TPCL!$C$206:$F$206</c:f>
              <c:numCache>
                <c:formatCode>_(* #,##0.00_);_(* \(#,##0.00\);_(* "-"??_);_(@_)</c:formatCode>
                <c:ptCount val="4"/>
                <c:pt idx="0">
                  <c:v>627.3607948040202</c:v>
                </c:pt>
                <c:pt idx="1">
                  <c:v>566.38325906335876</c:v>
                </c:pt>
                <c:pt idx="2">
                  <c:v>559.95551860907324</c:v>
                </c:pt>
                <c:pt idx="3">
                  <c:v>357.64282187563532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TPCL!$B$207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4277750408814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TPCL!$C$204:$F$204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TPCL!$C$207:$F$207</c:f>
              <c:numCache>
                <c:formatCode>_(* #,##0.00_);_(* \(#,##0.00\);_(* "-"??_);_(@_)</c:formatCode>
                <c:ptCount val="4"/>
                <c:pt idx="0">
                  <c:v>278.20789662228765</c:v>
                </c:pt>
                <c:pt idx="1">
                  <c:v>291.79923762758693</c:v>
                </c:pt>
                <c:pt idx="2">
                  <c:v>270.96257169694115</c:v>
                </c:pt>
                <c:pt idx="3">
                  <c:v>291.32045679684501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119296"/>
        <c:axId val="188141568"/>
      </c:lineChart>
      <c:catAx>
        <c:axId val="18811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8141568"/>
        <c:crosses val="autoZero"/>
        <c:auto val="1"/>
        <c:lblAlgn val="ctr"/>
        <c:lblOffset val="100"/>
        <c:noMultiLvlLbl val="0"/>
      </c:catAx>
      <c:valAx>
        <c:axId val="188141568"/>
        <c:scaling>
          <c:orientation val="minMax"/>
          <c:max val="65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8119296"/>
        <c:crosses val="autoZero"/>
        <c:crossBetween val="midCat"/>
        <c:majorUnit val="13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1"/>
</c:chartSpace>
</file>

<file path=xl/charts/chart9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286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TPCL!$B$162</c:f>
              <c:strCache>
                <c:ptCount val="1"/>
                <c:pt idx="0">
                  <c:v>The Power Company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TPCL!$C$160:$F$160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TPCL!$C$162:$F$162</c:f>
              <c:numCache>
                <c:formatCode>_(* #,##0.00_);_(* \(#,##0.00\);_(* "-"??_);_(@_)</c:formatCode>
                <c:ptCount val="4"/>
                <c:pt idx="0">
                  <c:v>294.502145837071</c:v>
                </c:pt>
                <c:pt idx="1">
                  <c:v>326.29175022872352</c:v>
                </c:pt>
                <c:pt idx="2">
                  <c:v>340.27007361453354</c:v>
                </c:pt>
                <c:pt idx="3">
                  <c:v>328.74444541256429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TPCL!$B$163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111700650636600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TPCL!$C$160:$F$160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TPCL!$C$163:$F$163</c:f>
              <c:numCache>
                <c:formatCode>_(* #,##0.00_);_(* \(#,##0.00\);_(* "-"??_);_(@_)</c:formatCode>
                <c:ptCount val="4"/>
                <c:pt idx="0">
                  <c:v>219.92281235057766</c:v>
                </c:pt>
                <c:pt idx="1">
                  <c:v>218.64666413393144</c:v>
                </c:pt>
                <c:pt idx="2">
                  <c:v>224.81562001127224</c:v>
                </c:pt>
                <c:pt idx="3">
                  <c:v>226.0233534656883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171776"/>
        <c:axId val="188173312"/>
      </c:lineChart>
      <c:catAx>
        <c:axId val="18817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8173312"/>
        <c:crosses val="autoZero"/>
        <c:auto val="1"/>
        <c:lblAlgn val="ctr"/>
        <c:lblOffset val="100"/>
        <c:noMultiLvlLbl val="0"/>
      </c:catAx>
      <c:valAx>
        <c:axId val="188173312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8171776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1"/>
</c:chartSpace>
</file>

<file path=xl/charts/chart9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3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99627297330112"/>
          <c:y val="0.14255777777777778"/>
          <c:w val="0.71585140038126993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cat>
            <c:numRef>
              <c:f>TPCL!$C$160:$F$160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TPCL!$C$165:$F$165</c:f>
              <c:numCache>
                <c:formatCode>_(* #,##0.00_);_(* \(#,##0.00\);_(* "-"??_);_(@_)</c:formatCode>
                <c:ptCount val="4"/>
                <c:pt idx="0">
                  <c:v>1139.3562255179281</c:v>
                </c:pt>
                <c:pt idx="1">
                  <c:v>1281.2526177909028</c:v>
                </c:pt>
                <c:pt idx="2">
                  <c:v>1346.7325499698213</c:v>
                </c:pt>
                <c:pt idx="3">
                  <c:v>1311.5427137330864</c:v>
                </c:pt>
              </c:numCache>
            </c:numRef>
          </c:val>
          <c:smooth val="0"/>
        </c:ser>
        <c:ser>
          <c:idx val="1"/>
          <c:order val="1"/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4.22340130127319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TPCL!$C$160:$F$160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TPCL!$C$166:$F$166</c:f>
              <c:numCache>
                <c:formatCode>_(* #,##0.00_);_(* \(#,##0.00\);_(* "-"??_);_(@_)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207488"/>
        <c:axId val="188209024"/>
      </c:lineChart>
      <c:catAx>
        <c:axId val="18820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8209024"/>
        <c:crosses val="autoZero"/>
        <c:auto val="1"/>
        <c:lblAlgn val="ctr"/>
        <c:lblOffset val="100"/>
        <c:noMultiLvlLbl val="0"/>
      </c:catAx>
      <c:valAx>
        <c:axId val="188209024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88207488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1"/>
</c:chartSpace>
</file>

<file path=xl/charts/chart9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26327073267044"/>
          <c:y val="0.13550222222222241"/>
          <c:w val="0.76955085938161105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TPCL!$B$168</c:f>
              <c:strCache>
                <c:ptCount val="1"/>
                <c:pt idx="0">
                  <c:v>The Power Company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TPCL!$C$160:$F$160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TPCL!$C$168:$F$168</c:f>
              <c:numCache>
                <c:formatCode>_(* #,##0.00_);_(* \(#,##0.00\);_(* "-"??_);_(@_)</c:formatCode>
                <c:ptCount val="4"/>
                <c:pt idx="0">
                  <c:v>15.438463687819748</c:v>
                </c:pt>
                <c:pt idx="1">
                  <c:v>16.916437525214654</c:v>
                </c:pt>
                <c:pt idx="2">
                  <c:v>17.325780132653275</c:v>
                </c:pt>
                <c:pt idx="3">
                  <c:v>16.85124228299005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TPCL!$B$169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51950108439431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</a:t>
                    </a:r>
                    <a:r>
                      <a:rPr lang="en-US"/>
                      <a:t>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TPCL!$C$160:$F$160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TPCL!$C$169:$F$169</c:f>
              <c:numCache>
                <c:formatCode>_(* #,##0.00_);_(* \(#,##0.00\);_(* "-"??_);_(@_)</c:formatCode>
                <c:ptCount val="4"/>
                <c:pt idx="0">
                  <c:v>14.04416610225651</c:v>
                </c:pt>
                <c:pt idx="1">
                  <c:v>14.476892649765206</c:v>
                </c:pt>
                <c:pt idx="2">
                  <c:v>14.463353009176652</c:v>
                </c:pt>
                <c:pt idx="3">
                  <c:v>14.671077200122745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251520"/>
        <c:axId val="188273792"/>
      </c:lineChart>
      <c:catAx>
        <c:axId val="18825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8273792"/>
        <c:crosses val="autoZero"/>
        <c:auto val="1"/>
        <c:lblAlgn val="ctr"/>
        <c:lblOffset val="100"/>
        <c:noMultiLvlLbl val="0"/>
      </c:catAx>
      <c:valAx>
        <c:axId val="188273792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8251520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3159722222223"/>
          <c:y val="6.4675925925925928E-2"/>
          <c:w val="0.76101111111111164"/>
          <c:h val="0.80984259259260005"/>
        </c:manualLayout>
      </c:layout>
      <c:lineChart>
        <c:grouping val="standard"/>
        <c:varyColors val="0"/>
        <c:ser>
          <c:idx val="1"/>
          <c:order val="0"/>
          <c:tx>
            <c:strRef>
              <c:f>Buller!$B$230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8800925925927318E-3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Buller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Buller!$C$230:$F$230</c:f>
              <c:numCache>
                <c:formatCode>_(* #,##0.00_);_(* \(#,##0.00\);_(* "-"??_);_(@_)</c:formatCode>
                <c:ptCount val="4"/>
                <c:pt idx="0">
                  <c:v>251</c:v>
                </c:pt>
                <c:pt idx="1">
                  <c:v>249.31</c:v>
                </c:pt>
                <c:pt idx="2">
                  <c:v>302.3</c:v>
                </c:pt>
                <c:pt idx="3">
                  <c:v>288.60000000000002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Buller!$B$232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879629629629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19552"/>
        <c:axId val="120921088"/>
      </c:lineChart>
      <c:catAx>
        <c:axId val="1209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0921088"/>
        <c:crosses val="autoZero"/>
        <c:auto val="1"/>
        <c:lblAlgn val="ctr"/>
        <c:lblOffset val="100"/>
        <c:noMultiLvlLbl val="0"/>
      </c:catAx>
      <c:valAx>
        <c:axId val="12092108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091955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9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935"/>
          <c:h val="0.77599166666670183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TPCL!$B$178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TPCL!$C$178:$D$178</c:f>
              <c:numCache>
                <c:formatCode>_-* #,##0_-;\-* #,##0_-;_-* "-"??_-;_-@_-</c:formatCode>
                <c:ptCount val="2"/>
                <c:pt idx="0">
                  <c:v>6550.092694888308</c:v>
                </c:pt>
                <c:pt idx="1">
                  <c:v>6142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88309888"/>
        <c:axId val="188311424"/>
      </c:barChart>
      <c:lineChart>
        <c:grouping val="standard"/>
        <c:varyColors val="0"/>
        <c:ser>
          <c:idx val="1"/>
          <c:order val="0"/>
          <c:tx>
            <c:strRef>
              <c:f>TPCL!$B$179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6"/>
          </c:marker>
          <c:cat>
            <c:numRef>
              <c:f>TPCL!$C$177:$D$177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TPCL!$C$179:$D$179</c:f>
              <c:numCache>
                <c:formatCode>_-* #,##0_-;\-* #,##0_-;_-* "-"??_-;_-@_-</c:formatCode>
                <c:ptCount val="2"/>
                <c:pt idx="0">
                  <c:v>7252.0702756595065</c:v>
                </c:pt>
                <c:pt idx="1">
                  <c:v>6997.3614292258353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TPCL!$B$180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TPCL!$C$177:$D$177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TPCL!$C$180:$D$180</c:f>
              <c:numCache>
                <c:formatCode>_-* #,##0_-;\-* #,##0_-;_-* "-"??_-;_-@_-</c:formatCode>
                <c:ptCount val="2"/>
                <c:pt idx="1">
                  <c:v>5714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309888"/>
        <c:axId val="188311424"/>
      </c:lineChart>
      <c:catAx>
        <c:axId val="18830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8311424"/>
        <c:crosses val="autoZero"/>
        <c:auto val="1"/>
        <c:lblAlgn val="ctr"/>
        <c:lblOffset val="100"/>
        <c:noMultiLvlLbl val="0"/>
      </c:catAx>
      <c:valAx>
        <c:axId val="18831142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8309888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0.14723943010011387"/>
          <c:y val="3.5277777777779636E-2"/>
          <c:w val="0.77172275936750789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TPCL!$V$177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7.4782045639367009E-2"/>
                  <c:y val="-2.939861111111110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TPCL!$W$177:$AC$177</c:f>
              <c:numCache>
                <c:formatCode>General</c:formatCode>
                <c:ptCount val="7"/>
                <c:pt idx="0">
                  <c:v>7252.0702756595065</c:v>
                </c:pt>
                <c:pt idx="1">
                  <c:v>6997.3614292258353</c:v>
                </c:pt>
                <c:pt idx="2">
                  <c:v>6793.5943520788978</c:v>
                </c:pt>
                <c:pt idx="3">
                  <c:v>6793.5943520788978</c:v>
                </c:pt>
                <c:pt idx="4">
                  <c:v>6793.5943520788978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TPCL!$V$178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8.838611111111111E-2"/>
                  <c:y val="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TPCL!$W$178:$AC$178</c:f>
              <c:numCache>
                <c:formatCode>General</c:formatCode>
                <c:ptCount val="7"/>
                <c:pt idx="1">
                  <c:v>5714</c:v>
                </c:pt>
                <c:pt idx="2">
                  <c:v>5561</c:v>
                </c:pt>
                <c:pt idx="3">
                  <c:v>5438</c:v>
                </c:pt>
                <c:pt idx="4">
                  <c:v>5316</c:v>
                </c:pt>
                <c:pt idx="5">
                  <c:v>5194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TPCL!$V$179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777777777778979E-5"/>
                  <c:y val="-4.115787037037034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TPCL!$W$179:$AC$179</c:f>
              <c:numCache>
                <c:formatCode>General</c:formatCode>
                <c:ptCount val="7"/>
                <c:pt idx="2">
                  <c:v>6452.385261797026</c:v>
                </c:pt>
                <c:pt idx="3">
                  <c:v>6392.7495798319324</c:v>
                </c:pt>
                <c:pt idx="4">
                  <c:v>5659.5239819004519</c:v>
                </c:pt>
                <c:pt idx="5">
                  <c:v>5415.1154492566257</c:v>
                </c:pt>
                <c:pt idx="6">
                  <c:v>5292.9111829347121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TPCL!$V$176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4.401988537182943E-3"/>
                  <c:y val="8.23143518518518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TPCL!$W$175:$AC$175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TPCL!$C$178:$I$178</c:f>
              <c:numCache>
                <c:formatCode>_-* #,##0_-;\-* #,##0_-;_-* "-"??_-;_-@_-</c:formatCode>
                <c:ptCount val="7"/>
                <c:pt idx="0">
                  <c:v>6550.092694888308</c:v>
                </c:pt>
                <c:pt idx="1">
                  <c:v>6142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07648"/>
        <c:axId val="188509184"/>
      </c:lineChart>
      <c:catAx>
        <c:axId val="18850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8509184"/>
        <c:crosses val="autoZero"/>
        <c:auto val="1"/>
        <c:lblAlgn val="ctr"/>
        <c:lblOffset val="100"/>
        <c:noMultiLvlLbl val="0"/>
      </c:catAx>
      <c:valAx>
        <c:axId val="188509184"/>
        <c:scaling>
          <c:orientation val="minMax"/>
          <c:max val="8000"/>
          <c:min val="4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8507648"/>
        <c:crosses val="autoZero"/>
        <c:crossBetween val="midCat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9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7288"/>
          <c:h val="0.77578287037039229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TPCL!$B$222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TPCL!$C$222:$D$222</c:f>
              <c:numCache>
                <c:formatCode>_-* #,##0_-;\-* #,##0_-;_-* "-"??_-;_-@_-</c:formatCode>
                <c:ptCount val="2"/>
                <c:pt idx="0">
                  <c:v>18325.792083209828</c:v>
                </c:pt>
                <c:pt idx="1">
                  <c:v>12022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88565376"/>
        <c:axId val="188566912"/>
      </c:barChart>
      <c:lineChart>
        <c:grouping val="standard"/>
        <c:varyColors val="0"/>
        <c:ser>
          <c:idx val="1"/>
          <c:order val="0"/>
          <c:tx>
            <c:strRef>
              <c:f>TPCL!$B$223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TPCL!$C$221:$D$221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TPCL!$C$223:$D$223</c:f>
              <c:numCache>
                <c:formatCode>_-* #,##0_-;\-* #,##0_-;_-* "-"??_-;_-@_-</c:formatCode>
                <c:ptCount val="2"/>
                <c:pt idx="0">
                  <c:v>18835.209776077172</c:v>
                </c:pt>
                <c:pt idx="1">
                  <c:v>18575.406752714825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TPCL!$B$224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TPCL!$C$221:$D$221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TPCL!$C$224:$D$224</c:f>
              <c:numCache>
                <c:formatCode>_-* #,##0_-;\-* #,##0_-;_-* "-"??_-;_-@_-</c:formatCode>
                <c:ptCount val="2"/>
                <c:pt idx="1">
                  <c:v>18384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565376"/>
        <c:axId val="188566912"/>
      </c:lineChart>
      <c:catAx>
        <c:axId val="18856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8566912"/>
        <c:crosses val="autoZero"/>
        <c:auto val="1"/>
        <c:lblAlgn val="ctr"/>
        <c:lblOffset val="100"/>
        <c:noMultiLvlLbl val="0"/>
      </c:catAx>
      <c:valAx>
        <c:axId val="188566912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8565376"/>
        <c:crosses val="autoZero"/>
        <c:crossBetween val="between"/>
        <c:majorUnit val="4000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933E-3"/>
          <c:w val="0.90316284722220386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TPCL!$V$221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18083089626160326"/>
                  <c:y val="1.763842592592592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TPCL!$W$221:$AC$221</c:f>
              <c:numCache>
                <c:formatCode>General</c:formatCode>
                <c:ptCount val="7"/>
                <c:pt idx="0">
                  <c:v>18835.209776077172</c:v>
                </c:pt>
                <c:pt idx="1">
                  <c:v>18575.406752714825</c:v>
                </c:pt>
                <c:pt idx="2">
                  <c:v>21142.871924766237</c:v>
                </c:pt>
                <c:pt idx="3">
                  <c:v>18446.014658726519</c:v>
                </c:pt>
                <c:pt idx="4">
                  <c:v>15561.69168171162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TPCL!$V$222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0.11034483478166515"/>
                  <c:y val="2.939814814814814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TPCL!$W$222:$AC$222</c:f>
              <c:numCache>
                <c:formatCode>General</c:formatCode>
                <c:ptCount val="7"/>
                <c:pt idx="1">
                  <c:v>18384</c:v>
                </c:pt>
                <c:pt idx="2">
                  <c:v>18125</c:v>
                </c:pt>
                <c:pt idx="3">
                  <c:v>18648</c:v>
                </c:pt>
                <c:pt idx="4">
                  <c:v>18153</c:v>
                </c:pt>
                <c:pt idx="5">
                  <c:v>16631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TPCL!$V$223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3250436377560241E-2"/>
                  <c:y val="2.427777777777849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TPCL!$W$223:$AC$223</c:f>
              <c:numCache>
                <c:formatCode>General</c:formatCode>
                <c:ptCount val="7"/>
                <c:pt idx="2">
                  <c:v>20798.188493859081</c:v>
                </c:pt>
                <c:pt idx="3">
                  <c:v>19627.96043956044</c:v>
                </c:pt>
                <c:pt idx="4">
                  <c:v>19564.414221073042</c:v>
                </c:pt>
                <c:pt idx="5">
                  <c:v>17803.695151906915</c:v>
                </c:pt>
                <c:pt idx="6">
                  <c:v>17898.52566257272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TPCL!$V$220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658206210872534E-2"/>
                  <c:y val="0.3527777777777826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TPCL!$W$219:$AC$219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TPCL!$W$220:$AC$220</c:f>
              <c:numCache>
                <c:formatCode>General</c:formatCode>
                <c:ptCount val="7"/>
                <c:pt idx="0">
                  <c:v>18325.792083209828</c:v>
                </c:pt>
                <c:pt idx="1">
                  <c:v>12022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24256"/>
        <c:axId val="188658816"/>
      </c:lineChart>
      <c:catAx>
        <c:axId val="18862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8658816"/>
        <c:crosses val="autoZero"/>
        <c:auto val="1"/>
        <c:lblAlgn val="ctr"/>
        <c:lblOffset val="100"/>
        <c:noMultiLvlLbl val="0"/>
      </c:catAx>
      <c:valAx>
        <c:axId val="188658816"/>
        <c:scaling>
          <c:orientation val="minMax"/>
          <c:max val="24000"/>
          <c:min val="1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8624256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9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52793660392344"/>
          <c:y val="6.4675925925925928E-2"/>
          <c:w val="0.78324121296735261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TPCL!$B$237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5495887607361E-3"/>
                  <c:y val="-5.29166666666668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The Power Company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TPCL!$C$236:$F$236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TPCL!$C$237:$F$237</c:f>
              <c:numCache>
                <c:formatCode>_(* #,##0.00_);_(* \(#,##0.00\);_(* "-"??_);_(@_)</c:formatCode>
                <c:ptCount val="4"/>
                <c:pt idx="0">
                  <c:v>3.75</c:v>
                </c:pt>
                <c:pt idx="1">
                  <c:v>4.0663</c:v>
                </c:pt>
                <c:pt idx="2">
                  <c:v>2.8813</c:v>
                </c:pt>
                <c:pt idx="3">
                  <c:v>3.21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TPCL!$B$239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5.8795833333334033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TPCL!$C$236:$F$236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TPCL!$C$239:$F$239</c:f>
              <c:numCache>
                <c:formatCode>_(* #,##0.00_);_(* \(#,##0.00\);_(* "-"??_);_(@_)</c:formatCode>
                <c:ptCount val="4"/>
                <c:pt idx="0">
                  <c:v>2.2133361724999996</c:v>
                </c:pt>
                <c:pt idx="1">
                  <c:v>2.5370004117241378</c:v>
                </c:pt>
                <c:pt idx="2">
                  <c:v>1.984406743103448</c:v>
                </c:pt>
                <c:pt idx="3">
                  <c:v>2.1560858624137933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684160"/>
        <c:axId val="188685696"/>
      </c:lineChart>
      <c:catAx>
        <c:axId val="1886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8685696"/>
        <c:crosses val="autoZero"/>
        <c:auto val="1"/>
        <c:lblAlgn val="ctr"/>
        <c:lblOffset val="100"/>
        <c:noMultiLvlLbl val="0"/>
      </c:catAx>
      <c:valAx>
        <c:axId val="188685696"/>
        <c:scaling>
          <c:orientation val="minMax"/>
          <c:max val="4.5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868416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438"/>
          <c:y val="6.4675925925925928E-2"/>
          <c:w val="0.80968714711059864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TPCL!$B$230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235495887607361E-3"/>
                  <c:y val="-4.70370370370383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The Power Company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TPCL!$C$229:$F$229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TPCL!$C$230:$F$230</c:f>
              <c:numCache>
                <c:formatCode>_(* #,##0.00_);_(* \(#,##0.00\);_(* "-"??_);_(@_)</c:formatCode>
                <c:ptCount val="4"/>
                <c:pt idx="0">
                  <c:v>294.77999999999997</c:v>
                </c:pt>
                <c:pt idx="1">
                  <c:v>210.227</c:v>
                </c:pt>
                <c:pt idx="2">
                  <c:v>209.51</c:v>
                </c:pt>
                <c:pt idx="3">
                  <c:v>209.06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TPCL!$B$232</c:f>
              <c:strCache>
                <c:ptCount val="1"/>
                <c:pt idx="0">
                  <c:v>Industry average</c:v>
                </c:pt>
              </c:strCache>
            </c:strRef>
          </c:tx>
          <c:spPr>
            <a:ln w="19050"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3916668373437913E-3"/>
                  <c:y val="5.291620370370401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TPCL!$C$229:$F$229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TPCL!$C$232:$F$232</c:f>
              <c:numCache>
                <c:formatCode>_(* #,##0.00_);_(* \(#,##0.00\);_(* "-"??_);_(@_)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739968"/>
        <c:axId val="188741504"/>
      </c:lineChart>
      <c:catAx>
        <c:axId val="1887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8741504"/>
        <c:crosses val="autoZero"/>
        <c:auto val="1"/>
        <c:lblAlgn val="ctr"/>
        <c:lblOffset val="100"/>
        <c:noMultiLvlLbl val="0"/>
      </c:catAx>
      <c:valAx>
        <c:axId val="188741504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8739968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1792858744585"/>
          <c:y val="5.1489955766738447E-2"/>
          <c:w val="0.81811736111110656"/>
          <c:h val="0.8499671296296295"/>
        </c:manualLayout>
      </c:layout>
      <c:areaChart>
        <c:grouping val="standard"/>
        <c:varyColors val="0"/>
        <c:ser>
          <c:idx val="0"/>
          <c:order val="0"/>
          <c:tx>
            <c:strRef>
              <c:f>Total!$B$26</c:f>
              <c:strCache>
                <c:ptCount val="1"/>
                <c:pt idx="0">
                  <c:v>Average electricity bill</c:v>
                </c:pt>
              </c:strCache>
            </c:strRef>
          </c:tx>
          <c:spPr>
            <a:solidFill>
              <a:schemeClr val="accent2"/>
            </a:solidFill>
          </c:spPr>
          <c:dLbls>
            <c:dLbl>
              <c:idx val="0"/>
              <c:layout>
                <c:manualLayout>
                  <c:x val="-0.30743965134429507"/>
                  <c:y val="-0.38976901973536998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Average electricity bill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Total!$C$26:$F$26</c:f>
              <c:numCache>
                <c:formatCode>0.00</c:formatCode>
                <c:ptCount val="4"/>
                <c:pt idx="0">
                  <c:v>1880.6024454549497</c:v>
                </c:pt>
                <c:pt idx="1">
                  <c:v>1931.6559330155367</c:v>
                </c:pt>
                <c:pt idx="2">
                  <c:v>1908.9473535418022</c:v>
                </c:pt>
                <c:pt idx="3">
                  <c:v>2002.9586504490933</c:v>
                </c:pt>
              </c:numCache>
            </c:numRef>
          </c:val>
        </c:ser>
        <c:ser>
          <c:idx val="1"/>
          <c:order val="1"/>
          <c:tx>
            <c:strRef>
              <c:f>Total!$B$27</c:f>
              <c:strCache>
                <c:ptCount val="1"/>
                <c:pt idx="0">
                  <c:v>Average line charge</c:v>
                </c:pt>
              </c:strCache>
            </c:strRef>
          </c:tx>
          <c:spPr>
            <a:solidFill>
              <a:schemeClr val="accent1"/>
            </a:solidFill>
          </c:spPr>
          <c:dLbls>
            <c:dLbl>
              <c:idx val="0"/>
              <c:layout>
                <c:manualLayout>
                  <c:x val="0.30443421261117593"/>
                  <c:y val="-6.916533854538678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Average line charge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Total!$C$27:$F$27</c:f>
              <c:numCache>
                <c:formatCode>0.00</c:formatCode>
                <c:ptCount val="4"/>
                <c:pt idx="0">
                  <c:v>682.17371289433663</c:v>
                </c:pt>
                <c:pt idx="1">
                  <c:v>706.98423082934266</c:v>
                </c:pt>
                <c:pt idx="2">
                  <c:v>729.92939779499079</c:v>
                </c:pt>
                <c:pt idx="3">
                  <c:v>759.24325669111977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139776"/>
        <c:axId val="186141312"/>
      </c:areaChart>
      <c:catAx>
        <c:axId val="1861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6141312"/>
        <c:crosses val="autoZero"/>
        <c:auto val="1"/>
        <c:lblAlgn val="ctr"/>
        <c:lblOffset val="100"/>
        <c:noMultiLvlLbl val="0"/>
      </c:catAx>
      <c:valAx>
        <c:axId val="186141312"/>
        <c:scaling>
          <c:orientation val="minMax"/>
          <c:max val="2500"/>
        </c:scaling>
        <c:delete val="0"/>
        <c:axPos val="l"/>
        <c:majorGridlines>
          <c:spPr>
            <a:ln w="6350" cap="flat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6139776"/>
        <c:crosses val="autoZero"/>
        <c:crossBetween val="midCat"/>
        <c:majorUnit val="500"/>
      </c:valAx>
    </c:plotArea>
    <c:plotVisOnly val="1"/>
    <c:dispBlanksAs val="zero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9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42483938410574"/>
          <c:y val="0.14087537811969586"/>
          <c:w val="0.8694851268591427"/>
          <c:h val="0.756859867340482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Total!$B$28</c:f>
              <c:strCache>
                <c:ptCount val="1"/>
                <c:pt idx="0">
                  <c:v>Distribution charge</c:v>
                </c:pt>
              </c:strCache>
            </c:strRef>
          </c:tx>
          <c:invertIfNegative val="0"/>
          <c:cat>
            <c:numRef>
              <c:f>Total!$C$25:$F$25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Total!$C$28:$F$28</c:f>
              <c:numCache>
                <c:formatCode>0.00</c:formatCode>
                <c:ptCount val="4"/>
                <c:pt idx="0">
                  <c:v>525.23650774195653</c:v>
                </c:pt>
                <c:pt idx="1">
                  <c:v>537.4880234511885</c:v>
                </c:pt>
                <c:pt idx="2">
                  <c:v>554.06348344294702</c:v>
                </c:pt>
                <c:pt idx="3">
                  <c:v>583.21355075057534</c:v>
                </c:pt>
              </c:numCache>
            </c:numRef>
          </c:val>
        </c:ser>
        <c:ser>
          <c:idx val="1"/>
          <c:order val="1"/>
          <c:tx>
            <c:strRef>
              <c:f>Total!$B$29</c:f>
              <c:strCache>
                <c:ptCount val="1"/>
                <c:pt idx="0">
                  <c:v>Transmission charge</c:v>
                </c:pt>
              </c:strCache>
            </c:strRef>
          </c:tx>
          <c:invertIfNegative val="0"/>
          <c:cat>
            <c:numRef>
              <c:f>Total!$C$25:$F$25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Total!$C$29:$F$29</c:f>
              <c:numCache>
                <c:formatCode>0.00</c:formatCode>
                <c:ptCount val="4"/>
                <c:pt idx="0">
                  <c:v>156.93720515237999</c:v>
                </c:pt>
                <c:pt idx="1">
                  <c:v>169.49620737815417</c:v>
                </c:pt>
                <c:pt idx="2">
                  <c:v>175.86591435204392</c:v>
                </c:pt>
                <c:pt idx="3">
                  <c:v>176.02970594054437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154368"/>
        <c:axId val="186066048"/>
      </c:barChart>
      <c:catAx>
        <c:axId val="18615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6066048"/>
        <c:crosses val="autoZero"/>
        <c:auto val="1"/>
        <c:lblAlgn val="ctr"/>
        <c:lblOffset val="100"/>
        <c:noMultiLvlLbl val="0"/>
      </c:catAx>
      <c:valAx>
        <c:axId val="186066048"/>
        <c:scaling>
          <c:orientation val="minMax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615436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77" l="0.70000000000000062" r="0.70000000000000062" t="0.75000000000001277" header="0.30000000000000032" footer="0.30000000000000032"/>
    <c:pageSetup/>
  </c:printSettings>
</c:chartSpace>
</file>

<file path=xl/charts/chart9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54375000000022"/>
          <c:y val="0.25280092592593256"/>
          <c:w val="0.89745624999998486"/>
          <c:h val="0.6511157407407405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Total!$B$40</c:f>
              <c:strCache>
                <c:ptCount val="1"/>
                <c:pt idx="0">
                  <c:v>Line charge revenue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numRef>
              <c:f>Total!$C$39:$F$39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Total!$C$40:$F$40</c:f>
              <c:numCache>
                <c:formatCode>0</c:formatCode>
                <c:ptCount val="4"/>
                <c:pt idx="0">
                  <c:v>1842474.0057997205</c:v>
                </c:pt>
                <c:pt idx="1">
                  <c:v>1882311.6833839242</c:v>
                </c:pt>
                <c:pt idx="2">
                  <c:v>1983129.8907887149</c:v>
                </c:pt>
                <c:pt idx="3">
                  <c:v>1991806.6026328364</c:v>
                </c:pt>
              </c:numCache>
            </c:numRef>
          </c:val>
        </c:ser>
        <c:ser>
          <c:idx val="1"/>
          <c:order val="1"/>
          <c:tx>
            <c:strRef>
              <c:f>Total!$B$41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Total!$C$39:$F$39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Total!$C$41:$F$41</c:f>
              <c:numCache>
                <c:formatCode>0</c:formatCode>
                <c:ptCount val="4"/>
                <c:pt idx="0">
                  <c:v>133662.69828476233</c:v>
                </c:pt>
                <c:pt idx="1">
                  <c:v>117246.46463290545</c:v>
                </c:pt>
                <c:pt idx="2">
                  <c:v>87793.099900218251</c:v>
                </c:pt>
                <c:pt idx="3">
                  <c:v>86582.581384524805</c:v>
                </c:pt>
              </c:numCache>
            </c:numRef>
          </c:val>
        </c:ser>
        <c:ser>
          <c:idx val="3"/>
          <c:order val="2"/>
          <c:tx>
            <c:strRef>
              <c:f>Total!$B$42</c:f>
              <c:strCache>
                <c:ptCount val="1"/>
                <c:pt idx="0">
                  <c:v>Other</c:v>
                </c:pt>
              </c:strCache>
            </c:strRef>
          </c:tx>
          <c:invertIfNegative val="0"/>
          <c:cat>
            <c:numRef>
              <c:f>Total!$C$39:$F$39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Total!$C$42:$F$42</c:f>
              <c:numCache>
                <c:formatCode>0</c:formatCode>
                <c:ptCount val="4"/>
                <c:pt idx="0">
                  <c:v>24404.715082484101</c:v>
                </c:pt>
                <c:pt idx="1">
                  <c:v>29966.367939347921</c:v>
                </c:pt>
                <c:pt idx="2">
                  <c:v>30313.183121627</c:v>
                </c:pt>
                <c:pt idx="3">
                  <c:v>28335.500189097034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6084736"/>
        <c:axId val="186094720"/>
      </c:barChart>
      <c:catAx>
        <c:axId val="18608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6094720"/>
        <c:crosses val="autoZero"/>
        <c:auto val="1"/>
        <c:lblAlgn val="ctr"/>
        <c:lblOffset val="100"/>
        <c:noMultiLvlLbl val="0"/>
      </c:catAx>
      <c:valAx>
        <c:axId val="18609472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6084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640215726921853E-2"/>
          <c:y val="2.9606481481481484E-2"/>
          <c:w val="0.6861835929319402"/>
          <c:h val="0.21171296296296768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</c:chartSpace>
</file>

<file path=xl/charts/chart9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0297529226223E-2"/>
          <c:y val="9.9262962962965245E-2"/>
          <c:w val="0.84479583333336405"/>
          <c:h val="0.8046537037037037"/>
        </c:manualLayout>
      </c:layout>
      <c:lineChart>
        <c:grouping val="standard"/>
        <c:varyColors val="0"/>
        <c:ser>
          <c:idx val="0"/>
          <c:order val="0"/>
          <c:tx>
            <c:strRef>
              <c:f>Total!$B$46</c:f>
              <c:strCache>
                <c:ptCount val="1"/>
                <c:pt idx="0">
                  <c:v>Line charge revenue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6.898983836932538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Total!$C$46:$F$46</c:f>
              <c:numCache>
                <c:formatCode>0.0</c:formatCode>
                <c:ptCount val="4"/>
                <c:pt idx="0">
                  <c:v>100</c:v>
                </c:pt>
                <c:pt idx="1">
                  <c:v>102.16218396888112</c:v>
                </c:pt>
                <c:pt idx="2">
                  <c:v>107.63407703697526</c:v>
                </c:pt>
                <c:pt idx="3">
                  <c:v>108.10500426942515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Total!$B$47</c:f>
              <c:strCache>
                <c:ptCount val="1"/>
                <c:pt idx="0">
                  <c:v>Capital contributions and vested assets</c:v>
                </c:pt>
              </c:strCache>
            </c:strRef>
          </c:tx>
          <c:spPr>
            <a:ln w="19050"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7.320026224238171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Capital contributions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Total!$C$47:$F$47</c:f>
              <c:numCache>
                <c:formatCode>0.0</c:formatCode>
                <c:ptCount val="4"/>
                <c:pt idx="0">
                  <c:v>100</c:v>
                </c:pt>
                <c:pt idx="1">
                  <c:v>87.718163808961251</c:v>
                </c:pt>
                <c:pt idx="2">
                  <c:v>65.682573393198311</c:v>
                </c:pt>
                <c:pt idx="3">
                  <c:v>64.776921680919926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Total!$B$48</c:f>
              <c:strCache>
                <c:ptCount val="1"/>
                <c:pt idx="0">
                  <c:v>Other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781943615828099E-2"/>
                  <c:y val="-4.1157333480168007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Total!$C$45:$F$45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Total!$C$48:$F$48</c:f>
              <c:numCache>
                <c:formatCode>0.0</c:formatCode>
                <c:ptCount val="4"/>
                <c:pt idx="0">
                  <c:v>100</c:v>
                </c:pt>
                <c:pt idx="1">
                  <c:v>122.78925542898702</c:v>
                </c:pt>
                <c:pt idx="2">
                  <c:v>124.21035451212279</c:v>
                </c:pt>
                <c:pt idx="3">
                  <c:v>116.10666255814705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915648"/>
        <c:axId val="187933824"/>
      </c:lineChart>
      <c:catAx>
        <c:axId val="18791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7933824"/>
        <c:crossesAt val="0"/>
        <c:auto val="1"/>
        <c:lblAlgn val="ctr"/>
        <c:lblOffset val="100"/>
        <c:noMultiLvlLbl val="0"/>
      </c:catAx>
      <c:valAx>
        <c:axId val="18793382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79156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694"/>
          <c:h val="0.70204027777778921"/>
        </c:manualLayout>
      </c:layout>
      <c:barChart>
        <c:barDir val="col"/>
        <c:grouping val="clustered"/>
        <c:varyColors val="0"/>
        <c:ser>
          <c:idx val="0"/>
          <c:order val="0"/>
          <c:tx>
            <c:v>Smaller connection points</c:v>
          </c:tx>
          <c:invertIfNegative val="0"/>
          <c:cat>
            <c:numRef>
              <c:f>Buller!$V$53:$Y$53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Buller!$V$54:$Y$54</c:f>
              <c:numCache>
                <c:formatCode>0</c:formatCode>
                <c:ptCount val="4"/>
                <c:pt idx="0">
                  <c:v>3882.2334692480963</c:v>
                </c:pt>
                <c:pt idx="1">
                  <c:v>4000.8165282449022</c:v>
                </c:pt>
                <c:pt idx="2">
                  <c:v>4405.4442079167893</c:v>
                </c:pt>
                <c:pt idx="3">
                  <c:v>4420.9443000000001</c:v>
                </c:pt>
              </c:numCache>
            </c:numRef>
          </c:val>
        </c:ser>
        <c:ser>
          <c:idx val="1"/>
          <c:order val="1"/>
          <c:tx>
            <c:v>Larger connection points</c:v>
          </c:tx>
          <c:invertIfNegative val="0"/>
          <c:cat>
            <c:numRef>
              <c:f>Buller!$V$53:$Y$53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Buller!$V$55:$Y$55</c:f>
              <c:numCache>
                <c:formatCode>0</c:formatCode>
                <c:ptCount val="4"/>
                <c:pt idx="0">
                  <c:v>210.22924923726154</c:v>
                </c:pt>
                <c:pt idx="1">
                  <c:v>238.76175441004867</c:v>
                </c:pt>
                <c:pt idx="2">
                  <c:v>252.67117566220256</c:v>
                </c:pt>
                <c:pt idx="3">
                  <c:v>257.33213000000001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315328"/>
        <c:axId val="121316864"/>
      </c:barChart>
      <c:catAx>
        <c:axId val="1213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1316864"/>
        <c:crosses val="autoZero"/>
        <c:auto val="1"/>
        <c:lblAlgn val="ctr"/>
        <c:lblOffset val="100"/>
        <c:noMultiLvlLbl val="0"/>
      </c:catAx>
      <c:valAx>
        <c:axId val="12131686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1315328"/>
        <c:crosses val="autoZero"/>
        <c:crossBetween val="between"/>
        <c:majorUnit val="1000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3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 orientation="portrait"/>
  </c:printSettings>
</c:chartSpace>
</file>

<file path=xl/charts/chart9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030729166666694"/>
          <c:y val="0.2018763888888889"/>
          <c:w val="0.85983162760282694"/>
          <c:h val="0.70204027777778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Total!$B$54</c:f>
              <c:strCache>
                <c:ptCount val="1"/>
                <c:pt idx="0">
                  <c:v>Small connection points </c:v>
                </c:pt>
              </c:strCache>
            </c:strRef>
          </c:tx>
          <c:invertIfNegative val="0"/>
          <c:cat>
            <c:numRef>
              <c:f>Total!$C$53:$F$53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Total!$C$54:$F$54</c:f>
              <c:numCache>
                <c:formatCode>0</c:formatCode>
                <c:ptCount val="4"/>
                <c:pt idx="0">
                  <c:v>1155098.7160762739</c:v>
                </c:pt>
                <c:pt idx="1">
                  <c:v>1170563.1956769025</c:v>
                </c:pt>
                <c:pt idx="2">
                  <c:v>1273117.611865134</c:v>
                </c:pt>
                <c:pt idx="3">
                  <c:v>1285385.1742999998</c:v>
                </c:pt>
              </c:numCache>
            </c:numRef>
          </c:val>
        </c:ser>
        <c:ser>
          <c:idx val="1"/>
          <c:order val="1"/>
          <c:tx>
            <c:strRef>
              <c:f>Total!$B$55</c:f>
              <c:strCache>
                <c:ptCount val="1"/>
                <c:pt idx="0">
                  <c:v>Medium connection points</c:v>
                </c:pt>
              </c:strCache>
            </c:strRef>
          </c:tx>
          <c:invertIfNegative val="0"/>
          <c:cat>
            <c:numRef>
              <c:f>Total!$C$53:$F$53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Total!$C$55:$F$55</c:f>
              <c:numCache>
                <c:formatCode>0</c:formatCode>
                <c:ptCount val="4"/>
                <c:pt idx="0">
                  <c:v>246216.43610177923</c:v>
                </c:pt>
                <c:pt idx="1">
                  <c:v>248853.67275558782</c:v>
                </c:pt>
                <c:pt idx="2">
                  <c:v>267545.82354657649</c:v>
                </c:pt>
                <c:pt idx="3">
                  <c:v>249643.8205</c:v>
                </c:pt>
              </c:numCache>
            </c:numRef>
          </c:val>
        </c:ser>
        <c:ser>
          <c:idx val="2"/>
          <c:order val="2"/>
          <c:tx>
            <c:strRef>
              <c:f>Total!$B$56</c:f>
              <c:strCache>
                <c:ptCount val="1"/>
                <c:pt idx="0">
                  <c:v>Large connection points </c:v>
                </c:pt>
              </c:strCache>
            </c:strRef>
          </c:tx>
          <c:invertIfNegative val="0"/>
          <c:cat>
            <c:numRef>
              <c:f>Total!$C$53:$F$53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Total!$C$56:$F$56</c:f>
              <c:numCache>
                <c:formatCode>0</c:formatCode>
                <c:ptCount val="4"/>
                <c:pt idx="0">
                  <c:v>359655.58191503806</c:v>
                </c:pt>
                <c:pt idx="1">
                  <c:v>339626.65030429256</c:v>
                </c:pt>
                <c:pt idx="2">
                  <c:v>361087.0276417773</c:v>
                </c:pt>
                <c:pt idx="3">
                  <c:v>374134.09765000001</c:v>
                </c:pt>
              </c:numCache>
            </c:numRef>
          </c:val>
        </c:ser>
        <c:ser>
          <c:idx val="3"/>
          <c:order val="3"/>
          <c:tx>
            <c:strRef>
              <c:f>Total!$B$57</c:f>
              <c:strCache>
                <c:ptCount val="1"/>
                <c:pt idx="0">
                  <c:v>Largest 5 connection points</c:v>
                </c:pt>
              </c:strCache>
            </c:strRef>
          </c:tx>
          <c:invertIfNegative val="0"/>
          <c:cat>
            <c:numRef>
              <c:f>Total!$C$53:$F$53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Total!$C$57:$F$57</c:f>
              <c:numCache>
                <c:formatCode>0</c:formatCode>
                <c:ptCount val="4"/>
                <c:pt idx="0">
                  <c:v>81501.761732351515</c:v>
                </c:pt>
                <c:pt idx="1">
                  <c:v>72961.086464262436</c:v>
                </c:pt>
                <c:pt idx="2">
                  <c:v>78855.88134732288</c:v>
                </c:pt>
                <c:pt idx="3">
                  <c:v>76647.107149999996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855232"/>
        <c:axId val="187856768"/>
      </c:barChart>
      <c:catAx>
        <c:axId val="18785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7856768"/>
        <c:crosses val="autoZero"/>
        <c:auto val="1"/>
        <c:lblAlgn val="ctr"/>
        <c:lblOffset val="100"/>
        <c:noMultiLvlLbl val="0"/>
      </c:catAx>
      <c:valAx>
        <c:axId val="18785676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7855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3097222222222434E-3"/>
          <c:y val="0"/>
          <c:w val="0.99138055555555549"/>
          <c:h val="0.1518981481481513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 orientation="portrait"/>
  </c:printSettings>
</c:chartSpace>
</file>

<file path=xl/charts/chart9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2745341990076648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Total!$B$61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1656787643764014E-6"/>
                  <c:y val="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Total!$C$61:$F$61</c:f>
              <c:numCache>
                <c:formatCode>0.0</c:formatCode>
                <c:ptCount val="4"/>
                <c:pt idx="0">
                  <c:v>100</c:v>
                </c:pt>
                <c:pt idx="1">
                  <c:v>101.33880155742527</c:v>
                </c:pt>
                <c:pt idx="2">
                  <c:v>110.21721296598402</c:v>
                </c:pt>
                <c:pt idx="3">
                  <c:v>111.27924881314843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9817890572403128E-6"/>
                  <c:y val="3.812642024444996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Total!$C$62:$F$62</c:f>
              <c:numCache>
                <c:formatCode>0.0</c:formatCode>
                <c:ptCount val="4"/>
                <c:pt idx="0">
                  <c:v>100</c:v>
                </c:pt>
                <c:pt idx="1">
                  <c:v>101.07110503894974</c:v>
                </c:pt>
                <c:pt idx="2">
                  <c:v>108.66286092938988</c:v>
                </c:pt>
                <c:pt idx="3">
                  <c:v>101.39202096029203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Total!$B$63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0960290043322815E-6"/>
                  <c:y val="-3.180867350368905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Total!$C$63:$F$63</c:f>
              <c:numCache>
                <c:formatCode>0.0</c:formatCode>
                <c:ptCount val="4"/>
                <c:pt idx="0">
                  <c:v>100</c:v>
                </c:pt>
                <c:pt idx="1">
                  <c:v>94.43108000601616</c:v>
                </c:pt>
                <c:pt idx="2">
                  <c:v>100.39800459070239</c:v>
                </c:pt>
                <c:pt idx="3">
                  <c:v>104.02566134463116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Total!$B$64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Total!$C$60:$F$60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Total!$C$64:$F$64</c:f>
              <c:numCache>
                <c:formatCode>0.0</c:formatCode>
                <c:ptCount val="4"/>
                <c:pt idx="0">
                  <c:v>100</c:v>
                </c:pt>
                <c:pt idx="1">
                  <c:v>89.5208703633471</c:v>
                </c:pt>
                <c:pt idx="2">
                  <c:v>96.753591175467349</c:v>
                </c:pt>
                <c:pt idx="3">
                  <c:v>94.043497368444619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363712"/>
        <c:axId val="189365248"/>
      </c:lineChart>
      <c:catAx>
        <c:axId val="18936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9365248"/>
        <c:crosses val="autoZero"/>
        <c:auto val="1"/>
        <c:lblAlgn val="ctr"/>
        <c:lblOffset val="100"/>
        <c:noMultiLvlLbl val="0"/>
      </c:catAx>
      <c:valAx>
        <c:axId val="189365248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9363712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9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685E-2"/>
          <c:y val="5.1489936964064897E-2"/>
          <c:w val="0.84459131069340321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Total!$B$92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219616977948646E-5"/>
                  <c:y val="-4.70372584180118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Total!$C$91:$F$91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Total!$C$92:$F$92</c:f>
              <c:numCache>
                <c:formatCode>0.00</c:formatCode>
                <c:ptCount val="4"/>
                <c:pt idx="0">
                  <c:v>7.875449380452471</c:v>
                </c:pt>
                <c:pt idx="1">
                  <c:v>8.0814477306314831</c:v>
                </c:pt>
                <c:pt idx="2">
                  <c:v>8.3420426365838054</c:v>
                </c:pt>
                <c:pt idx="3">
                  <c:v>8.4943527910623668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Total!$B$93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193798557741506E-5"/>
                  <c:y val="3.527794381350983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Total!$C$91:$F$91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Total!$C$93:$F$93</c:f>
              <c:numCache>
                <c:formatCode>0.00</c:formatCode>
                <c:ptCount val="4"/>
                <c:pt idx="0">
                  <c:v>6.4749732214820188</c:v>
                </c:pt>
                <c:pt idx="1">
                  <c:v>6.8378216301697172</c:v>
                </c:pt>
                <c:pt idx="2">
                  <c:v>6.8918894325220084</c:v>
                </c:pt>
                <c:pt idx="3">
                  <c:v>6.7239005666443044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Total!$B$94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655070927428634E-5"/>
                  <c:y val="-4.11576011157601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Total!$C$91:$F$91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Total!$C$94:$F$94</c:f>
              <c:numCache>
                <c:formatCode>0.00</c:formatCode>
                <c:ptCount val="4"/>
                <c:pt idx="0">
                  <c:v>4.2322041246556106</c:v>
                </c:pt>
                <c:pt idx="1">
                  <c:v>4.0997962462928239</c:v>
                </c:pt>
                <c:pt idx="2">
                  <c:v>4.2457246895584575</c:v>
                </c:pt>
                <c:pt idx="3">
                  <c:v>4.3916542362595168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Total!$B$95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9199123827778917E-5"/>
                  <c:y val="3.438533572424785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Total!$C$91:$F$91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Total!$C$95:$F$95</c:f>
              <c:numCache>
                <c:formatCode>0.00</c:formatCode>
                <c:ptCount val="4"/>
                <c:pt idx="0">
                  <c:v>2.3006999141684306</c:v>
                </c:pt>
                <c:pt idx="1">
                  <c:v>2.0886338440378047</c:v>
                </c:pt>
                <c:pt idx="2">
                  <c:v>2.3236518243625914</c:v>
                </c:pt>
                <c:pt idx="3">
                  <c:v>2.1398701329492837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085952"/>
        <c:axId val="189128704"/>
      </c:lineChart>
      <c:catAx>
        <c:axId val="18908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9128704"/>
        <c:crosses val="autoZero"/>
        <c:auto val="1"/>
        <c:lblAlgn val="ctr"/>
        <c:lblOffset val="100"/>
        <c:noMultiLvlLbl val="0"/>
      </c:catAx>
      <c:valAx>
        <c:axId val="18912870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908595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9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29986E-2"/>
          <c:y val="5.8338380979806134E-2"/>
          <c:w val="0.83883540276753665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Total!$B$98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6.8285965341243512E-4"/>
                  <c:y val="-1.649626957363900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Total!$C$98:$F$98</c:f>
              <c:numCache>
                <c:formatCode>0.0</c:formatCode>
                <c:ptCount val="4"/>
                <c:pt idx="0">
                  <c:v>100</c:v>
                </c:pt>
                <c:pt idx="1">
                  <c:v>102.61570280281805</c:v>
                </c:pt>
                <c:pt idx="2">
                  <c:v>105.9246556430095</c:v>
                </c:pt>
                <c:pt idx="3">
                  <c:v>107.85864248135562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Total!$B$99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7544664217008E-3"/>
                  <c:y val="-4.11576011157601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Total!$C$99:$F$99</c:f>
              <c:numCache>
                <c:formatCode>0.0</c:formatCode>
                <c:ptCount val="4"/>
                <c:pt idx="0">
                  <c:v>100</c:v>
                </c:pt>
                <c:pt idx="1">
                  <c:v>105.60385960337067</c:v>
                </c:pt>
                <c:pt idx="2">
                  <c:v>106.43888703132835</c:v>
                </c:pt>
                <c:pt idx="3">
                  <c:v>103.84445366254829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Total!$B$100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3239808981468895E-2"/>
                  <c:y val="5.473133289692993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Total!$C$100:$F$100</c:f>
              <c:numCache>
                <c:formatCode>0.0</c:formatCode>
                <c:ptCount val="4"/>
                <c:pt idx="0">
                  <c:v>100</c:v>
                </c:pt>
                <c:pt idx="1">
                  <c:v>96.871420317573623</c:v>
                </c:pt>
                <c:pt idx="2">
                  <c:v>100.31946863867176</c:v>
                </c:pt>
                <c:pt idx="3">
                  <c:v>103.76754303212823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Total!$B$101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6.8285965341243512E-4"/>
                  <c:y val="3.68422193816972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Total!$C$97:$F$97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Total!$C$101:$F$101</c:f>
              <c:numCache>
                <c:formatCode>0.0</c:formatCode>
                <c:ptCount val="4"/>
                <c:pt idx="0">
                  <c:v>100</c:v>
                </c:pt>
                <c:pt idx="1">
                  <c:v>90.782541050892533</c:v>
                </c:pt>
                <c:pt idx="2">
                  <c:v>100.99760555702271</c:v>
                </c:pt>
                <c:pt idx="3">
                  <c:v>93.00952809061684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225984"/>
        <c:axId val="189256448"/>
      </c:lineChart>
      <c:catAx>
        <c:axId val="1892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9256448"/>
        <c:crosses val="autoZero"/>
        <c:auto val="1"/>
        <c:lblAlgn val="ctr"/>
        <c:lblOffset val="100"/>
        <c:noMultiLvlLbl val="0"/>
      </c:catAx>
      <c:valAx>
        <c:axId val="189256448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9225984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9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82986111110999E-2"/>
          <c:y val="5.1489936964064897E-2"/>
          <c:w val="0.84479583333336405"/>
          <c:h val="0.85242685185185152"/>
        </c:manualLayout>
      </c:layout>
      <c:lineChart>
        <c:grouping val="standard"/>
        <c:varyColors val="0"/>
        <c:ser>
          <c:idx val="2"/>
          <c:order val="0"/>
          <c:tx>
            <c:strRef>
              <c:f>Total!$B$136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6304976331734221E-6"/>
                  <c:y val="-3.275618900677620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Total!$C$135:$F$135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Total!$C$136:$F$136</c:f>
              <c:numCache>
                <c:formatCode>0.0</c:formatCode>
                <c:ptCount val="4"/>
                <c:pt idx="0">
                  <c:v>100</c:v>
                </c:pt>
                <c:pt idx="1">
                  <c:v>98.755647322470324</c:v>
                </c:pt>
                <c:pt idx="2">
                  <c:v>104.05246285382455</c:v>
                </c:pt>
                <c:pt idx="3">
                  <c:v>103.17137899485809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Total!$B$137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1423747277614534E-3"/>
                  <c:y val="3.15568634045718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Total!$C$135:$F$135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Total!$C$137:$F$137</c:f>
              <c:numCache>
                <c:formatCode>0.0</c:formatCode>
                <c:ptCount val="4"/>
                <c:pt idx="0">
                  <c:v>100</c:v>
                </c:pt>
                <c:pt idx="1">
                  <c:v>95.707775661377198</c:v>
                </c:pt>
                <c:pt idx="2">
                  <c:v>102.08943738523585</c:v>
                </c:pt>
                <c:pt idx="3">
                  <c:v>97.638359473462444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Total!$B$138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9307218822751208"/>
                  <c:y val="3.58747246827376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Total!$C$135:$F$135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Total!$C$138:$F$138</c:f>
              <c:numCache>
                <c:formatCode>0.0</c:formatCode>
                <c:ptCount val="4"/>
                <c:pt idx="0">
                  <c:v>100</c:v>
                </c:pt>
                <c:pt idx="1">
                  <c:v>97.480845946557508</c:v>
                </c:pt>
                <c:pt idx="2">
                  <c:v>100.07828585328087</c:v>
                </c:pt>
                <c:pt idx="3">
                  <c:v>100.24874667450014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Total!$B$139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0.25901336684746717"/>
                  <c:y val="0.15202716865197091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Total!$C$135:$F$135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Total!$C$139:$F$139</c:f>
              <c:numCache>
                <c:formatCode>0.0</c:formatCode>
                <c:ptCount val="4"/>
                <c:pt idx="0">
                  <c:v>100</c:v>
                </c:pt>
                <c:pt idx="1">
                  <c:v>98.610227613216779</c:v>
                </c:pt>
                <c:pt idx="2">
                  <c:v>95.797905942275833</c:v>
                </c:pt>
                <c:pt idx="3">
                  <c:v>101.11168102779796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325312"/>
        <c:axId val="189326848"/>
      </c:lineChart>
      <c:catAx>
        <c:axId val="18932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9326848"/>
        <c:crosses val="autoZero"/>
        <c:auto val="1"/>
        <c:lblAlgn val="ctr"/>
        <c:lblOffset val="100"/>
        <c:noMultiLvlLbl val="0"/>
      </c:catAx>
      <c:valAx>
        <c:axId val="189326848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9325312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9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16523056528732E-2"/>
          <c:y val="9.8526851851855612E-2"/>
          <c:w val="0.84210183694725882"/>
          <c:h val="0.804888888888889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Total!$B$129</c:f>
              <c:strCache>
                <c:ptCount val="1"/>
                <c:pt idx="0">
                  <c:v>Small</c:v>
                </c:pt>
              </c:strCache>
            </c:strRef>
          </c:tx>
          <c:invertIfNegative val="0"/>
          <c:cat>
            <c:numRef>
              <c:f>Total!$C$128:$F$128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Total!$C$129:$F$129</c:f>
              <c:numCache>
                <c:formatCode>0</c:formatCode>
                <c:ptCount val="4"/>
                <c:pt idx="0">
                  <c:v>14667083.239000002</c:v>
                </c:pt>
                <c:pt idx="1">
                  <c:v>14484572.995999999</c:v>
                </c:pt>
                <c:pt idx="2">
                  <c:v>15261461.339000002</c:v>
                </c:pt>
                <c:pt idx="3">
                  <c:v>15132232.036</c:v>
                </c:pt>
              </c:numCache>
            </c:numRef>
          </c:val>
        </c:ser>
        <c:ser>
          <c:idx val="1"/>
          <c:order val="1"/>
          <c:tx>
            <c:strRef>
              <c:f>Total!$B$130</c:f>
              <c:strCache>
                <c:ptCount val="1"/>
                <c:pt idx="0">
                  <c:v>Medium</c:v>
                </c:pt>
              </c:strCache>
            </c:strRef>
          </c:tx>
          <c:invertIfNegative val="0"/>
          <c:cat>
            <c:numRef>
              <c:f>Total!$C$128:$F$128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Total!$C$130:$F$130</c:f>
              <c:numCache>
                <c:formatCode>0</c:formatCode>
                <c:ptCount val="4"/>
                <c:pt idx="0">
                  <c:v>3802586.1679999996</c:v>
                </c:pt>
                <c:pt idx="1">
                  <c:v>3639370.6389999995</c:v>
                </c:pt>
                <c:pt idx="2">
                  <c:v>3882038.8249999993</c:v>
                </c:pt>
                <c:pt idx="3">
                  <c:v>3712782.7520000003</c:v>
                </c:pt>
              </c:numCache>
            </c:numRef>
          </c:val>
        </c:ser>
        <c:ser>
          <c:idx val="2"/>
          <c:order val="2"/>
          <c:tx>
            <c:strRef>
              <c:f>Total!$B$131</c:f>
              <c:strCache>
                <c:ptCount val="1"/>
                <c:pt idx="0">
                  <c:v>Large</c:v>
                </c:pt>
              </c:strCache>
            </c:strRef>
          </c:tx>
          <c:invertIfNegative val="0"/>
          <c:cat>
            <c:numRef>
              <c:f>Total!$C$128:$F$128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Total!$C$131:$F$131</c:f>
              <c:numCache>
                <c:formatCode>0</c:formatCode>
                <c:ptCount val="4"/>
                <c:pt idx="0">
                  <c:v>8498067.9409999996</c:v>
                </c:pt>
                <c:pt idx="1">
                  <c:v>8283988.5180000011</c:v>
                </c:pt>
                <c:pt idx="2">
                  <c:v>8504720.7259999998</c:v>
                </c:pt>
                <c:pt idx="3">
                  <c:v>8519206.6023999993</c:v>
                </c:pt>
              </c:numCache>
            </c:numRef>
          </c:val>
        </c:ser>
        <c:ser>
          <c:idx val="3"/>
          <c:order val="3"/>
          <c:tx>
            <c:strRef>
              <c:f>Total!$B$132</c:f>
              <c:strCache>
                <c:ptCount val="1"/>
                <c:pt idx="0">
                  <c:v>Largest 5</c:v>
                </c:pt>
              </c:strCache>
            </c:strRef>
          </c:tx>
          <c:invertIfNegative val="0"/>
          <c:cat>
            <c:numRef>
              <c:f>Total!$C$128:$F$128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Total!$C$132:$F$132</c:f>
              <c:numCache>
                <c:formatCode>0</c:formatCode>
                <c:ptCount val="4"/>
                <c:pt idx="0">
                  <c:v>3542476.8449999997</c:v>
                </c:pt>
                <c:pt idx="1">
                  <c:v>3493244.4800000004</c:v>
                </c:pt>
                <c:pt idx="2">
                  <c:v>3393618.6359999999</c:v>
                </c:pt>
                <c:pt idx="3">
                  <c:v>3581857.8879999998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715200"/>
        <c:axId val="189716736"/>
      </c:barChart>
      <c:catAx>
        <c:axId val="18971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9716736"/>
        <c:crosses val="autoZero"/>
        <c:auto val="1"/>
        <c:lblAlgn val="ctr"/>
        <c:lblOffset val="100"/>
        <c:noMultiLvlLbl val="0"/>
      </c:catAx>
      <c:valAx>
        <c:axId val="18971673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9715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7.4206473574163864E-2"/>
          <c:y val="0"/>
          <c:w val="0.86925749698160004"/>
          <c:h val="9.211805555555555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9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solidFill>
                <a:schemeClr val="accent2">
                  <a:lumMod val="60000"/>
                  <a:lumOff val="40000"/>
                </a:schemeClr>
              </a:solidFill>
            </a:ln>
          </c:spPr>
          <c:invertIfNegative val="0"/>
          <c:cat>
            <c:strRef>
              <c:f>Total!$U$154:$U$160</c:f>
              <c:strCache>
                <c:ptCount val="7"/>
                <c:pt idx="0">
                  <c:v>General management, admin and overheads</c:v>
                </c:pt>
                <c:pt idx="1">
                  <c:v>Routine and preventative maintenance</c:v>
                </c:pt>
                <c:pt idx="2">
                  <c:v>System management and operations</c:v>
                </c:pt>
                <c:pt idx="3">
                  <c:v>Fault and emergency maintenance</c:v>
                </c:pt>
                <c:pt idx="4">
                  <c:v>Refurbishment and renewal maintenance</c:v>
                </c:pt>
                <c:pt idx="5">
                  <c:v>Pass-through costs</c:v>
                </c:pt>
                <c:pt idx="6">
                  <c:v>Other</c:v>
                </c:pt>
              </c:strCache>
            </c:strRef>
          </c:cat>
          <c:val>
            <c:numRef>
              <c:f>Total!$V$154:$V$160</c:f>
              <c:numCache>
                <c:formatCode>General</c:formatCode>
                <c:ptCount val="7"/>
                <c:pt idx="0">
                  <c:v>165292.89207263073</c:v>
                </c:pt>
                <c:pt idx="1">
                  <c:v>95604.028983051365</c:v>
                </c:pt>
                <c:pt idx="2">
                  <c:v>74488.417538627895</c:v>
                </c:pt>
                <c:pt idx="3">
                  <c:v>56074.672076723611</c:v>
                </c:pt>
                <c:pt idx="4">
                  <c:v>38452.814126986064</c:v>
                </c:pt>
                <c:pt idx="5">
                  <c:v>18075.231604671659</c:v>
                </c:pt>
                <c:pt idx="6">
                  <c:v>6019.4037000000098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89733120"/>
        <c:axId val="189743104"/>
      </c:barChart>
      <c:catAx>
        <c:axId val="189733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9743104"/>
        <c:crosses val="autoZero"/>
        <c:auto val="1"/>
        <c:lblAlgn val="ctr"/>
        <c:lblOffset val="100"/>
        <c:noMultiLvlLbl val="0"/>
      </c:catAx>
      <c:valAx>
        <c:axId val="189743104"/>
        <c:scaling>
          <c:orientation val="minMax"/>
          <c:max val="180000"/>
          <c:min val="0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9733120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9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078281250000001"/>
          <c:y val="5.1014483439099333E-2"/>
          <c:w val="0.72704739583333333"/>
          <c:h val="0.8328039561239104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Total!$U$226:$U$231</c:f>
              <c:strCache>
                <c:ptCount val="6"/>
                <c:pt idx="0">
                  <c:v>Asset replacement and renewal</c:v>
                </c:pt>
                <c:pt idx="1">
                  <c:v>System growth</c:v>
                </c:pt>
                <c:pt idx="2">
                  <c:v>Customer connection</c:v>
                </c:pt>
                <c:pt idx="3">
                  <c:v>Reliability, safety and environment</c:v>
                </c:pt>
                <c:pt idx="4">
                  <c:v>Non-network capex</c:v>
                </c:pt>
                <c:pt idx="5">
                  <c:v>Asset relocations</c:v>
                </c:pt>
              </c:strCache>
            </c:strRef>
          </c:cat>
          <c:val>
            <c:numRef>
              <c:f>Total!$V$226:$V$231</c:f>
              <c:numCache>
                <c:formatCode>General</c:formatCode>
                <c:ptCount val="6"/>
                <c:pt idx="0">
                  <c:v>175.91952869225133</c:v>
                </c:pt>
                <c:pt idx="1">
                  <c:v>153.49954089747652</c:v>
                </c:pt>
                <c:pt idx="2">
                  <c:v>96.337303738003811</c:v>
                </c:pt>
                <c:pt idx="3">
                  <c:v>72.341216030231735</c:v>
                </c:pt>
                <c:pt idx="4">
                  <c:v>53.848379287916245</c:v>
                </c:pt>
                <c:pt idx="5">
                  <c:v>33.22214838552302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80"/>
        <c:axId val="189750656"/>
        <c:axId val="189781120"/>
      </c:barChart>
      <c:catAx>
        <c:axId val="189750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9781120"/>
        <c:crosses val="autoZero"/>
        <c:auto val="1"/>
        <c:lblAlgn val="ctr"/>
        <c:lblOffset val="100"/>
        <c:noMultiLvlLbl val="0"/>
      </c:catAx>
      <c:valAx>
        <c:axId val="189781120"/>
        <c:scaling>
          <c:orientation val="minMax"/>
          <c:max val="180"/>
          <c:min val="0"/>
        </c:scaling>
        <c:delete val="0"/>
        <c:axPos val="b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9750656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9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822281594511833E-2"/>
          <c:y val="5.3830398472918164E-2"/>
          <c:w val="0.88104022131339965"/>
          <c:h val="0.82404629629630821"/>
        </c:manualLayout>
      </c:layout>
      <c:lineChart>
        <c:grouping val="standard"/>
        <c:varyColors val="0"/>
        <c:ser>
          <c:idx val="0"/>
          <c:order val="0"/>
          <c:tx>
            <c:strRef>
              <c:f>Total!$B$76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4.11574074074074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Total!$C$76:$F$76</c:f>
              <c:numCache>
                <c:formatCode>0.0</c:formatCode>
                <c:ptCount val="4"/>
                <c:pt idx="0">
                  <c:v>100</c:v>
                </c:pt>
                <c:pt idx="1">
                  <c:v>99.841369973907248</c:v>
                </c:pt>
                <c:pt idx="2">
                  <c:v>107.86594134670766</c:v>
                </c:pt>
                <c:pt idx="3">
                  <c:v>108.59787410719399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Total!$B$77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379302330160255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Total!$C$77:$F$77</c:f>
              <c:numCache>
                <c:formatCode>0.0</c:formatCode>
                <c:ptCount val="4"/>
                <c:pt idx="0">
                  <c:v>100</c:v>
                </c:pt>
                <c:pt idx="1">
                  <c:v>99.632865308751079</c:v>
                </c:pt>
                <c:pt idx="2">
                  <c:v>103.47226779227579</c:v>
                </c:pt>
                <c:pt idx="3">
                  <c:v>94.322774830430532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Total!$B$78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Total!$C$78:$F$78</c:f>
              <c:numCache>
                <c:formatCode>0.0</c:formatCode>
                <c:ptCount val="4"/>
                <c:pt idx="0">
                  <c:v>100</c:v>
                </c:pt>
                <c:pt idx="1">
                  <c:v>92.170747512911333</c:v>
                </c:pt>
                <c:pt idx="2">
                  <c:v>96.651003213984566</c:v>
                </c:pt>
                <c:pt idx="3">
                  <c:v>97.280718172861739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Total!$B$79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3.856436045330627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argest 5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Total!$C$75:$F$75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Total!$C$79:$F$79</c:f>
              <c:numCache>
                <c:formatCode>0.0</c:formatCode>
                <c:ptCount val="4"/>
                <c:pt idx="0">
                  <c:v>100</c:v>
                </c:pt>
                <c:pt idx="1">
                  <c:v>87.180455451887028</c:v>
                </c:pt>
                <c:pt idx="2">
                  <c:v>93.612240812627491</c:v>
                </c:pt>
                <c:pt idx="3">
                  <c:v>93.416540719321645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03232"/>
        <c:axId val="189904768"/>
      </c:lineChart>
      <c:catAx>
        <c:axId val="18990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9904768"/>
        <c:crosses val="autoZero"/>
        <c:auto val="1"/>
        <c:lblAlgn val="ctr"/>
        <c:lblOffset val="100"/>
        <c:noMultiLvlLbl val="0"/>
      </c:catAx>
      <c:valAx>
        <c:axId val="189904768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9903232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9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Small </a:t>
            </a:r>
          </a:p>
        </c:rich>
      </c:tx>
      <c:layout>
        <c:manualLayout>
          <c:xMode val="edge"/>
          <c:yMode val="edge"/>
          <c:x val="0.4000158958902922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070838501241374"/>
          <c:y val="0.16445370370370369"/>
          <c:w val="0.7033004190798211"/>
          <c:h val="0.58458333333333257"/>
        </c:manualLayout>
      </c:layout>
      <c:lineChart>
        <c:grouping val="standard"/>
        <c:varyColors val="0"/>
        <c:ser>
          <c:idx val="1"/>
          <c:order val="0"/>
          <c:tx>
            <c:strRef>
              <c:f>Total!$B$70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Total!$C$69:$F$69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Total!$C$70:$F$70</c:f>
              <c:numCache>
                <c:formatCode>0</c:formatCode>
                <c:ptCount val="4"/>
                <c:pt idx="0">
                  <c:v>641.1181455209786</c:v>
                </c:pt>
                <c:pt idx="1">
                  <c:v>640.10113963945332</c:v>
                </c:pt>
                <c:pt idx="2">
                  <c:v>691.54812281075863</c:v>
                </c:pt>
                <c:pt idx="3">
                  <c:v>696.24067655124918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41248"/>
        <c:axId val="189942784"/>
      </c:lineChart>
      <c:catAx>
        <c:axId val="18994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9942784"/>
        <c:crosses val="autoZero"/>
        <c:auto val="1"/>
        <c:lblAlgn val="ctr"/>
        <c:lblOffset val="100"/>
        <c:noMultiLvlLbl val="0"/>
      </c:catAx>
      <c:valAx>
        <c:axId val="189942784"/>
        <c:scaling>
          <c:orientation val="minMax"/>
          <c:max val="1000"/>
          <c:min val="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9941248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36111111111112"/>
          <c:y val="5.3519444444444474E-2"/>
          <c:w val="0.83666067857506166"/>
          <c:h val="0.85039722222222225"/>
        </c:manualLayout>
      </c:layout>
      <c:lineChart>
        <c:grouping val="standard"/>
        <c:varyColors val="0"/>
        <c:ser>
          <c:idx val="0"/>
          <c:order val="0"/>
          <c:tx>
            <c:strRef>
              <c:f>Buller!$B$61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5.2225750822987912E-4"/>
                  <c:y val="-2.197173489278753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Buller!$V$60:$Y$60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Buller!$V$61:$Y$61</c:f>
              <c:numCache>
                <c:formatCode>0.0</c:formatCode>
                <c:ptCount val="4"/>
                <c:pt idx="0">
                  <c:v>100</c:v>
                </c:pt>
                <c:pt idx="1">
                  <c:v>103.05450612221354</c:v>
                </c:pt>
                <c:pt idx="2">
                  <c:v>113.47705496882514</c:v>
                </c:pt>
                <c:pt idx="3">
                  <c:v>113.87631205127498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Buller!$B$62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2.0751953969399261E-6"/>
                  <c:y val="-2.87792397660818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Buller!$V$60:$Y$60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Buller!$V$62:$Y$62</c:f>
              <c:numCache>
                <c:formatCode>0.0</c:formatCode>
                <c:ptCount val="4"/>
                <c:pt idx="0">
                  <c:v>100</c:v>
                </c:pt>
                <c:pt idx="1">
                  <c:v>113.5720910750082</c:v>
                </c:pt>
                <c:pt idx="2">
                  <c:v>120.18840222230051</c:v>
                </c:pt>
                <c:pt idx="3">
                  <c:v>122.40548398171696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34400"/>
        <c:axId val="121368960"/>
      </c:lineChart>
      <c:catAx>
        <c:axId val="12133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1368960"/>
        <c:crosses val="autoZero"/>
        <c:auto val="1"/>
        <c:lblAlgn val="ctr"/>
        <c:lblOffset val="100"/>
        <c:noMultiLvlLbl val="0"/>
      </c:catAx>
      <c:valAx>
        <c:axId val="121368960"/>
        <c:scaling>
          <c:orientation val="minMax"/>
          <c:max val="140"/>
          <c:min val="8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133440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9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Medium</a:t>
            </a:r>
          </a:p>
        </c:rich>
      </c:tx>
      <c:layout>
        <c:manualLayout>
          <c:xMode val="edge"/>
          <c:yMode val="edge"/>
          <c:x val="0.3163186765686176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908819444444854"/>
          <c:y val="0.17621296296296726"/>
          <c:w val="0.73692152777777775"/>
          <c:h val="0.57282407407409552"/>
        </c:manualLayout>
      </c:layout>
      <c:lineChart>
        <c:grouping val="standard"/>
        <c:varyColors val="0"/>
        <c:ser>
          <c:idx val="1"/>
          <c:order val="0"/>
          <c:tx>
            <c:strRef>
              <c:f>Total!$B$71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Total!$C$69:$F$69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Total!$C$71:$F$71</c:f>
              <c:numCache>
                <c:formatCode>0</c:formatCode>
                <c:ptCount val="4"/>
                <c:pt idx="0">
                  <c:v>1843.4203141418707</c:v>
                </c:pt>
                <c:pt idx="1">
                  <c:v>1836.652478663126</c:v>
                </c:pt>
                <c:pt idx="2">
                  <c:v>1907.428803986088</c:v>
                </c:pt>
                <c:pt idx="3">
                  <c:v>1738.7651920864519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63648"/>
        <c:axId val="189969536"/>
      </c:lineChart>
      <c:catAx>
        <c:axId val="18996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89969536"/>
        <c:crosses val="autoZero"/>
        <c:auto val="1"/>
        <c:lblAlgn val="ctr"/>
        <c:lblOffset val="100"/>
        <c:noMultiLvlLbl val="0"/>
      </c:catAx>
      <c:valAx>
        <c:axId val="189969536"/>
        <c:scaling>
          <c:orientation val="minMax"/>
          <c:max val="3000"/>
          <c:min val="15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89963648"/>
        <c:crosses val="autoZero"/>
        <c:crossBetween val="midCat"/>
        <c:majorUnit val="3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9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 </a:t>
            </a:r>
          </a:p>
        </c:rich>
      </c:tx>
      <c:layout>
        <c:manualLayout>
          <c:xMode val="edge"/>
          <c:yMode val="edge"/>
          <c:x val="0.3584065613818978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312222222222223"/>
          <c:y val="0.18917777777777778"/>
          <c:w val="0.85681597222222261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Total!$B$72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Total!$C$69:$F$69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Total!$C$72:$F$72</c:f>
              <c:numCache>
                <c:formatCode>0</c:formatCode>
                <c:ptCount val="4"/>
                <c:pt idx="0">
                  <c:v>23902.149058947358</c:v>
                </c:pt>
                <c:pt idx="1">
                  <c:v>22030.789459282081</c:v>
                </c:pt>
                <c:pt idx="2">
                  <c:v>23101.666855174593</c:v>
                </c:pt>
                <c:pt idx="3">
                  <c:v>23252.182263291903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14592"/>
        <c:axId val="190016128"/>
      </c:lineChart>
      <c:catAx>
        <c:axId val="19001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90016128"/>
        <c:crosses val="autoZero"/>
        <c:auto val="1"/>
        <c:lblAlgn val="ctr"/>
        <c:lblOffset val="100"/>
        <c:noMultiLvlLbl val="0"/>
      </c:catAx>
      <c:valAx>
        <c:axId val="190016128"/>
        <c:scaling>
          <c:orientation val="minMax"/>
          <c:max val="30000"/>
          <c:min val="15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90014592"/>
        <c:crosses val="autoZero"/>
        <c:crossBetween val="midCat"/>
        <c:majorUnit val="3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9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/>
            </a:pPr>
            <a:r>
              <a:rPr lang="en-US" sz="900"/>
              <a:t>Largest 5</a:t>
            </a:r>
          </a:p>
        </c:rich>
      </c:tx>
      <c:layout>
        <c:manualLayout>
          <c:xMode val="edge"/>
          <c:yMode val="edge"/>
          <c:x val="0.324063048164581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574027777777794"/>
          <c:y val="0.18917777777777778"/>
          <c:w val="0.78692916666666668"/>
          <c:h val="0.55985925925925961"/>
        </c:manualLayout>
      </c:layout>
      <c:lineChart>
        <c:grouping val="standard"/>
        <c:varyColors val="0"/>
        <c:ser>
          <c:idx val="1"/>
          <c:order val="0"/>
          <c:tx>
            <c:strRef>
              <c:f>Total!$B$73</c:f>
              <c:strCache>
                <c:ptCount val="1"/>
                <c:pt idx="0">
                  <c:v>Largest 5 connection points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Total!$C$69:$F$69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Total!$C$73:$F$73</c:f>
              <c:numCache>
                <c:formatCode>0</c:formatCode>
                <c:ptCount val="4"/>
                <c:pt idx="0">
                  <c:v>546991.68947886932</c:v>
                </c:pt>
                <c:pt idx="1">
                  <c:v>476869.84617164987</c:v>
                </c:pt>
                <c:pt idx="2">
                  <c:v>512051.1775800187</c:v>
                </c:pt>
                <c:pt idx="3">
                  <c:v>510980.71433333331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28416"/>
        <c:axId val="190042496"/>
      </c:lineChart>
      <c:catAx>
        <c:axId val="19002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n-US"/>
          </a:p>
        </c:txPr>
        <c:crossAx val="190042496"/>
        <c:crosses val="autoZero"/>
        <c:auto val="1"/>
        <c:lblAlgn val="ctr"/>
        <c:lblOffset val="100"/>
        <c:noMultiLvlLbl val="0"/>
      </c:catAx>
      <c:valAx>
        <c:axId val="190042496"/>
        <c:scaling>
          <c:orientation val="minMax"/>
          <c:max val="800000"/>
          <c:min val="4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700"/>
            </a:pPr>
            <a:endParaRPr lang="en-US"/>
          </a:p>
        </c:txPr>
        <c:crossAx val="190028416"/>
        <c:crosses val="autoZero"/>
        <c:crossBetween val="midCat"/>
        <c:majorUnit val="8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99" l="0.70000000000000062" r="0.70000000000000062" t="0.75000000000001199" header="0.30000000000000032" footer="0.30000000000000032"/>
    <c:pageSetup/>
  </c:printSettings>
</c:chartSpace>
</file>

<file path=xl/charts/chart9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87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Total!$B$121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09470824708421E-4"/>
                  <c:y val="-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Total!$C$120:$F$120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Total!$C$121:$F$121</c:f>
              <c:numCache>
                <c:formatCode>0.0</c:formatCode>
                <c:ptCount val="4"/>
                <c:pt idx="0">
                  <c:v>100</c:v>
                </c:pt>
                <c:pt idx="1">
                  <c:v>101.4998107336762</c:v>
                </c:pt>
                <c:pt idx="2">
                  <c:v>102.17980911297924</c:v>
                </c:pt>
                <c:pt idx="3">
                  <c:v>102.46908581590436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Total!$B$122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20666788393394322"/>
                  <c:y val="-9.781863088044077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</a:t>
                    </a:r>
                    <a:r>
                      <a:rPr lang="en-US"/>
                      <a:t>edium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Total!$C$120:$F$120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Total!$C$122:$F$122</c:f>
              <c:numCache>
                <c:formatCode>0.0</c:formatCode>
                <c:ptCount val="4"/>
                <c:pt idx="0">
                  <c:v>100</c:v>
                </c:pt>
                <c:pt idx="1">
                  <c:v>101.44353946435416</c:v>
                </c:pt>
                <c:pt idx="2">
                  <c:v>105.01640995008866</c:v>
                </c:pt>
                <c:pt idx="3">
                  <c:v>107.49473935915293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Total!$B$123</c:f>
              <c:strCache>
                <c:ptCount val="1"/>
                <c:pt idx="0">
                  <c:v>Large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8.8639077319345767E-5"/>
                  <c:y val="2.3518518518518518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</a:t>
                    </a:r>
                    <a:r>
                      <a:rPr lang="en-US"/>
                      <a:t>arge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Total!$C$120:$F$120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Total!$C$123:$F$123</c:f>
              <c:numCache>
                <c:formatCode>0.0</c:formatCode>
                <c:ptCount val="4"/>
                <c:pt idx="0">
                  <c:v>100</c:v>
                </c:pt>
                <c:pt idx="1">
                  <c:v>102.45233173658291</c:v>
                </c:pt>
                <c:pt idx="2">
                  <c:v>103.87683650672719</c:v>
                </c:pt>
                <c:pt idx="3">
                  <c:v>106.93348414614299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098048"/>
        <c:axId val="190116224"/>
      </c:lineChart>
      <c:catAx>
        <c:axId val="19009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0116224"/>
        <c:crosses val="autoZero"/>
        <c:auto val="1"/>
        <c:lblAlgn val="ctr"/>
        <c:lblOffset val="100"/>
        <c:noMultiLvlLbl val="0"/>
      </c:catAx>
      <c:valAx>
        <c:axId val="190116224"/>
        <c:scaling>
          <c:orientation val="minMax"/>
          <c:max val="130"/>
          <c:min val="9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0098048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9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9930555555556"/>
          <c:y val="0.19305555555555537"/>
          <c:w val="0.84649375000000004"/>
          <c:h val="0.6814629629629355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Total!$B$114</c:f>
              <c:strCache>
                <c:ptCount val="1"/>
                <c:pt idx="0">
                  <c:v>Small</c:v>
                </c:pt>
              </c:strCache>
            </c:strRef>
          </c:tx>
          <c:spPr>
            <a:solidFill>
              <a:schemeClr val="accent4">
                <a:lumMod val="50000"/>
                <a:lumOff val="50000"/>
              </a:schemeClr>
            </a:solidFill>
          </c:spPr>
          <c:invertIfNegative val="0"/>
          <c:cat>
            <c:numRef>
              <c:f>Total!$C$113:$F$113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Total!$C$114:$F$114</c:f>
              <c:numCache>
                <c:formatCode>0</c:formatCode>
                <c:ptCount val="4"/>
                <c:pt idx="0">
                  <c:v>1801694</c:v>
                </c:pt>
                <c:pt idx="1">
                  <c:v>1828716</c:v>
                </c:pt>
                <c:pt idx="2">
                  <c:v>1840967.49</c:v>
                </c:pt>
                <c:pt idx="3">
                  <c:v>1846179.371</c:v>
                </c:pt>
              </c:numCache>
            </c:numRef>
          </c:val>
        </c:ser>
        <c:ser>
          <c:idx val="1"/>
          <c:order val="1"/>
          <c:tx>
            <c:strRef>
              <c:f>Total!$B$115</c:f>
              <c:strCache>
                <c:ptCount val="1"/>
                <c:pt idx="0">
                  <c:v>Medium</c:v>
                </c:pt>
              </c:strCache>
            </c:strRef>
          </c:tx>
          <c:spPr>
            <a:solidFill>
              <a:schemeClr val="accent4">
                <a:lumMod val="25000"/>
                <a:lumOff val="75000"/>
              </a:schemeClr>
            </a:solidFill>
          </c:spPr>
          <c:invertIfNegative val="0"/>
          <c:cat>
            <c:numRef>
              <c:f>Total!$C$113:$F$113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Total!$C$115:$F$115</c:f>
              <c:numCache>
                <c:formatCode>0</c:formatCode>
                <c:ptCount val="4"/>
                <c:pt idx="0">
                  <c:v>133565.00099999999</c:v>
                </c:pt>
                <c:pt idx="1">
                  <c:v>135493.06450000001</c:v>
                </c:pt>
                <c:pt idx="2">
                  <c:v>140265.16899999999</c:v>
                </c:pt>
                <c:pt idx="3">
                  <c:v>143575.34969999999</c:v>
                </c:pt>
              </c:numCache>
            </c:numRef>
          </c:val>
        </c:ser>
        <c:ser>
          <c:idx val="2"/>
          <c:order val="2"/>
          <c:tx>
            <c:strRef>
              <c:f>Total!$B$116</c:f>
              <c:strCache>
                <c:ptCount val="1"/>
                <c:pt idx="0">
                  <c:v>Large</c:v>
                </c:pt>
              </c:strCache>
            </c:strRef>
          </c:tx>
          <c:spPr>
            <a:solidFill>
              <a:schemeClr val="accent4">
                <a:lumMod val="90000"/>
                <a:lumOff val="10000"/>
              </a:schemeClr>
            </a:solidFill>
          </c:spPr>
          <c:invertIfNegative val="0"/>
          <c:cat>
            <c:numRef>
              <c:f>Total!$C$113:$F$113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Total!$C$116:$F$116</c:f>
              <c:numCache>
                <c:formatCode>0</c:formatCode>
                <c:ptCount val="4"/>
                <c:pt idx="0">
                  <c:v>15046.9977</c:v>
                </c:pt>
                <c:pt idx="1">
                  <c:v>15416</c:v>
                </c:pt>
                <c:pt idx="2">
                  <c:v>15630.3452</c:v>
                </c:pt>
                <c:pt idx="3">
                  <c:v>16090.278900000001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499648"/>
        <c:axId val="189505536"/>
      </c:barChart>
      <c:catAx>
        <c:axId val="18949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9505536"/>
        <c:crosses val="autoZero"/>
        <c:auto val="1"/>
        <c:lblAlgn val="ctr"/>
        <c:lblOffset val="100"/>
        <c:noMultiLvlLbl val="0"/>
      </c:catAx>
      <c:valAx>
        <c:axId val="18950553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9499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3.5277777777779212E-2"/>
          <c:w val="1"/>
          <c:h val="0.12250000000000009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9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444775556008428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4830799157990168"/>
          <c:w val="0.79809047321242665"/>
          <c:h val="0.72979551178440172"/>
        </c:manualLayout>
      </c:layout>
      <c:lineChart>
        <c:grouping val="standard"/>
        <c:varyColors val="0"/>
        <c:ser>
          <c:idx val="0"/>
          <c:order val="0"/>
          <c:tx>
            <c:strRef>
              <c:f>Total!$B$246</c:f>
              <c:strCache>
                <c:ptCount val="1"/>
                <c:pt idx="0">
                  <c:v>INDUSTRY SUMMARY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0921865055953506E-3"/>
                  <c:y val="-7.8514459369337014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Median</a:t>
                    </a:r>
                    <a:endParaRPr lang="en-US" sz="800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Total!$C$244:$F$244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Total!$C$246:$F$246</c:f>
              <c:numCache>
                <c:formatCode>0.00</c:formatCode>
                <c:ptCount val="4"/>
                <c:pt idx="0">
                  <c:v>278.20789680771634</c:v>
                </c:pt>
                <c:pt idx="1">
                  <c:v>291.79997450325715</c:v>
                </c:pt>
                <c:pt idx="2">
                  <c:v>270.96257112706974</c:v>
                </c:pt>
                <c:pt idx="3">
                  <c:v>291.70965963179702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42784"/>
        <c:axId val="189544320"/>
      </c:lineChart>
      <c:catAx>
        <c:axId val="18954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9544320"/>
        <c:crosses val="autoZero"/>
        <c:auto val="1"/>
        <c:lblAlgn val="ctr"/>
        <c:lblOffset val="100"/>
        <c:noMultiLvlLbl val="0"/>
      </c:catAx>
      <c:valAx>
        <c:axId val="189544320"/>
        <c:scaling>
          <c:orientation val="minMax"/>
          <c:max val="6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9542784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9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MWh</a:t>
            </a:r>
            <a:r>
              <a:rPr lang="en-NZ" sz="1000" baseline="0"/>
              <a:t> ($)</a:t>
            </a:r>
            <a:endParaRPr lang="en-NZ" sz="1000"/>
          </a:p>
        </c:rich>
      </c:tx>
      <c:layout>
        <c:manualLayout>
          <c:xMode val="edge"/>
          <c:yMode val="edge"/>
          <c:x val="0.277615030138783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843600166771144"/>
          <c:y val="0.13651655828290044"/>
          <c:w val="0.86156399833229058"/>
          <c:h val="0.74158694508138157"/>
        </c:manualLayout>
      </c:layout>
      <c:lineChart>
        <c:grouping val="standard"/>
        <c:varyColors val="0"/>
        <c:ser>
          <c:idx val="0"/>
          <c:order val="0"/>
          <c:tx>
            <c:strRef>
              <c:f>Total!$B$249</c:f>
              <c:strCache>
                <c:ptCount val="1"/>
                <c:pt idx="0">
                  <c:v>INDUSTRY SUMMARY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6.3062828572734125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Median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Total!$C$244:$F$244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Total!$C$249:$F$249</c:f>
              <c:numCache>
                <c:formatCode>0</c:formatCode>
                <c:ptCount val="4"/>
                <c:pt idx="0">
                  <c:v>17785.25642507357</c:v>
                </c:pt>
                <c:pt idx="1">
                  <c:v>19320.282804712057</c:v>
                </c:pt>
                <c:pt idx="2">
                  <c:v>17431.85553128325</c:v>
                </c:pt>
                <c:pt idx="3">
                  <c:v>18909.28131127885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85280"/>
        <c:axId val="189586816"/>
      </c:lineChart>
      <c:catAx>
        <c:axId val="18958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9586816"/>
        <c:crosses val="autoZero"/>
        <c:auto val="1"/>
        <c:lblAlgn val="ctr"/>
        <c:lblOffset val="100"/>
        <c:noMultiLvlLbl val="0"/>
      </c:catAx>
      <c:valAx>
        <c:axId val="189586816"/>
        <c:scaling>
          <c:orientation val="minMax"/>
          <c:max val="40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9585280"/>
        <c:crosses val="autoZero"/>
        <c:crossBetween val="midCat"/>
        <c:majorUnit val="8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9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NZ" sz="1000"/>
              <a:t>Per $ of RAB ($)</a:t>
            </a:r>
          </a:p>
        </c:rich>
      </c:tx>
      <c:layout>
        <c:manualLayout>
          <c:xMode val="edge"/>
          <c:yMode val="edge"/>
          <c:x val="0.3372698678400917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90952678757559"/>
          <c:y val="0.12905734315678691"/>
          <c:w val="0.79809047321242665"/>
          <c:h val="0.749046160207495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7.178003781641238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Median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Total!$C$244:$F$244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Total!$C$252:$F$252</c:f>
              <c:numCache>
                <c:formatCode>0.000</c:formatCode>
                <c:ptCount val="4"/>
                <c:pt idx="0">
                  <c:v>6.7200573422985591E-2</c:v>
                </c:pt>
                <c:pt idx="1">
                  <c:v>6.9687031761162824E-2</c:v>
                </c:pt>
                <c:pt idx="2">
                  <c:v>6.3393701017924006E-2</c:v>
                </c:pt>
                <c:pt idx="3">
                  <c:v>6.5198766431544805E-2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632512"/>
        <c:axId val="189634048"/>
      </c:lineChart>
      <c:catAx>
        <c:axId val="1896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89634048"/>
        <c:crosses val="autoZero"/>
        <c:auto val="1"/>
        <c:lblAlgn val="ctr"/>
        <c:lblOffset val="100"/>
        <c:noMultiLvlLbl val="0"/>
      </c:catAx>
      <c:valAx>
        <c:axId val="189634048"/>
        <c:scaling>
          <c:orientation val="minMax"/>
          <c:max val="0.15000000000000024"/>
          <c:min val="0"/>
        </c:scaling>
        <c:delete val="0"/>
        <c:axPos val="l"/>
        <c:majorGridlines>
          <c:spPr>
            <a:ln w="6350"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9632512"/>
        <c:crosses val="autoZero"/>
        <c:crossBetween val="midCat"/>
        <c:majorUnit val="3.0000000000000002E-2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9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customer ($)</a:t>
            </a:r>
          </a:p>
        </c:rich>
      </c:tx>
      <c:layout>
        <c:manualLayout>
          <c:xMode val="edge"/>
          <c:yMode val="edge"/>
          <c:x val="0.251724390154701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1065981891422"/>
          <c:y val="0.13550222222222241"/>
          <c:w val="0.70926954404625586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Total!$B$178</c:f>
              <c:strCache>
                <c:ptCount val="1"/>
                <c:pt idx="0">
                  <c:v>INDUSTRY SUMMARY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7.160729962542063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 average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Total!$C$176:$F$176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Total!$C$178:$F$178</c:f>
              <c:numCache>
                <c:formatCode>0.00</c:formatCode>
                <c:ptCount val="4"/>
                <c:pt idx="0">
                  <c:v>219.92281249715873</c:v>
                </c:pt>
                <c:pt idx="1">
                  <c:v>218.64721627864751</c:v>
                </c:pt>
                <c:pt idx="2">
                  <c:v>224.81561953845423</c:v>
                </c:pt>
                <c:pt idx="3">
                  <c:v>226.32531966092711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651968"/>
        <c:axId val="190464768"/>
      </c:lineChart>
      <c:catAx>
        <c:axId val="18965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0464768"/>
        <c:crosses val="autoZero"/>
        <c:auto val="1"/>
        <c:lblAlgn val="ctr"/>
        <c:lblOffset val="100"/>
        <c:noMultiLvlLbl val="0"/>
      </c:catAx>
      <c:valAx>
        <c:axId val="190464768"/>
        <c:scaling>
          <c:orientation val="minMax"/>
          <c:max val="5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89651968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9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 network</a:t>
            </a:r>
            <a:r>
              <a:rPr lang="en-NZ" sz="1000" baseline="0"/>
              <a:t> km ($)</a:t>
            </a:r>
            <a:endParaRPr lang="en-NZ"/>
          </a:p>
        </c:rich>
      </c:tx>
      <c:layout>
        <c:manualLayout>
          <c:xMode val="edge"/>
          <c:yMode val="edge"/>
          <c:x val="0.2147820544302322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725058907738344"/>
          <c:y val="0.14255777777777778"/>
          <c:w val="0.66912555315805489"/>
          <c:h val="0.7421422222222227"/>
        </c:manualLayout>
      </c:layout>
      <c:lineChart>
        <c:grouping val="standard"/>
        <c:varyColors val="0"/>
        <c:ser>
          <c:idx val="0"/>
          <c:order val="0"/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9283491375853797E-4"/>
                  <c:y val="-8.6937135961810727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Industry average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Total!$C$176:$F$176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Total!$C$181:$F$181</c:f>
              <c:numCache>
                <c:formatCode>0.00</c:formatCode>
                <c:ptCount val="4"/>
                <c:pt idx="0">
                  <c:v>2958.0578571355086</c:v>
                </c:pt>
                <c:pt idx="1">
                  <c:v>2939.6496747811011</c:v>
                </c:pt>
                <c:pt idx="2">
                  <c:v>3017.8575351243162</c:v>
                </c:pt>
                <c:pt idx="3">
                  <c:v>3035.4219432410823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493056"/>
        <c:axId val="190494592"/>
      </c:lineChart>
      <c:catAx>
        <c:axId val="19049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494592"/>
        <c:crosses val="autoZero"/>
        <c:auto val="1"/>
        <c:lblAlgn val="ctr"/>
        <c:lblOffset val="100"/>
        <c:noMultiLvlLbl val="0"/>
      </c:catAx>
      <c:valAx>
        <c:axId val="190494592"/>
        <c:scaling>
          <c:orientation val="minMax"/>
          <c:max val="6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90493056"/>
        <c:crosses val="autoZero"/>
        <c:crossBetween val="midCat"/>
        <c:majorUnit val="12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685E-2"/>
          <c:y val="5.1489936964064897E-2"/>
          <c:w val="0.79931392178337557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Buller!$B$84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295023615580425E-5"/>
                  <c:y val="-2.8059374377366011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maller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Buller!$V$83:$Y$83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Buller!$V$84:$Y$84</c:f>
              <c:numCache>
                <c:formatCode>0.00</c:formatCode>
                <c:ptCount val="4"/>
                <c:pt idx="0">
                  <c:v>11.556673917923664</c:v>
                </c:pt>
                <c:pt idx="1">
                  <c:v>11.585395616966251</c:v>
                </c:pt>
                <c:pt idx="2">
                  <c:v>12.335342464906729</c:v>
                </c:pt>
                <c:pt idx="3">
                  <c:v>12.871873428845916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Buller!$B$85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068816026650513E-5"/>
                  <c:y val="-2.165570830842801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Buller!$V$83:$Y$83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Buller!$V$85:$Y$85</c:f>
              <c:numCache>
                <c:formatCode>0.00</c:formatCode>
                <c:ptCount val="4"/>
                <c:pt idx="0">
                  <c:v>8.5493797981806239</c:v>
                </c:pt>
                <c:pt idx="1">
                  <c:v>8.4671672508593954</c:v>
                </c:pt>
                <c:pt idx="2">
                  <c:v>8.9950578733429172</c:v>
                </c:pt>
                <c:pt idx="3">
                  <c:v>7.9245429498481252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02496"/>
        <c:axId val="121404032"/>
      </c:lineChart>
      <c:catAx>
        <c:axId val="1214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21404032"/>
        <c:crosses val="autoZero"/>
        <c:auto val="1"/>
        <c:lblAlgn val="ctr"/>
        <c:lblOffset val="100"/>
        <c:noMultiLvlLbl val="0"/>
      </c:catAx>
      <c:valAx>
        <c:axId val="121404032"/>
        <c:scaling>
          <c:orientation val="minMax"/>
          <c:max val="16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2140249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9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NZ" sz="1000"/>
              <a:t>Per</a:t>
            </a:r>
            <a:r>
              <a:rPr lang="en-NZ" sz="1000" baseline="0"/>
              <a:t> MWh ($)</a:t>
            </a:r>
            <a:endParaRPr lang="en-NZ" sz="1000"/>
          </a:p>
        </c:rich>
      </c:tx>
      <c:layout>
        <c:manualLayout>
          <c:xMode val="edge"/>
          <c:yMode val="edge"/>
          <c:x val="0.3176623946583351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020078265003841"/>
          <c:y val="0.13550222222222241"/>
          <c:w val="0.73617535958538816"/>
          <c:h val="0.74919777777777774"/>
        </c:manualLayout>
      </c:layout>
      <c:lineChart>
        <c:grouping val="standard"/>
        <c:varyColors val="0"/>
        <c:ser>
          <c:idx val="0"/>
          <c:order val="0"/>
          <c:tx>
            <c:strRef>
              <c:f>Total!$B$184</c:f>
              <c:strCache>
                <c:ptCount val="1"/>
                <c:pt idx="0">
                  <c:v>INDUSTRY SUMMARY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7.8690506541583854E-2"/>
                </c:manualLayout>
              </c:layout>
              <c:tx>
                <c:rich>
                  <a:bodyPr/>
                  <a:lstStyle/>
                  <a:p>
                    <a:r>
                      <a:rPr lang="en-US" sz="700" b="0" i="0" baseline="0"/>
                      <a:t>Industry average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Total!$C$176:$F$176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Total!$C$184:$F$184</c:f>
              <c:numCache>
                <c:formatCode>0.00</c:formatCode>
                <c:ptCount val="4"/>
                <c:pt idx="0">
                  <c:v>14.059211326732031</c:v>
                </c:pt>
                <c:pt idx="1">
                  <c:v>14.476786915961018</c:v>
                </c:pt>
                <c:pt idx="2">
                  <c:v>14.463080213143</c:v>
                </c:pt>
                <c:pt idx="3">
                  <c:v>14.670920197622038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580608"/>
        <c:axId val="190582144"/>
      </c:lineChart>
      <c:catAx>
        <c:axId val="19058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0582144"/>
        <c:crosses val="autoZero"/>
        <c:auto val="1"/>
        <c:lblAlgn val="ctr"/>
        <c:lblOffset val="100"/>
        <c:noMultiLvlLbl val="0"/>
      </c:catAx>
      <c:valAx>
        <c:axId val="190582144"/>
        <c:scaling>
          <c:orientation val="minMax"/>
          <c:max val="3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0580608"/>
        <c:crosses val="autoZero"/>
        <c:crossBetween val="midCat"/>
        <c:majorUnit val="6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9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27481609507982E-2"/>
          <c:y val="0.12792500000000001"/>
          <c:w val="0.94277251839050635"/>
          <c:h val="0.77599166666669539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Total!$B$218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Total!$C$217:$D$217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Total!$C$218:$D$218</c:f>
              <c:numCache>
                <c:formatCode>0</c:formatCode>
                <c:ptCount val="2"/>
                <c:pt idx="0">
                  <c:v>194274.29368970648</c:v>
                </c:pt>
                <c:pt idx="1">
                  <c:v>190131.51518676107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0646528"/>
        <c:axId val="190664704"/>
      </c:barChart>
      <c:lineChart>
        <c:grouping val="standard"/>
        <c:varyColors val="0"/>
        <c:ser>
          <c:idx val="1"/>
          <c:order val="0"/>
          <c:tx>
            <c:strRef>
              <c:f>Total!$B$219</c:f>
              <c:strCache>
                <c:ptCount val="1"/>
                <c:pt idx="0">
                  <c:v>2009 forecast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4"/>
              </a:solidFill>
              <a:ln>
                <a:noFill/>
              </a:ln>
            </c:spPr>
          </c:marker>
          <c:dPt>
            <c:idx val="1"/>
            <c:marker>
              <c:symbol val="circle"/>
              <c:size val="8"/>
            </c:marker>
            <c:bubble3D val="0"/>
          </c:dPt>
          <c:cat>
            <c:numRef>
              <c:f>Total!$C$217:$D$217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Total!$C$219:$D$219</c:f>
              <c:numCache>
                <c:formatCode>0</c:formatCode>
                <c:ptCount val="2"/>
                <c:pt idx="0">
                  <c:v>204149.68075665738</c:v>
                </c:pt>
                <c:pt idx="1">
                  <c:v>205893.07042953445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Total!$B$220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cat>
            <c:numRef>
              <c:f>Total!$C$217:$D$217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Total!$C$220:$D$220</c:f>
              <c:numCache>
                <c:formatCode>0</c:formatCode>
                <c:ptCount val="2"/>
                <c:pt idx="1">
                  <c:v>204125.60223793483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646528"/>
        <c:axId val="190664704"/>
      </c:lineChart>
      <c:catAx>
        <c:axId val="19064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0664704"/>
        <c:crosses val="autoZero"/>
        <c:auto val="1"/>
        <c:lblAlgn val="ctr"/>
        <c:lblOffset val="100"/>
        <c:noMultiLvlLbl val="0"/>
      </c:catAx>
      <c:valAx>
        <c:axId val="190664704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0646528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9.8800790273177008E-2"/>
          <c:y val="3.5277779851721452E-2"/>
          <c:w val="0.26091601232426925"/>
          <c:h val="0.1336019919813047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</c:chartSpace>
</file>

<file path=xl/charts/chart9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221180555555547E-2"/>
          <c:y val="6.52787037037037E-2"/>
          <c:w val="0.81382152777777783"/>
          <c:h val="0.83863796296296256"/>
        </c:manualLayout>
      </c:layout>
      <c:lineChart>
        <c:grouping val="standard"/>
        <c:varyColors val="0"/>
        <c:ser>
          <c:idx val="2"/>
          <c:order val="0"/>
          <c:tx>
            <c:strRef>
              <c:f>Total!$V$217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3.8847126246836887E-2"/>
                  <c:y val="3.6705202312138752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Total!$W$215:$AC$215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Total!$W$217:$AC$217</c:f>
              <c:numCache>
                <c:formatCode>General</c:formatCode>
                <c:ptCount val="7"/>
                <c:pt idx="0">
                  <c:v>204149.68075665738</c:v>
                </c:pt>
                <c:pt idx="1">
                  <c:v>205893.07042953445</c:v>
                </c:pt>
                <c:pt idx="2">
                  <c:v>206432.94184148594</c:v>
                </c:pt>
                <c:pt idx="3">
                  <c:v>205897.14565537713</c:v>
                </c:pt>
                <c:pt idx="4">
                  <c:v>205271.31111954417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Total!$V$218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3.2549005059856091E-2"/>
                  <c:y val="-2.4946050096339129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Total!$W$215:$AC$215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Total!$W$218:$AC$218</c:f>
              <c:numCache>
                <c:formatCode>General</c:formatCode>
                <c:ptCount val="7"/>
                <c:pt idx="1">
                  <c:v>204125.60223793483</c:v>
                </c:pt>
                <c:pt idx="2">
                  <c:v>205479.30938212387</c:v>
                </c:pt>
                <c:pt idx="3">
                  <c:v>204980.53547197615</c:v>
                </c:pt>
                <c:pt idx="4">
                  <c:v>206414.52190450046</c:v>
                </c:pt>
                <c:pt idx="5">
                  <c:v>208475.84832584506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Total!$V$219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0"/>
                  <c:y val="-3.527777777777885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Total!$W$215:$AC$215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Total!$W$219:$AC$219</c:f>
              <c:numCache>
                <c:formatCode>General</c:formatCode>
                <c:ptCount val="7"/>
                <c:pt idx="2">
                  <c:v>180547.01540455539</c:v>
                </c:pt>
                <c:pt idx="3">
                  <c:v>180696.16902579548</c:v>
                </c:pt>
                <c:pt idx="4">
                  <c:v>180909.88597936416</c:v>
                </c:pt>
                <c:pt idx="5">
                  <c:v>183019.36100198861</c:v>
                </c:pt>
                <c:pt idx="6">
                  <c:v>183880.11595221484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Total!$V$216</c:f>
              <c:strCache>
                <c:ptCount val="1"/>
                <c:pt idx="0">
                  <c:v>Actual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6.1579439845267002E-2"/>
                  <c:y val="-3.4671151362207608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Total!$W$215:$AC$215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Total!$C$218:$I$218</c:f>
              <c:numCache>
                <c:formatCode>0</c:formatCode>
                <c:ptCount val="7"/>
                <c:pt idx="0">
                  <c:v>194274.29368970648</c:v>
                </c:pt>
                <c:pt idx="1">
                  <c:v>190131.51518676107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17952"/>
        <c:axId val="190719488"/>
      </c:lineChart>
      <c:catAx>
        <c:axId val="19071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0719488"/>
        <c:crosses val="autoZero"/>
        <c:auto val="1"/>
        <c:lblAlgn val="ctr"/>
        <c:lblOffset val="100"/>
        <c:noMultiLvlLbl val="0"/>
      </c:catAx>
      <c:valAx>
        <c:axId val="190719488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071795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9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50000000000028E-2"/>
          <c:y val="0.10632083333333336"/>
          <c:w val="0.85434305555556878"/>
          <c:h val="0.7757828703703884"/>
        </c:manualLayout>
      </c:layout>
      <c:barChart>
        <c:barDir val="col"/>
        <c:grouping val="clustered"/>
        <c:varyColors val="0"/>
        <c:ser>
          <c:idx val="0"/>
          <c:order val="2"/>
          <c:tx>
            <c:strRef>
              <c:f>Total!$B$286</c:f>
              <c:strCache>
                <c:ptCount val="1"/>
                <c:pt idx="0">
                  <c:v>Actual</c:v>
                </c:pt>
              </c:strCache>
            </c:strRef>
          </c:tx>
          <c:invertIfNegative val="0"/>
          <c:dLbls>
            <c:txPr>
              <a:bodyPr/>
              <a:lstStyle/>
              <a:p>
                <a:pPr>
                  <a:defRPr sz="800"/>
                </a:pPr>
                <a:endParaRPr lang="en-US"/>
              </a:p>
            </c:txPr>
            <c:dLblPos val="inBase"/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Total!$C$285:$D$285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Total!$C$286:$D$286</c:f>
              <c:numCache>
                <c:formatCode>0</c:formatCode>
                <c:ptCount val="2"/>
                <c:pt idx="0">
                  <c:v>501901.29522602458</c:v>
                </c:pt>
                <c:pt idx="1">
                  <c:v>531319.73926848639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0771584"/>
        <c:axId val="190773120"/>
      </c:barChart>
      <c:lineChart>
        <c:grouping val="standard"/>
        <c:varyColors val="0"/>
        <c:ser>
          <c:idx val="1"/>
          <c:order val="0"/>
          <c:tx>
            <c:strRef>
              <c:f>Total!$B$287</c:f>
              <c:strCache>
                <c:ptCount val="1"/>
                <c:pt idx="0">
                  <c:v>2009 forecast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6"/>
          </c:marker>
          <c:cat>
            <c:numRef>
              <c:f>Total!$C$285:$D$285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Total!$C$287:$D$287</c:f>
              <c:numCache>
                <c:formatCode>0</c:formatCode>
                <c:ptCount val="2"/>
                <c:pt idx="0">
                  <c:v>498994.72271058417</c:v>
                </c:pt>
                <c:pt idx="1">
                  <c:v>499130.07011028181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Total!$B$288</c:f>
              <c:strCache>
                <c:ptCount val="1"/>
                <c:pt idx="0">
                  <c:v>2010 forecast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6"/>
            <c:spPr>
              <a:solidFill>
                <a:sysClr val="windowText" lastClr="000000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Total!$C$285:$D$285</c:f>
              <c:numCache>
                <c:formatCode>General</c:formatCode>
                <c:ptCount val="2"/>
                <c:pt idx="0">
                  <c:v>2010</c:v>
                </c:pt>
                <c:pt idx="1">
                  <c:v>2011</c:v>
                </c:pt>
              </c:numCache>
            </c:numRef>
          </c:cat>
          <c:val>
            <c:numRef>
              <c:f>Total!$C$288:$D$288</c:f>
              <c:numCache>
                <c:formatCode>0</c:formatCode>
                <c:ptCount val="2"/>
                <c:pt idx="1">
                  <c:v>587399.00425837131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771584"/>
        <c:axId val="190773120"/>
      </c:lineChart>
      <c:catAx>
        <c:axId val="19077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0773120"/>
        <c:crosses val="autoZero"/>
        <c:auto val="1"/>
        <c:lblAlgn val="ctr"/>
        <c:lblOffset val="100"/>
        <c:noMultiLvlLbl val="0"/>
      </c:catAx>
      <c:valAx>
        <c:axId val="19077312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 w="6350">
            <a:noFill/>
            <a:prstDash val="sysDot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0771584"/>
        <c:crosses val="autoZero"/>
        <c:crossBetween val="between"/>
      </c:valAx>
    </c:plotArea>
    <c:legend>
      <c:legendPos val="t"/>
      <c:legendEntry>
        <c:idx val="0"/>
        <c:delete val="1"/>
      </c:legendEntry>
      <c:layout>
        <c:manualLayout>
          <c:xMode val="edge"/>
          <c:yMode val="edge"/>
          <c:x val="7.2665277777777787E-2"/>
          <c:y val="5.8796296296298439E-3"/>
          <c:w val="0.2772049104762751"/>
          <c:h val="0.1215162037037037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9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222136088589422E-2"/>
          <c:y val="3.5880555555555596E-2"/>
          <c:w val="0.82341446008645058"/>
          <c:h val="0.86803611111111112"/>
        </c:manualLayout>
      </c:layout>
      <c:lineChart>
        <c:grouping val="standard"/>
        <c:varyColors val="0"/>
        <c:ser>
          <c:idx val="2"/>
          <c:order val="0"/>
          <c:tx>
            <c:strRef>
              <c:f>Total!$V$285</c:f>
              <c:strCache>
                <c:ptCount val="1"/>
                <c:pt idx="0">
                  <c:v>2009 forecast</c:v>
                </c:pt>
              </c:strCache>
            </c:strRef>
          </c:tx>
          <c:spPr>
            <a:ln w="19050">
              <a:solidFill>
                <a:schemeClr val="accent3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layout>
                <c:manualLayout>
                  <c:x val="-0.1186760213754901"/>
                  <c:y val="5.3172582067999775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Total!$W$283:$AC$283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Total!$W$285:$AC$285</c:f>
              <c:numCache>
                <c:formatCode>General</c:formatCode>
                <c:ptCount val="7"/>
                <c:pt idx="0">
                  <c:v>498994.72271058417</c:v>
                </c:pt>
                <c:pt idx="1">
                  <c:v>499130.07011028181</c:v>
                </c:pt>
                <c:pt idx="2">
                  <c:v>528968.2540424671</c:v>
                </c:pt>
                <c:pt idx="3">
                  <c:v>532552.05629315204</c:v>
                </c:pt>
                <c:pt idx="4">
                  <c:v>542919.88808053581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Total!$V$286</c:f>
              <c:strCache>
                <c:ptCount val="1"/>
                <c:pt idx="0">
                  <c:v>2010 forecast</c:v>
                </c:pt>
              </c:strCache>
            </c:strRef>
          </c:tx>
          <c:spPr>
            <a:ln w="19050">
              <a:solidFill>
                <a:schemeClr val="accent1">
                  <a:lumMod val="50000"/>
                </a:schemeClr>
              </a:solidFill>
              <a:prstDash val="dash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-4.8528245165763755E-2"/>
                  <c:y val="-5.2916666666666834E-2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Total!$W$283:$AC$283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Total!$W$286:$AC$286</c:f>
              <c:numCache>
                <c:formatCode>General</c:formatCode>
                <c:ptCount val="7"/>
                <c:pt idx="1">
                  <c:v>587399.00425837131</c:v>
                </c:pt>
                <c:pt idx="2">
                  <c:v>633819.89499842154</c:v>
                </c:pt>
                <c:pt idx="3">
                  <c:v>625646.86271776306</c:v>
                </c:pt>
                <c:pt idx="4">
                  <c:v>600990.36986110662</c:v>
                </c:pt>
                <c:pt idx="5">
                  <c:v>565733.86166450754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Total!$V$287</c:f>
              <c:strCache>
                <c:ptCount val="1"/>
                <c:pt idx="0">
                  <c:v>2011 forecast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layout>
                <c:manualLayout>
                  <c:x val="1.5837227605284453E-2"/>
                  <c:y val="5.8796296296297883E-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Total!$W$283:$AC$283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Total!$W$287:$AC$287</c:f>
              <c:numCache>
                <c:formatCode>General</c:formatCode>
                <c:ptCount val="7"/>
                <c:pt idx="2">
                  <c:v>566726.88615071238</c:v>
                </c:pt>
                <c:pt idx="3">
                  <c:v>576734.85789121652</c:v>
                </c:pt>
                <c:pt idx="4">
                  <c:v>557400.35110285191</c:v>
                </c:pt>
                <c:pt idx="5">
                  <c:v>538147.63689741434</c:v>
                </c:pt>
                <c:pt idx="6">
                  <c:v>518446.10871021322</c:v>
                </c:pt>
              </c:numCache>
            </c:numRef>
          </c:val>
          <c:smooth val="0"/>
        </c:ser>
        <c:ser>
          <c:idx val="1"/>
          <c:order val="3"/>
          <c:tx>
            <c:strRef>
              <c:f>Total!$V$284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6.9600093922283945E-2"/>
                  <c:y val="-0.14593194444444577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1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Total!$W$283:$AC$283</c:f>
              <c:numCache>
                <c:formatCode>General</c:formatCode>
                <c:ptCount val="7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</c:numCache>
            </c:numRef>
          </c:cat>
          <c:val>
            <c:numRef>
              <c:f>Total!$W$284:$AC$284</c:f>
              <c:numCache>
                <c:formatCode>General</c:formatCode>
                <c:ptCount val="7"/>
                <c:pt idx="0">
                  <c:v>501901.29522602458</c:v>
                </c:pt>
                <c:pt idx="1">
                  <c:v>531319.73926848639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52544"/>
        <c:axId val="190254080"/>
      </c:lineChart>
      <c:catAx>
        <c:axId val="19025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0254080"/>
        <c:crosses val="autoZero"/>
        <c:auto val="1"/>
        <c:lblAlgn val="ctr"/>
        <c:lblOffset val="100"/>
        <c:noMultiLvlLbl val="0"/>
      </c:catAx>
      <c:valAx>
        <c:axId val="190254080"/>
        <c:scaling>
          <c:orientation val="minMax"/>
          <c:max val="700000"/>
          <c:min val="40000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,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0252544"/>
        <c:crosses val="autoZero"/>
        <c:crossBetween val="midCat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9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3249298864398"/>
          <c:y val="6.4675925925925928E-2"/>
          <c:w val="0.83176123938103164"/>
          <c:h val="0.83924074074074051"/>
        </c:manualLayout>
      </c:layout>
      <c:lineChart>
        <c:grouping val="standard"/>
        <c:varyColors val="0"/>
        <c:ser>
          <c:idx val="0"/>
          <c:order val="0"/>
          <c:tx>
            <c:strRef>
              <c:f>Total!$B$303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9.3738901053730225E-6"/>
                  <c:y val="-5.5346978557504874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Industry average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Total!$C$302:$F$302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Total!$C$303:$F$303</c:f>
              <c:numCache>
                <c:formatCode>0.00</c:formatCode>
                <c:ptCount val="4"/>
                <c:pt idx="0">
                  <c:v>2.2133361725</c:v>
                </c:pt>
                <c:pt idx="1">
                  <c:v>2.5370004117241378</c:v>
                </c:pt>
                <c:pt idx="2">
                  <c:v>1.9844067431034487</c:v>
                </c:pt>
                <c:pt idx="3">
                  <c:v>2.1560858624137933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Total!$B$319</c:f>
              <c:strCache>
                <c:ptCount val="1"/>
                <c:pt idx="0">
                  <c:v>Minimum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664726502868932"/>
                  <c:y val="-3.086849045870610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Minimum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Total!$C$302:$F$302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Total!$C$319:$F$319</c:f>
              <c:numCache>
                <c:formatCode>0.00</c:formatCode>
                <c:ptCount val="4"/>
                <c:pt idx="0">
                  <c:v>0.184</c:v>
                </c:pt>
                <c:pt idx="1">
                  <c:v>0.38800000000000001</c:v>
                </c:pt>
                <c:pt idx="2">
                  <c:v>0.56999999999999995</c:v>
                </c:pt>
                <c:pt idx="3">
                  <c:v>0.53600000000000003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Total!$B$323</c:f>
              <c:strCache>
                <c:ptCount val="1"/>
                <c:pt idx="0">
                  <c:v>Maximum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5.0092105263157875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Total!$C$302:$F$302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Total!$C$323:$F$323</c:f>
              <c:numCache>
                <c:formatCode>0.00</c:formatCode>
                <c:ptCount val="4"/>
                <c:pt idx="0">
                  <c:v>6.3956900000000001</c:v>
                </c:pt>
                <c:pt idx="1">
                  <c:v>10.88180624</c:v>
                </c:pt>
                <c:pt idx="2">
                  <c:v>4.19263034</c:v>
                </c:pt>
                <c:pt idx="3">
                  <c:v>4.9260000000000002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93504"/>
        <c:axId val="190295040"/>
      </c:lineChart>
      <c:catAx>
        <c:axId val="19029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0295040"/>
        <c:crosses val="autoZero"/>
        <c:auto val="1"/>
        <c:lblAlgn val="ctr"/>
        <c:lblOffset val="100"/>
        <c:noMultiLvlLbl val="0"/>
      </c:catAx>
      <c:valAx>
        <c:axId val="190295040"/>
        <c:scaling>
          <c:orientation val="minMax"/>
          <c:max val="11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6350">
            <a:noFill/>
            <a:prstDash val="dash"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0293504"/>
        <c:crosses val="autoZero"/>
        <c:crossBetween val="midCat"/>
        <c:maj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</c:chartSpace>
</file>

<file path=xl/charts/chart9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03159722222223"/>
          <c:y val="6.4675925925925928E-2"/>
          <c:w val="0.82273977578595248"/>
          <c:h val="0.80984259259260005"/>
        </c:manualLayout>
      </c:layout>
      <c:lineChart>
        <c:grouping val="standard"/>
        <c:varyColors val="0"/>
        <c:ser>
          <c:idx val="1"/>
          <c:order val="0"/>
          <c:tx>
            <c:strRef>
              <c:f>Total!$B$294</c:f>
              <c:strCache>
                <c:ptCount val="1"/>
                <c:pt idx="0">
                  <c:v>Actual</c:v>
                </c:pt>
              </c:strCache>
            </c:strRef>
          </c:tx>
          <c:spPr>
            <a:ln w="19050">
              <a:solidFill>
                <a:schemeClr val="tx2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5.6887004188860731E-2"/>
                </c:manualLayout>
              </c:layout>
              <c:tx>
                <c:rich>
                  <a:bodyPr/>
                  <a:lstStyle/>
                  <a:p>
                    <a:r>
                      <a:rPr lang="en-NZ"/>
                      <a:t>Industry average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Total!$C$293:$F$293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Total!$C$294:$F$294</c:f>
              <c:numCache>
                <c:formatCode>0.00</c:formatCode>
                <c:ptCount val="4"/>
                <c:pt idx="0">
                  <c:v>214.39787611785715</c:v>
                </c:pt>
                <c:pt idx="1">
                  <c:v>223.36605543103448</c:v>
                </c:pt>
                <c:pt idx="2">
                  <c:v>170.65483759655174</c:v>
                </c:pt>
                <c:pt idx="3">
                  <c:v>189.82731620689654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Total!$B$311</c:f>
              <c:strCache>
                <c:ptCount val="1"/>
                <c:pt idx="0">
                  <c:v>Minimum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0"/>
                  <c:y val="-3.430994152046799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Minimum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Total!$C$293:$F$293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Total!$C$311:$F$311</c:f>
              <c:numCache>
                <c:formatCode>0.00</c:formatCode>
                <c:ptCount val="4"/>
                <c:pt idx="0">
                  <c:v>16.935000000000002</c:v>
                </c:pt>
                <c:pt idx="1">
                  <c:v>26.35</c:v>
                </c:pt>
                <c:pt idx="2">
                  <c:v>29.991</c:v>
                </c:pt>
                <c:pt idx="3">
                  <c:v>34.738355999999996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Total!$B$315</c:f>
              <c:strCache>
                <c:ptCount val="1"/>
                <c:pt idx="0">
                  <c:v>Maximum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0"/>
                  <c:y val="-4.4838206627680413E-2"/>
                </c:manualLayout>
              </c:layout>
              <c:spPr/>
              <c:txPr>
                <a:bodyPr/>
                <a:lstStyle/>
                <a:p>
                  <a:pPr>
                    <a:defRPr sz="700"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Total!$C$293:$F$293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Total!$C$315:$F$315</c:f>
              <c:numCache>
                <c:formatCode>0.00</c:formatCode>
                <c:ptCount val="4"/>
                <c:pt idx="0">
                  <c:v>818.30200000000002</c:v>
                </c:pt>
                <c:pt idx="1">
                  <c:v>915.15621999999996</c:v>
                </c:pt>
                <c:pt idx="2">
                  <c:v>463.03188299999999</c:v>
                </c:pt>
                <c:pt idx="3">
                  <c:v>440.017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354944"/>
        <c:axId val="190356480"/>
      </c:lineChart>
      <c:catAx>
        <c:axId val="19035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0356480"/>
        <c:crosses val="autoZero"/>
        <c:auto val="1"/>
        <c:lblAlgn val="ctr"/>
        <c:lblOffset val="100"/>
        <c:noMultiLvlLbl val="0"/>
      </c:catAx>
      <c:valAx>
        <c:axId val="190356480"/>
        <c:scaling>
          <c:orientation val="minMax"/>
          <c:max val="1000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0354944"/>
        <c:crosses val="autoZero"/>
        <c:crossBetween val="midCat"/>
        <c:majorUnit val="1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9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774278215574E-2"/>
          <c:y val="5.1489936964064897E-2"/>
          <c:w val="0.84459131069340365"/>
          <c:h val="0.85242685185185152"/>
        </c:manualLayout>
      </c:layout>
      <c:lineChart>
        <c:grouping val="standard"/>
        <c:varyColors val="0"/>
        <c:ser>
          <c:idx val="0"/>
          <c:order val="0"/>
          <c:tx>
            <c:strRef>
              <c:f>Total!$B$92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3.521961697794866E-5"/>
                  <c:y val="-4.7037258418011832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Total!$V$91:$Y$91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Total!$V$92:$Y$92</c:f>
              <c:numCache>
                <c:formatCode>General</c:formatCode>
                <c:ptCount val="4"/>
                <c:pt idx="0">
                  <c:v>7.875449380452471</c:v>
                </c:pt>
                <c:pt idx="1">
                  <c:v>8.0814477306314831</c:v>
                </c:pt>
                <c:pt idx="2">
                  <c:v>8.3420426365838054</c:v>
                </c:pt>
                <c:pt idx="3">
                  <c:v>8.4943527910623668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Total!$B$93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193798557741547E-5"/>
                  <c:y val="3.5277943813509863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Total!$V$91:$Y$91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Total!$V$95:$Y$95</c:f>
              <c:numCache>
                <c:formatCode>General</c:formatCode>
                <c:ptCount val="4"/>
                <c:pt idx="0">
                  <c:v>4.3386233550990365</c:v>
                </c:pt>
                <c:pt idx="1">
                  <c:v>4.2904483055961622</c:v>
                </c:pt>
                <c:pt idx="2">
                  <c:v>4.4833445951156703</c:v>
                </c:pt>
                <c:pt idx="3">
                  <c:v>4.4291880056993618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090688"/>
        <c:axId val="191092224"/>
      </c:lineChart>
      <c:catAx>
        <c:axId val="19109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1092224"/>
        <c:crosses val="autoZero"/>
        <c:auto val="1"/>
        <c:lblAlgn val="ctr"/>
        <c:lblOffset val="100"/>
        <c:noMultiLvlLbl val="0"/>
      </c:catAx>
      <c:valAx>
        <c:axId val="191092224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10906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9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627296587930055E-2"/>
          <c:y val="5.8338380979806134E-2"/>
          <c:w val="0.83883540276753665"/>
          <c:h val="0.84557824074074051"/>
        </c:manualLayout>
      </c:layout>
      <c:lineChart>
        <c:grouping val="standard"/>
        <c:varyColors val="0"/>
        <c:ser>
          <c:idx val="0"/>
          <c:order val="0"/>
          <c:tx>
            <c:strRef>
              <c:f>Total!$B$98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6.8285965341243512E-4"/>
                  <c:y val="-1.649626957363900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Total!$V$97:$Y$97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Total!$V$98:$Y$98</c:f>
              <c:numCache>
                <c:formatCode>General</c:formatCode>
                <c:ptCount val="4"/>
                <c:pt idx="0">
                  <c:v>100</c:v>
                </c:pt>
                <c:pt idx="1">
                  <c:v>102.61570280281805</c:v>
                </c:pt>
                <c:pt idx="2">
                  <c:v>105.9246556430095</c:v>
                </c:pt>
                <c:pt idx="3">
                  <c:v>107.85864248135562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Total!$B$99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4.2526906813848669E-3"/>
                  <c:y val="-2.939814814814814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Total!$V$97:$Y$97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Total!$V$101:$Y$101</c:f>
              <c:numCache>
                <c:formatCode>General</c:formatCode>
                <c:ptCount val="4"/>
                <c:pt idx="0">
                  <c:v>100</c:v>
                </c:pt>
                <c:pt idx="1">
                  <c:v>98.889623607307243</c:v>
                </c:pt>
                <c:pt idx="2">
                  <c:v>103.33564884922653</c:v>
                </c:pt>
                <c:pt idx="3">
                  <c:v>102.08740522483677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859520"/>
        <c:axId val="190881792"/>
      </c:lineChart>
      <c:catAx>
        <c:axId val="19085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0881792"/>
        <c:crosses val="autoZero"/>
        <c:auto val="1"/>
        <c:lblAlgn val="ctr"/>
        <c:lblOffset val="100"/>
        <c:noMultiLvlLbl val="0"/>
      </c:catAx>
      <c:valAx>
        <c:axId val="190881792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0859520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charts/chart9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N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15780362794284"/>
          <c:y val="6.4675925925925928E-2"/>
          <c:w val="0.82255256210383976"/>
          <c:h val="0.80984259259260005"/>
        </c:manualLayout>
      </c:layout>
      <c:lineChart>
        <c:grouping val="standard"/>
        <c:varyColors val="0"/>
        <c:ser>
          <c:idx val="0"/>
          <c:order val="0"/>
          <c:tx>
            <c:strRef>
              <c:f>Total!$B$121</c:f>
              <c:strCache>
                <c:ptCount val="1"/>
                <c:pt idx="0">
                  <c:v>Small connection points 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layout>
                <c:manualLayout>
                  <c:x val="-1.2418394420681895E-4"/>
                  <c:y val="2.6014763475779436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S</a:t>
                    </a:r>
                    <a:r>
                      <a:rPr lang="en-US"/>
                      <a:t>mall </a:t>
                    </a:r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Total!$V$120:$Y$120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Total!$V$121:$Y$121</c:f>
              <c:numCache>
                <c:formatCode>General</c:formatCode>
                <c:ptCount val="4"/>
                <c:pt idx="0">
                  <c:v>100</c:v>
                </c:pt>
                <c:pt idx="1">
                  <c:v>101.4998107336762</c:v>
                </c:pt>
                <c:pt idx="2">
                  <c:v>102.17980911297924</c:v>
                </c:pt>
                <c:pt idx="3">
                  <c:v>102.46908581590436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Total!$B$122</c:f>
              <c:strCache>
                <c:ptCount val="1"/>
                <c:pt idx="0">
                  <c:v>Medium connection points</c:v>
                </c:pt>
              </c:strCache>
            </c:strRef>
          </c:tx>
          <c:spPr>
            <a:ln w="19050"/>
          </c:spPr>
          <c:marker>
            <c:symbol val="none"/>
          </c:marker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 val="0.17965375413672641"/>
                  <c:y val="-7.9243518518518519E-2"/>
                </c:manualLayout>
              </c:layout>
              <c:tx>
                <c:rich>
                  <a:bodyPr/>
                  <a:lstStyle/>
                  <a:p>
                    <a:r>
                      <a:rPr lang="en-US" sz="700"/>
                      <a:t>Larger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</c:dLbl>
            <c:dLbl>
              <c:idx val="3"/>
              <c:delete val="1"/>
            </c:dLbl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cat>
            <c:numRef>
              <c:f>Total!$V$120:$Y$120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Total!$V$124:$Y$124</c:f>
              <c:numCache>
                <c:formatCode>General</c:formatCode>
                <c:ptCount val="4"/>
                <c:pt idx="0">
                  <c:v>100</c:v>
                </c:pt>
                <c:pt idx="1">
                  <c:v>101.54682061838028</c:v>
                </c:pt>
                <c:pt idx="2">
                  <c:v>104.89948008126677</c:v>
                </c:pt>
                <c:pt idx="3">
                  <c:v>107.43113450205681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915328"/>
        <c:axId val="190916864"/>
      </c:lineChart>
      <c:catAx>
        <c:axId val="1909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0916864"/>
        <c:crosses val="autoZero"/>
        <c:auto val="1"/>
        <c:lblAlgn val="ctr"/>
        <c:lblOffset val="100"/>
        <c:noMultiLvlLbl val="0"/>
      </c:catAx>
      <c:valAx>
        <c:axId val="190916864"/>
        <c:scaling>
          <c:orientation val="minMax"/>
          <c:max val="120"/>
          <c:min val="8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190915328"/>
        <c:crosses val="autoZero"/>
        <c:crossBetween val="midCat"/>
        <c:majorUnit val="5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9.xml"/><Relationship Id="rId13" Type="http://schemas.openxmlformats.org/officeDocument/2006/relationships/chart" Target="../charts/chart444.xml"/><Relationship Id="rId18" Type="http://schemas.openxmlformats.org/officeDocument/2006/relationships/chart" Target="../charts/chart449.xml"/><Relationship Id="rId26" Type="http://schemas.openxmlformats.org/officeDocument/2006/relationships/chart" Target="../charts/chart457.xml"/><Relationship Id="rId39" Type="http://schemas.openxmlformats.org/officeDocument/2006/relationships/chart" Target="../charts/chart470.xml"/><Relationship Id="rId3" Type="http://schemas.openxmlformats.org/officeDocument/2006/relationships/chart" Target="../charts/chart434.xml"/><Relationship Id="rId21" Type="http://schemas.openxmlformats.org/officeDocument/2006/relationships/chart" Target="../charts/chart452.xml"/><Relationship Id="rId34" Type="http://schemas.openxmlformats.org/officeDocument/2006/relationships/chart" Target="../charts/chart465.xml"/><Relationship Id="rId42" Type="http://schemas.openxmlformats.org/officeDocument/2006/relationships/chart" Target="../charts/chart473.xml"/><Relationship Id="rId7" Type="http://schemas.openxmlformats.org/officeDocument/2006/relationships/chart" Target="../charts/chart438.xml"/><Relationship Id="rId12" Type="http://schemas.openxmlformats.org/officeDocument/2006/relationships/chart" Target="../charts/chart443.xml"/><Relationship Id="rId17" Type="http://schemas.openxmlformats.org/officeDocument/2006/relationships/chart" Target="../charts/chart448.xml"/><Relationship Id="rId25" Type="http://schemas.openxmlformats.org/officeDocument/2006/relationships/chart" Target="../charts/chart456.xml"/><Relationship Id="rId33" Type="http://schemas.openxmlformats.org/officeDocument/2006/relationships/chart" Target="../charts/chart464.xml"/><Relationship Id="rId38" Type="http://schemas.openxmlformats.org/officeDocument/2006/relationships/chart" Target="../charts/chart469.xml"/><Relationship Id="rId2" Type="http://schemas.openxmlformats.org/officeDocument/2006/relationships/chart" Target="../charts/chart433.xml"/><Relationship Id="rId16" Type="http://schemas.openxmlformats.org/officeDocument/2006/relationships/chart" Target="../charts/chart447.xml"/><Relationship Id="rId20" Type="http://schemas.openxmlformats.org/officeDocument/2006/relationships/chart" Target="../charts/chart451.xml"/><Relationship Id="rId29" Type="http://schemas.openxmlformats.org/officeDocument/2006/relationships/chart" Target="../charts/chart460.xml"/><Relationship Id="rId41" Type="http://schemas.openxmlformats.org/officeDocument/2006/relationships/chart" Target="../charts/chart472.xml"/><Relationship Id="rId1" Type="http://schemas.openxmlformats.org/officeDocument/2006/relationships/chart" Target="../charts/chart432.xml"/><Relationship Id="rId6" Type="http://schemas.openxmlformats.org/officeDocument/2006/relationships/chart" Target="../charts/chart437.xml"/><Relationship Id="rId11" Type="http://schemas.openxmlformats.org/officeDocument/2006/relationships/chart" Target="../charts/chart442.xml"/><Relationship Id="rId24" Type="http://schemas.openxmlformats.org/officeDocument/2006/relationships/chart" Target="../charts/chart455.xml"/><Relationship Id="rId32" Type="http://schemas.openxmlformats.org/officeDocument/2006/relationships/chart" Target="../charts/chart463.xml"/><Relationship Id="rId37" Type="http://schemas.openxmlformats.org/officeDocument/2006/relationships/chart" Target="../charts/chart468.xml"/><Relationship Id="rId40" Type="http://schemas.openxmlformats.org/officeDocument/2006/relationships/chart" Target="../charts/chart471.xml"/><Relationship Id="rId5" Type="http://schemas.openxmlformats.org/officeDocument/2006/relationships/chart" Target="../charts/chart436.xml"/><Relationship Id="rId15" Type="http://schemas.openxmlformats.org/officeDocument/2006/relationships/chart" Target="../charts/chart446.xml"/><Relationship Id="rId23" Type="http://schemas.openxmlformats.org/officeDocument/2006/relationships/chart" Target="../charts/chart454.xml"/><Relationship Id="rId28" Type="http://schemas.openxmlformats.org/officeDocument/2006/relationships/chart" Target="../charts/chart459.xml"/><Relationship Id="rId36" Type="http://schemas.openxmlformats.org/officeDocument/2006/relationships/chart" Target="../charts/chart467.xml"/><Relationship Id="rId10" Type="http://schemas.openxmlformats.org/officeDocument/2006/relationships/chart" Target="../charts/chart441.xml"/><Relationship Id="rId19" Type="http://schemas.openxmlformats.org/officeDocument/2006/relationships/chart" Target="../charts/chart450.xml"/><Relationship Id="rId31" Type="http://schemas.openxmlformats.org/officeDocument/2006/relationships/chart" Target="../charts/chart462.xml"/><Relationship Id="rId4" Type="http://schemas.openxmlformats.org/officeDocument/2006/relationships/chart" Target="../charts/chart435.xml"/><Relationship Id="rId9" Type="http://schemas.openxmlformats.org/officeDocument/2006/relationships/chart" Target="../charts/chart440.xml"/><Relationship Id="rId14" Type="http://schemas.openxmlformats.org/officeDocument/2006/relationships/chart" Target="../charts/chart445.xml"/><Relationship Id="rId22" Type="http://schemas.openxmlformats.org/officeDocument/2006/relationships/chart" Target="../charts/chart453.xml"/><Relationship Id="rId27" Type="http://schemas.openxmlformats.org/officeDocument/2006/relationships/chart" Target="../charts/chart458.xml"/><Relationship Id="rId30" Type="http://schemas.openxmlformats.org/officeDocument/2006/relationships/chart" Target="../charts/chart461.xml"/><Relationship Id="rId35" Type="http://schemas.openxmlformats.org/officeDocument/2006/relationships/chart" Target="../charts/chart466.xml"/><Relationship Id="rId43" Type="http://schemas.openxmlformats.org/officeDocument/2006/relationships/chart" Target="../charts/chart474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2.xml"/><Relationship Id="rId13" Type="http://schemas.openxmlformats.org/officeDocument/2006/relationships/chart" Target="../charts/chart487.xml"/><Relationship Id="rId18" Type="http://schemas.openxmlformats.org/officeDocument/2006/relationships/chart" Target="../charts/chart492.xml"/><Relationship Id="rId26" Type="http://schemas.openxmlformats.org/officeDocument/2006/relationships/chart" Target="../charts/chart500.xml"/><Relationship Id="rId3" Type="http://schemas.openxmlformats.org/officeDocument/2006/relationships/chart" Target="../charts/chart477.xml"/><Relationship Id="rId21" Type="http://schemas.openxmlformats.org/officeDocument/2006/relationships/chart" Target="../charts/chart495.xml"/><Relationship Id="rId7" Type="http://schemas.openxmlformats.org/officeDocument/2006/relationships/chart" Target="../charts/chart481.xml"/><Relationship Id="rId12" Type="http://schemas.openxmlformats.org/officeDocument/2006/relationships/chart" Target="../charts/chart486.xml"/><Relationship Id="rId17" Type="http://schemas.openxmlformats.org/officeDocument/2006/relationships/chart" Target="../charts/chart491.xml"/><Relationship Id="rId25" Type="http://schemas.openxmlformats.org/officeDocument/2006/relationships/chart" Target="../charts/chart499.xml"/><Relationship Id="rId2" Type="http://schemas.openxmlformats.org/officeDocument/2006/relationships/chart" Target="../charts/chart476.xml"/><Relationship Id="rId16" Type="http://schemas.openxmlformats.org/officeDocument/2006/relationships/chart" Target="../charts/chart490.xml"/><Relationship Id="rId20" Type="http://schemas.openxmlformats.org/officeDocument/2006/relationships/chart" Target="../charts/chart494.xml"/><Relationship Id="rId29" Type="http://schemas.openxmlformats.org/officeDocument/2006/relationships/chart" Target="../charts/chart503.xml"/><Relationship Id="rId1" Type="http://schemas.openxmlformats.org/officeDocument/2006/relationships/chart" Target="../charts/chart475.xml"/><Relationship Id="rId6" Type="http://schemas.openxmlformats.org/officeDocument/2006/relationships/chart" Target="../charts/chart480.xml"/><Relationship Id="rId11" Type="http://schemas.openxmlformats.org/officeDocument/2006/relationships/chart" Target="../charts/chart485.xml"/><Relationship Id="rId24" Type="http://schemas.openxmlformats.org/officeDocument/2006/relationships/chart" Target="../charts/chart498.xml"/><Relationship Id="rId5" Type="http://schemas.openxmlformats.org/officeDocument/2006/relationships/chart" Target="../charts/chart479.xml"/><Relationship Id="rId15" Type="http://schemas.openxmlformats.org/officeDocument/2006/relationships/chart" Target="../charts/chart489.xml"/><Relationship Id="rId23" Type="http://schemas.openxmlformats.org/officeDocument/2006/relationships/chart" Target="../charts/chart497.xml"/><Relationship Id="rId28" Type="http://schemas.openxmlformats.org/officeDocument/2006/relationships/chart" Target="../charts/chart502.xml"/><Relationship Id="rId10" Type="http://schemas.openxmlformats.org/officeDocument/2006/relationships/chart" Target="../charts/chart484.xml"/><Relationship Id="rId19" Type="http://schemas.openxmlformats.org/officeDocument/2006/relationships/chart" Target="../charts/chart493.xml"/><Relationship Id="rId31" Type="http://schemas.openxmlformats.org/officeDocument/2006/relationships/chart" Target="../charts/chart505.xml"/><Relationship Id="rId4" Type="http://schemas.openxmlformats.org/officeDocument/2006/relationships/chart" Target="../charts/chart478.xml"/><Relationship Id="rId9" Type="http://schemas.openxmlformats.org/officeDocument/2006/relationships/chart" Target="../charts/chart483.xml"/><Relationship Id="rId14" Type="http://schemas.openxmlformats.org/officeDocument/2006/relationships/chart" Target="../charts/chart488.xml"/><Relationship Id="rId22" Type="http://schemas.openxmlformats.org/officeDocument/2006/relationships/chart" Target="../charts/chart496.xml"/><Relationship Id="rId27" Type="http://schemas.openxmlformats.org/officeDocument/2006/relationships/chart" Target="../charts/chart501.xml"/><Relationship Id="rId30" Type="http://schemas.openxmlformats.org/officeDocument/2006/relationships/chart" Target="../charts/chart504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3.xml"/><Relationship Id="rId13" Type="http://schemas.openxmlformats.org/officeDocument/2006/relationships/chart" Target="../charts/chart518.xml"/><Relationship Id="rId18" Type="http://schemas.openxmlformats.org/officeDocument/2006/relationships/chart" Target="../charts/chart523.xml"/><Relationship Id="rId26" Type="http://schemas.openxmlformats.org/officeDocument/2006/relationships/chart" Target="../charts/chart531.xml"/><Relationship Id="rId3" Type="http://schemas.openxmlformats.org/officeDocument/2006/relationships/chart" Target="../charts/chart508.xml"/><Relationship Id="rId21" Type="http://schemas.openxmlformats.org/officeDocument/2006/relationships/chart" Target="../charts/chart526.xml"/><Relationship Id="rId7" Type="http://schemas.openxmlformats.org/officeDocument/2006/relationships/chart" Target="../charts/chart512.xml"/><Relationship Id="rId12" Type="http://schemas.openxmlformats.org/officeDocument/2006/relationships/chart" Target="../charts/chart517.xml"/><Relationship Id="rId17" Type="http://schemas.openxmlformats.org/officeDocument/2006/relationships/chart" Target="../charts/chart522.xml"/><Relationship Id="rId25" Type="http://schemas.openxmlformats.org/officeDocument/2006/relationships/chart" Target="../charts/chart530.xml"/><Relationship Id="rId2" Type="http://schemas.openxmlformats.org/officeDocument/2006/relationships/chart" Target="../charts/chart507.xml"/><Relationship Id="rId16" Type="http://schemas.openxmlformats.org/officeDocument/2006/relationships/chart" Target="../charts/chart521.xml"/><Relationship Id="rId20" Type="http://schemas.openxmlformats.org/officeDocument/2006/relationships/chart" Target="../charts/chart525.xml"/><Relationship Id="rId29" Type="http://schemas.openxmlformats.org/officeDocument/2006/relationships/chart" Target="../charts/chart534.xml"/><Relationship Id="rId1" Type="http://schemas.openxmlformats.org/officeDocument/2006/relationships/chart" Target="../charts/chart506.xml"/><Relationship Id="rId6" Type="http://schemas.openxmlformats.org/officeDocument/2006/relationships/chart" Target="../charts/chart511.xml"/><Relationship Id="rId11" Type="http://schemas.openxmlformats.org/officeDocument/2006/relationships/chart" Target="../charts/chart516.xml"/><Relationship Id="rId24" Type="http://schemas.openxmlformats.org/officeDocument/2006/relationships/chart" Target="../charts/chart529.xml"/><Relationship Id="rId5" Type="http://schemas.openxmlformats.org/officeDocument/2006/relationships/chart" Target="../charts/chart510.xml"/><Relationship Id="rId15" Type="http://schemas.openxmlformats.org/officeDocument/2006/relationships/chart" Target="../charts/chart520.xml"/><Relationship Id="rId23" Type="http://schemas.openxmlformats.org/officeDocument/2006/relationships/chart" Target="../charts/chart528.xml"/><Relationship Id="rId28" Type="http://schemas.openxmlformats.org/officeDocument/2006/relationships/chart" Target="../charts/chart533.xml"/><Relationship Id="rId10" Type="http://schemas.openxmlformats.org/officeDocument/2006/relationships/chart" Target="../charts/chart515.xml"/><Relationship Id="rId19" Type="http://schemas.openxmlformats.org/officeDocument/2006/relationships/chart" Target="../charts/chart524.xml"/><Relationship Id="rId31" Type="http://schemas.openxmlformats.org/officeDocument/2006/relationships/chart" Target="../charts/chart536.xml"/><Relationship Id="rId4" Type="http://schemas.openxmlformats.org/officeDocument/2006/relationships/chart" Target="../charts/chart509.xml"/><Relationship Id="rId9" Type="http://schemas.openxmlformats.org/officeDocument/2006/relationships/chart" Target="../charts/chart514.xml"/><Relationship Id="rId14" Type="http://schemas.openxmlformats.org/officeDocument/2006/relationships/chart" Target="../charts/chart519.xml"/><Relationship Id="rId22" Type="http://schemas.openxmlformats.org/officeDocument/2006/relationships/chart" Target="../charts/chart527.xml"/><Relationship Id="rId27" Type="http://schemas.openxmlformats.org/officeDocument/2006/relationships/chart" Target="../charts/chart532.xml"/><Relationship Id="rId30" Type="http://schemas.openxmlformats.org/officeDocument/2006/relationships/chart" Target="../charts/chart535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4.xml"/><Relationship Id="rId13" Type="http://schemas.openxmlformats.org/officeDocument/2006/relationships/chart" Target="../charts/chart549.xml"/><Relationship Id="rId18" Type="http://schemas.openxmlformats.org/officeDocument/2006/relationships/chart" Target="../charts/chart554.xml"/><Relationship Id="rId26" Type="http://schemas.openxmlformats.org/officeDocument/2006/relationships/chart" Target="../charts/chart562.xml"/><Relationship Id="rId3" Type="http://schemas.openxmlformats.org/officeDocument/2006/relationships/chart" Target="../charts/chart539.xml"/><Relationship Id="rId21" Type="http://schemas.openxmlformats.org/officeDocument/2006/relationships/chart" Target="../charts/chart557.xml"/><Relationship Id="rId7" Type="http://schemas.openxmlformats.org/officeDocument/2006/relationships/chart" Target="../charts/chart543.xml"/><Relationship Id="rId12" Type="http://schemas.openxmlformats.org/officeDocument/2006/relationships/chart" Target="../charts/chart548.xml"/><Relationship Id="rId17" Type="http://schemas.openxmlformats.org/officeDocument/2006/relationships/chart" Target="../charts/chart553.xml"/><Relationship Id="rId25" Type="http://schemas.openxmlformats.org/officeDocument/2006/relationships/chart" Target="../charts/chart561.xml"/><Relationship Id="rId2" Type="http://schemas.openxmlformats.org/officeDocument/2006/relationships/chart" Target="../charts/chart538.xml"/><Relationship Id="rId16" Type="http://schemas.openxmlformats.org/officeDocument/2006/relationships/chart" Target="../charts/chart552.xml"/><Relationship Id="rId20" Type="http://schemas.openxmlformats.org/officeDocument/2006/relationships/chart" Target="../charts/chart556.xml"/><Relationship Id="rId29" Type="http://schemas.openxmlformats.org/officeDocument/2006/relationships/chart" Target="../charts/chart565.xml"/><Relationship Id="rId1" Type="http://schemas.openxmlformats.org/officeDocument/2006/relationships/chart" Target="../charts/chart537.xml"/><Relationship Id="rId6" Type="http://schemas.openxmlformats.org/officeDocument/2006/relationships/chart" Target="../charts/chart542.xml"/><Relationship Id="rId11" Type="http://schemas.openxmlformats.org/officeDocument/2006/relationships/chart" Target="../charts/chart547.xml"/><Relationship Id="rId24" Type="http://schemas.openxmlformats.org/officeDocument/2006/relationships/chart" Target="../charts/chart560.xml"/><Relationship Id="rId5" Type="http://schemas.openxmlformats.org/officeDocument/2006/relationships/chart" Target="../charts/chart541.xml"/><Relationship Id="rId15" Type="http://schemas.openxmlformats.org/officeDocument/2006/relationships/chart" Target="../charts/chart551.xml"/><Relationship Id="rId23" Type="http://schemas.openxmlformats.org/officeDocument/2006/relationships/chart" Target="../charts/chart559.xml"/><Relationship Id="rId28" Type="http://schemas.openxmlformats.org/officeDocument/2006/relationships/chart" Target="../charts/chart564.xml"/><Relationship Id="rId10" Type="http://schemas.openxmlformats.org/officeDocument/2006/relationships/chart" Target="../charts/chart546.xml"/><Relationship Id="rId19" Type="http://schemas.openxmlformats.org/officeDocument/2006/relationships/chart" Target="../charts/chart555.xml"/><Relationship Id="rId31" Type="http://schemas.openxmlformats.org/officeDocument/2006/relationships/chart" Target="../charts/chart567.xml"/><Relationship Id="rId4" Type="http://schemas.openxmlformats.org/officeDocument/2006/relationships/chart" Target="../charts/chart540.xml"/><Relationship Id="rId9" Type="http://schemas.openxmlformats.org/officeDocument/2006/relationships/chart" Target="../charts/chart545.xml"/><Relationship Id="rId14" Type="http://schemas.openxmlformats.org/officeDocument/2006/relationships/chart" Target="../charts/chart550.xml"/><Relationship Id="rId22" Type="http://schemas.openxmlformats.org/officeDocument/2006/relationships/chart" Target="../charts/chart558.xml"/><Relationship Id="rId27" Type="http://schemas.openxmlformats.org/officeDocument/2006/relationships/chart" Target="../charts/chart563.xml"/><Relationship Id="rId30" Type="http://schemas.openxmlformats.org/officeDocument/2006/relationships/chart" Target="../charts/chart566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5.xml"/><Relationship Id="rId13" Type="http://schemas.openxmlformats.org/officeDocument/2006/relationships/chart" Target="../charts/chart580.xml"/><Relationship Id="rId18" Type="http://schemas.openxmlformats.org/officeDocument/2006/relationships/chart" Target="../charts/chart585.xml"/><Relationship Id="rId26" Type="http://schemas.openxmlformats.org/officeDocument/2006/relationships/chart" Target="../charts/chart593.xml"/><Relationship Id="rId3" Type="http://schemas.openxmlformats.org/officeDocument/2006/relationships/chart" Target="../charts/chart570.xml"/><Relationship Id="rId21" Type="http://schemas.openxmlformats.org/officeDocument/2006/relationships/chart" Target="../charts/chart588.xml"/><Relationship Id="rId7" Type="http://schemas.openxmlformats.org/officeDocument/2006/relationships/chart" Target="../charts/chart574.xml"/><Relationship Id="rId12" Type="http://schemas.openxmlformats.org/officeDocument/2006/relationships/chart" Target="../charts/chart579.xml"/><Relationship Id="rId17" Type="http://schemas.openxmlformats.org/officeDocument/2006/relationships/chart" Target="../charts/chart584.xml"/><Relationship Id="rId25" Type="http://schemas.openxmlformats.org/officeDocument/2006/relationships/chart" Target="../charts/chart592.xml"/><Relationship Id="rId2" Type="http://schemas.openxmlformats.org/officeDocument/2006/relationships/chart" Target="../charts/chart569.xml"/><Relationship Id="rId16" Type="http://schemas.openxmlformats.org/officeDocument/2006/relationships/chart" Target="../charts/chart583.xml"/><Relationship Id="rId20" Type="http://schemas.openxmlformats.org/officeDocument/2006/relationships/chart" Target="../charts/chart587.xml"/><Relationship Id="rId29" Type="http://schemas.openxmlformats.org/officeDocument/2006/relationships/chart" Target="../charts/chart596.xml"/><Relationship Id="rId1" Type="http://schemas.openxmlformats.org/officeDocument/2006/relationships/chart" Target="../charts/chart568.xml"/><Relationship Id="rId6" Type="http://schemas.openxmlformats.org/officeDocument/2006/relationships/chart" Target="../charts/chart573.xml"/><Relationship Id="rId11" Type="http://schemas.openxmlformats.org/officeDocument/2006/relationships/chart" Target="../charts/chart578.xml"/><Relationship Id="rId24" Type="http://schemas.openxmlformats.org/officeDocument/2006/relationships/chart" Target="../charts/chart591.xml"/><Relationship Id="rId5" Type="http://schemas.openxmlformats.org/officeDocument/2006/relationships/chart" Target="../charts/chart572.xml"/><Relationship Id="rId15" Type="http://schemas.openxmlformats.org/officeDocument/2006/relationships/chart" Target="../charts/chart582.xml"/><Relationship Id="rId23" Type="http://schemas.openxmlformats.org/officeDocument/2006/relationships/chart" Target="../charts/chart590.xml"/><Relationship Id="rId28" Type="http://schemas.openxmlformats.org/officeDocument/2006/relationships/chart" Target="../charts/chart595.xml"/><Relationship Id="rId10" Type="http://schemas.openxmlformats.org/officeDocument/2006/relationships/chart" Target="../charts/chart577.xml"/><Relationship Id="rId19" Type="http://schemas.openxmlformats.org/officeDocument/2006/relationships/chart" Target="../charts/chart586.xml"/><Relationship Id="rId4" Type="http://schemas.openxmlformats.org/officeDocument/2006/relationships/chart" Target="../charts/chart571.xml"/><Relationship Id="rId9" Type="http://schemas.openxmlformats.org/officeDocument/2006/relationships/chart" Target="../charts/chart576.xml"/><Relationship Id="rId14" Type="http://schemas.openxmlformats.org/officeDocument/2006/relationships/chart" Target="../charts/chart581.xml"/><Relationship Id="rId22" Type="http://schemas.openxmlformats.org/officeDocument/2006/relationships/chart" Target="../charts/chart589.xml"/><Relationship Id="rId27" Type="http://schemas.openxmlformats.org/officeDocument/2006/relationships/chart" Target="../charts/chart594.xml"/><Relationship Id="rId30" Type="http://schemas.openxmlformats.org/officeDocument/2006/relationships/chart" Target="../charts/chart59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91.xml"/><Relationship Id="rId39" Type="http://schemas.openxmlformats.org/officeDocument/2006/relationships/chart" Target="../charts/chart104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34" Type="http://schemas.openxmlformats.org/officeDocument/2006/relationships/chart" Target="../charts/chart99.xml"/><Relationship Id="rId42" Type="http://schemas.openxmlformats.org/officeDocument/2006/relationships/chart" Target="../charts/chart107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90.xml"/><Relationship Id="rId33" Type="http://schemas.openxmlformats.org/officeDocument/2006/relationships/chart" Target="../charts/chart98.xml"/><Relationship Id="rId38" Type="http://schemas.openxmlformats.org/officeDocument/2006/relationships/chart" Target="../charts/chart103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4.xml"/><Relationship Id="rId41" Type="http://schemas.openxmlformats.org/officeDocument/2006/relationships/chart" Target="../charts/chart106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9.xml"/><Relationship Id="rId32" Type="http://schemas.openxmlformats.org/officeDocument/2006/relationships/chart" Target="../charts/chart97.xml"/><Relationship Id="rId37" Type="http://schemas.openxmlformats.org/officeDocument/2006/relationships/chart" Target="../charts/chart102.xml"/><Relationship Id="rId40" Type="http://schemas.openxmlformats.org/officeDocument/2006/relationships/chart" Target="../charts/chart105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chart" Target="../charts/chart88.xml"/><Relationship Id="rId28" Type="http://schemas.openxmlformats.org/officeDocument/2006/relationships/chart" Target="../charts/chart93.xml"/><Relationship Id="rId36" Type="http://schemas.openxmlformats.org/officeDocument/2006/relationships/chart" Target="../charts/chart101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31" Type="http://schemas.openxmlformats.org/officeDocument/2006/relationships/chart" Target="../charts/chart96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chart" Target="../charts/chart87.xml"/><Relationship Id="rId27" Type="http://schemas.openxmlformats.org/officeDocument/2006/relationships/chart" Target="../charts/chart92.xml"/><Relationship Id="rId30" Type="http://schemas.openxmlformats.org/officeDocument/2006/relationships/chart" Target="../charts/chart95.xml"/><Relationship Id="rId35" Type="http://schemas.openxmlformats.org/officeDocument/2006/relationships/chart" Target="../charts/chart100.xml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5.xml"/><Relationship Id="rId13" Type="http://schemas.openxmlformats.org/officeDocument/2006/relationships/chart" Target="../charts/chart610.xml"/><Relationship Id="rId18" Type="http://schemas.openxmlformats.org/officeDocument/2006/relationships/chart" Target="../charts/chart615.xml"/><Relationship Id="rId26" Type="http://schemas.openxmlformats.org/officeDocument/2006/relationships/chart" Target="../charts/chart623.xml"/><Relationship Id="rId3" Type="http://schemas.openxmlformats.org/officeDocument/2006/relationships/chart" Target="../charts/chart600.xml"/><Relationship Id="rId21" Type="http://schemas.openxmlformats.org/officeDocument/2006/relationships/chart" Target="../charts/chart618.xml"/><Relationship Id="rId7" Type="http://schemas.openxmlformats.org/officeDocument/2006/relationships/chart" Target="../charts/chart604.xml"/><Relationship Id="rId12" Type="http://schemas.openxmlformats.org/officeDocument/2006/relationships/chart" Target="../charts/chart609.xml"/><Relationship Id="rId17" Type="http://schemas.openxmlformats.org/officeDocument/2006/relationships/chart" Target="../charts/chart614.xml"/><Relationship Id="rId25" Type="http://schemas.openxmlformats.org/officeDocument/2006/relationships/chart" Target="../charts/chart622.xml"/><Relationship Id="rId2" Type="http://schemas.openxmlformats.org/officeDocument/2006/relationships/chart" Target="../charts/chart599.xml"/><Relationship Id="rId16" Type="http://schemas.openxmlformats.org/officeDocument/2006/relationships/chart" Target="../charts/chart613.xml"/><Relationship Id="rId20" Type="http://schemas.openxmlformats.org/officeDocument/2006/relationships/chart" Target="../charts/chart617.xml"/><Relationship Id="rId29" Type="http://schemas.openxmlformats.org/officeDocument/2006/relationships/chart" Target="../charts/chart626.xml"/><Relationship Id="rId1" Type="http://schemas.openxmlformats.org/officeDocument/2006/relationships/chart" Target="../charts/chart598.xml"/><Relationship Id="rId6" Type="http://schemas.openxmlformats.org/officeDocument/2006/relationships/chart" Target="../charts/chart603.xml"/><Relationship Id="rId11" Type="http://schemas.openxmlformats.org/officeDocument/2006/relationships/chart" Target="../charts/chart608.xml"/><Relationship Id="rId24" Type="http://schemas.openxmlformats.org/officeDocument/2006/relationships/chart" Target="../charts/chart621.xml"/><Relationship Id="rId5" Type="http://schemas.openxmlformats.org/officeDocument/2006/relationships/chart" Target="../charts/chart602.xml"/><Relationship Id="rId15" Type="http://schemas.openxmlformats.org/officeDocument/2006/relationships/chart" Target="../charts/chart612.xml"/><Relationship Id="rId23" Type="http://schemas.openxmlformats.org/officeDocument/2006/relationships/chart" Target="../charts/chart620.xml"/><Relationship Id="rId28" Type="http://schemas.openxmlformats.org/officeDocument/2006/relationships/chart" Target="../charts/chart625.xml"/><Relationship Id="rId10" Type="http://schemas.openxmlformats.org/officeDocument/2006/relationships/chart" Target="../charts/chart607.xml"/><Relationship Id="rId19" Type="http://schemas.openxmlformats.org/officeDocument/2006/relationships/chart" Target="../charts/chart616.xml"/><Relationship Id="rId31" Type="http://schemas.openxmlformats.org/officeDocument/2006/relationships/chart" Target="../charts/chart628.xml"/><Relationship Id="rId4" Type="http://schemas.openxmlformats.org/officeDocument/2006/relationships/chart" Target="../charts/chart601.xml"/><Relationship Id="rId9" Type="http://schemas.openxmlformats.org/officeDocument/2006/relationships/chart" Target="../charts/chart606.xml"/><Relationship Id="rId14" Type="http://schemas.openxmlformats.org/officeDocument/2006/relationships/chart" Target="../charts/chart611.xml"/><Relationship Id="rId22" Type="http://schemas.openxmlformats.org/officeDocument/2006/relationships/chart" Target="../charts/chart619.xml"/><Relationship Id="rId27" Type="http://schemas.openxmlformats.org/officeDocument/2006/relationships/chart" Target="../charts/chart624.xml"/><Relationship Id="rId30" Type="http://schemas.openxmlformats.org/officeDocument/2006/relationships/chart" Target="../charts/chart627.xml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6.xml"/><Relationship Id="rId13" Type="http://schemas.openxmlformats.org/officeDocument/2006/relationships/chart" Target="../charts/chart641.xml"/><Relationship Id="rId18" Type="http://schemas.openxmlformats.org/officeDocument/2006/relationships/chart" Target="../charts/chart646.xml"/><Relationship Id="rId26" Type="http://schemas.openxmlformats.org/officeDocument/2006/relationships/chart" Target="../charts/chart654.xml"/><Relationship Id="rId39" Type="http://schemas.openxmlformats.org/officeDocument/2006/relationships/chart" Target="../charts/chart667.xml"/><Relationship Id="rId3" Type="http://schemas.openxmlformats.org/officeDocument/2006/relationships/chart" Target="../charts/chart631.xml"/><Relationship Id="rId21" Type="http://schemas.openxmlformats.org/officeDocument/2006/relationships/chart" Target="../charts/chart649.xml"/><Relationship Id="rId34" Type="http://schemas.openxmlformats.org/officeDocument/2006/relationships/chart" Target="../charts/chart662.xml"/><Relationship Id="rId42" Type="http://schemas.openxmlformats.org/officeDocument/2006/relationships/chart" Target="../charts/chart670.xml"/><Relationship Id="rId7" Type="http://schemas.openxmlformats.org/officeDocument/2006/relationships/chart" Target="../charts/chart635.xml"/><Relationship Id="rId12" Type="http://schemas.openxmlformats.org/officeDocument/2006/relationships/chart" Target="../charts/chart640.xml"/><Relationship Id="rId17" Type="http://schemas.openxmlformats.org/officeDocument/2006/relationships/chart" Target="../charts/chart645.xml"/><Relationship Id="rId25" Type="http://schemas.openxmlformats.org/officeDocument/2006/relationships/chart" Target="../charts/chart653.xml"/><Relationship Id="rId33" Type="http://schemas.openxmlformats.org/officeDocument/2006/relationships/chart" Target="../charts/chart661.xml"/><Relationship Id="rId38" Type="http://schemas.openxmlformats.org/officeDocument/2006/relationships/chart" Target="../charts/chart666.xml"/><Relationship Id="rId2" Type="http://schemas.openxmlformats.org/officeDocument/2006/relationships/chart" Target="../charts/chart630.xml"/><Relationship Id="rId16" Type="http://schemas.openxmlformats.org/officeDocument/2006/relationships/chart" Target="../charts/chart644.xml"/><Relationship Id="rId20" Type="http://schemas.openxmlformats.org/officeDocument/2006/relationships/chart" Target="../charts/chart648.xml"/><Relationship Id="rId29" Type="http://schemas.openxmlformats.org/officeDocument/2006/relationships/chart" Target="../charts/chart657.xml"/><Relationship Id="rId41" Type="http://schemas.openxmlformats.org/officeDocument/2006/relationships/chart" Target="../charts/chart669.xml"/><Relationship Id="rId1" Type="http://schemas.openxmlformats.org/officeDocument/2006/relationships/chart" Target="../charts/chart629.xml"/><Relationship Id="rId6" Type="http://schemas.openxmlformats.org/officeDocument/2006/relationships/chart" Target="../charts/chart634.xml"/><Relationship Id="rId11" Type="http://schemas.openxmlformats.org/officeDocument/2006/relationships/chart" Target="../charts/chart639.xml"/><Relationship Id="rId24" Type="http://schemas.openxmlformats.org/officeDocument/2006/relationships/chart" Target="../charts/chart652.xml"/><Relationship Id="rId32" Type="http://schemas.openxmlformats.org/officeDocument/2006/relationships/chart" Target="../charts/chart660.xml"/><Relationship Id="rId37" Type="http://schemas.openxmlformats.org/officeDocument/2006/relationships/chart" Target="../charts/chart665.xml"/><Relationship Id="rId40" Type="http://schemas.openxmlformats.org/officeDocument/2006/relationships/chart" Target="../charts/chart668.xml"/><Relationship Id="rId5" Type="http://schemas.openxmlformats.org/officeDocument/2006/relationships/chart" Target="../charts/chart633.xml"/><Relationship Id="rId15" Type="http://schemas.openxmlformats.org/officeDocument/2006/relationships/chart" Target="../charts/chart643.xml"/><Relationship Id="rId23" Type="http://schemas.openxmlformats.org/officeDocument/2006/relationships/chart" Target="../charts/chart651.xml"/><Relationship Id="rId28" Type="http://schemas.openxmlformats.org/officeDocument/2006/relationships/chart" Target="../charts/chart656.xml"/><Relationship Id="rId36" Type="http://schemas.openxmlformats.org/officeDocument/2006/relationships/chart" Target="../charts/chart664.xml"/><Relationship Id="rId10" Type="http://schemas.openxmlformats.org/officeDocument/2006/relationships/chart" Target="../charts/chart638.xml"/><Relationship Id="rId19" Type="http://schemas.openxmlformats.org/officeDocument/2006/relationships/chart" Target="../charts/chart647.xml"/><Relationship Id="rId31" Type="http://schemas.openxmlformats.org/officeDocument/2006/relationships/chart" Target="../charts/chart659.xml"/><Relationship Id="rId4" Type="http://schemas.openxmlformats.org/officeDocument/2006/relationships/chart" Target="../charts/chart632.xml"/><Relationship Id="rId9" Type="http://schemas.openxmlformats.org/officeDocument/2006/relationships/chart" Target="../charts/chart637.xml"/><Relationship Id="rId14" Type="http://schemas.openxmlformats.org/officeDocument/2006/relationships/chart" Target="../charts/chart642.xml"/><Relationship Id="rId22" Type="http://schemas.openxmlformats.org/officeDocument/2006/relationships/chart" Target="../charts/chart650.xml"/><Relationship Id="rId27" Type="http://schemas.openxmlformats.org/officeDocument/2006/relationships/chart" Target="../charts/chart655.xml"/><Relationship Id="rId30" Type="http://schemas.openxmlformats.org/officeDocument/2006/relationships/chart" Target="../charts/chart658.xml"/><Relationship Id="rId35" Type="http://schemas.openxmlformats.org/officeDocument/2006/relationships/chart" Target="../charts/chart663.xml"/><Relationship Id="rId43" Type="http://schemas.openxmlformats.org/officeDocument/2006/relationships/chart" Target="../charts/chart671.xml"/></Relationships>
</file>

<file path=xl/drawings/_rels/drawing1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9.xml"/><Relationship Id="rId13" Type="http://schemas.openxmlformats.org/officeDocument/2006/relationships/chart" Target="../charts/chart684.xml"/><Relationship Id="rId18" Type="http://schemas.openxmlformats.org/officeDocument/2006/relationships/chart" Target="../charts/chart689.xml"/><Relationship Id="rId26" Type="http://schemas.openxmlformats.org/officeDocument/2006/relationships/chart" Target="../charts/chart697.xml"/><Relationship Id="rId3" Type="http://schemas.openxmlformats.org/officeDocument/2006/relationships/chart" Target="../charts/chart674.xml"/><Relationship Id="rId21" Type="http://schemas.openxmlformats.org/officeDocument/2006/relationships/chart" Target="../charts/chart692.xml"/><Relationship Id="rId7" Type="http://schemas.openxmlformats.org/officeDocument/2006/relationships/chart" Target="../charts/chart678.xml"/><Relationship Id="rId12" Type="http://schemas.openxmlformats.org/officeDocument/2006/relationships/chart" Target="../charts/chart683.xml"/><Relationship Id="rId17" Type="http://schemas.openxmlformats.org/officeDocument/2006/relationships/chart" Target="../charts/chart688.xml"/><Relationship Id="rId25" Type="http://schemas.openxmlformats.org/officeDocument/2006/relationships/chart" Target="../charts/chart696.xml"/><Relationship Id="rId2" Type="http://schemas.openxmlformats.org/officeDocument/2006/relationships/chart" Target="../charts/chart673.xml"/><Relationship Id="rId16" Type="http://schemas.openxmlformats.org/officeDocument/2006/relationships/chart" Target="../charts/chart687.xml"/><Relationship Id="rId20" Type="http://schemas.openxmlformats.org/officeDocument/2006/relationships/chart" Target="../charts/chart691.xml"/><Relationship Id="rId29" Type="http://schemas.openxmlformats.org/officeDocument/2006/relationships/chart" Target="../charts/chart700.xml"/><Relationship Id="rId1" Type="http://schemas.openxmlformats.org/officeDocument/2006/relationships/chart" Target="../charts/chart672.xml"/><Relationship Id="rId6" Type="http://schemas.openxmlformats.org/officeDocument/2006/relationships/chart" Target="../charts/chart677.xml"/><Relationship Id="rId11" Type="http://schemas.openxmlformats.org/officeDocument/2006/relationships/chart" Target="../charts/chart682.xml"/><Relationship Id="rId24" Type="http://schemas.openxmlformats.org/officeDocument/2006/relationships/chart" Target="../charts/chart695.xml"/><Relationship Id="rId5" Type="http://schemas.openxmlformats.org/officeDocument/2006/relationships/chart" Target="../charts/chart676.xml"/><Relationship Id="rId15" Type="http://schemas.openxmlformats.org/officeDocument/2006/relationships/chart" Target="../charts/chart686.xml"/><Relationship Id="rId23" Type="http://schemas.openxmlformats.org/officeDocument/2006/relationships/chart" Target="../charts/chart694.xml"/><Relationship Id="rId28" Type="http://schemas.openxmlformats.org/officeDocument/2006/relationships/chart" Target="../charts/chart699.xml"/><Relationship Id="rId10" Type="http://schemas.openxmlformats.org/officeDocument/2006/relationships/chart" Target="../charts/chart681.xml"/><Relationship Id="rId19" Type="http://schemas.openxmlformats.org/officeDocument/2006/relationships/chart" Target="../charts/chart690.xml"/><Relationship Id="rId31" Type="http://schemas.openxmlformats.org/officeDocument/2006/relationships/chart" Target="../charts/chart702.xml"/><Relationship Id="rId4" Type="http://schemas.openxmlformats.org/officeDocument/2006/relationships/chart" Target="../charts/chart675.xml"/><Relationship Id="rId9" Type="http://schemas.openxmlformats.org/officeDocument/2006/relationships/chart" Target="../charts/chart680.xml"/><Relationship Id="rId14" Type="http://schemas.openxmlformats.org/officeDocument/2006/relationships/chart" Target="../charts/chart685.xml"/><Relationship Id="rId22" Type="http://schemas.openxmlformats.org/officeDocument/2006/relationships/chart" Target="../charts/chart693.xml"/><Relationship Id="rId27" Type="http://schemas.openxmlformats.org/officeDocument/2006/relationships/chart" Target="../charts/chart698.xml"/><Relationship Id="rId30" Type="http://schemas.openxmlformats.org/officeDocument/2006/relationships/chart" Target="../charts/chart701.xml"/></Relationships>
</file>

<file path=xl/drawings/_rels/drawing1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0.xml"/><Relationship Id="rId13" Type="http://schemas.openxmlformats.org/officeDocument/2006/relationships/chart" Target="../charts/chart715.xml"/><Relationship Id="rId18" Type="http://schemas.openxmlformats.org/officeDocument/2006/relationships/chart" Target="../charts/chart720.xml"/><Relationship Id="rId26" Type="http://schemas.openxmlformats.org/officeDocument/2006/relationships/chart" Target="../charts/chart728.xml"/><Relationship Id="rId3" Type="http://schemas.openxmlformats.org/officeDocument/2006/relationships/chart" Target="../charts/chart705.xml"/><Relationship Id="rId21" Type="http://schemas.openxmlformats.org/officeDocument/2006/relationships/chart" Target="../charts/chart723.xml"/><Relationship Id="rId7" Type="http://schemas.openxmlformats.org/officeDocument/2006/relationships/chart" Target="../charts/chart709.xml"/><Relationship Id="rId12" Type="http://schemas.openxmlformats.org/officeDocument/2006/relationships/chart" Target="../charts/chart714.xml"/><Relationship Id="rId17" Type="http://schemas.openxmlformats.org/officeDocument/2006/relationships/chart" Target="../charts/chart719.xml"/><Relationship Id="rId25" Type="http://schemas.openxmlformats.org/officeDocument/2006/relationships/chart" Target="../charts/chart727.xml"/><Relationship Id="rId2" Type="http://schemas.openxmlformats.org/officeDocument/2006/relationships/chart" Target="../charts/chart704.xml"/><Relationship Id="rId16" Type="http://schemas.openxmlformats.org/officeDocument/2006/relationships/chart" Target="../charts/chart718.xml"/><Relationship Id="rId20" Type="http://schemas.openxmlformats.org/officeDocument/2006/relationships/chart" Target="../charts/chart722.xml"/><Relationship Id="rId29" Type="http://schemas.openxmlformats.org/officeDocument/2006/relationships/chart" Target="../charts/chart731.xml"/><Relationship Id="rId1" Type="http://schemas.openxmlformats.org/officeDocument/2006/relationships/chart" Target="../charts/chart703.xml"/><Relationship Id="rId6" Type="http://schemas.openxmlformats.org/officeDocument/2006/relationships/chart" Target="../charts/chart708.xml"/><Relationship Id="rId11" Type="http://schemas.openxmlformats.org/officeDocument/2006/relationships/chart" Target="../charts/chart713.xml"/><Relationship Id="rId24" Type="http://schemas.openxmlformats.org/officeDocument/2006/relationships/chart" Target="../charts/chart726.xml"/><Relationship Id="rId5" Type="http://schemas.openxmlformats.org/officeDocument/2006/relationships/chart" Target="../charts/chart707.xml"/><Relationship Id="rId15" Type="http://schemas.openxmlformats.org/officeDocument/2006/relationships/chart" Target="../charts/chart717.xml"/><Relationship Id="rId23" Type="http://schemas.openxmlformats.org/officeDocument/2006/relationships/chart" Target="../charts/chart725.xml"/><Relationship Id="rId28" Type="http://schemas.openxmlformats.org/officeDocument/2006/relationships/chart" Target="../charts/chart730.xml"/><Relationship Id="rId10" Type="http://schemas.openxmlformats.org/officeDocument/2006/relationships/chart" Target="../charts/chart712.xml"/><Relationship Id="rId19" Type="http://schemas.openxmlformats.org/officeDocument/2006/relationships/chart" Target="../charts/chart721.xml"/><Relationship Id="rId31" Type="http://schemas.openxmlformats.org/officeDocument/2006/relationships/chart" Target="../charts/chart733.xml"/><Relationship Id="rId4" Type="http://schemas.openxmlformats.org/officeDocument/2006/relationships/chart" Target="../charts/chart706.xml"/><Relationship Id="rId9" Type="http://schemas.openxmlformats.org/officeDocument/2006/relationships/chart" Target="../charts/chart711.xml"/><Relationship Id="rId14" Type="http://schemas.openxmlformats.org/officeDocument/2006/relationships/chart" Target="../charts/chart716.xml"/><Relationship Id="rId22" Type="http://schemas.openxmlformats.org/officeDocument/2006/relationships/chart" Target="../charts/chart724.xml"/><Relationship Id="rId27" Type="http://schemas.openxmlformats.org/officeDocument/2006/relationships/chart" Target="../charts/chart729.xml"/><Relationship Id="rId30" Type="http://schemas.openxmlformats.org/officeDocument/2006/relationships/chart" Target="../charts/chart732.xml"/></Relationships>
</file>

<file path=xl/drawings/_rels/drawing1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1.xml"/><Relationship Id="rId13" Type="http://schemas.openxmlformats.org/officeDocument/2006/relationships/chart" Target="../charts/chart746.xml"/><Relationship Id="rId18" Type="http://schemas.openxmlformats.org/officeDocument/2006/relationships/chart" Target="../charts/chart751.xml"/><Relationship Id="rId26" Type="http://schemas.openxmlformats.org/officeDocument/2006/relationships/chart" Target="../charts/chart759.xml"/><Relationship Id="rId39" Type="http://schemas.openxmlformats.org/officeDocument/2006/relationships/chart" Target="../charts/chart772.xml"/><Relationship Id="rId3" Type="http://schemas.openxmlformats.org/officeDocument/2006/relationships/chart" Target="../charts/chart736.xml"/><Relationship Id="rId21" Type="http://schemas.openxmlformats.org/officeDocument/2006/relationships/chart" Target="../charts/chart754.xml"/><Relationship Id="rId34" Type="http://schemas.openxmlformats.org/officeDocument/2006/relationships/chart" Target="../charts/chart767.xml"/><Relationship Id="rId42" Type="http://schemas.openxmlformats.org/officeDocument/2006/relationships/chart" Target="../charts/chart775.xml"/><Relationship Id="rId7" Type="http://schemas.openxmlformats.org/officeDocument/2006/relationships/chart" Target="../charts/chart740.xml"/><Relationship Id="rId12" Type="http://schemas.openxmlformats.org/officeDocument/2006/relationships/chart" Target="../charts/chart745.xml"/><Relationship Id="rId17" Type="http://schemas.openxmlformats.org/officeDocument/2006/relationships/chart" Target="../charts/chart750.xml"/><Relationship Id="rId25" Type="http://schemas.openxmlformats.org/officeDocument/2006/relationships/chart" Target="../charts/chart758.xml"/><Relationship Id="rId33" Type="http://schemas.openxmlformats.org/officeDocument/2006/relationships/chart" Target="../charts/chart766.xml"/><Relationship Id="rId38" Type="http://schemas.openxmlformats.org/officeDocument/2006/relationships/chart" Target="../charts/chart771.xml"/><Relationship Id="rId2" Type="http://schemas.openxmlformats.org/officeDocument/2006/relationships/chart" Target="../charts/chart735.xml"/><Relationship Id="rId16" Type="http://schemas.openxmlformats.org/officeDocument/2006/relationships/chart" Target="../charts/chart749.xml"/><Relationship Id="rId20" Type="http://schemas.openxmlformats.org/officeDocument/2006/relationships/chart" Target="../charts/chart753.xml"/><Relationship Id="rId29" Type="http://schemas.openxmlformats.org/officeDocument/2006/relationships/chart" Target="../charts/chart762.xml"/><Relationship Id="rId41" Type="http://schemas.openxmlformats.org/officeDocument/2006/relationships/chart" Target="../charts/chart774.xml"/><Relationship Id="rId1" Type="http://schemas.openxmlformats.org/officeDocument/2006/relationships/chart" Target="../charts/chart734.xml"/><Relationship Id="rId6" Type="http://schemas.openxmlformats.org/officeDocument/2006/relationships/chart" Target="../charts/chart739.xml"/><Relationship Id="rId11" Type="http://schemas.openxmlformats.org/officeDocument/2006/relationships/chart" Target="../charts/chart744.xml"/><Relationship Id="rId24" Type="http://schemas.openxmlformats.org/officeDocument/2006/relationships/chart" Target="../charts/chart757.xml"/><Relationship Id="rId32" Type="http://schemas.openxmlformats.org/officeDocument/2006/relationships/chart" Target="../charts/chart765.xml"/><Relationship Id="rId37" Type="http://schemas.openxmlformats.org/officeDocument/2006/relationships/chart" Target="../charts/chart770.xml"/><Relationship Id="rId40" Type="http://schemas.openxmlformats.org/officeDocument/2006/relationships/chart" Target="../charts/chart773.xml"/><Relationship Id="rId5" Type="http://schemas.openxmlformats.org/officeDocument/2006/relationships/chart" Target="../charts/chart738.xml"/><Relationship Id="rId15" Type="http://schemas.openxmlformats.org/officeDocument/2006/relationships/chart" Target="../charts/chart748.xml"/><Relationship Id="rId23" Type="http://schemas.openxmlformats.org/officeDocument/2006/relationships/chart" Target="../charts/chart756.xml"/><Relationship Id="rId28" Type="http://schemas.openxmlformats.org/officeDocument/2006/relationships/chart" Target="../charts/chart761.xml"/><Relationship Id="rId36" Type="http://schemas.openxmlformats.org/officeDocument/2006/relationships/chart" Target="../charts/chart769.xml"/><Relationship Id="rId10" Type="http://schemas.openxmlformats.org/officeDocument/2006/relationships/chart" Target="../charts/chart743.xml"/><Relationship Id="rId19" Type="http://schemas.openxmlformats.org/officeDocument/2006/relationships/chart" Target="../charts/chart752.xml"/><Relationship Id="rId31" Type="http://schemas.openxmlformats.org/officeDocument/2006/relationships/chart" Target="../charts/chart764.xml"/><Relationship Id="rId4" Type="http://schemas.openxmlformats.org/officeDocument/2006/relationships/chart" Target="../charts/chart737.xml"/><Relationship Id="rId9" Type="http://schemas.openxmlformats.org/officeDocument/2006/relationships/chart" Target="../charts/chart742.xml"/><Relationship Id="rId14" Type="http://schemas.openxmlformats.org/officeDocument/2006/relationships/chart" Target="../charts/chart747.xml"/><Relationship Id="rId22" Type="http://schemas.openxmlformats.org/officeDocument/2006/relationships/chart" Target="../charts/chart755.xml"/><Relationship Id="rId27" Type="http://schemas.openxmlformats.org/officeDocument/2006/relationships/chart" Target="../charts/chart760.xml"/><Relationship Id="rId30" Type="http://schemas.openxmlformats.org/officeDocument/2006/relationships/chart" Target="../charts/chart763.xml"/><Relationship Id="rId35" Type="http://schemas.openxmlformats.org/officeDocument/2006/relationships/chart" Target="../charts/chart768.xml"/><Relationship Id="rId43" Type="http://schemas.openxmlformats.org/officeDocument/2006/relationships/chart" Target="../charts/chart776.xml"/></Relationships>
</file>

<file path=xl/drawings/_rels/drawing1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4.xml"/><Relationship Id="rId13" Type="http://schemas.openxmlformats.org/officeDocument/2006/relationships/chart" Target="../charts/chart789.xml"/><Relationship Id="rId18" Type="http://schemas.openxmlformats.org/officeDocument/2006/relationships/chart" Target="../charts/chart794.xml"/><Relationship Id="rId26" Type="http://schemas.openxmlformats.org/officeDocument/2006/relationships/chart" Target="../charts/chart802.xml"/><Relationship Id="rId3" Type="http://schemas.openxmlformats.org/officeDocument/2006/relationships/chart" Target="../charts/chart779.xml"/><Relationship Id="rId21" Type="http://schemas.openxmlformats.org/officeDocument/2006/relationships/chart" Target="../charts/chart797.xml"/><Relationship Id="rId34" Type="http://schemas.openxmlformats.org/officeDocument/2006/relationships/chart" Target="../charts/chart810.xml"/><Relationship Id="rId7" Type="http://schemas.openxmlformats.org/officeDocument/2006/relationships/chart" Target="../charts/chart783.xml"/><Relationship Id="rId12" Type="http://schemas.openxmlformats.org/officeDocument/2006/relationships/chart" Target="../charts/chart788.xml"/><Relationship Id="rId17" Type="http://schemas.openxmlformats.org/officeDocument/2006/relationships/chart" Target="../charts/chart793.xml"/><Relationship Id="rId25" Type="http://schemas.openxmlformats.org/officeDocument/2006/relationships/chart" Target="../charts/chart801.xml"/><Relationship Id="rId33" Type="http://schemas.openxmlformats.org/officeDocument/2006/relationships/chart" Target="../charts/chart809.xml"/><Relationship Id="rId2" Type="http://schemas.openxmlformats.org/officeDocument/2006/relationships/chart" Target="../charts/chart778.xml"/><Relationship Id="rId16" Type="http://schemas.openxmlformats.org/officeDocument/2006/relationships/chart" Target="../charts/chart792.xml"/><Relationship Id="rId20" Type="http://schemas.openxmlformats.org/officeDocument/2006/relationships/chart" Target="../charts/chart796.xml"/><Relationship Id="rId29" Type="http://schemas.openxmlformats.org/officeDocument/2006/relationships/chart" Target="../charts/chart805.xml"/><Relationship Id="rId1" Type="http://schemas.openxmlformats.org/officeDocument/2006/relationships/chart" Target="../charts/chart777.xml"/><Relationship Id="rId6" Type="http://schemas.openxmlformats.org/officeDocument/2006/relationships/chart" Target="../charts/chart782.xml"/><Relationship Id="rId11" Type="http://schemas.openxmlformats.org/officeDocument/2006/relationships/chart" Target="../charts/chart787.xml"/><Relationship Id="rId24" Type="http://schemas.openxmlformats.org/officeDocument/2006/relationships/chart" Target="../charts/chart800.xml"/><Relationship Id="rId32" Type="http://schemas.openxmlformats.org/officeDocument/2006/relationships/chart" Target="../charts/chart808.xml"/><Relationship Id="rId5" Type="http://schemas.openxmlformats.org/officeDocument/2006/relationships/chart" Target="../charts/chart781.xml"/><Relationship Id="rId15" Type="http://schemas.openxmlformats.org/officeDocument/2006/relationships/chart" Target="../charts/chart791.xml"/><Relationship Id="rId23" Type="http://schemas.openxmlformats.org/officeDocument/2006/relationships/chart" Target="../charts/chart799.xml"/><Relationship Id="rId28" Type="http://schemas.openxmlformats.org/officeDocument/2006/relationships/chart" Target="../charts/chart804.xml"/><Relationship Id="rId10" Type="http://schemas.openxmlformats.org/officeDocument/2006/relationships/chart" Target="../charts/chart786.xml"/><Relationship Id="rId19" Type="http://schemas.openxmlformats.org/officeDocument/2006/relationships/chart" Target="../charts/chart795.xml"/><Relationship Id="rId31" Type="http://schemas.openxmlformats.org/officeDocument/2006/relationships/chart" Target="../charts/chart807.xml"/><Relationship Id="rId4" Type="http://schemas.openxmlformats.org/officeDocument/2006/relationships/chart" Target="../charts/chart780.xml"/><Relationship Id="rId9" Type="http://schemas.openxmlformats.org/officeDocument/2006/relationships/chart" Target="../charts/chart785.xml"/><Relationship Id="rId14" Type="http://schemas.openxmlformats.org/officeDocument/2006/relationships/chart" Target="../charts/chart790.xml"/><Relationship Id="rId22" Type="http://schemas.openxmlformats.org/officeDocument/2006/relationships/chart" Target="../charts/chart798.xml"/><Relationship Id="rId27" Type="http://schemas.openxmlformats.org/officeDocument/2006/relationships/chart" Target="../charts/chart803.xml"/><Relationship Id="rId30" Type="http://schemas.openxmlformats.org/officeDocument/2006/relationships/chart" Target="../charts/chart806.xml"/></Relationships>
</file>

<file path=xl/drawings/_rels/drawing1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8.xml"/><Relationship Id="rId13" Type="http://schemas.openxmlformats.org/officeDocument/2006/relationships/chart" Target="../charts/chart823.xml"/><Relationship Id="rId18" Type="http://schemas.openxmlformats.org/officeDocument/2006/relationships/chart" Target="../charts/chart828.xml"/><Relationship Id="rId26" Type="http://schemas.openxmlformats.org/officeDocument/2006/relationships/chart" Target="../charts/chart836.xml"/><Relationship Id="rId3" Type="http://schemas.openxmlformats.org/officeDocument/2006/relationships/chart" Target="../charts/chart813.xml"/><Relationship Id="rId21" Type="http://schemas.openxmlformats.org/officeDocument/2006/relationships/chart" Target="../charts/chart831.xml"/><Relationship Id="rId7" Type="http://schemas.openxmlformats.org/officeDocument/2006/relationships/chart" Target="../charts/chart817.xml"/><Relationship Id="rId12" Type="http://schemas.openxmlformats.org/officeDocument/2006/relationships/chart" Target="../charts/chart822.xml"/><Relationship Id="rId17" Type="http://schemas.openxmlformats.org/officeDocument/2006/relationships/chart" Target="../charts/chart827.xml"/><Relationship Id="rId25" Type="http://schemas.openxmlformats.org/officeDocument/2006/relationships/chart" Target="../charts/chart835.xml"/><Relationship Id="rId2" Type="http://schemas.openxmlformats.org/officeDocument/2006/relationships/chart" Target="../charts/chart812.xml"/><Relationship Id="rId16" Type="http://schemas.openxmlformats.org/officeDocument/2006/relationships/chart" Target="../charts/chart826.xml"/><Relationship Id="rId20" Type="http://schemas.openxmlformats.org/officeDocument/2006/relationships/chart" Target="../charts/chart830.xml"/><Relationship Id="rId29" Type="http://schemas.openxmlformats.org/officeDocument/2006/relationships/chart" Target="../charts/chart839.xml"/><Relationship Id="rId1" Type="http://schemas.openxmlformats.org/officeDocument/2006/relationships/chart" Target="../charts/chart811.xml"/><Relationship Id="rId6" Type="http://schemas.openxmlformats.org/officeDocument/2006/relationships/chart" Target="../charts/chart816.xml"/><Relationship Id="rId11" Type="http://schemas.openxmlformats.org/officeDocument/2006/relationships/chart" Target="../charts/chart821.xml"/><Relationship Id="rId24" Type="http://schemas.openxmlformats.org/officeDocument/2006/relationships/chart" Target="../charts/chart834.xml"/><Relationship Id="rId5" Type="http://schemas.openxmlformats.org/officeDocument/2006/relationships/chart" Target="../charts/chart815.xml"/><Relationship Id="rId15" Type="http://schemas.openxmlformats.org/officeDocument/2006/relationships/chart" Target="../charts/chart825.xml"/><Relationship Id="rId23" Type="http://schemas.openxmlformats.org/officeDocument/2006/relationships/chart" Target="../charts/chart833.xml"/><Relationship Id="rId28" Type="http://schemas.openxmlformats.org/officeDocument/2006/relationships/chart" Target="../charts/chart838.xml"/><Relationship Id="rId10" Type="http://schemas.openxmlformats.org/officeDocument/2006/relationships/chart" Target="../charts/chart820.xml"/><Relationship Id="rId19" Type="http://schemas.openxmlformats.org/officeDocument/2006/relationships/chart" Target="../charts/chart829.xml"/><Relationship Id="rId31" Type="http://schemas.openxmlformats.org/officeDocument/2006/relationships/chart" Target="../charts/chart841.xml"/><Relationship Id="rId4" Type="http://schemas.openxmlformats.org/officeDocument/2006/relationships/chart" Target="../charts/chart814.xml"/><Relationship Id="rId9" Type="http://schemas.openxmlformats.org/officeDocument/2006/relationships/chart" Target="../charts/chart819.xml"/><Relationship Id="rId14" Type="http://schemas.openxmlformats.org/officeDocument/2006/relationships/chart" Target="../charts/chart824.xml"/><Relationship Id="rId22" Type="http://schemas.openxmlformats.org/officeDocument/2006/relationships/chart" Target="../charts/chart832.xml"/><Relationship Id="rId27" Type="http://schemas.openxmlformats.org/officeDocument/2006/relationships/chart" Target="../charts/chart837.xml"/><Relationship Id="rId30" Type="http://schemas.openxmlformats.org/officeDocument/2006/relationships/chart" Target="../charts/chart840.xml"/></Relationships>
</file>

<file path=xl/drawings/_rels/drawing1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9.xml"/><Relationship Id="rId13" Type="http://schemas.openxmlformats.org/officeDocument/2006/relationships/chart" Target="../charts/chart854.xml"/><Relationship Id="rId18" Type="http://schemas.openxmlformats.org/officeDocument/2006/relationships/chart" Target="../charts/chart859.xml"/><Relationship Id="rId26" Type="http://schemas.openxmlformats.org/officeDocument/2006/relationships/chart" Target="../charts/chart867.xml"/><Relationship Id="rId3" Type="http://schemas.openxmlformats.org/officeDocument/2006/relationships/chart" Target="../charts/chart844.xml"/><Relationship Id="rId21" Type="http://schemas.openxmlformats.org/officeDocument/2006/relationships/chart" Target="../charts/chart862.xml"/><Relationship Id="rId7" Type="http://schemas.openxmlformats.org/officeDocument/2006/relationships/chart" Target="../charts/chart848.xml"/><Relationship Id="rId12" Type="http://schemas.openxmlformats.org/officeDocument/2006/relationships/chart" Target="../charts/chart853.xml"/><Relationship Id="rId17" Type="http://schemas.openxmlformats.org/officeDocument/2006/relationships/chart" Target="../charts/chart858.xml"/><Relationship Id="rId25" Type="http://schemas.openxmlformats.org/officeDocument/2006/relationships/chart" Target="../charts/chart866.xml"/><Relationship Id="rId2" Type="http://schemas.openxmlformats.org/officeDocument/2006/relationships/chart" Target="../charts/chart843.xml"/><Relationship Id="rId16" Type="http://schemas.openxmlformats.org/officeDocument/2006/relationships/chart" Target="../charts/chart857.xml"/><Relationship Id="rId20" Type="http://schemas.openxmlformats.org/officeDocument/2006/relationships/chart" Target="../charts/chart861.xml"/><Relationship Id="rId29" Type="http://schemas.openxmlformats.org/officeDocument/2006/relationships/chart" Target="../charts/chart870.xml"/><Relationship Id="rId1" Type="http://schemas.openxmlformats.org/officeDocument/2006/relationships/chart" Target="../charts/chart842.xml"/><Relationship Id="rId6" Type="http://schemas.openxmlformats.org/officeDocument/2006/relationships/chart" Target="../charts/chart847.xml"/><Relationship Id="rId11" Type="http://schemas.openxmlformats.org/officeDocument/2006/relationships/chart" Target="../charts/chart852.xml"/><Relationship Id="rId24" Type="http://schemas.openxmlformats.org/officeDocument/2006/relationships/chart" Target="../charts/chart865.xml"/><Relationship Id="rId5" Type="http://schemas.openxmlformats.org/officeDocument/2006/relationships/chart" Target="../charts/chart846.xml"/><Relationship Id="rId15" Type="http://schemas.openxmlformats.org/officeDocument/2006/relationships/chart" Target="../charts/chart856.xml"/><Relationship Id="rId23" Type="http://schemas.openxmlformats.org/officeDocument/2006/relationships/chart" Target="../charts/chart864.xml"/><Relationship Id="rId28" Type="http://schemas.openxmlformats.org/officeDocument/2006/relationships/chart" Target="../charts/chart869.xml"/><Relationship Id="rId10" Type="http://schemas.openxmlformats.org/officeDocument/2006/relationships/chart" Target="../charts/chart851.xml"/><Relationship Id="rId19" Type="http://schemas.openxmlformats.org/officeDocument/2006/relationships/chart" Target="../charts/chart860.xml"/><Relationship Id="rId31" Type="http://schemas.openxmlformats.org/officeDocument/2006/relationships/chart" Target="../charts/chart872.xml"/><Relationship Id="rId4" Type="http://schemas.openxmlformats.org/officeDocument/2006/relationships/chart" Target="../charts/chart845.xml"/><Relationship Id="rId9" Type="http://schemas.openxmlformats.org/officeDocument/2006/relationships/chart" Target="../charts/chart850.xml"/><Relationship Id="rId14" Type="http://schemas.openxmlformats.org/officeDocument/2006/relationships/chart" Target="../charts/chart855.xml"/><Relationship Id="rId22" Type="http://schemas.openxmlformats.org/officeDocument/2006/relationships/chart" Target="../charts/chart863.xml"/><Relationship Id="rId27" Type="http://schemas.openxmlformats.org/officeDocument/2006/relationships/chart" Target="../charts/chart868.xml"/><Relationship Id="rId30" Type="http://schemas.openxmlformats.org/officeDocument/2006/relationships/chart" Target="../charts/chart871.xml"/></Relationships>
</file>

<file path=xl/drawings/_rels/drawing2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0.xml"/><Relationship Id="rId13" Type="http://schemas.openxmlformats.org/officeDocument/2006/relationships/chart" Target="../charts/chart885.xml"/><Relationship Id="rId18" Type="http://schemas.openxmlformats.org/officeDocument/2006/relationships/chart" Target="../charts/chart890.xml"/><Relationship Id="rId26" Type="http://schemas.openxmlformats.org/officeDocument/2006/relationships/chart" Target="../charts/chart898.xml"/><Relationship Id="rId3" Type="http://schemas.openxmlformats.org/officeDocument/2006/relationships/chart" Target="../charts/chart875.xml"/><Relationship Id="rId21" Type="http://schemas.openxmlformats.org/officeDocument/2006/relationships/chart" Target="../charts/chart893.xml"/><Relationship Id="rId7" Type="http://schemas.openxmlformats.org/officeDocument/2006/relationships/chart" Target="../charts/chart879.xml"/><Relationship Id="rId12" Type="http://schemas.openxmlformats.org/officeDocument/2006/relationships/chart" Target="../charts/chart884.xml"/><Relationship Id="rId17" Type="http://schemas.openxmlformats.org/officeDocument/2006/relationships/chart" Target="../charts/chart889.xml"/><Relationship Id="rId25" Type="http://schemas.openxmlformats.org/officeDocument/2006/relationships/chart" Target="../charts/chart897.xml"/><Relationship Id="rId2" Type="http://schemas.openxmlformats.org/officeDocument/2006/relationships/chart" Target="../charts/chart874.xml"/><Relationship Id="rId16" Type="http://schemas.openxmlformats.org/officeDocument/2006/relationships/chart" Target="../charts/chart888.xml"/><Relationship Id="rId20" Type="http://schemas.openxmlformats.org/officeDocument/2006/relationships/chart" Target="../charts/chart892.xml"/><Relationship Id="rId29" Type="http://schemas.openxmlformats.org/officeDocument/2006/relationships/chart" Target="../charts/chart901.xml"/><Relationship Id="rId1" Type="http://schemas.openxmlformats.org/officeDocument/2006/relationships/chart" Target="../charts/chart873.xml"/><Relationship Id="rId6" Type="http://schemas.openxmlformats.org/officeDocument/2006/relationships/chart" Target="../charts/chart878.xml"/><Relationship Id="rId11" Type="http://schemas.openxmlformats.org/officeDocument/2006/relationships/chart" Target="../charts/chart883.xml"/><Relationship Id="rId24" Type="http://schemas.openxmlformats.org/officeDocument/2006/relationships/chart" Target="../charts/chart896.xml"/><Relationship Id="rId5" Type="http://schemas.openxmlformats.org/officeDocument/2006/relationships/chart" Target="../charts/chart877.xml"/><Relationship Id="rId15" Type="http://schemas.openxmlformats.org/officeDocument/2006/relationships/chart" Target="../charts/chart887.xml"/><Relationship Id="rId23" Type="http://schemas.openxmlformats.org/officeDocument/2006/relationships/chart" Target="../charts/chart895.xml"/><Relationship Id="rId28" Type="http://schemas.openxmlformats.org/officeDocument/2006/relationships/chart" Target="../charts/chart900.xml"/><Relationship Id="rId10" Type="http://schemas.openxmlformats.org/officeDocument/2006/relationships/chart" Target="../charts/chart882.xml"/><Relationship Id="rId19" Type="http://schemas.openxmlformats.org/officeDocument/2006/relationships/chart" Target="../charts/chart891.xml"/><Relationship Id="rId31" Type="http://schemas.openxmlformats.org/officeDocument/2006/relationships/chart" Target="../charts/chart903.xml"/><Relationship Id="rId4" Type="http://schemas.openxmlformats.org/officeDocument/2006/relationships/chart" Target="../charts/chart876.xml"/><Relationship Id="rId9" Type="http://schemas.openxmlformats.org/officeDocument/2006/relationships/chart" Target="../charts/chart881.xml"/><Relationship Id="rId14" Type="http://schemas.openxmlformats.org/officeDocument/2006/relationships/chart" Target="../charts/chart886.xml"/><Relationship Id="rId22" Type="http://schemas.openxmlformats.org/officeDocument/2006/relationships/chart" Target="../charts/chart894.xml"/><Relationship Id="rId27" Type="http://schemas.openxmlformats.org/officeDocument/2006/relationships/chart" Target="../charts/chart899.xml"/><Relationship Id="rId30" Type="http://schemas.openxmlformats.org/officeDocument/2006/relationships/chart" Target="../charts/chart902.xml"/></Relationships>
</file>

<file path=xl/drawings/_rels/drawing2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11.xml"/><Relationship Id="rId13" Type="http://schemas.openxmlformats.org/officeDocument/2006/relationships/chart" Target="../charts/chart916.xml"/><Relationship Id="rId18" Type="http://schemas.openxmlformats.org/officeDocument/2006/relationships/chart" Target="../charts/chart921.xml"/><Relationship Id="rId26" Type="http://schemas.openxmlformats.org/officeDocument/2006/relationships/chart" Target="../charts/chart929.xml"/><Relationship Id="rId3" Type="http://schemas.openxmlformats.org/officeDocument/2006/relationships/chart" Target="../charts/chart906.xml"/><Relationship Id="rId21" Type="http://schemas.openxmlformats.org/officeDocument/2006/relationships/chart" Target="../charts/chart924.xml"/><Relationship Id="rId7" Type="http://schemas.openxmlformats.org/officeDocument/2006/relationships/chart" Target="../charts/chart910.xml"/><Relationship Id="rId12" Type="http://schemas.openxmlformats.org/officeDocument/2006/relationships/chart" Target="../charts/chart915.xml"/><Relationship Id="rId17" Type="http://schemas.openxmlformats.org/officeDocument/2006/relationships/chart" Target="../charts/chart920.xml"/><Relationship Id="rId25" Type="http://schemas.openxmlformats.org/officeDocument/2006/relationships/chart" Target="../charts/chart928.xml"/><Relationship Id="rId2" Type="http://schemas.openxmlformats.org/officeDocument/2006/relationships/chart" Target="../charts/chart905.xml"/><Relationship Id="rId16" Type="http://schemas.openxmlformats.org/officeDocument/2006/relationships/chart" Target="../charts/chart919.xml"/><Relationship Id="rId20" Type="http://schemas.openxmlformats.org/officeDocument/2006/relationships/chart" Target="../charts/chart923.xml"/><Relationship Id="rId29" Type="http://schemas.openxmlformats.org/officeDocument/2006/relationships/chart" Target="../charts/chart932.xml"/><Relationship Id="rId1" Type="http://schemas.openxmlformats.org/officeDocument/2006/relationships/chart" Target="../charts/chart904.xml"/><Relationship Id="rId6" Type="http://schemas.openxmlformats.org/officeDocument/2006/relationships/chart" Target="../charts/chart909.xml"/><Relationship Id="rId11" Type="http://schemas.openxmlformats.org/officeDocument/2006/relationships/chart" Target="../charts/chart914.xml"/><Relationship Id="rId24" Type="http://schemas.openxmlformats.org/officeDocument/2006/relationships/chart" Target="../charts/chart927.xml"/><Relationship Id="rId5" Type="http://schemas.openxmlformats.org/officeDocument/2006/relationships/chart" Target="../charts/chart908.xml"/><Relationship Id="rId15" Type="http://schemas.openxmlformats.org/officeDocument/2006/relationships/chart" Target="../charts/chart918.xml"/><Relationship Id="rId23" Type="http://schemas.openxmlformats.org/officeDocument/2006/relationships/chart" Target="../charts/chart926.xml"/><Relationship Id="rId28" Type="http://schemas.openxmlformats.org/officeDocument/2006/relationships/chart" Target="../charts/chart931.xml"/><Relationship Id="rId10" Type="http://schemas.openxmlformats.org/officeDocument/2006/relationships/chart" Target="../charts/chart913.xml"/><Relationship Id="rId19" Type="http://schemas.openxmlformats.org/officeDocument/2006/relationships/chart" Target="../charts/chart922.xml"/><Relationship Id="rId31" Type="http://schemas.openxmlformats.org/officeDocument/2006/relationships/chart" Target="../charts/chart934.xml"/><Relationship Id="rId4" Type="http://schemas.openxmlformats.org/officeDocument/2006/relationships/chart" Target="../charts/chart907.xml"/><Relationship Id="rId9" Type="http://schemas.openxmlformats.org/officeDocument/2006/relationships/chart" Target="../charts/chart912.xml"/><Relationship Id="rId14" Type="http://schemas.openxmlformats.org/officeDocument/2006/relationships/chart" Target="../charts/chart917.xml"/><Relationship Id="rId22" Type="http://schemas.openxmlformats.org/officeDocument/2006/relationships/chart" Target="../charts/chart925.xml"/><Relationship Id="rId27" Type="http://schemas.openxmlformats.org/officeDocument/2006/relationships/chart" Target="../charts/chart930.xml"/><Relationship Id="rId30" Type="http://schemas.openxmlformats.org/officeDocument/2006/relationships/chart" Target="../charts/chart933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13" Type="http://schemas.openxmlformats.org/officeDocument/2006/relationships/chart" Target="../charts/chart120.xml"/><Relationship Id="rId18" Type="http://schemas.openxmlformats.org/officeDocument/2006/relationships/chart" Target="../charts/chart125.xml"/><Relationship Id="rId26" Type="http://schemas.openxmlformats.org/officeDocument/2006/relationships/chart" Target="../charts/chart133.xml"/><Relationship Id="rId3" Type="http://schemas.openxmlformats.org/officeDocument/2006/relationships/chart" Target="../charts/chart110.xml"/><Relationship Id="rId21" Type="http://schemas.openxmlformats.org/officeDocument/2006/relationships/chart" Target="../charts/chart128.xml"/><Relationship Id="rId7" Type="http://schemas.openxmlformats.org/officeDocument/2006/relationships/chart" Target="../charts/chart114.xml"/><Relationship Id="rId12" Type="http://schemas.openxmlformats.org/officeDocument/2006/relationships/chart" Target="../charts/chart119.xml"/><Relationship Id="rId17" Type="http://schemas.openxmlformats.org/officeDocument/2006/relationships/chart" Target="../charts/chart124.xml"/><Relationship Id="rId25" Type="http://schemas.openxmlformats.org/officeDocument/2006/relationships/chart" Target="../charts/chart132.xml"/><Relationship Id="rId2" Type="http://schemas.openxmlformats.org/officeDocument/2006/relationships/chart" Target="../charts/chart109.xml"/><Relationship Id="rId16" Type="http://schemas.openxmlformats.org/officeDocument/2006/relationships/chart" Target="../charts/chart123.xml"/><Relationship Id="rId20" Type="http://schemas.openxmlformats.org/officeDocument/2006/relationships/chart" Target="../charts/chart127.xml"/><Relationship Id="rId29" Type="http://schemas.openxmlformats.org/officeDocument/2006/relationships/chart" Target="../charts/chart136.xml"/><Relationship Id="rId1" Type="http://schemas.openxmlformats.org/officeDocument/2006/relationships/chart" Target="../charts/chart108.xml"/><Relationship Id="rId6" Type="http://schemas.openxmlformats.org/officeDocument/2006/relationships/chart" Target="../charts/chart113.xml"/><Relationship Id="rId11" Type="http://schemas.openxmlformats.org/officeDocument/2006/relationships/chart" Target="../charts/chart118.xml"/><Relationship Id="rId24" Type="http://schemas.openxmlformats.org/officeDocument/2006/relationships/chart" Target="../charts/chart131.xml"/><Relationship Id="rId5" Type="http://schemas.openxmlformats.org/officeDocument/2006/relationships/chart" Target="../charts/chart112.xml"/><Relationship Id="rId15" Type="http://schemas.openxmlformats.org/officeDocument/2006/relationships/chart" Target="../charts/chart122.xml"/><Relationship Id="rId23" Type="http://schemas.openxmlformats.org/officeDocument/2006/relationships/chart" Target="../charts/chart130.xml"/><Relationship Id="rId28" Type="http://schemas.openxmlformats.org/officeDocument/2006/relationships/chart" Target="../charts/chart135.xml"/><Relationship Id="rId10" Type="http://schemas.openxmlformats.org/officeDocument/2006/relationships/chart" Target="../charts/chart117.xml"/><Relationship Id="rId19" Type="http://schemas.openxmlformats.org/officeDocument/2006/relationships/chart" Target="../charts/chart126.xml"/><Relationship Id="rId31" Type="http://schemas.openxmlformats.org/officeDocument/2006/relationships/chart" Target="../charts/chart138.xml"/><Relationship Id="rId4" Type="http://schemas.openxmlformats.org/officeDocument/2006/relationships/chart" Target="../charts/chart111.xml"/><Relationship Id="rId9" Type="http://schemas.openxmlformats.org/officeDocument/2006/relationships/chart" Target="../charts/chart116.xml"/><Relationship Id="rId14" Type="http://schemas.openxmlformats.org/officeDocument/2006/relationships/chart" Target="../charts/chart121.xml"/><Relationship Id="rId22" Type="http://schemas.openxmlformats.org/officeDocument/2006/relationships/chart" Target="../charts/chart129.xml"/><Relationship Id="rId27" Type="http://schemas.openxmlformats.org/officeDocument/2006/relationships/chart" Target="../charts/chart134.xml"/><Relationship Id="rId30" Type="http://schemas.openxmlformats.org/officeDocument/2006/relationships/chart" Target="../charts/chart137.xml"/></Relationships>
</file>

<file path=xl/drawings/_rels/drawing2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2.xml"/><Relationship Id="rId13" Type="http://schemas.openxmlformats.org/officeDocument/2006/relationships/chart" Target="../charts/chart947.xml"/><Relationship Id="rId18" Type="http://schemas.openxmlformats.org/officeDocument/2006/relationships/chart" Target="../charts/chart952.xml"/><Relationship Id="rId26" Type="http://schemas.openxmlformats.org/officeDocument/2006/relationships/chart" Target="../charts/chart960.xml"/><Relationship Id="rId3" Type="http://schemas.openxmlformats.org/officeDocument/2006/relationships/chart" Target="../charts/chart937.xml"/><Relationship Id="rId21" Type="http://schemas.openxmlformats.org/officeDocument/2006/relationships/chart" Target="../charts/chart955.xml"/><Relationship Id="rId7" Type="http://schemas.openxmlformats.org/officeDocument/2006/relationships/chart" Target="../charts/chart941.xml"/><Relationship Id="rId12" Type="http://schemas.openxmlformats.org/officeDocument/2006/relationships/chart" Target="../charts/chart946.xml"/><Relationship Id="rId17" Type="http://schemas.openxmlformats.org/officeDocument/2006/relationships/chart" Target="../charts/chart951.xml"/><Relationship Id="rId25" Type="http://schemas.openxmlformats.org/officeDocument/2006/relationships/chart" Target="../charts/chart959.xml"/><Relationship Id="rId2" Type="http://schemas.openxmlformats.org/officeDocument/2006/relationships/chart" Target="../charts/chart936.xml"/><Relationship Id="rId16" Type="http://schemas.openxmlformats.org/officeDocument/2006/relationships/chart" Target="../charts/chart950.xml"/><Relationship Id="rId20" Type="http://schemas.openxmlformats.org/officeDocument/2006/relationships/chart" Target="../charts/chart954.xml"/><Relationship Id="rId29" Type="http://schemas.openxmlformats.org/officeDocument/2006/relationships/chart" Target="../charts/chart963.xml"/><Relationship Id="rId1" Type="http://schemas.openxmlformats.org/officeDocument/2006/relationships/chart" Target="../charts/chart935.xml"/><Relationship Id="rId6" Type="http://schemas.openxmlformats.org/officeDocument/2006/relationships/chart" Target="../charts/chart940.xml"/><Relationship Id="rId11" Type="http://schemas.openxmlformats.org/officeDocument/2006/relationships/chart" Target="../charts/chart945.xml"/><Relationship Id="rId24" Type="http://schemas.openxmlformats.org/officeDocument/2006/relationships/chart" Target="../charts/chart958.xml"/><Relationship Id="rId5" Type="http://schemas.openxmlformats.org/officeDocument/2006/relationships/chart" Target="../charts/chart939.xml"/><Relationship Id="rId15" Type="http://schemas.openxmlformats.org/officeDocument/2006/relationships/chart" Target="../charts/chart949.xml"/><Relationship Id="rId23" Type="http://schemas.openxmlformats.org/officeDocument/2006/relationships/chart" Target="../charts/chart957.xml"/><Relationship Id="rId28" Type="http://schemas.openxmlformats.org/officeDocument/2006/relationships/chart" Target="../charts/chart962.xml"/><Relationship Id="rId10" Type="http://schemas.openxmlformats.org/officeDocument/2006/relationships/chart" Target="../charts/chart944.xml"/><Relationship Id="rId19" Type="http://schemas.openxmlformats.org/officeDocument/2006/relationships/chart" Target="../charts/chart953.xml"/><Relationship Id="rId31" Type="http://schemas.openxmlformats.org/officeDocument/2006/relationships/chart" Target="../charts/chart965.xml"/><Relationship Id="rId4" Type="http://schemas.openxmlformats.org/officeDocument/2006/relationships/chart" Target="../charts/chart938.xml"/><Relationship Id="rId9" Type="http://schemas.openxmlformats.org/officeDocument/2006/relationships/chart" Target="../charts/chart943.xml"/><Relationship Id="rId14" Type="http://schemas.openxmlformats.org/officeDocument/2006/relationships/chart" Target="../charts/chart948.xml"/><Relationship Id="rId22" Type="http://schemas.openxmlformats.org/officeDocument/2006/relationships/chart" Target="../charts/chart956.xml"/><Relationship Id="rId27" Type="http://schemas.openxmlformats.org/officeDocument/2006/relationships/chart" Target="../charts/chart961.xml"/><Relationship Id="rId30" Type="http://schemas.openxmlformats.org/officeDocument/2006/relationships/chart" Target="../charts/chart964.xml"/></Relationships>
</file>

<file path=xl/drawings/_rels/drawing23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78.xml"/><Relationship Id="rId18" Type="http://schemas.openxmlformats.org/officeDocument/2006/relationships/chart" Target="../charts/chart983.xml"/><Relationship Id="rId26" Type="http://schemas.openxmlformats.org/officeDocument/2006/relationships/chart" Target="../charts/chart991.xml"/><Relationship Id="rId39" Type="http://schemas.openxmlformats.org/officeDocument/2006/relationships/chart" Target="../charts/chart1004.xml"/><Relationship Id="rId21" Type="http://schemas.openxmlformats.org/officeDocument/2006/relationships/chart" Target="../charts/chart986.xml"/><Relationship Id="rId34" Type="http://schemas.openxmlformats.org/officeDocument/2006/relationships/chart" Target="../charts/chart999.xml"/><Relationship Id="rId42" Type="http://schemas.openxmlformats.org/officeDocument/2006/relationships/chart" Target="../charts/chart1007.xml"/><Relationship Id="rId47" Type="http://schemas.openxmlformats.org/officeDocument/2006/relationships/chart" Target="../charts/chart1012.xml"/><Relationship Id="rId50" Type="http://schemas.openxmlformats.org/officeDocument/2006/relationships/chart" Target="../charts/chart1015.xml"/><Relationship Id="rId55" Type="http://schemas.openxmlformats.org/officeDocument/2006/relationships/chart" Target="../charts/chart1020.xml"/><Relationship Id="rId7" Type="http://schemas.openxmlformats.org/officeDocument/2006/relationships/chart" Target="../charts/chart972.xml"/><Relationship Id="rId12" Type="http://schemas.openxmlformats.org/officeDocument/2006/relationships/chart" Target="../charts/chart977.xml"/><Relationship Id="rId17" Type="http://schemas.openxmlformats.org/officeDocument/2006/relationships/chart" Target="../charts/chart982.xml"/><Relationship Id="rId25" Type="http://schemas.openxmlformats.org/officeDocument/2006/relationships/chart" Target="../charts/chart990.xml"/><Relationship Id="rId33" Type="http://schemas.openxmlformats.org/officeDocument/2006/relationships/chart" Target="../charts/chart998.xml"/><Relationship Id="rId38" Type="http://schemas.openxmlformats.org/officeDocument/2006/relationships/chart" Target="../charts/chart1003.xml"/><Relationship Id="rId46" Type="http://schemas.openxmlformats.org/officeDocument/2006/relationships/chart" Target="../charts/chart1011.xml"/><Relationship Id="rId2" Type="http://schemas.openxmlformats.org/officeDocument/2006/relationships/chart" Target="../charts/chart967.xml"/><Relationship Id="rId16" Type="http://schemas.openxmlformats.org/officeDocument/2006/relationships/chart" Target="../charts/chart981.xml"/><Relationship Id="rId20" Type="http://schemas.openxmlformats.org/officeDocument/2006/relationships/chart" Target="../charts/chart985.xml"/><Relationship Id="rId29" Type="http://schemas.openxmlformats.org/officeDocument/2006/relationships/chart" Target="../charts/chart994.xml"/><Relationship Id="rId41" Type="http://schemas.openxmlformats.org/officeDocument/2006/relationships/chart" Target="../charts/chart1006.xml"/><Relationship Id="rId54" Type="http://schemas.openxmlformats.org/officeDocument/2006/relationships/chart" Target="../charts/chart1019.xml"/><Relationship Id="rId1" Type="http://schemas.openxmlformats.org/officeDocument/2006/relationships/chart" Target="../charts/chart966.xml"/><Relationship Id="rId6" Type="http://schemas.openxmlformats.org/officeDocument/2006/relationships/chart" Target="../charts/chart971.xml"/><Relationship Id="rId11" Type="http://schemas.openxmlformats.org/officeDocument/2006/relationships/chart" Target="../charts/chart976.xml"/><Relationship Id="rId24" Type="http://schemas.openxmlformats.org/officeDocument/2006/relationships/chart" Target="../charts/chart989.xml"/><Relationship Id="rId32" Type="http://schemas.openxmlformats.org/officeDocument/2006/relationships/chart" Target="../charts/chart997.xml"/><Relationship Id="rId37" Type="http://schemas.openxmlformats.org/officeDocument/2006/relationships/chart" Target="../charts/chart1002.xml"/><Relationship Id="rId40" Type="http://schemas.openxmlformats.org/officeDocument/2006/relationships/chart" Target="../charts/chart1005.xml"/><Relationship Id="rId45" Type="http://schemas.openxmlformats.org/officeDocument/2006/relationships/chart" Target="../charts/chart1010.xml"/><Relationship Id="rId53" Type="http://schemas.openxmlformats.org/officeDocument/2006/relationships/chart" Target="../charts/chart1018.xml"/><Relationship Id="rId5" Type="http://schemas.openxmlformats.org/officeDocument/2006/relationships/chart" Target="../charts/chart970.xml"/><Relationship Id="rId15" Type="http://schemas.openxmlformats.org/officeDocument/2006/relationships/chart" Target="../charts/chart980.xml"/><Relationship Id="rId23" Type="http://schemas.openxmlformats.org/officeDocument/2006/relationships/chart" Target="../charts/chart988.xml"/><Relationship Id="rId28" Type="http://schemas.openxmlformats.org/officeDocument/2006/relationships/chart" Target="../charts/chart993.xml"/><Relationship Id="rId36" Type="http://schemas.openxmlformats.org/officeDocument/2006/relationships/chart" Target="../charts/chart1001.xml"/><Relationship Id="rId49" Type="http://schemas.openxmlformats.org/officeDocument/2006/relationships/chart" Target="../charts/chart1014.xml"/><Relationship Id="rId10" Type="http://schemas.openxmlformats.org/officeDocument/2006/relationships/chart" Target="../charts/chart975.xml"/><Relationship Id="rId19" Type="http://schemas.openxmlformats.org/officeDocument/2006/relationships/chart" Target="../charts/chart984.xml"/><Relationship Id="rId31" Type="http://schemas.openxmlformats.org/officeDocument/2006/relationships/chart" Target="../charts/chart996.xml"/><Relationship Id="rId44" Type="http://schemas.openxmlformats.org/officeDocument/2006/relationships/chart" Target="../charts/chart1009.xml"/><Relationship Id="rId52" Type="http://schemas.openxmlformats.org/officeDocument/2006/relationships/chart" Target="../charts/chart1017.xml"/><Relationship Id="rId4" Type="http://schemas.openxmlformats.org/officeDocument/2006/relationships/chart" Target="../charts/chart969.xml"/><Relationship Id="rId9" Type="http://schemas.openxmlformats.org/officeDocument/2006/relationships/chart" Target="../charts/chart974.xml"/><Relationship Id="rId14" Type="http://schemas.openxmlformats.org/officeDocument/2006/relationships/chart" Target="../charts/chart979.xml"/><Relationship Id="rId22" Type="http://schemas.openxmlformats.org/officeDocument/2006/relationships/chart" Target="../charts/chart987.xml"/><Relationship Id="rId27" Type="http://schemas.openxmlformats.org/officeDocument/2006/relationships/chart" Target="../charts/chart992.xml"/><Relationship Id="rId30" Type="http://schemas.openxmlformats.org/officeDocument/2006/relationships/chart" Target="../charts/chart995.xml"/><Relationship Id="rId35" Type="http://schemas.openxmlformats.org/officeDocument/2006/relationships/chart" Target="../charts/chart1000.xml"/><Relationship Id="rId43" Type="http://schemas.openxmlformats.org/officeDocument/2006/relationships/chart" Target="../charts/chart1008.xml"/><Relationship Id="rId48" Type="http://schemas.openxmlformats.org/officeDocument/2006/relationships/chart" Target="../charts/chart1013.xml"/><Relationship Id="rId56" Type="http://schemas.openxmlformats.org/officeDocument/2006/relationships/chart" Target="../charts/chart1021.xml"/><Relationship Id="rId8" Type="http://schemas.openxmlformats.org/officeDocument/2006/relationships/chart" Target="../charts/chart973.xml"/><Relationship Id="rId51" Type="http://schemas.openxmlformats.org/officeDocument/2006/relationships/chart" Target="../charts/chart1016.xml"/><Relationship Id="rId3" Type="http://schemas.openxmlformats.org/officeDocument/2006/relationships/chart" Target="../charts/chart968.xml"/></Relationships>
</file>

<file path=xl/drawings/_rels/drawing2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3.xml"/><Relationship Id="rId1" Type="http://schemas.openxmlformats.org/officeDocument/2006/relationships/chart" Target="../charts/chart102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18" Type="http://schemas.openxmlformats.org/officeDocument/2006/relationships/chart" Target="../charts/chart52.xml"/><Relationship Id="rId26" Type="http://schemas.openxmlformats.org/officeDocument/2006/relationships/chart" Target="../charts/chart60.xml"/><Relationship Id="rId3" Type="http://schemas.openxmlformats.org/officeDocument/2006/relationships/chart" Target="../charts/chart37.xml"/><Relationship Id="rId21" Type="http://schemas.openxmlformats.org/officeDocument/2006/relationships/chart" Target="../charts/chart55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17" Type="http://schemas.openxmlformats.org/officeDocument/2006/relationships/chart" Target="../charts/chart51.xml"/><Relationship Id="rId25" Type="http://schemas.openxmlformats.org/officeDocument/2006/relationships/chart" Target="../charts/chart59.xml"/><Relationship Id="rId2" Type="http://schemas.openxmlformats.org/officeDocument/2006/relationships/chart" Target="../charts/chart36.xml"/><Relationship Id="rId16" Type="http://schemas.openxmlformats.org/officeDocument/2006/relationships/chart" Target="../charts/chart50.xml"/><Relationship Id="rId20" Type="http://schemas.openxmlformats.org/officeDocument/2006/relationships/chart" Target="../charts/chart54.xml"/><Relationship Id="rId29" Type="http://schemas.openxmlformats.org/officeDocument/2006/relationships/chart" Target="../charts/chart63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24" Type="http://schemas.openxmlformats.org/officeDocument/2006/relationships/chart" Target="../charts/chart58.xml"/><Relationship Id="rId5" Type="http://schemas.openxmlformats.org/officeDocument/2006/relationships/chart" Target="../charts/chart39.xml"/><Relationship Id="rId15" Type="http://schemas.openxmlformats.org/officeDocument/2006/relationships/chart" Target="../charts/chart49.xml"/><Relationship Id="rId23" Type="http://schemas.openxmlformats.org/officeDocument/2006/relationships/chart" Target="../charts/chart57.xml"/><Relationship Id="rId28" Type="http://schemas.openxmlformats.org/officeDocument/2006/relationships/chart" Target="../charts/chart62.xml"/><Relationship Id="rId10" Type="http://schemas.openxmlformats.org/officeDocument/2006/relationships/chart" Target="../charts/chart44.xml"/><Relationship Id="rId19" Type="http://schemas.openxmlformats.org/officeDocument/2006/relationships/chart" Target="../charts/chart53.xml"/><Relationship Id="rId31" Type="http://schemas.openxmlformats.org/officeDocument/2006/relationships/chart" Target="../charts/chart65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chart" Target="../charts/chart48.xml"/><Relationship Id="rId22" Type="http://schemas.openxmlformats.org/officeDocument/2006/relationships/chart" Target="../charts/chart56.xml"/><Relationship Id="rId27" Type="http://schemas.openxmlformats.org/officeDocument/2006/relationships/chart" Target="../charts/chart61.xml"/><Relationship Id="rId30" Type="http://schemas.openxmlformats.org/officeDocument/2006/relationships/chart" Target="../charts/chart64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6.xml"/><Relationship Id="rId13" Type="http://schemas.openxmlformats.org/officeDocument/2006/relationships/chart" Target="../charts/chart151.xml"/><Relationship Id="rId18" Type="http://schemas.openxmlformats.org/officeDocument/2006/relationships/chart" Target="../charts/chart156.xml"/><Relationship Id="rId26" Type="http://schemas.openxmlformats.org/officeDocument/2006/relationships/chart" Target="../charts/chart164.xml"/><Relationship Id="rId3" Type="http://schemas.openxmlformats.org/officeDocument/2006/relationships/chart" Target="../charts/chart141.xml"/><Relationship Id="rId21" Type="http://schemas.openxmlformats.org/officeDocument/2006/relationships/chart" Target="../charts/chart159.xml"/><Relationship Id="rId7" Type="http://schemas.openxmlformats.org/officeDocument/2006/relationships/chart" Target="../charts/chart145.xml"/><Relationship Id="rId12" Type="http://schemas.openxmlformats.org/officeDocument/2006/relationships/chart" Target="../charts/chart150.xml"/><Relationship Id="rId17" Type="http://schemas.openxmlformats.org/officeDocument/2006/relationships/chart" Target="../charts/chart155.xml"/><Relationship Id="rId25" Type="http://schemas.openxmlformats.org/officeDocument/2006/relationships/chart" Target="../charts/chart163.xml"/><Relationship Id="rId2" Type="http://schemas.openxmlformats.org/officeDocument/2006/relationships/chart" Target="../charts/chart140.xml"/><Relationship Id="rId16" Type="http://schemas.openxmlformats.org/officeDocument/2006/relationships/chart" Target="../charts/chart154.xml"/><Relationship Id="rId20" Type="http://schemas.openxmlformats.org/officeDocument/2006/relationships/chart" Target="../charts/chart158.xml"/><Relationship Id="rId29" Type="http://schemas.openxmlformats.org/officeDocument/2006/relationships/chart" Target="../charts/chart167.xml"/><Relationship Id="rId1" Type="http://schemas.openxmlformats.org/officeDocument/2006/relationships/chart" Target="../charts/chart139.xml"/><Relationship Id="rId6" Type="http://schemas.openxmlformats.org/officeDocument/2006/relationships/chart" Target="../charts/chart144.xml"/><Relationship Id="rId11" Type="http://schemas.openxmlformats.org/officeDocument/2006/relationships/chart" Target="../charts/chart149.xml"/><Relationship Id="rId24" Type="http://schemas.openxmlformats.org/officeDocument/2006/relationships/chart" Target="../charts/chart162.xml"/><Relationship Id="rId5" Type="http://schemas.openxmlformats.org/officeDocument/2006/relationships/chart" Target="../charts/chart143.xml"/><Relationship Id="rId15" Type="http://schemas.openxmlformats.org/officeDocument/2006/relationships/chart" Target="../charts/chart153.xml"/><Relationship Id="rId23" Type="http://schemas.openxmlformats.org/officeDocument/2006/relationships/chart" Target="../charts/chart161.xml"/><Relationship Id="rId28" Type="http://schemas.openxmlformats.org/officeDocument/2006/relationships/chart" Target="../charts/chart166.xml"/><Relationship Id="rId10" Type="http://schemas.openxmlformats.org/officeDocument/2006/relationships/chart" Target="../charts/chart148.xml"/><Relationship Id="rId19" Type="http://schemas.openxmlformats.org/officeDocument/2006/relationships/chart" Target="../charts/chart157.xml"/><Relationship Id="rId31" Type="http://schemas.openxmlformats.org/officeDocument/2006/relationships/chart" Target="../charts/chart169.xml"/><Relationship Id="rId4" Type="http://schemas.openxmlformats.org/officeDocument/2006/relationships/chart" Target="../charts/chart142.xml"/><Relationship Id="rId9" Type="http://schemas.openxmlformats.org/officeDocument/2006/relationships/chart" Target="../charts/chart147.xml"/><Relationship Id="rId14" Type="http://schemas.openxmlformats.org/officeDocument/2006/relationships/chart" Target="../charts/chart152.xml"/><Relationship Id="rId22" Type="http://schemas.openxmlformats.org/officeDocument/2006/relationships/chart" Target="../charts/chart160.xml"/><Relationship Id="rId27" Type="http://schemas.openxmlformats.org/officeDocument/2006/relationships/chart" Target="../charts/chart165.xml"/><Relationship Id="rId30" Type="http://schemas.openxmlformats.org/officeDocument/2006/relationships/chart" Target="../charts/chart16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13" Type="http://schemas.openxmlformats.org/officeDocument/2006/relationships/chart" Target="../charts/chart182.xml"/><Relationship Id="rId18" Type="http://schemas.openxmlformats.org/officeDocument/2006/relationships/chart" Target="../charts/chart187.xml"/><Relationship Id="rId26" Type="http://schemas.openxmlformats.org/officeDocument/2006/relationships/chart" Target="../charts/chart195.xml"/><Relationship Id="rId3" Type="http://schemas.openxmlformats.org/officeDocument/2006/relationships/chart" Target="../charts/chart172.xml"/><Relationship Id="rId21" Type="http://schemas.openxmlformats.org/officeDocument/2006/relationships/chart" Target="../charts/chart190.xml"/><Relationship Id="rId7" Type="http://schemas.openxmlformats.org/officeDocument/2006/relationships/chart" Target="../charts/chart176.xml"/><Relationship Id="rId12" Type="http://schemas.openxmlformats.org/officeDocument/2006/relationships/chart" Target="../charts/chart181.xml"/><Relationship Id="rId17" Type="http://schemas.openxmlformats.org/officeDocument/2006/relationships/chart" Target="../charts/chart186.xml"/><Relationship Id="rId25" Type="http://schemas.openxmlformats.org/officeDocument/2006/relationships/chart" Target="../charts/chart194.xml"/><Relationship Id="rId2" Type="http://schemas.openxmlformats.org/officeDocument/2006/relationships/chart" Target="../charts/chart171.xml"/><Relationship Id="rId16" Type="http://schemas.openxmlformats.org/officeDocument/2006/relationships/chart" Target="../charts/chart185.xml"/><Relationship Id="rId20" Type="http://schemas.openxmlformats.org/officeDocument/2006/relationships/chart" Target="../charts/chart189.xml"/><Relationship Id="rId29" Type="http://schemas.openxmlformats.org/officeDocument/2006/relationships/chart" Target="../charts/chart198.xml"/><Relationship Id="rId1" Type="http://schemas.openxmlformats.org/officeDocument/2006/relationships/chart" Target="../charts/chart170.xml"/><Relationship Id="rId6" Type="http://schemas.openxmlformats.org/officeDocument/2006/relationships/chart" Target="../charts/chart175.xml"/><Relationship Id="rId11" Type="http://schemas.openxmlformats.org/officeDocument/2006/relationships/chart" Target="../charts/chart180.xml"/><Relationship Id="rId24" Type="http://schemas.openxmlformats.org/officeDocument/2006/relationships/chart" Target="../charts/chart193.xml"/><Relationship Id="rId5" Type="http://schemas.openxmlformats.org/officeDocument/2006/relationships/chart" Target="../charts/chart174.xml"/><Relationship Id="rId15" Type="http://schemas.openxmlformats.org/officeDocument/2006/relationships/chart" Target="../charts/chart184.xml"/><Relationship Id="rId23" Type="http://schemas.openxmlformats.org/officeDocument/2006/relationships/chart" Target="../charts/chart192.xml"/><Relationship Id="rId28" Type="http://schemas.openxmlformats.org/officeDocument/2006/relationships/chart" Target="../charts/chart197.xml"/><Relationship Id="rId10" Type="http://schemas.openxmlformats.org/officeDocument/2006/relationships/chart" Target="../charts/chart179.xml"/><Relationship Id="rId19" Type="http://schemas.openxmlformats.org/officeDocument/2006/relationships/chart" Target="../charts/chart188.xml"/><Relationship Id="rId31" Type="http://schemas.openxmlformats.org/officeDocument/2006/relationships/chart" Target="../charts/chart200.xml"/><Relationship Id="rId4" Type="http://schemas.openxmlformats.org/officeDocument/2006/relationships/chart" Target="../charts/chart173.xml"/><Relationship Id="rId9" Type="http://schemas.openxmlformats.org/officeDocument/2006/relationships/chart" Target="../charts/chart178.xml"/><Relationship Id="rId14" Type="http://schemas.openxmlformats.org/officeDocument/2006/relationships/chart" Target="../charts/chart183.xml"/><Relationship Id="rId22" Type="http://schemas.openxmlformats.org/officeDocument/2006/relationships/chart" Target="../charts/chart191.xml"/><Relationship Id="rId27" Type="http://schemas.openxmlformats.org/officeDocument/2006/relationships/chart" Target="../charts/chart196.xml"/><Relationship Id="rId30" Type="http://schemas.openxmlformats.org/officeDocument/2006/relationships/chart" Target="../charts/chart199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8.xml"/><Relationship Id="rId13" Type="http://schemas.openxmlformats.org/officeDocument/2006/relationships/chart" Target="../charts/chart213.xml"/><Relationship Id="rId18" Type="http://schemas.openxmlformats.org/officeDocument/2006/relationships/chart" Target="../charts/chart218.xml"/><Relationship Id="rId26" Type="http://schemas.openxmlformats.org/officeDocument/2006/relationships/chart" Target="../charts/chart226.xml"/><Relationship Id="rId3" Type="http://schemas.openxmlformats.org/officeDocument/2006/relationships/chart" Target="../charts/chart203.xml"/><Relationship Id="rId21" Type="http://schemas.openxmlformats.org/officeDocument/2006/relationships/chart" Target="../charts/chart221.xml"/><Relationship Id="rId7" Type="http://schemas.openxmlformats.org/officeDocument/2006/relationships/chart" Target="../charts/chart207.xml"/><Relationship Id="rId12" Type="http://schemas.openxmlformats.org/officeDocument/2006/relationships/chart" Target="../charts/chart212.xml"/><Relationship Id="rId17" Type="http://schemas.openxmlformats.org/officeDocument/2006/relationships/chart" Target="../charts/chart217.xml"/><Relationship Id="rId25" Type="http://schemas.openxmlformats.org/officeDocument/2006/relationships/chart" Target="../charts/chart225.xml"/><Relationship Id="rId2" Type="http://schemas.openxmlformats.org/officeDocument/2006/relationships/chart" Target="../charts/chart202.xml"/><Relationship Id="rId16" Type="http://schemas.openxmlformats.org/officeDocument/2006/relationships/chart" Target="../charts/chart216.xml"/><Relationship Id="rId20" Type="http://schemas.openxmlformats.org/officeDocument/2006/relationships/chart" Target="../charts/chart220.xml"/><Relationship Id="rId29" Type="http://schemas.openxmlformats.org/officeDocument/2006/relationships/chart" Target="../charts/chart229.xml"/><Relationship Id="rId1" Type="http://schemas.openxmlformats.org/officeDocument/2006/relationships/chart" Target="../charts/chart201.xml"/><Relationship Id="rId6" Type="http://schemas.openxmlformats.org/officeDocument/2006/relationships/chart" Target="../charts/chart206.xml"/><Relationship Id="rId11" Type="http://schemas.openxmlformats.org/officeDocument/2006/relationships/chart" Target="../charts/chart211.xml"/><Relationship Id="rId24" Type="http://schemas.openxmlformats.org/officeDocument/2006/relationships/chart" Target="../charts/chart224.xml"/><Relationship Id="rId5" Type="http://schemas.openxmlformats.org/officeDocument/2006/relationships/chart" Target="../charts/chart205.xml"/><Relationship Id="rId15" Type="http://schemas.openxmlformats.org/officeDocument/2006/relationships/chart" Target="../charts/chart215.xml"/><Relationship Id="rId23" Type="http://schemas.openxmlformats.org/officeDocument/2006/relationships/chart" Target="../charts/chart223.xml"/><Relationship Id="rId28" Type="http://schemas.openxmlformats.org/officeDocument/2006/relationships/chart" Target="../charts/chart228.xml"/><Relationship Id="rId10" Type="http://schemas.openxmlformats.org/officeDocument/2006/relationships/chart" Target="../charts/chart210.xml"/><Relationship Id="rId19" Type="http://schemas.openxmlformats.org/officeDocument/2006/relationships/chart" Target="../charts/chart219.xml"/><Relationship Id="rId4" Type="http://schemas.openxmlformats.org/officeDocument/2006/relationships/chart" Target="../charts/chart204.xml"/><Relationship Id="rId9" Type="http://schemas.openxmlformats.org/officeDocument/2006/relationships/chart" Target="../charts/chart209.xml"/><Relationship Id="rId14" Type="http://schemas.openxmlformats.org/officeDocument/2006/relationships/chart" Target="../charts/chart214.xml"/><Relationship Id="rId22" Type="http://schemas.openxmlformats.org/officeDocument/2006/relationships/chart" Target="../charts/chart222.xml"/><Relationship Id="rId27" Type="http://schemas.openxmlformats.org/officeDocument/2006/relationships/chart" Target="../charts/chart227.xml"/><Relationship Id="rId30" Type="http://schemas.openxmlformats.org/officeDocument/2006/relationships/chart" Target="../charts/chart230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8.xml"/><Relationship Id="rId13" Type="http://schemas.openxmlformats.org/officeDocument/2006/relationships/chart" Target="../charts/chart243.xml"/><Relationship Id="rId18" Type="http://schemas.openxmlformats.org/officeDocument/2006/relationships/chart" Target="../charts/chart248.xml"/><Relationship Id="rId26" Type="http://schemas.openxmlformats.org/officeDocument/2006/relationships/chart" Target="../charts/chart256.xml"/><Relationship Id="rId3" Type="http://schemas.openxmlformats.org/officeDocument/2006/relationships/chart" Target="../charts/chart233.xml"/><Relationship Id="rId21" Type="http://schemas.openxmlformats.org/officeDocument/2006/relationships/chart" Target="../charts/chart251.xml"/><Relationship Id="rId7" Type="http://schemas.openxmlformats.org/officeDocument/2006/relationships/chart" Target="../charts/chart237.xml"/><Relationship Id="rId12" Type="http://schemas.openxmlformats.org/officeDocument/2006/relationships/chart" Target="../charts/chart242.xml"/><Relationship Id="rId17" Type="http://schemas.openxmlformats.org/officeDocument/2006/relationships/chart" Target="../charts/chart247.xml"/><Relationship Id="rId25" Type="http://schemas.openxmlformats.org/officeDocument/2006/relationships/chart" Target="../charts/chart255.xml"/><Relationship Id="rId2" Type="http://schemas.openxmlformats.org/officeDocument/2006/relationships/chart" Target="../charts/chart232.xml"/><Relationship Id="rId16" Type="http://schemas.openxmlformats.org/officeDocument/2006/relationships/chart" Target="../charts/chart246.xml"/><Relationship Id="rId20" Type="http://schemas.openxmlformats.org/officeDocument/2006/relationships/chart" Target="../charts/chart250.xml"/><Relationship Id="rId29" Type="http://schemas.openxmlformats.org/officeDocument/2006/relationships/chart" Target="../charts/chart259.xml"/><Relationship Id="rId1" Type="http://schemas.openxmlformats.org/officeDocument/2006/relationships/chart" Target="../charts/chart231.xml"/><Relationship Id="rId6" Type="http://schemas.openxmlformats.org/officeDocument/2006/relationships/chart" Target="../charts/chart236.xml"/><Relationship Id="rId11" Type="http://schemas.openxmlformats.org/officeDocument/2006/relationships/chart" Target="../charts/chart241.xml"/><Relationship Id="rId24" Type="http://schemas.openxmlformats.org/officeDocument/2006/relationships/chart" Target="../charts/chart254.xml"/><Relationship Id="rId5" Type="http://schemas.openxmlformats.org/officeDocument/2006/relationships/chart" Target="../charts/chart235.xml"/><Relationship Id="rId15" Type="http://schemas.openxmlformats.org/officeDocument/2006/relationships/chart" Target="../charts/chart245.xml"/><Relationship Id="rId23" Type="http://schemas.openxmlformats.org/officeDocument/2006/relationships/chart" Target="../charts/chart253.xml"/><Relationship Id="rId28" Type="http://schemas.openxmlformats.org/officeDocument/2006/relationships/chart" Target="../charts/chart258.xml"/><Relationship Id="rId10" Type="http://schemas.openxmlformats.org/officeDocument/2006/relationships/chart" Target="../charts/chart240.xml"/><Relationship Id="rId19" Type="http://schemas.openxmlformats.org/officeDocument/2006/relationships/chart" Target="../charts/chart249.xml"/><Relationship Id="rId31" Type="http://schemas.openxmlformats.org/officeDocument/2006/relationships/chart" Target="../charts/chart261.xml"/><Relationship Id="rId4" Type="http://schemas.openxmlformats.org/officeDocument/2006/relationships/chart" Target="../charts/chart234.xml"/><Relationship Id="rId9" Type="http://schemas.openxmlformats.org/officeDocument/2006/relationships/chart" Target="../charts/chart239.xml"/><Relationship Id="rId14" Type="http://schemas.openxmlformats.org/officeDocument/2006/relationships/chart" Target="../charts/chart244.xml"/><Relationship Id="rId22" Type="http://schemas.openxmlformats.org/officeDocument/2006/relationships/chart" Target="../charts/chart252.xml"/><Relationship Id="rId27" Type="http://schemas.openxmlformats.org/officeDocument/2006/relationships/chart" Target="../charts/chart257.xml"/><Relationship Id="rId30" Type="http://schemas.openxmlformats.org/officeDocument/2006/relationships/chart" Target="../charts/chart260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9.xml"/><Relationship Id="rId13" Type="http://schemas.openxmlformats.org/officeDocument/2006/relationships/chart" Target="../charts/chart274.xml"/><Relationship Id="rId18" Type="http://schemas.openxmlformats.org/officeDocument/2006/relationships/chart" Target="../charts/chart279.xml"/><Relationship Id="rId26" Type="http://schemas.openxmlformats.org/officeDocument/2006/relationships/chart" Target="../charts/chart287.xml"/><Relationship Id="rId3" Type="http://schemas.openxmlformats.org/officeDocument/2006/relationships/chart" Target="../charts/chart264.xml"/><Relationship Id="rId21" Type="http://schemas.openxmlformats.org/officeDocument/2006/relationships/chart" Target="../charts/chart282.xml"/><Relationship Id="rId7" Type="http://schemas.openxmlformats.org/officeDocument/2006/relationships/chart" Target="../charts/chart268.xml"/><Relationship Id="rId12" Type="http://schemas.openxmlformats.org/officeDocument/2006/relationships/chart" Target="../charts/chart273.xml"/><Relationship Id="rId17" Type="http://schemas.openxmlformats.org/officeDocument/2006/relationships/chart" Target="../charts/chart278.xml"/><Relationship Id="rId25" Type="http://schemas.openxmlformats.org/officeDocument/2006/relationships/chart" Target="../charts/chart286.xml"/><Relationship Id="rId2" Type="http://schemas.openxmlformats.org/officeDocument/2006/relationships/chart" Target="../charts/chart263.xml"/><Relationship Id="rId16" Type="http://schemas.openxmlformats.org/officeDocument/2006/relationships/chart" Target="../charts/chart277.xml"/><Relationship Id="rId20" Type="http://schemas.openxmlformats.org/officeDocument/2006/relationships/chart" Target="../charts/chart281.xml"/><Relationship Id="rId29" Type="http://schemas.openxmlformats.org/officeDocument/2006/relationships/chart" Target="../charts/chart290.xml"/><Relationship Id="rId1" Type="http://schemas.openxmlformats.org/officeDocument/2006/relationships/chart" Target="../charts/chart262.xml"/><Relationship Id="rId6" Type="http://schemas.openxmlformats.org/officeDocument/2006/relationships/chart" Target="../charts/chart267.xml"/><Relationship Id="rId11" Type="http://schemas.openxmlformats.org/officeDocument/2006/relationships/chart" Target="../charts/chart272.xml"/><Relationship Id="rId24" Type="http://schemas.openxmlformats.org/officeDocument/2006/relationships/chart" Target="../charts/chart285.xml"/><Relationship Id="rId5" Type="http://schemas.openxmlformats.org/officeDocument/2006/relationships/chart" Target="../charts/chart266.xml"/><Relationship Id="rId15" Type="http://schemas.openxmlformats.org/officeDocument/2006/relationships/chart" Target="../charts/chart276.xml"/><Relationship Id="rId23" Type="http://schemas.openxmlformats.org/officeDocument/2006/relationships/chart" Target="../charts/chart284.xml"/><Relationship Id="rId28" Type="http://schemas.openxmlformats.org/officeDocument/2006/relationships/chart" Target="../charts/chart289.xml"/><Relationship Id="rId10" Type="http://schemas.openxmlformats.org/officeDocument/2006/relationships/chart" Target="../charts/chart271.xml"/><Relationship Id="rId19" Type="http://schemas.openxmlformats.org/officeDocument/2006/relationships/chart" Target="../charts/chart280.xml"/><Relationship Id="rId31" Type="http://schemas.openxmlformats.org/officeDocument/2006/relationships/chart" Target="../charts/chart292.xml"/><Relationship Id="rId4" Type="http://schemas.openxmlformats.org/officeDocument/2006/relationships/chart" Target="../charts/chart265.xml"/><Relationship Id="rId9" Type="http://schemas.openxmlformats.org/officeDocument/2006/relationships/chart" Target="../charts/chart270.xml"/><Relationship Id="rId14" Type="http://schemas.openxmlformats.org/officeDocument/2006/relationships/chart" Target="../charts/chart275.xml"/><Relationship Id="rId22" Type="http://schemas.openxmlformats.org/officeDocument/2006/relationships/chart" Target="../charts/chart283.xml"/><Relationship Id="rId27" Type="http://schemas.openxmlformats.org/officeDocument/2006/relationships/chart" Target="../charts/chart288.xml"/><Relationship Id="rId30" Type="http://schemas.openxmlformats.org/officeDocument/2006/relationships/chart" Target="../charts/chart291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0.xml"/><Relationship Id="rId13" Type="http://schemas.openxmlformats.org/officeDocument/2006/relationships/chart" Target="../charts/chart305.xml"/><Relationship Id="rId18" Type="http://schemas.openxmlformats.org/officeDocument/2006/relationships/chart" Target="../charts/chart310.xml"/><Relationship Id="rId26" Type="http://schemas.openxmlformats.org/officeDocument/2006/relationships/chart" Target="../charts/chart318.xml"/><Relationship Id="rId3" Type="http://schemas.openxmlformats.org/officeDocument/2006/relationships/chart" Target="../charts/chart295.xml"/><Relationship Id="rId21" Type="http://schemas.openxmlformats.org/officeDocument/2006/relationships/chart" Target="../charts/chart313.xml"/><Relationship Id="rId7" Type="http://schemas.openxmlformats.org/officeDocument/2006/relationships/chart" Target="../charts/chart299.xml"/><Relationship Id="rId12" Type="http://schemas.openxmlformats.org/officeDocument/2006/relationships/chart" Target="../charts/chart304.xml"/><Relationship Id="rId17" Type="http://schemas.openxmlformats.org/officeDocument/2006/relationships/chart" Target="../charts/chart309.xml"/><Relationship Id="rId25" Type="http://schemas.openxmlformats.org/officeDocument/2006/relationships/chart" Target="../charts/chart317.xml"/><Relationship Id="rId2" Type="http://schemas.openxmlformats.org/officeDocument/2006/relationships/chart" Target="../charts/chart294.xml"/><Relationship Id="rId16" Type="http://schemas.openxmlformats.org/officeDocument/2006/relationships/chart" Target="../charts/chart308.xml"/><Relationship Id="rId20" Type="http://schemas.openxmlformats.org/officeDocument/2006/relationships/chart" Target="../charts/chart312.xml"/><Relationship Id="rId29" Type="http://schemas.openxmlformats.org/officeDocument/2006/relationships/chart" Target="../charts/chart321.xml"/><Relationship Id="rId1" Type="http://schemas.openxmlformats.org/officeDocument/2006/relationships/chart" Target="../charts/chart293.xml"/><Relationship Id="rId6" Type="http://schemas.openxmlformats.org/officeDocument/2006/relationships/chart" Target="../charts/chart298.xml"/><Relationship Id="rId11" Type="http://schemas.openxmlformats.org/officeDocument/2006/relationships/chart" Target="../charts/chart303.xml"/><Relationship Id="rId24" Type="http://schemas.openxmlformats.org/officeDocument/2006/relationships/chart" Target="../charts/chart316.xml"/><Relationship Id="rId5" Type="http://schemas.openxmlformats.org/officeDocument/2006/relationships/chart" Target="../charts/chart297.xml"/><Relationship Id="rId15" Type="http://schemas.openxmlformats.org/officeDocument/2006/relationships/chart" Target="../charts/chart307.xml"/><Relationship Id="rId23" Type="http://schemas.openxmlformats.org/officeDocument/2006/relationships/chart" Target="../charts/chart315.xml"/><Relationship Id="rId28" Type="http://schemas.openxmlformats.org/officeDocument/2006/relationships/chart" Target="../charts/chart320.xml"/><Relationship Id="rId10" Type="http://schemas.openxmlformats.org/officeDocument/2006/relationships/chart" Target="../charts/chart302.xml"/><Relationship Id="rId19" Type="http://schemas.openxmlformats.org/officeDocument/2006/relationships/chart" Target="../charts/chart311.xml"/><Relationship Id="rId31" Type="http://schemas.openxmlformats.org/officeDocument/2006/relationships/chart" Target="../charts/chart323.xml"/><Relationship Id="rId4" Type="http://schemas.openxmlformats.org/officeDocument/2006/relationships/chart" Target="../charts/chart296.xml"/><Relationship Id="rId9" Type="http://schemas.openxmlformats.org/officeDocument/2006/relationships/chart" Target="../charts/chart301.xml"/><Relationship Id="rId14" Type="http://schemas.openxmlformats.org/officeDocument/2006/relationships/chart" Target="../charts/chart306.xml"/><Relationship Id="rId22" Type="http://schemas.openxmlformats.org/officeDocument/2006/relationships/chart" Target="../charts/chart314.xml"/><Relationship Id="rId27" Type="http://schemas.openxmlformats.org/officeDocument/2006/relationships/chart" Target="../charts/chart319.xml"/><Relationship Id="rId30" Type="http://schemas.openxmlformats.org/officeDocument/2006/relationships/chart" Target="../charts/chart322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1.xml"/><Relationship Id="rId13" Type="http://schemas.openxmlformats.org/officeDocument/2006/relationships/chart" Target="../charts/chart336.xml"/><Relationship Id="rId18" Type="http://schemas.openxmlformats.org/officeDocument/2006/relationships/chart" Target="../charts/chart341.xml"/><Relationship Id="rId26" Type="http://schemas.openxmlformats.org/officeDocument/2006/relationships/chart" Target="../charts/chart349.xml"/><Relationship Id="rId3" Type="http://schemas.openxmlformats.org/officeDocument/2006/relationships/chart" Target="../charts/chart326.xml"/><Relationship Id="rId21" Type="http://schemas.openxmlformats.org/officeDocument/2006/relationships/chart" Target="../charts/chart344.xml"/><Relationship Id="rId7" Type="http://schemas.openxmlformats.org/officeDocument/2006/relationships/chart" Target="../charts/chart330.xml"/><Relationship Id="rId12" Type="http://schemas.openxmlformats.org/officeDocument/2006/relationships/chart" Target="../charts/chart335.xml"/><Relationship Id="rId17" Type="http://schemas.openxmlformats.org/officeDocument/2006/relationships/chart" Target="../charts/chart340.xml"/><Relationship Id="rId25" Type="http://schemas.openxmlformats.org/officeDocument/2006/relationships/chart" Target="../charts/chart348.xml"/><Relationship Id="rId2" Type="http://schemas.openxmlformats.org/officeDocument/2006/relationships/chart" Target="../charts/chart325.xml"/><Relationship Id="rId16" Type="http://schemas.openxmlformats.org/officeDocument/2006/relationships/chart" Target="../charts/chart339.xml"/><Relationship Id="rId20" Type="http://schemas.openxmlformats.org/officeDocument/2006/relationships/chart" Target="../charts/chart343.xml"/><Relationship Id="rId29" Type="http://schemas.openxmlformats.org/officeDocument/2006/relationships/chart" Target="../charts/chart352.xml"/><Relationship Id="rId1" Type="http://schemas.openxmlformats.org/officeDocument/2006/relationships/chart" Target="../charts/chart324.xml"/><Relationship Id="rId6" Type="http://schemas.openxmlformats.org/officeDocument/2006/relationships/chart" Target="../charts/chart329.xml"/><Relationship Id="rId11" Type="http://schemas.openxmlformats.org/officeDocument/2006/relationships/chart" Target="../charts/chart334.xml"/><Relationship Id="rId24" Type="http://schemas.openxmlformats.org/officeDocument/2006/relationships/chart" Target="../charts/chart347.xml"/><Relationship Id="rId5" Type="http://schemas.openxmlformats.org/officeDocument/2006/relationships/chart" Target="../charts/chart328.xml"/><Relationship Id="rId15" Type="http://schemas.openxmlformats.org/officeDocument/2006/relationships/chart" Target="../charts/chart338.xml"/><Relationship Id="rId23" Type="http://schemas.openxmlformats.org/officeDocument/2006/relationships/chart" Target="../charts/chart346.xml"/><Relationship Id="rId28" Type="http://schemas.openxmlformats.org/officeDocument/2006/relationships/chart" Target="../charts/chart351.xml"/><Relationship Id="rId10" Type="http://schemas.openxmlformats.org/officeDocument/2006/relationships/chart" Target="../charts/chart333.xml"/><Relationship Id="rId19" Type="http://schemas.openxmlformats.org/officeDocument/2006/relationships/chart" Target="../charts/chart342.xml"/><Relationship Id="rId31" Type="http://schemas.openxmlformats.org/officeDocument/2006/relationships/chart" Target="../charts/chart354.xml"/><Relationship Id="rId4" Type="http://schemas.openxmlformats.org/officeDocument/2006/relationships/chart" Target="../charts/chart327.xml"/><Relationship Id="rId9" Type="http://schemas.openxmlformats.org/officeDocument/2006/relationships/chart" Target="../charts/chart332.xml"/><Relationship Id="rId14" Type="http://schemas.openxmlformats.org/officeDocument/2006/relationships/chart" Target="../charts/chart337.xml"/><Relationship Id="rId22" Type="http://schemas.openxmlformats.org/officeDocument/2006/relationships/chart" Target="../charts/chart345.xml"/><Relationship Id="rId27" Type="http://schemas.openxmlformats.org/officeDocument/2006/relationships/chart" Target="../charts/chart350.xml"/><Relationship Id="rId30" Type="http://schemas.openxmlformats.org/officeDocument/2006/relationships/chart" Target="../charts/chart353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2.xml"/><Relationship Id="rId13" Type="http://schemas.openxmlformats.org/officeDocument/2006/relationships/chart" Target="../charts/chart367.xml"/><Relationship Id="rId18" Type="http://schemas.openxmlformats.org/officeDocument/2006/relationships/chart" Target="../charts/chart372.xml"/><Relationship Id="rId26" Type="http://schemas.openxmlformats.org/officeDocument/2006/relationships/chart" Target="../charts/chart380.xml"/><Relationship Id="rId3" Type="http://schemas.openxmlformats.org/officeDocument/2006/relationships/chart" Target="../charts/chart357.xml"/><Relationship Id="rId21" Type="http://schemas.openxmlformats.org/officeDocument/2006/relationships/chart" Target="../charts/chart375.xml"/><Relationship Id="rId34" Type="http://schemas.openxmlformats.org/officeDocument/2006/relationships/chart" Target="../charts/chart388.xml"/><Relationship Id="rId7" Type="http://schemas.openxmlformats.org/officeDocument/2006/relationships/chart" Target="../charts/chart361.xml"/><Relationship Id="rId12" Type="http://schemas.openxmlformats.org/officeDocument/2006/relationships/chart" Target="../charts/chart366.xml"/><Relationship Id="rId17" Type="http://schemas.openxmlformats.org/officeDocument/2006/relationships/chart" Target="../charts/chart371.xml"/><Relationship Id="rId25" Type="http://schemas.openxmlformats.org/officeDocument/2006/relationships/chart" Target="../charts/chart379.xml"/><Relationship Id="rId33" Type="http://schemas.openxmlformats.org/officeDocument/2006/relationships/chart" Target="../charts/chart387.xml"/><Relationship Id="rId2" Type="http://schemas.openxmlformats.org/officeDocument/2006/relationships/chart" Target="../charts/chart356.xml"/><Relationship Id="rId16" Type="http://schemas.openxmlformats.org/officeDocument/2006/relationships/chart" Target="../charts/chart370.xml"/><Relationship Id="rId20" Type="http://schemas.openxmlformats.org/officeDocument/2006/relationships/chart" Target="../charts/chart374.xml"/><Relationship Id="rId29" Type="http://schemas.openxmlformats.org/officeDocument/2006/relationships/chart" Target="../charts/chart383.xml"/><Relationship Id="rId1" Type="http://schemas.openxmlformats.org/officeDocument/2006/relationships/chart" Target="../charts/chart355.xml"/><Relationship Id="rId6" Type="http://schemas.openxmlformats.org/officeDocument/2006/relationships/chart" Target="../charts/chart360.xml"/><Relationship Id="rId11" Type="http://schemas.openxmlformats.org/officeDocument/2006/relationships/chart" Target="../charts/chart365.xml"/><Relationship Id="rId24" Type="http://schemas.openxmlformats.org/officeDocument/2006/relationships/chart" Target="../charts/chart378.xml"/><Relationship Id="rId32" Type="http://schemas.openxmlformats.org/officeDocument/2006/relationships/chart" Target="../charts/chart386.xml"/><Relationship Id="rId5" Type="http://schemas.openxmlformats.org/officeDocument/2006/relationships/chart" Target="../charts/chart359.xml"/><Relationship Id="rId15" Type="http://schemas.openxmlformats.org/officeDocument/2006/relationships/chart" Target="../charts/chart369.xml"/><Relationship Id="rId23" Type="http://schemas.openxmlformats.org/officeDocument/2006/relationships/chart" Target="../charts/chart377.xml"/><Relationship Id="rId28" Type="http://schemas.openxmlformats.org/officeDocument/2006/relationships/chart" Target="../charts/chart382.xml"/><Relationship Id="rId10" Type="http://schemas.openxmlformats.org/officeDocument/2006/relationships/chart" Target="../charts/chart364.xml"/><Relationship Id="rId19" Type="http://schemas.openxmlformats.org/officeDocument/2006/relationships/chart" Target="../charts/chart373.xml"/><Relationship Id="rId31" Type="http://schemas.openxmlformats.org/officeDocument/2006/relationships/chart" Target="../charts/chart385.xml"/><Relationship Id="rId4" Type="http://schemas.openxmlformats.org/officeDocument/2006/relationships/chart" Target="../charts/chart358.xml"/><Relationship Id="rId9" Type="http://schemas.openxmlformats.org/officeDocument/2006/relationships/chart" Target="../charts/chart363.xml"/><Relationship Id="rId14" Type="http://schemas.openxmlformats.org/officeDocument/2006/relationships/chart" Target="../charts/chart368.xml"/><Relationship Id="rId22" Type="http://schemas.openxmlformats.org/officeDocument/2006/relationships/chart" Target="../charts/chart376.xml"/><Relationship Id="rId27" Type="http://schemas.openxmlformats.org/officeDocument/2006/relationships/chart" Target="../charts/chart381.xml"/><Relationship Id="rId30" Type="http://schemas.openxmlformats.org/officeDocument/2006/relationships/chart" Target="../charts/chart384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6.xml"/><Relationship Id="rId13" Type="http://schemas.openxmlformats.org/officeDocument/2006/relationships/chart" Target="../charts/chart401.xml"/><Relationship Id="rId18" Type="http://schemas.openxmlformats.org/officeDocument/2006/relationships/chart" Target="../charts/chart406.xml"/><Relationship Id="rId26" Type="http://schemas.openxmlformats.org/officeDocument/2006/relationships/chart" Target="../charts/chart414.xml"/><Relationship Id="rId39" Type="http://schemas.openxmlformats.org/officeDocument/2006/relationships/chart" Target="../charts/chart427.xml"/><Relationship Id="rId3" Type="http://schemas.openxmlformats.org/officeDocument/2006/relationships/chart" Target="../charts/chart391.xml"/><Relationship Id="rId21" Type="http://schemas.openxmlformats.org/officeDocument/2006/relationships/chart" Target="../charts/chart409.xml"/><Relationship Id="rId34" Type="http://schemas.openxmlformats.org/officeDocument/2006/relationships/chart" Target="../charts/chart422.xml"/><Relationship Id="rId42" Type="http://schemas.openxmlformats.org/officeDocument/2006/relationships/chart" Target="../charts/chart430.xml"/><Relationship Id="rId7" Type="http://schemas.openxmlformats.org/officeDocument/2006/relationships/chart" Target="../charts/chart395.xml"/><Relationship Id="rId12" Type="http://schemas.openxmlformats.org/officeDocument/2006/relationships/chart" Target="../charts/chart400.xml"/><Relationship Id="rId17" Type="http://schemas.openxmlformats.org/officeDocument/2006/relationships/chart" Target="../charts/chart405.xml"/><Relationship Id="rId25" Type="http://schemas.openxmlformats.org/officeDocument/2006/relationships/chart" Target="../charts/chart413.xml"/><Relationship Id="rId33" Type="http://schemas.openxmlformats.org/officeDocument/2006/relationships/chart" Target="../charts/chart421.xml"/><Relationship Id="rId38" Type="http://schemas.openxmlformats.org/officeDocument/2006/relationships/chart" Target="../charts/chart426.xml"/><Relationship Id="rId2" Type="http://schemas.openxmlformats.org/officeDocument/2006/relationships/chart" Target="../charts/chart390.xml"/><Relationship Id="rId16" Type="http://schemas.openxmlformats.org/officeDocument/2006/relationships/chart" Target="../charts/chart404.xml"/><Relationship Id="rId20" Type="http://schemas.openxmlformats.org/officeDocument/2006/relationships/chart" Target="../charts/chart408.xml"/><Relationship Id="rId29" Type="http://schemas.openxmlformats.org/officeDocument/2006/relationships/chart" Target="../charts/chart417.xml"/><Relationship Id="rId41" Type="http://schemas.openxmlformats.org/officeDocument/2006/relationships/chart" Target="../charts/chart429.xml"/><Relationship Id="rId1" Type="http://schemas.openxmlformats.org/officeDocument/2006/relationships/chart" Target="../charts/chart389.xml"/><Relationship Id="rId6" Type="http://schemas.openxmlformats.org/officeDocument/2006/relationships/chart" Target="../charts/chart394.xml"/><Relationship Id="rId11" Type="http://schemas.openxmlformats.org/officeDocument/2006/relationships/chart" Target="../charts/chart399.xml"/><Relationship Id="rId24" Type="http://schemas.openxmlformats.org/officeDocument/2006/relationships/chart" Target="../charts/chart412.xml"/><Relationship Id="rId32" Type="http://schemas.openxmlformats.org/officeDocument/2006/relationships/chart" Target="../charts/chart420.xml"/><Relationship Id="rId37" Type="http://schemas.openxmlformats.org/officeDocument/2006/relationships/chart" Target="../charts/chart425.xml"/><Relationship Id="rId40" Type="http://schemas.openxmlformats.org/officeDocument/2006/relationships/chart" Target="../charts/chart428.xml"/><Relationship Id="rId5" Type="http://schemas.openxmlformats.org/officeDocument/2006/relationships/chart" Target="../charts/chart393.xml"/><Relationship Id="rId15" Type="http://schemas.openxmlformats.org/officeDocument/2006/relationships/chart" Target="../charts/chart403.xml"/><Relationship Id="rId23" Type="http://schemas.openxmlformats.org/officeDocument/2006/relationships/chart" Target="../charts/chart411.xml"/><Relationship Id="rId28" Type="http://schemas.openxmlformats.org/officeDocument/2006/relationships/chart" Target="../charts/chart416.xml"/><Relationship Id="rId36" Type="http://schemas.openxmlformats.org/officeDocument/2006/relationships/chart" Target="../charts/chart424.xml"/><Relationship Id="rId10" Type="http://schemas.openxmlformats.org/officeDocument/2006/relationships/chart" Target="../charts/chart398.xml"/><Relationship Id="rId19" Type="http://schemas.openxmlformats.org/officeDocument/2006/relationships/chart" Target="../charts/chart407.xml"/><Relationship Id="rId31" Type="http://schemas.openxmlformats.org/officeDocument/2006/relationships/chart" Target="../charts/chart419.xml"/><Relationship Id="rId4" Type="http://schemas.openxmlformats.org/officeDocument/2006/relationships/chart" Target="../charts/chart392.xml"/><Relationship Id="rId9" Type="http://schemas.openxmlformats.org/officeDocument/2006/relationships/chart" Target="../charts/chart397.xml"/><Relationship Id="rId14" Type="http://schemas.openxmlformats.org/officeDocument/2006/relationships/chart" Target="../charts/chart402.xml"/><Relationship Id="rId22" Type="http://schemas.openxmlformats.org/officeDocument/2006/relationships/chart" Target="../charts/chart410.xml"/><Relationship Id="rId27" Type="http://schemas.openxmlformats.org/officeDocument/2006/relationships/chart" Target="../charts/chart415.xml"/><Relationship Id="rId30" Type="http://schemas.openxmlformats.org/officeDocument/2006/relationships/chart" Target="../charts/chart418.xml"/><Relationship Id="rId35" Type="http://schemas.openxmlformats.org/officeDocument/2006/relationships/chart" Target="../charts/chart423.xml"/><Relationship Id="rId43" Type="http://schemas.openxmlformats.org/officeDocument/2006/relationships/chart" Target="../charts/chart4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10385</xdr:colOff>
      <xdr:row>18</xdr:row>
      <xdr:rowOff>4536</xdr:rowOff>
    </xdr:from>
    <xdr:to>
      <xdr:col>15</xdr:col>
      <xdr:colOff>247018</xdr:colOff>
      <xdr:row>28</xdr:row>
      <xdr:rowOff>156349</xdr:rowOff>
    </xdr:to>
    <xdr:grpSp>
      <xdr:nvGrpSpPr>
        <xdr:cNvPr id="2" name="Group 1"/>
        <xdr:cNvGrpSpPr/>
      </xdr:nvGrpSpPr>
      <xdr:grpSpPr>
        <a:xfrm>
          <a:off x="7077028" y="3515179"/>
          <a:ext cx="5724847" cy="2047741"/>
          <a:chOff x="10016850" y="6362700"/>
          <a:chExt cx="5760000" cy="2160000"/>
        </a:xfrm>
      </xdr:grpSpPr>
      <xdr:graphicFrame macro="">
        <xdr:nvGraphicFramePr>
          <xdr:cNvPr id="3" name="Annual line charge"/>
          <xdr:cNvGraphicFramePr/>
        </xdr:nvGraphicFramePr>
        <xdr:xfrm>
          <a:off x="10016850" y="6362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2896850" y="6362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19910</xdr:colOff>
      <xdr:row>34</xdr:row>
      <xdr:rowOff>170182</xdr:rowOff>
    </xdr:from>
    <xdr:to>
      <xdr:col>15</xdr:col>
      <xdr:colOff>278088</xdr:colOff>
      <xdr:row>46</xdr:row>
      <xdr:rowOff>43905</xdr:rowOff>
    </xdr:to>
    <xdr:grpSp>
      <xdr:nvGrpSpPr>
        <xdr:cNvPr id="6" name="Group 5"/>
        <xdr:cNvGrpSpPr/>
      </xdr:nvGrpSpPr>
      <xdr:grpSpPr>
        <a:xfrm>
          <a:off x="7086553" y="6665325"/>
          <a:ext cx="5746392" cy="2050866"/>
          <a:chOff x="10016851" y="8656782"/>
          <a:chExt cx="5713672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1" y="8725168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4716</xdr:colOff>
      <xdr:row>52</xdr:row>
      <xdr:rowOff>127001</xdr:rowOff>
    </xdr:from>
    <xdr:to>
      <xdr:col>15</xdr:col>
      <xdr:colOff>257534</xdr:colOff>
      <xdr:row>63</xdr:row>
      <xdr:rowOff>147001</xdr:rowOff>
    </xdr:to>
    <xdr:grpSp>
      <xdr:nvGrpSpPr>
        <xdr:cNvPr id="9" name="Group 8"/>
        <xdr:cNvGrpSpPr/>
      </xdr:nvGrpSpPr>
      <xdr:grpSpPr>
        <a:xfrm>
          <a:off x="7071359" y="9887858"/>
          <a:ext cx="5741032" cy="2015714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19266</xdr:colOff>
      <xdr:row>82</xdr:row>
      <xdr:rowOff>35285</xdr:rowOff>
    </xdr:from>
    <xdr:to>
      <xdr:col>15</xdr:col>
      <xdr:colOff>272084</xdr:colOff>
      <xdr:row>93</xdr:row>
      <xdr:rowOff>55285</xdr:rowOff>
    </xdr:to>
    <xdr:grpSp>
      <xdr:nvGrpSpPr>
        <xdr:cNvPr id="16" name="Group 15"/>
        <xdr:cNvGrpSpPr/>
      </xdr:nvGrpSpPr>
      <xdr:grpSpPr>
        <a:xfrm>
          <a:off x="7085909" y="15238999"/>
          <a:ext cx="5741032" cy="2015715"/>
          <a:chOff x="10031401" y="18299700"/>
          <a:chExt cx="5722948" cy="2160000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0"/>
          <a:ext cx="280426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24</xdr:col>
      <xdr:colOff>246187</xdr:colOff>
      <xdr:row>101</xdr:row>
      <xdr:rowOff>126000</xdr:rowOff>
    </xdr:from>
    <xdr:to>
      <xdr:col>28</xdr:col>
      <xdr:colOff>0</xdr:colOff>
      <xdr:row>113</xdr:row>
      <xdr:rowOff>0</xdr:rowOff>
    </xdr:to>
    <xdr:graphicFrame macro="">
      <xdr:nvGraphicFramePr>
        <xdr:cNvPr id="21" name="Quantity of small connection point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0</xdr:colOff>
      <xdr:row>101</xdr:row>
      <xdr:rowOff>126000</xdr:rowOff>
    </xdr:from>
    <xdr:to>
      <xdr:col>31</xdr:col>
      <xdr:colOff>337219</xdr:colOff>
      <xdr:row>113</xdr:row>
      <xdr:rowOff>0</xdr:rowOff>
    </xdr:to>
    <xdr:graphicFrame macro="">
      <xdr:nvGraphicFramePr>
        <xdr:cNvPr id="22" name="Quantity of medium connection point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32</xdr:col>
      <xdr:colOff>0</xdr:colOff>
      <xdr:row>101</xdr:row>
      <xdr:rowOff>126000</xdr:rowOff>
    </xdr:from>
    <xdr:to>
      <xdr:col>35</xdr:col>
      <xdr:colOff>337219</xdr:colOff>
      <xdr:row>113</xdr:row>
      <xdr:rowOff>0</xdr:rowOff>
    </xdr:to>
    <xdr:graphicFrame macro="">
      <xdr:nvGraphicFramePr>
        <xdr:cNvPr id="23" name="Quantity of large connection point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34802</xdr:colOff>
      <xdr:row>111</xdr:row>
      <xdr:rowOff>81643</xdr:rowOff>
    </xdr:from>
    <xdr:to>
      <xdr:col>15</xdr:col>
      <xdr:colOff>287620</xdr:colOff>
      <xdr:row>122</xdr:row>
      <xdr:rowOff>101644</xdr:rowOff>
    </xdr:to>
    <xdr:grpSp>
      <xdr:nvGrpSpPr>
        <xdr:cNvPr id="26" name="Group 25"/>
        <xdr:cNvGrpSpPr/>
      </xdr:nvGrpSpPr>
      <xdr:grpSpPr>
        <a:xfrm>
          <a:off x="7101445" y="20546786"/>
          <a:ext cx="5741032" cy="2015715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</xdr:grpSp>
    <xdr:clientData/>
  </xdr:twoCellAnchor>
  <xdr:twoCellAnchor>
    <xdr:from>
      <xdr:col>7</xdr:col>
      <xdr:colOff>21092</xdr:colOff>
      <xdr:row>135</xdr:row>
      <xdr:rowOff>85119</xdr:rowOff>
    </xdr:from>
    <xdr:to>
      <xdr:col>15</xdr:col>
      <xdr:colOff>266672</xdr:colOff>
      <xdr:row>146</xdr:row>
      <xdr:rowOff>119231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11449</xdr:colOff>
      <xdr:row>183</xdr:row>
      <xdr:rowOff>39798</xdr:rowOff>
    </xdr:from>
    <xdr:to>
      <xdr:col>15</xdr:col>
      <xdr:colOff>268116</xdr:colOff>
      <xdr:row>194</xdr:row>
      <xdr:rowOff>73909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31023</xdr:colOff>
      <xdr:row>68</xdr:row>
      <xdr:rowOff>27214</xdr:rowOff>
    </xdr:from>
    <xdr:to>
      <xdr:col>15</xdr:col>
      <xdr:colOff>283841</xdr:colOff>
      <xdr:row>79</xdr:row>
      <xdr:rowOff>47214</xdr:rowOff>
    </xdr:to>
    <xdr:grpSp>
      <xdr:nvGrpSpPr>
        <xdr:cNvPr id="37" name="Group 36"/>
        <xdr:cNvGrpSpPr/>
      </xdr:nvGrpSpPr>
      <xdr:grpSpPr>
        <a:xfrm>
          <a:off x="7097666" y="12690928"/>
          <a:ext cx="5741032" cy="2015715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8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9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0"/>
            </a:graphicData>
          </a:graphic>
        </xdr:graphicFrame>
      </xdr:grpSp>
    </xdr:grpSp>
    <xdr:clientData/>
  </xdr:twoCellAnchor>
  <xdr:twoCellAnchor>
    <xdr:from>
      <xdr:col>7</xdr:col>
      <xdr:colOff>57906</xdr:colOff>
      <xdr:row>95</xdr:row>
      <xdr:rowOff>153214</xdr:rowOff>
    </xdr:from>
    <xdr:to>
      <xdr:col>15</xdr:col>
      <xdr:colOff>310724</xdr:colOff>
      <xdr:row>106</xdr:row>
      <xdr:rowOff>173214</xdr:rowOff>
    </xdr:to>
    <xdr:grpSp>
      <xdr:nvGrpSpPr>
        <xdr:cNvPr id="44" name="Group 43"/>
        <xdr:cNvGrpSpPr/>
      </xdr:nvGrpSpPr>
      <xdr:grpSpPr>
        <a:xfrm>
          <a:off x="7124549" y="17715500"/>
          <a:ext cx="5741032" cy="2015714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twoCellAnchor>
    <xdr:from>
      <xdr:col>7</xdr:col>
      <xdr:colOff>42032</xdr:colOff>
      <xdr:row>203</xdr:row>
      <xdr:rowOff>78166</xdr:rowOff>
    </xdr:from>
    <xdr:to>
      <xdr:col>15</xdr:col>
      <xdr:colOff>313818</xdr:colOff>
      <xdr:row>212</xdr:row>
      <xdr:rowOff>156045</xdr:rowOff>
    </xdr:to>
    <xdr:grpSp>
      <xdr:nvGrpSpPr>
        <xdr:cNvPr id="47" name="Group 46"/>
        <xdr:cNvGrpSpPr/>
      </xdr:nvGrpSpPr>
      <xdr:grpSpPr>
        <a:xfrm>
          <a:off x="7108675" y="37234737"/>
          <a:ext cx="5760000" cy="1710737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94011</xdr:colOff>
      <xdr:row>159</xdr:row>
      <xdr:rowOff>37261</xdr:rowOff>
    </xdr:from>
    <xdr:to>
      <xdr:col>15</xdr:col>
      <xdr:colOff>339591</xdr:colOff>
      <xdr:row>168</xdr:row>
      <xdr:rowOff>114261</xdr:rowOff>
    </xdr:to>
    <xdr:grpSp>
      <xdr:nvGrpSpPr>
        <xdr:cNvPr id="52" name="Group 51"/>
        <xdr:cNvGrpSpPr/>
      </xdr:nvGrpSpPr>
      <xdr:grpSpPr>
        <a:xfrm>
          <a:off x="7160654" y="29210975"/>
          <a:ext cx="5733794" cy="1709857"/>
          <a:chOff x="9128685" y="29825720"/>
          <a:chExt cx="5756399" cy="2743210"/>
        </a:xfrm>
      </xdr:grpSpPr>
      <xdr:graphicFrame macro="">
        <xdr:nvGraphicFramePr>
          <xdr:cNvPr id="53" name="Chart 52"/>
          <xdr:cNvGraphicFramePr/>
        </xdr:nvGraphicFramePr>
        <xdr:xfrm>
          <a:off x="9128685" y="29825723"/>
          <a:ext cx="1918800" cy="27432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2966284" y="29825720"/>
          <a:ext cx="1918800" cy="27432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1047484" y="29825729"/>
          <a:ext cx="1918800" cy="27432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"/>
          </a:graphicData>
        </a:graphic>
      </xdr:graphicFrame>
    </xdr:grpSp>
    <xdr:clientData/>
  </xdr:twoCellAnchor>
  <xdr:twoCellAnchor>
    <xdr:from>
      <xdr:col>7</xdr:col>
      <xdr:colOff>60504</xdr:colOff>
      <xdr:row>227</xdr:row>
      <xdr:rowOff>127001</xdr:rowOff>
    </xdr:from>
    <xdr:to>
      <xdr:col>15</xdr:col>
      <xdr:colOff>332290</xdr:colOff>
      <xdr:row>239</xdr:row>
      <xdr:rowOff>1858</xdr:rowOff>
    </xdr:to>
    <xdr:grpSp>
      <xdr:nvGrpSpPr>
        <xdr:cNvPr id="62" name="Group 61"/>
        <xdr:cNvGrpSpPr/>
      </xdr:nvGrpSpPr>
      <xdr:grpSpPr>
        <a:xfrm>
          <a:off x="7127147" y="41637858"/>
          <a:ext cx="5760000" cy="2052000"/>
          <a:chOff x="8302350" y="44843700"/>
          <a:chExt cx="5760683" cy="2160000"/>
        </a:xfrm>
      </xdr:grpSpPr>
      <xdr:graphicFrame macro="">
        <xdr:nvGraphicFramePr>
          <xdr:cNvPr id="63" name="SAIFI"/>
          <xdr:cNvGraphicFramePr/>
        </xdr:nvGraphicFramePr>
        <xdr:xfrm>
          <a:off x="11182350" y="44843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"/>
          </a:graphicData>
        </a:graphic>
      </xdr:graphicFrame>
      <xdr:graphicFrame macro="">
        <xdr:nvGraphicFramePr>
          <xdr:cNvPr id="64" name="Chart 63"/>
          <xdr:cNvGraphicFramePr/>
        </xdr:nvGraphicFramePr>
        <xdr:xfrm>
          <a:off x="8302350" y="44843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5" name="TextBox 64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7" name="TextBox 66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0.80094</cdr:x>
      <cdr:y>0.50512</cdr:y>
    </cdr:from>
    <cdr:to>
      <cdr:x>1</cdr:x>
      <cdr:y>0.58449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75814" y="911356"/>
          <a:ext cx="378729" cy="1432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en-NZ" sz="700"/>
            <a:t>Industry</a:t>
          </a:r>
          <a:endParaRPr lang="en-NZ" sz="8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0.70328</cdr:x>
      <cdr:y>0.4104</cdr:y>
    </cdr:from>
    <cdr:to>
      <cdr:x>1</cdr:x>
      <cdr:y>0.47865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60157" y="740453"/>
          <a:ext cx="565825" cy="1231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Marlborough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0.72944</cdr:x>
      <cdr:y>0.12494</cdr:y>
    </cdr:from>
    <cdr:to>
      <cdr:x>1</cdr:x>
      <cdr:y>0.19357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00542" y="225423"/>
          <a:ext cx="515940" cy="1238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Marlborough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21676</xdr:colOff>
      <xdr:row>18</xdr:row>
      <xdr:rowOff>15420</xdr:rowOff>
    </xdr:from>
    <xdr:to>
      <xdr:col>15</xdr:col>
      <xdr:colOff>273504</xdr:colOff>
      <xdr:row>28</xdr:row>
      <xdr:rowOff>171491</xdr:rowOff>
    </xdr:to>
    <xdr:grpSp>
      <xdr:nvGrpSpPr>
        <xdr:cNvPr id="2" name="Group 1"/>
        <xdr:cNvGrpSpPr/>
      </xdr:nvGrpSpPr>
      <xdr:grpSpPr>
        <a:xfrm flipH="1" flipV="1">
          <a:off x="7088319" y="3526063"/>
          <a:ext cx="5740042" cy="2051999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11972</xdr:colOff>
      <xdr:row>37</xdr:row>
      <xdr:rowOff>119381</xdr:rowOff>
    </xdr:from>
    <xdr:to>
      <xdr:col>15</xdr:col>
      <xdr:colOff>276500</xdr:colOff>
      <xdr:row>48</xdr:row>
      <xdr:rowOff>175667</xdr:rowOff>
    </xdr:to>
    <xdr:grpSp>
      <xdr:nvGrpSpPr>
        <xdr:cNvPr id="6" name="Group 5"/>
        <xdr:cNvGrpSpPr/>
      </xdr:nvGrpSpPr>
      <xdr:grpSpPr>
        <a:xfrm>
          <a:off x="7078615" y="7158810"/>
          <a:ext cx="5752742" cy="2052000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17415</xdr:colOff>
      <xdr:row>52</xdr:row>
      <xdr:rowOff>146050</xdr:rowOff>
    </xdr:from>
    <xdr:to>
      <xdr:col>15</xdr:col>
      <xdr:colOff>276501</xdr:colOff>
      <xdr:row>64</xdr:row>
      <xdr:rowOff>18185</xdr:rowOff>
    </xdr:to>
    <xdr:grpSp>
      <xdr:nvGrpSpPr>
        <xdr:cNvPr id="9" name="Group 8"/>
        <xdr:cNvGrpSpPr/>
      </xdr:nvGrpSpPr>
      <xdr:grpSpPr>
        <a:xfrm>
          <a:off x="7084058" y="9906907"/>
          <a:ext cx="5747300" cy="2049278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19266</xdr:colOff>
      <xdr:row>81</xdr:row>
      <xdr:rowOff>122372</xdr:rowOff>
    </xdr:from>
    <xdr:to>
      <xdr:col>15</xdr:col>
      <xdr:colOff>278352</xdr:colOff>
      <xdr:row>92</xdr:row>
      <xdr:rowOff>178658</xdr:rowOff>
    </xdr:to>
    <xdr:grpSp>
      <xdr:nvGrpSpPr>
        <xdr:cNvPr id="16" name="Group 15"/>
        <xdr:cNvGrpSpPr/>
      </xdr:nvGrpSpPr>
      <xdr:grpSpPr>
        <a:xfrm>
          <a:off x="7085909" y="15144658"/>
          <a:ext cx="5747300" cy="2052000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19380</xdr:colOff>
      <xdr:row>111</xdr:row>
      <xdr:rowOff>68035</xdr:rowOff>
    </xdr:from>
    <xdr:to>
      <xdr:col>15</xdr:col>
      <xdr:colOff>278466</xdr:colOff>
      <xdr:row>122</xdr:row>
      <xdr:rowOff>127042</xdr:rowOff>
    </xdr:to>
    <xdr:grpSp>
      <xdr:nvGrpSpPr>
        <xdr:cNvPr id="26" name="Group 25"/>
        <xdr:cNvGrpSpPr/>
      </xdr:nvGrpSpPr>
      <xdr:grpSpPr>
        <a:xfrm>
          <a:off x="7086023" y="20533178"/>
          <a:ext cx="5747300" cy="205472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18371</xdr:colOff>
      <xdr:row>134</xdr:row>
      <xdr:rowOff>116868</xdr:rowOff>
    </xdr:from>
    <xdr:to>
      <xdr:col>15</xdr:col>
      <xdr:colOff>295599</xdr:colOff>
      <xdr:row>145</xdr:row>
      <xdr:rowOff>137154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834228</xdr:colOff>
      <xdr:row>183</xdr:row>
      <xdr:rowOff>7141</xdr:rowOff>
    </xdr:from>
    <xdr:to>
      <xdr:col>15</xdr:col>
      <xdr:colOff>255114</xdr:colOff>
      <xdr:row>194</xdr:row>
      <xdr:rowOff>27426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12880</xdr:colOff>
      <xdr:row>67</xdr:row>
      <xdr:rowOff>121557</xdr:rowOff>
    </xdr:from>
    <xdr:to>
      <xdr:col>15</xdr:col>
      <xdr:colOff>271966</xdr:colOff>
      <xdr:row>78</xdr:row>
      <xdr:rowOff>177843</xdr:rowOff>
    </xdr:to>
    <xdr:grpSp>
      <xdr:nvGrpSpPr>
        <xdr:cNvPr id="37" name="Group 36"/>
        <xdr:cNvGrpSpPr/>
      </xdr:nvGrpSpPr>
      <xdr:grpSpPr>
        <a:xfrm>
          <a:off x="7079523" y="12603843"/>
          <a:ext cx="5747300" cy="2052000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9827</xdr:colOff>
      <xdr:row>96</xdr:row>
      <xdr:rowOff>113299</xdr:rowOff>
    </xdr:from>
    <xdr:to>
      <xdr:col>15</xdr:col>
      <xdr:colOff>268913</xdr:colOff>
      <xdr:row>107</xdr:row>
      <xdr:rowOff>172306</xdr:rowOff>
    </xdr:to>
    <xdr:grpSp>
      <xdr:nvGrpSpPr>
        <xdr:cNvPr id="44" name="Group 43"/>
        <xdr:cNvGrpSpPr/>
      </xdr:nvGrpSpPr>
      <xdr:grpSpPr>
        <a:xfrm>
          <a:off x="7076470" y="17857013"/>
          <a:ext cx="5747300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33867</xdr:colOff>
      <xdr:row>203</xdr:row>
      <xdr:rowOff>178859</xdr:rowOff>
    </xdr:from>
    <xdr:to>
      <xdr:col>15</xdr:col>
      <xdr:colOff>305653</xdr:colOff>
      <xdr:row>213</xdr:row>
      <xdr:rowOff>74573</xdr:rowOff>
    </xdr:to>
    <xdr:grpSp>
      <xdr:nvGrpSpPr>
        <xdr:cNvPr id="47" name="Group 46"/>
        <xdr:cNvGrpSpPr/>
      </xdr:nvGrpSpPr>
      <xdr:grpSpPr>
        <a:xfrm>
          <a:off x="7100510" y="37335430"/>
          <a:ext cx="5760000" cy="1710000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20108</xdr:colOff>
      <xdr:row>159</xdr:row>
      <xdr:rowOff>92075</xdr:rowOff>
    </xdr:from>
    <xdr:to>
      <xdr:col>15</xdr:col>
      <xdr:colOff>297336</xdr:colOff>
      <xdr:row>168</xdr:row>
      <xdr:rowOff>171939</xdr:rowOff>
    </xdr:to>
    <xdr:grpSp>
      <xdr:nvGrpSpPr>
        <xdr:cNvPr id="52" name="Group 51"/>
        <xdr:cNvGrpSpPr/>
      </xdr:nvGrpSpPr>
      <xdr:grpSpPr>
        <a:xfrm>
          <a:off x="7086751" y="29265789"/>
          <a:ext cx="5765442" cy="1712721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5" name="TextBox 64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8" name="TextBox 67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14917</xdr:colOff>
      <xdr:row>227</xdr:row>
      <xdr:rowOff>138700</xdr:rowOff>
    </xdr:from>
    <xdr:to>
      <xdr:col>15</xdr:col>
      <xdr:colOff>272189</xdr:colOff>
      <xdr:row>239</xdr:row>
      <xdr:rowOff>10836</xdr:rowOff>
    </xdr:to>
    <xdr:grpSp>
      <xdr:nvGrpSpPr>
        <xdr:cNvPr id="73" name="Group 72"/>
        <xdr:cNvGrpSpPr/>
      </xdr:nvGrpSpPr>
      <xdr:grpSpPr>
        <a:xfrm>
          <a:off x="7081560" y="41649557"/>
          <a:ext cx="5745486" cy="2049279"/>
          <a:chOff x="8549317" y="44207700"/>
          <a:chExt cx="5761366" cy="2160000"/>
        </a:xfrm>
      </xdr:grpSpPr>
      <xdr:graphicFrame macro="">
        <xdr:nvGraphicFramePr>
          <xdr:cNvPr id="70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72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  <xdr:twoCellAnchor>
    <xdr:from>
      <xdr:col>26</xdr:col>
      <xdr:colOff>0</xdr:colOff>
      <xdr:row>55</xdr:row>
      <xdr:rowOff>0</xdr:rowOff>
    </xdr:from>
    <xdr:to>
      <xdr:col>36</xdr:col>
      <xdr:colOff>90357</xdr:colOff>
      <xdr:row>66</xdr:row>
      <xdr:rowOff>56285</xdr:rowOff>
    </xdr:to>
    <xdr:grpSp>
      <xdr:nvGrpSpPr>
        <xdr:cNvPr id="69" name="Group 68"/>
        <xdr:cNvGrpSpPr/>
      </xdr:nvGrpSpPr>
      <xdr:grpSpPr>
        <a:xfrm>
          <a:off x="20274643" y="10305143"/>
          <a:ext cx="5760000" cy="2051999"/>
          <a:chOff x="10016850" y="11887200"/>
          <a:chExt cx="5737500" cy="2160000"/>
        </a:xfrm>
      </xdr:grpSpPr>
      <xdr:graphicFrame macro="">
        <xdr:nvGraphicFramePr>
          <xdr:cNvPr id="71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"/>
          </a:graphicData>
        </a:graphic>
      </xdr:graphicFrame>
      <xdr:graphicFrame macro="">
        <xdr:nvGraphicFramePr>
          <xdr:cNvPr id="74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"/>
          </a:graphicData>
        </a:graphic>
      </xdr:graphicFrame>
    </xdr:grpSp>
    <xdr:clientData/>
  </xdr:twoCellAnchor>
  <xdr:twoCellAnchor>
    <xdr:from>
      <xdr:col>26</xdr:col>
      <xdr:colOff>14551</xdr:colOff>
      <xdr:row>82</xdr:row>
      <xdr:rowOff>71571</xdr:rowOff>
    </xdr:from>
    <xdr:to>
      <xdr:col>36</xdr:col>
      <xdr:colOff>104908</xdr:colOff>
      <xdr:row>93</xdr:row>
      <xdr:rowOff>127857</xdr:rowOff>
    </xdr:to>
    <xdr:grpSp>
      <xdr:nvGrpSpPr>
        <xdr:cNvPr id="75" name="Group 74"/>
        <xdr:cNvGrpSpPr/>
      </xdr:nvGrpSpPr>
      <xdr:grpSpPr>
        <a:xfrm>
          <a:off x="20289194" y="15275285"/>
          <a:ext cx="5760000" cy="2052001"/>
          <a:chOff x="10031401" y="18299700"/>
          <a:chExt cx="5722948" cy="2160000"/>
        </a:xfrm>
      </xdr:grpSpPr>
      <xdr:graphicFrame macro="">
        <xdr:nvGraphicFramePr>
          <xdr:cNvPr id="76" name="Average revenue per MW of electricity delivered"/>
          <xdr:cNvGraphicFramePr/>
        </xdr:nvGraphicFramePr>
        <xdr:xfrm>
          <a:off x="10031401" y="18299700"/>
          <a:ext cx="280426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"/>
          </a:graphicData>
        </a:graphic>
      </xdr:graphicFrame>
      <xdr:graphicFrame macro="">
        <xdr:nvGraphicFramePr>
          <xdr:cNvPr id="77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"/>
          </a:graphicData>
        </a:graphic>
      </xdr:graphicFrame>
    </xdr:grpSp>
    <xdr:clientData/>
  </xdr:twoCellAnchor>
  <xdr:twoCellAnchor>
    <xdr:from>
      <xdr:col>26</xdr:col>
      <xdr:colOff>21015</xdr:colOff>
      <xdr:row>110</xdr:row>
      <xdr:rowOff>163285</xdr:rowOff>
    </xdr:from>
    <xdr:to>
      <xdr:col>36</xdr:col>
      <xdr:colOff>111372</xdr:colOff>
      <xdr:row>122</xdr:row>
      <xdr:rowOff>38142</xdr:rowOff>
    </xdr:to>
    <xdr:grpSp>
      <xdr:nvGrpSpPr>
        <xdr:cNvPr id="78" name="Group 77"/>
        <xdr:cNvGrpSpPr/>
      </xdr:nvGrpSpPr>
      <xdr:grpSpPr>
        <a:xfrm>
          <a:off x="20295658" y="20446999"/>
          <a:ext cx="5760000" cy="2052000"/>
          <a:chOff x="10024258" y="22936200"/>
          <a:chExt cx="5752592" cy="2160000"/>
        </a:xfrm>
      </xdr:grpSpPr>
      <xdr:graphicFrame macro="">
        <xdr:nvGraphicFramePr>
          <xdr:cNvPr id="79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"/>
          </a:graphicData>
        </a:graphic>
      </xdr:graphicFrame>
      <xdr:graphicFrame macro="">
        <xdr:nvGraphicFramePr>
          <xdr:cNvPr id="80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"/>
          </a:graphicData>
        </a:graphic>
      </xdr:graphicFrame>
    </xdr:grpSp>
    <xdr:clientData/>
  </xdr:twoCellAnchor>
  <xdr:twoCellAnchor>
    <xdr:from>
      <xdr:col>26</xdr:col>
      <xdr:colOff>8165</xdr:colOff>
      <xdr:row>68</xdr:row>
      <xdr:rowOff>108857</xdr:rowOff>
    </xdr:from>
    <xdr:to>
      <xdr:col>36</xdr:col>
      <xdr:colOff>98522</xdr:colOff>
      <xdr:row>79</xdr:row>
      <xdr:rowOff>165143</xdr:rowOff>
    </xdr:to>
    <xdr:grpSp>
      <xdr:nvGrpSpPr>
        <xdr:cNvPr id="81" name="Group 80"/>
        <xdr:cNvGrpSpPr/>
      </xdr:nvGrpSpPr>
      <xdr:grpSpPr>
        <a:xfrm>
          <a:off x="20282808" y="12772571"/>
          <a:ext cx="5760000" cy="2052001"/>
          <a:chOff x="16284300" y="18173700"/>
          <a:chExt cx="5762116" cy="2160000"/>
        </a:xfrm>
      </xdr:grpSpPr>
      <xdr:graphicFrame macro="">
        <xdr:nvGraphicFramePr>
          <xdr:cNvPr id="82" name="Chart 81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"/>
          </a:graphicData>
        </a:graphic>
      </xdr:graphicFrame>
      <xdr:grpSp>
        <xdr:nvGrpSpPr>
          <xdr:cNvPr id="83" name="Group 100"/>
          <xdr:cNvGrpSpPr/>
        </xdr:nvGrpSpPr>
        <xdr:grpSpPr>
          <a:xfrm>
            <a:off x="16284300" y="18173700"/>
            <a:ext cx="2880000" cy="2147252"/>
            <a:chOff x="16240350" y="18370050"/>
            <a:chExt cx="3600000" cy="2147252"/>
          </a:xfrm>
        </xdr:grpSpPr>
        <xdr:graphicFrame macro="">
          <xdr:nvGraphicFramePr>
            <xdr:cNvPr id="84" name="Chart 83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9"/>
            </a:graphicData>
          </a:graphic>
        </xdr:graphicFrame>
        <xdr:graphicFrame macro="">
          <xdr:nvGraphicFramePr>
            <xdr:cNvPr id="85" name="Chart 84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0"/>
            </a:graphicData>
          </a:graphic>
        </xdr:graphicFrame>
        <xdr:graphicFrame macro="">
          <xdr:nvGraphicFramePr>
            <xdr:cNvPr id="86" name="Chart 85"/>
            <xdr:cNvGraphicFramePr/>
          </xdr:nvGraphicFramePr>
          <xdr:xfrm>
            <a:off x="17130439" y="19437302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1"/>
            </a:graphicData>
          </a:graphic>
        </xdr:graphicFrame>
      </xdr:grpSp>
    </xdr:grpSp>
    <xdr:clientData/>
  </xdr:twoCellAnchor>
  <xdr:twoCellAnchor>
    <xdr:from>
      <xdr:col>26</xdr:col>
      <xdr:colOff>189262</xdr:colOff>
      <xdr:row>95</xdr:row>
      <xdr:rowOff>125999</xdr:rowOff>
    </xdr:from>
    <xdr:to>
      <xdr:col>36</xdr:col>
      <xdr:colOff>279619</xdr:colOff>
      <xdr:row>107</xdr:row>
      <xdr:rowOff>856</xdr:rowOff>
    </xdr:to>
    <xdr:grpSp>
      <xdr:nvGrpSpPr>
        <xdr:cNvPr id="87" name="Group 86"/>
        <xdr:cNvGrpSpPr/>
      </xdr:nvGrpSpPr>
      <xdr:grpSpPr>
        <a:xfrm>
          <a:off x="20463905" y="17688285"/>
          <a:ext cx="5760000" cy="2052000"/>
          <a:chOff x="8272909" y="19634932"/>
          <a:chExt cx="5753952" cy="2160000"/>
        </a:xfrm>
      </xdr:grpSpPr>
      <xdr:graphicFrame macro="">
        <xdr:nvGraphicFramePr>
          <xdr:cNvPr id="88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"/>
          </a:graphicData>
        </a:graphic>
      </xdr:graphicFrame>
      <xdr:graphicFrame macro="">
        <xdr:nvGraphicFramePr>
          <xdr:cNvPr id="89" name="Chart 88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"/>
          </a:graphicData>
        </a:graphic>
      </xdr:graphicFrame>
    </xdr:grpSp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0.62294</cdr:y>
    </cdr:from>
    <cdr:to>
      <cdr:x>1</cdr:x>
      <cdr:y>0.73817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20677" y="1357586"/>
          <a:ext cx="523226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0.69739</cdr:x>
      <cdr:y>0.58009</cdr:y>
    </cdr:from>
    <cdr:to>
      <cdr:x>1</cdr:x>
      <cdr:y>0.64773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6610" y="1039747"/>
          <a:ext cx="571507" cy="1212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Nelson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0.71197</cdr:x>
      <cdr:y>0.483</cdr:y>
    </cdr:from>
    <cdr:to>
      <cdr:x>1</cdr:x>
      <cdr:y>0.55209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98613" y="865712"/>
          <a:ext cx="561961" cy="1238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Nelson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0.72261</cdr:x>
      <cdr:y>0.63421</cdr:y>
    </cdr:from>
    <cdr:to>
      <cdr:x>1</cdr:x>
      <cdr:y>0.70088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64715" y="1136740"/>
          <a:ext cx="523876" cy="119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Nelson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0.71206</cdr:x>
      <cdr:y>0.61015</cdr:y>
    </cdr:from>
    <cdr:to>
      <cdr:x>1</cdr:x>
      <cdr:y>0.70038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95950" y="1100856"/>
          <a:ext cx="549082" cy="162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Nelson</a:t>
          </a:r>
          <a:endParaRPr lang="en-NZ" sz="8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0.82792</cdr:x>
      <cdr:y>0.378</cdr:y>
    </cdr:from>
    <cdr:to>
      <cdr:x>1</cdr:x>
      <cdr:y>0.43736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15975" y="654000"/>
          <a:ext cx="332947" cy="1027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Nelson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0.72944</cdr:x>
      <cdr:y>0.59479</cdr:y>
    </cdr:from>
    <cdr:to>
      <cdr:x>1</cdr:x>
      <cdr:y>0.66342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90992" y="1073140"/>
          <a:ext cx="515940" cy="123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Nelson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0.80094</cdr:x>
      <cdr:y>0.53163</cdr:y>
    </cdr:from>
    <cdr:to>
      <cdr:x>1</cdr:x>
      <cdr:y>0.60042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32519" y="959191"/>
          <a:ext cx="378729" cy="124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en-NZ" sz="700"/>
            <a:t>Industry</a:t>
          </a:r>
          <a:endParaRPr lang="en-NZ" sz="8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21676</xdr:colOff>
      <xdr:row>17</xdr:row>
      <xdr:rowOff>180520</xdr:rowOff>
    </xdr:from>
    <xdr:to>
      <xdr:col>15</xdr:col>
      <xdr:colOff>273504</xdr:colOff>
      <xdr:row>28</xdr:row>
      <xdr:rowOff>152441</xdr:rowOff>
    </xdr:to>
    <xdr:grpSp>
      <xdr:nvGrpSpPr>
        <xdr:cNvPr id="2" name="Group 1"/>
        <xdr:cNvGrpSpPr/>
      </xdr:nvGrpSpPr>
      <xdr:grpSpPr>
        <a:xfrm flipH="1" flipV="1">
          <a:off x="7088319" y="3509734"/>
          <a:ext cx="5740042" cy="2049278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5622</xdr:colOff>
      <xdr:row>37</xdr:row>
      <xdr:rowOff>93981</xdr:rowOff>
    </xdr:from>
    <xdr:to>
      <xdr:col>15</xdr:col>
      <xdr:colOff>270150</xdr:colOff>
      <xdr:row>48</xdr:row>
      <xdr:rowOff>150267</xdr:rowOff>
    </xdr:to>
    <xdr:grpSp>
      <xdr:nvGrpSpPr>
        <xdr:cNvPr id="6" name="Group 5"/>
        <xdr:cNvGrpSpPr/>
      </xdr:nvGrpSpPr>
      <xdr:grpSpPr>
        <a:xfrm>
          <a:off x="7072265" y="7133410"/>
          <a:ext cx="5752742" cy="2052000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17415</xdr:colOff>
      <xdr:row>52</xdr:row>
      <xdr:rowOff>165100</xdr:rowOff>
    </xdr:from>
    <xdr:to>
      <xdr:col>15</xdr:col>
      <xdr:colOff>276501</xdr:colOff>
      <xdr:row>64</xdr:row>
      <xdr:rowOff>37235</xdr:rowOff>
    </xdr:to>
    <xdr:grpSp>
      <xdr:nvGrpSpPr>
        <xdr:cNvPr id="9" name="Group 8"/>
        <xdr:cNvGrpSpPr/>
      </xdr:nvGrpSpPr>
      <xdr:grpSpPr>
        <a:xfrm>
          <a:off x="7084058" y="9925957"/>
          <a:ext cx="5747300" cy="2049278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31966</xdr:colOff>
      <xdr:row>81</xdr:row>
      <xdr:rowOff>128722</xdr:rowOff>
    </xdr:from>
    <xdr:to>
      <xdr:col>15</xdr:col>
      <xdr:colOff>291052</xdr:colOff>
      <xdr:row>93</xdr:row>
      <xdr:rowOff>858</xdr:rowOff>
    </xdr:to>
    <xdr:grpSp>
      <xdr:nvGrpSpPr>
        <xdr:cNvPr id="16" name="Group 15"/>
        <xdr:cNvGrpSpPr/>
      </xdr:nvGrpSpPr>
      <xdr:grpSpPr>
        <a:xfrm>
          <a:off x="7098609" y="15151008"/>
          <a:ext cx="5747300" cy="2049279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13030</xdr:colOff>
      <xdr:row>111</xdr:row>
      <xdr:rowOff>74385</xdr:rowOff>
    </xdr:from>
    <xdr:to>
      <xdr:col>15</xdr:col>
      <xdr:colOff>272116</xdr:colOff>
      <xdr:row>122</xdr:row>
      <xdr:rowOff>133392</xdr:rowOff>
    </xdr:to>
    <xdr:grpSp>
      <xdr:nvGrpSpPr>
        <xdr:cNvPr id="26" name="Group 25"/>
        <xdr:cNvGrpSpPr/>
      </xdr:nvGrpSpPr>
      <xdr:grpSpPr>
        <a:xfrm>
          <a:off x="7079673" y="20539528"/>
          <a:ext cx="5747300" cy="205472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24721</xdr:colOff>
      <xdr:row>134</xdr:row>
      <xdr:rowOff>135919</xdr:rowOff>
    </xdr:from>
    <xdr:to>
      <xdr:col>15</xdr:col>
      <xdr:colOff>301949</xdr:colOff>
      <xdr:row>145</xdr:row>
      <xdr:rowOff>156205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21428</xdr:colOff>
      <xdr:row>182</xdr:row>
      <xdr:rowOff>45241</xdr:rowOff>
    </xdr:from>
    <xdr:to>
      <xdr:col>15</xdr:col>
      <xdr:colOff>280514</xdr:colOff>
      <xdr:row>193</xdr:row>
      <xdr:rowOff>65526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25580</xdr:colOff>
      <xdr:row>67</xdr:row>
      <xdr:rowOff>127907</xdr:rowOff>
    </xdr:from>
    <xdr:to>
      <xdr:col>15</xdr:col>
      <xdr:colOff>284666</xdr:colOff>
      <xdr:row>79</xdr:row>
      <xdr:rowOff>43</xdr:rowOff>
    </xdr:to>
    <xdr:grpSp>
      <xdr:nvGrpSpPr>
        <xdr:cNvPr id="37" name="Group 36"/>
        <xdr:cNvGrpSpPr/>
      </xdr:nvGrpSpPr>
      <xdr:grpSpPr>
        <a:xfrm>
          <a:off x="7092223" y="12610193"/>
          <a:ext cx="5747300" cy="2049279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28877</xdr:colOff>
      <xdr:row>96</xdr:row>
      <xdr:rowOff>100599</xdr:rowOff>
    </xdr:from>
    <xdr:to>
      <xdr:col>15</xdr:col>
      <xdr:colOff>287963</xdr:colOff>
      <xdr:row>107</xdr:row>
      <xdr:rowOff>159606</xdr:rowOff>
    </xdr:to>
    <xdr:grpSp>
      <xdr:nvGrpSpPr>
        <xdr:cNvPr id="44" name="Group 43"/>
        <xdr:cNvGrpSpPr/>
      </xdr:nvGrpSpPr>
      <xdr:grpSpPr>
        <a:xfrm>
          <a:off x="7095520" y="17844313"/>
          <a:ext cx="5747300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21167</xdr:colOff>
      <xdr:row>203</xdr:row>
      <xdr:rowOff>109009</xdr:rowOff>
    </xdr:from>
    <xdr:to>
      <xdr:col>15</xdr:col>
      <xdr:colOff>292953</xdr:colOff>
      <xdr:row>213</xdr:row>
      <xdr:rowOff>2001</xdr:rowOff>
    </xdr:to>
    <xdr:grpSp>
      <xdr:nvGrpSpPr>
        <xdr:cNvPr id="47" name="Group 46"/>
        <xdr:cNvGrpSpPr/>
      </xdr:nvGrpSpPr>
      <xdr:grpSpPr>
        <a:xfrm>
          <a:off x="7087810" y="37265580"/>
          <a:ext cx="5760000" cy="1707278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7408</xdr:colOff>
      <xdr:row>159</xdr:row>
      <xdr:rowOff>88548</xdr:rowOff>
    </xdr:from>
    <xdr:to>
      <xdr:col>15</xdr:col>
      <xdr:colOff>284636</xdr:colOff>
      <xdr:row>168</xdr:row>
      <xdr:rowOff>168413</xdr:rowOff>
    </xdr:to>
    <xdr:grpSp>
      <xdr:nvGrpSpPr>
        <xdr:cNvPr id="52" name="Group 51"/>
        <xdr:cNvGrpSpPr/>
      </xdr:nvGrpSpPr>
      <xdr:grpSpPr>
        <a:xfrm>
          <a:off x="7074051" y="29262262"/>
          <a:ext cx="5765442" cy="1712722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5" name="TextBox 64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33967</xdr:colOff>
      <xdr:row>227</xdr:row>
      <xdr:rowOff>113300</xdr:rowOff>
    </xdr:from>
    <xdr:to>
      <xdr:col>15</xdr:col>
      <xdr:colOff>291239</xdr:colOff>
      <xdr:row>238</xdr:row>
      <xdr:rowOff>169586</xdr:rowOff>
    </xdr:to>
    <xdr:grpSp>
      <xdr:nvGrpSpPr>
        <xdr:cNvPr id="66" name="Group 65"/>
        <xdr:cNvGrpSpPr/>
      </xdr:nvGrpSpPr>
      <xdr:grpSpPr>
        <a:xfrm>
          <a:off x="7100610" y="41624157"/>
          <a:ext cx="5745486" cy="2052000"/>
          <a:chOff x="8549317" y="44207700"/>
          <a:chExt cx="5761366" cy="2160000"/>
        </a:xfrm>
      </xdr:grpSpPr>
      <xdr:graphicFrame macro="">
        <xdr:nvGraphicFramePr>
          <xdr:cNvPr id="67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8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0.27145</cdr:x>
      <cdr:y>0.46546</cdr:y>
    </cdr:from>
    <cdr:to>
      <cdr:x>0.45605</cdr:x>
      <cdr:y>0.58069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78028" y="965450"/>
          <a:ext cx="529090" cy="239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0.69739</cdr:x>
      <cdr:y>0.70569</cdr:y>
    </cdr:from>
    <cdr:to>
      <cdr:x>1</cdr:x>
      <cdr:y>0.77333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40873" y="1264871"/>
          <a:ext cx="570556" cy="1212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Tasman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0.71197</cdr:x>
      <cdr:y>0.69557</cdr:y>
    </cdr:from>
    <cdr:to>
      <cdr:x>1</cdr:x>
      <cdr:y>0.76466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30074" y="1246725"/>
          <a:ext cx="561026" cy="123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Tasman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0.72261</cdr:x>
      <cdr:y>0.69653</cdr:y>
    </cdr:from>
    <cdr:to>
      <cdr:x>1</cdr:x>
      <cdr:y>0.7632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79764" y="1248442"/>
          <a:ext cx="523005" cy="119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Tasman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0.71206</cdr:x>
      <cdr:y>0.55256</cdr:y>
    </cdr:from>
    <cdr:to>
      <cdr:x>1</cdr:x>
      <cdr:y>0.64279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06712" y="996944"/>
          <a:ext cx="547831" cy="162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Tasman</a:t>
          </a:r>
          <a:endParaRPr lang="en-NZ" sz="8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0.70328</cdr:x>
      <cdr:y>0.58798</cdr:y>
    </cdr:from>
    <cdr:to>
      <cdr:x>1</cdr:x>
      <cdr:y>0.65623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98667" y="1060852"/>
          <a:ext cx="564536" cy="1231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Tasman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0.72944</cdr:x>
      <cdr:y>0.54056</cdr:y>
    </cdr:from>
    <cdr:to>
      <cdr:x>1</cdr:x>
      <cdr:y>0.60919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22461" y="975296"/>
          <a:ext cx="514764" cy="1238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Tasman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28026</xdr:colOff>
      <xdr:row>18</xdr:row>
      <xdr:rowOff>21770</xdr:rowOff>
    </xdr:from>
    <xdr:to>
      <xdr:col>15</xdr:col>
      <xdr:colOff>279854</xdr:colOff>
      <xdr:row>28</xdr:row>
      <xdr:rowOff>177841</xdr:rowOff>
    </xdr:to>
    <xdr:grpSp>
      <xdr:nvGrpSpPr>
        <xdr:cNvPr id="2" name="Group 1"/>
        <xdr:cNvGrpSpPr/>
      </xdr:nvGrpSpPr>
      <xdr:grpSpPr>
        <a:xfrm flipH="1" flipV="1">
          <a:off x="7094669" y="3532413"/>
          <a:ext cx="5740042" cy="2051999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11972</xdr:colOff>
      <xdr:row>37</xdr:row>
      <xdr:rowOff>119381</xdr:rowOff>
    </xdr:from>
    <xdr:to>
      <xdr:col>15</xdr:col>
      <xdr:colOff>276500</xdr:colOff>
      <xdr:row>48</xdr:row>
      <xdr:rowOff>175667</xdr:rowOff>
    </xdr:to>
    <xdr:grpSp>
      <xdr:nvGrpSpPr>
        <xdr:cNvPr id="6" name="Group 5"/>
        <xdr:cNvGrpSpPr/>
      </xdr:nvGrpSpPr>
      <xdr:grpSpPr>
        <a:xfrm>
          <a:off x="7078615" y="7158810"/>
          <a:ext cx="5752742" cy="2052000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17415</xdr:colOff>
      <xdr:row>52</xdr:row>
      <xdr:rowOff>152400</xdr:rowOff>
    </xdr:from>
    <xdr:to>
      <xdr:col>15</xdr:col>
      <xdr:colOff>276501</xdr:colOff>
      <xdr:row>64</xdr:row>
      <xdr:rowOff>24535</xdr:rowOff>
    </xdr:to>
    <xdr:grpSp>
      <xdr:nvGrpSpPr>
        <xdr:cNvPr id="9" name="Group 8"/>
        <xdr:cNvGrpSpPr/>
      </xdr:nvGrpSpPr>
      <xdr:grpSpPr>
        <a:xfrm>
          <a:off x="7084058" y="9913257"/>
          <a:ext cx="5747300" cy="2049278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19266</xdr:colOff>
      <xdr:row>81</xdr:row>
      <xdr:rowOff>96972</xdr:rowOff>
    </xdr:from>
    <xdr:to>
      <xdr:col>15</xdr:col>
      <xdr:colOff>278352</xdr:colOff>
      <xdr:row>92</xdr:row>
      <xdr:rowOff>153258</xdr:rowOff>
    </xdr:to>
    <xdr:grpSp>
      <xdr:nvGrpSpPr>
        <xdr:cNvPr id="16" name="Group 15"/>
        <xdr:cNvGrpSpPr/>
      </xdr:nvGrpSpPr>
      <xdr:grpSpPr>
        <a:xfrm>
          <a:off x="7085909" y="15119258"/>
          <a:ext cx="5747300" cy="2052000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19380</xdr:colOff>
      <xdr:row>111</xdr:row>
      <xdr:rowOff>17235</xdr:rowOff>
    </xdr:from>
    <xdr:to>
      <xdr:col>15</xdr:col>
      <xdr:colOff>278466</xdr:colOff>
      <xdr:row>122</xdr:row>
      <xdr:rowOff>76242</xdr:rowOff>
    </xdr:to>
    <xdr:grpSp>
      <xdr:nvGrpSpPr>
        <xdr:cNvPr id="26" name="Group 25"/>
        <xdr:cNvGrpSpPr/>
      </xdr:nvGrpSpPr>
      <xdr:grpSpPr>
        <a:xfrm>
          <a:off x="7086023" y="20482378"/>
          <a:ext cx="5747300" cy="205472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18371</xdr:colOff>
      <xdr:row>134</xdr:row>
      <xdr:rowOff>110519</xdr:rowOff>
    </xdr:from>
    <xdr:to>
      <xdr:col>15</xdr:col>
      <xdr:colOff>295599</xdr:colOff>
      <xdr:row>145</xdr:row>
      <xdr:rowOff>130805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21428</xdr:colOff>
      <xdr:row>182</xdr:row>
      <xdr:rowOff>165891</xdr:rowOff>
    </xdr:from>
    <xdr:to>
      <xdr:col>15</xdr:col>
      <xdr:colOff>280514</xdr:colOff>
      <xdr:row>194</xdr:row>
      <xdr:rowOff>2026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25580</xdr:colOff>
      <xdr:row>67</xdr:row>
      <xdr:rowOff>83457</xdr:rowOff>
    </xdr:from>
    <xdr:to>
      <xdr:col>15</xdr:col>
      <xdr:colOff>284666</xdr:colOff>
      <xdr:row>78</xdr:row>
      <xdr:rowOff>139743</xdr:rowOff>
    </xdr:to>
    <xdr:grpSp>
      <xdr:nvGrpSpPr>
        <xdr:cNvPr id="37" name="Group 36"/>
        <xdr:cNvGrpSpPr/>
      </xdr:nvGrpSpPr>
      <xdr:grpSpPr>
        <a:xfrm>
          <a:off x="7092223" y="12565743"/>
          <a:ext cx="5747300" cy="2052000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6</xdr:col>
      <xdr:colOff>835327</xdr:colOff>
      <xdr:row>96</xdr:row>
      <xdr:rowOff>94249</xdr:rowOff>
    </xdr:from>
    <xdr:to>
      <xdr:col>15</xdr:col>
      <xdr:colOff>256213</xdr:colOff>
      <xdr:row>107</xdr:row>
      <xdr:rowOff>153256</xdr:rowOff>
    </xdr:to>
    <xdr:grpSp>
      <xdr:nvGrpSpPr>
        <xdr:cNvPr id="44" name="Group 43"/>
        <xdr:cNvGrpSpPr/>
      </xdr:nvGrpSpPr>
      <xdr:grpSpPr>
        <a:xfrm>
          <a:off x="7067398" y="17837963"/>
          <a:ext cx="5743672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14817</xdr:colOff>
      <xdr:row>203</xdr:row>
      <xdr:rowOff>102659</xdr:rowOff>
    </xdr:from>
    <xdr:to>
      <xdr:col>15</xdr:col>
      <xdr:colOff>286603</xdr:colOff>
      <xdr:row>212</xdr:row>
      <xdr:rowOff>179801</xdr:rowOff>
    </xdr:to>
    <xdr:grpSp>
      <xdr:nvGrpSpPr>
        <xdr:cNvPr id="47" name="Group 46"/>
        <xdr:cNvGrpSpPr/>
      </xdr:nvGrpSpPr>
      <xdr:grpSpPr>
        <a:xfrm>
          <a:off x="7081460" y="37259230"/>
          <a:ext cx="5760000" cy="1710000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26458</xdr:colOff>
      <xdr:row>159</xdr:row>
      <xdr:rowOff>117475</xdr:rowOff>
    </xdr:from>
    <xdr:to>
      <xdr:col>15</xdr:col>
      <xdr:colOff>303686</xdr:colOff>
      <xdr:row>169</xdr:row>
      <xdr:rowOff>13189</xdr:rowOff>
    </xdr:to>
    <xdr:grpSp>
      <xdr:nvGrpSpPr>
        <xdr:cNvPr id="52" name="Group 51"/>
        <xdr:cNvGrpSpPr/>
      </xdr:nvGrpSpPr>
      <xdr:grpSpPr>
        <a:xfrm>
          <a:off x="7093101" y="29291189"/>
          <a:ext cx="5765442" cy="1710000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27617</xdr:colOff>
      <xdr:row>227</xdr:row>
      <xdr:rowOff>132350</xdr:rowOff>
    </xdr:from>
    <xdr:to>
      <xdr:col>15</xdr:col>
      <xdr:colOff>284889</xdr:colOff>
      <xdr:row>239</xdr:row>
      <xdr:rowOff>4486</xdr:rowOff>
    </xdr:to>
    <xdr:grpSp>
      <xdr:nvGrpSpPr>
        <xdr:cNvPr id="65" name="Group 64"/>
        <xdr:cNvGrpSpPr/>
      </xdr:nvGrpSpPr>
      <xdr:grpSpPr>
        <a:xfrm>
          <a:off x="7094260" y="41643207"/>
          <a:ext cx="5745486" cy="2049279"/>
          <a:chOff x="8549317" y="44207700"/>
          <a:chExt cx="5761366" cy="2160000"/>
        </a:xfrm>
      </xdr:grpSpPr>
      <xdr:graphicFrame macro="">
        <xdr:nvGraphicFramePr>
          <xdr:cNvPr id="66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7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0.48387</cdr:y>
    </cdr:from>
    <cdr:to>
      <cdr:x>1</cdr:x>
      <cdr:y>0.5991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43337" y="1054513"/>
          <a:ext cx="522671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0.81273</cdr:x>
      <cdr:y>0.31848</cdr:y>
    </cdr:from>
    <cdr:to>
      <cdr:x>1</cdr:x>
      <cdr:y>0.45077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35755" y="687915"/>
          <a:ext cx="539749" cy="2857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r"/>
          <a:r>
            <a:rPr lang="en-NZ" sz="700"/>
            <a:t>Price-quality threshold</a:t>
          </a:r>
        </a:p>
      </cdr:txBody>
    </cdr:sp>
  </cdr:relSizeAnchor>
  <cdr:relSizeAnchor xmlns:cdr="http://schemas.openxmlformats.org/drawingml/2006/chartDrawing">
    <cdr:from>
      <cdr:x>0.68275</cdr:x>
      <cdr:y>0.57667</cdr:y>
    </cdr:from>
    <cdr:to>
      <cdr:x>1</cdr:x>
      <cdr:y>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34671" y="1608667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0.69739</cdr:x>
      <cdr:y>0.40617</cdr:y>
    </cdr:from>
    <cdr:to>
      <cdr:x>1</cdr:x>
      <cdr:y>0.47381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40873" y="728007"/>
          <a:ext cx="570556" cy="1212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Waitaki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0.49414</cdr:x>
      <cdr:y>0.38156</cdr:y>
    </cdr:from>
    <cdr:to>
      <cdr:x>0.78217</cdr:x>
      <cdr:y>0.45065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962488" y="683892"/>
          <a:ext cx="561026" cy="123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Waitaki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0.72261</cdr:x>
      <cdr:y>0.40183</cdr:y>
    </cdr:from>
    <cdr:to>
      <cdr:x>1</cdr:x>
      <cdr:y>0.4685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79763" y="720236"/>
          <a:ext cx="523005" cy="119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Waitaki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0.71206</cdr:x>
      <cdr:y>0.45658</cdr:y>
    </cdr:from>
    <cdr:to>
      <cdr:x>1</cdr:x>
      <cdr:y>0.54681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80736" y="823771"/>
          <a:ext cx="547831" cy="162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Waitaki</a:t>
          </a:r>
          <a:endParaRPr lang="en-NZ" sz="8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0.81333</cdr:x>
      <cdr:y>0.68013</cdr:y>
    </cdr:from>
    <cdr:to>
      <cdr:x>1</cdr:x>
      <cdr:y>0.75545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08920" y="1176741"/>
          <a:ext cx="361169" cy="1302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Waitaki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0.72944</cdr:x>
      <cdr:y>0.55496</cdr:y>
    </cdr:from>
    <cdr:to>
      <cdr:x>1</cdr:x>
      <cdr:y>0.62359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26370" y="1001274"/>
          <a:ext cx="514764" cy="123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Waitaki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15326</xdr:colOff>
      <xdr:row>18</xdr:row>
      <xdr:rowOff>21770</xdr:rowOff>
    </xdr:from>
    <xdr:to>
      <xdr:col>15</xdr:col>
      <xdr:colOff>267154</xdr:colOff>
      <xdr:row>28</xdr:row>
      <xdr:rowOff>177841</xdr:rowOff>
    </xdr:to>
    <xdr:grpSp>
      <xdr:nvGrpSpPr>
        <xdr:cNvPr id="2" name="Group 1"/>
        <xdr:cNvGrpSpPr/>
      </xdr:nvGrpSpPr>
      <xdr:grpSpPr>
        <a:xfrm flipH="1" flipV="1">
          <a:off x="7081969" y="3532413"/>
          <a:ext cx="5740042" cy="2051999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37372</xdr:colOff>
      <xdr:row>37</xdr:row>
      <xdr:rowOff>119381</xdr:rowOff>
    </xdr:from>
    <xdr:to>
      <xdr:col>15</xdr:col>
      <xdr:colOff>301900</xdr:colOff>
      <xdr:row>48</xdr:row>
      <xdr:rowOff>175667</xdr:rowOff>
    </xdr:to>
    <xdr:grpSp>
      <xdr:nvGrpSpPr>
        <xdr:cNvPr id="6" name="Group 5"/>
        <xdr:cNvGrpSpPr/>
      </xdr:nvGrpSpPr>
      <xdr:grpSpPr>
        <a:xfrm>
          <a:off x="7104015" y="7158810"/>
          <a:ext cx="5752742" cy="2052000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11065</xdr:colOff>
      <xdr:row>52</xdr:row>
      <xdr:rowOff>127000</xdr:rowOff>
    </xdr:from>
    <xdr:to>
      <xdr:col>15</xdr:col>
      <xdr:colOff>270151</xdr:colOff>
      <xdr:row>63</xdr:row>
      <xdr:rowOff>183285</xdr:rowOff>
    </xdr:to>
    <xdr:grpSp>
      <xdr:nvGrpSpPr>
        <xdr:cNvPr id="9" name="Group 8"/>
        <xdr:cNvGrpSpPr/>
      </xdr:nvGrpSpPr>
      <xdr:grpSpPr>
        <a:xfrm>
          <a:off x="7077708" y="9887857"/>
          <a:ext cx="5747300" cy="2051999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19266</xdr:colOff>
      <xdr:row>81</xdr:row>
      <xdr:rowOff>128722</xdr:rowOff>
    </xdr:from>
    <xdr:to>
      <xdr:col>15</xdr:col>
      <xdr:colOff>278352</xdr:colOff>
      <xdr:row>93</xdr:row>
      <xdr:rowOff>858</xdr:rowOff>
    </xdr:to>
    <xdr:grpSp>
      <xdr:nvGrpSpPr>
        <xdr:cNvPr id="16" name="Group 15"/>
        <xdr:cNvGrpSpPr/>
      </xdr:nvGrpSpPr>
      <xdr:grpSpPr>
        <a:xfrm>
          <a:off x="7085909" y="15151008"/>
          <a:ext cx="5747300" cy="2049279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13030</xdr:colOff>
      <xdr:row>111</xdr:row>
      <xdr:rowOff>48985</xdr:rowOff>
    </xdr:from>
    <xdr:to>
      <xdr:col>15</xdr:col>
      <xdr:colOff>272116</xdr:colOff>
      <xdr:row>122</xdr:row>
      <xdr:rowOff>107992</xdr:rowOff>
    </xdr:to>
    <xdr:grpSp>
      <xdr:nvGrpSpPr>
        <xdr:cNvPr id="26" name="Group 25"/>
        <xdr:cNvGrpSpPr/>
      </xdr:nvGrpSpPr>
      <xdr:grpSpPr>
        <a:xfrm>
          <a:off x="7079673" y="20514128"/>
          <a:ext cx="5747300" cy="205472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24721</xdr:colOff>
      <xdr:row>134</xdr:row>
      <xdr:rowOff>104169</xdr:rowOff>
    </xdr:from>
    <xdr:to>
      <xdr:col>15</xdr:col>
      <xdr:colOff>301949</xdr:colOff>
      <xdr:row>145</xdr:row>
      <xdr:rowOff>124455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8728</xdr:colOff>
      <xdr:row>182</xdr:row>
      <xdr:rowOff>153191</xdr:rowOff>
    </xdr:from>
    <xdr:to>
      <xdr:col>15</xdr:col>
      <xdr:colOff>267814</xdr:colOff>
      <xdr:row>193</xdr:row>
      <xdr:rowOff>173476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19230</xdr:colOff>
      <xdr:row>67</xdr:row>
      <xdr:rowOff>127907</xdr:rowOff>
    </xdr:from>
    <xdr:to>
      <xdr:col>15</xdr:col>
      <xdr:colOff>278316</xdr:colOff>
      <xdr:row>79</xdr:row>
      <xdr:rowOff>43</xdr:rowOff>
    </xdr:to>
    <xdr:grpSp>
      <xdr:nvGrpSpPr>
        <xdr:cNvPr id="37" name="Group 36"/>
        <xdr:cNvGrpSpPr/>
      </xdr:nvGrpSpPr>
      <xdr:grpSpPr>
        <a:xfrm>
          <a:off x="7085873" y="12610193"/>
          <a:ext cx="5747300" cy="2049279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16177</xdr:colOff>
      <xdr:row>96</xdr:row>
      <xdr:rowOff>30749</xdr:rowOff>
    </xdr:from>
    <xdr:to>
      <xdr:col>15</xdr:col>
      <xdr:colOff>275263</xdr:colOff>
      <xdr:row>107</xdr:row>
      <xdr:rowOff>89756</xdr:rowOff>
    </xdr:to>
    <xdr:grpSp>
      <xdr:nvGrpSpPr>
        <xdr:cNvPr id="44" name="Group 43"/>
        <xdr:cNvGrpSpPr/>
      </xdr:nvGrpSpPr>
      <xdr:grpSpPr>
        <a:xfrm>
          <a:off x="7082820" y="17774463"/>
          <a:ext cx="5747300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21167</xdr:colOff>
      <xdr:row>203</xdr:row>
      <xdr:rowOff>115359</xdr:rowOff>
    </xdr:from>
    <xdr:to>
      <xdr:col>15</xdr:col>
      <xdr:colOff>292953</xdr:colOff>
      <xdr:row>213</xdr:row>
      <xdr:rowOff>8351</xdr:rowOff>
    </xdr:to>
    <xdr:grpSp>
      <xdr:nvGrpSpPr>
        <xdr:cNvPr id="47" name="Group 46"/>
        <xdr:cNvGrpSpPr/>
      </xdr:nvGrpSpPr>
      <xdr:grpSpPr>
        <a:xfrm>
          <a:off x="7087810" y="37271930"/>
          <a:ext cx="5760000" cy="1707278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13758</xdr:colOff>
      <xdr:row>159</xdr:row>
      <xdr:rowOff>104775</xdr:rowOff>
    </xdr:from>
    <xdr:to>
      <xdr:col>15</xdr:col>
      <xdr:colOff>290986</xdr:colOff>
      <xdr:row>169</xdr:row>
      <xdr:rowOff>489</xdr:rowOff>
    </xdr:to>
    <xdr:grpSp>
      <xdr:nvGrpSpPr>
        <xdr:cNvPr id="52" name="Group 51"/>
        <xdr:cNvGrpSpPr/>
      </xdr:nvGrpSpPr>
      <xdr:grpSpPr>
        <a:xfrm>
          <a:off x="7080401" y="29278489"/>
          <a:ext cx="5765442" cy="1710000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21267</xdr:colOff>
      <xdr:row>227</xdr:row>
      <xdr:rowOff>113300</xdr:rowOff>
    </xdr:from>
    <xdr:to>
      <xdr:col>15</xdr:col>
      <xdr:colOff>278539</xdr:colOff>
      <xdr:row>238</xdr:row>
      <xdr:rowOff>169586</xdr:rowOff>
    </xdr:to>
    <xdr:grpSp>
      <xdr:nvGrpSpPr>
        <xdr:cNvPr id="65" name="Group 64"/>
        <xdr:cNvGrpSpPr/>
      </xdr:nvGrpSpPr>
      <xdr:grpSpPr>
        <a:xfrm>
          <a:off x="7087910" y="41624157"/>
          <a:ext cx="5745486" cy="2052000"/>
          <a:chOff x="8549317" y="44207700"/>
          <a:chExt cx="5761366" cy="2160000"/>
        </a:xfrm>
      </xdr:grpSpPr>
      <xdr:graphicFrame macro="">
        <xdr:nvGraphicFramePr>
          <xdr:cNvPr id="66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7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0.8154</cdr:x>
      <cdr:y>0.69803</cdr:y>
    </cdr:from>
    <cdr:to>
      <cdr:x>1</cdr:x>
      <cdr:y>0.81326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58777" y="1521233"/>
          <a:ext cx="523226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0.69739</cdr:x>
      <cdr:y>0.66801</cdr:y>
    </cdr:from>
    <cdr:to>
      <cdr:x>1</cdr:x>
      <cdr:y>0.73565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64710" y="1197330"/>
          <a:ext cx="571507" cy="1212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Northpower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0.71197</cdr:x>
      <cdr:y>0.63084</cdr:y>
    </cdr:from>
    <cdr:to>
      <cdr:x>1</cdr:x>
      <cdr:y>0.69993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08139" y="1130701"/>
          <a:ext cx="561960" cy="123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Northpower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0.81269</cdr:x>
      <cdr:y>0.60266</cdr:y>
    </cdr:from>
    <cdr:to>
      <cdr:x>1</cdr:x>
      <cdr:y>0.73005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523343" y="1301751"/>
          <a:ext cx="539750" cy="2751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Price-quality threshold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0.72261</cdr:x>
      <cdr:y>0.63807</cdr:y>
    </cdr:from>
    <cdr:to>
      <cdr:x>1</cdr:x>
      <cdr:y>0.70474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40915" y="1143665"/>
          <a:ext cx="523876" cy="119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Northpower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0.71206</cdr:x>
      <cdr:y>0.38123</cdr:y>
    </cdr:from>
    <cdr:to>
      <cdr:x>1</cdr:x>
      <cdr:y>0.47146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24525" y="687824"/>
          <a:ext cx="549082" cy="162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Northpower</a:t>
          </a:r>
          <a:endParaRPr lang="en-NZ" sz="8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0.70328</cdr:x>
      <cdr:y>0.5755</cdr:y>
    </cdr:from>
    <cdr:to>
      <cdr:x>1</cdr:x>
      <cdr:y>0.64375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17307" y="1038335"/>
          <a:ext cx="565825" cy="1231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Northpower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0.72944</cdr:x>
      <cdr:y>0.4081</cdr:y>
    </cdr:from>
    <cdr:to>
      <cdr:x>1</cdr:x>
      <cdr:y>0.47673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00517" y="736306"/>
          <a:ext cx="515940" cy="123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Northpower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34376</xdr:colOff>
      <xdr:row>18</xdr:row>
      <xdr:rowOff>40820</xdr:rowOff>
    </xdr:from>
    <xdr:to>
      <xdr:col>15</xdr:col>
      <xdr:colOff>286204</xdr:colOff>
      <xdr:row>29</xdr:row>
      <xdr:rowOff>12741</xdr:rowOff>
    </xdr:to>
    <xdr:grpSp>
      <xdr:nvGrpSpPr>
        <xdr:cNvPr id="2" name="Group 1"/>
        <xdr:cNvGrpSpPr/>
      </xdr:nvGrpSpPr>
      <xdr:grpSpPr>
        <a:xfrm flipH="1" flipV="1">
          <a:off x="7101019" y="3551463"/>
          <a:ext cx="5740042" cy="2049278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5622</xdr:colOff>
      <xdr:row>37</xdr:row>
      <xdr:rowOff>125728</xdr:rowOff>
    </xdr:from>
    <xdr:to>
      <xdr:col>15</xdr:col>
      <xdr:colOff>270150</xdr:colOff>
      <xdr:row>48</xdr:row>
      <xdr:rowOff>182014</xdr:rowOff>
    </xdr:to>
    <xdr:grpSp>
      <xdr:nvGrpSpPr>
        <xdr:cNvPr id="6" name="Group 5"/>
        <xdr:cNvGrpSpPr/>
      </xdr:nvGrpSpPr>
      <xdr:grpSpPr>
        <a:xfrm>
          <a:off x="7072265" y="7165157"/>
          <a:ext cx="5752742" cy="2052000"/>
          <a:chOff x="10016852" y="8656782"/>
          <a:chExt cx="5713671" cy="2849422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2" y="8725169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11065</xdr:colOff>
      <xdr:row>53</xdr:row>
      <xdr:rowOff>57150</xdr:rowOff>
    </xdr:from>
    <xdr:to>
      <xdr:col>15</xdr:col>
      <xdr:colOff>270151</xdr:colOff>
      <xdr:row>64</xdr:row>
      <xdr:rowOff>113435</xdr:rowOff>
    </xdr:to>
    <xdr:grpSp>
      <xdr:nvGrpSpPr>
        <xdr:cNvPr id="9" name="Group 8"/>
        <xdr:cNvGrpSpPr/>
      </xdr:nvGrpSpPr>
      <xdr:grpSpPr>
        <a:xfrm>
          <a:off x="7077708" y="9999436"/>
          <a:ext cx="5747300" cy="2051999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19266</xdr:colOff>
      <xdr:row>81</xdr:row>
      <xdr:rowOff>135072</xdr:rowOff>
    </xdr:from>
    <xdr:to>
      <xdr:col>15</xdr:col>
      <xdr:colOff>278352</xdr:colOff>
      <xdr:row>93</xdr:row>
      <xdr:rowOff>7208</xdr:rowOff>
    </xdr:to>
    <xdr:grpSp>
      <xdr:nvGrpSpPr>
        <xdr:cNvPr id="16" name="Group 15"/>
        <xdr:cNvGrpSpPr/>
      </xdr:nvGrpSpPr>
      <xdr:grpSpPr>
        <a:xfrm>
          <a:off x="7085909" y="15157358"/>
          <a:ext cx="5747300" cy="2049279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19380</xdr:colOff>
      <xdr:row>111</xdr:row>
      <xdr:rowOff>125185</xdr:rowOff>
    </xdr:from>
    <xdr:to>
      <xdr:col>15</xdr:col>
      <xdr:colOff>278466</xdr:colOff>
      <xdr:row>123</xdr:row>
      <xdr:rowOff>42</xdr:rowOff>
    </xdr:to>
    <xdr:grpSp>
      <xdr:nvGrpSpPr>
        <xdr:cNvPr id="26" name="Group 25"/>
        <xdr:cNvGrpSpPr/>
      </xdr:nvGrpSpPr>
      <xdr:grpSpPr>
        <a:xfrm>
          <a:off x="7086023" y="20590328"/>
          <a:ext cx="5747300" cy="2052000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6</xdr:col>
      <xdr:colOff>837521</xdr:colOff>
      <xdr:row>133</xdr:row>
      <xdr:rowOff>167669</xdr:rowOff>
    </xdr:from>
    <xdr:to>
      <xdr:col>15</xdr:col>
      <xdr:colOff>276549</xdr:colOff>
      <xdr:row>145</xdr:row>
      <xdr:rowOff>3805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15078</xdr:colOff>
      <xdr:row>183</xdr:row>
      <xdr:rowOff>57941</xdr:rowOff>
    </xdr:from>
    <xdr:to>
      <xdr:col>15</xdr:col>
      <xdr:colOff>274164</xdr:colOff>
      <xdr:row>194</xdr:row>
      <xdr:rowOff>78226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76380</xdr:colOff>
      <xdr:row>67</xdr:row>
      <xdr:rowOff>115207</xdr:rowOff>
    </xdr:from>
    <xdr:to>
      <xdr:col>15</xdr:col>
      <xdr:colOff>335466</xdr:colOff>
      <xdr:row>78</xdr:row>
      <xdr:rowOff>171493</xdr:rowOff>
    </xdr:to>
    <xdr:grpSp>
      <xdr:nvGrpSpPr>
        <xdr:cNvPr id="37" name="Group 36"/>
        <xdr:cNvGrpSpPr/>
      </xdr:nvGrpSpPr>
      <xdr:grpSpPr>
        <a:xfrm>
          <a:off x="7143023" y="12597493"/>
          <a:ext cx="5747300" cy="2052000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7197143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</xdr:grpSp>
    </xdr:grpSp>
    <xdr:clientData/>
  </xdr:twoCellAnchor>
  <xdr:twoCellAnchor>
    <xdr:from>
      <xdr:col>7</xdr:col>
      <xdr:colOff>9827</xdr:colOff>
      <xdr:row>96</xdr:row>
      <xdr:rowOff>106949</xdr:rowOff>
    </xdr:from>
    <xdr:to>
      <xdr:col>15</xdr:col>
      <xdr:colOff>268913</xdr:colOff>
      <xdr:row>107</xdr:row>
      <xdr:rowOff>165956</xdr:rowOff>
    </xdr:to>
    <xdr:grpSp>
      <xdr:nvGrpSpPr>
        <xdr:cNvPr id="44" name="Group 43"/>
        <xdr:cNvGrpSpPr/>
      </xdr:nvGrpSpPr>
      <xdr:grpSpPr>
        <a:xfrm>
          <a:off x="7076470" y="17850663"/>
          <a:ext cx="5747300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</xdr:grpSp>
    <xdr:clientData/>
  </xdr:twoCellAnchor>
  <xdr:twoCellAnchor>
    <xdr:from>
      <xdr:col>7</xdr:col>
      <xdr:colOff>8467</xdr:colOff>
      <xdr:row>203</xdr:row>
      <xdr:rowOff>109009</xdr:rowOff>
    </xdr:from>
    <xdr:to>
      <xdr:col>15</xdr:col>
      <xdr:colOff>280253</xdr:colOff>
      <xdr:row>213</xdr:row>
      <xdr:rowOff>2001</xdr:rowOff>
    </xdr:to>
    <xdr:grpSp>
      <xdr:nvGrpSpPr>
        <xdr:cNvPr id="47" name="Group 46"/>
        <xdr:cNvGrpSpPr/>
      </xdr:nvGrpSpPr>
      <xdr:grpSpPr>
        <a:xfrm>
          <a:off x="7075110" y="37265580"/>
          <a:ext cx="5760000" cy="1707278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6501</xdr:colOff>
      <xdr:row>159</xdr:row>
      <xdr:rowOff>61232</xdr:rowOff>
    </xdr:from>
    <xdr:to>
      <xdr:col>15</xdr:col>
      <xdr:colOff>281915</xdr:colOff>
      <xdr:row>168</xdr:row>
      <xdr:rowOff>138375</xdr:rowOff>
    </xdr:to>
    <xdr:grpSp>
      <xdr:nvGrpSpPr>
        <xdr:cNvPr id="52" name="Group 51"/>
        <xdr:cNvGrpSpPr/>
      </xdr:nvGrpSpPr>
      <xdr:grpSpPr>
        <a:xfrm>
          <a:off x="7073144" y="29234946"/>
          <a:ext cx="5763628" cy="1710000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9</xdr:col>
      <xdr:colOff>768076</xdr:colOff>
      <xdr:row>170</xdr:row>
      <xdr:rowOff>99789</xdr:rowOff>
    </xdr:from>
    <xdr:to>
      <xdr:col>18</xdr:col>
      <xdr:colOff>368576</xdr:colOff>
      <xdr:row>181</xdr:row>
      <xdr:rowOff>165146</xdr:rowOff>
    </xdr:to>
    <xdr:grpSp>
      <xdr:nvGrpSpPr>
        <xdr:cNvPr id="56" name="Group 55"/>
        <xdr:cNvGrpSpPr/>
      </xdr:nvGrpSpPr>
      <xdr:grpSpPr>
        <a:xfrm>
          <a:off x="9503862" y="31269218"/>
          <a:ext cx="5215714" cy="2061071"/>
          <a:chOff x="8873851" y="33893933"/>
          <a:chExt cx="5207661" cy="2186767"/>
        </a:xfrm>
      </xdr:grpSpPr>
      <xdr:graphicFrame macro="">
        <xdr:nvGraphicFramePr>
          <xdr:cNvPr id="57" name="Chart 56"/>
          <xdr:cNvGraphicFramePr/>
        </xdr:nvGraphicFramePr>
        <xdr:xfrm>
          <a:off x="12182802" y="33893933"/>
          <a:ext cx="189871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1" y="33920700"/>
          <a:ext cx="295571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18</xdr:col>
      <xdr:colOff>429644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276783" cy="2052001"/>
          <a:chOff x="8873850" y="42367200"/>
          <a:chExt cx="5278659" cy="2160000"/>
        </a:xfrm>
      </xdr:grpSpPr>
      <xdr:graphicFrame macro="">
        <xdr:nvGraphicFramePr>
          <xdr:cNvPr id="60" name="Chart 59"/>
          <xdr:cNvGraphicFramePr/>
        </xdr:nvGraphicFramePr>
        <xdr:xfrm>
          <a:off x="12279843" y="42367200"/>
          <a:ext cx="187266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6350</xdr:colOff>
      <xdr:row>227</xdr:row>
      <xdr:rowOff>120650</xdr:rowOff>
    </xdr:from>
    <xdr:to>
      <xdr:col>15</xdr:col>
      <xdr:colOff>259993</xdr:colOff>
      <xdr:row>238</xdr:row>
      <xdr:rowOff>176936</xdr:rowOff>
    </xdr:to>
    <xdr:grpSp>
      <xdr:nvGrpSpPr>
        <xdr:cNvPr id="68" name="Group 67"/>
        <xdr:cNvGrpSpPr/>
      </xdr:nvGrpSpPr>
      <xdr:grpSpPr>
        <a:xfrm>
          <a:off x="7072993" y="41631507"/>
          <a:ext cx="5741857" cy="2052000"/>
          <a:chOff x="8549317" y="44207700"/>
          <a:chExt cx="5761366" cy="2160000"/>
        </a:xfrm>
      </xdr:grpSpPr>
      <xdr:graphicFrame macro="">
        <xdr:nvGraphicFramePr>
          <xdr:cNvPr id="69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  <xdr:graphicFrame macro="">
        <xdr:nvGraphicFramePr>
          <xdr:cNvPr id="70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</xdr:grpSp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0.8154</cdr:x>
      <cdr:y>0.79407</cdr:y>
    </cdr:from>
    <cdr:to>
      <cdr:x>1</cdr:x>
      <cdr:y>0.9093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452538" y="1500030"/>
          <a:ext cx="547020" cy="217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0.6584</cdr:x>
      <cdr:y>0.59372</cdr:y>
    </cdr:from>
    <cdr:to>
      <cdr:x>0.80266</cdr:x>
      <cdr:y>0.67547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01440" y="1015693"/>
          <a:ext cx="285160" cy="1398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Orion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0.65109</cdr:x>
      <cdr:y>0.57776</cdr:y>
    </cdr:from>
    <cdr:to>
      <cdr:x>0.78677</cdr:x>
      <cdr:y>0.64895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9554" y="988402"/>
          <a:ext cx="277060" cy="1217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Orion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0.65336</cdr:x>
      <cdr:y>0.57436</cdr:y>
    </cdr:from>
    <cdr:to>
      <cdr:x>0.81643</cdr:x>
      <cdr:y>0.64895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291469" y="982586"/>
          <a:ext cx="322345" cy="1276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Orion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0.6594</cdr:x>
      <cdr:y>0.54484</cdr:y>
    </cdr:from>
    <cdr:to>
      <cdr:x>0.79576</cdr:x>
      <cdr:y>0.62337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17928" y="933590"/>
          <a:ext cx="272549" cy="1345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Orion</a:t>
          </a:r>
          <a:endParaRPr lang="en-NZ" sz="8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9524</xdr:colOff>
      <xdr:row>18</xdr:row>
      <xdr:rowOff>10739</xdr:rowOff>
    </xdr:from>
    <xdr:to>
      <xdr:col>15</xdr:col>
      <xdr:colOff>261352</xdr:colOff>
      <xdr:row>28</xdr:row>
      <xdr:rowOff>168624</xdr:rowOff>
    </xdr:to>
    <xdr:grpSp>
      <xdr:nvGrpSpPr>
        <xdr:cNvPr id="2" name="Group 1"/>
        <xdr:cNvGrpSpPr/>
      </xdr:nvGrpSpPr>
      <xdr:grpSpPr>
        <a:xfrm>
          <a:off x="7076167" y="3521382"/>
          <a:ext cx="5740042" cy="2053813"/>
          <a:chOff x="9985497" y="6325431"/>
          <a:chExt cx="5727893" cy="2160002"/>
        </a:xfrm>
      </xdr:grpSpPr>
      <xdr:graphicFrame macro="">
        <xdr:nvGraphicFramePr>
          <xdr:cNvPr id="3" name="Annual line charge"/>
          <xdr:cNvGraphicFramePr/>
        </xdr:nvGraphicFramePr>
        <xdr:xfrm>
          <a:off x="9985497" y="6326392"/>
          <a:ext cx="2886497" cy="215904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2833387" y="6325431"/>
          <a:ext cx="2880003" cy="21600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24672</xdr:colOff>
      <xdr:row>37</xdr:row>
      <xdr:rowOff>170179</xdr:rowOff>
    </xdr:from>
    <xdr:to>
      <xdr:col>15</xdr:col>
      <xdr:colOff>289200</xdr:colOff>
      <xdr:row>49</xdr:row>
      <xdr:rowOff>42315</xdr:rowOff>
    </xdr:to>
    <xdr:grpSp>
      <xdr:nvGrpSpPr>
        <xdr:cNvPr id="6" name="Group 5"/>
        <xdr:cNvGrpSpPr/>
      </xdr:nvGrpSpPr>
      <xdr:grpSpPr>
        <a:xfrm>
          <a:off x="7091315" y="7209608"/>
          <a:ext cx="5752742" cy="2049278"/>
          <a:chOff x="10016850" y="8656780"/>
          <a:chExt cx="5713674" cy="2849422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1" y="8656780"/>
          <a:ext cx="2833673" cy="28494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23765</xdr:colOff>
      <xdr:row>52</xdr:row>
      <xdr:rowOff>133350</xdr:rowOff>
    </xdr:from>
    <xdr:to>
      <xdr:col>15</xdr:col>
      <xdr:colOff>282851</xdr:colOff>
      <xdr:row>64</xdr:row>
      <xdr:rowOff>5485</xdr:rowOff>
    </xdr:to>
    <xdr:grpSp>
      <xdr:nvGrpSpPr>
        <xdr:cNvPr id="9" name="Group 8"/>
        <xdr:cNvGrpSpPr/>
      </xdr:nvGrpSpPr>
      <xdr:grpSpPr>
        <a:xfrm>
          <a:off x="7090408" y="9894207"/>
          <a:ext cx="5747300" cy="2049278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25616</xdr:colOff>
      <xdr:row>81</xdr:row>
      <xdr:rowOff>116021</xdr:rowOff>
    </xdr:from>
    <xdr:to>
      <xdr:col>15</xdr:col>
      <xdr:colOff>284702</xdr:colOff>
      <xdr:row>92</xdr:row>
      <xdr:rowOff>172307</xdr:rowOff>
    </xdr:to>
    <xdr:grpSp>
      <xdr:nvGrpSpPr>
        <xdr:cNvPr id="16" name="Group 15"/>
        <xdr:cNvGrpSpPr/>
      </xdr:nvGrpSpPr>
      <xdr:grpSpPr>
        <a:xfrm>
          <a:off x="7092259" y="15138307"/>
          <a:ext cx="5747300" cy="2052000"/>
          <a:chOff x="10031401" y="18299700"/>
          <a:chExt cx="5722948" cy="2160000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0"/>
          <a:ext cx="280426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25730</xdr:colOff>
      <xdr:row>111</xdr:row>
      <xdr:rowOff>29935</xdr:rowOff>
    </xdr:from>
    <xdr:to>
      <xdr:col>15</xdr:col>
      <xdr:colOff>284816</xdr:colOff>
      <xdr:row>122</xdr:row>
      <xdr:rowOff>88942</xdr:rowOff>
    </xdr:to>
    <xdr:grpSp>
      <xdr:nvGrpSpPr>
        <xdr:cNvPr id="26" name="Group 25"/>
        <xdr:cNvGrpSpPr/>
      </xdr:nvGrpSpPr>
      <xdr:grpSpPr>
        <a:xfrm>
          <a:off x="7092373" y="20495078"/>
          <a:ext cx="5747300" cy="205472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5671</xdr:colOff>
      <xdr:row>135</xdr:row>
      <xdr:rowOff>2569</xdr:rowOff>
    </xdr:from>
    <xdr:to>
      <xdr:col>15</xdr:col>
      <xdr:colOff>282899</xdr:colOff>
      <xdr:row>146</xdr:row>
      <xdr:rowOff>58855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21428</xdr:colOff>
      <xdr:row>182</xdr:row>
      <xdr:rowOff>121441</xdr:rowOff>
    </xdr:from>
    <xdr:to>
      <xdr:col>15</xdr:col>
      <xdr:colOff>280514</xdr:colOff>
      <xdr:row>193</xdr:row>
      <xdr:rowOff>141726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19230</xdr:colOff>
      <xdr:row>67</xdr:row>
      <xdr:rowOff>127907</xdr:rowOff>
    </xdr:from>
    <xdr:to>
      <xdr:col>15</xdr:col>
      <xdr:colOff>278316</xdr:colOff>
      <xdr:row>79</xdr:row>
      <xdr:rowOff>43</xdr:rowOff>
    </xdr:to>
    <xdr:grpSp>
      <xdr:nvGrpSpPr>
        <xdr:cNvPr id="37" name="Group 36"/>
        <xdr:cNvGrpSpPr/>
      </xdr:nvGrpSpPr>
      <xdr:grpSpPr>
        <a:xfrm>
          <a:off x="7085873" y="12610193"/>
          <a:ext cx="5747300" cy="2049279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16177</xdr:colOff>
      <xdr:row>96</xdr:row>
      <xdr:rowOff>49799</xdr:rowOff>
    </xdr:from>
    <xdr:to>
      <xdr:col>15</xdr:col>
      <xdr:colOff>275263</xdr:colOff>
      <xdr:row>107</xdr:row>
      <xdr:rowOff>108806</xdr:rowOff>
    </xdr:to>
    <xdr:grpSp>
      <xdr:nvGrpSpPr>
        <xdr:cNvPr id="44" name="Group 43"/>
        <xdr:cNvGrpSpPr/>
      </xdr:nvGrpSpPr>
      <xdr:grpSpPr>
        <a:xfrm>
          <a:off x="7082820" y="17793513"/>
          <a:ext cx="5747300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97367</xdr:colOff>
      <xdr:row>205</xdr:row>
      <xdr:rowOff>45509</xdr:rowOff>
    </xdr:from>
    <xdr:to>
      <xdr:col>15</xdr:col>
      <xdr:colOff>369153</xdr:colOff>
      <xdr:row>214</xdr:row>
      <xdr:rowOff>122651</xdr:rowOff>
    </xdr:to>
    <xdr:grpSp>
      <xdr:nvGrpSpPr>
        <xdr:cNvPr id="47" name="Group 46"/>
        <xdr:cNvGrpSpPr/>
      </xdr:nvGrpSpPr>
      <xdr:grpSpPr>
        <a:xfrm>
          <a:off x="7164010" y="37564938"/>
          <a:ext cx="5760000" cy="1709999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7408</xdr:colOff>
      <xdr:row>159</xdr:row>
      <xdr:rowOff>130175</xdr:rowOff>
    </xdr:from>
    <xdr:to>
      <xdr:col>15</xdr:col>
      <xdr:colOff>284636</xdr:colOff>
      <xdr:row>169</xdr:row>
      <xdr:rowOff>25889</xdr:rowOff>
    </xdr:to>
    <xdr:grpSp>
      <xdr:nvGrpSpPr>
        <xdr:cNvPr id="52" name="Group 51"/>
        <xdr:cNvGrpSpPr/>
      </xdr:nvGrpSpPr>
      <xdr:grpSpPr>
        <a:xfrm>
          <a:off x="7074051" y="29303889"/>
          <a:ext cx="5765442" cy="1710000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7</xdr:col>
      <xdr:colOff>25125</xdr:colOff>
      <xdr:row>227</xdr:row>
      <xdr:rowOff>88900</xdr:rowOff>
    </xdr:from>
    <xdr:to>
      <xdr:col>15</xdr:col>
      <xdr:colOff>284211</xdr:colOff>
      <xdr:row>238</xdr:row>
      <xdr:rowOff>145186</xdr:rowOff>
    </xdr:to>
    <xdr:grpSp>
      <xdr:nvGrpSpPr>
        <xdr:cNvPr id="62" name="Group 61"/>
        <xdr:cNvGrpSpPr/>
      </xdr:nvGrpSpPr>
      <xdr:grpSpPr>
        <a:xfrm>
          <a:off x="7091768" y="41599757"/>
          <a:ext cx="5747300" cy="2052000"/>
          <a:chOff x="8302350" y="44843700"/>
          <a:chExt cx="5760683" cy="2160000"/>
        </a:xfrm>
      </xdr:grpSpPr>
      <xdr:graphicFrame macro="">
        <xdr:nvGraphicFramePr>
          <xdr:cNvPr id="63" name="SAIFI"/>
          <xdr:cNvGraphicFramePr/>
        </xdr:nvGraphicFramePr>
        <xdr:xfrm>
          <a:off x="11182350" y="44843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4" name="Chart 63"/>
          <xdr:cNvGraphicFramePr/>
        </xdr:nvGraphicFramePr>
        <xdr:xfrm>
          <a:off x="8302350" y="44843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5" name="TextBox 64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8" name="TextBox 67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26</xdr:col>
      <xdr:colOff>0</xdr:colOff>
      <xdr:row>55</xdr:row>
      <xdr:rowOff>0</xdr:rowOff>
    </xdr:from>
    <xdr:to>
      <xdr:col>36</xdr:col>
      <xdr:colOff>90357</xdr:colOff>
      <xdr:row>66</xdr:row>
      <xdr:rowOff>56285</xdr:rowOff>
    </xdr:to>
    <xdr:grpSp>
      <xdr:nvGrpSpPr>
        <xdr:cNvPr id="69" name="Group 68"/>
        <xdr:cNvGrpSpPr/>
      </xdr:nvGrpSpPr>
      <xdr:grpSpPr>
        <a:xfrm>
          <a:off x="19467286" y="10305143"/>
          <a:ext cx="5760000" cy="2051999"/>
          <a:chOff x="10016850" y="11887200"/>
          <a:chExt cx="5737500" cy="2160000"/>
        </a:xfrm>
      </xdr:grpSpPr>
      <xdr:graphicFrame macro="">
        <xdr:nvGraphicFramePr>
          <xdr:cNvPr id="7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"/>
          </a:graphicData>
        </a:graphic>
      </xdr:graphicFrame>
      <xdr:graphicFrame macro="">
        <xdr:nvGraphicFramePr>
          <xdr:cNvPr id="7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"/>
          </a:graphicData>
        </a:graphic>
      </xdr:graphicFrame>
    </xdr:grpSp>
    <xdr:clientData/>
  </xdr:twoCellAnchor>
  <xdr:twoCellAnchor>
    <xdr:from>
      <xdr:col>26</xdr:col>
      <xdr:colOff>14551</xdr:colOff>
      <xdr:row>82</xdr:row>
      <xdr:rowOff>71571</xdr:rowOff>
    </xdr:from>
    <xdr:to>
      <xdr:col>36</xdr:col>
      <xdr:colOff>104908</xdr:colOff>
      <xdr:row>93</xdr:row>
      <xdr:rowOff>127857</xdr:rowOff>
    </xdr:to>
    <xdr:grpSp>
      <xdr:nvGrpSpPr>
        <xdr:cNvPr id="72" name="Group 71"/>
        <xdr:cNvGrpSpPr/>
      </xdr:nvGrpSpPr>
      <xdr:grpSpPr>
        <a:xfrm>
          <a:off x="19481837" y="15275285"/>
          <a:ext cx="5760000" cy="2052001"/>
          <a:chOff x="10031401" y="18299700"/>
          <a:chExt cx="5722948" cy="2160000"/>
        </a:xfrm>
      </xdr:grpSpPr>
      <xdr:graphicFrame macro="">
        <xdr:nvGraphicFramePr>
          <xdr:cNvPr id="73" name="Average revenue per MW of electricity delivered"/>
          <xdr:cNvGraphicFramePr/>
        </xdr:nvGraphicFramePr>
        <xdr:xfrm>
          <a:off x="10031401" y="18299700"/>
          <a:ext cx="280426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"/>
          </a:graphicData>
        </a:graphic>
      </xdr:graphicFrame>
      <xdr:graphicFrame macro="">
        <xdr:nvGraphicFramePr>
          <xdr:cNvPr id="74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"/>
          </a:graphicData>
        </a:graphic>
      </xdr:graphicFrame>
    </xdr:grpSp>
    <xdr:clientData/>
  </xdr:twoCellAnchor>
  <xdr:twoCellAnchor>
    <xdr:from>
      <xdr:col>26</xdr:col>
      <xdr:colOff>21015</xdr:colOff>
      <xdr:row>110</xdr:row>
      <xdr:rowOff>163285</xdr:rowOff>
    </xdr:from>
    <xdr:to>
      <xdr:col>36</xdr:col>
      <xdr:colOff>111372</xdr:colOff>
      <xdr:row>122</xdr:row>
      <xdr:rowOff>38142</xdr:rowOff>
    </xdr:to>
    <xdr:grpSp>
      <xdr:nvGrpSpPr>
        <xdr:cNvPr id="75" name="Group 74"/>
        <xdr:cNvGrpSpPr/>
      </xdr:nvGrpSpPr>
      <xdr:grpSpPr>
        <a:xfrm>
          <a:off x="19488301" y="20446999"/>
          <a:ext cx="5760000" cy="2052000"/>
          <a:chOff x="10024258" y="22936200"/>
          <a:chExt cx="5752592" cy="2160000"/>
        </a:xfrm>
      </xdr:grpSpPr>
      <xdr:graphicFrame macro="">
        <xdr:nvGraphicFramePr>
          <xdr:cNvPr id="76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"/>
          </a:graphicData>
        </a:graphic>
      </xdr:graphicFrame>
      <xdr:graphicFrame macro="">
        <xdr:nvGraphicFramePr>
          <xdr:cNvPr id="77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"/>
          </a:graphicData>
        </a:graphic>
      </xdr:graphicFrame>
    </xdr:grpSp>
    <xdr:clientData/>
  </xdr:twoCellAnchor>
  <xdr:twoCellAnchor>
    <xdr:from>
      <xdr:col>25</xdr:col>
      <xdr:colOff>594921</xdr:colOff>
      <xdr:row>68</xdr:row>
      <xdr:rowOff>108857</xdr:rowOff>
    </xdr:from>
    <xdr:to>
      <xdr:col>36</xdr:col>
      <xdr:colOff>98524</xdr:colOff>
      <xdr:row>79</xdr:row>
      <xdr:rowOff>165143</xdr:rowOff>
    </xdr:to>
    <xdr:grpSp>
      <xdr:nvGrpSpPr>
        <xdr:cNvPr id="78" name="Group 77"/>
        <xdr:cNvGrpSpPr/>
      </xdr:nvGrpSpPr>
      <xdr:grpSpPr>
        <a:xfrm>
          <a:off x="19463492" y="12772571"/>
          <a:ext cx="5771961" cy="2052001"/>
          <a:chOff x="16272336" y="18173700"/>
          <a:chExt cx="5774080" cy="2160000"/>
        </a:xfrm>
      </xdr:grpSpPr>
      <xdr:graphicFrame macro="">
        <xdr:nvGraphicFramePr>
          <xdr:cNvPr id="79" name="Chart 78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"/>
          </a:graphicData>
        </a:graphic>
      </xdr:graphicFrame>
      <xdr:grpSp>
        <xdr:nvGrpSpPr>
          <xdr:cNvPr id="80" name="Group 100"/>
          <xdr:cNvGrpSpPr/>
        </xdr:nvGrpSpPr>
        <xdr:grpSpPr>
          <a:xfrm>
            <a:off x="16272336" y="18173700"/>
            <a:ext cx="2820991" cy="2149474"/>
            <a:chOff x="16225396" y="18370050"/>
            <a:chExt cx="3526239" cy="2149474"/>
          </a:xfrm>
        </xdr:grpSpPr>
        <xdr:graphicFrame macro="">
          <xdr:nvGraphicFramePr>
            <xdr:cNvPr id="81" name="Chart 80"/>
            <xdr:cNvGraphicFramePr/>
          </xdr:nvGraphicFramePr>
          <xdr:xfrm>
            <a:off x="16240346" y="18370050"/>
            <a:ext cx="3511289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9"/>
            </a:graphicData>
          </a:graphic>
        </xdr:graphicFrame>
        <xdr:graphicFrame macro="">
          <xdr:nvGraphicFramePr>
            <xdr:cNvPr id="82" name="Chart 81"/>
            <xdr:cNvGraphicFramePr/>
          </xdr:nvGraphicFramePr>
          <xdr:xfrm>
            <a:off x="16225396" y="19439524"/>
            <a:ext cx="3511289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0"/>
            </a:graphicData>
          </a:graphic>
        </xdr:graphicFrame>
      </xdr:grpSp>
    </xdr:grpSp>
    <xdr:clientData/>
  </xdr:twoCellAnchor>
  <xdr:twoCellAnchor>
    <xdr:from>
      <xdr:col>26</xdr:col>
      <xdr:colOff>189262</xdr:colOff>
      <xdr:row>95</xdr:row>
      <xdr:rowOff>125999</xdr:rowOff>
    </xdr:from>
    <xdr:to>
      <xdr:col>36</xdr:col>
      <xdr:colOff>279619</xdr:colOff>
      <xdr:row>107</xdr:row>
      <xdr:rowOff>856</xdr:rowOff>
    </xdr:to>
    <xdr:grpSp>
      <xdr:nvGrpSpPr>
        <xdr:cNvPr id="85" name="Group 84"/>
        <xdr:cNvGrpSpPr/>
      </xdr:nvGrpSpPr>
      <xdr:grpSpPr>
        <a:xfrm>
          <a:off x="19656548" y="17688285"/>
          <a:ext cx="5760000" cy="2052000"/>
          <a:chOff x="8272909" y="19634932"/>
          <a:chExt cx="5753952" cy="2160000"/>
        </a:xfrm>
      </xdr:grpSpPr>
      <xdr:graphicFrame macro="">
        <xdr:nvGraphicFramePr>
          <xdr:cNvPr id="86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1"/>
          </a:graphicData>
        </a:graphic>
      </xdr:graphicFrame>
      <xdr:graphicFrame macro="">
        <xdr:nvGraphicFramePr>
          <xdr:cNvPr id="87" name="Chart 86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"/>
          </a:graphicData>
        </a:graphic>
      </xdr:graphicFrame>
    </xdr:grpSp>
    <xdr:clientData/>
  </xdr:twoCellAnchor>
</xdr:wsDr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0.67375</cdr:x>
      <cdr:y>0.35385</cdr:y>
    </cdr:from>
    <cdr:to>
      <cdr:x>0.81391</cdr:x>
      <cdr:y>0.43279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46618" y="606329"/>
          <a:ext cx="280144" cy="135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Orion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0.66584</cdr:x>
      <cdr:y>0.54532</cdr:y>
    </cdr:from>
    <cdr:to>
      <cdr:x>0.80937</cdr:x>
      <cdr:y>0.61808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30803" y="934412"/>
          <a:ext cx="286887" cy="1246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Orion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15326</xdr:colOff>
      <xdr:row>18</xdr:row>
      <xdr:rowOff>40820</xdr:rowOff>
    </xdr:from>
    <xdr:to>
      <xdr:col>15</xdr:col>
      <xdr:colOff>267154</xdr:colOff>
      <xdr:row>29</xdr:row>
      <xdr:rowOff>12741</xdr:rowOff>
    </xdr:to>
    <xdr:grpSp>
      <xdr:nvGrpSpPr>
        <xdr:cNvPr id="2" name="Group 1"/>
        <xdr:cNvGrpSpPr/>
      </xdr:nvGrpSpPr>
      <xdr:grpSpPr>
        <a:xfrm flipH="1" flipV="1">
          <a:off x="7081969" y="3551463"/>
          <a:ext cx="5740042" cy="2049278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18322</xdr:colOff>
      <xdr:row>37</xdr:row>
      <xdr:rowOff>138431</xdr:rowOff>
    </xdr:from>
    <xdr:to>
      <xdr:col>15</xdr:col>
      <xdr:colOff>282850</xdr:colOff>
      <xdr:row>49</xdr:row>
      <xdr:rowOff>10567</xdr:rowOff>
    </xdr:to>
    <xdr:grpSp>
      <xdr:nvGrpSpPr>
        <xdr:cNvPr id="6" name="Group 5"/>
        <xdr:cNvGrpSpPr/>
      </xdr:nvGrpSpPr>
      <xdr:grpSpPr>
        <a:xfrm>
          <a:off x="7084965" y="7177860"/>
          <a:ext cx="5752742" cy="2049278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23765</xdr:colOff>
      <xdr:row>53</xdr:row>
      <xdr:rowOff>127000</xdr:rowOff>
    </xdr:from>
    <xdr:to>
      <xdr:col>15</xdr:col>
      <xdr:colOff>282851</xdr:colOff>
      <xdr:row>64</xdr:row>
      <xdr:rowOff>183285</xdr:rowOff>
    </xdr:to>
    <xdr:grpSp>
      <xdr:nvGrpSpPr>
        <xdr:cNvPr id="9" name="Group 8"/>
        <xdr:cNvGrpSpPr/>
      </xdr:nvGrpSpPr>
      <xdr:grpSpPr>
        <a:xfrm>
          <a:off x="7090408" y="10069286"/>
          <a:ext cx="5747300" cy="2051999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19266</xdr:colOff>
      <xdr:row>81</xdr:row>
      <xdr:rowOff>122372</xdr:rowOff>
    </xdr:from>
    <xdr:to>
      <xdr:col>15</xdr:col>
      <xdr:colOff>278352</xdr:colOff>
      <xdr:row>92</xdr:row>
      <xdr:rowOff>178658</xdr:rowOff>
    </xdr:to>
    <xdr:grpSp>
      <xdr:nvGrpSpPr>
        <xdr:cNvPr id="16" name="Group 15"/>
        <xdr:cNvGrpSpPr/>
      </xdr:nvGrpSpPr>
      <xdr:grpSpPr>
        <a:xfrm>
          <a:off x="7085909" y="15144658"/>
          <a:ext cx="5747300" cy="2052000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25730</xdr:colOff>
      <xdr:row>111</xdr:row>
      <xdr:rowOff>42635</xdr:rowOff>
    </xdr:from>
    <xdr:to>
      <xdr:col>15</xdr:col>
      <xdr:colOff>284816</xdr:colOff>
      <xdr:row>122</xdr:row>
      <xdr:rowOff>101642</xdr:rowOff>
    </xdr:to>
    <xdr:grpSp>
      <xdr:nvGrpSpPr>
        <xdr:cNvPr id="26" name="Group 25"/>
        <xdr:cNvGrpSpPr/>
      </xdr:nvGrpSpPr>
      <xdr:grpSpPr>
        <a:xfrm>
          <a:off x="7092373" y="20507778"/>
          <a:ext cx="5747300" cy="205472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6</xdr:col>
      <xdr:colOff>831171</xdr:colOff>
      <xdr:row>134</xdr:row>
      <xdr:rowOff>123219</xdr:rowOff>
    </xdr:from>
    <xdr:to>
      <xdr:col>15</xdr:col>
      <xdr:colOff>270199</xdr:colOff>
      <xdr:row>145</xdr:row>
      <xdr:rowOff>143505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8728</xdr:colOff>
      <xdr:row>183</xdr:row>
      <xdr:rowOff>178591</xdr:rowOff>
    </xdr:from>
    <xdr:to>
      <xdr:col>15</xdr:col>
      <xdr:colOff>267814</xdr:colOff>
      <xdr:row>195</xdr:row>
      <xdr:rowOff>14726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12880</xdr:colOff>
      <xdr:row>67</xdr:row>
      <xdr:rowOff>121557</xdr:rowOff>
    </xdr:from>
    <xdr:to>
      <xdr:col>15</xdr:col>
      <xdr:colOff>271966</xdr:colOff>
      <xdr:row>78</xdr:row>
      <xdr:rowOff>177843</xdr:rowOff>
    </xdr:to>
    <xdr:grpSp>
      <xdr:nvGrpSpPr>
        <xdr:cNvPr id="37" name="Group 36"/>
        <xdr:cNvGrpSpPr/>
      </xdr:nvGrpSpPr>
      <xdr:grpSpPr>
        <a:xfrm>
          <a:off x="7079523" y="12603843"/>
          <a:ext cx="5747300" cy="2052000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28877</xdr:colOff>
      <xdr:row>96</xdr:row>
      <xdr:rowOff>49799</xdr:rowOff>
    </xdr:from>
    <xdr:to>
      <xdr:col>15</xdr:col>
      <xdr:colOff>287963</xdr:colOff>
      <xdr:row>107</xdr:row>
      <xdr:rowOff>108806</xdr:rowOff>
    </xdr:to>
    <xdr:grpSp>
      <xdr:nvGrpSpPr>
        <xdr:cNvPr id="44" name="Group 43"/>
        <xdr:cNvGrpSpPr/>
      </xdr:nvGrpSpPr>
      <xdr:grpSpPr>
        <a:xfrm>
          <a:off x="7095520" y="17793513"/>
          <a:ext cx="5747300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21167</xdr:colOff>
      <xdr:row>203</xdr:row>
      <xdr:rowOff>121709</xdr:rowOff>
    </xdr:from>
    <xdr:to>
      <xdr:col>15</xdr:col>
      <xdr:colOff>292953</xdr:colOff>
      <xdr:row>213</xdr:row>
      <xdr:rowOff>14701</xdr:rowOff>
    </xdr:to>
    <xdr:grpSp>
      <xdr:nvGrpSpPr>
        <xdr:cNvPr id="47" name="Group 46"/>
        <xdr:cNvGrpSpPr/>
      </xdr:nvGrpSpPr>
      <xdr:grpSpPr>
        <a:xfrm>
          <a:off x="7087810" y="37278280"/>
          <a:ext cx="5760000" cy="1707278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13758</xdr:colOff>
      <xdr:row>159</xdr:row>
      <xdr:rowOff>117475</xdr:rowOff>
    </xdr:from>
    <xdr:to>
      <xdr:col>15</xdr:col>
      <xdr:colOff>290986</xdr:colOff>
      <xdr:row>169</xdr:row>
      <xdr:rowOff>13189</xdr:rowOff>
    </xdr:to>
    <xdr:grpSp>
      <xdr:nvGrpSpPr>
        <xdr:cNvPr id="52" name="Group 51"/>
        <xdr:cNvGrpSpPr/>
      </xdr:nvGrpSpPr>
      <xdr:grpSpPr>
        <a:xfrm>
          <a:off x="7080401" y="29291189"/>
          <a:ext cx="5765442" cy="1710000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33967</xdr:colOff>
      <xdr:row>227</xdr:row>
      <xdr:rowOff>119650</xdr:rowOff>
    </xdr:from>
    <xdr:to>
      <xdr:col>15</xdr:col>
      <xdr:colOff>291239</xdr:colOff>
      <xdr:row>238</xdr:row>
      <xdr:rowOff>175936</xdr:rowOff>
    </xdr:to>
    <xdr:grpSp>
      <xdr:nvGrpSpPr>
        <xdr:cNvPr id="65" name="Group 64"/>
        <xdr:cNvGrpSpPr/>
      </xdr:nvGrpSpPr>
      <xdr:grpSpPr>
        <a:xfrm>
          <a:off x="7100610" y="41630507"/>
          <a:ext cx="5745486" cy="2052000"/>
          <a:chOff x="8549317" y="44207700"/>
          <a:chExt cx="5761366" cy="2160000"/>
        </a:xfrm>
      </xdr:grpSpPr>
      <xdr:graphicFrame macro="">
        <xdr:nvGraphicFramePr>
          <xdr:cNvPr id="66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7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0.5798</cdr:y>
    </cdr:from>
    <cdr:to>
      <cdr:x>1</cdr:x>
      <cdr:y>0.69503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58223" y="1202603"/>
          <a:ext cx="529091" cy="239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0.69739</cdr:x>
      <cdr:y>0.35785</cdr:y>
    </cdr:from>
    <cdr:to>
      <cdr:x>1</cdr:x>
      <cdr:y>0.42549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44781" y="641410"/>
          <a:ext cx="570556" cy="1212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OtagoNet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0.71197</cdr:x>
      <cdr:y>0.43952</cdr:y>
    </cdr:from>
    <cdr:to>
      <cdr:x>1</cdr:x>
      <cdr:y>0.50861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08006" y="787793"/>
          <a:ext cx="561026" cy="123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OtagoNet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0.72261</cdr:x>
      <cdr:y>0.09748</cdr:y>
    </cdr:from>
    <cdr:to>
      <cdr:x>1</cdr:x>
      <cdr:y>0.16415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79763" y="174719"/>
          <a:ext cx="523005" cy="119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OtagoNet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0.71206</cdr:x>
      <cdr:y>0.279</cdr:y>
    </cdr:from>
    <cdr:to>
      <cdr:x>1</cdr:x>
      <cdr:y>0.36923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62577" y="503379"/>
          <a:ext cx="547831" cy="162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OtagoNet</a:t>
          </a:r>
          <a:endParaRPr lang="en-NZ" sz="800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0.70328</cdr:x>
      <cdr:y>0.66477</cdr:y>
    </cdr:from>
    <cdr:to>
      <cdr:x>1</cdr:x>
      <cdr:y>0.73302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46712" y="1199398"/>
          <a:ext cx="564536" cy="1231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OtagoNet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0.78324</cdr:x>
      <cdr:y>0.55279</cdr:y>
    </cdr:from>
    <cdr:to>
      <cdr:x>1</cdr:x>
      <cdr:y>0.62495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15414" y="956421"/>
          <a:ext cx="419397" cy="12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OtagoNet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0.7955</cdr:x>
      <cdr:y>0.7708</cdr:y>
    </cdr:from>
    <cdr:to>
      <cdr:x>1</cdr:x>
      <cdr:y>0.91744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299995" y="1679817"/>
          <a:ext cx="580391" cy="3195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800" baseline="0"/>
            <a:t> </a:t>
          </a:r>
          <a:r>
            <a:rPr lang="en-NZ" sz="700" baseline="0"/>
            <a:t>contributions</a:t>
          </a:r>
          <a:endParaRPr lang="en-NZ" sz="800"/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34376</xdr:colOff>
      <xdr:row>17</xdr:row>
      <xdr:rowOff>161470</xdr:rowOff>
    </xdr:from>
    <xdr:to>
      <xdr:col>15</xdr:col>
      <xdr:colOff>286204</xdr:colOff>
      <xdr:row>28</xdr:row>
      <xdr:rowOff>133391</xdr:rowOff>
    </xdr:to>
    <xdr:grpSp>
      <xdr:nvGrpSpPr>
        <xdr:cNvPr id="2" name="Group 1"/>
        <xdr:cNvGrpSpPr/>
      </xdr:nvGrpSpPr>
      <xdr:grpSpPr>
        <a:xfrm flipH="1" flipV="1">
          <a:off x="7101019" y="3490684"/>
          <a:ext cx="5740042" cy="2049278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18322</xdr:colOff>
      <xdr:row>37</xdr:row>
      <xdr:rowOff>125731</xdr:rowOff>
    </xdr:from>
    <xdr:to>
      <xdr:col>15</xdr:col>
      <xdr:colOff>282850</xdr:colOff>
      <xdr:row>48</xdr:row>
      <xdr:rowOff>182017</xdr:rowOff>
    </xdr:to>
    <xdr:grpSp>
      <xdr:nvGrpSpPr>
        <xdr:cNvPr id="6" name="Group 5"/>
        <xdr:cNvGrpSpPr/>
      </xdr:nvGrpSpPr>
      <xdr:grpSpPr>
        <a:xfrm>
          <a:off x="7084965" y="7165160"/>
          <a:ext cx="5752742" cy="2052000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17415</xdr:colOff>
      <xdr:row>52</xdr:row>
      <xdr:rowOff>146050</xdr:rowOff>
    </xdr:from>
    <xdr:to>
      <xdr:col>15</xdr:col>
      <xdr:colOff>276501</xdr:colOff>
      <xdr:row>64</xdr:row>
      <xdr:rowOff>18185</xdr:rowOff>
    </xdr:to>
    <xdr:grpSp>
      <xdr:nvGrpSpPr>
        <xdr:cNvPr id="9" name="Group 8"/>
        <xdr:cNvGrpSpPr/>
      </xdr:nvGrpSpPr>
      <xdr:grpSpPr>
        <a:xfrm>
          <a:off x="7084058" y="9906907"/>
          <a:ext cx="5747300" cy="2049278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12916</xdr:colOff>
      <xdr:row>81</xdr:row>
      <xdr:rowOff>128722</xdr:rowOff>
    </xdr:from>
    <xdr:to>
      <xdr:col>15</xdr:col>
      <xdr:colOff>272002</xdr:colOff>
      <xdr:row>93</xdr:row>
      <xdr:rowOff>858</xdr:rowOff>
    </xdr:to>
    <xdr:grpSp>
      <xdr:nvGrpSpPr>
        <xdr:cNvPr id="16" name="Group 15"/>
        <xdr:cNvGrpSpPr/>
      </xdr:nvGrpSpPr>
      <xdr:grpSpPr>
        <a:xfrm>
          <a:off x="7079559" y="15151008"/>
          <a:ext cx="5747300" cy="2049279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22742</xdr:colOff>
      <xdr:row>111</xdr:row>
      <xdr:rowOff>42261</xdr:rowOff>
    </xdr:from>
    <xdr:to>
      <xdr:col>15</xdr:col>
      <xdr:colOff>281828</xdr:colOff>
      <xdr:row>122</xdr:row>
      <xdr:rowOff>107618</xdr:rowOff>
    </xdr:to>
    <xdr:grpSp>
      <xdr:nvGrpSpPr>
        <xdr:cNvPr id="26" name="Group 25"/>
        <xdr:cNvGrpSpPr/>
      </xdr:nvGrpSpPr>
      <xdr:grpSpPr>
        <a:xfrm>
          <a:off x="7089385" y="20507404"/>
          <a:ext cx="5747300" cy="206107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5671</xdr:colOff>
      <xdr:row>135</xdr:row>
      <xdr:rowOff>15269</xdr:rowOff>
    </xdr:from>
    <xdr:to>
      <xdr:col>15</xdr:col>
      <xdr:colOff>282899</xdr:colOff>
      <xdr:row>146</xdr:row>
      <xdr:rowOff>35555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27778</xdr:colOff>
      <xdr:row>184</xdr:row>
      <xdr:rowOff>13491</xdr:rowOff>
    </xdr:from>
    <xdr:to>
      <xdr:col>15</xdr:col>
      <xdr:colOff>286864</xdr:colOff>
      <xdr:row>195</xdr:row>
      <xdr:rowOff>33776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19230</xdr:colOff>
      <xdr:row>67</xdr:row>
      <xdr:rowOff>140607</xdr:rowOff>
    </xdr:from>
    <xdr:to>
      <xdr:col>15</xdr:col>
      <xdr:colOff>278316</xdr:colOff>
      <xdr:row>79</xdr:row>
      <xdr:rowOff>12743</xdr:rowOff>
    </xdr:to>
    <xdr:grpSp>
      <xdr:nvGrpSpPr>
        <xdr:cNvPr id="37" name="Group 36"/>
        <xdr:cNvGrpSpPr/>
      </xdr:nvGrpSpPr>
      <xdr:grpSpPr>
        <a:xfrm>
          <a:off x="7085873" y="12622893"/>
          <a:ext cx="5747300" cy="2049279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16177</xdr:colOff>
      <xdr:row>96</xdr:row>
      <xdr:rowOff>49799</xdr:rowOff>
    </xdr:from>
    <xdr:to>
      <xdr:col>15</xdr:col>
      <xdr:colOff>275263</xdr:colOff>
      <xdr:row>107</xdr:row>
      <xdr:rowOff>108806</xdr:rowOff>
    </xdr:to>
    <xdr:grpSp>
      <xdr:nvGrpSpPr>
        <xdr:cNvPr id="44" name="Group 43"/>
        <xdr:cNvGrpSpPr/>
      </xdr:nvGrpSpPr>
      <xdr:grpSpPr>
        <a:xfrm>
          <a:off x="7082820" y="17793513"/>
          <a:ext cx="5747300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33867</xdr:colOff>
      <xdr:row>203</xdr:row>
      <xdr:rowOff>121709</xdr:rowOff>
    </xdr:from>
    <xdr:to>
      <xdr:col>15</xdr:col>
      <xdr:colOff>305653</xdr:colOff>
      <xdr:row>213</xdr:row>
      <xdr:rowOff>14701</xdr:rowOff>
    </xdr:to>
    <xdr:grpSp>
      <xdr:nvGrpSpPr>
        <xdr:cNvPr id="47" name="Group 46"/>
        <xdr:cNvGrpSpPr/>
      </xdr:nvGrpSpPr>
      <xdr:grpSpPr>
        <a:xfrm>
          <a:off x="7100510" y="37278280"/>
          <a:ext cx="5760000" cy="1707278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51858</xdr:colOff>
      <xdr:row>159</xdr:row>
      <xdr:rowOff>104774</xdr:rowOff>
    </xdr:from>
    <xdr:to>
      <xdr:col>15</xdr:col>
      <xdr:colOff>329086</xdr:colOff>
      <xdr:row>169</xdr:row>
      <xdr:rowOff>488</xdr:rowOff>
    </xdr:to>
    <xdr:grpSp>
      <xdr:nvGrpSpPr>
        <xdr:cNvPr id="52" name="Group 51"/>
        <xdr:cNvGrpSpPr/>
      </xdr:nvGrpSpPr>
      <xdr:grpSpPr>
        <a:xfrm>
          <a:off x="7118501" y="29278488"/>
          <a:ext cx="5765442" cy="1710000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2217</xdr:colOff>
      <xdr:row>227</xdr:row>
      <xdr:rowOff>119650</xdr:rowOff>
    </xdr:from>
    <xdr:to>
      <xdr:col>15</xdr:col>
      <xdr:colOff>259489</xdr:colOff>
      <xdr:row>238</xdr:row>
      <xdr:rowOff>175936</xdr:rowOff>
    </xdr:to>
    <xdr:grpSp>
      <xdr:nvGrpSpPr>
        <xdr:cNvPr id="65" name="Group 64"/>
        <xdr:cNvGrpSpPr/>
      </xdr:nvGrpSpPr>
      <xdr:grpSpPr>
        <a:xfrm>
          <a:off x="7068860" y="41630507"/>
          <a:ext cx="5745486" cy="2052000"/>
          <a:chOff x="8549317" y="44207700"/>
          <a:chExt cx="5761366" cy="2160000"/>
        </a:xfrm>
      </xdr:grpSpPr>
      <xdr:graphicFrame macro="">
        <xdr:nvGraphicFramePr>
          <xdr:cNvPr id="66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7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  <xdr:twoCellAnchor>
    <xdr:from>
      <xdr:col>26</xdr:col>
      <xdr:colOff>0</xdr:colOff>
      <xdr:row>55</xdr:row>
      <xdr:rowOff>0</xdr:rowOff>
    </xdr:from>
    <xdr:to>
      <xdr:col>36</xdr:col>
      <xdr:colOff>90357</xdr:colOff>
      <xdr:row>66</xdr:row>
      <xdr:rowOff>56285</xdr:rowOff>
    </xdr:to>
    <xdr:grpSp>
      <xdr:nvGrpSpPr>
        <xdr:cNvPr id="68" name="Group 67"/>
        <xdr:cNvGrpSpPr/>
      </xdr:nvGrpSpPr>
      <xdr:grpSpPr>
        <a:xfrm>
          <a:off x="20419786" y="10305143"/>
          <a:ext cx="5760000" cy="2051999"/>
          <a:chOff x="10016850" y="11887200"/>
          <a:chExt cx="5737500" cy="2160000"/>
        </a:xfrm>
      </xdr:grpSpPr>
      <xdr:graphicFrame macro="">
        <xdr:nvGraphicFramePr>
          <xdr:cNvPr id="69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"/>
          </a:graphicData>
        </a:graphic>
      </xdr:graphicFrame>
      <xdr:graphicFrame macro="">
        <xdr:nvGraphicFramePr>
          <xdr:cNvPr id="70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"/>
          </a:graphicData>
        </a:graphic>
      </xdr:graphicFrame>
    </xdr:grpSp>
    <xdr:clientData/>
  </xdr:twoCellAnchor>
  <xdr:twoCellAnchor>
    <xdr:from>
      <xdr:col>26</xdr:col>
      <xdr:colOff>14551</xdr:colOff>
      <xdr:row>82</xdr:row>
      <xdr:rowOff>71571</xdr:rowOff>
    </xdr:from>
    <xdr:to>
      <xdr:col>36</xdr:col>
      <xdr:colOff>104908</xdr:colOff>
      <xdr:row>93</xdr:row>
      <xdr:rowOff>127857</xdr:rowOff>
    </xdr:to>
    <xdr:grpSp>
      <xdr:nvGrpSpPr>
        <xdr:cNvPr id="71" name="Group 70"/>
        <xdr:cNvGrpSpPr/>
      </xdr:nvGrpSpPr>
      <xdr:grpSpPr>
        <a:xfrm>
          <a:off x="20434337" y="15275285"/>
          <a:ext cx="5760000" cy="2052001"/>
          <a:chOff x="10031401" y="18299700"/>
          <a:chExt cx="5722948" cy="2160000"/>
        </a:xfrm>
      </xdr:grpSpPr>
      <xdr:graphicFrame macro="">
        <xdr:nvGraphicFramePr>
          <xdr:cNvPr id="72" name="Average revenue per MW of electricity delivered"/>
          <xdr:cNvGraphicFramePr/>
        </xdr:nvGraphicFramePr>
        <xdr:xfrm>
          <a:off x="10031401" y="18299700"/>
          <a:ext cx="280426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"/>
          </a:graphicData>
        </a:graphic>
      </xdr:graphicFrame>
      <xdr:graphicFrame macro="">
        <xdr:nvGraphicFramePr>
          <xdr:cNvPr id="73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"/>
          </a:graphicData>
        </a:graphic>
      </xdr:graphicFrame>
    </xdr:grpSp>
    <xdr:clientData/>
  </xdr:twoCellAnchor>
  <xdr:twoCellAnchor>
    <xdr:from>
      <xdr:col>26</xdr:col>
      <xdr:colOff>21015</xdr:colOff>
      <xdr:row>110</xdr:row>
      <xdr:rowOff>163285</xdr:rowOff>
    </xdr:from>
    <xdr:to>
      <xdr:col>36</xdr:col>
      <xdr:colOff>111372</xdr:colOff>
      <xdr:row>122</xdr:row>
      <xdr:rowOff>38142</xdr:rowOff>
    </xdr:to>
    <xdr:grpSp>
      <xdr:nvGrpSpPr>
        <xdr:cNvPr id="74" name="Group 73"/>
        <xdr:cNvGrpSpPr/>
      </xdr:nvGrpSpPr>
      <xdr:grpSpPr>
        <a:xfrm>
          <a:off x="20440801" y="20446999"/>
          <a:ext cx="5760000" cy="2052000"/>
          <a:chOff x="10024258" y="22936200"/>
          <a:chExt cx="5752592" cy="2160000"/>
        </a:xfrm>
      </xdr:grpSpPr>
      <xdr:graphicFrame macro="">
        <xdr:nvGraphicFramePr>
          <xdr:cNvPr id="75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"/>
          </a:graphicData>
        </a:graphic>
      </xdr:graphicFrame>
      <xdr:graphicFrame macro="">
        <xdr:nvGraphicFramePr>
          <xdr:cNvPr id="76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"/>
          </a:graphicData>
        </a:graphic>
      </xdr:graphicFrame>
    </xdr:grpSp>
    <xdr:clientData/>
  </xdr:twoCellAnchor>
  <xdr:twoCellAnchor>
    <xdr:from>
      <xdr:col>26</xdr:col>
      <xdr:colOff>8165</xdr:colOff>
      <xdr:row>68</xdr:row>
      <xdr:rowOff>108857</xdr:rowOff>
    </xdr:from>
    <xdr:to>
      <xdr:col>36</xdr:col>
      <xdr:colOff>98522</xdr:colOff>
      <xdr:row>79</xdr:row>
      <xdr:rowOff>165143</xdr:rowOff>
    </xdr:to>
    <xdr:grpSp>
      <xdr:nvGrpSpPr>
        <xdr:cNvPr id="77" name="Group 76"/>
        <xdr:cNvGrpSpPr/>
      </xdr:nvGrpSpPr>
      <xdr:grpSpPr>
        <a:xfrm>
          <a:off x="20427951" y="12772571"/>
          <a:ext cx="5760000" cy="2052001"/>
          <a:chOff x="16284300" y="18173700"/>
          <a:chExt cx="5762116" cy="2160000"/>
        </a:xfrm>
      </xdr:grpSpPr>
      <xdr:graphicFrame macro="">
        <xdr:nvGraphicFramePr>
          <xdr:cNvPr id="78" name="Chart 7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"/>
          </a:graphicData>
        </a:graphic>
      </xdr:graphicFrame>
      <xdr:grpSp>
        <xdr:nvGrpSpPr>
          <xdr:cNvPr id="79" name="Group 100"/>
          <xdr:cNvGrpSpPr/>
        </xdr:nvGrpSpPr>
        <xdr:grpSpPr>
          <a:xfrm>
            <a:off x="16284300" y="18173700"/>
            <a:ext cx="2880000" cy="2147252"/>
            <a:chOff x="16240350" y="18370050"/>
            <a:chExt cx="3600000" cy="2147252"/>
          </a:xfrm>
        </xdr:grpSpPr>
        <xdr:graphicFrame macro="">
          <xdr:nvGraphicFramePr>
            <xdr:cNvPr id="80" name="Chart 7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9"/>
            </a:graphicData>
          </a:graphic>
        </xdr:graphicFrame>
        <xdr:graphicFrame macro="">
          <xdr:nvGraphicFramePr>
            <xdr:cNvPr id="81" name="Chart 8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0"/>
            </a:graphicData>
          </a:graphic>
        </xdr:graphicFrame>
        <xdr:graphicFrame macro="">
          <xdr:nvGraphicFramePr>
            <xdr:cNvPr id="82" name="Chart 81"/>
            <xdr:cNvGraphicFramePr/>
          </xdr:nvGraphicFramePr>
          <xdr:xfrm>
            <a:off x="17130439" y="19437302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1"/>
            </a:graphicData>
          </a:graphic>
        </xdr:graphicFrame>
      </xdr:grpSp>
    </xdr:grpSp>
    <xdr:clientData/>
  </xdr:twoCellAnchor>
  <xdr:twoCellAnchor>
    <xdr:from>
      <xdr:col>26</xdr:col>
      <xdr:colOff>189262</xdr:colOff>
      <xdr:row>95</xdr:row>
      <xdr:rowOff>125999</xdr:rowOff>
    </xdr:from>
    <xdr:to>
      <xdr:col>36</xdr:col>
      <xdr:colOff>279619</xdr:colOff>
      <xdr:row>107</xdr:row>
      <xdr:rowOff>856</xdr:rowOff>
    </xdr:to>
    <xdr:grpSp>
      <xdr:nvGrpSpPr>
        <xdr:cNvPr id="83" name="Group 82"/>
        <xdr:cNvGrpSpPr/>
      </xdr:nvGrpSpPr>
      <xdr:grpSpPr>
        <a:xfrm>
          <a:off x="20609048" y="17688285"/>
          <a:ext cx="5760000" cy="2052000"/>
          <a:chOff x="8272909" y="19634932"/>
          <a:chExt cx="5753952" cy="2160000"/>
        </a:xfrm>
      </xdr:grpSpPr>
      <xdr:graphicFrame macro="">
        <xdr:nvGraphicFramePr>
          <xdr:cNvPr id="84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"/>
          </a:graphicData>
        </a:graphic>
      </xdr:graphicFrame>
      <xdr:graphicFrame macro="">
        <xdr:nvGraphicFramePr>
          <xdr:cNvPr id="85" name="Chart 84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"/>
          </a:graphicData>
        </a:graphic>
      </xdr:graphicFrame>
    </xdr:grpSp>
    <xdr:clientData/>
  </xdr:twoCellAnchor>
  <xdr:twoCellAnchor>
    <xdr:from>
      <xdr:col>37</xdr:col>
      <xdr:colOff>0</xdr:colOff>
      <xdr:row>101</xdr:row>
      <xdr:rowOff>0</xdr:rowOff>
    </xdr:from>
    <xdr:to>
      <xdr:col>37</xdr:col>
      <xdr:colOff>381000</xdr:colOff>
      <xdr:row>102</xdr:row>
      <xdr:rowOff>82550</xdr:rowOff>
    </xdr:to>
    <xdr:sp macro="" textlink="">
      <xdr:nvSpPr>
        <xdr:cNvPr id="19457" name="Text Box 1"/>
        <xdr:cNvSpPr txBox="1">
          <a:spLocks noChangeArrowheads="1"/>
        </xdr:cNvSpPr>
      </xdr:nvSpPr>
      <xdr:spPr bwMode="auto">
        <a:xfrm>
          <a:off x="27209750" y="18865850"/>
          <a:ext cx="3810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NZ" sz="1100" b="0" i="0" u="none" strike="noStrike" baseline="0">
              <a:solidFill>
                <a:srgbClr val="000000"/>
              </a:solidFill>
              <a:latin typeface="Calibri"/>
            </a:rPr>
            <a:t>PowerCo!</a:t>
          </a:r>
        </a:p>
      </xdr:txBody>
    </xdr:sp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0.5832</cdr:y>
    </cdr:from>
    <cdr:to>
      <cdr:x>1</cdr:x>
      <cdr:y>0.69843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585788" y="1270989"/>
          <a:ext cx="522671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0.23813</cdr:x>
      <cdr:y>0.36751</cdr:y>
    </cdr:from>
    <cdr:to>
      <cdr:x>0.54074</cdr:x>
      <cdr:y>0.43515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48986" y="658721"/>
          <a:ext cx="570556" cy="1212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PowerCo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0.29853</cdr:x>
      <cdr:y>0.39121</cdr:y>
    </cdr:from>
    <cdr:to>
      <cdr:x>0.58656</cdr:x>
      <cdr:y>0.4603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81484" y="701195"/>
          <a:ext cx="561026" cy="1238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PowerCo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0.72261</cdr:x>
      <cdr:y>0.59508</cdr:y>
    </cdr:from>
    <cdr:to>
      <cdr:x>1</cdr:x>
      <cdr:y>0.66175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656854" y="1066607"/>
          <a:ext cx="523005" cy="119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PowerCo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0.71206</cdr:x>
      <cdr:y>0.62455</cdr:y>
    </cdr:from>
    <cdr:to>
      <cdr:x>1</cdr:x>
      <cdr:y>0.71478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54758" y="1126835"/>
          <a:ext cx="547831" cy="162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PowerCo</a:t>
          </a:r>
          <a:endParaRPr lang="en-NZ" sz="800"/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0.70328</cdr:x>
      <cdr:y>0.65228</cdr:y>
    </cdr:from>
    <cdr:to>
      <cdr:x>1</cdr:x>
      <cdr:y>0.72053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60714" y="1128551"/>
          <a:ext cx="574097" cy="1180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PowerCo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0.72944</cdr:x>
      <cdr:y>0.56503</cdr:y>
    </cdr:from>
    <cdr:to>
      <cdr:x>1</cdr:x>
      <cdr:y>0.63366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18385" y="977587"/>
          <a:ext cx="523482" cy="1187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PowerCo</a:t>
          </a:r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21676</xdr:colOff>
      <xdr:row>18</xdr:row>
      <xdr:rowOff>9070</xdr:rowOff>
    </xdr:from>
    <xdr:to>
      <xdr:col>15</xdr:col>
      <xdr:colOff>273504</xdr:colOff>
      <xdr:row>28</xdr:row>
      <xdr:rowOff>165141</xdr:rowOff>
    </xdr:to>
    <xdr:grpSp>
      <xdr:nvGrpSpPr>
        <xdr:cNvPr id="2" name="Group 1"/>
        <xdr:cNvGrpSpPr/>
      </xdr:nvGrpSpPr>
      <xdr:grpSpPr>
        <a:xfrm flipH="1" flipV="1">
          <a:off x="7088319" y="3519713"/>
          <a:ext cx="5740042" cy="2051999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11972</xdr:colOff>
      <xdr:row>37</xdr:row>
      <xdr:rowOff>119381</xdr:rowOff>
    </xdr:from>
    <xdr:to>
      <xdr:col>15</xdr:col>
      <xdr:colOff>276500</xdr:colOff>
      <xdr:row>48</xdr:row>
      <xdr:rowOff>175667</xdr:rowOff>
    </xdr:to>
    <xdr:grpSp>
      <xdr:nvGrpSpPr>
        <xdr:cNvPr id="6" name="Group 5"/>
        <xdr:cNvGrpSpPr/>
      </xdr:nvGrpSpPr>
      <xdr:grpSpPr>
        <a:xfrm>
          <a:off x="7078615" y="7158810"/>
          <a:ext cx="5752742" cy="2052000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23765</xdr:colOff>
      <xdr:row>52</xdr:row>
      <xdr:rowOff>152400</xdr:rowOff>
    </xdr:from>
    <xdr:to>
      <xdr:col>15</xdr:col>
      <xdr:colOff>282851</xdr:colOff>
      <xdr:row>64</xdr:row>
      <xdr:rowOff>24535</xdr:rowOff>
    </xdr:to>
    <xdr:grpSp>
      <xdr:nvGrpSpPr>
        <xdr:cNvPr id="9" name="Group 8"/>
        <xdr:cNvGrpSpPr/>
      </xdr:nvGrpSpPr>
      <xdr:grpSpPr>
        <a:xfrm>
          <a:off x="7090408" y="9913257"/>
          <a:ext cx="5747300" cy="2049278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44666</xdr:colOff>
      <xdr:row>81</xdr:row>
      <xdr:rowOff>122372</xdr:rowOff>
    </xdr:from>
    <xdr:to>
      <xdr:col>15</xdr:col>
      <xdr:colOff>303752</xdr:colOff>
      <xdr:row>92</xdr:row>
      <xdr:rowOff>178658</xdr:rowOff>
    </xdr:to>
    <xdr:grpSp>
      <xdr:nvGrpSpPr>
        <xdr:cNvPr id="16" name="Group 15"/>
        <xdr:cNvGrpSpPr/>
      </xdr:nvGrpSpPr>
      <xdr:grpSpPr>
        <a:xfrm>
          <a:off x="7111309" y="15144658"/>
          <a:ext cx="5747300" cy="2052000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38430</xdr:colOff>
      <xdr:row>111</xdr:row>
      <xdr:rowOff>42635</xdr:rowOff>
    </xdr:from>
    <xdr:to>
      <xdr:col>15</xdr:col>
      <xdr:colOff>297516</xdr:colOff>
      <xdr:row>122</xdr:row>
      <xdr:rowOff>101642</xdr:rowOff>
    </xdr:to>
    <xdr:grpSp>
      <xdr:nvGrpSpPr>
        <xdr:cNvPr id="26" name="Group 25"/>
        <xdr:cNvGrpSpPr/>
      </xdr:nvGrpSpPr>
      <xdr:grpSpPr>
        <a:xfrm>
          <a:off x="7105073" y="20507778"/>
          <a:ext cx="5747300" cy="205472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18371</xdr:colOff>
      <xdr:row>134</xdr:row>
      <xdr:rowOff>154969</xdr:rowOff>
    </xdr:from>
    <xdr:to>
      <xdr:col>15</xdr:col>
      <xdr:colOff>295599</xdr:colOff>
      <xdr:row>145</xdr:row>
      <xdr:rowOff>175255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27778</xdr:colOff>
      <xdr:row>184</xdr:row>
      <xdr:rowOff>13491</xdr:rowOff>
    </xdr:from>
    <xdr:to>
      <xdr:col>15</xdr:col>
      <xdr:colOff>286864</xdr:colOff>
      <xdr:row>195</xdr:row>
      <xdr:rowOff>33776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38280</xdr:colOff>
      <xdr:row>67</xdr:row>
      <xdr:rowOff>134257</xdr:rowOff>
    </xdr:from>
    <xdr:to>
      <xdr:col>15</xdr:col>
      <xdr:colOff>297366</xdr:colOff>
      <xdr:row>79</xdr:row>
      <xdr:rowOff>6393</xdr:rowOff>
    </xdr:to>
    <xdr:grpSp>
      <xdr:nvGrpSpPr>
        <xdr:cNvPr id="37" name="Group 36"/>
        <xdr:cNvGrpSpPr/>
      </xdr:nvGrpSpPr>
      <xdr:grpSpPr>
        <a:xfrm>
          <a:off x="7104923" y="12616543"/>
          <a:ext cx="5747300" cy="2049279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35227</xdr:colOff>
      <xdr:row>96</xdr:row>
      <xdr:rowOff>81549</xdr:rowOff>
    </xdr:from>
    <xdr:to>
      <xdr:col>15</xdr:col>
      <xdr:colOff>294313</xdr:colOff>
      <xdr:row>107</xdr:row>
      <xdr:rowOff>140556</xdr:rowOff>
    </xdr:to>
    <xdr:grpSp>
      <xdr:nvGrpSpPr>
        <xdr:cNvPr id="44" name="Group 43"/>
        <xdr:cNvGrpSpPr/>
      </xdr:nvGrpSpPr>
      <xdr:grpSpPr>
        <a:xfrm>
          <a:off x="7101870" y="17825263"/>
          <a:ext cx="5747300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52917</xdr:colOff>
      <xdr:row>203</xdr:row>
      <xdr:rowOff>89959</xdr:rowOff>
    </xdr:from>
    <xdr:to>
      <xdr:col>15</xdr:col>
      <xdr:colOff>324703</xdr:colOff>
      <xdr:row>212</xdr:row>
      <xdr:rowOff>167101</xdr:rowOff>
    </xdr:to>
    <xdr:grpSp>
      <xdr:nvGrpSpPr>
        <xdr:cNvPr id="47" name="Group 46"/>
        <xdr:cNvGrpSpPr/>
      </xdr:nvGrpSpPr>
      <xdr:grpSpPr>
        <a:xfrm>
          <a:off x="7119560" y="37246530"/>
          <a:ext cx="5760000" cy="1710000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26458</xdr:colOff>
      <xdr:row>159</xdr:row>
      <xdr:rowOff>85725</xdr:rowOff>
    </xdr:from>
    <xdr:to>
      <xdr:col>15</xdr:col>
      <xdr:colOff>303686</xdr:colOff>
      <xdr:row>168</xdr:row>
      <xdr:rowOff>165589</xdr:rowOff>
    </xdr:to>
    <xdr:grpSp>
      <xdr:nvGrpSpPr>
        <xdr:cNvPr id="52" name="Group 51"/>
        <xdr:cNvGrpSpPr/>
      </xdr:nvGrpSpPr>
      <xdr:grpSpPr>
        <a:xfrm>
          <a:off x="7093101" y="29259439"/>
          <a:ext cx="5765442" cy="1712721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59367</xdr:colOff>
      <xdr:row>227</xdr:row>
      <xdr:rowOff>132350</xdr:rowOff>
    </xdr:from>
    <xdr:to>
      <xdr:col>15</xdr:col>
      <xdr:colOff>316639</xdr:colOff>
      <xdr:row>239</xdr:row>
      <xdr:rowOff>4486</xdr:rowOff>
    </xdr:to>
    <xdr:grpSp>
      <xdr:nvGrpSpPr>
        <xdr:cNvPr id="65" name="Group 64"/>
        <xdr:cNvGrpSpPr/>
      </xdr:nvGrpSpPr>
      <xdr:grpSpPr>
        <a:xfrm>
          <a:off x="7126010" y="41643207"/>
          <a:ext cx="5745486" cy="2049279"/>
          <a:chOff x="8549317" y="44207700"/>
          <a:chExt cx="5761366" cy="2160000"/>
        </a:xfrm>
      </xdr:grpSpPr>
      <xdr:graphicFrame macro="">
        <xdr:nvGraphicFramePr>
          <xdr:cNvPr id="66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7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</xdr:wsDr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0.78863</cdr:y>
    </cdr:from>
    <cdr:to>
      <cdr:x>1</cdr:x>
      <cdr:y>0.90386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58777" y="1718671"/>
          <a:ext cx="523226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0.77659</cdr:x>
      <cdr:y>0.5275</cdr:y>
    </cdr:from>
    <cdr:to>
      <cdr:x>1</cdr:x>
      <cdr:y>0.60891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33336" y="945475"/>
          <a:ext cx="421930" cy="1459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</a:t>
          </a:r>
          <a:endParaRPr lang="en-NZ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0.66537</cdr:x>
      <cdr:y>0.56413</cdr:y>
    </cdr:from>
    <cdr:to>
      <cdr:x>1</cdr:x>
      <cdr:y>0.64049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275662" y="1011142"/>
          <a:ext cx="631980" cy="1368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Scanpower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0.67189</cdr:x>
      <cdr:y>0.65885</cdr:y>
    </cdr:from>
    <cdr:to>
      <cdr:x>1</cdr:x>
      <cdr:y>0.726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63297" y="1180912"/>
          <a:ext cx="640159" cy="120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Scanpower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0.68256</cdr:x>
      <cdr:y>0.55256</cdr:y>
    </cdr:from>
    <cdr:to>
      <cdr:x>1</cdr:x>
      <cdr:y>0.62841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27177" y="990400"/>
          <a:ext cx="599514" cy="1359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Scanpower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0.67363</cdr:x>
      <cdr:y>0.37836</cdr:y>
    </cdr:from>
    <cdr:to>
      <cdr:x>1</cdr:x>
      <cdr:y>0.46331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56017" y="682642"/>
          <a:ext cx="622365" cy="1532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Scanpower</a:t>
          </a:r>
          <a:endParaRPr lang="en-NZ" sz="800"/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0.65437</cdr:x>
      <cdr:y>0.64318</cdr:y>
    </cdr:from>
    <cdr:to>
      <cdr:x>1</cdr:x>
      <cdr:y>0.71191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285939" y="1160440"/>
          <a:ext cx="659093" cy="124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Scanpower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0.68558</cdr:x>
      <cdr:y>0.21709</cdr:y>
    </cdr:from>
    <cdr:to>
      <cdr:x>1</cdr:x>
      <cdr:y>0.29004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83554" y="391677"/>
          <a:ext cx="599578" cy="131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Scanpower</a:t>
          </a:r>
        </a:p>
      </cdr:txBody>
    </cdr: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28026</xdr:colOff>
      <xdr:row>18</xdr:row>
      <xdr:rowOff>15420</xdr:rowOff>
    </xdr:from>
    <xdr:to>
      <xdr:col>15</xdr:col>
      <xdr:colOff>279854</xdr:colOff>
      <xdr:row>28</xdr:row>
      <xdr:rowOff>171491</xdr:rowOff>
    </xdr:to>
    <xdr:grpSp>
      <xdr:nvGrpSpPr>
        <xdr:cNvPr id="2" name="Group 1"/>
        <xdr:cNvGrpSpPr/>
      </xdr:nvGrpSpPr>
      <xdr:grpSpPr>
        <a:xfrm flipH="1" flipV="1">
          <a:off x="7094669" y="3526063"/>
          <a:ext cx="5740042" cy="2051999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31022</xdr:colOff>
      <xdr:row>37</xdr:row>
      <xdr:rowOff>100331</xdr:rowOff>
    </xdr:from>
    <xdr:to>
      <xdr:col>15</xdr:col>
      <xdr:colOff>295550</xdr:colOff>
      <xdr:row>48</xdr:row>
      <xdr:rowOff>156617</xdr:rowOff>
    </xdr:to>
    <xdr:grpSp>
      <xdr:nvGrpSpPr>
        <xdr:cNvPr id="6" name="Group 5"/>
        <xdr:cNvGrpSpPr/>
      </xdr:nvGrpSpPr>
      <xdr:grpSpPr>
        <a:xfrm>
          <a:off x="7097665" y="7139760"/>
          <a:ext cx="5752742" cy="2052000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11065</xdr:colOff>
      <xdr:row>52</xdr:row>
      <xdr:rowOff>139700</xdr:rowOff>
    </xdr:from>
    <xdr:to>
      <xdr:col>15</xdr:col>
      <xdr:colOff>270151</xdr:colOff>
      <xdr:row>64</xdr:row>
      <xdr:rowOff>11835</xdr:rowOff>
    </xdr:to>
    <xdr:grpSp>
      <xdr:nvGrpSpPr>
        <xdr:cNvPr id="9" name="Group 8"/>
        <xdr:cNvGrpSpPr/>
      </xdr:nvGrpSpPr>
      <xdr:grpSpPr>
        <a:xfrm>
          <a:off x="7077708" y="9900557"/>
          <a:ext cx="5747300" cy="2049278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31966</xdr:colOff>
      <xdr:row>81</xdr:row>
      <xdr:rowOff>122372</xdr:rowOff>
    </xdr:from>
    <xdr:to>
      <xdr:col>15</xdr:col>
      <xdr:colOff>291052</xdr:colOff>
      <xdr:row>92</xdr:row>
      <xdr:rowOff>178658</xdr:rowOff>
    </xdr:to>
    <xdr:grpSp>
      <xdr:nvGrpSpPr>
        <xdr:cNvPr id="16" name="Group 15"/>
        <xdr:cNvGrpSpPr/>
      </xdr:nvGrpSpPr>
      <xdr:grpSpPr>
        <a:xfrm>
          <a:off x="7098609" y="15144658"/>
          <a:ext cx="5747300" cy="2052000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19380</xdr:colOff>
      <xdr:row>111</xdr:row>
      <xdr:rowOff>48985</xdr:rowOff>
    </xdr:from>
    <xdr:to>
      <xdr:col>15</xdr:col>
      <xdr:colOff>278466</xdr:colOff>
      <xdr:row>122</xdr:row>
      <xdr:rowOff>107992</xdr:rowOff>
    </xdr:to>
    <xdr:grpSp>
      <xdr:nvGrpSpPr>
        <xdr:cNvPr id="26" name="Group 25"/>
        <xdr:cNvGrpSpPr/>
      </xdr:nvGrpSpPr>
      <xdr:grpSpPr>
        <a:xfrm>
          <a:off x="7086023" y="20514128"/>
          <a:ext cx="5747300" cy="205472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12021</xdr:colOff>
      <xdr:row>134</xdr:row>
      <xdr:rowOff>129569</xdr:rowOff>
    </xdr:from>
    <xdr:to>
      <xdr:col>15</xdr:col>
      <xdr:colOff>289249</xdr:colOff>
      <xdr:row>145</xdr:row>
      <xdr:rowOff>149855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21428</xdr:colOff>
      <xdr:row>184</xdr:row>
      <xdr:rowOff>13491</xdr:rowOff>
    </xdr:from>
    <xdr:to>
      <xdr:col>15</xdr:col>
      <xdr:colOff>280514</xdr:colOff>
      <xdr:row>195</xdr:row>
      <xdr:rowOff>33776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25580</xdr:colOff>
      <xdr:row>67</xdr:row>
      <xdr:rowOff>134257</xdr:rowOff>
    </xdr:from>
    <xdr:to>
      <xdr:col>15</xdr:col>
      <xdr:colOff>284666</xdr:colOff>
      <xdr:row>79</xdr:row>
      <xdr:rowOff>6393</xdr:rowOff>
    </xdr:to>
    <xdr:grpSp>
      <xdr:nvGrpSpPr>
        <xdr:cNvPr id="37" name="Group 36"/>
        <xdr:cNvGrpSpPr/>
      </xdr:nvGrpSpPr>
      <xdr:grpSpPr>
        <a:xfrm>
          <a:off x="7092223" y="12616543"/>
          <a:ext cx="5747300" cy="2049279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16177</xdr:colOff>
      <xdr:row>96</xdr:row>
      <xdr:rowOff>49799</xdr:rowOff>
    </xdr:from>
    <xdr:to>
      <xdr:col>15</xdr:col>
      <xdr:colOff>275263</xdr:colOff>
      <xdr:row>107</xdr:row>
      <xdr:rowOff>108806</xdr:rowOff>
    </xdr:to>
    <xdr:grpSp>
      <xdr:nvGrpSpPr>
        <xdr:cNvPr id="44" name="Group 43"/>
        <xdr:cNvGrpSpPr/>
      </xdr:nvGrpSpPr>
      <xdr:grpSpPr>
        <a:xfrm>
          <a:off x="7082820" y="17793513"/>
          <a:ext cx="5747300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27517</xdr:colOff>
      <xdr:row>203</xdr:row>
      <xdr:rowOff>109009</xdr:rowOff>
    </xdr:from>
    <xdr:to>
      <xdr:col>15</xdr:col>
      <xdr:colOff>299303</xdr:colOff>
      <xdr:row>213</xdr:row>
      <xdr:rowOff>2001</xdr:rowOff>
    </xdr:to>
    <xdr:grpSp>
      <xdr:nvGrpSpPr>
        <xdr:cNvPr id="47" name="Group 46"/>
        <xdr:cNvGrpSpPr/>
      </xdr:nvGrpSpPr>
      <xdr:grpSpPr>
        <a:xfrm>
          <a:off x="7094160" y="37265580"/>
          <a:ext cx="5760000" cy="1707278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26458</xdr:colOff>
      <xdr:row>159</xdr:row>
      <xdr:rowOff>92075</xdr:rowOff>
    </xdr:from>
    <xdr:to>
      <xdr:col>15</xdr:col>
      <xdr:colOff>303686</xdr:colOff>
      <xdr:row>168</xdr:row>
      <xdr:rowOff>171939</xdr:rowOff>
    </xdr:to>
    <xdr:grpSp>
      <xdr:nvGrpSpPr>
        <xdr:cNvPr id="52" name="Group 51"/>
        <xdr:cNvGrpSpPr/>
      </xdr:nvGrpSpPr>
      <xdr:grpSpPr>
        <a:xfrm>
          <a:off x="7093101" y="29265789"/>
          <a:ext cx="5765442" cy="1712721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9</xdr:col>
      <xdr:colOff>624517</xdr:colOff>
      <xdr:row>228</xdr:row>
      <xdr:rowOff>30750</xdr:rowOff>
    </xdr:from>
    <xdr:to>
      <xdr:col>19</xdr:col>
      <xdr:colOff>170589</xdr:colOff>
      <xdr:row>239</xdr:row>
      <xdr:rowOff>87036</xdr:rowOff>
    </xdr:to>
    <xdr:grpSp>
      <xdr:nvGrpSpPr>
        <xdr:cNvPr id="65" name="Group 64"/>
        <xdr:cNvGrpSpPr/>
      </xdr:nvGrpSpPr>
      <xdr:grpSpPr>
        <a:xfrm>
          <a:off x="9360303" y="41723036"/>
          <a:ext cx="5760000" cy="2052000"/>
          <a:chOff x="8549317" y="44207700"/>
          <a:chExt cx="5761366" cy="2160000"/>
        </a:xfrm>
      </xdr:grpSpPr>
      <xdr:graphicFrame macro="">
        <xdr:nvGraphicFramePr>
          <xdr:cNvPr id="66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7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</xdr:wsDr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0.55667</cdr:y>
    </cdr:from>
    <cdr:to>
      <cdr:x>1</cdr:x>
      <cdr:y>0.6719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56526" y="1142297"/>
          <a:ext cx="527337" cy="2364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0.69739</cdr:x>
      <cdr:y>0.06562</cdr:y>
    </cdr:from>
    <cdr:to>
      <cdr:x>1</cdr:x>
      <cdr:y>0.13326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42532" y="112202"/>
          <a:ext cx="574676" cy="1156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Tiop Energy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0.71197</cdr:x>
      <cdr:y>0.33229</cdr:y>
    </cdr:from>
    <cdr:to>
      <cdr:x>1</cdr:x>
      <cdr:y>0.40138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14935" y="568215"/>
          <a:ext cx="565077" cy="118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Top Energy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0.79003</cdr:x>
      <cdr:y>0.54084</cdr:y>
    </cdr:from>
    <cdr:to>
      <cdr:x>1</cdr:x>
      <cdr:y>0.61004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68244" y="969383"/>
          <a:ext cx="396548" cy="1240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</a:t>
          </a:r>
          <a:endParaRPr lang="en-NZ" sz="800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0.72261</cdr:x>
      <cdr:y>0.29319</cdr:y>
    </cdr:from>
    <cdr:to>
      <cdr:x>1</cdr:x>
      <cdr:y>0.35986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17640" y="501347"/>
          <a:ext cx="526781" cy="114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Top Energy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0.71206</cdr:x>
      <cdr:y>0.19741</cdr:y>
    </cdr:from>
    <cdr:to>
      <cdr:x>1</cdr:x>
      <cdr:y>0.28764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05872" y="356175"/>
          <a:ext cx="547831" cy="162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Top Energy</a:t>
          </a:r>
          <a:endParaRPr lang="en-NZ" sz="800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0.70328</cdr:x>
      <cdr:y>0.40321</cdr:y>
    </cdr:from>
    <cdr:to>
      <cdr:x>1</cdr:x>
      <cdr:y>0.47146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38116" y="727478"/>
          <a:ext cx="565825" cy="1231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Top Energy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0.72944</cdr:x>
      <cdr:y>0.10382</cdr:y>
    </cdr:from>
    <cdr:to>
      <cdr:x>1</cdr:x>
      <cdr:y>0.17245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39779" y="187319"/>
          <a:ext cx="514764" cy="123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Top Energy</a:t>
          </a:r>
        </a:p>
      </cdr:txBody>
    </cdr: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28026</xdr:colOff>
      <xdr:row>18</xdr:row>
      <xdr:rowOff>15420</xdr:rowOff>
    </xdr:from>
    <xdr:to>
      <xdr:col>15</xdr:col>
      <xdr:colOff>279854</xdr:colOff>
      <xdr:row>28</xdr:row>
      <xdr:rowOff>171491</xdr:rowOff>
    </xdr:to>
    <xdr:grpSp>
      <xdr:nvGrpSpPr>
        <xdr:cNvPr id="2" name="Group 1"/>
        <xdr:cNvGrpSpPr/>
      </xdr:nvGrpSpPr>
      <xdr:grpSpPr>
        <a:xfrm flipH="1" flipV="1">
          <a:off x="7094669" y="3526063"/>
          <a:ext cx="5740042" cy="2051999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11972</xdr:colOff>
      <xdr:row>37</xdr:row>
      <xdr:rowOff>125731</xdr:rowOff>
    </xdr:from>
    <xdr:to>
      <xdr:col>15</xdr:col>
      <xdr:colOff>276500</xdr:colOff>
      <xdr:row>48</xdr:row>
      <xdr:rowOff>182017</xdr:rowOff>
    </xdr:to>
    <xdr:grpSp>
      <xdr:nvGrpSpPr>
        <xdr:cNvPr id="6" name="Group 5"/>
        <xdr:cNvGrpSpPr/>
      </xdr:nvGrpSpPr>
      <xdr:grpSpPr>
        <a:xfrm>
          <a:off x="7078615" y="7165160"/>
          <a:ext cx="5752742" cy="2052000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17415</xdr:colOff>
      <xdr:row>52</xdr:row>
      <xdr:rowOff>146050</xdr:rowOff>
    </xdr:from>
    <xdr:to>
      <xdr:col>15</xdr:col>
      <xdr:colOff>276501</xdr:colOff>
      <xdr:row>64</xdr:row>
      <xdr:rowOff>18185</xdr:rowOff>
    </xdr:to>
    <xdr:grpSp>
      <xdr:nvGrpSpPr>
        <xdr:cNvPr id="9" name="Group 8"/>
        <xdr:cNvGrpSpPr/>
      </xdr:nvGrpSpPr>
      <xdr:grpSpPr>
        <a:xfrm>
          <a:off x="7084058" y="9906907"/>
          <a:ext cx="5747300" cy="2049278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19266</xdr:colOff>
      <xdr:row>81</xdr:row>
      <xdr:rowOff>103322</xdr:rowOff>
    </xdr:from>
    <xdr:to>
      <xdr:col>15</xdr:col>
      <xdr:colOff>278352</xdr:colOff>
      <xdr:row>92</xdr:row>
      <xdr:rowOff>159608</xdr:rowOff>
    </xdr:to>
    <xdr:grpSp>
      <xdr:nvGrpSpPr>
        <xdr:cNvPr id="16" name="Group 15"/>
        <xdr:cNvGrpSpPr/>
      </xdr:nvGrpSpPr>
      <xdr:grpSpPr>
        <a:xfrm>
          <a:off x="7085909" y="15125608"/>
          <a:ext cx="5747300" cy="2052000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19380</xdr:colOff>
      <xdr:row>111</xdr:row>
      <xdr:rowOff>68035</xdr:rowOff>
    </xdr:from>
    <xdr:to>
      <xdr:col>15</xdr:col>
      <xdr:colOff>278466</xdr:colOff>
      <xdr:row>122</xdr:row>
      <xdr:rowOff>127042</xdr:rowOff>
    </xdr:to>
    <xdr:grpSp>
      <xdr:nvGrpSpPr>
        <xdr:cNvPr id="26" name="Group 25"/>
        <xdr:cNvGrpSpPr/>
      </xdr:nvGrpSpPr>
      <xdr:grpSpPr>
        <a:xfrm>
          <a:off x="7086023" y="20533178"/>
          <a:ext cx="5747300" cy="205472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12021</xdr:colOff>
      <xdr:row>134</xdr:row>
      <xdr:rowOff>116869</xdr:rowOff>
    </xdr:from>
    <xdr:to>
      <xdr:col>15</xdr:col>
      <xdr:colOff>289249</xdr:colOff>
      <xdr:row>145</xdr:row>
      <xdr:rowOff>137155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21428</xdr:colOff>
      <xdr:row>184</xdr:row>
      <xdr:rowOff>26191</xdr:rowOff>
    </xdr:from>
    <xdr:to>
      <xdr:col>15</xdr:col>
      <xdr:colOff>280514</xdr:colOff>
      <xdr:row>195</xdr:row>
      <xdr:rowOff>46476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31930</xdr:colOff>
      <xdr:row>67</xdr:row>
      <xdr:rowOff>127907</xdr:rowOff>
    </xdr:from>
    <xdr:to>
      <xdr:col>15</xdr:col>
      <xdr:colOff>291016</xdr:colOff>
      <xdr:row>79</xdr:row>
      <xdr:rowOff>43</xdr:rowOff>
    </xdr:to>
    <xdr:grpSp>
      <xdr:nvGrpSpPr>
        <xdr:cNvPr id="37" name="Group 36"/>
        <xdr:cNvGrpSpPr/>
      </xdr:nvGrpSpPr>
      <xdr:grpSpPr>
        <a:xfrm>
          <a:off x="7098573" y="12610193"/>
          <a:ext cx="5747300" cy="2049279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16177</xdr:colOff>
      <xdr:row>96</xdr:row>
      <xdr:rowOff>56149</xdr:rowOff>
    </xdr:from>
    <xdr:to>
      <xdr:col>15</xdr:col>
      <xdr:colOff>275263</xdr:colOff>
      <xdr:row>107</xdr:row>
      <xdr:rowOff>115156</xdr:rowOff>
    </xdr:to>
    <xdr:grpSp>
      <xdr:nvGrpSpPr>
        <xdr:cNvPr id="44" name="Group 43"/>
        <xdr:cNvGrpSpPr/>
      </xdr:nvGrpSpPr>
      <xdr:grpSpPr>
        <a:xfrm>
          <a:off x="7082820" y="17799863"/>
          <a:ext cx="5747300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33867</xdr:colOff>
      <xdr:row>203</xdr:row>
      <xdr:rowOff>109009</xdr:rowOff>
    </xdr:from>
    <xdr:to>
      <xdr:col>15</xdr:col>
      <xdr:colOff>305653</xdr:colOff>
      <xdr:row>213</xdr:row>
      <xdr:rowOff>2001</xdr:rowOff>
    </xdr:to>
    <xdr:grpSp>
      <xdr:nvGrpSpPr>
        <xdr:cNvPr id="47" name="Group 46"/>
        <xdr:cNvGrpSpPr/>
      </xdr:nvGrpSpPr>
      <xdr:grpSpPr>
        <a:xfrm>
          <a:off x="7100510" y="37265580"/>
          <a:ext cx="5760000" cy="1707278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20108</xdr:colOff>
      <xdr:row>159</xdr:row>
      <xdr:rowOff>104775</xdr:rowOff>
    </xdr:from>
    <xdr:to>
      <xdr:col>15</xdr:col>
      <xdr:colOff>297336</xdr:colOff>
      <xdr:row>169</xdr:row>
      <xdr:rowOff>489</xdr:rowOff>
    </xdr:to>
    <xdr:grpSp>
      <xdr:nvGrpSpPr>
        <xdr:cNvPr id="52" name="Group 51"/>
        <xdr:cNvGrpSpPr/>
      </xdr:nvGrpSpPr>
      <xdr:grpSpPr>
        <a:xfrm>
          <a:off x="7086751" y="29278489"/>
          <a:ext cx="5765442" cy="1710000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10</xdr:col>
      <xdr:colOff>12425</xdr:colOff>
      <xdr:row>170</xdr:row>
      <xdr:rowOff>127907</xdr:rowOff>
    </xdr:from>
    <xdr:to>
      <xdr:col>19</xdr:col>
      <xdr:colOff>396697</xdr:colOff>
      <xdr:row>182</xdr:row>
      <xdr:rowOff>43</xdr:rowOff>
    </xdr:to>
    <xdr:grpSp>
      <xdr:nvGrpSpPr>
        <xdr:cNvPr id="56" name="Group 55"/>
        <xdr:cNvGrpSpPr/>
      </xdr:nvGrpSpPr>
      <xdr:grpSpPr>
        <a:xfrm>
          <a:off x="9582782" y="31297336"/>
          <a:ext cx="5763629" cy="2049278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8567</xdr:colOff>
      <xdr:row>227</xdr:row>
      <xdr:rowOff>126000</xdr:rowOff>
    </xdr:from>
    <xdr:to>
      <xdr:col>15</xdr:col>
      <xdr:colOff>265839</xdr:colOff>
      <xdr:row>238</xdr:row>
      <xdr:rowOff>182286</xdr:rowOff>
    </xdr:to>
    <xdr:grpSp>
      <xdr:nvGrpSpPr>
        <xdr:cNvPr id="65" name="Group 64"/>
        <xdr:cNvGrpSpPr/>
      </xdr:nvGrpSpPr>
      <xdr:grpSpPr>
        <a:xfrm>
          <a:off x="7075210" y="41636857"/>
          <a:ext cx="5745486" cy="2052000"/>
          <a:chOff x="8549317" y="44207700"/>
          <a:chExt cx="5761366" cy="2160000"/>
        </a:xfrm>
      </xdr:grpSpPr>
      <xdr:graphicFrame macro="">
        <xdr:nvGraphicFramePr>
          <xdr:cNvPr id="66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7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  <xdr:twoCellAnchor>
    <xdr:from>
      <xdr:col>26</xdr:col>
      <xdr:colOff>0</xdr:colOff>
      <xdr:row>55</xdr:row>
      <xdr:rowOff>0</xdr:rowOff>
    </xdr:from>
    <xdr:to>
      <xdr:col>36</xdr:col>
      <xdr:colOff>90357</xdr:colOff>
      <xdr:row>66</xdr:row>
      <xdr:rowOff>56285</xdr:rowOff>
    </xdr:to>
    <xdr:grpSp>
      <xdr:nvGrpSpPr>
        <xdr:cNvPr id="68" name="Group 67"/>
        <xdr:cNvGrpSpPr/>
      </xdr:nvGrpSpPr>
      <xdr:grpSpPr>
        <a:xfrm>
          <a:off x="20583071" y="10305143"/>
          <a:ext cx="5760000" cy="2051999"/>
          <a:chOff x="10016850" y="11887200"/>
          <a:chExt cx="5737500" cy="2160000"/>
        </a:xfrm>
      </xdr:grpSpPr>
      <xdr:graphicFrame macro="">
        <xdr:nvGraphicFramePr>
          <xdr:cNvPr id="69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"/>
          </a:graphicData>
        </a:graphic>
      </xdr:graphicFrame>
      <xdr:graphicFrame macro="">
        <xdr:nvGraphicFramePr>
          <xdr:cNvPr id="70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"/>
          </a:graphicData>
        </a:graphic>
      </xdr:graphicFrame>
    </xdr:grpSp>
    <xdr:clientData/>
  </xdr:twoCellAnchor>
  <xdr:twoCellAnchor>
    <xdr:from>
      <xdr:col>26</xdr:col>
      <xdr:colOff>14551</xdr:colOff>
      <xdr:row>82</xdr:row>
      <xdr:rowOff>71571</xdr:rowOff>
    </xdr:from>
    <xdr:to>
      <xdr:col>36</xdr:col>
      <xdr:colOff>104908</xdr:colOff>
      <xdr:row>93</xdr:row>
      <xdr:rowOff>127857</xdr:rowOff>
    </xdr:to>
    <xdr:grpSp>
      <xdr:nvGrpSpPr>
        <xdr:cNvPr id="71" name="Group 70"/>
        <xdr:cNvGrpSpPr/>
      </xdr:nvGrpSpPr>
      <xdr:grpSpPr>
        <a:xfrm>
          <a:off x="20597622" y="15275285"/>
          <a:ext cx="5760000" cy="2052001"/>
          <a:chOff x="10031401" y="18299700"/>
          <a:chExt cx="5722948" cy="2160000"/>
        </a:xfrm>
      </xdr:grpSpPr>
      <xdr:graphicFrame macro="">
        <xdr:nvGraphicFramePr>
          <xdr:cNvPr id="72" name="Average revenue per MW of electricity delivered"/>
          <xdr:cNvGraphicFramePr/>
        </xdr:nvGraphicFramePr>
        <xdr:xfrm>
          <a:off x="10031401" y="18299700"/>
          <a:ext cx="280426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"/>
          </a:graphicData>
        </a:graphic>
      </xdr:graphicFrame>
      <xdr:graphicFrame macro="">
        <xdr:nvGraphicFramePr>
          <xdr:cNvPr id="73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"/>
          </a:graphicData>
        </a:graphic>
      </xdr:graphicFrame>
    </xdr:grpSp>
    <xdr:clientData/>
  </xdr:twoCellAnchor>
  <xdr:twoCellAnchor>
    <xdr:from>
      <xdr:col>26</xdr:col>
      <xdr:colOff>21015</xdr:colOff>
      <xdr:row>110</xdr:row>
      <xdr:rowOff>163285</xdr:rowOff>
    </xdr:from>
    <xdr:to>
      <xdr:col>36</xdr:col>
      <xdr:colOff>111372</xdr:colOff>
      <xdr:row>122</xdr:row>
      <xdr:rowOff>38142</xdr:rowOff>
    </xdr:to>
    <xdr:grpSp>
      <xdr:nvGrpSpPr>
        <xdr:cNvPr id="74" name="Group 73"/>
        <xdr:cNvGrpSpPr/>
      </xdr:nvGrpSpPr>
      <xdr:grpSpPr>
        <a:xfrm>
          <a:off x="20604086" y="20446999"/>
          <a:ext cx="5760000" cy="2052000"/>
          <a:chOff x="10024258" y="22936200"/>
          <a:chExt cx="5752592" cy="2160000"/>
        </a:xfrm>
      </xdr:grpSpPr>
      <xdr:graphicFrame macro="">
        <xdr:nvGraphicFramePr>
          <xdr:cNvPr id="75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"/>
          </a:graphicData>
        </a:graphic>
      </xdr:graphicFrame>
      <xdr:graphicFrame macro="">
        <xdr:nvGraphicFramePr>
          <xdr:cNvPr id="76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"/>
          </a:graphicData>
        </a:graphic>
      </xdr:graphicFrame>
    </xdr:grpSp>
    <xdr:clientData/>
  </xdr:twoCellAnchor>
  <xdr:twoCellAnchor>
    <xdr:from>
      <xdr:col>26</xdr:col>
      <xdr:colOff>8165</xdr:colOff>
      <xdr:row>68</xdr:row>
      <xdr:rowOff>108857</xdr:rowOff>
    </xdr:from>
    <xdr:to>
      <xdr:col>36</xdr:col>
      <xdr:colOff>98522</xdr:colOff>
      <xdr:row>79</xdr:row>
      <xdr:rowOff>165143</xdr:rowOff>
    </xdr:to>
    <xdr:grpSp>
      <xdr:nvGrpSpPr>
        <xdr:cNvPr id="77" name="Group 76"/>
        <xdr:cNvGrpSpPr/>
      </xdr:nvGrpSpPr>
      <xdr:grpSpPr>
        <a:xfrm>
          <a:off x="20591236" y="12772571"/>
          <a:ext cx="5760000" cy="2052001"/>
          <a:chOff x="16284300" y="18173700"/>
          <a:chExt cx="5762116" cy="2160000"/>
        </a:xfrm>
      </xdr:grpSpPr>
      <xdr:graphicFrame macro="">
        <xdr:nvGraphicFramePr>
          <xdr:cNvPr id="78" name="Chart 7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"/>
          </a:graphicData>
        </a:graphic>
      </xdr:graphicFrame>
      <xdr:grpSp>
        <xdr:nvGrpSpPr>
          <xdr:cNvPr id="79" name="Group 100"/>
          <xdr:cNvGrpSpPr/>
        </xdr:nvGrpSpPr>
        <xdr:grpSpPr>
          <a:xfrm>
            <a:off x="16284300" y="18173700"/>
            <a:ext cx="2880000" cy="2147252"/>
            <a:chOff x="16240350" y="18370050"/>
            <a:chExt cx="3600000" cy="2147252"/>
          </a:xfrm>
        </xdr:grpSpPr>
        <xdr:graphicFrame macro="">
          <xdr:nvGraphicFramePr>
            <xdr:cNvPr id="80" name="Chart 7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9"/>
            </a:graphicData>
          </a:graphic>
        </xdr:graphicFrame>
        <xdr:graphicFrame macro="">
          <xdr:nvGraphicFramePr>
            <xdr:cNvPr id="81" name="Chart 8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0"/>
            </a:graphicData>
          </a:graphic>
        </xdr:graphicFrame>
        <xdr:graphicFrame macro="">
          <xdr:nvGraphicFramePr>
            <xdr:cNvPr id="82" name="Chart 81"/>
            <xdr:cNvGraphicFramePr/>
          </xdr:nvGraphicFramePr>
          <xdr:xfrm>
            <a:off x="17130439" y="19437302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1"/>
            </a:graphicData>
          </a:graphic>
        </xdr:graphicFrame>
      </xdr:grpSp>
    </xdr:grpSp>
    <xdr:clientData/>
  </xdr:twoCellAnchor>
  <xdr:twoCellAnchor>
    <xdr:from>
      <xdr:col>26</xdr:col>
      <xdr:colOff>189262</xdr:colOff>
      <xdr:row>95</xdr:row>
      <xdr:rowOff>125999</xdr:rowOff>
    </xdr:from>
    <xdr:to>
      <xdr:col>36</xdr:col>
      <xdr:colOff>279619</xdr:colOff>
      <xdr:row>107</xdr:row>
      <xdr:rowOff>856</xdr:rowOff>
    </xdr:to>
    <xdr:grpSp>
      <xdr:nvGrpSpPr>
        <xdr:cNvPr id="83" name="Group 82"/>
        <xdr:cNvGrpSpPr/>
      </xdr:nvGrpSpPr>
      <xdr:grpSpPr>
        <a:xfrm>
          <a:off x="20772333" y="17688285"/>
          <a:ext cx="5760000" cy="2052000"/>
          <a:chOff x="8272909" y="19634932"/>
          <a:chExt cx="5753952" cy="2160000"/>
        </a:xfrm>
      </xdr:grpSpPr>
      <xdr:graphicFrame macro="">
        <xdr:nvGraphicFramePr>
          <xdr:cNvPr id="84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"/>
          </a:graphicData>
        </a:graphic>
      </xdr:graphicFrame>
      <xdr:graphicFrame macro="">
        <xdr:nvGraphicFramePr>
          <xdr:cNvPr id="85" name="Chart 84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"/>
          </a:graphicData>
        </a:graphic>
      </xdr:graphicFrame>
    </xdr:grpSp>
    <xdr:clientData/>
  </xdr:twoCellAnchor>
</xdr:wsDr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0.75803</cdr:y>
    </cdr:from>
    <cdr:to>
      <cdr:x>1</cdr:x>
      <cdr:y>0.87326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34678" y="1651989"/>
          <a:ext cx="522671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0.66537</cdr:x>
      <cdr:y>0.36751</cdr:y>
    </cdr:from>
    <cdr:to>
      <cdr:x>1</cdr:x>
      <cdr:y>0.44387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15137" y="658720"/>
          <a:ext cx="630928" cy="1368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Unison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0.67189</cdr:x>
      <cdr:y>0.42503</cdr:y>
    </cdr:from>
    <cdr:to>
      <cdr:x>1</cdr:x>
      <cdr:y>0.49218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42507" y="761815"/>
          <a:ext cx="639094" cy="120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Unison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0.68256</cdr:x>
      <cdr:y>0.38251</cdr:y>
    </cdr:from>
    <cdr:to>
      <cdr:x>1</cdr:x>
      <cdr:y>0.45836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286933" y="685608"/>
          <a:ext cx="598517" cy="135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Unison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0.67363</cdr:x>
      <cdr:y>0.39419</cdr:y>
    </cdr:from>
    <cdr:to>
      <cdr:x>1</cdr:x>
      <cdr:y>0.47914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298959" y="711204"/>
          <a:ext cx="620948" cy="1532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Unison</a:t>
          </a:r>
          <a:endParaRPr lang="en-NZ" sz="8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0.80407</cdr:x>
      <cdr:y>0.46327</cdr:y>
    </cdr:from>
    <cdr:to>
      <cdr:x>1</cdr:x>
      <cdr:y>0.54062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702130" y="830364"/>
          <a:ext cx="382269" cy="1386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0.65437</cdr:x>
      <cdr:y>0.35281</cdr:y>
    </cdr:from>
    <cdr:to>
      <cdr:x>1</cdr:x>
      <cdr:y>0.42154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33564" y="636547"/>
          <a:ext cx="659093" cy="124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Unison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0.68558</cdr:x>
      <cdr:y>0.34379</cdr:y>
    </cdr:from>
    <cdr:to>
      <cdr:x>1</cdr:x>
      <cdr:y>0.41674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47673" y="620280"/>
          <a:ext cx="598212" cy="131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Unison</a:t>
          </a:r>
        </a:p>
      </cdr:txBody>
    </cdr: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21676</xdr:colOff>
      <xdr:row>18</xdr:row>
      <xdr:rowOff>9070</xdr:rowOff>
    </xdr:from>
    <xdr:to>
      <xdr:col>15</xdr:col>
      <xdr:colOff>273504</xdr:colOff>
      <xdr:row>28</xdr:row>
      <xdr:rowOff>165141</xdr:rowOff>
    </xdr:to>
    <xdr:grpSp>
      <xdr:nvGrpSpPr>
        <xdr:cNvPr id="2" name="Group 1"/>
        <xdr:cNvGrpSpPr/>
      </xdr:nvGrpSpPr>
      <xdr:grpSpPr>
        <a:xfrm flipH="1" flipV="1">
          <a:off x="7088319" y="3519713"/>
          <a:ext cx="5740042" cy="2051999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24672</xdr:colOff>
      <xdr:row>37</xdr:row>
      <xdr:rowOff>119381</xdr:rowOff>
    </xdr:from>
    <xdr:to>
      <xdr:col>15</xdr:col>
      <xdr:colOff>289200</xdr:colOff>
      <xdr:row>48</xdr:row>
      <xdr:rowOff>175667</xdr:rowOff>
    </xdr:to>
    <xdr:grpSp>
      <xdr:nvGrpSpPr>
        <xdr:cNvPr id="6" name="Group 5"/>
        <xdr:cNvGrpSpPr/>
      </xdr:nvGrpSpPr>
      <xdr:grpSpPr>
        <a:xfrm>
          <a:off x="7091315" y="7158810"/>
          <a:ext cx="5752742" cy="2052000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23765</xdr:colOff>
      <xdr:row>52</xdr:row>
      <xdr:rowOff>177800</xdr:rowOff>
    </xdr:from>
    <xdr:to>
      <xdr:col>15</xdr:col>
      <xdr:colOff>282851</xdr:colOff>
      <xdr:row>64</xdr:row>
      <xdr:rowOff>49935</xdr:rowOff>
    </xdr:to>
    <xdr:grpSp>
      <xdr:nvGrpSpPr>
        <xdr:cNvPr id="9" name="Group 8"/>
        <xdr:cNvGrpSpPr/>
      </xdr:nvGrpSpPr>
      <xdr:grpSpPr>
        <a:xfrm>
          <a:off x="7090408" y="9938657"/>
          <a:ext cx="5747300" cy="2049278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19266</xdr:colOff>
      <xdr:row>81</xdr:row>
      <xdr:rowOff>116022</xdr:rowOff>
    </xdr:from>
    <xdr:to>
      <xdr:col>15</xdr:col>
      <xdr:colOff>278352</xdr:colOff>
      <xdr:row>92</xdr:row>
      <xdr:rowOff>172308</xdr:rowOff>
    </xdr:to>
    <xdr:grpSp>
      <xdr:nvGrpSpPr>
        <xdr:cNvPr id="16" name="Group 15"/>
        <xdr:cNvGrpSpPr/>
      </xdr:nvGrpSpPr>
      <xdr:grpSpPr>
        <a:xfrm>
          <a:off x="7085909" y="15138308"/>
          <a:ext cx="5747300" cy="2052000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24</xdr:col>
      <xdr:colOff>246187</xdr:colOff>
      <xdr:row>101</xdr:row>
      <xdr:rowOff>126000</xdr:rowOff>
    </xdr:from>
    <xdr:to>
      <xdr:col>28</xdr:col>
      <xdr:colOff>0</xdr:colOff>
      <xdr:row>113</xdr:row>
      <xdr:rowOff>0</xdr:rowOff>
    </xdr:to>
    <xdr:graphicFrame macro="">
      <xdr:nvGraphicFramePr>
        <xdr:cNvPr id="21" name="Quantity of small connection point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0</xdr:colOff>
      <xdr:row>101</xdr:row>
      <xdr:rowOff>126000</xdr:rowOff>
    </xdr:from>
    <xdr:to>
      <xdr:col>31</xdr:col>
      <xdr:colOff>337219</xdr:colOff>
      <xdr:row>113</xdr:row>
      <xdr:rowOff>0</xdr:rowOff>
    </xdr:to>
    <xdr:graphicFrame macro="">
      <xdr:nvGraphicFramePr>
        <xdr:cNvPr id="22" name="Quantity of medium connection point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32</xdr:col>
      <xdr:colOff>0</xdr:colOff>
      <xdr:row>101</xdr:row>
      <xdr:rowOff>126000</xdr:rowOff>
    </xdr:from>
    <xdr:to>
      <xdr:col>35</xdr:col>
      <xdr:colOff>337219</xdr:colOff>
      <xdr:row>113</xdr:row>
      <xdr:rowOff>0</xdr:rowOff>
    </xdr:to>
    <xdr:graphicFrame macro="">
      <xdr:nvGraphicFramePr>
        <xdr:cNvPr id="23" name="Quantity of large connection point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25730</xdr:colOff>
      <xdr:row>111</xdr:row>
      <xdr:rowOff>61685</xdr:rowOff>
    </xdr:from>
    <xdr:to>
      <xdr:col>15</xdr:col>
      <xdr:colOff>284816</xdr:colOff>
      <xdr:row>122</xdr:row>
      <xdr:rowOff>120692</xdr:rowOff>
    </xdr:to>
    <xdr:grpSp>
      <xdr:nvGrpSpPr>
        <xdr:cNvPr id="26" name="Group 25"/>
        <xdr:cNvGrpSpPr/>
      </xdr:nvGrpSpPr>
      <xdr:grpSpPr>
        <a:xfrm>
          <a:off x="7092373" y="20526828"/>
          <a:ext cx="5747300" cy="205472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</xdr:grpSp>
    <xdr:clientData/>
  </xdr:twoCellAnchor>
  <xdr:twoCellAnchor>
    <xdr:from>
      <xdr:col>7</xdr:col>
      <xdr:colOff>24721</xdr:colOff>
      <xdr:row>134</xdr:row>
      <xdr:rowOff>148619</xdr:rowOff>
    </xdr:from>
    <xdr:to>
      <xdr:col>15</xdr:col>
      <xdr:colOff>301949</xdr:colOff>
      <xdr:row>145</xdr:row>
      <xdr:rowOff>168905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27778</xdr:colOff>
      <xdr:row>184</xdr:row>
      <xdr:rowOff>32541</xdr:rowOff>
    </xdr:from>
    <xdr:to>
      <xdr:col>15</xdr:col>
      <xdr:colOff>286864</xdr:colOff>
      <xdr:row>195</xdr:row>
      <xdr:rowOff>52826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25580</xdr:colOff>
      <xdr:row>67</xdr:row>
      <xdr:rowOff>127907</xdr:rowOff>
    </xdr:from>
    <xdr:to>
      <xdr:col>15</xdr:col>
      <xdr:colOff>284666</xdr:colOff>
      <xdr:row>79</xdr:row>
      <xdr:rowOff>43</xdr:rowOff>
    </xdr:to>
    <xdr:grpSp>
      <xdr:nvGrpSpPr>
        <xdr:cNvPr id="37" name="Group 36"/>
        <xdr:cNvGrpSpPr/>
      </xdr:nvGrpSpPr>
      <xdr:grpSpPr>
        <a:xfrm>
          <a:off x="7092223" y="12610193"/>
          <a:ext cx="5747300" cy="2049279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8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9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0"/>
            </a:graphicData>
          </a:graphic>
        </xdr:graphicFrame>
      </xdr:grpSp>
    </xdr:grpSp>
    <xdr:clientData/>
  </xdr:twoCellAnchor>
  <xdr:twoCellAnchor>
    <xdr:from>
      <xdr:col>7</xdr:col>
      <xdr:colOff>9827</xdr:colOff>
      <xdr:row>96</xdr:row>
      <xdr:rowOff>56149</xdr:rowOff>
    </xdr:from>
    <xdr:to>
      <xdr:col>15</xdr:col>
      <xdr:colOff>268913</xdr:colOff>
      <xdr:row>107</xdr:row>
      <xdr:rowOff>115156</xdr:rowOff>
    </xdr:to>
    <xdr:grpSp>
      <xdr:nvGrpSpPr>
        <xdr:cNvPr id="44" name="Group 43"/>
        <xdr:cNvGrpSpPr/>
      </xdr:nvGrpSpPr>
      <xdr:grpSpPr>
        <a:xfrm>
          <a:off x="7076470" y="17799863"/>
          <a:ext cx="5747300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twoCellAnchor>
    <xdr:from>
      <xdr:col>7</xdr:col>
      <xdr:colOff>40217</xdr:colOff>
      <xdr:row>203</xdr:row>
      <xdr:rowOff>109009</xdr:rowOff>
    </xdr:from>
    <xdr:to>
      <xdr:col>15</xdr:col>
      <xdr:colOff>312003</xdr:colOff>
      <xdr:row>213</xdr:row>
      <xdr:rowOff>2001</xdr:rowOff>
    </xdr:to>
    <xdr:grpSp>
      <xdr:nvGrpSpPr>
        <xdr:cNvPr id="47" name="Group 46"/>
        <xdr:cNvGrpSpPr/>
      </xdr:nvGrpSpPr>
      <xdr:grpSpPr>
        <a:xfrm>
          <a:off x="7106860" y="37265580"/>
          <a:ext cx="5760000" cy="1707278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26458</xdr:colOff>
      <xdr:row>159</xdr:row>
      <xdr:rowOff>104775</xdr:rowOff>
    </xdr:from>
    <xdr:to>
      <xdr:col>15</xdr:col>
      <xdr:colOff>303686</xdr:colOff>
      <xdr:row>169</xdr:row>
      <xdr:rowOff>489</xdr:rowOff>
    </xdr:to>
    <xdr:grpSp>
      <xdr:nvGrpSpPr>
        <xdr:cNvPr id="52" name="Group 51"/>
        <xdr:cNvGrpSpPr/>
      </xdr:nvGrpSpPr>
      <xdr:grpSpPr>
        <a:xfrm>
          <a:off x="7093101" y="29278489"/>
          <a:ext cx="5765442" cy="1710000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33967</xdr:colOff>
      <xdr:row>227</xdr:row>
      <xdr:rowOff>126000</xdr:rowOff>
    </xdr:from>
    <xdr:to>
      <xdr:col>15</xdr:col>
      <xdr:colOff>291239</xdr:colOff>
      <xdr:row>238</xdr:row>
      <xdr:rowOff>182286</xdr:rowOff>
    </xdr:to>
    <xdr:grpSp>
      <xdr:nvGrpSpPr>
        <xdr:cNvPr id="65" name="Group 64"/>
        <xdr:cNvGrpSpPr/>
      </xdr:nvGrpSpPr>
      <xdr:grpSpPr>
        <a:xfrm>
          <a:off x="7100610" y="41636857"/>
          <a:ext cx="5745486" cy="2052000"/>
          <a:chOff x="8549317" y="44207700"/>
          <a:chExt cx="5761366" cy="2160000"/>
        </a:xfrm>
      </xdr:grpSpPr>
      <xdr:graphicFrame macro="">
        <xdr:nvGraphicFramePr>
          <xdr:cNvPr id="66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  <xdr:graphicFrame macro="">
        <xdr:nvGraphicFramePr>
          <xdr:cNvPr id="67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"/>
          </a:graphicData>
        </a:graphic>
      </xdr:graphicFrame>
    </xdr:grpSp>
    <xdr:clientData/>
  </xdr:twoCellAnchor>
  <xdr:twoCellAnchor>
    <xdr:from>
      <xdr:col>10</xdr:col>
      <xdr:colOff>47804</xdr:colOff>
      <xdr:row>171</xdr:row>
      <xdr:rowOff>48078</xdr:rowOff>
    </xdr:from>
    <xdr:to>
      <xdr:col>19</xdr:col>
      <xdr:colOff>428447</xdr:colOff>
      <xdr:row>182</xdr:row>
      <xdr:rowOff>104364</xdr:rowOff>
    </xdr:to>
    <xdr:grpSp>
      <xdr:nvGrpSpPr>
        <xdr:cNvPr id="68" name="Group 67"/>
        <xdr:cNvGrpSpPr/>
      </xdr:nvGrpSpPr>
      <xdr:grpSpPr>
        <a:xfrm>
          <a:off x="9618161" y="31398935"/>
          <a:ext cx="5760000" cy="2052000"/>
          <a:chOff x="8873850" y="33903557"/>
          <a:chExt cx="5751107" cy="2177143"/>
        </a:xfrm>
      </xdr:grpSpPr>
      <xdr:graphicFrame macro="">
        <xdr:nvGraphicFramePr>
          <xdr:cNvPr id="69" name="Chart 68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"/>
          </a:graphicData>
        </a:graphic>
      </xdr:graphicFrame>
      <xdr:graphicFrame macro="">
        <xdr:nvGraphicFramePr>
          <xdr:cNvPr id="70" name="Chart 69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"/>
          </a:graphicData>
        </a:graphic>
      </xdr:graphicFrame>
    </xdr:grpSp>
    <xdr:clientData/>
  </xdr:twoCellAnchor>
</xdr:wsDr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0.40401</cdr:y>
    </cdr:from>
    <cdr:to>
      <cdr:x>1</cdr:x>
      <cdr:y>0.51924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58777" y="880471"/>
          <a:ext cx="523226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0.13581</cdr:x>
      <cdr:y>0.61727</cdr:y>
    </cdr:from>
    <cdr:to>
      <cdr:x>0.47044</cdr:x>
      <cdr:y>0.69363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56487" y="1106385"/>
          <a:ext cx="631980" cy="1368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l"/>
          <a:r>
            <a:rPr lang="en-NZ" sz="700"/>
            <a:t>Vector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0.17393</cdr:x>
      <cdr:y>0.61634</cdr:y>
    </cdr:from>
    <cdr:to>
      <cdr:x>0.50204</cdr:x>
      <cdr:y>0.68349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39347" y="1104712"/>
          <a:ext cx="640159" cy="120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l"/>
          <a:r>
            <a:rPr lang="en-NZ" sz="700"/>
            <a:t>Vector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0.15804</cdr:x>
      <cdr:y>0.61102</cdr:y>
    </cdr:from>
    <cdr:to>
      <cdr:x>0.47548</cdr:x>
      <cdr:y>0.68687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98477" y="1095175"/>
          <a:ext cx="599514" cy="1359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l"/>
          <a:r>
            <a:rPr lang="en-NZ" sz="700"/>
            <a:t>Vector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0.67363</cdr:x>
      <cdr:y>0.63176</cdr:y>
    </cdr:from>
    <cdr:to>
      <cdr:x>1</cdr:x>
      <cdr:y>0.71671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294092" y="1139836"/>
          <a:ext cx="622365" cy="1532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Vector</a:t>
          </a:r>
          <a:endParaRPr lang="en-NZ" sz="800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0.65437</cdr:x>
      <cdr:y>0.16276</cdr:y>
    </cdr:from>
    <cdr:to>
      <cdr:x>1</cdr:x>
      <cdr:y>0.23149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14514" y="293656"/>
          <a:ext cx="659093" cy="124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Vector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0.68558</cdr:x>
      <cdr:y>0.62359</cdr:y>
    </cdr:from>
    <cdr:to>
      <cdr:x>1</cdr:x>
      <cdr:y>0.69654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07354" y="1125102"/>
          <a:ext cx="599578" cy="131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Vector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0.80592</cdr:x>
      <cdr:y>0.64044</cdr:y>
    </cdr:from>
    <cdr:to>
      <cdr:x>1</cdr:x>
      <cdr:y>0.71453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55885" y="1155501"/>
          <a:ext cx="370097" cy="133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</a:t>
          </a:r>
          <a:endParaRPr lang="en-NZ" sz="1100"/>
        </a:p>
      </cdr:txBody>
    </cdr: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28026</xdr:colOff>
      <xdr:row>18</xdr:row>
      <xdr:rowOff>28120</xdr:rowOff>
    </xdr:from>
    <xdr:to>
      <xdr:col>15</xdr:col>
      <xdr:colOff>279854</xdr:colOff>
      <xdr:row>29</xdr:row>
      <xdr:rowOff>41</xdr:rowOff>
    </xdr:to>
    <xdr:grpSp>
      <xdr:nvGrpSpPr>
        <xdr:cNvPr id="2" name="Group 1"/>
        <xdr:cNvGrpSpPr/>
      </xdr:nvGrpSpPr>
      <xdr:grpSpPr>
        <a:xfrm flipH="1" flipV="1">
          <a:off x="7094669" y="3538763"/>
          <a:ext cx="5740042" cy="2049278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24672</xdr:colOff>
      <xdr:row>37</xdr:row>
      <xdr:rowOff>125731</xdr:rowOff>
    </xdr:from>
    <xdr:to>
      <xdr:col>15</xdr:col>
      <xdr:colOff>289200</xdr:colOff>
      <xdr:row>48</xdr:row>
      <xdr:rowOff>182017</xdr:rowOff>
    </xdr:to>
    <xdr:grpSp>
      <xdr:nvGrpSpPr>
        <xdr:cNvPr id="6" name="Group 5"/>
        <xdr:cNvGrpSpPr/>
      </xdr:nvGrpSpPr>
      <xdr:grpSpPr>
        <a:xfrm>
          <a:off x="7091315" y="7165160"/>
          <a:ext cx="5752742" cy="2052000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36465</xdr:colOff>
      <xdr:row>52</xdr:row>
      <xdr:rowOff>127000</xdr:rowOff>
    </xdr:from>
    <xdr:to>
      <xdr:col>15</xdr:col>
      <xdr:colOff>295551</xdr:colOff>
      <xdr:row>63</xdr:row>
      <xdr:rowOff>183285</xdr:rowOff>
    </xdr:to>
    <xdr:grpSp>
      <xdr:nvGrpSpPr>
        <xdr:cNvPr id="9" name="Group 8"/>
        <xdr:cNvGrpSpPr/>
      </xdr:nvGrpSpPr>
      <xdr:grpSpPr>
        <a:xfrm>
          <a:off x="7103108" y="9887857"/>
          <a:ext cx="5747300" cy="2051999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44666</xdr:colOff>
      <xdr:row>81</xdr:row>
      <xdr:rowOff>135072</xdr:rowOff>
    </xdr:from>
    <xdr:to>
      <xdr:col>15</xdr:col>
      <xdr:colOff>303752</xdr:colOff>
      <xdr:row>93</xdr:row>
      <xdr:rowOff>7208</xdr:rowOff>
    </xdr:to>
    <xdr:grpSp>
      <xdr:nvGrpSpPr>
        <xdr:cNvPr id="16" name="Group 15"/>
        <xdr:cNvGrpSpPr/>
      </xdr:nvGrpSpPr>
      <xdr:grpSpPr>
        <a:xfrm>
          <a:off x="7111309" y="15157358"/>
          <a:ext cx="5747300" cy="2049279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19380</xdr:colOff>
      <xdr:row>111</xdr:row>
      <xdr:rowOff>68035</xdr:rowOff>
    </xdr:from>
    <xdr:to>
      <xdr:col>15</xdr:col>
      <xdr:colOff>278466</xdr:colOff>
      <xdr:row>122</xdr:row>
      <xdr:rowOff>127042</xdr:rowOff>
    </xdr:to>
    <xdr:grpSp>
      <xdr:nvGrpSpPr>
        <xdr:cNvPr id="26" name="Group 25"/>
        <xdr:cNvGrpSpPr/>
      </xdr:nvGrpSpPr>
      <xdr:grpSpPr>
        <a:xfrm>
          <a:off x="7086023" y="20533178"/>
          <a:ext cx="5747300" cy="205472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24721</xdr:colOff>
      <xdr:row>135</xdr:row>
      <xdr:rowOff>15269</xdr:rowOff>
    </xdr:from>
    <xdr:to>
      <xdr:col>15</xdr:col>
      <xdr:colOff>301949</xdr:colOff>
      <xdr:row>146</xdr:row>
      <xdr:rowOff>35555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8728</xdr:colOff>
      <xdr:row>183</xdr:row>
      <xdr:rowOff>178591</xdr:rowOff>
    </xdr:from>
    <xdr:to>
      <xdr:col>15</xdr:col>
      <xdr:colOff>267814</xdr:colOff>
      <xdr:row>195</xdr:row>
      <xdr:rowOff>14726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31930</xdr:colOff>
      <xdr:row>67</xdr:row>
      <xdr:rowOff>134257</xdr:rowOff>
    </xdr:from>
    <xdr:to>
      <xdr:col>15</xdr:col>
      <xdr:colOff>291016</xdr:colOff>
      <xdr:row>79</xdr:row>
      <xdr:rowOff>6393</xdr:rowOff>
    </xdr:to>
    <xdr:grpSp>
      <xdr:nvGrpSpPr>
        <xdr:cNvPr id="37" name="Group 36"/>
        <xdr:cNvGrpSpPr/>
      </xdr:nvGrpSpPr>
      <xdr:grpSpPr>
        <a:xfrm>
          <a:off x="7098573" y="12616543"/>
          <a:ext cx="5747300" cy="2049279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9827</xdr:colOff>
      <xdr:row>96</xdr:row>
      <xdr:rowOff>56149</xdr:rowOff>
    </xdr:from>
    <xdr:to>
      <xdr:col>15</xdr:col>
      <xdr:colOff>268913</xdr:colOff>
      <xdr:row>107</xdr:row>
      <xdr:rowOff>115156</xdr:rowOff>
    </xdr:to>
    <xdr:grpSp>
      <xdr:nvGrpSpPr>
        <xdr:cNvPr id="44" name="Group 43"/>
        <xdr:cNvGrpSpPr/>
      </xdr:nvGrpSpPr>
      <xdr:grpSpPr>
        <a:xfrm>
          <a:off x="7076470" y="17799863"/>
          <a:ext cx="5747300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40217</xdr:colOff>
      <xdr:row>203</xdr:row>
      <xdr:rowOff>7409</xdr:rowOff>
    </xdr:from>
    <xdr:to>
      <xdr:col>15</xdr:col>
      <xdr:colOff>312003</xdr:colOff>
      <xdr:row>212</xdr:row>
      <xdr:rowOff>84551</xdr:rowOff>
    </xdr:to>
    <xdr:grpSp>
      <xdr:nvGrpSpPr>
        <xdr:cNvPr id="47" name="Group 46"/>
        <xdr:cNvGrpSpPr/>
      </xdr:nvGrpSpPr>
      <xdr:grpSpPr>
        <a:xfrm>
          <a:off x="7106860" y="37163980"/>
          <a:ext cx="5760000" cy="1710000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20108</xdr:colOff>
      <xdr:row>159</xdr:row>
      <xdr:rowOff>104775</xdr:rowOff>
    </xdr:from>
    <xdr:to>
      <xdr:col>15</xdr:col>
      <xdr:colOff>297336</xdr:colOff>
      <xdr:row>169</xdr:row>
      <xdr:rowOff>489</xdr:rowOff>
    </xdr:to>
    <xdr:grpSp>
      <xdr:nvGrpSpPr>
        <xdr:cNvPr id="52" name="Group 51"/>
        <xdr:cNvGrpSpPr/>
      </xdr:nvGrpSpPr>
      <xdr:grpSpPr>
        <a:xfrm>
          <a:off x="7086751" y="29278489"/>
          <a:ext cx="5765442" cy="1710000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40317</xdr:colOff>
      <xdr:row>227</xdr:row>
      <xdr:rowOff>126000</xdr:rowOff>
    </xdr:from>
    <xdr:to>
      <xdr:col>15</xdr:col>
      <xdr:colOff>297589</xdr:colOff>
      <xdr:row>238</xdr:row>
      <xdr:rowOff>182286</xdr:rowOff>
    </xdr:to>
    <xdr:grpSp>
      <xdr:nvGrpSpPr>
        <xdr:cNvPr id="65" name="Group 64"/>
        <xdr:cNvGrpSpPr/>
      </xdr:nvGrpSpPr>
      <xdr:grpSpPr>
        <a:xfrm>
          <a:off x="7106960" y="41636857"/>
          <a:ext cx="5745486" cy="2052000"/>
          <a:chOff x="8549317" y="44207700"/>
          <a:chExt cx="5761366" cy="2160000"/>
        </a:xfrm>
      </xdr:grpSpPr>
      <xdr:graphicFrame macro="">
        <xdr:nvGraphicFramePr>
          <xdr:cNvPr id="66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7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</xdr:wsDr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0.7187</cdr:y>
    </cdr:from>
    <cdr:to>
      <cdr:x>1</cdr:x>
      <cdr:y>0.83393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406402" y="1566271"/>
          <a:ext cx="523226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0.66537</cdr:x>
      <cdr:y>0.5907</cdr:y>
    </cdr:from>
    <cdr:to>
      <cdr:x>1</cdr:x>
      <cdr:y>0.66706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275662" y="1058760"/>
          <a:ext cx="631980" cy="1368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Waipa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0.67189</cdr:x>
      <cdr:y>0.58445</cdr:y>
    </cdr:from>
    <cdr:to>
      <cdr:x>1</cdr:x>
      <cdr:y>0.6516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87097" y="1047562"/>
          <a:ext cx="640159" cy="120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Waipa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0.68256</cdr:x>
      <cdr:y>0.62165</cdr:y>
    </cdr:from>
    <cdr:to>
      <cdr:x>1</cdr:x>
      <cdr:y>0.6975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298602" y="1114225"/>
          <a:ext cx="599514" cy="1359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Waipa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0.19758</cdr:x>
      <cdr:y>0.60536</cdr:y>
    </cdr:from>
    <cdr:to>
      <cdr:x>0.36564</cdr:x>
      <cdr:y>0.6951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76767" y="1092217"/>
          <a:ext cx="320490" cy="1619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ctr"/>
          <a:r>
            <a:rPr lang="en-NZ" sz="700"/>
            <a:t>Waipa</a:t>
          </a:r>
          <a:endParaRPr lang="en-NZ" sz="800"/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0.81816</cdr:x>
      <cdr:y>0.55342</cdr:y>
    </cdr:from>
    <cdr:to>
      <cdr:x>1</cdr:x>
      <cdr:y>0.62647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60183" y="998506"/>
          <a:ext cx="346749" cy="131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Waipa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0.68558</cdr:x>
      <cdr:y>0.41242</cdr:y>
    </cdr:from>
    <cdr:to>
      <cdr:x>1</cdr:x>
      <cdr:y>0.48537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64504" y="744102"/>
          <a:ext cx="599578" cy="131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Waipa</a:t>
          </a:r>
        </a:p>
      </cdr:txBody>
    </cdr: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28026</xdr:colOff>
      <xdr:row>17</xdr:row>
      <xdr:rowOff>180520</xdr:rowOff>
    </xdr:from>
    <xdr:to>
      <xdr:col>15</xdr:col>
      <xdr:colOff>279854</xdr:colOff>
      <xdr:row>28</xdr:row>
      <xdr:rowOff>152441</xdr:rowOff>
    </xdr:to>
    <xdr:grpSp>
      <xdr:nvGrpSpPr>
        <xdr:cNvPr id="2" name="Group 1"/>
        <xdr:cNvGrpSpPr/>
      </xdr:nvGrpSpPr>
      <xdr:grpSpPr>
        <a:xfrm flipH="1" flipV="1">
          <a:off x="7094669" y="3509734"/>
          <a:ext cx="5740042" cy="2049278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31022</xdr:colOff>
      <xdr:row>37</xdr:row>
      <xdr:rowOff>100331</xdr:rowOff>
    </xdr:from>
    <xdr:to>
      <xdr:col>15</xdr:col>
      <xdr:colOff>295550</xdr:colOff>
      <xdr:row>48</xdr:row>
      <xdr:rowOff>156617</xdr:rowOff>
    </xdr:to>
    <xdr:grpSp>
      <xdr:nvGrpSpPr>
        <xdr:cNvPr id="6" name="Group 5"/>
        <xdr:cNvGrpSpPr/>
      </xdr:nvGrpSpPr>
      <xdr:grpSpPr>
        <a:xfrm>
          <a:off x="7097665" y="7139760"/>
          <a:ext cx="5752742" cy="2052000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30115</xdr:colOff>
      <xdr:row>52</xdr:row>
      <xdr:rowOff>88900</xdr:rowOff>
    </xdr:from>
    <xdr:to>
      <xdr:col>15</xdr:col>
      <xdr:colOff>289201</xdr:colOff>
      <xdr:row>63</xdr:row>
      <xdr:rowOff>145185</xdr:rowOff>
    </xdr:to>
    <xdr:grpSp>
      <xdr:nvGrpSpPr>
        <xdr:cNvPr id="9" name="Group 8"/>
        <xdr:cNvGrpSpPr/>
      </xdr:nvGrpSpPr>
      <xdr:grpSpPr>
        <a:xfrm>
          <a:off x="7096758" y="9849757"/>
          <a:ext cx="5747300" cy="2051999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35141</xdr:colOff>
      <xdr:row>81</xdr:row>
      <xdr:rowOff>109672</xdr:rowOff>
    </xdr:from>
    <xdr:to>
      <xdr:col>15</xdr:col>
      <xdr:colOff>294227</xdr:colOff>
      <xdr:row>92</xdr:row>
      <xdr:rowOff>165958</xdr:rowOff>
    </xdr:to>
    <xdr:grpSp>
      <xdr:nvGrpSpPr>
        <xdr:cNvPr id="16" name="Group 15"/>
        <xdr:cNvGrpSpPr/>
      </xdr:nvGrpSpPr>
      <xdr:grpSpPr>
        <a:xfrm>
          <a:off x="7101784" y="15131958"/>
          <a:ext cx="5747300" cy="2052000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25730</xdr:colOff>
      <xdr:row>111</xdr:row>
      <xdr:rowOff>36285</xdr:rowOff>
    </xdr:from>
    <xdr:to>
      <xdr:col>15</xdr:col>
      <xdr:colOff>284816</xdr:colOff>
      <xdr:row>122</xdr:row>
      <xdr:rowOff>95292</xdr:rowOff>
    </xdr:to>
    <xdr:grpSp>
      <xdr:nvGrpSpPr>
        <xdr:cNvPr id="26" name="Group 25"/>
        <xdr:cNvGrpSpPr/>
      </xdr:nvGrpSpPr>
      <xdr:grpSpPr>
        <a:xfrm>
          <a:off x="7092373" y="20501428"/>
          <a:ext cx="5747300" cy="205472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31071</xdr:colOff>
      <xdr:row>134</xdr:row>
      <xdr:rowOff>110519</xdr:rowOff>
    </xdr:from>
    <xdr:to>
      <xdr:col>15</xdr:col>
      <xdr:colOff>308299</xdr:colOff>
      <xdr:row>145</xdr:row>
      <xdr:rowOff>130805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27778</xdr:colOff>
      <xdr:row>184</xdr:row>
      <xdr:rowOff>7141</xdr:rowOff>
    </xdr:from>
    <xdr:to>
      <xdr:col>15</xdr:col>
      <xdr:colOff>286864</xdr:colOff>
      <xdr:row>195</xdr:row>
      <xdr:rowOff>27426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38280</xdr:colOff>
      <xdr:row>67</xdr:row>
      <xdr:rowOff>108857</xdr:rowOff>
    </xdr:from>
    <xdr:to>
      <xdr:col>15</xdr:col>
      <xdr:colOff>297366</xdr:colOff>
      <xdr:row>78</xdr:row>
      <xdr:rowOff>165143</xdr:rowOff>
    </xdr:to>
    <xdr:grpSp>
      <xdr:nvGrpSpPr>
        <xdr:cNvPr id="37" name="Group 36"/>
        <xdr:cNvGrpSpPr/>
      </xdr:nvGrpSpPr>
      <xdr:grpSpPr>
        <a:xfrm>
          <a:off x="7104923" y="12591143"/>
          <a:ext cx="5747300" cy="2052000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22527</xdr:colOff>
      <xdr:row>96</xdr:row>
      <xdr:rowOff>49799</xdr:rowOff>
    </xdr:from>
    <xdr:to>
      <xdr:col>15</xdr:col>
      <xdr:colOff>281613</xdr:colOff>
      <xdr:row>107</xdr:row>
      <xdr:rowOff>108806</xdr:rowOff>
    </xdr:to>
    <xdr:grpSp>
      <xdr:nvGrpSpPr>
        <xdr:cNvPr id="44" name="Group 43"/>
        <xdr:cNvGrpSpPr/>
      </xdr:nvGrpSpPr>
      <xdr:grpSpPr>
        <a:xfrm>
          <a:off x="7089170" y="17793513"/>
          <a:ext cx="5747300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30692</xdr:colOff>
      <xdr:row>203</xdr:row>
      <xdr:rowOff>99484</xdr:rowOff>
    </xdr:from>
    <xdr:to>
      <xdr:col>15</xdr:col>
      <xdr:colOff>302478</xdr:colOff>
      <xdr:row>212</xdr:row>
      <xdr:rowOff>176626</xdr:rowOff>
    </xdr:to>
    <xdr:grpSp>
      <xdr:nvGrpSpPr>
        <xdr:cNvPr id="47" name="Group 46"/>
        <xdr:cNvGrpSpPr/>
      </xdr:nvGrpSpPr>
      <xdr:grpSpPr>
        <a:xfrm>
          <a:off x="7097335" y="37256055"/>
          <a:ext cx="5760000" cy="1710000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39158</xdr:colOff>
      <xdr:row>159</xdr:row>
      <xdr:rowOff>98425</xdr:rowOff>
    </xdr:from>
    <xdr:to>
      <xdr:col>15</xdr:col>
      <xdr:colOff>316386</xdr:colOff>
      <xdr:row>168</xdr:row>
      <xdr:rowOff>178289</xdr:rowOff>
    </xdr:to>
    <xdr:grpSp>
      <xdr:nvGrpSpPr>
        <xdr:cNvPr id="52" name="Group 51"/>
        <xdr:cNvGrpSpPr/>
      </xdr:nvGrpSpPr>
      <xdr:grpSpPr>
        <a:xfrm>
          <a:off x="7105801" y="29272139"/>
          <a:ext cx="5765442" cy="1712721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46667</xdr:colOff>
      <xdr:row>227</xdr:row>
      <xdr:rowOff>106950</xdr:rowOff>
    </xdr:from>
    <xdr:to>
      <xdr:col>15</xdr:col>
      <xdr:colOff>303939</xdr:colOff>
      <xdr:row>238</xdr:row>
      <xdr:rowOff>163236</xdr:rowOff>
    </xdr:to>
    <xdr:grpSp>
      <xdr:nvGrpSpPr>
        <xdr:cNvPr id="65" name="Group 64"/>
        <xdr:cNvGrpSpPr/>
      </xdr:nvGrpSpPr>
      <xdr:grpSpPr>
        <a:xfrm>
          <a:off x="7113310" y="41617807"/>
          <a:ext cx="5745486" cy="2052000"/>
          <a:chOff x="8549317" y="44207700"/>
          <a:chExt cx="5761366" cy="2160000"/>
        </a:xfrm>
      </xdr:grpSpPr>
      <xdr:graphicFrame macro="">
        <xdr:nvGraphicFramePr>
          <xdr:cNvPr id="66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7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</xdr:wsDr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0.77114</cdr:y>
    </cdr:from>
    <cdr:to>
      <cdr:x>1</cdr:x>
      <cdr:y>0.88637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463552" y="1680571"/>
          <a:ext cx="523226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0.80094</cdr:x>
      <cdr:y>0.70771</cdr:y>
    </cdr:from>
    <cdr:to>
      <cdr:x>1</cdr:x>
      <cdr:y>0.78708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46388" y="1276867"/>
          <a:ext cx="379594" cy="1432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0.66537</cdr:x>
      <cdr:y>0.10711</cdr:y>
    </cdr:from>
    <cdr:to>
      <cdr:x>1</cdr:x>
      <cdr:y>0.18347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80437" y="191985"/>
          <a:ext cx="631980" cy="1368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WEL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0.67189</cdr:x>
      <cdr:y>0.14338</cdr:y>
    </cdr:from>
    <cdr:to>
      <cdr:x>1</cdr:x>
      <cdr:y>0.21053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96622" y="256987"/>
          <a:ext cx="640159" cy="120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WEL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0.68256</cdr:x>
      <cdr:y>0.09023</cdr:y>
    </cdr:from>
    <cdr:to>
      <cdr:x>1</cdr:x>
      <cdr:y>0.16608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70052" y="161725"/>
          <a:ext cx="599514" cy="1359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WEL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0.67363</cdr:x>
      <cdr:y>0.57897</cdr:y>
    </cdr:from>
    <cdr:to>
      <cdr:x>1</cdr:x>
      <cdr:y>0.66392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284567" y="1044592"/>
          <a:ext cx="622365" cy="1532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WEL</a:t>
          </a:r>
          <a:endParaRPr lang="en-NZ" sz="800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0.65437</cdr:x>
      <cdr:y>0.37921</cdr:y>
    </cdr:from>
    <cdr:to>
      <cdr:x>1</cdr:x>
      <cdr:y>0.44794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257364" y="684181"/>
          <a:ext cx="659093" cy="124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WEL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0.68558</cdr:x>
      <cdr:y>0.43882</cdr:y>
    </cdr:from>
    <cdr:to>
      <cdr:x>1</cdr:x>
      <cdr:y>0.51177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83554" y="791727"/>
          <a:ext cx="599578" cy="131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WEL</a:t>
          </a:r>
        </a:p>
      </cdr:txBody>
    </cdr: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31750</xdr:colOff>
      <xdr:row>18</xdr:row>
      <xdr:rowOff>23441</xdr:rowOff>
    </xdr:from>
    <xdr:to>
      <xdr:col>15</xdr:col>
      <xdr:colOff>282671</xdr:colOff>
      <xdr:row>28</xdr:row>
      <xdr:rowOff>179512</xdr:rowOff>
    </xdr:to>
    <xdr:grpSp>
      <xdr:nvGrpSpPr>
        <xdr:cNvPr id="2" name="Group 1"/>
        <xdr:cNvGrpSpPr/>
      </xdr:nvGrpSpPr>
      <xdr:grpSpPr>
        <a:xfrm flipH="1" flipV="1">
          <a:off x="7098393" y="3534084"/>
          <a:ext cx="5739135" cy="2051999"/>
          <a:chOff x="1754756" y="2651598"/>
          <a:chExt cx="384643" cy="393790"/>
        </a:xfrm>
      </xdr:grpSpPr>
      <xdr:graphicFrame macro="">
        <xdr:nvGraphicFramePr>
          <xdr:cNvPr id="3" name="Annual line charge"/>
          <xdr:cNvGraphicFramePr/>
        </xdr:nvGraphicFramePr>
        <xdr:xfrm>
          <a:off x="1947006" y="2651598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54756" y="2652087"/>
          <a:ext cx="192249" cy="3933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24672</xdr:colOff>
      <xdr:row>37</xdr:row>
      <xdr:rowOff>119382</xdr:rowOff>
    </xdr:from>
    <xdr:to>
      <xdr:col>15</xdr:col>
      <xdr:colOff>289200</xdr:colOff>
      <xdr:row>48</xdr:row>
      <xdr:rowOff>175668</xdr:rowOff>
    </xdr:to>
    <xdr:grpSp>
      <xdr:nvGrpSpPr>
        <xdr:cNvPr id="6" name="Group 5"/>
        <xdr:cNvGrpSpPr/>
      </xdr:nvGrpSpPr>
      <xdr:grpSpPr>
        <a:xfrm>
          <a:off x="7091315" y="7158811"/>
          <a:ext cx="5752742" cy="2052000"/>
          <a:chOff x="10016851" y="8656782"/>
          <a:chExt cx="5713672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1" y="8725168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17415</xdr:colOff>
      <xdr:row>52</xdr:row>
      <xdr:rowOff>139700</xdr:rowOff>
    </xdr:from>
    <xdr:to>
      <xdr:col>15</xdr:col>
      <xdr:colOff>276501</xdr:colOff>
      <xdr:row>64</xdr:row>
      <xdr:rowOff>11835</xdr:rowOff>
    </xdr:to>
    <xdr:grpSp>
      <xdr:nvGrpSpPr>
        <xdr:cNvPr id="9" name="Group 8"/>
        <xdr:cNvGrpSpPr/>
      </xdr:nvGrpSpPr>
      <xdr:grpSpPr>
        <a:xfrm>
          <a:off x="7084058" y="9900557"/>
          <a:ext cx="5747300" cy="2049278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12916</xdr:colOff>
      <xdr:row>81</xdr:row>
      <xdr:rowOff>116022</xdr:rowOff>
    </xdr:from>
    <xdr:to>
      <xdr:col>15</xdr:col>
      <xdr:colOff>272002</xdr:colOff>
      <xdr:row>92</xdr:row>
      <xdr:rowOff>172308</xdr:rowOff>
    </xdr:to>
    <xdr:grpSp>
      <xdr:nvGrpSpPr>
        <xdr:cNvPr id="16" name="Group 15"/>
        <xdr:cNvGrpSpPr/>
      </xdr:nvGrpSpPr>
      <xdr:grpSpPr>
        <a:xfrm>
          <a:off x="7079559" y="15138308"/>
          <a:ext cx="5747300" cy="2052000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25730</xdr:colOff>
      <xdr:row>111</xdr:row>
      <xdr:rowOff>87085</xdr:rowOff>
    </xdr:from>
    <xdr:to>
      <xdr:col>15</xdr:col>
      <xdr:colOff>284816</xdr:colOff>
      <xdr:row>122</xdr:row>
      <xdr:rowOff>146092</xdr:rowOff>
    </xdr:to>
    <xdr:grpSp>
      <xdr:nvGrpSpPr>
        <xdr:cNvPr id="26" name="Group 25"/>
        <xdr:cNvGrpSpPr/>
      </xdr:nvGrpSpPr>
      <xdr:grpSpPr>
        <a:xfrm>
          <a:off x="7092373" y="20552228"/>
          <a:ext cx="5747300" cy="205472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43771</xdr:colOff>
      <xdr:row>134</xdr:row>
      <xdr:rowOff>104169</xdr:rowOff>
    </xdr:from>
    <xdr:to>
      <xdr:col>15</xdr:col>
      <xdr:colOff>320999</xdr:colOff>
      <xdr:row>145</xdr:row>
      <xdr:rowOff>124455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27778</xdr:colOff>
      <xdr:row>184</xdr:row>
      <xdr:rowOff>13491</xdr:rowOff>
    </xdr:from>
    <xdr:to>
      <xdr:col>15</xdr:col>
      <xdr:colOff>286864</xdr:colOff>
      <xdr:row>195</xdr:row>
      <xdr:rowOff>33776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38280</xdr:colOff>
      <xdr:row>67</xdr:row>
      <xdr:rowOff>134257</xdr:rowOff>
    </xdr:from>
    <xdr:to>
      <xdr:col>15</xdr:col>
      <xdr:colOff>297366</xdr:colOff>
      <xdr:row>79</xdr:row>
      <xdr:rowOff>6393</xdr:rowOff>
    </xdr:to>
    <xdr:grpSp>
      <xdr:nvGrpSpPr>
        <xdr:cNvPr id="37" name="Group 36"/>
        <xdr:cNvGrpSpPr/>
      </xdr:nvGrpSpPr>
      <xdr:grpSpPr>
        <a:xfrm>
          <a:off x="7104923" y="12616543"/>
          <a:ext cx="5747300" cy="2049279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47927</xdr:colOff>
      <xdr:row>96</xdr:row>
      <xdr:rowOff>106949</xdr:rowOff>
    </xdr:from>
    <xdr:to>
      <xdr:col>15</xdr:col>
      <xdr:colOff>307013</xdr:colOff>
      <xdr:row>107</xdr:row>
      <xdr:rowOff>165956</xdr:rowOff>
    </xdr:to>
    <xdr:grpSp>
      <xdr:nvGrpSpPr>
        <xdr:cNvPr id="44" name="Group 43"/>
        <xdr:cNvGrpSpPr/>
      </xdr:nvGrpSpPr>
      <xdr:grpSpPr>
        <a:xfrm>
          <a:off x="7114570" y="17850663"/>
          <a:ext cx="5747300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46567</xdr:colOff>
      <xdr:row>203</xdr:row>
      <xdr:rowOff>109009</xdr:rowOff>
    </xdr:from>
    <xdr:to>
      <xdr:col>15</xdr:col>
      <xdr:colOff>318353</xdr:colOff>
      <xdr:row>213</xdr:row>
      <xdr:rowOff>2001</xdr:rowOff>
    </xdr:to>
    <xdr:grpSp>
      <xdr:nvGrpSpPr>
        <xdr:cNvPr id="47" name="Group 46"/>
        <xdr:cNvGrpSpPr/>
      </xdr:nvGrpSpPr>
      <xdr:grpSpPr>
        <a:xfrm>
          <a:off x="7113210" y="37265580"/>
          <a:ext cx="5760000" cy="1707278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40317</xdr:colOff>
      <xdr:row>227</xdr:row>
      <xdr:rowOff>119650</xdr:rowOff>
    </xdr:from>
    <xdr:to>
      <xdr:col>15</xdr:col>
      <xdr:colOff>297589</xdr:colOff>
      <xdr:row>238</xdr:row>
      <xdr:rowOff>175936</xdr:rowOff>
    </xdr:to>
    <xdr:grpSp>
      <xdr:nvGrpSpPr>
        <xdr:cNvPr id="65" name="Group 64"/>
        <xdr:cNvGrpSpPr/>
      </xdr:nvGrpSpPr>
      <xdr:grpSpPr>
        <a:xfrm>
          <a:off x="7106960" y="41630507"/>
          <a:ext cx="5745486" cy="2052000"/>
          <a:chOff x="8549317" y="44207700"/>
          <a:chExt cx="5761366" cy="2160000"/>
        </a:xfrm>
      </xdr:grpSpPr>
      <xdr:graphicFrame macro="">
        <xdr:nvGraphicFramePr>
          <xdr:cNvPr id="66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  <xdr:graphicFrame macro="">
        <xdr:nvGraphicFramePr>
          <xdr:cNvPr id="67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</xdr:grpSp>
    <xdr:clientData/>
  </xdr:twoCellAnchor>
  <xdr:twoCellAnchor>
    <xdr:from>
      <xdr:col>7</xdr:col>
      <xdr:colOff>23132</xdr:colOff>
      <xdr:row>159</xdr:row>
      <xdr:rowOff>113392</xdr:rowOff>
    </xdr:from>
    <xdr:to>
      <xdr:col>15</xdr:col>
      <xdr:colOff>298546</xdr:colOff>
      <xdr:row>169</xdr:row>
      <xdr:rowOff>9106</xdr:rowOff>
    </xdr:to>
    <xdr:grpSp>
      <xdr:nvGrpSpPr>
        <xdr:cNvPr id="68" name="Group 67"/>
        <xdr:cNvGrpSpPr/>
      </xdr:nvGrpSpPr>
      <xdr:grpSpPr>
        <a:xfrm>
          <a:off x="7089775" y="29287106"/>
          <a:ext cx="5763628" cy="1710000"/>
          <a:chOff x="9067800" y="30670500"/>
          <a:chExt cx="5738325" cy="2743200"/>
        </a:xfrm>
      </xdr:grpSpPr>
      <xdr:graphicFrame macro="">
        <xdr:nvGraphicFramePr>
          <xdr:cNvPr id="69" name="Chart 68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  <xdr:graphicFrame macro="">
        <xdr:nvGraphicFramePr>
          <xdr:cNvPr id="70" name="Chart 69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71" name="Chart 70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</xdr:wsDr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0.38653</cdr:y>
    </cdr:from>
    <cdr:to>
      <cdr:x>1</cdr:x>
      <cdr:y>0.50176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530227" y="842363"/>
          <a:ext cx="523226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0.66537</cdr:x>
      <cdr:y>0.67041</cdr:y>
    </cdr:from>
    <cdr:to>
      <cdr:x>1</cdr:x>
      <cdr:y>0.74677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271841" y="1201635"/>
          <a:ext cx="630928" cy="1368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Wellington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0.67189</cdr:x>
      <cdr:y>0.6202</cdr:y>
    </cdr:from>
    <cdr:to>
      <cdr:x>1</cdr:x>
      <cdr:y>0.68735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28720" y="1111640"/>
          <a:ext cx="639094" cy="120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Wellington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0.80094</cdr:x>
      <cdr:y>0.64538</cdr:y>
    </cdr:from>
    <cdr:to>
      <cdr:x>1</cdr:x>
      <cdr:y>0.71417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632113" y="1164411"/>
          <a:ext cx="379594" cy="124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</a:t>
          </a:r>
          <a:endParaRPr lang="en-NZ" sz="800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0.68256</cdr:x>
      <cdr:y>0.67914</cdr:y>
    </cdr:from>
    <cdr:to>
      <cdr:x>1</cdr:x>
      <cdr:y>0.75499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73524" y="1217269"/>
          <a:ext cx="598517" cy="1359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Wellington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0.67363</cdr:x>
      <cdr:y>0.59481</cdr:y>
    </cdr:from>
    <cdr:to>
      <cdr:x>1</cdr:x>
      <cdr:y>0.67976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284567" y="1073172"/>
          <a:ext cx="622365" cy="1532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Wellington</a:t>
          </a:r>
          <a:endParaRPr lang="en-NZ" sz="800"/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0.65437</cdr:x>
      <cdr:y>0.16804</cdr:y>
    </cdr:from>
    <cdr:to>
      <cdr:x>1</cdr:x>
      <cdr:y>0.23677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4039" y="303183"/>
          <a:ext cx="659093" cy="124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Wellington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0.68558</cdr:x>
      <cdr:y>0.58136</cdr:y>
    </cdr:from>
    <cdr:to>
      <cdr:x>1</cdr:x>
      <cdr:y>0.65431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54979" y="1048909"/>
          <a:ext cx="599578" cy="131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Wellington</a:t>
          </a:r>
        </a:p>
      </cdr:txBody>
    </cdr: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28026</xdr:colOff>
      <xdr:row>18</xdr:row>
      <xdr:rowOff>21770</xdr:rowOff>
    </xdr:from>
    <xdr:to>
      <xdr:col>15</xdr:col>
      <xdr:colOff>279854</xdr:colOff>
      <xdr:row>28</xdr:row>
      <xdr:rowOff>177841</xdr:rowOff>
    </xdr:to>
    <xdr:grpSp>
      <xdr:nvGrpSpPr>
        <xdr:cNvPr id="2" name="Group 1"/>
        <xdr:cNvGrpSpPr/>
      </xdr:nvGrpSpPr>
      <xdr:grpSpPr>
        <a:xfrm flipH="1" flipV="1">
          <a:off x="7094669" y="3532413"/>
          <a:ext cx="5740042" cy="2051999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24672</xdr:colOff>
      <xdr:row>37</xdr:row>
      <xdr:rowOff>125731</xdr:rowOff>
    </xdr:from>
    <xdr:to>
      <xdr:col>15</xdr:col>
      <xdr:colOff>289200</xdr:colOff>
      <xdr:row>48</xdr:row>
      <xdr:rowOff>182017</xdr:rowOff>
    </xdr:to>
    <xdr:grpSp>
      <xdr:nvGrpSpPr>
        <xdr:cNvPr id="6" name="Group 5"/>
        <xdr:cNvGrpSpPr/>
      </xdr:nvGrpSpPr>
      <xdr:grpSpPr>
        <a:xfrm>
          <a:off x="7091315" y="7165160"/>
          <a:ext cx="5752742" cy="2052000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49165</xdr:colOff>
      <xdr:row>53</xdr:row>
      <xdr:rowOff>107950</xdr:rowOff>
    </xdr:from>
    <xdr:to>
      <xdr:col>15</xdr:col>
      <xdr:colOff>308251</xdr:colOff>
      <xdr:row>64</xdr:row>
      <xdr:rowOff>164235</xdr:rowOff>
    </xdr:to>
    <xdr:grpSp>
      <xdr:nvGrpSpPr>
        <xdr:cNvPr id="9" name="Group 8"/>
        <xdr:cNvGrpSpPr/>
      </xdr:nvGrpSpPr>
      <xdr:grpSpPr>
        <a:xfrm>
          <a:off x="7115808" y="10050236"/>
          <a:ext cx="5747300" cy="2051999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38316</xdr:colOff>
      <xdr:row>81</xdr:row>
      <xdr:rowOff>122372</xdr:rowOff>
    </xdr:from>
    <xdr:to>
      <xdr:col>15</xdr:col>
      <xdr:colOff>297402</xdr:colOff>
      <xdr:row>92</xdr:row>
      <xdr:rowOff>178658</xdr:rowOff>
    </xdr:to>
    <xdr:grpSp>
      <xdr:nvGrpSpPr>
        <xdr:cNvPr id="16" name="Group 15"/>
        <xdr:cNvGrpSpPr/>
      </xdr:nvGrpSpPr>
      <xdr:grpSpPr>
        <a:xfrm>
          <a:off x="7104959" y="15144658"/>
          <a:ext cx="5747300" cy="2052000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51130</xdr:colOff>
      <xdr:row>111</xdr:row>
      <xdr:rowOff>118835</xdr:rowOff>
    </xdr:from>
    <xdr:to>
      <xdr:col>15</xdr:col>
      <xdr:colOff>310216</xdr:colOff>
      <xdr:row>122</xdr:row>
      <xdr:rowOff>177842</xdr:rowOff>
    </xdr:to>
    <xdr:grpSp>
      <xdr:nvGrpSpPr>
        <xdr:cNvPr id="26" name="Group 25"/>
        <xdr:cNvGrpSpPr/>
      </xdr:nvGrpSpPr>
      <xdr:grpSpPr>
        <a:xfrm>
          <a:off x="7117773" y="20583978"/>
          <a:ext cx="5747300" cy="205472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12021</xdr:colOff>
      <xdr:row>134</xdr:row>
      <xdr:rowOff>97819</xdr:rowOff>
    </xdr:from>
    <xdr:to>
      <xdr:col>15</xdr:col>
      <xdr:colOff>289249</xdr:colOff>
      <xdr:row>145</xdr:row>
      <xdr:rowOff>118105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21428</xdr:colOff>
      <xdr:row>184</xdr:row>
      <xdr:rowOff>791</xdr:rowOff>
    </xdr:from>
    <xdr:to>
      <xdr:col>15</xdr:col>
      <xdr:colOff>280514</xdr:colOff>
      <xdr:row>195</xdr:row>
      <xdr:rowOff>21076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57330</xdr:colOff>
      <xdr:row>67</xdr:row>
      <xdr:rowOff>108857</xdr:rowOff>
    </xdr:from>
    <xdr:to>
      <xdr:col>15</xdr:col>
      <xdr:colOff>316416</xdr:colOff>
      <xdr:row>78</xdr:row>
      <xdr:rowOff>165143</xdr:rowOff>
    </xdr:to>
    <xdr:grpSp>
      <xdr:nvGrpSpPr>
        <xdr:cNvPr id="37" name="Group 36"/>
        <xdr:cNvGrpSpPr/>
      </xdr:nvGrpSpPr>
      <xdr:grpSpPr>
        <a:xfrm>
          <a:off x="7123973" y="12591143"/>
          <a:ext cx="5747300" cy="2052000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47927</xdr:colOff>
      <xdr:row>96</xdr:row>
      <xdr:rowOff>125999</xdr:rowOff>
    </xdr:from>
    <xdr:to>
      <xdr:col>15</xdr:col>
      <xdr:colOff>307013</xdr:colOff>
      <xdr:row>108</xdr:row>
      <xdr:rowOff>856</xdr:rowOff>
    </xdr:to>
    <xdr:grpSp>
      <xdr:nvGrpSpPr>
        <xdr:cNvPr id="44" name="Group 43"/>
        <xdr:cNvGrpSpPr/>
      </xdr:nvGrpSpPr>
      <xdr:grpSpPr>
        <a:xfrm>
          <a:off x="7114570" y="17869713"/>
          <a:ext cx="5747300" cy="2052000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59267</xdr:colOff>
      <xdr:row>203</xdr:row>
      <xdr:rowOff>77259</xdr:rowOff>
    </xdr:from>
    <xdr:to>
      <xdr:col>15</xdr:col>
      <xdr:colOff>331053</xdr:colOff>
      <xdr:row>212</xdr:row>
      <xdr:rowOff>154401</xdr:rowOff>
    </xdr:to>
    <xdr:grpSp>
      <xdr:nvGrpSpPr>
        <xdr:cNvPr id="47" name="Group 46"/>
        <xdr:cNvGrpSpPr/>
      </xdr:nvGrpSpPr>
      <xdr:grpSpPr>
        <a:xfrm>
          <a:off x="7125910" y="37233830"/>
          <a:ext cx="5760000" cy="1710000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32808</xdr:colOff>
      <xdr:row>159</xdr:row>
      <xdr:rowOff>85725</xdr:rowOff>
    </xdr:from>
    <xdr:to>
      <xdr:col>15</xdr:col>
      <xdr:colOff>310036</xdr:colOff>
      <xdr:row>168</xdr:row>
      <xdr:rowOff>165589</xdr:rowOff>
    </xdr:to>
    <xdr:grpSp>
      <xdr:nvGrpSpPr>
        <xdr:cNvPr id="52" name="Group 51"/>
        <xdr:cNvGrpSpPr/>
      </xdr:nvGrpSpPr>
      <xdr:grpSpPr>
        <a:xfrm>
          <a:off x="7099451" y="29259439"/>
          <a:ext cx="5765442" cy="1712721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46667</xdr:colOff>
      <xdr:row>227</xdr:row>
      <xdr:rowOff>119650</xdr:rowOff>
    </xdr:from>
    <xdr:to>
      <xdr:col>15</xdr:col>
      <xdr:colOff>303939</xdr:colOff>
      <xdr:row>238</xdr:row>
      <xdr:rowOff>175936</xdr:rowOff>
    </xdr:to>
    <xdr:grpSp>
      <xdr:nvGrpSpPr>
        <xdr:cNvPr id="65" name="Group 64"/>
        <xdr:cNvGrpSpPr/>
      </xdr:nvGrpSpPr>
      <xdr:grpSpPr>
        <a:xfrm>
          <a:off x="7113310" y="41630507"/>
          <a:ext cx="5745486" cy="2052000"/>
          <a:chOff x="8549317" y="44207700"/>
          <a:chExt cx="5761366" cy="2160000"/>
        </a:xfrm>
      </xdr:grpSpPr>
      <xdr:graphicFrame macro="">
        <xdr:nvGraphicFramePr>
          <xdr:cNvPr id="66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7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</xdr:wsDr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0.73618</cdr:y>
    </cdr:from>
    <cdr:to>
      <cdr:x>1</cdr:x>
      <cdr:y>0.85141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463552" y="1604371"/>
          <a:ext cx="523226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0.66537</cdr:x>
      <cdr:y>0.63321</cdr:y>
    </cdr:from>
    <cdr:to>
      <cdr:x>1</cdr:x>
      <cdr:y>0.70957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13762" y="1134960"/>
          <a:ext cx="631980" cy="1368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Westpower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0.67189</cdr:x>
      <cdr:y>0.71199</cdr:y>
    </cdr:from>
    <cdr:to>
      <cdr:x>1</cdr:x>
      <cdr:y>0.77914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63297" y="1276162"/>
          <a:ext cx="640159" cy="1203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Westpower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0.68256</cdr:x>
      <cdr:y>0.38251</cdr:y>
    </cdr:from>
    <cdr:to>
      <cdr:x>1</cdr:x>
      <cdr:y>0.45836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60527" y="685600"/>
          <a:ext cx="599514" cy="1359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Westpower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0.67363</cdr:x>
      <cdr:y>0.15135</cdr:y>
    </cdr:from>
    <cdr:to>
      <cdr:x>1</cdr:x>
      <cdr:y>0.2363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03642" y="273067"/>
          <a:ext cx="622365" cy="1532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Westpower</a:t>
          </a:r>
          <a:endParaRPr lang="en-NZ" sz="8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34376</xdr:colOff>
      <xdr:row>17</xdr:row>
      <xdr:rowOff>136070</xdr:rowOff>
    </xdr:from>
    <xdr:to>
      <xdr:col>15</xdr:col>
      <xdr:colOff>286204</xdr:colOff>
      <xdr:row>28</xdr:row>
      <xdr:rowOff>107991</xdr:rowOff>
    </xdr:to>
    <xdr:grpSp>
      <xdr:nvGrpSpPr>
        <xdr:cNvPr id="2" name="Group 1"/>
        <xdr:cNvGrpSpPr/>
      </xdr:nvGrpSpPr>
      <xdr:grpSpPr>
        <a:xfrm flipH="1" flipV="1">
          <a:off x="7101019" y="3465284"/>
          <a:ext cx="5740042" cy="2049278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5622</xdr:colOff>
      <xdr:row>37</xdr:row>
      <xdr:rowOff>93981</xdr:rowOff>
    </xdr:from>
    <xdr:to>
      <xdr:col>15</xdr:col>
      <xdr:colOff>270150</xdr:colOff>
      <xdr:row>48</xdr:row>
      <xdr:rowOff>150267</xdr:rowOff>
    </xdr:to>
    <xdr:grpSp>
      <xdr:nvGrpSpPr>
        <xdr:cNvPr id="6" name="Group 5"/>
        <xdr:cNvGrpSpPr/>
      </xdr:nvGrpSpPr>
      <xdr:grpSpPr>
        <a:xfrm>
          <a:off x="7072265" y="7133410"/>
          <a:ext cx="5752742" cy="2052000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23765</xdr:colOff>
      <xdr:row>52</xdr:row>
      <xdr:rowOff>133350</xdr:rowOff>
    </xdr:from>
    <xdr:to>
      <xdr:col>15</xdr:col>
      <xdr:colOff>282851</xdr:colOff>
      <xdr:row>64</xdr:row>
      <xdr:rowOff>5485</xdr:rowOff>
    </xdr:to>
    <xdr:grpSp>
      <xdr:nvGrpSpPr>
        <xdr:cNvPr id="9" name="Group 8"/>
        <xdr:cNvGrpSpPr/>
      </xdr:nvGrpSpPr>
      <xdr:grpSpPr>
        <a:xfrm>
          <a:off x="7090408" y="9894207"/>
          <a:ext cx="5747300" cy="2049278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19266</xdr:colOff>
      <xdr:row>81</xdr:row>
      <xdr:rowOff>71572</xdr:rowOff>
    </xdr:from>
    <xdr:to>
      <xdr:col>15</xdr:col>
      <xdr:colOff>278352</xdr:colOff>
      <xdr:row>92</xdr:row>
      <xdr:rowOff>127858</xdr:rowOff>
    </xdr:to>
    <xdr:grpSp>
      <xdr:nvGrpSpPr>
        <xdr:cNvPr id="16" name="Group 15"/>
        <xdr:cNvGrpSpPr/>
      </xdr:nvGrpSpPr>
      <xdr:grpSpPr>
        <a:xfrm>
          <a:off x="7085909" y="15093858"/>
          <a:ext cx="5747300" cy="2052000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6680</xdr:colOff>
      <xdr:row>110</xdr:row>
      <xdr:rowOff>175985</xdr:rowOff>
    </xdr:from>
    <xdr:to>
      <xdr:col>15</xdr:col>
      <xdr:colOff>265766</xdr:colOff>
      <xdr:row>122</xdr:row>
      <xdr:rowOff>50842</xdr:rowOff>
    </xdr:to>
    <xdr:grpSp>
      <xdr:nvGrpSpPr>
        <xdr:cNvPr id="26" name="Group 25"/>
        <xdr:cNvGrpSpPr/>
      </xdr:nvGrpSpPr>
      <xdr:grpSpPr>
        <a:xfrm>
          <a:off x="7073323" y="20459699"/>
          <a:ext cx="5747300" cy="2052000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6</xdr:col>
      <xdr:colOff>837521</xdr:colOff>
      <xdr:row>134</xdr:row>
      <xdr:rowOff>154969</xdr:rowOff>
    </xdr:from>
    <xdr:to>
      <xdr:col>15</xdr:col>
      <xdr:colOff>276549</xdr:colOff>
      <xdr:row>145</xdr:row>
      <xdr:rowOff>175255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15078</xdr:colOff>
      <xdr:row>182</xdr:row>
      <xdr:rowOff>134141</xdr:rowOff>
    </xdr:from>
    <xdr:to>
      <xdr:col>15</xdr:col>
      <xdr:colOff>274164</xdr:colOff>
      <xdr:row>193</xdr:row>
      <xdr:rowOff>154426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6530</xdr:colOff>
      <xdr:row>67</xdr:row>
      <xdr:rowOff>83457</xdr:rowOff>
    </xdr:from>
    <xdr:to>
      <xdr:col>15</xdr:col>
      <xdr:colOff>265616</xdr:colOff>
      <xdr:row>78</xdr:row>
      <xdr:rowOff>139743</xdr:rowOff>
    </xdr:to>
    <xdr:grpSp>
      <xdr:nvGrpSpPr>
        <xdr:cNvPr id="37" name="Group 36"/>
        <xdr:cNvGrpSpPr/>
      </xdr:nvGrpSpPr>
      <xdr:grpSpPr>
        <a:xfrm>
          <a:off x="7073173" y="12565743"/>
          <a:ext cx="5747300" cy="2052000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22527</xdr:colOff>
      <xdr:row>96</xdr:row>
      <xdr:rowOff>11699</xdr:rowOff>
    </xdr:from>
    <xdr:to>
      <xdr:col>15</xdr:col>
      <xdr:colOff>281613</xdr:colOff>
      <xdr:row>107</xdr:row>
      <xdr:rowOff>70706</xdr:rowOff>
    </xdr:to>
    <xdr:grpSp>
      <xdr:nvGrpSpPr>
        <xdr:cNvPr id="44" name="Group 43"/>
        <xdr:cNvGrpSpPr/>
      </xdr:nvGrpSpPr>
      <xdr:grpSpPr>
        <a:xfrm>
          <a:off x="7089170" y="17755413"/>
          <a:ext cx="5747300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27517</xdr:colOff>
      <xdr:row>203</xdr:row>
      <xdr:rowOff>102659</xdr:rowOff>
    </xdr:from>
    <xdr:to>
      <xdr:col>15</xdr:col>
      <xdr:colOff>299303</xdr:colOff>
      <xdr:row>212</xdr:row>
      <xdr:rowOff>179801</xdr:rowOff>
    </xdr:to>
    <xdr:grpSp>
      <xdr:nvGrpSpPr>
        <xdr:cNvPr id="47" name="Group 46"/>
        <xdr:cNvGrpSpPr/>
      </xdr:nvGrpSpPr>
      <xdr:grpSpPr>
        <a:xfrm>
          <a:off x="7094160" y="37259230"/>
          <a:ext cx="5760000" cy="1710000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20108</xdr:colOff>
      <xdr:row>159</xdr:row>
      <xdr:rowOff>130175</xdr:rowOff>
    </xdr:from>
    <xdr:to>
      <xdr:col>15</xdr:col>
      <xdr:colOff>297336</xdr:colOff>
      <xdr:row>169</xdr:row>
      <xdr:rowOff>23168</xdr:rowOff>
    </xdr:to>
    <xdr:grpSp>
      <xdr:nvGrpSpPr>
        <xdr:cNvPr id="52" name="Group 51"/>
        <xdr:cNvGrpSpPr/>
      </xdr:nvGrpSpPr>
      <xdr:grpSpPr>
        <a:xfrm>
          <a:off x="7086751" y="29303889"/>
          <a:ext cx="5765442" cy="1707279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2217</xdr:colOff>
      <xdr:row>227</xdr:row>
      <xdr:rowOff>87900</xdr:rowOff>
    </xdr:from>
    <xdr:to>
      <xdr:col>15</xdr:col>
      <xdr:colOff>259489</xdr:colOff>
      <xdr:row>238</xdr:row>
      <xdr:rowOff>144186</xdr:rowOff>
    </xdr:to>
    <xdr:grpSp>
      <xdr:nvGrpSpPr>
        <xdr:cNvPr id="65" name="Group 64"/>
        <xdr:cNvGrpSpPr/>
      </xdr:nvGrpSpPr>
      <xdr:grpSpPr>
        <a:xfrm>
          <a:off x="7068860" y="41598757"/>
          <a:ext cx="5745486" cy="2052000"/>
          <a:chOff x="8549317" y="44207700"/>
          <a:chExt cx="5761366" cy="2160000"/>
        </a:xfrm>
      </xdr:grpSpPr>
      <xdr:graphicFrame macro="">
        <xdr:nvGraphicFramePr>
          <xdr:cNvPr id="66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7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</xdr:wsDr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0.65437</cdr:x>
      <cdr:y>0.36865</cdr:y>
    </cdr:from>
    <cdr:to>
      <cdr:x>1</cdr:x>
      <cdr:y>0.43738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257364" y="665131"/>
          <a:ext cx="659093" cy="1240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Westpower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0.68558</cdr:x>
      <cdr:y>0.17485</cdr:y>
    </cdr:from>
    <cdr:to>
      <cdr:x>1</cdr:x>
      <cdr:y>0.2478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78804" y="315477"/>
          <a:ext cx="599578" cy="131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Westpower</a:t>
          </a:r>
        </a:p>
      </cdr:txBody>
    </cdr: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21676</xdr:colOff>
      <xdr:row>17</xdr:row>
      <xdr:rowOff>59869</xdr:rowOff>
    </xdr:from>
    <xdr:to>
      <xdr:col>15</xdr:col>
      <xdr:colOff>273504</xdr:colOff>
      <xdr:row>28</xdr:row>
      <xdr:rowOff>142512</xdr:rowOff>
    </xdr:to>
    <xdr:grpSp>
      <xdr:nvGrpSpPr>
        <xdr:cNvPr id="2" name="Group 1"/>
        <xdr:cNvGrpSpPr/>
      </xdr:nvGrpSpPr>
      <xdr:grpSpPr>
        <a:xfrm flipH="1" flipV="1">
          <a:off x="7088319" y="3389083"/>
          <a:ext cx="5740042" cy="2160000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40547</xdr:colOff>
      <xdr:row>37</xdr:row>
      <xdr:rowOff>8256</xdr:rowOff>
    </xdr:from>
    <xdr:to>
      <xdr:col>15</xdr:col>
      <xdr:colOff>305075</xdr:colOff>
      <xdr:row>48</xdr:row>
      <xdr:rowOff>175263</xdr:rowOff>
    </xdr:to>
    <xdr:grpSp>
      <xdr:nvGrpSpPr>
        <xdr:cNvPr id="6" name="Group 5"/>
        <xdr:cNvGrpSpPr/>
      </xdr:nvGrpSpPr>
      <xdr:grpSpPr>
        <a:xfrm>
          <a:off x="7107190" y="7047685"/>
          <a:ext cx="5752742" cy="2162721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17415</xdr:colOff>
      <xdr:row>52</xdr:row>
      <xdr:rowOff>76200</xdr:rowOff>
    </xdr:from>
    <xdr:to>
      <xdr:col>15</xdr:col>
      <xdr:colOff>508000</xdr:colOff>
      <xdr:row>63</xdr:row>
      <xdr:rowOff>140700</xdr:rowOff>
    </xdr:to>
    <xdr:grpSp>
      <xdr:nvGrpSpPr>
        <xdr:cNvPr id="9" name="Group 8"/>
        <xdr:cNvGrpSpPr/>
      </xdr:nvGrpSpPr>
      <xdr:grpSpPr>
        <a:xfrm>
          <a:off x="7084058" y="9837057"/>
          <a:ext cx="5978799" cy="2060214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25616</xdr:colOff>
      <xdr:row>82</xdr:row>
      <xdr:rowOff>33472</xdr:rowOff>
    </xdr:from>
    <xdr:to>
      <xdr:col>15</xdr:col>
      <xdr:colOff>501649</xdr:colOff>
      <xdr:row>92</xdr:row>
      <xdr:rowOff>136073</xdr:rowOff>
    </xdr:to>
    <xdr:grpSp>
      <xdr:nvGrpSpPr>
        <xdr:cNvPr id="16" name="Group 15"/>
        <xdr:cNvGrpSpPr/>
      </xdr:nvGrpSpPr>
      <xdr:grpSpPr>
        <a:xfrm>
          <a:off x="7092259" y="15237186"/>
          <a:ext cx="5964247" cy="1916887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13030</xdr:colOff>
      <xdr:row>111</xdr:row>
      <xdr:rowOff>61686</xdr:rowOff>
    </xdr:from>
    <xdr:to>
      <xdr:col>15</xdr:col>
      <xdr:colOff>518707</xdr:colOff>
      <xdr:row>122</xdr:row>
      <xdr:rowOff>119836</xdr:rowOff>
    </xdr:to>
    <xdr:grpSp>
      <xdr:nvGrpSpPr>
        <xdr:cNvPr id="26" name="Group 25"/>
        <xdr:cNvGrpSpPr/>
      </xdr:nvGrpSpPr>
      <xdr:grpSpPr>
        <a:xfrm>
          <a:off x="7079673" y="20526829"/>
          <a:ext cx="5993891" cy="2053864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37421</xdr:colOff>
      <xdr:row>134</xdr:row>
      <xdr:rowOff>85119</xdr:rowOff>
    </xdr:from>
    <xdr:to>
      <xdr:col>15</xdr:col>
      <xdr:colOff>575604</xdr:colOff>
      <xdr:row>145</xdr:row>
      <xdr:rowOff>149619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21428</xdr:colOff>
      <xdr:row>184</xdr:row>
      <xdr:rowOff>13491</xdr:rowOff>
    </xdr:from>
    <xdr:to>
      <xdr:col>15</xdr:col>
      <xdr:colOff>533153</xdr:colOff>
      <xdr:row>194</xdr:row>
      <xdr:rowOff>52491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19230</xdr:colOff>
      <xdr:row>67</xdr:row>
      <xdr:rowOff>115207</xdr:rowOff>
    </xdr:from>
    <xdr:to>
      <xdr:col>15</xdr:col>
      <xdr:colOff>507216</xdr:colOff>
      <xdr:row>78</xdr:row>
      <xdr:rowOff>179707</xdr:rowOff>
    </xdr:to>
    <xdr:grpSp>
      <xdr:nvGrpSpPr>
        <xdr:cNvPr id="37" name="Group 36"/>
        <xdr:cNvGrpSpPr/>
      </xdr:nvGrpSpPr>
      <xdr:grpSpPr>
        <a:xfrm>
          <a:off x="7085873" y="12597493"/>
          <a:ext cx="5976200" cy="2060214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28877</xdr:colOff>
      <xdr:row>96</xdr:row>
      <xdr:rowOff>62500</xdr:rowOff>
    </xdr:from>
    <xdr:to>
      <xdr:col>15</xdr:col>
      <xdr:colOff>562552</xdr:colOff>
      <xdr:row>107</xdr:row>
      <xdr:rowOff>120650</xdr:rowOff>
    </xdr:to>
    <xdr:grpSp>
      <xdr:nvGrpSpPr>
        <xdr:cNvPr id="44" name="Group 43"/>
        <xdr:cNvGrpSpPr/>
      </xdr:nvGrpSpPr>
      <xdr:grpSpPr>
        <a:xfrm>
          <a:off x="7095520" y="17806214"/>
          <a:ext cx="6021889" cy="2053865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27517</xdr:colOff>
      <xdr:row>203</xdr:row>
      <xdr:rowOff>109009</xdr:rowOff>
    </xdr:from>
    <xdr:to>
      <xdr:col>15</xdr:col>
      <xdr:colOff>532875</xdr:colOff>
      <xdr:row>213</xdr:row>
      <xdr:rowOff>2739</xdr:rowOff>
    </xdr:to>
    <xdr:grpSp>
      <xdr:nvGrpSpPr>
        <xdr:cNvPr id="47" name="Group 46"/>
        <xdr:cNvGrpSpPr/>
      </xdr:nvGrpSpPr>
      <xdr:grpSpPr>
        <a:xfrm>
          <a:off x="7094160" y="37265580"/>
          <a:ext cx="5993572" cy="1708016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32808</xdr:colOff>
      <xdr:row>159</xdr:row>
      <xdr:rowOff>79375</xdr:rowOff>
    </xdr:from>
    <xdr:to>
      <xdr:col>15</xdr:col>
      <xdr:colOff>525466</xdr:colOff>
      <xdr:row>168</xdr:row>
      <xdr:rowOff>162758</xdr:rowOff>
    </xdr:to>
    <xdr:grpSp>
      <xdr:nvGrpSpPr>
        <xdr:cNvPr id="52" name="Group 51"/>
        <xdr:cNvGrpSpPr/>
      </xdr:nvGrpSpPr>
      <xdr:grpSpPr>
        <a:xfrm>
          <a:off x="7099451" y="29253089"/>
          <a:ext cx="5980872" cy="1716240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20</xdr:col>
      <xdr:colOff>13607</xdr:colOff>
      <xdr:row>182</xdr:row>
      <xdr:rowOff>0</xdr:rowOff>
    </xdr:to>
    <xdr:grpSp>
      <xdr:nvGrpSpPr>
        <xdr:cNvPr id="56" name="Group 55"/>
        <xdr:cNvGrpSpPr/>
      </xdr:nvGrpSpPr>
      <xdr:grpSpPr>
        <a:xfrm>
          <a:off x="9503861" y="31278286"/>
          <a:ext cx="6058175" cy="2068285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20</xdr:col>
      <xdr:colOff>15300</xdr:colOff>
      <xdr:row>226</xdr:row>
      <xdr:rowOff>64500</xdr:rowOff>
    </xdr:to>
    <xdr:grpSp>
      <xdr:nvGrpSpPr>
        <xdr:cNvPr id="59" name="Group 58"/>
        <xdr:cNvGrpSpPr/>
      </xdr:nvGrpSpPr>
      <xdr:grpSpPr>
        <a:xfrm>
          <a:off x="9503861" y="39333714"/>
          <a:ext cx="6059868" cy="2060215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40317</xdr:colOff>
      <xdr:row>227</xdr:row>
      <xdr:rowOff>113300</xdr:rowOff>
    </xdr:from>
    <xdr:to>
      <xdr:col>15</xdr:col>
      <xdr:colOff>578808</xdr:colOff>
      <xdr:row>238</xdr:row>
      <xdr:rowOff>177800</xdr:rowOff>
    </xdr:to>
    <xdr:grpSp>
      <xdr:nvGrpSpPr>
        <xdr:cNvPr id="65" name="Group 64"/>
        <xdr:cNvGrpSpPr/>
      </xdr:nvGrpSpPr>
      <xdr:grpSpPr>
        <a:xfrm>
          <a:off x="7106960" y="41624157"/>
          <a:ext cx="6026705" cy="2060214"/>
          <a:chOff x="8549317" y="44207700"/>
          <a:chExt cx="5761366" cy="2160000"/>
        </a:xfrm>
      </xdr:grpSpPr>
      <xdr:graphicFrame macro="">
        <xdr:nvGraphicFramePr>
          <xdr:cNvPr id="66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7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</xdr:wsDr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0.64003</cdr:y>
    </cdr:from>
    <cdr:to>
      <cdr:x>1</cdr:x>
      <cdr:y>0.75526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406402" y="1394821"/>
          <a:ext cx="523226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0.11516</cdr:x>
      <cdr:y>0.19214</cdr:y>
    </cdr:from>
    <cdr:to>
      <cdr:x>0.54609</cdr:x>
      <cdr:y>0.2598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17493" y="344385"/>
          <a:ext cx="813849" cy="12128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The Power Company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0.58367</cdr:x>
      <cdr:y>0.67479</cdr:y>
    </cdr:from>
    <cdr:to>
      <cdr:x>1</cdr:x>
      <cdr:y>0.75402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138774" y="1209486"/>
          <a:ext cx="812275" cy="1420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The Power Company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0.56038</cdr:x>
      <cdr:y>0.46222</cdr:y>
    </cdr:from>
    <cdr:to>
      <cdr:x>1</cdr:x>
      <cdr:y>0.53083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67858" y="828475"/>
          <a:ext cx="830258" cy="1229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The Power Company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0.58219</cdr:x>
      <cdr:y>0.38891</cdr:y>
    </cdr:from>
    <cdr:to>
      <cdr:x>1</cdr:x>
      <cdr:y>0.47865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110193" y="701692"/>
          <a:ext cx="796739" cy="1619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The Power</a:t>
          </a:r>
          <a:r>
            <a:rPr lang="en-NZ" sz="700" baseline="0"/>
            <a:t> Company</a:t>
          </a:r>
          <a:endParaRPr lang="en-NZ" sz="800"/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0.5884</cdr:x>
      <cdr:y>0.72764</cdr:y>
    </cdr:from>
    <cdr:to>
      <cdr:x>1</cdr:x>
      <cdr:y>0.80069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122033" y="1312831"/>
          <a:ext cx="784899" cy="131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The Power Company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0.58459</cdr:x>
      <cdr:y>0.37547</cdr:y>
    </cdr:from>
    <cdr:to>
      <cdr:x>1</cdr:x>
      <cdr:y>0.45226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114767" y="677427"/>
          <a:ext cx="792165" cy="138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The Power Company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0.46518</cdr:y>
    </cdr:from>
    <cdr:to>
      <cdr:x>1</cdr:x>
      <cdr:y>0.59662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416253" y="878739"/>
          <a:ext cx="547020" cy="248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8796</xdr:colOff>
      <xdr:row>17</xdr:row>
      <xdr:rowOff>115660</xdr:rowOff>
    </xdr:from>
    <xdr:to>
      <xdr:col>13</xdr:col>
      <xdr:colOff>676096</xdr:colOff>
      <xdr:row>28</xdr:row>
      <xdr:rowOff>91210</xdr:rowOff>
    </xdr:to>
    <xdr:grpSp>
      <xdr:nvGrpSpPr>
        <xdr:cNvPr id="2" name="Group 1"/>
        <xdr:cNvGrpSpPr/>
      </xdr:nvGrpSpPr>
      <xdr:grpSpPr>
        <a:xfrm>
          <a:off x="7075439" y="3390446"/>
          <a:ext cx="5738228" cy="2052907"/>
          <a:chOff x="10016850" y="6362700"/>
          <a:chExt cx="5760000" cy="2160000"/>
        </a:xfrm>
      </xdr:grpSpPr>
      <xdr:graphicFrame macro="">
        <xdr:nvGraphicFramePr>
          <xdr:cNvPr id="3" name="Annual line charge"/>
          <xdr:cNvGraphicFramePr/>
        </xdr:nvGraphicFramePr>
        <xdr:xfrm>
          <a:off x="10016850" y="6362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2896850" y="6362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6529</xdr:colOff>
      <xdr:row>37</xdr:row>
      <xdr:rowOff>124371</xdr:rowOff>
    </xdr:from>
    <xdr:to>
      <xdr:col>13</xdr:col>
      <xdr:colOff>615092</xdr:colOff>
      <xdr:row>48</xdr:row>
      <xdr:rowOff>168183</xdr:rowOff>
    </xdr:to>
    <xdr:grpSp>
      <xdr:nvGrpSpPr>
        <xdr:cNvPr id="6" name="Group 5"/>
        <xdr:cNvGrpSpPr/>
      </xdr:nvGrpSpPr>
      <xdr:grpSpPr>
        <a:xfrm>
          <a:off x="7073172" y="7109371"/>
          <a:ext cx="5679491" cy="2039526"/>
          <a:chOff x="10016851" y="8656782"/>
          <a:chExt cx="5713672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1" y="8725168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23765</xdr:colOff>
      <xdr:row>52</xdr:row>
      <xdr:rowOff>124277</xdr:rowOff>
    </xdr:from>
    <xdr:to>
      <xdr:col>13</xdr:col>
      <xdr:colOff>683808</xdr:colOff>
      <xdr:row>64</xdr:row>
      <xdr:rowOff>107134</xdr:rowOff>
    </xdr:to>
    <xdr:grpSp>
      <xdr:nvGrpSpPr>
        <xdr:cNvPr id="9" name="Group 8"/>
        <xdr:cNvGrpSpPr/>
      </xdr:nvGrpSpPr>
      <xdr:grpSpPr>
        <a:xfrm>
          <a:off x="7090408" y="9830706"/>
          <a:ext cx="5730971" cy="2159999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9741</xdr:colOff>
      <xdr:row>90</xdr:row>
      <xdr:rowOff>166821</xdr:rowOff>
    </xdr:from>
    <xdr:to>
      <xdr:col>13</xdr:col>
      <xdr:colOff>669784</xdr:colOff>
      <xdr:row>102</xdr:row>
      <xdr:rowOff>32607</xdr:rowOff>
    </xdr:to>
    <xdr:grpSp>
      <xdr:nvGrpSpPr>
        <xdr:cNvPr id="16" name="Group 15"/>
        <xdr:cNvGrpSpPr/>
      </xdr:nvGrpSpPr>
      <xdr:grpSpPr>
        <a:xfrm>
          <a:off x="7076384" y="16767535"/>
          <a:ext cx="5730971" cy="2042929"/>
          <a:chOff x="10031401" y="18299700"/>
          <a:chExt cx="5722948" cy="2160000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0"/>
          <a:ext cx="280426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9</xdr:col>
      <xdr:colOff>25730</xdr:colOff>
      <xdr:row>126</xdr:row>
      <xdr:rowOff>163285</xdr:rowOff>
    </xdr:from>
    <xdr:to>
      <xdr:col>16</xdr:col>
      <xdr:colOff>342873</xdr:colOff>
      <xdr:row>138</xdr:row>
      <xdr:rowOff>146142</xdr:rowOff>
    </xdr:to>
    <xdr:grpSp>
      <xdr:nvGrpSpPr>
        <xdr:cNvPr id="26" name="Group 25"/>
        <xdr:cNvGrpSpPr/>
      </xdr:nvGrpSpPr>
      <xdr:grpSpPr>
        <a:xfrm>
          <a:off x="8761516" y="23295428"/>
          <a:ext cx="5750928" cy="2160000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6</xdr:col>
      <xdr:colOff>520021</xdr:colOff>
      <xdr:row>152</xdr:row>
      <xdr:rowOff>85119</xdr:rowOff>
    </xdr:from>
    <xdr:to>
      <xdr:col>13</xdr:col>
      <xdr:colOff>334834</xdr:colOff>
      <xdr:row>163</xdr:row>
      <xdr:rowOff>92931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23813</xdr:colOff>
      <xdr:row>218</xdr:row>
      <xdr:rowOff>95250</xdr:rowOff>
    </xdr:from>
    <xdr:to>
      <xdr:col>10</xdr:col>
      <xdr:colOff>0</xdr:colOff>
      <xdr:row>218</xdr:row>
      <xdr:rowOff>130968</xdr:rowOff>
    </xdr:to>
    <xdr:cxnSp macro="">
      <xdr:nvCxnSpPr>
        <xdr:cNvPr id="31" name="Straight Arrow Connector 30"/>
        <xdr:cNvCxnSpPr/>
      </xdr:nvCxnSpPr>
      <xdr:spPr>
        <a:xfrm flipV="1">
          <a:off x="8780463" y="33140650"/>
          <a:ext cx="814387" cy="3571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2378</xdr:colOff>
      <xdr:row>223</xdr:row>
      <xdr:rowOff>121441</xdr:rowOff>
    </xdr:from>
    <xdr:to>
      <xdr:col>16</xdr:col>
      <xdr:colOff>309316</xdr:colOff>
      <xdr:row>234</xdr:row>
      <xdr:rowOff>129254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12880</xdr:colOff>
      <xdr:row>67</xdr:row>
      <xdr:rowOff>156482</xdr:rowOff>
    </xdr:from>
    <xdr:to>
      <xdr:col>13</xdr:col>
      <xdr:colOff>672923</xdr:colOff>
      <xdr:row>79</xdr:row>
      <xdr:rowOff>22268</xdr:rowOff>
    </xdr:to>
    <xdr:grpSp>
      <xdr:nvGrpSpPr>
        <xdr:cNvPr id="37" name="Group 36"/>
        <xdr:cNvGrpSpPr/>
      </xdr:nvGrpSpPr>
      <xdr:grpSpPr>
        <a:xfrm>
          <a:off x="7079523" y="12584339"/>
          <a:ext cx="5730971" cy="2042929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9</xdr:col>
      <xdr:colOff>94191</xdr:colOff>
      <xdr:row>113</xdr:row>
      <xdr:rowOff>162285</xdr:rowOff>
    </xdr:from>
    <xdr:to>
      <xdr:col>16</xdr:col>
      <xdr:colOff>411334</xdr:colOff>
      <xdr:row>125</xdr:row>
      <xdr:rowOff>145142</xdr:rowOff>
    </xdr:to>
    <xdr:grpSp>
      <xdr:nvGrpSpPr>
        <xdr:cNvPr id="44" name="Group 43"/>
        <xdr:cNvGrpSpPr/>
      </xdr:nvGrpSpPr>
      <xdr:grpSpPr>
        <a:xfrm>
          <a:off x="8829977" y="20935856"/>
          <a:ext cx="5750928" cy="2160000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141817</xdr:colOff>
      <xdr:row>237</xdr:row>
      <xdr:rowOff>96309</xdr:rowOff>
    </xdr:from>
    <xdr:to>
      <xdr:col>13</xdr:col>
      <xdr:colOff>798005</xdr:colOff>
      <xdr:row>246</xdr:row>
      <xdr:rowOff>181247</xdr:rowOff>
    </xdr:to>
    <xdr:grpSp>
      <xdr:nvGrpSpPr>
        <xdr:cNvPr id="47" name="Group 46"/>
        <xdr:cNvGrpSpPr/>
      </xdr:nvGrpSpPr>
      <xdr:grpSpPr>
        <a:xfrm>
          <a:off x="7208460" y="43367023"/>
          <a:ext cx="5727116" cy="1717795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245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3474700" y="38160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6</xdr:col>
      <xdr:colOff>547583</xdr:colOff>
      <xdr:row>174</xdr:row>
      <xdr:rowOff>100760</xdr:rowOff>
    </xdr:from>
    <xdr:to>
      <xdr:col>13</xdr:col>
      <xdr:colOff>362396</xdr:colOff>
      <xdr:row>184</xdr:row>
      <xdr:rowOff>3135</xdr:rowOff>
    </xdr:to>
    <xdr:grpSp>
      <xdr:nvGrpSpPr>
        <xdr:cNvPr id="52" name="Group 51"/>
        <xdr:cNvGrpSpPr/>
      </xdr:nvGrpSpPr>
      <xdr:grpSpPr>
        <a:xfrm>
          <a:off x="6779654" y="31941474"/>
          <a:ext cx="5720313" cy="1716661"/>
          <a:chOff x="9128685" y="29825720"/>
          <a:chExt cx="5756399" cy="2743210"/>
        </a:xfrm>
      </xdr:grpSpPr>
      <xdr:graphicFrame macro="">
        <xdr:nvGraphicFramePr>
          <xdr:cNvPr id="53" name="Chart 52"/>
          <xdr:cNvGraphicFramePr/>
        </xdr:nvGraphicFramePr>
        <xdr:xfrm>
          <a:off x="9128685" y="29825723"/>
          <a:ext cx="1918800" cy="27432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2966284" y="29825720"/>
          <a:ext cx="1918800" cy="27432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1047484" y="29825729"/>
          <a:ext cx="1918800" cy="27432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210</xdr:row>
      <xdr:rowOff>108857</xdr:rowOff>
    </xdr:from>
    <xdr:to>
      <xdr:col>17</xdr:col>
      <xdr:colOff>479700</xdr:colOff>
      <xdr:row>221</xdr:row>
      <xdr:rowOff>152669</xdr:rowOff>
    </xdr:to>
    <xdr:grpSp>
      <xdr:nvGrpSpPr>
        <xdr:cNvPr id="56" name="Group 55"/>
        <xdr:cNvGrpSpPr/>
      </xdr:nvGrpSpPr>
      <xdr:grpSpPr>
        <a:xfrm>
          <a:off x="9503861" y="38481000"/>
          <a:ext cx="5744125" cy="2039526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279</xdr:row>
      <xdr:rowOff>0</xdr:rowOff>
    </xdr:from>
    <xdr:to>
      <xdr:col>17</xdr:col>
      <xdr:colOff>479700</xdr:colOff>
      <xdr:row>290</xdr:row>
      <xdr:rowOff>43813</xdr:rowOff>
    </xdr:to>
    <xdr:grpSp>
      <xdr:nvGrpSpPr>
        <xdr:cNvPr id="59" name="Group 58"/>
        <xdr:cNvGrpSpPr/>
      </xdr:nvGrpSpPr>
      <xdr:grpSpPr>
        <a:xfrm>
          <a:off x="9503861" y="50890714"/>
          <a:ext cx="5744125" cy="2039528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7</xdr:col>
      <xdr:colOff>21950</xdr:colOff>
      <xdr:row>291</xdr:row>
      <xdr:rowOff>31749</xdr:rowOff>
    </xdr:from>
    <xdr:to>
      <xdr:col>13</xdr:col>
      <xdr:colOff>678138</xdr:colOff>
      <xdr:row>300</xdr:row>
      <xdr:rowOff>75562</xdr:rowOff>
    </xdr:to>
    <xdr:grpSp>
      <xdr:nvGrpSpPr>
        <xdr:cNvPr id="62" name="Group 61"/>
        <xdr:cNvGrpSpPr/>
      </xdr:nvGrpSpPr>
      <xdr:grpSpPr>
        <a:xfrm>
          <a:off x="7088593" y="53099606"/>
          <a:ext cx="5727116" cy="1676670"/>
          <a:chOff x="8302350" y="44843700"/>
          <a:chExt cx="5760683" cy="2160000"/>
        </a:xfrm>
      </xdr:grpSpPr>
      <xdr:graphicFrame macro="">
        <xdr:nvGraphicFramePr>
          <xdr:cNvPr id="63" name="SAIFI"/>
          <xdr:cNvGraphicFramePr/>
        </xdr:nvGraphicFramePr>
        <xdr:xfrm>
          <a:off x="11182350" y="44843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4" name="Chart 63"/>
          <xdr:cNvGraphicFramePr/>
        </xdr:nvGraphicFramePr>
        <xdr:xfrm>
          <a:off x="8302350" y="44843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  <xdr:twoCellAnchor>
    <xdr:from>
      <xdr:col>8</xdr:col>
      <xdr:colOff>666750</xdr:colOff>
      <xdr:row>237</xdr:row>
      <xdr:rowOff>104776</xdr:rowOff>
    </xdr:from>
    <xdr:to>
      <xdr:col>8</xdr:col>
      <xdr:colOff>712469</xdr:colOff>
      <xdr:row>237</xdr:row>
      <xdr:rowOff>157529</xdr:rowOff>
    </xdr:to>
    <xdr:sp macro="" textlink="">
      <xdr:nvSpPr>
        <xdr:cNvPr id="65" name="TextBox 64"/>
        <xdr:cNvSpPr txBox="1"/>
      </xdr:nvSpPr>
      <xdr:spPr>
        <a:xfrm>
          <a:off x="8585200" y="3664902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237</xdr:row>
      <xdr:rowOff>104776</xdr:rowOff>
    </xdr:from>
    <xdr:to>
      <xdr:col>8</xdr:col>
      <xdr:colOff>712469</xdr:colOff>
      <xdr:row>237</xdr:row>
      <xdr:rowOff>157529</xdr:rowOff>
    </xdr:to>
    <xdr:sp macro="" textlink="">
      <xdr:nvSpPr>
        <xdr:cNvPr id="66" name="TextBox 65"/>
        <xdr:cNvSpPr txBox="1"/>
      </xdr:nvSpPr>
      <xdr:spPr>
        <a:xfrm>
          <a:off x="8585200" y="3664902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26</xdr:col>
      <xdr:colOff>18142</xdr:colOff>
      <xdr:row>89</xdr:row>
      <xdr:rowOff>154213</xdr:rowOff>
    </xdr:from>
    <xdr:to>
      <xdr:col>35</xdr:col>
      <xdr:colOff>126642</xdr:colOff>
      <xdr:row>101</xdr:row>
      <xdr:rowOff>15463</xdr:rowOff>
    </xdr:to>
    <xdr:grpSp>
      <xdr:nvGrpSpPr>
        <xdr:cNvPr id="67" name="Group 66"/>
        <xdr:cNvGrpSpPr/>
      </xdr:nvGrpSpPr>
      <xdr:grpSpPr>
        <a:xfrm>
          <a:off x="22034499" y="16573499"/>
          <a:ext cx="5796286" cy="2038393"/>
          <a:chOff x="10031401" y="18299700"/>
          <a:chExt cx="5722948" cy="2160000"/>
        </a:xfrm>
      </xdr:grpSpPr>
      <xdr:graphicFrame macro="">
        <xdr:nvGraphicFramePr>
          <xdr:cNvPr id="68" name="Average revenue per MW of electricity delivered"/>
          <xdr:cNvGraphicFramePr/>
        </xdr:nvGraphicFramePr>
        <xdr:xfrm>
          <a:off x="10031401" y="18299700"/>
          <a:ext cx="280426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"/>
          </a:graphicData>
        </a:graphic>
      </xdr:graphicFrame>
      <xdr:graphicFrame macro="">
        <xdr:nvGraphicFramePr>
          <xdr:cNvPr id="69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"/>
          </a:graphicData>
        </a:graphic>
      </xdr:graphicFrame>
    </xdr:grpSp>
    <xdr:clientData/>
  </xdr:twoCellAnchor>
  <xdr:twoCellAnchor>
    <xdr:from>
      <xdr:col>26</xdr:col>
      <xdr:colOff>18143</xdr:colOff>
      <xdr:row>112</xdr:row>
      <xdr:rowOff>45355</xdr:rowOff>
    </xdr:from>
    <xdr:to>
      <xdr:col>35</xdr:col>
      <xdr:colOff>126643</xdr:colOff>
      <xdr:row>123</xdr:row>
      <xdr:rowOff>89167</xdr:rowOff>
    </xdr:to>
    <xdr:grpSp>
      <xdr:nvGrpSpPr>
        <xdr:cNvPr id="70" name="Group 69"/>
        <xdr:cNvGrpSpPr/>
      </xdr:nvGrpSpPr>
      <xdr:grpSpPr>
        <a:xfrm>
          <a:off x="22034500" y="20637498"/>
          <a:ext cx="5796286" cy="2039526"/>
          <a:chOff x="8272909" y="19634932"/>
          <a:chExt cx="5753952" cy="2160000"/>
        </a:xfrm>
      </xdr:grpSpPr>
      <xdr:graphicFrame macro="">
        <xdr:nvGraphicFramePr>
          <xdr:cNvPr id="71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"/>
          </a:graphicData>
        </a:graphic>
      </xdr:graphicFrame>
      <xdr:graphicFrame macro="">
        <xdr:nvGraphicFramePr>
          <xdr:cNvPr id="72" name="Chart 71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"/>
          </a:graphicData>
        </a:graphic>
      </xdr:graphicFrame>
    </xdr:grpSp>
    <xdr:clientData/>
  </xdr:twoCellAnchor>
  <xdr:twoCellAnchor>
    <xdr:from>
      <xdr:col>26</xdr:col>
      <xdr:colOff>36286</xdr:colOff>
      <xdr:row>126</xdr:row>
      <xdr:rowOff>145142</xdr:rowOff>
    </xdr:from>
    <xdr:to>
      <xdr:col>35</xdr:col>
      <xdr:colOff>144786</xdr:colOff>
      <xdr:row>138</xdr:row>
      <xdr:rowOff>6392</xdr:rowOff>
    </xdr:to>
    <xdr:grpSp>
      <xdr:nvGrpSpPr>
        <xdr:cNvPr id="73" name="Group 72"/>
        <xdr:cNvGrpSpPr/>
      </xdr:nvGrpSpPr>
      <xdr:grpSpPr>
        <a:xfrm>
          <a:off x="22052643" y="23277285"/>
          <a:ext cx="5796286" cy="2038393"/>
          <a:chOff x="10024258" y="22936200"/>
          <a:chExt cx="5752592" cy="2160000"/>
        </a:xfrm>
      </xdr:grpSpPr>
      <xdr:graphicFrame macro="">
        <xdr:nvGraphicFramePr>
          <xdr:cNvPr id="74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"/>
          </a:graphicData>
        </a:graphic>
      </xdr:graphicFrame>
      <xdr:graphicFrame macro="">
        <xdr:nvGraphicFramePr>
          <xdr:cNvPr id="75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"/>
          </a:graphicData>
        </a:graphic>
      </xdr:graphicFrame>
    </xdr:grpSp>
    <xdr:clientData/>
  </xdr:twoCellAnchor>
  <xdr:twoCellAnchor>
    <xdr:from>
      <xdr:col>25</xdr:col>
      <xdr:colOff>595311</xdr:colOff>
      <xdr:row>67</xdr:row>
      <xdr:rowOff>163288</xdr:rowOff>
    </xdr:from>
    <xdr:to>
      <xdr:col>35</xdr:col>
      <xdr:colOff>108498</xdr:colOff>
      <xdr:row>79</xdr:row>
      <xdr:rowOff>24538</xdr:rowOff>
    </xdr:to>
    <xdr:grpSp>
      <xdr:nvGrpSpPr>
        <xdr:cNvPr id="76" name="Group 75"/>
        <xdr:cNvGrpSpPr/>
      </xdr:nvGrpSpPr>
      <xdr:grpSpPr>
        <a:xfrm>
          <a:off x="22012954" y="12591145"/>
          <a:ext cx="5799687" cy="2038393"/>
          <a:chOff x="16284299" y="18173697"/>
          <a:chExt cx="5762117" cy="2160003"/>
        </a:xfrm>
      </xdr:grpSpPr>
      <xdr:graphicFrame macro="">
        <xdr:nvGraphicFramePr>
          <xdr:cNvPr id="77" name="Chart 76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"/>
          </a:graphicData>
        </a:graphic>
      </xdr:graphicFrame>
      <xdr:grpSp>
        <xdr:nvGrpSpPr>
          <xdr:cNvPr id="78" name="Group 100"/>
          <xdr:cNvGrpSpPr/>
        </xdr:nvGrpSpPr>
        <xdr:grpSpPr>
          <a:xfrm>
            <a:off x="16284299" y="18173697"/>
            <a:ext cx="2889081" cy="2155142"/>
            <a:chOff x="16240348" y="18370047"/>
            <a:chExt cx="3611351" cy="2155142"/>
          </a:xfrm>
        </xdr:grpSpPr>
        <xdr:graphicFrame macro="">
          <xdr:nvGraphicFramePr>
            <xdr:cNvPr id="79" name="Chart 78"/>
            <xdr:cNvGraphicFramePr/>
          </xdr:nvGraphicFramePr>
          <xdr:xfrm>
            <a:off x="16240348" y="18370047"/>
            <a:ext cx="3601323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9"/>
            </a:graphicData>
          </a:graphic>
        </xdr:graphicFrame>
        <xdr:graphicFrame macro="">
          <xdr:nvGraphicFramePr>
            <xdr:cNvPr id="80" name="Chart 79"/>
            <xdr:cNvGraphicFramePr/>
          </xdr:nvGraphicFramePr>
          <xdr:xfrm>
            <a:off x="16251697" y="19445189"/>
            <a:ext cx="3600002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0"/>
            </a:graphicData>
          </a:graphic>
        </xdr:graphicFrame>
      </xdr:grpSp>
    </xdr:grpSp>
    <xdr:clientData/>
  </xdr:twoCellAnchor>
  <xdr:twoCellAnchor>
    <xdr:from>
      <xdr:col>26</xdr:col>
      <xdr:colOff>18143</xdr:colOff>
      <xdr:row>52</xdr:row>
      <xdr:rowOff>145141</xdr:rowOff>
    </xdr:from>
    <xdr:to>
      <xdr:col>35</xdr:col>
      <xdr:colOff>126643</xdr:colOff>
      <xdr:row>64</xdr:row>
      <xdr:rowOff>6391</xdr:rowOff>
    </xdr:to>
    <xdr:grpSp>
      <xdr:nvGrpSpPr>
        <xdr:cNvPr id="83" name="Group 82"/>
        <xdr:cNvGrpSpPr/>
      </xdr:nvGrpSpPr>
      <xdr:grpSpPr>
        <a:xfrm>
          <a:off x="22034500" y="9851570"/>
          <a:ext cx="5796286" cy="2038392"/>
          <a:chOff x="10016850" y="11887200"/>
          <a:chExt cx="5737500" cy="2160000"/>
        </a:xfrm>
      </xdr:grpSpPr>
      <xdr:graphicFrame macro="">
        <xdr:nvGraphicFramePr>
          <xdr:cNvPr id="84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1"/>
          </a:graphicData>
        </a:graphic>
      </xdr:graphicFrame>
      <xdr:graphicFrame macro="">
        <xdr:nvGraphicFramePr>
          <xdr:cNvPr id="85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"/>
          </a:graphicData>
        </a:graphic>
      </xdr:graphicFrame>
    </xdr:grpSp>
    <xdr:clientData/>
  </xdr:twoCellAnchor>
  <xdr:twoCellAnchor>
    <xdr:from>
      <xdr:col>7</xdr:col>
      <xdr:colOff>15875</xdr:colOff>
      <xdr:row>301</xdr:row>
      <xdr:rowOff>150812</xdr:rowOff>
    </xdr:from>
    <xdr:to>
      <xdr:col>13</xdr:col>
      <xdr:colOff>672063</xdr:colOff>
      <xdr:row>311</xdr:row>
      <xdr:rowOff>12062</xdr:rowOff>
    </xdr:to>
    <xdr:grpSp>
      <xdr:nvGrpSpPr>
        <xdr:cNvPr id="82" name="Group 81"/>
        <xdr:cNvGrpSpPr/>
      </xdr:nvGrpSpPr>
      <xdr:grpSpPr>
        <a:xfrm>
          <a:off x="7082518" y="55032955"/>
          <a:ext cx="5727116" cy="1675536"/>
          <a:chOff x="8302350" y="44843700"/>
          <a:chExt cx="5760683" cy="2160000"/>
        </a:xfrm>
      </xdr:grpSpPr>
      <xdr:graphicFrame macro="">
        <xdr:nvGraphicFramePr>
          <xdr:cNvPr id="86" name="SAIFI"/>
          <xdr:cNvGraphicFramePr/>
        </xdr:nvGraphicFramePr>
        <xdr:xfrm>
          <a:off x="11182350" y="44843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"/>
          </a:graphicData>
        </a:graphic>
      </xdr:graphicFrame>
      <xdr:graphicFrame macro="">
        <xdr:nvGraphicFramePr>
          <xdr:cNvPr id="87" name="Chart 86"/>
          <xdr:cNvGraphicFramePr/>
        </xdr:nvGraphicFramePr>
        <xdr:xfrm>
          <a:off x="8302350" y="44843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4"/>
          </a:graphicData>
        </a:graphic>
      </xdr:graphicFrame>
    </xdr:grpSp>
    <xdr:clientData/>
  </xdr:twoCellAnchor>
  <xdr:twoCellAnchor>
    <xdr:from>
      <xdr:col>7</xdr:col>
      <xdr:colOff>7938</xdr:colOff>
      <xdr:row>312</xdr:row>
      <xdr:rowOff>174625</xdr:rowOff>
    </xdr:from>
    <xdr:to>
      <xdr:col>13</xdr:col>
      <xdr:colOff>664126</xdr:colOff>
      <xdr:row>324</xdr:row>
      <xdr:rowOff>35875</xdr:rowOff>
    </xdr:to>
    <xdr:grpSp>
      <xdr:nvGrpSpPr>
        <xdr:cNvPr id="88" name="Group 87"/>
        <xdr:cNvGrpSpPr/>
      </xdr:nvGrpSpPr>
      <xdr:grpSpPr>
        <a:xfrm>
          <a:off x="7074581" y="57052482"/>
          <a:ext cx="5727116" cy="2038393"/>
          <a:chOff x="8302350" y="44843700"/>
          <a:chExt cx="5760683" cy="2160000"/>
        </a:xfrm>
      </xdr:grpSpPr>
      <xdr:graphicFrame macro="">
        <xdr:nvGraphicFramePr>
          <xdr:cNvPr id="89" name="SAIFI"/>
          <xdr:cNvGraphicFramePr/>
        </xdr:nvGraphicFramePr>
        <xdr:xfrm>
          <a:off x="11182350" y="44843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5"/>
          </a:graphicData>
        </a:graphic>
      </xdr:graphicFrame>
      <xdr:graphicFrame macro="">
        <xdr:nvGraphicFramePr>
          <xdr:cNvPr id="90" name="Chart 89"/>
          <xdr:cNvGraphicFramePr/>
        </xdr:nvGraphicFramePr>
        <xdr:xfrm>
          <a:off x="8302350" y="44843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6"/>
          </a:graphicData>
        </a:graphic>
      </xdr:graphicFrame>
    </xdr:grpSp>
    <xdr:clientData/>
  </xdr:twoCellAnchor>
  <xdr:twoCellAnchor>
    <xdr:from>
      <xdr:col>6</xdr:col>
      <xdr:colOff>527504</xdr:colOff>
      <xdr:row>187</xdr:row>
      <xdr:rowOff>132431</xdr:rowOff>
    </xdr:from>
    <xdr:to>
      <xdr:col>13</xdr:col>
      <xdr:colOff>362954</xdr:colOff>
      <xdr:row>200</xdr:row>
      <xdr:rowOff>2288</xdr:rowOff>
    </xdr:to>
    <xdr:grpSp>
      <xdr:nvGrpSpPr>
        <xdr:cNvPr id="92" name="Group 91"/>
        <xdr:cNvGrpSpPr/>
      </xdr:nvGrpSpPr>
      <xdr:grpSpPr>
        <a:xfrm>
          <a:off x="6759575" y="34331717"/>
          <a:ext cx="5740950" cy="2228428"/>
          <a:chOff x="9128685" y="29825719"/>
          <a:chExt cx="5756399" cy="2743220"/>
        </a:xfrm>
      </xdr:grpSpPr>
      <xdr:graphicFrame macro="">
        <xdr:nvGraphicFramePr>
          <xdr:cNvPr id="94" name="Chart 93"/>
          <xdr:cNvGraphicFramePr/>
        </xdr:nvGraphicFramePr>
        <xdr:xfrm>
          <a:off x="9128685" y="29825723"/>
          <a:ext cx="1918800" cy="27432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7"/>
          </a:graphicData>
        </a:graphic>
      </xdr:graphicFrame>
      <xdr:graphicFrame macro="">
        <xdr:nvGraphicFramePr>
          <xdr:cNvPr id="95" name="Chart 94"/>
          <xdr:cNvGraphicFramePr/>
        </xdr:nvGraphicFramePr>
        <xdr:xfrm>
          <a:off x="12966284" y="29825719"/>
          <a:ext cx="1918800" cy="27432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8"/>
          </a:graphicData>
        </a:graphic>
      </xdr:graphicFrame>
      <xdr:graphicFrame macro="">
        <xdr:nvGraphicFramePr>
          <xdr:cNvPr id="96" name="Chart 95"/>
          <xdr:cNvGraphicFramePr/>
        </xdr:nvGraphicFramePr>
        <xdr:xfrm>
          <a:off x="11047484" y="29825737"/>
          <a:ext cx="1918800" cy="274320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9"/>
          </a:graphicData>
        </a:graphic>
      </xdr:graphicFrame>
    </xdr:grpSp>
    <xdr:clientData/>
  </xdr:twoCellAnchor>
  <xdr:twoCellAnchor>
    <xdr:from>
      <xdr:col>7</xdr:col>
      <xdr:colOff>0</xdr:colOff>
      <xdr:row>255</xdr:row>
      <xdr:rowOff>0</xdr:rowOff>
    </xdr:from>
    <xdr:to>
      <xdr:col>13</xdr:col>
      <xdr:colOff>673650</xdr:colOff>
      <xdr:row>267</xdr:row>
      <xdr:rowOff>58200</xdr:rowOff>
    </xdr:to>
    <xdr:grpSp>
      <xdr:nvGrpSpPr>
        <xdr:cNvPr id="97" name="Group 96"/>
        <xdr:cNvGrpSpPr/>
      </xdr:nvGrpSpPr>
      <xdr:grpSpPr>
        <a:xfrm>
          <a:off x="7066643" y="46536429"/>
          <a:ext cx="5744578" cy="2235342"/>
          <a:chOff x="9128685" y="29825719"/>
          <a:chExt cx="5756399" cy="2743211"/>
        </a:xfrm>
      </xdr:grpSpPr>
      <xdr:graphicFrame macro="">
        <xdr:nvGraphicFramePr>
          <xdr:cNvPr id="98" name="Chart 97"/>
          <xdr:cNvGraphicFramePr/>
        </xdr:nvGraphicFramePr>
        <xdr:xfrm>
          <a:off x="9128685" y="29825723"/>
          <a:ext cx="1918800" cy="27432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0"/>
          </a:graphicData>
        </a:graphic>
      </xdr:graphicFrame>
      <xdr:graphicFrame macro="">
        <xdr:nvGraphicFramePr>
          <xdr:cNvPr id="99" name="Chart 98"/>
          <xdr:cNvGraphicFramePr/>
        </xdr:nvGraphicFramePr>
        <xdr:xfrm>
          <a:off x="12966284" y="29825719"/>
          <a:ext cx="1918800" cy="27432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1"/>
          </a:graphicData>
        </a:graphic>
      </xdr:graphicFrame>
      <xdr:graphicFrame macro="">
        <xdr:nvGraphicFramePr>
          <xdr:cNvPr id="100" name="Chart 99"/>
          <xdr:cNvGraphicFramePr/>
        </xdr:nvGraphicFramePr>
        <xdr:xfrm>
          <a:off x="11047484" y="29825729"/>
          <a:ext cx="1918800" cy="27432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2"/>
          </a:graphicData>
        </a:graphic>
      </xdr:graphicFrame>
    </xdr:grpSp>
    <xdr:clientData/>
  </xdr:twoCellAnchor>
  <xdr:twoCellAnchor>
    <xdr:from>
      <xdr:col>9</xdr:col>
      <xdr:colOff>-1</xdr:colOff>
      <xdr:row>102</xdr:row>
      <xdr:rowOff>117928</xdr:rowOff>
    </xdr:from>
    <xdr:to>
      <xdr:col>16</xdr:col>
      <xdr:colOff>321857</xdr:colOff>
      <xdr:row>113</xdr:row>
      <xdr:rowOff>174215</xdr:rowOff>
    </xdr:to>
    <xdr:grpSp>
      <xdr:nvGrpSpPr>
        <xdr:cNvPr id="104" name="Group 103"/>
        <xdr:cNvGrpSpPr/>
      </xdr:nvGrpSpPr>
      <xdr:grpSpPr>
        <a:xfrm>
          <a:off x="8735785" y="18895785"/>
          <a:ext cx="5755643" cy="2052001"/>
          <a:chOff x="8735785" y="18895785"/>
          <a:chExt cx="5764715" cy="2052001"/>
        </a:xfrm>
      </xdr:grpSpPr>
      <xdr:graphicFrame macro="">
        <xdr:nvGraphicFramePr>
          <xdr:cNvPr id="102" name="Chart 101"/>
          <xdr:cNvGraphicFramePr/>
        </xdr:nvGraphicFramePr>
        <xdr:xfrm>
          <a:off x="8735785" y="18895786"/>
          <a:ext cx="2880000" cy="2052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"/>
          </a:graphicData>
        </a:graphic>
      </xdr:graphicFrame>
      <xdr:graphicFrame macro="">
        <xdr:nvGraphicFramePr>
          <xdr:cNvPr id="103" name="Chart 102"/>
          <xdr:cNvGraphicFramePr/>
        </xdr:nvGraphicFramePr>
        <xdr:xfrm>
          <a:off x="11620500" y="18895785"/>
          <a:ext cx="2880000" cy="2052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4"/>
          </a:graphicData>
        </a:graphic>
      </xdr:graphicFrame>
    </xdr:grpSp>
    <xdr:clientData/>
  </xdr:twoCellAnchor>
  <xdr:twoCellAnchor>
    <xdr:from>
      <xdr:col>7</xdr:col>
      <xdr:colOff>1</xdr:colOff>
      <xdr:row>79</xdr:row>
      <xdr:rowOff>114297</xdr:rowOff>
    </xdr:from>
    <xdr:to>
      <xdr:col>13</xdr:col>
      <xdr:colOff>664758</xdr:colOff>
      <xdr:row>90</xdr:row>
      <xdr:rowOff>170585</xdr:rowOff>
    </xdr:to>
    <xdr:grpSp>
      <xdr:nvGrpSpPr>
        <xdr:cNvPr id="105" name="Group 104"/>
        <xdr:cNvGrpSpPr/>
      </xdr:nvGrpSpPr>
      <xdr:grpSpPr>
        <a:xfrm>
          <a:off x="7066644" y="14719297"/>
          <a:ext cx="5735685" cy="2052002"/>
          <a:chOff x="8735786" y="18895783"/>
          <a:chExt cx="5764714" cy="2052002"/>
        </a:xfrm>
      </xdr:grpSpPr>
      <xdr:graphicFrame macro="">
        <xdr:nvGraphicFramePr>
          <xdr:cNvPr id="106" name="Chart 105"/>
          <xdr:cNvGraphicFramePr/>
        </xdr:nvGraphicFramePr>
        <xdr:xfrm>
          <a:off x="8735786" y="18895783"/>
          <a:ext cx="2880001" cy="2052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5"/>
          </a:graphicData>
        </a:graphic>
      </xdr:graphicFrame>
      <xdr:graphicFrame macro="">
        <xdr:nvGraphicFramePr>
          <xdr:cNvPr id="107" name="Chart 106"/>
          <xdr:cNvGraphicFramePr/>
        </xdr:nvGraphicFramePr>
        <xdr:xfrm>
          <a:off x="11620500" y="18895785"/>
          <a:ext cx="2880000" cy="2052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6"/>
          </a:graphicData>
        </a:graphic>
      </xdr:graphicFrame>
    </xdr:grpSp>
    <xdr:clientData/>
  </xdr:twoCellAnchor>
  <xdr:oneCellAnchor>
    <xdr:from>
      <xdr:col>8</xdr:col>
      <xdr:colOff>615950</xdr:colOff>
      <xdr:row>197</xdr:row>
      <xdr:rowOff>69850</xdr:rowOff>
    </xdr:from>
    <xdr:ext cx="184731" cy="264560"/>
    <xdr:sp macro="" textlink="">
      <xdr:nvSpPr>
        <xdr:cNvPr id="108" name="TextBox 107"/>
        <xdr:cNvSpPr txBox="1"/>
      </xdr:nvSpPr>
      <xdr:spPr>
        <a:xfrm>
          <a:off x="8534400" y="3661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oneCellAnchor>
    <xdr:from>
      <xdr:col>8</xdr:col>
      <xdr:colOff>165100</xdr:colOff>
      <xdr:row>201</xdr:row>
      <xdr:rowOff>114300</xdr:rowOff>
    </xdr:from>
    <xdr:ext cx="184731" cy="264560"/>
    <xdr:sp macro="" textlink="">
      <xdr:nvSpPr>
        <xdr:cNvPr id="109" name="TextBox 108"/>
        <xdr:cNvSpPr txBox="1"/>
      </xdr:nvSpPr>
      <xdr:spPr>
        <a:xfrm>
          <a:off x="8083550" y="37395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</xdr:wsDr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0.78782</cdr:x>
      <cdr:y>0.10138</cdr:y>
    </cdr:from>
    <cdr:to>
      <cdr:x>1</cdr:x>
      <cdr:y>0.15229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13567" y="231901"/>
          <a:ext cx="407643" cy="1164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NZ" sz="700"/>
            <a:t>Maximum</a:t>
          </a:r>
        </a:p>
      </cdr:txBody>
    </cdr:sp>
  </cdr:relSizeAnchor>
  <cdr:relSizeAnchor xmlns:cdr="http://schemas.openxmlformats.org/drawingml/2006/chartDrawing">
    <cdr:from>
      <cdr:x>0.808</cdr:x>
      <cdr:y>0.70446</cdr:y>
    </cdr:from>
    <cdr:to>
      <cdr:x>1</cdr:x>
      <cdr:y>0.75776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618796" y="1594760"/>
          <a:ext cx="384662" cy="120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NZ" sz="700"/>
            <a:t>Minimum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0.80666</cdr:x>
      <cdr:y>0.35384</cdr:y>
    </cdr:from>
    <cdr:to>
      <cdr:x>1</cdr:x>
      <cdr:y>0.40433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82232" y="801013"/>
          <a:ext cx="387350" cy="114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NZ" sz="700"/>
            <a:t>Maximum</a:t>
          </a:r>
        </a:p>
      </cdr:txBody>
    </cdr:sp>
  </cdr:relSizeAnchor>
  <cdr:relSizeAnchor xmlns:cdr="http://schemas.openxmlformats.org/drawingml/2006/chartDrawing">
    <cdr:from>
      <cdr:x>0.81617</cdr:x>
      <cdr:y>0.80545</cdr:y>
    </cdr:from>
    <cdr:to>
      <cdr:x>1</cdr:x>
      <cdr:y>0.85313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771132" y="1823369"/>
          <a:ext cx="368300" cy="107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NZ" sz="700"/>
            <a:t>Minimum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0.80063</cdr:x>
      <cdr:y>0.27529</cdr:y>
    </cdr:from>
    <cdr:to>
      <cdr:x>1</cdr:x>
      <cdr:y>0.32679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38179" y="629698"/>
          <a:ext cx="383031" cy="1177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NZ" sz="700"/>
            <a:t>Maximum</a:t>
          </a:r>
        </a:p>
      </cdr:txBody>
    </cdr:sp>
  </cdr:relSizeAnchor>
  <cdr:relSizeAnchor xmlns:cdr="http://schemas.openxmlformats.org/drawingml/2006/chartDrawing">
    <cdr:from>
      <cdr:x>0.79355</cdr:x>
      <cdr:y>0.76898</cdr:y>
    </cdr:from>
    <cdr:to>
      <cdr:x>1</cdr:x>
      <cdr:y>0.82252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524573" y="1758941"/>
          <a:ext cx="396637" cy="1224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NZ" sz="700"/>
            <a:t>Minimum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0.79826</cdr:x>
      <cdr:y>0.15959</cdr:y>
    </cdr:from>
    <cdr:to>
      <cdr:x>1</cdr:x>
      <cdr:y>0.20439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00200" y="361947"/>
          <a:ext cx="387350" cy="101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NZ" sz="700"/>
            <a:t>Maximum</a:t>
          </a:r>
        </a:p>
      </cdr:txBody>
    </cdr:sp>
  </cdr:relSizeAnchor>
  <cdr:relSizeAnchor xmlns:cdr="http://schemas.openxmlformats.org/drawingml/2006/chartDrawing">
    <cdr:from>
      <cdr:x>0.80818</cdr:x>
      <cdr:y>0.78955</cdr:y>
    </cdr:from>
    <cdr:to>
      <cdr:x>1</cdr:x>
      <cdr:y>0.83715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746250" y="1790697"/>
          <a:ext cx="368300" cy="107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NZ" sz="700"/>
            <a:t>Minimum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0.79826</cdr:x>
      <cdr:y>0.16799</cdr:y>
    </cdr:from>
    <cdr:to>
      <cdr:x>1</cdr:x>
      <cdr:y>0.21839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63850" y="381000"/>
          <a:ext cx="387350" cy="114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NZ" sz="700"/>
            <a:t>Maximum</a:t>
          </a:r>
        </a:p>
      </cdr:txBody>
    </cdr:sp>
  </cdr:relSizeAnchor>
  <cdr:relSizeAnchor xmlns:cdr="http://schemas.openxmlformats.org/drawingml/2006/chartDrawing">
    <cdr:from>
      <cdr:x>0.80487</cdr:x>
      <cdr:y>0.73636</cdr:y>
    </cdr:from>
    <cdr:to>
      <cdr:x>1</cdr:x>
      <cdr:y>0.78955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45350" y="1670050"/>
          <a:ext cx="374650" cy="120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NZ" sz="700"/>
            <a:t>Minimum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0.79164</cdr:x>
      <cdr:y>0.14839</cdr:y>
    </cdr:from>
    <cdr:to>
      <cdr:x>1</cdr:x>
      <cdr:y>0.20158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04251" y="336542"/>
          <a:ext cx="400050" cy="120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NZ" sz="700"/>
            <a:t>Maximum</a:t>
          </a:r>
        </a:p>
      </cdr:txBody>
    </cdr:sp>
  </cdr:relSizeAnchor>
  <cdr:relSizeAnchor xmlns:cdr="http://schemas.openxmlformats.org/drawingml/2006/chartDrawing">
    <cdr:from>
      <cdr:x>0.80487</cdr:x>
      <cdr:y>0.75315</cdr:y>
    </cdr:from>
    <cdr:to>
      <cdr:x>1</cdr:x>
      <cdr:y>0.80355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72501" y="1708142"/>
          <a:ext cx="374650" cy="114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NZ" sz="700"/>
            <a:t>Minimum</a:t>
          </a:r>
        </a:p>
      </cdr:txBody>
    </cdr: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444498</xdr:colOff>
      <xdr:row>77</xdr:row>
      <xdr:rowOff>6350</xdr:rowOff>
    </xdr:from>
    <xdr:to>
      <xdr:col>13</xdr:col>
      <xdr:colOff>404498</xdr:colOff>
      <xdr:row>104</xdr:row>
      <xdr:rowOff>147778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519792</xdr:colOff>
      <xdr:row>108</xdr:row>
      <xdr:rowOff>176892</xdr:rowOff>
    </xdr:from>
    <xdr:to>
      <xdr:col>13</xdr:col>
      <xdr:colOff>488864</xdr:colOff>
      <xdr:row>136</xdr:row>
      <xdr:rowOff>136893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90" name="TextBox 89"/>
        <xdr:cNvSpPr txBox="1"/>
      </xdr:nvSpPr>
      <xdr:spPr>
        <a:xfrm>
          <a:off x="12630150" y="40605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109" name="TextBox 108"/>
        <xdr:cNvSpPr txBox="1"/>
      </xdr:nvSpPr>
      <xdr:spPr>
        <a:xfrm>
          <a:off x="7964365" y="39040045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0.69739</cdr:x>
      <cdr:y>0.12596</cdr:y>
    </cdr:from>
    <cdr:to>
      <cdr:x>1</cdr:x>
      <cdr:y>0.1936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05395" y="225766"/>
          <a:ext cx="570556" cy="1212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Centralines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0.71197</cdr:x>
      <cdr:y>0.33952</cdr:y>
    </cdr:from>
    <cdr:to>
      <cdr:x>1</cdr:x>
      <cdr:y>0.40861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46238" y="608550"/>
          <a:ext cx="561961" cy="1238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Centralines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0.72261</cdr:x>
      <cdr:y>0.09748</cdr:y>
    </cdr:from>
    <cdr:to>
      <cdr:x>1</cdr:x>
      <cdr:y>0.16415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379763" y="174719"/>
          <a:ext cx="523005" cy="119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Centralines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0.71206</cdr:x>
      <cdr:y>0.22621</cdr:y>
    </cdr:from>
    <cdr:to>
      <cdr:x>1</cdr:x>
      <cdr:y>0.31644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80735" y="408131"/>
          <a:ext cx="547831" cy="162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Centralines</a:t>
          </a:r>
          <a:endParaRPr lang="en-NZ" sz="8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0.70328</cdr:x>
      <cdr:y>0.66477</cdr:y>
    </cdr:from>
    <cdr:to>
      <cdr:x>1</cdr:x>
      <cdr:y>0.73302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46712" y="1199398"/>
          <a:ext cx="564536" cy="1231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Centralines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0.72944</cdr:x>
      <cdr:y>0.08462</cdr:y>
    </cdr:from>
    <cdr:to>
      <cdr:x>1</cdr:x>
      <cdr:y>0.15325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69666" y="152682"/>
          <a:ext cx="514764" cy="123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Centralines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18321</xdr:colOff>
      <xdr:row>17</xdr:row>
      <xdr:rowOff>145142</xdr:rowOff>
    </xdr:from>
    <xdr:to>
      <xdr:col>15</xdr:col>
      <xdr:colOff>290107</xdr:colOff>
      <xdr:row>28</xdr:row>
      <xdr:rowOff>118928</xdr:rowOff>
    </xdr:to>
    <xdr:grpSp>
      <xdr:nvGrpSpPr>
        <xdr:cNvPr id="2" name="Group 1"/>
        <xdr:cNvGrpSpPr/>
      </xdr:nvGrpSpPr>
      <xdr:grpSpPr>
        <a:xfrm>
          <a:off x="7084964" y="3483428"/>
          <a:ext cx="5760000" cy="2051143"/>
          <a:chOff x="10016850" y="6362700"/>
          <a:chExt cx="5760000" cy="2160000"/>
        </a:xfrm>
      </xdr:grpSpPr>
      <xdr:graphicFrame macro="">
        <xdr:nvGraphicFramePr>
          <xdr:cNvPr id="3" name="Annual line charge"/>
          <xdr:cNvGraphicFramePr/>
        </xdr:nvGraphicFramePr>
        <xdr:xfrm>
          <a:off x="10016850" y="6362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2896850" y="6362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10734</xdr:colOff>
      <xdr:row>37</xdr:row>
      <xdr:rowOff>119876</xdr:rowOff>
    </xdr:from>
    <xdr:to>
      <xdr:col>15</xdr:col>
      <xdr:colOff>277572</xdr:colOff>
      <xdr:row>48</xdr:row>
      <xdr:rowOff>179460</xdr:rowOff>
    </xdr:to>
    <xdr:grpSp>
      <xdr:nvGrpSpPr>
        <xdr:cNvPr id="6" name="Group 5"/>
        <xdr:cNvGrpSpPr/>
      </xdr:nvGrpSpPr>
      <xdr:grpSpPr>
        <a:xfrm>
          <a:off x="7077377" y="7168376"/>
          <a:ext cx="5755052" cy="2055298"/>
          <a:chOff x="10016851" y="8656782"/>
          <a:chExt cx="5713672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1" y="8725168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39351</xdr:colOff>
      <xdr:row>53</xdr:row>
      <xdr:rowOff>0</xdr:rowOff>
    </xdr:from>
    <xdr:to>
      <xdr:col>15</xdr:col>
      <xdr:colOff>299592</xdr:colOff>
      <xdr:row>64</xdr:row>
      <xdr:rowOff>56285</xdr:rowOff>
    </xdr:to>
    <xdr:grpSp>
      <xdr:nvGrpSpPr>
        <xdr:cNvPr id="9" name="Group 8"/>
        <xdr:cNvGrpSpPr/>
      </xdr:nvGrpSpPr>
      <xdr:grpSpPr>
        <a:xfrm>
          <a:off x="7105994" y="9951357"/>
          <a:ext cx="5748455" cy="2051999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53902</xdr:colOff>
      <xdr:row>82</xdr:row>
      <xdr:rowOff>13844</xdr:rowOff>
    </xdr:from>
    <xdr:to>
      <xdr:col>15</xdr:col>
      <xdr:colOff>314143</xdr:colOff>
      <xdr:row>93</xdr:row>
      <xdr:rowOff>70130</xdr:rowOff>
    </xdr:to>
    <xdr:grpSp>
      <xdr:nvGrpSpPr>
        <xdr:cNvPr id="16" name="Group 15"/>
        <xdr:cNvGrpSpPr/>
      </xdr:nvGrpSpPr>
      <xdr:grpSpPr>
        <a:xfrm>
          <a:off x="7120545" y="15226630"/>
          <a:ext cx="5748455" cy="2052000"/>
          <a:chOff x="10031401" y="18299700"/>
          <a:chExt cx="5722948" cy="2160000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0"/>
          <a:ext cx="280426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60366</xdr:colOff>
      <xdr:row>111</xdr:row>
      <xdr:rowOff>59376</xdr:rowOff>
    </xdr:from>
    <xdr:to>
      <xdr:col>15</xdr:col>
      <xdr:colOff>320607</xdr:colOff>
      <xdr:row>122</xdr:row>
      <xdr:rowOff>118104</xdr:rowOff>
    </xdr:to>
    <xdr:grpSp>
      <xdr:nvGrpSpPr>
        <xdr:cNvPr id="26" name="Group 25"/>
        <xdr:cNvGrpSpPr/>
      </xdr:nvGrpSpPr>
      <xdr:grpSpPr>
        <a:xfrm>
          <a:off x="7127009" y="20533590"/>
          <a:ext cx="5748455" cy="2054443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35112</xdr:colOff>
      <xdr:row>135</xdr:row>
      <xdr:rowOff>50484</xdr:rowOff>
    </xdr:from>
    <xdr:to>
      <xdr:col>15</xdr:col>
      <xdr:colOff>313495</xdr:colOff>
      <xdr:row>146</xdr:row>
      <xdr:rowOff>70770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23813</xdr:colOff>
      <xdr:row>178</xdr:row>
      <xdr:rowOff>95250</xdr:rowOff>
    </xdr:from>
    <xdr:to>
      <xdr:col>10</xdr:col>
      <xdr:colOff>0</xdr:colOff>
      <xdr:row>178</xdr:row>
      <xdr:rowOff>130968</xdr:rowOff>
    </xdr:to>
    <xdr:cxnSp macro="">
      <xdr:nvCxnSpPr>
        <xdr:cNvPr id="31" name="Straight Arrow Connector 30"/>
        <xdr:cNvCxnSpPr/>
      </xdr:nvCxnSpPr>
      <xdr:spPr>
        <a:xfrm flipV="1">
          <a:off x="8377238" y="34651950"/>
          <a:ext cx="776287" cy="3571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37014</xdr:colOff>
      <xdr:row>183</xdr:row>
      <xdr:rowOff>5986</xdr:rowOff>
    </xdr:from>
    <xdr:to>
      <xdr:col>15</xdr:col>
      <xdr:colOff>297255</xdr:colOff>
      <xdr:row>194</xdr:row>
      <xdr:rowOff>26271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82152</xdr:colOff>
      <xdr:row>68</xdr:row>
      <xdr:rowOff>39584</xdr:rowOff>
    </xdr:from>
    <xdr:to>
      <xdr:col>15</xdr:col>
      <xdr:colOff>342393</xdr:colOff>
      <xdr:row>79</xdr:row>
      <xdr:rowOff>95870</xdr:rowOff>
    </xdr:to>
    <xdr:grpSp>
      <xdr:nvGrpSpPr>
        <xdr:cNvPr id="37" name="Group 36"/>
        <xdr:cNvGrpSpPr/>
      </xdr:nvGrpSpPr>
      <xdr:grpSpPr>
        <a:xfrm>
          <a:off x="7148795" y="12712370"/>
          <a:ext cx="5748455" cy="2052000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66976</xdr:colOff>
      <xdr:row>95</xdr:row>
      <xdr:rowOff>172182</xdr:rowOff>
    </xdr:from>
    <xdr:to>
      <xdr:col>15</xdr:col>
      <xdr:colOff>327217</xdr:colOff>
      <xdr:row>107</xdr:row>
      <xdr:rowOff>46182</xdr:rowOff>
    </xdr:to>
    <xdr:grpSp>
      <xdr:nvGrpSpPr>
        <xdr:cNvPr id="44" name="Group 43"/>
        <xdr:cNvGrpSpPr/>
      </xdr:nvGrpSpPr>
      <xdr:grpSpPr>
        <a:xfrm>
          <a:off x="7133619" y="17743539"/>
          <a:ext cx="5748455" cy="2051143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141817</xdr:colOff>
      <xdr:row>197</xdr:row>
      <xdr:rowOff>96309</xdr:rowOff>
    </xdr:from>
    <xdr:to>
      <xdr:col>15</xdr:col>
      <xdr:colOff>413603</xdr:colOff>
      <xdr:row>206</xdr:row>
      <xdr:rowOff>155451</xdr:rowOff>
    </xdr:to>
    <xdr:grpSp>
      <xdr:nvGrpSpPr>
        <xdr:cNvPr id="47" name="Group 46"/>
        <xdr:cNvGrpSpPr/>
      </xdr:nvGrpSpPr>
      <xdr:grpSpPr>
        <a:xfrm>
          <a:off x="7208460" y="36173380"/>
          <a:ext cx="5760000" cy="1692000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23860</xdr:colOff>
      <xdr:row>159</xdr:row>
      <xdr:rowOff>116897</xdr:rowOff>
    </xdr:from>
    <xdr:to>
      <xdr:col>15</xdr:col>
      <xdr:colOff>302243</xdr:colOff>
      <xdr:row>168</xdr:row>
      <xdr:rowOff>179339</xdr:rowOff>
    </xdr:to>
    <xdr:grpSp>
      <xdr:nvGrpSpPr>
        <xdr:cNvPr id="52" name="Group 51"/>
        <xdr:cNvGrpSpPr/>
      </xdr:nvGrpSpPr>
      <xdr:grpSpPr>
        <a:xfrm>
          <a:off x="7090503" y="29299683"/>
          <a:ext cx="5766597" cy="1695299"/>
          <a:chOff x="9109333" y="30670498"/>
          <a:chExt cx="5751108" cy="2767341"/>
        </a:xfrm>
      </xdr:grpSpPr>
      <xdr:graphicFrame macro="">
        <xdr:nvGraphicFramePr>
          <xdr:cNvPr id="53" name="Chart 52"/>
          <xdr:cNvGraphicFramePr/>
        </xdr:nvGraphicFramePr>
        <xdr:xfrm>
          <a:off x="9109333" y="30670498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2941641" y="30670498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1022841" y="30694639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87357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42786"/>
          <a:ext cx="5760000" cy="2052000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7</xdr:col>
      <xdr:colOff>34937</xdr:colOff>
      <xdr:row>227</xdr:row>
      <xdr:rowOff>127000</xdr:rowOff>
    </xdr:from>
    <xdr:to>
      <xdr:col>15</xdr:col>
      <xdr:colOff>295178</xdr:colOff>
      <xdr:row>238</xdr:row>
      <xdr:rowOff>183286</xdr:rowOff>
    </xdr:to>
    <xdr:grpSp>
      <xdr:nvGrpSpPr>
        <xdr:cNvPr id="62" name="Group 61"/>
        <xdr:cNvGrpSpPr/>
      </xdr:nvGrpSpPr>
      <xdr:grpSpPr>
        <a:xfrm>
          <a:off x="7101580" y="41646929"/>
          <a:ext cx="5748455" cy="2052000"/>
          <a:chOff x="8302351" y="44843700"/>
          <a:chExt cx="5760682" cy="2160000"/>
        </a:xfrm>
      </xdr:grpSpPr>
      <xdr:graphicFrame macro="">
        <xdr:nvGraphicFramePr>
          <xdr:cNvPr id="63" name="SAIFI"/>
          <xdr:cNvGraphicFramePr/>
        </xdr:nvGraphicFramePr>
        <xdr:xfrm>
          <a:off x="11182350" y="44843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4" name="Chart 63"/>
          <xdr:cNvGraphicFramePr/>
        </xdr:nvGraphicFramePr>
        <xdr:xfrm>
          <a:off x="8302351" y="44843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5" name="TextBox 64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8" name="TextBox 67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</xdr:colOff>
      <xdr:row>17</xdr:row>
      <xdr:rowOff>145050</xdr:rowOff>
    </xdr:from>
    <xdr:to>
      <xdr:col>15</xdr:col>
      <xdr:colOff>269971</xdr:colOff>
      <xdr:row>28</xdr:row>
      <xdr:rowOff>120650</xdr:rowOff>
    </xdr:to>
    <xdr:grpSp>
      <xdr:nvGrpSpPr>
        <xdr:cNvPr id="2" name="Group 1"/>
        <xdr:cNvGrpSpPr/>
      </xdr:nvGrpSpPr>
      <xdr:grpSpPr>
        <a:xfrm>
          <a:off x="7085693" y="3474264"/>
          <a:ext cx="5739135" cy="2052957"/>
          <a:chOff x="9998528" y="6325414"/>
          <a:chExt cx="5737500" cy="2160000"/>
        </a:xfrm>
      </xdr:grpSpPr>
      <xdr:graphicFrame macro="">
        <xdr:nvGraphicFramePr>
          <xdr:cNvPr id="3" name="Annual line charge"/>
          <xdr:cNvGraphicFramePr/>
        </xdr:nvGraphicFramePr>
        <xdr:xfrm>
          <a:off x="9998528" y="6325414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2856028" y="6325414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31022</xdr:colOff>
      <xdr:row>37</xdr:row>
      <xdr:rowOff>74932</xdr:rowOff>
    </xdr:from>
    <xdr:to>
      <xdr:col>15</xdr:col>
      <xdr:colOff>295550</xdr:colOff>
      <xdr:row>48</xdr:row>
      <xdr:rowOff>131218</xdr:rowOff>
    </xdr:to>
    <xdr:grpSp>
      <xdr:nvGrpSpPr>
        <xdr:cNvPr id="6" name="Group 5"/>
        <xdr:cNvGrpSpPr/>
      </xdr:nvGrpSpPr>
      <xdr:grpSpPr>
        <a:xfrm>
          <a:off x="7097665" y="7114361"/>
          <a:ext cx="5752742" cy="2052000"/>
          <a:chOff x="10016851" y="8656782"/>
          <a:chExt cx="5713672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1" y="8725168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30115</xdr:colOff>
      <xdr:row>52</xdr:row>
      <xdr:rowOff>152400</xdr:rowOff>
    </xdr:from>
    <xdr:to>
      <xdr:col>15</xdr:col>
      <xdr:colOff>289201</xdr:colOff>
      <xdr:row>64</xdr:row>
      <xdr:rowOff>24535</xdr:rowOff>
    </xdr:to>
    <xdr:grpSp>
      <xdr:nvGrpSpPr>
        <xdr:cNvPr id="9" name="Group 8"/>
        <xdr:cNvGrpSpPr/>
      </xdr:nvGrpSpPr>
      <xdr:grpSpPr>
        <a:xfrm>
          <a:off x="7096758" y="9913257"/>
          <a:ext cx="5747300" cy="2049278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19266</xdr:colOff>
      <xdr:row>81</xdr:row>
      <xdr:rowOff>84271</xdr:rowOff>
    </xdr:from>
    <xdr:to>
      <xdr:col>15</xdr:col>
      <xdr:colOff>278352</xdr:colOff>
      <xdr:row>92</xdr:row>
      <xdr:rowOff>140557</xdr:rowOff>
    </xdr:to>
    <xdr:grpSp>
      <xdr:nvGrpSpPr>
        <xdr:cNvPr id="16" name="Group 15"/>
        <xdr:cNvGrpSpPr/>
      </xdr:nvGrpSpPr>
      <xdr:grpSpPr>
        <a:xfrm>
          <a:off x="7085909" y="15106557"/>
          <a:ext cx="5747300" cy="2052000"/>
          <a:chOff x="10031401" y="18299700"/>
          <a:chExt cx="5722948" cy="2160000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0"/>
          <a:ext cx="280426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19380</xdr:colOff>
      <xdr:row>111</xdr:row>
      <xdr:rowOff>61686</xdr:rowOff>
    </xdr:from>
    <xdr:to>
      <xdr:col>15</xdr:col>
      <xdr:colOff>278466</xdr:colOff>
      <xdr:row>122</xdr:row>
      <xdr:rowOff>119836</xdr:rowOff>
    </xdr:to>
    <xdr:grpSp>
      <xdr:nvGrpSpPr>
        <xdr:cNvPr id="26" name="Group 25"/>
        <xdr:cNvGrpSpPr/>
      </xdr:nvGrpSpPr>
      <xdr:grpSpPr>
        <a:xfrm>
          <a:off x="7086023" y="20526829"/>
          <a:ext cx="5747300" cy="2053864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18371</xdr:colOff>
      <xdr:row>134</xdr:row>
      <xdr:rowOff>174019</xdr:rowOff>
    </xdr:from>
    <xdr:to>
      <xdr:col>15</xdr:col>
      <xdr:colOff>295599</xdr:colOff>
      <xdr:row>146</xdr:row>
      <xdr:rowOff>10155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34128</xdr:colOff>
      <xdr:row>182</xdr:row>
      <xdr:rowOff>102391</xdr:rowOff>
    </xdr:from>
    <xdr:to>
      <xdr:col>15</xdr:col>
      <xdr:colOff>293214</xdr:colOff>
      <xdr:row>193</xdr:row>
      <xdr:rowOff>122676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25580</xdr:colOff>
      <xdr:row>67</xdr:row>
      <xdr:rowOff>77107</xdr:rowOff>
    </xdr:from>
    <xdr:to>
      <xdr:col>15</xdr:col>
      <xdr:colOff>284666</xdr:colOff>
      <xdr:row>78</xdr:row>
      <xdr:rowOff>133393</xdr:rowOff>
    </xdr:to>
    <xdr:grpSp>
      <xdr:nvGrpSpPr>
        <xdr:cNvPr id="37" name="Group 36"/>
        <xdr:cNvGrpSpPr/>
      </xdr:nvGrpSpPr>
      <xdr:grpSpPr>
        <a:xfrm>
          <a:off x="7092223" y="12559393"/>
          <a:ext cx="5747300" cy="2052000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22527</xdr:colOff>
      <xdr:row>96</xdr:row>
      <xdr:rowOff>56150</xdr:rowOff>
    </xdr:from>
    <xdr:to>
      <xdr:col>15</xdr:col>
      <xdr:colOff>281613</xdr:colOff>
      <xdr:row>107</xdr:row>
      <xdr:rowOff>114300</xdr:rowOff>
    </xdr:to>
    <xdr:grpSp>
      <xdr:nvGrpSpPr>
        <xdr:cNvPr id="44" name="Group 43"/>
        <xdr:cNvGrpSpPr/>
      </xdr:nvGrpSpPr>
      <xdr:grpSpPr>
        <a:xfrm>
          <a:off x="7089170" y="17799864"/>
          <a:ext cx="5747300" cy="2053865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21167</xdr:colOff>
      <xdr:row>203</xdr:row>
      <xdr:rowOff>26459</xdr:rowOff>
    </xdr:from>
    <xdr:to>
      <xdr:col>15</xdr:col>
      <xdr:colOff>292953</xdr:colOff>
      <xdr:row>212</xdr:row>
      <xdr:rowOff>104339</xdr:rowOff>
    </xdr:to>
    <xdr:grpSp>
      <xdr:nvGrpSpPr>
        <xdr:cNvPr id="47" name="Group 46"/>
        <xdr:cNvGrpSpPr/>
      </xdr:nvGrpSpPr>
      <xdr:grpSpPr>
        <a:xfrm>
          <a:off x="7087810" y="37183030"/>
          <a:ext cx="5760000" cy="1710738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32808</xdr:colOff>
      <xdr:row>158</xdr:row>
      <xdr:rowOff>168275</xdr:rowOff>
    </xdr:from>
    <xdr:to>
      <xdr:col>15</xdr:col>
      <xdr:colOff>310036</xdr:colOff>
      <xdr:row>168</xdr:row>
      <xdr:rowOff>67508</xdr:rowOff>
    </xdr:to>
    <xdr:grpSp>
      <xdr:nvGrpSpPr>
        <xdr:cNvPr id="52" name="Group 51"/>
        <xdr:cNvGrpSpPr/>
      </xdr:nvGrpSpPr>
      <xdr:grpSpPr>
        <a:xfrm>
          <a:off x="7099451" y="29160561"/>
          <a:ext cx="5765442" cy="1713518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108854</xdr:rowOff>
    </xdr:from>
    <xdr:to>
      <xdr:col>19</xdr:col>
      <xdr:colOff>314147</xdr:colOff>
      <xdr:row>181</xdr:row>
      <xdr:rowOff>165136</xdr:rowOff>
    </xdr:to>
    <xdr:grpSp>
      <xdr:nvGrpSpPr>
        <xdr:cNvPr id="56" name="Group 55"/>
        <xdr:cNvGrpSpPr/>
      </xdr:nvGrpSpPr>
      <xdr:grpSpPr>
        <a:xfrm>
          <a:off x="9503861" y="31278283"/>
          <a:ext cx="5760000" cy="2051996"/>
          <a:chOff x="8873850" y="33903557"/>
          <a:chExt cx="5751107" cy="2177139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696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64500</xdr:rowOff>
    </xdr:to>
    <xdr:grpSp>
      <xdr:nvGrpSpPr>
        <xdr:cNvPr id="59" name="Group 58"/>
        <xdr:cNvGrpSpPr/>
      </xdr:nvGrpSpPr>
      <xdr:grpSpPr>
        <a:xfrm>
          <a:off x="9503861" y="39333714"/>
          <a:ext cx="5760000" cy="2060215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7</xdr:col>
      <xdr:colOff>12425</xdr:colOff>
      <xdr:row>227</xdr:row>
      <xdr:rowOff>76200</xdr:rowOff>
    </xdr:from>
    <xdr:to>
      <xdr:col>15</xdr:col>
      <xdr:colOff>271511</xdr:colOff>
      <xdr:row>238</xdr:row>
      <xdr:rowOff>140700</xdr:rowOff>
    </xdr:to>
    <xdr:grpSp>
      <xdr:nvGrpSpPr>
        <xdr:cNvPr id="62" name="Group 61"/>
        <xdr:cNvGrpSpPr/>
      </xdr:nvGrpSpPr>
      <xdr:grpSpPr>
        <a:xfrm>
          <a:off x="7079068" y="41587057"/>
          <a:ext cx="5747300" cy="2060214"/>
          <a:chOff x="8302350" y="44843700"/>
          <a:chExt cx="5760683" cy="2160000"/>
        </a:xfrm>
      </xdr:grpSpPr>
      <xdr:graphicFrame macro="">
        <xdr:nvGraphicFramePr>
          <xdr:cNvPr id="63" name="SAIFI"/>
          <xdr:cNvGraphicFramePr/>
        </xdr:nvGraphicFramePr>
        <xdr:xfrm>
          <a:off x="11182350" y="44843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4" name="Chart 63"/>
          <xdr:cNvGraphicFramePr/>
        </xdr:nvGraphicFramePr>
        <xdr:xfrm>
          <a:off x="8302350" y="44843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5" name="TextBox 64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8" name="TextBox 67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0.71142</cdr:x>
      <cdr:y>0.61672</cdr:y>
    </cdr:from>
    <cdr:to>
      <cdr:x>1</cdr:x>
      <cdr:y>0.68214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14299" y="1344039"/>
          <a:ext cx="817073" cy="1425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r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0.79278</cdr:x>
      <cdr:y>0.53522</cdr:y>
    </cdr:from>
    <cdr:to>
      <cdr:x>1</cdr:x>
      <cdr:y>0.62068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97237" y="959323"/>
          <a:ext cx="391354" cy="1531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</a:t>
          </a:r>
        </a:p>
      </cdr:txBody>
    </cdr:sp>
  </cdr:relSizeAnchor>
  <cdr:relSizeAnchor xmlns:cdr="http://schemas.openxmlformats.org/drawingml/2006/chartDrawing">
    <cdr:from>
      <cdr:x>0.78874</cdr:x>
      <cdr:y>0.41053</cdr:y>
    </cdr:from>
    <cdr:to>
      <cdr:x>1</cdr:x>
      <cdr:y>0.48783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37232" y="735830"/>
          <a:ext cx="398984" cy="1385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Counties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0.79003</cdr:x>
      <cdr:y>0.52683</cdr:y>
    </cdr:from>
    <cdr:to>
      <cdr:x>1</cdr:x>
      <cdr:y>0.59603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663494" y="944275"/>
          <a:ext cx="396548" cy="1240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</a:t>
          </a:r>
        </a:p>
      </cdr:txBody>
    </cdr:sp>
  </cdr:relSizeAnchor>
  <cdr:relSizeAnchor xmlns:cdr="http://schemas.openxmlformats.org/drawingml/2006/chartDrawing">
    <cdr:from>
      <cdr:x>0.77037</cdr:x>
      <cdr:y>0.36271</cdr:y>
    </cdr:from>
    <cdr:to>
      <cdr:x>1</cdr:x>
      <cdr:y>0.44001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54915" y="650105"/>
          <a:ext cx="433677" cy="1385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Counties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0.55021</cdr:x>
      <cdr:y>0.56038</cdr:y>
    </cdr:from>
    <cdr:to>
      <cdr:x>0.74614</cdr:x>
      <cdr:y>0.63772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073480" y="1004409"/>
          <a:ext cx="382269" cy="1386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</a:t>
          </a:r>
        </a:p>
      </cdr:txBody>
    </cdr:sp>
  </cdr:relSizeAnchor>
  <cdr:relSizeAnchor xmlns:cdr="http://schemas.openxmlformats.org/drawingml/2006/chartDrawing">
    <cdr:from>
      <cdr:x>0.53231</cdr:x>
      <cdr:y>0.45208</cdr:y>
    </cdr:from>
    <cdr:to>
      <cdr:x>0.74125</cdr:x>
      <cdr:y>0.52455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038572" y="810294"/>
          <a:ext cx="407652" cy="1298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Counties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0.80592</cdr:x>
      <cdr:y>0.55837</cdr:y>
    </cdr:from>
    <cdr:to>
      <cdr:x>1</cdr:x>
      <cdr:y>0.63246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660660" y="1007434"/>
          <a:ext cx="370097" cy="133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 </a:t>
          </a:r>
          <a:endParaRPr lang="en-NZ" sz="1050"/>
        </a:p>
      </cdr:txBody>
    </cdr:sp>
  </cdr:relSizeAnchor>
  <cdr:relSizeAnchor xmlns:cdr="http://schemas.openxmlformats.org/drawingml/2006/chartDrawing">
    <cdr:from>
      <cdr:x>0.76334</cdr:x>
      <cdr:y>0.41482</cdr:y>
    </cdr:from>
    <cdr:to>
      <cdr:x>1</cdr:x>
      <cdr:y>0.48201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12787" y="748428"/>
          <a:ext cx="451295" cy="121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Counties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0.80094</cdr:x>
      <cdr:y>0.50566</cdr:y>
    </cdr:from>
    <cdr:to>
      <cdr:x>1</cdr:x>
      <cdr:y>0.58503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679723" y="912320"/>
          <a:ext cx="378729" cy="1432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</a:t>
          </a:r>
        </a:p>
      </cdr:txBody>
    </cdr:sp>
  </cdr:relSizeAnchor>
  <cdr:relSizeAnchor xmlns:cdr="http://schemas.openxmlformats.org/drawingml/2006/chartDrawing">
    <cdr:from>
      <cdr:x>0.7952</cdr:x>
      <cdr:y>0.4057</cdr:y>
    </cdr:from>
    <cdr:to>
      <cdr:x>1</cdr:x>
      <cdr:y>0.47289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54492" y="731981"/>
          <a:ext cx="390540" cy="121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Counties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0.80094</cdr:x>
      <cdr:y>0.45965</cdr:y>
    </cdr:from>
    <cdr:to>
      <cdr:x>1</cdr:x>
      <cdr:y>0.52844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74963" y="829311"/>
          <a:ext cx="379594" cy="124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</a:t>
          </a:r>
        </a:p>
      </cdr:txBody>
    </cdr:sp>
  </cdr:relSizeAnchor>
  <cdr:relSizeAnchor xmlns:cdr="http://schemas.openxmlformats.org/drawingml/2006/chartDrawing">
    <cdr:from>
      <cdr:x>0.79975</cdr:x>
      <cdr:y>0.30348</cdr:y>
    </cdr:from>
    <cdr:to>
      <cdr:x>1</cdr:x>
      <cdr:y>0.37067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53644" y="547552"/>
          <a:ext cx="381863" cy="1212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Counties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11972</xdr:colOff>
      <xdr:row>17</xdr:row>
      <xdr:rowOff>150586</xdr:rowOff>
    </xdr:from>
    <xdr:to>
      <xdr:col>15</xdr:col>
      <xdr:colOff>262893</xdr:colOff>
      <xdr:row>28</xdr:row>
      <xdr:rowOff>126186</xdr:rowOff>
    </xdr:to>
    <xdr:grpSp>
      <xdr:nvGrpSpPr>
        <xdr:cNvPr id="2" name="Group 1"/>
        <xdr:cNvGrpSpPr/>
      </xdr:nvGrpSpPr>
      <xdr:grpSpPr>
        <a:xfrm>
          <a:off x="7078615" y="3479800"/>
          <a:ext cx="5739135" cy="2052957"/>
          <a:chOff x="10016850" y="6362700"/>
          <a:chExt cx="5760000" cy="2160000"/>
        </a:xfrm>
      </xdr:grpSpPr>
      <xdr:graphicFrame macro="">
        <xdr:nvGraphicFramePr>
          <xdr:cNvPr id="3" name="Annual line charge"/>
          <xdr:cNvGraphicFramePr/>
        </xdr:nvGraphicFramePr>
        <xdr:xfrm>
          <a:off x="10016850" y="6362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2896850" y="6362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31021</xdr:colOff>
      <xdr:row>37</xdr:row>
      <xdr:rowOff>100332</xdr:rowOff>
    </xdr:from>
    <xdr:to>
      <xdr:col>15</xdr:col>
      <xdr:colOff>295549</xdr:colOff>
      <xdr:row>48</xdr:row>
      <xdr:rowOff>156618</xdr:rowOff>
    </xdr:to>
    <xdr:grpSp>
      <xdr:nvGrpSpPr>
        <xdr:cNvPr id="6" name="Group 5"/>
        <xdr:cNvGrpSpPr/>
      </xdr:nvGrpSpPr>
      <xdr:grpSpPr>
        <a:xfrm>
          <a:off x="7097664" y="7139761"/>
          <a:ext cx="5752742" cy="2052000"/>
          <a:chOff x="10016851" y="8656782"/>
          <a:chExt cx="5713672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1" y="8725168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4715</xdr:colOff>
      <xdr:row>52</xdr:row>
      <xdr:rowOff>158750</xdr:rowOff>
    </xdr:from>
    <xdr:to>
      <xdr:col>15</xdr:col>
      <xdr:colOff>263801</xdr:colOff>
      <xdr:row>64</xdr:row>
      <xdr:rowOff>39100</xdr:rowOff>
    </xdr:to>
    <xdr:grpSp>
      <xdr:nvGrpSpPr>
        <xdr:cNvPr id="9" name="Group 8"/>
        <xdr:cNvGrpSpPr/>
      </xdr:nvGrpSpPr>
      <xdr:grpSpPr>
        <a:xfrm>
          <a:off x="7071358" y="9919607"/>
          <a:ext cx="5747300" cy="2057493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12916</xdr:colOff>
      <xdr:row>81</xdr:row>
      <xdr:rowOff>116022</xdr:rowOff>
    </xdr:from>
    <xdr:to>
      <xdr:col>15</xdr:col>
      <xdr:colOff>272002</xdr:colOff>
      <xdr:row>92</xdr:row>
      <xdr:rowOff>172308</xdr:rowOff>
    </xdr:to>
    <xdr:grpSp>
      <xdr:nvGrpSpPr>
        <xdr:cNvPr id="16" name="Group 15"/>
        <xdr:cNvGrpSpPr/>
      </xdr:nvGrpSpPr>
      <xdr:grpSpPr>
        <a:xfrm>
          <a:off x="7079559" y="15138308"/>
          <a:ext cx="5747300" cy="2052000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25730</xdr:colOff>
      <xdr:row>111</xdr:row>
      <xdr:rowOff>48986</xdr:rowOff>
    </xdr:from>
    <xdr:to>
      <xdr:col>15</xdr:col>
      <xdr:colOff>284816</xdr:colOff>
      <xdr:row>122</xdr:row>
      <xdr:rowOff>107136</xdr:rowOff>
    </xdr:to>
    <xdr:grpSp>
      <xdr:nvGrpSpPr>
        <xdr:cNvPr id="26" name="Group 25"/>
        <xdr:cNvGrpSpPr/>
      </xdr:nvGrpSpPr>
      <xdr:grpSpPr>
        <a:xfrm>
          <a:off x="7092373" y="20514129"/>
          <a:ext cx="5747300" cy="2053864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18371</xdr:colOff>
      <xdr:row>135</xdr:row>
      <xdr:rowOff>27969</xdr:rowOff>
    </xdr:from>
    <xdr:to>
      <xdr:col>15</xdr:col>
      <xdr:colOff>295599</xdr:colOff>
      <xdr:row>146</xdr:row>
      <xdr:rowOff>48255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15078</xdr:colOff>
      <xdr:row>182</xdr:row>
      <xdr:rowOff>121441</xdr:rowOff>
    </xdr:from>
    <xdr:to>
      <xdr:col>15</xdr:col>
      <xdr:colOff>274164</xdr:colOff>
      <xdr:row>193</xdr:row>
      <xdr:rowOff>141726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19230</xdr:colOff>
      <xdr:row>67</xdr:row>
      <xdr:rowOff>108857</xdr:rowOff>
    </xdr:from>
    <xdr:to>
      <xdr:col>15</xdr:col>
      <xdr:colOff>278316</xdr:colOff>
      <xdr:row>78</xdr:row>
      <xdr:rowOff>173357</xdr:rowOff>
    </xdr:to>
    <xdr:grpSp>
      <xdr:nvGrpSpPr>
        <xdr:cNvPr id="37" name="Group 36"/>
        <xdr:cNvGrpSpPr/>
      </xdr:nvGrpSpPr>
      <xdr:grpSpPr>
        <a:xfrm>
          <a:off x="7085873" y="12591143"/>
          <a:ext cx="5747300" cy="2060214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28877</xdr:colOff>
      <xdr:row>96</xdr:row>
      <xdr:rowOff>49800</xdr:rowOff>
    </xdr:from>
    <xdr:to>
      <xdr:col>15</xdr:col>
      <xdr:colOff>287963</xdr:colOff>
      <xdr:row>107</xdr:row>
      <xdr:rowOff>107950</xdr:rowOff>
    </xdr:to>
    <xdr:grpSp>
      <xdr:nvGrpSpPr>
        <xdr:cNvPr id="44" name="Group 43"/>
        <xdr:cNvGrpSpPr/>
      </xdr:nvGrpSpPr>
      <xdr:grpSpPr>
        <a:xfrm>
          <a:off x="7095520" y="17793514"/>
          <a:ext cx="5747300" cy="2053865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27517</xdr:colOff>
      <xdr:row>203</xdr:row>
      <xdr:rowOff>96309</xdr:rowOff>
    </xdr:from>
    <xdr:to>
      <xdr:col>15</xdr:col>
      <xdr:colOff>299303</xdr:colOff>
      <xdr:row>212</xdr:row>
      <xdr:rowOff>174189</xdr:rowOff>
    </xdr:to>
    <xdr:grpSp>
      <xdr:nvGrpSpPr>
        <xdr:cNvPr id="47" name="Group 46"/>
        <xdr:cNvGrpSpPr/>
      </xdr:nvGrpSpPr>
      <xdr:grpSpPr>
        <a:xfrm>
          <a:off x="7094160" y="37252880"/>
          <a:ext cx="5760000" cy="1710738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20108</xdr:colOff>
      <xdr:row>159</xdr:row>
      <xdr:rowOff>85725</xdr:rowOff>
    </xdr:from>
    <xdr:to>
      <xdr:col>15</xdr:col>
      <xdr:colOff>297336</xdr:colOff>
      <xdr:row>168</xdr:row>
      <xdr:rowOff>169108</xdr:rowOff>
    </xdr:to>
    <xdr:grpSp>
      <xdr:nvGrpSpPr>
        <xdr:cNvPr id="52" name="Group 51"/>
        <xdr:cNvGrpSpPr/>
      </xdr:nvGrpSpPr>
      <xdr:grpSpPr>
        <a:xfrm>
          <a:off x="7086751" y="29259439"/>
          <a:ext cx="5765442" cy="1716240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64500</xdr:rowOff>
    </xdr:to>
    <xdr:grpSp>
      <xdr:nvGrpSpPr>
        <xdr:cNvPr id="59" name="Group 58"/>
        <xdr:cNvGrpSpPr/>
      </xdr:nvGrpSpPr>
      <xdr:grpSpPr>
        <a:xfrm>
          <a:off x="9503861" y="39333714"/>
          <a:ext cx="5760000" cy="2060215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7</xdr:col>
      <xdr:colOff>25125</xdr:colOff>
      <xdr:row>227</xdr:row>
      <xdr:rowOff>69850</xdr:rowOff>
    </xdr:from>
    <xdr:to>
      <xdr:col>15</xdr:col>
      <xdr:colOff>284211</xdr:colOff>
      <xdr:row>238</xdr:row>
      <xdr:rowOff>134350</xdr:rowOff>
    </xdr:to>
    <xdr:grpSp>
      <xdr:nvGrpSpPr>
        <xdr:cNvPr id="62" name="Group 61"/>
        <xdr:cNvGrpSpPr/>
      </xdr:nvGrpSpPr>
      <xdr:grpSpPr>
        <a:xfrm>
          <a:off x="7091768" y="41580707"/>
          <a:ext cx="5747300" cy="2060214"/>
          <a:chOff x="8302350" y="44843700"/>
          <a:chExt cx="5760683" cy="2160000"/>
        </a:xfrm>
      </xdr:grpSpPr>
      <xdr:graphicFrame macro="">
        <xdr:nvGraphicFramePr>
          <xdr:cNvPr id="63" name="SAIFI"/>
          <xdr:cNvGraphicFramePr/>
        </xdr:nvGraphicFramePr>
        <xdr:xfrm>
          <a:off x="11182350" y="44843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4" name="Chart 63"/>
          <xdr:cNvGraphicFramePr/>
        </xdr:nvGraphicFramePr>
        <xdr:xfrm>
          <a:off x="8302350" y="44843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5" name="TextBox 64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8" name="TextBox 67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0.05038</cdr:y>
    </cdr:from>
    <cdr:to>
      <cdr:x>1</cdr:x>
      <cdr:y>0.16561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08708" y="109796"/>
          <a:ext cx="522664" cy="251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0.11992</cdr:x>
      <cdr:y>0.18094</cdr:y>
    </cdr:from>
    <cdr:to>
      <cdr:x>0.41156</cdr:x>
      <cdr:y>0.32259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45642" y="376714"/>
          <a:ext cx="840584" cy="2949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bIns="0" rtlCol="0"/>
        <a:lstStyle xmlns:a="http://schemas.openxmlformats.org/drawingml/2006/main"/>
        <a:p xmlns:a="http://schemas.openxmlformats.org/drawingml/2006/main">
          <a:r>
            <a:rPr lang="en-NZ" sz="700"/>
            <a:t>Average</a:t>
          </a:r>
          <a:r>
            <a:rPr lang="en-NZ" sz="700" baseline="0"/>
            <a:t> electricity bill</a:t>
          </a:r>
          <a:endParaRPr lang="en-NZ" sz="7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0.34311</cdr:x>
      <cdr:y>0.58541</cdr:y>
    </cdr:from>
    <cdr:to>
      <cdr:x>0.536</cdr:x>
      <cdr:y>0.66754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48001" y="1049281"/>
          <a:ext cx="364291" cy="1472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Eastland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0.80526</cdr:x>
      <cdr:y>0.6516</cdr:y>
    </cdr:from>
    <cdr:to>
      <cdr:x>1</cdr:x>
      <cdr:y>0.71441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68484" y="1167917"/>
          <a:ext cx="379320" cy="1125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Eastland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0.8163</cdr:x>
      <cdr:y>0.64483</cdr:y>
    </cdr:from>
    <cdr:to>
      <cdr:x>1</cdr:x>
      <cdr:y>0.72213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70232" y="1155786"/>
          <a:ext cx="346934" cy="1385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r>
            <a:rPr lang="en-NZ" sz="700"/>
            <a:t>Eastland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0.32568</cdr:x>
      <cdr:y>0.42538</cdr:y>
    </cdr:from>
    <cdr:to>
      <cdr:x>0.51549</cdr:x>
      <cdr:y>0.50456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21052" y="767493"/>
          <a:ext cx="361955" cy="1428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ctr"/>
          <a:r>
            <a:rPr lang="en-NZ" sz="700"/>
            <a:t>Eastland</a:t>
          </a:r>
          <a:endParaRPr lang="en-NZ" sz="8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0.80911</cdr:x>
      <cdr:y>0.69548</cdr:y>
    </cdr:from>
    <cdr:to>
      <cdr:x>1</cdr:x>
      <cdr:y>0.77227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90543" y="1254804"/>
          <a:ext cx="364014" cy="1385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Eastland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0.8043</cdr:x>
      <cdr:y>0.2814</cdr:y>
    </cdr:from>
    <cdr:to>
      <cdr:x>1</cdr:x>
      <cdr:y>0.35819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93546" y="507705"/>
          <a:ext cx="373186" cy="1385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Eastland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18322</xdr:colOff>
      <xdr:row>17</xdr:row>
      <xdr:rowOff>175986</xdr:rowOff>
    </xdr:from>
    <xdr:to>
      <xdr:col>15</xdr:col>
      <xdr:colOff>299860</xdr:colOff>
      <xdr:row>28</xdr:row>
      <xdr:rowOff>138836</xdr:rowOff>
    </xdr:to>
    <xdr:grpSp>
      <xdr:nvGrpSpPr>
        <xdr:cNvPr id="2" name="Group 1"/>
        <xdr:cNvGrpSpPr/>
      </xdr:nvGrpSpPr>
      <xdr:grpSpPr>
        <a:xfrm>
          <a:off x="7084965" y="3505200"/>
          <a:ext cx="5769752" cy="2040207"/>
          <a:chOff x="10016850" y="6362700"/>
          <a:chExt cx="5760000" cy="2160000"/>
        </a:xfrm>
      </xdr:grpSpPr>
      <xdr:graphicFrame macro="">
        <xdr:nvGraphicFramePr>
          <xdr:cNvPr id="3" name="Annual line charge"/>
          <xdr:cNvGraphicFramePr/>
        </xdr:nvGraphicFramePr>
        <xdr:xfrm>
          <a:off x="10016850" y="6362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2896850" y="6362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11972</xdr:colOff>
      <xdr:row>37</xdr:row>
      <xdr:rowOff>87630</xdr:rowOff>
    </xdr:from>
    <xdr:to>
      <xdr:col>15</xdr:col>
      <xdr:colOff>285572</xdr:colOff>
      <xdr:row>48</xdr:row>
      <xdr:rowOff>131443</xdr:rowOff>
    </xdr:to>
    <xdr:grpSp>
      <xdr:nvGrpSpPr>
        <xdr:cNvPr id="6" name="Group 5"/>
        <xdr:cNvGrpSpPr/>
      </xdr:nvGrpSpPr>
      <xdr:grpSpPr>
        <a:xfrm>
          <a:off x="7078615" y="7127059"/>
          <a:ext cx="5761814" cy="2039527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11065</xdr:colOff>
      <xdr:row>52</xdr:row>
      <xdr:rowOff>127000</xdr:rowOff>
    </xdr:from>
    <xdr:to>
      <xdr:col>15</xdr:col>
      <xdr:colOff>289428</xdr:colOff>
      <xdr:row>63</xdr:row>
      <xdr:rowOff>170813</xdr:rowOff>
    </xdr:to>
    <xdr:grpSp>
      <xdr:nvGrpSpPr>
        <xdr:cNvPr id="9" name="Group 8"/>
        <xdr:cNvGrpSpPr/>
      </xdr:nvGrpSpPr>
      <xdr:grpSpPr>
        <a:xfrm>
          <a:off x="7077708" y="9887857"/>
          <a:ext cx="5766577" cy="2039527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12916</xdr:colOff>
      <xdr:row>81</xdr:row>
      <xdr:rowOff>109672</xdr:rowOff>
    </xdr:from>
    <xdr:to>
      <xdr:col>15</xdr:col>
      <xdr:colOff>291279</xdr:colOff>
      <xdr:row>92</xdr:row>
      <xdr:rowOff>153484</xdr:rowOff>
    </xdr:to>
    <xdr:grpSp>
      <xdr:nvGrpSpPr>
        <xdr:cNvPr id="16" name="Group 15"/>
        <xdr:cNvGrpSpPr/>
      </xdr:nvGrpSpPr>
      <xdr:grpSpPr>
        <a:xfrm>
          <a:off x="7079559" y="15131958"/>
          <a:ext cx="5766577" cy="2039526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19380</xdr:colOff>
      <xdr:row>111</xdr:row>
      <xdr:rowOff>61686</xdr:rowOff>
    </xdr:from>
    <xdr:to>
      <xdr:col>15</xdr:col>
      <xdr:colOff>297743</xdr:colOff>
      <xdr:row>122</xdr:row>
      <xdr:rowOff>107086</xdr:rowOff>
    </xdr:to>
    <xdr:grpSp>
      <xdr:nvGrpSpPr>
        <xdr:cNvPr id="26" name="Group 25"/>
        <xdr:cNvGrpSpPr/>
      </xdr:nvGrpSpPr>
      <xdr:grpSpPr>
        <a:xfrm>
          <a:off x="7086023" y="20526829"/>
          <a:ext cx="5766577" cy="2041114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12021</xdr:colOff>
      <xdr:row>134</xdr:row>
      <xdr:rowOff>167669</xdr:rowOff>
    </xdr:from>
    <xdr:to>
      <xdr:col>15</xdr:col>
      <xdr:colOff>274509</xdr:colOff>
      <xdr:row>145</xdr:row>
      <xdr:rowOff>175481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15078</xdr:colOff>
      <xdr:row>182</xdr:row>
      <xdr:rowOff>134140</xdr:rowOff>
    </xdr:from>
    <xdr:to>
      <xdr:col>15</xdr:col>
      <xdr:colOff>293441</xdr:colOff>
      <xdr:row>193</xdr:row>
      <xdr:rowOff>141953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19230</xdr:colOff>
      <xdr:row>67</xdr:row>
      <xdr:rowOff>134257</xdr:rowOff>
    </xdr:from>
    <xdr:to>
      <xdr:col>15</xdr:col>
      <xdr:colOff>297593</xdr:colOff>
      <xdr:row>78</xdr:row>
      <xdr:rowOff>178069</xdr:rowOff>
    </xdr:to>
    <xdr:grpSp>
      <xdr:nvGrpSpPr>
        <xdr:cNvPr id="37" name="Group 36"/>
        <xdr:cNvGrpSpPr/>
      </xdr:nvGrpSpPr>
      <xdr:grpSpPr>
        <a:xfrm>
          <a:off x="7085873" y="12616543"/>
          <a:ext cx="5766577" cy="2039526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7209896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</xdr:grpSp>
    </xdr:grpSp>
    <xdr:clientData/>
  </xdr:twoCellAnchor>
  <xdr:twoCellAnchor>
    <xdr:from>
      <xdr:col>7</xdr:col>
      <xdr:colOff>22527</xdr:colOff>
      <xdr:row>96</xdr:row>
      <xdr:rowOff>62500</xdr:rowOff>
    </xdr:from>
    <xdr:to>
      <xdr:col>15</xdr:col>
      <xdr:colOff>300890</xdr:colOff>
      <xdr:row>107</xdr:row>
      <xdr:rowOff>106313</xdr:rowOff>
    </xdr:to>
    <xdr:grpSp>
      <xdr:nvGrpSpPr>
        <xdr:cNvPr id="43" name="Group 42"/>
        <xdr:cNvGrpSpPr/>
      </xdr:nvGrpSpPr>
      <xdr:grpSpPr>
        <a:xfrm>
          <a:off x="7089170" y="17806214"/>
          <a:ext cx="5766577" cy="2039528"/>
          <a:chOff x="8272909" y="19634932"/>
          <a:chExt cx="5753952" cy="2160000"/>
        </a:xfrm>
      </xdr:grpSpPr>
      <xdr:graphicFrame macro="">
        <xdr:nvGraphicFramePr>
          <xdr:cNvPr id="44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7"/>
          </a:graphicData>
        </a:graphic>
      </xdr:graphicFrame>
      <xdr:graphicFrame macro="">
        <xdr:nvGraphicFramePr>
          <xdr:cNvPr id="45" name="Chart 44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</xdr:grpSp>
    <xdr:clientData/>
  </xdr:twoCellAnchor>
  <xdr:twoCellAnchor>
    <xdr:from>
      <xdr:col>7</xdr:col>
      <xdr:colOff>27517</xdr:colOff>
      <xdr:row>203</xdr:row>
      <xdr:rowOff>109009</xdr:rowOff>
    </xdr:from>
    <xdr:to>
      <xdr:col>15</xdr:col>
      <xdr:colOff>294767</xdr:colOff>
      <xdr:row>213</xdr:row>
      <xdr:rowOff>2739</xdr:rowOff>
    </xdr:to>
    <xdr:grpSp>
      <xdr:nvGrpSpPr>
        <xdr:cNvPr id="46" name="Group 45"/>
        <xdr:cNvGrpSpPr/>
      </xdr:nvGrpSpPr>
      <xdr:grpSpPr>
        <a:xfrm>
          <a:off x="7094160" y="37265580"/>
          <a:ext cx="5755464" cy="1708016"/>
          <a:chOff x="7965282" y="38754843"/>
          <a:chExt cx="5633550" cy="2738439"/>
        </a:xfrm>
      </xdr:grpSpPr>
      <xdr:graphicFrame macro="">
        <xdr:nvGraphicFramePr>
          <xdr:cNvPr id="47" name="Chart 46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  <xdr:graphicFrame macro="">
        <xdr:nvGraphicFramePr>
          <xdr:cNvPr id="48" name="Chart 47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0" name="TextBox 49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32808</xdr:colOff>
      <xdr:row>159</xdr:row>
      <xdr:rowOff>73025</xdr:rowOff>
    </xdr:from>
    <xdr:to>
      <xdr:col>15</xdr:col>
      <xdr:colOff>295296</xdr:colOff>
      <xdr:row>168</xdr:row>
      <xdr:rowOff>156408</xdr:rowOff>
    </xdr:to>
    <xdr:grpSp>
      <xdr:nvGrpSpPr>
        <xdr:cNvPr id="51" name="Group 50"/>
        <xdr:cNvGrpSpPr/>
      </xdr:nvGrpSpPr>
      <xdr:grpSpPr>
        <a:xfrm>
          <a:off x="7099451" y="29246739"/>
          <a:ext cx="5750702" cy="1716240"/>
          <a:chOff x="9067800" y="30670500"/>
          <a:chExt cx="5738325" cy="2743200"/>
        </a:xfrm>
      </xdr:grpSpPr>
      <xdr:graphicFrame macro="">
        <xdr:nvGraphicFramePr>
          <xdr:cNvPr id="52" name="Chart 51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  <xdr:graphicFrame macro="">
        <xdr:nvGraphicFramePr>
          <xdr:cNvPr id="53" name="Chart 52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336825</xdr:colOff>
      <xdr:row>181</xdr:row>
      <xdr:rowOff>152669</xdr:rowOff>
    </xdr:to>
    <xdr:grpSp>
      <xdr:nvGrpSpPr>
        <xdr:cNvPr id="55" name="Group 54"/>
        <xdr:cNvGrpSpPr/>
      </xdr:nvGrpSpPr>
      <xdr:grpSpPr>
        <a:xfrm>
          <a:off x="9503861" y="31278286"/>
          <a:ext cx="5782678" cy="2039526"/>
          <a:chOff x="8873850" y="33903557"/>
          <a:chExt cx="5751107" cy="2177143"/>
        </a:xfrm>
      </xdr:grpSpPr>
      <xdr:graphicFrame macro="">
        <xdr:nvGraphicFramePr>
          <xdr:cNvPr id="56" name="Chart 55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  <xdr:graphicFrame macro="">
        <xdr:nvGraphicFramePr>
          <xdr:cNvPr id="57" name="Chart 56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336825</xdr:colOff>
      <xdr:row>226</xdr:row>
      <xdr:rowOff>43813</xdr:rowOff>
    </xdr:to>
    <xdr:grpSp>
      <xdr:nvGrpSpPr>
        <xdr:cNvPr id="58" name="Group 57"/>
        <xdr:cNvGrpSpPr/>
      </xdr:nvGrpSpPr>
      <xdr:grpSpPr>
        <a:xfrm>
          <a:off x="9503861" y="39333714"/>
          <a:ext cx="5782678" cy="2039528"/>
          <a:chOff x="8873850" y="42367200"/>
          <a:chExt cx="5762049" cy="2160000"/>
        </a:xfrm>
      </xdr:grpSpPr>
      <xdr:graphicFrame macro="">
        <xdr:nvGraphicFramePr>
          <xdr:cNvPr id="59" name="Chart 58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  <xdr:graphicFrame macro="">
        <xdr:nvGraphicFramePr>
          <xdr:cNvPr id="60" name="Chart 59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</xdr:grpSp>
    <xdr:clientData/>
  </xdr:twoCellAnchor>
  <xdr:twoCellAnchor>
    <xdr:from>
      <xdr:col>7</xdr:col>
      <xdr:colOff>18775</xdr:colOff>
      <xdr:row>227</xdr:row>
      <xdr:rowOff>95250</xdr:rowOff>
    </xdr:from>
    <xdr:to>
      <xdr:col>15</xdr:col>
      <xdr:colOff>297138</xdr:colOff>
      <xdr:row>238</xdr:row>
      <xdr:rowOff>139062</xdr:rowOff>
    </xdr:to>
    <xdr:grpSp>
      <xdr:nvGrpSpPr>
        <xdr:cNvPr id="61" name="Group 60"/>
        <xdr:cNvGrpSpPr/>
      </xdr:nvGrpSpPr>
      <xdr:grpSpPr>
        <a:xfrm>
          <a:off x="7085418" y="41606107"/>
          <a:ext cx="5766577" cy="2039526"/>
          <a:chOff x="8302350" y="44843700"/>
          <a:chExt cx="5760683" cy="2160000"/>
        </a:xfrm>
      </xdr:grpSpPr>
      <xdr:graphicFrame macro="">
        <xdr:nvGraphicFramePr>
          <xdr:cNvPr id="62" name="SAIFI"/>
          <xdr:cNvGraphicFramePr/>
        </xdr:nvGraphicFramePr>
        <xdr:xfrm>
          <a:off x="11182350" y="44843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  <xdr:graphicFrame macro="">
        <xdr:nvGraphicFramePr>
          <xdr:cNvPr id="63" name="Chart 62"/>
          <xdr:cNvGraphicFramePr/>
        </xdr:nvGraphicFramePr>
        <xdr:xfrm>
          <a:off x="8302350" y="44843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7" name="TextBox 66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0.79165</cdr:y>
    </cdr:from>
    <cdr:to>
      <cdr:x>1</cdr:x>
      <cdr:y>0.90688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515772" y="1505319"/>
          <a:ext cx="546189" cy="2191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0.80777</cdr:x>
      <cdr:y>0.45581</cdr:y>
    </cdr:from>
    <cdr:to>
      <cdr:x>1</cdr:x>
      <cdr:y>0.52938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44598" y="816980"/>
          <a:ext cx="363044" cy="1318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</a:t>
          </a:r>
        </a:p>
      </cdr:txBody>
    </cdr:sp>
  </cdr:relSizeAnchor>
  <cdr:relSizeAnchor xmlns:cdr="http://schemas.openxmlformats.org/drawingml/2006/chartDrawing">
    <cdr:from>
      <cdr:x>0.80711</cdr:x>
      <cdr:y>0.61053</cdr:y>
    </cdr:from>
    <cdr:to>
      <cdr:x>1</cdr:x>
      <cdr:y>0.68348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1451" y="1094307"/>
          <a:ext cx="364291" cy="1307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Electra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0.82988</cdr:x>
      <cdr:y>0.48453</cdr:y>
    </cdr:from>
    <cdr:to>
      <cdr:x>1</cdr:x>
      <cdr:y>0.54725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657237" y="868461"/>
          <a:ext cx="331912" cy="112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</a:t>
          </a:r>
        </a:p>
      </cdr:txBody>
    </cdr:sp>
  </cdr:relSizeAnchor>
  <cdr:relSizeAnchor xmlns:cdr="http://schemas.openxmlformats.org/drawingml/2006/chartDrawing">
    <cdr:from>
      <cdr:x>0.80526</cdr:x>
      <cdr:y>0.6516</cdr:y>
    </cdr:from>
    <cdr:to>
      <cdr:x>1</cdr:x>
      <cdr:y>0.71441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0627" y="1167919"/>
          <a:ext cx="379947" cy="1125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Electra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0.65972</cdr:x>
      <cdr:y>0.61636</cdr:y>
    </cdr:from>
    <cdr:to>
      <cdr:x>1</cdr:x>
      <cdr:y>0.74747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872319" y="1343235"/>
          <a:ext cx="965732" cy="2857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r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0.82548</cdr:x>
      <cdr:y>0.42604</cdr:y>
    </cdr:from>
    <cdr:to>
      <cdr:x>1</cdr:x>
      <cdr:y>0.51198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3294" y="763624"/>
          <a:ext cx="329597" cy="1540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</a:t>
          </a:r>
          <a:endParaRPr lang="en-NZ" sz="800"/>
        </a:p>
      </cdr:txBody>
    </cdr:sp>
  </cdr:relSizeAnchor>
  <cdr:relSizeAnchor xmlns:cdr="http://schemas.openxmlformats.org/drawingml/2006/chartDrawing">
    <cdr:from>
      <cdr:x>0.8163</cdr:x>
      <cdr:y>0.63952</cdr:y>
    </cdr:from>
    <cdr:to>
      <cdr:x>1</cdr:x>
      <cdr:y>0.71682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41657" y="1146261"/>
          <a:ext cx="346934" cy="1385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Electra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0.80592</cdr:x>
      <cdr:y>0.46095</cdr:y>
    </cdr:from>
    <cdr:to>
      <cdr:x>1</cdr:x>
      <cdr:y>0.53504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36835" y="831656"/>
          <a:ext cx="370097" cy="133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ctr"/>
          <a:r>
            <a:rPr lang="en-NZ" sz="700"/>
            <a:t>Industry</a:t>
          </a:r>
          <a:endParaRPr lang="en-NZ" sz="1100"/>
        </a:p>
      </cdr:txBody>
    </cdr:sp>
  </cdr:relSizeAnchor>
  <cdr:relSizeAnchor xmlns:cdr="http://schemas.openxmlformats.org/drawingml/2006/chartDrawing">
    <cdr:from>
      <cdr:x>0.81019</cdr:x>
      <cdr:y>0.60488</cdr:y>
    </cdr:from>
    <cdr:to>
      <cdr:x>1</cdr:x>
      <cdr:y>0.68406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06902" y="1091352"/>
          <a:ext cx="361955" cy="1428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ctr"/>
          <a:r>
            <a:rPr lang="en-NZ" sz="700"/>
            <a:t>Electra</a:t>
          </a:r>
          <a:endParaRPr lang="en-NZ" sz="8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0.45183</cdr:x>
      <cdr:y>0.52763</cdr:y>
    </cdr:from>
    <cdr:to>
      <cdr:x>0.63295</cdr:x>
      <cdr:y>0.5971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61608" y="951961"/>
          <a:ext cx="345384" cy="1253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</a:t>
          </a:r>
          <a:endParaRPr lang="en-NZ" sz="800"/>
        </a:p>
      </cdr:txBody>
    </cdr:sp>
  </cdr:relSizeAnchor>
  <cdr:relSizeAnchor xmlns:cdr="http://schemas.openxmlformats.org/drawingml/2006/chartDrawing">
    <cdr:from>
      <cdr:x>0.48943</cdr:x>
      <cdr:y>0.40218</cdr:y>
    </cdr:from>
    <cdr:to>
      <cdr:x>0.68032</cdr:x>
      <cdr:y>0.47898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933318" y="725622"/>
          <a:ext cx="364014" cy="138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Electra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0.80094</cdr:x>
      <cdr:y>0.531</cdr:y>
    </cdr:from>
    <cdr:to>
      <cdr:x>1</cdr:x>
      <cdr:y>0.59979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679738" y="958040"/>
          <a:ext cx="379594" cy="124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Industry</a:t>
          </a:r>
          <a:endParaRPr lang="en-NZ" sz="800"/>
        </a:p>
      </cdr:txBody>
    </cdr:sp>
  </cdr:relSizeAnchor>
  <cdr:relSizeAnchor xmlns:cdr="http://schemas.openxmlformats.org/drawingml/2006/chartDrawing">
    <cdr:from>
      <cdr:x>0.8043</cdr:x>
      <cdr:y>0.33419</cdr:y>
    </cdr:from>
    <cdr:to>
      <cdr:x>1</cdr:x>
      <cdr:y>0.41098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615676" y="602950"/>
          <a:ext cx="373186" cy="1385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Electra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21678</xdr:colOff>
      <xdr:row>18</xdr:row>
      <xdr:rowOff>2720</xdr:rowOff>
    </xdr:from>
    <xdr:to>
      <xdr:col>15</xdr:col>
      <xdr:colOff>273506</xdr:colOff>
      <xdr:row>28</xdr:row>
      <xdr:rowOff>158791</xdr:rowOff>
    </xdr:to>
    <xdr:grpSp>
      <xdr:nvGrpSpPr>
        <xdr:cNvPr id="2" name="Group 1"/>
        <xdr:cNvGrpSpPr/>
      </xdr:nvGrpSpPr>
      <xdr:grpSpPr>
        <a:xfrm flipH="1" flipV="1">
          <a:off x="7088321" y="3513363"/>
          <a:ext cx="5740042" cy="2051999"/>
          <a:chOff x="1716837" y="2510896"/>
          <a:chExt cx="384556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6837" y="2510896"/>
          <a:ext cx="192163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18322</xdr:colOff>
      <xdr:row>37</xdr:row>
      <xdr:rowOff>62231</xdr:rowOff>
    </xdr:from>
    <xdr:to>
      <xdr:col>15</xdr:col>
      <xdr:colOff>282850</xdr:colOff>
      <xdr:row>48</xdr:row>
      <xdr:rowOff>118517</xdr:rowOff>
    </xdr:to>
    <xdr:grpSp>
      <xdr:nvGrpSpPr>
        <xdr:cNvPr id="6" name="Group 5"/>
        <xdr:cNvGrpSpPr/>
      </xdr:nvGrpSpPr>
      <xdr:grpSpPr>
        <a:xfrm>
          <a:off x="7084965" y="7101660"/>
          <a:ext cx="5752742" cy="2052000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23765</xdr:colOff>
      <xdr:row>52</xdr:row>
      <xdr:rowOff>146050</xdr:rowOff>
    </xdr:from>
    <xdr:to>
      <xdr:col>15</xdr:col>
      <xdr:colOff>282851</xdr:colOff>
      <xdr:row>64</xdr:row>
      <xdr:rowOff>26400</xdr:rowOff>
    </xdr:to>
    <xdr:grpSp>
      <xdr:nvGrpSpPr>
        <xdr:cNvPr id="9" name="Group 8"/>
        <xdr:cNvGrpSpPr/>
      </xdr:nvGrpSpPr>
      <xdr:grpSpPr>
        <a:xfrm>
          <a:off x="7090408" y="9906907"/>
          <a:ext cx="5747300" cy="2057493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31966</xdr:colOff>
      <xdr:row>81</xdr:row>
      <xdr:rowOff>103322</xdr:rowOff>
    </xdr:from>
    <xdr:to>
      <xdr:col>15</xdr:col>
      <xdr:colOff>291052</xdr:colOff>
      <xdr:row>92</xdr:row>
      <xdr:rowOff>159608</xdr:rowOff>
    </xdr:to>
    <xdr:grpSp>
      <xdr:nvGrpSpPr>
        <xdr:cNvPr id="16" name="Group 15"/>
        <xdr:cNvGrpSpPr/>
      </xdr:nvGrpSpPr>
      <xdr:grpSpPr>
        <a:xfrm>
          <a:off x="7098609" y="15125608"/>
          <a:ext cx="5747300" cy="2052000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19380</xdr:colOff>
      <xdr:row>111</xdr:row>
      <xdr:rowOff>42636</xdr:rowOff>
    </xdr:from>
    <xdr:to>
      <xdr:col>15</xdr:col>
      <xdr:colOff>278466</xdr:colOff>
      <xdr:row>122</xdr:row>
      <xdr:rowOff>100786</xdr:rowOff>
    </xdr:to>
    <xdr:grpSp>
      <xdr:nvGrpSpPr>
        <xdr:cNvPr id="26" name="Group 25"/>
        <xdr:cNvGrpSpPr/>
      </xdr:nvGrpSpPr>
      <xdr:grpSpPr>
        <a:xfrm>
          <a:off x="7086023" y="20507779"/>
          <a:ext cx="5747300" cy="2053864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24721</xdr:colOff>
      <xdr:row>134</xdr:row>
      <xdr:rowOff>148619</xdr:rowOff>
    </xdr:from>
    <xdr:to>
      <xdr:col>15</xdr:col>
      <xdr:colOff>301949</xdr:colOff>
      <xdr:row>145</xdr:row>
      <xdr:rowOff>168905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21428</xdr:colOff>
      <xdr:row>182</xdr:row>
      <xdr:rowOff>165891</xdr:rowOff>
    </xdr:from>
    <xdr:to>
      <xdr:col>15</xdr:col>
      <xdr:colOff>280514</xdr:colOff>
      <xdr:row>194</xdr:row>
      <xdr:rowOff>2026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12880</xdr:colOff>
      <xdr:row>67</xdr:row>
      <xdr:rowOff>115207</xdr:rowOff>
    </xdr:from>
    <xdr:to>
      <xdr:col>15</xdr:col>
      <xdr:colOff>271966</xdr:colOff>
      <xdr:row>78</xdr:row>
      <xdr:rowOff>179707</xdr:rowOff>
    </xdr:to>
    <xdr:grpSp>
      <xdr:nvGrpSpPr>
        <xdr:cNvPr id="37" name="Group 36"/>
        <xdr:cNvGrpSpPr/>
      </xdr:nvGrpSpPr>
      <xdr:grpSpPr>
        <a:xfrm>
          <a:off x="7079523" y="12597493"/>
          <a:ext cx="5747300" cy="2060214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16177</xdr:colOff>
      <xdr:row>96</xdr:row>
      <xdr:rowOff>37100</xdr:rowOff>
    </xdr:from>
    <xdr:to>
      <xdr:col>15</xdr:col>
      <xdr:colOff>275263</xdr:colOff>
      <xdr:row>107</xdr:row>
      <xdr:rowOff>95250</xdr:rowOff>
    </xdr:to>
    <xdr:grpSp>
      <xdr:nvGrpSpPr>
        <xdr:cNvPr id="44" name="Group 43"/>
        <xdr:cNvGrpSpPr/>
      </xdr:nvGrpSpPr>
      <xdr:grpSpPr>
        <a:xfrm>
          <a:off x="7082820" y="17780814"/>
          <a:ext cx="5747300" cy="2053865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40217</xdr:colOff>
      <xdr:row>203</xdr:row>
      <xdr:rowOff>134409</xdr:rowOff>
    </xdr:from>
    <xdr:to>
      <xdr:col>15</xdr:col>
      <xdr:colOff>312003</xdr:colOff>
      <xdr:row>213</xdr:row>
      <xdr:rowOff>28139</xdr:rowOff>
    </xdr:to>
    <xdr:grpSp>
      <xdr:nvGrpSpPr>
        <xdr:cNvPr id="47" name="Group 46"/>
        <xdr:cNvGrpSpPr/>
      </xdr:nvGrpSpPr>
      <xdr:grpSpPr>
        <a:xfrm>
          <a:off x="7106860" y="37290980"/>
          <a:ext cx="5760000" cy="1708016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13758</xdr:colOff>
      <xdr:row>159</xdr:row>
      <xdr:rowOff>79375</xdr:rowOff>
    </xdr:from>
    <xdr:to>
      <xdr:col>15</xdr:col>
      <xdr:colOff>290986</xdr:colOff>
      <xdr:row>168</xdr:row>
      <xdr:rowOff>162758</xdr:rowOff>
    </xdr:to>
    <xdr:grpSp>
      <xdr:nvGrpSpPr>
        <xdr:cNvPr id="52" name="Group 51"/>
        <xdr:cNvGrpSpPr/>
      </xdr:nvGrpSpPr>
      <xdr:grpSpPr>
        <a:xfrm>
          <a:off x="7080401" y="29253089"/>
          <a:ext cx="5765442" cy="1716240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64500</xdr:rowOff>
    </xdr:to>
    <xdr:grpSp>
      <xdr:nvGrpSpPr>
        <xdr:cNvPr id="59" name="Group 58"/>
        <xdr:cNvGrpSpPr/>
      </xdr:nvGrpSpPr>
      <xdr:grpSpPr>
        <a:xfrm>
          <a:off x="9503861" y="39333714"/>
          <a:ext cx="5760000" cy="2060215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7</xdr:col>
      <xdr:colOff>18775</xdr:colOff>
      <xdr:row>227</xdr:row>
      <xdr:rowOff>114300</xdr:rowOff>
    </xdr:from>
    <xdr:to>
      <xdr:col>15</xdr:col>
      <xdr:colOff>277861</xdr:colOff>
      <xdr:row>238</xdr:row>
      <xdr:rowOff>178800</xdr:rowOff>
    </xdr:to>
    <xdr:grpSp>
      <xdr:nvGrpSpPr>
        <xdr:cNvPr id="62" name="Group 61"/>
        <xdr:cNvGrpSpPr/>
      </xdr:nvGrpSpPr>
      <xdr:grpSpPr>
        <a:xfrm>
          <a:off x="7085418" y="41625157"/>
          <a:ext cx="5747300" cy="2060214"/>
          <a:chOff x="8302350" y="44843700"/>
          <a:chExt cx="5760683" cy="2160000"/>
        </a:xfrm>
      </xdr:grpSpPr>
      <xdr:graphicFrame macro="">
        <xdr:nvGraphicFramePr>
          <xdr:cNvPr id="63" name="SAIFI"/>
          <xdr:cNvGraphicFramePr/>
        </xdr:nvGraphicFramePr>
        <xdr:xfrm>
          <a:off x="11182350" y="44843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4" name="Chart 63"/>
          <xdr:cNvGraphicFramePr/>
        </xdr:nvGraphicFramePr>
        <xdr:xfrm>
          <a:off x="8302350" y="44843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5" name="TextBox 64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8" name="TextBox 67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0.61713</cdr:x>
      <cdr:y>0.7628</cdr:y>
    </cdr:from>
    <cdr:to>
      <cdr:x>0.80173</cdr:x>
      <cdr:y>0.87803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749180" y="1662380"/>
          <a:ext cx="523226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0.76072</cdr:x>
      <cdr:y>0.25593</cdr:y>
    </cdr:from>
    <cdr:to>
      <cdr:x>1</cdr:x>
      <cdr:y>0.32889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36690" y="458724"/>
          <a:ext cx="451902" cy="1307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 baseline="0"/>
            <a:t>Ashburton</a:t>
          </a:r>
          <a:endParaRPr lang="en-NZ" sz="7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0.74478</cdr:x>
      <cdr:y>0.35546</cdr:y>
    </cdr:from>
    <cdr:to>
      <cdr:x>1</cdr:x>
      <cdr:y>0.43517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38827" y="637122"/>
          <a:ext cx="497947" cy="1428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 baseline="0"/>
            <a:t>Ashburton</a:t>
          </a:r>
          <a:endParaRPr lang="en-NZ" sz="7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0.76212</cdr:x>
      <cdr:y>0.13468</cdr:y>
    </cdr:from>
    <cdr:to>
      <cdr:x>1</cdr:x>
      <cdr:y>0.20666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67908" y="241395"/>
          <a:ext cx="449258" cy="1290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Ashburton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0.75701</cdr:x>
      <cdr:y>0.28284</cdr:y>
    </cdr:from>
    <cdr:to>
      <cdr:x>1</cdr:x>
      <cdr:y>0.36779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53092" y="510314"/>
          <a:ext cx="463365" cy="153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 baseline="0"/>
            <a:t>Ashburton</a:t>
          </a:r>
          <a:endParaRPr lang="en-NZ" sz="8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0.34382</cdr:x>
      <cdr:y>0.46094</cdr:y>
    </cdr:from>
    <cdr:to>
      <cdr:x>0.54074</cdr:x>
      <cdr:y>0.52331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48258" y="826172"/>
          <a:ext cx="371283" cy="1117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en-NZ" sz="700"/>
            <a:t>Industry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0.76322</cdr:x>
      <cdr:y>0.60573</cdr:y>
    </cdr:from>
    <cdr:to>
      <cdr:x>1</cdr:x>
      <cdr:y>0.68454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41134" y="1092872"/>
          <a:ext cx="451523" cy="1422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 baseline="0">
              <a:latin typeface="+mn-lt"/>
              <a:ea typeface="+mn-ea"/>
              <a:cs typeface="+mn-cs"/>
            </a:rPr>
            <a:t>Ashburton</a:t>
          </a:r>
          <a:endParaRPr lang="en-NZ" sz="700">
            <a:latin typeface="+mn-lt"/>
            <a:ea typeface="+mn-ea"/>
            <a:cs typeface="+mn-cs"/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0.76801</cdr:x>
      <cdr:y>0.59287</cdr:y>
    </cdr:from>
    <cdr:to>
      <cdr:x>1</cdr:x>
      <cdr:y>0.65815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64543" y="1069679"/>
          <a:ext cx="442389" cy="1177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 baseline="0">
              <a:latin typeface="+mn-lt"/>
              <a:ea typeface="+mn-ea"/>
              <a:cs typeface="+mn-cs"/>
            </a:rPr>
            <a:t>Ashburton</a:t>
          </a:r>
          <a:endParaRPr lang="en-NZ" sz="700">
            <a:latin typeface="+mn-lt"/>
            <a:ea typeface="+mn-ea"/>
            <a:cs typeface="+mn-cs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26442</xdr:colOff>
      <xdr:row>17</xdr:row>
      <xdr:rowOff>142945</xdr:rowOff>
    </xdr:from>
    <xdr:to>
      <xdr:col>15</xdr:col>
      <xdr:colOff>277363</xdr:colOff>
      <xdr:row>28</xdr:row>
      <xdr:rowOff>114866</xdr:rowOff>
    </xdr:to>
    <xdr:grpSp>
      <xdr:nvGrpSpPr>
        <xdr:cNvPr id="2" name="Group 1"/>
        <xdr:cNvGrpSpPr/>
      </xdr:nvGrpSpPr>
      <xdr:grpSpPr>
        <a:xfrm>
          <a:off x="7093085" y="3472159"/>
          <a:ext cx="5739135" cy="2049278"/>
          <a:chOff x="1110208" y="1858660"/>
          <a:chExt cx="39202" cy="102970"/>
        </a:xfrm>
      </xdr:grpSpPr>
      <xdr:graphicFrame macro="">
        <xdr:nvGraphicFramePr>
          <xdr:cNvPr id="3" name="Annual line charge"/>
          <xdr:cNvGraphicFramePr/>
        </xdr:nvGraphicFramePr>
        <xdr:xfrm>
          <a:off x="1110208" y="1858660"/>
          <a:ext cx="19575" cy="10297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129835" y="1858660"/>
          <a:ext cx="19575" cy="10297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18322</xdr:colOff>
      <xdr:row>37</xdr:row>
      <xdr:rowOff>119381</xdr:rowOff>
    </xdr:from>
    <xdr:to>
      <xdr:col>15</xdr:col>
      <xdr:colOff>282850</xdr:colOff>
      <xdr:row>48</xdr:row>
      <xdr:rowOff>175667</xdr:rowOff>
    </xdr:to>
    <xdr:grpSp>
      <xdr:nvGrpSpPr>
        <xdr:cNvPr id="6" name="Group 5"/>
        <xdr:cNvGrpSpPr/>
      </xdr:nvGrpSpPr>
      <xdr:grpSpPr>
        <a:xfrm>
          <a:off x="7084965" y="7158810"/>
          <a:ext cx="5752742" cy="2052000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23765</xdr:colOff>
      <xdr:row>52</xdr:row>
      <xdr:rowOff>95250</xdr:rowOff>
    </xdr:from>
    <xdr:to>
      <xdr:col>15</xdr:col>
      <xdr:colOff>282851</xdr:colOff>
      <xdr:row>63</xdr:row>
      <xdr:rowOff>159750</xdr:rowOff>
    </xdr:to>
    <xdr:grpSp>
      <xdr:nvGrpSpPr>
        <xdr:cNvPr id="9" name="Group 8"/>
        <xdr:cNvGrpSpPr/>
      </xdr:nvGrpSpPr>
      <xdr:grpSpPr>
        <a:xfrm>
          <a:off x="7090408" y="9856107"/>
          <a:ext cx="5747300" cy="2060214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12916</xdr:colOff>
      <xdr:row>81</xdr:row>
      <xdr:rowOff>122372</xdr:rowOff>
    </xdr:from>
    <xdr:to>
      <xdr:col>15</xdr:col>
      <xdr:colOff>272002</xdr:colOff>
      <xdr:row>92</xdr:row>
      <xdr:rowOff>178658</xdr:rowOff>
    </xdr:to>
    <xdr:grpSp>
      <xdr:nvGrpSpPr>
        <xdr:cNvPr id="16" name="Group 15"/>
        <xdr:cNvGrpSpPr/>
      </xdr:nvGrpSpPr>
      <xdr:grpSpPr>
        <a:xfrm>
          <a:off x="7079559" y="15144658"/>
          <a:ext cx="5747300" cy="2052000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25730</xdr:colOff>
      <xdr:row>111</xdr:row>
      <xdr:rowOff>87086</xdr:rowOff>
    </xdr:from>
    <xdr:to>
      <xdr:col>15</xdr:col>
      <xdr:colOff>284816</xdr:colOff>
      <xdr:row>122</xdr:row>
      <xdr:rowOff>145236</xdr:rowOff>
    </xdr:to>
    <xdr:grpSp>
      <xdr:nvGrpSpPr>
        <xdr:cNvPr id="26" name="Group 25"/>
        <xdr:cNvGrpSpPr/>
      </xdr:nvGrpSpPr>
      <xdr:grpSpPr>
        <a:xfrm>
          <a:off x="7092373" y="20552229"/>
          <a:ext cx="5747300" cy="2053864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37421</xdr:colOff>
      <xdr:row>134</xdr:row>
      <xdr:rowOff>161319</xdr:rowOff>
    </xdr:from>
    <xdr:to>
      <xdr:col>15</xdr:col>
      <xdr:colOff>314649</xdr:colOff>
      <xdr:row>145</xdr:row>
      <xdr:rowOff>181605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34128</xdr:colOff>
      <xdr:row>182</xdr:row>
      <xdr:rowOff>115091</xdr:rowOff>
    </xdr:from>
    <xdr:to>
      <xdr:col>15</xdr:col>
      <xdr:colOff>293214</xdr:colOff>
      <xdr:row>193</xdr:row>
      <xdr:rowOff>135376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819330</xdr:colOff>
      <xdr:row>67</xdr:row>
      <xdr:rowOff>108857</xdr:rowOff>
    </xdr:from>
    <xdr:to>
      <xdr:col>15</xdr:col>
      <xdr:colOff>240216</xdr:colOff>
      <xdr:row>78</xdr:row>
      <xdr:rowOff>173357</xdr:rowOff>
    </xdr:to>
    <xdr:grpSp>
      <xdr:nvGrpSpPr>
        <xdr:cNvPr id="37" name="Group 36"/>
        <xdr:cNvGrpSpPr/>
      </xdr:nvGrpSpPr>
      <xdr:grpSpPr>
        <a:xfrm>
          <a:off x="7051401" y="12591143"/>
          <a:ext cx="5743672" cy="2060214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16177</xdr:colOff>
      <xdr:row>96</xdr:row>
      <xdr:rowOff>30750</xdr:rowOff>
    </xdr:from>
    <xdr:to>
      <xdr:col>15</xdr:col>
      <xdr:colOff>275263</xdr:colOff>
      <xdr:row>107</xdr:row>
      <xdr:rowOff>88900</xdr:rowOff>
    </xdr:to>
    <xdr:grpSp>
      <xdr:nvGrpSpPr>
        <xdr:cNvPr id="44" name="Group 43"/>
        <xdr:cNvGrpSpPr/>
      </xdr:nvGrpSpPr>
      <xdr:grpSpPr>
        <a:xfrm>
          <a:off x="7082820" y="17774464"/>
          <a:ext cx="5747300" cy="2053865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27517</xdr:colOff>
      <xdr:row>203</xdr:row>
      <xdr:rowOff>121709</xdr:rowOff>
    </xdr:from>
    <xdr:to>
      <xdr:col>15</xdr:col>
      <xdr:colOff>299303</xdr:colOff>
      <xdr:row>212</xdr:row>
      <xdr:rowOff>174359</xdr:rowOff>
    </xdr:to>
    <xdr:grpSp>
      <xdr:nvGrpSpPr>
        <xdr:cNvPr id="47" name="Group 46"/>
        <xdr:cNvGrpSpPr/>
      </xdr:nvGrpSpPr>
      <xdr:grpSpPr>
        <a:xfrm>
          <a:off x="7094160" y="37278280"/>
          <a:ext cx="5760000" cy="1685508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32808</xdr:colOff>
      <xdr:row>159</xdr:row>
      <xdr:rowOff>123825</xdr:rowOff>
    </xdr:from>
    <xdr:to>
      <xdr:col>15</xdr:col>
      <xdr:colOff>300058</xdr:colOff>
      <xdr:row>168</xdr:row>
      <xdr:rowOff>176475</xdr:rowOff>
    </xdr:to>
    <xdr:grpSp>
      <xdr:nvGrpSpPr>
        <xdr:cNvPr id="52" name="Group 51"/>
        <xdr:cNvGrpSpPr/>
      </xdr:nvGrpSpPr>
      <xdr:grpSpPr>
        <a:xfrm>
          <a:off x="7099451" y="29297539"/>
          <a:ext cx="5755464" cy="1685507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64500</xdr:rowOff>
    </xdr:to>
    <xdr:grpSp>
      <xdr:nvGrpSpPr>
        <xdr:cNvPr id="59" name="Group 58"/>
        <xdr:cNvGrpSpPr/>
      </xdr:nvGrpSpPr>
      <xdr:grpSpPr>
        <a:xfrm>
          <a:off x="9503861" y="39333714"/>
          <a:ext cx="5760000" cy="2060215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7</xdr:col>
      <xdr:colOff>18775</xdr:colOff>
      <xdr:row>227</xdr:row>
      <xdr:rowOff>101600</xdr:rowOff>
    </xdr:from>
    <xdr:to>
      <xdr:col>15</xdr:col>
      <xdr:colOff>277861</xdr:colOff>
      <xdr:row>238</xdr:row>
      <xdr:rowOff>166100</xdr:rowOff>
    </xdr:to>
    <xdr:grpSp>
      <xdr:nvGrpSpPr>
        <xdr:cNvPr id="62" name="Group 61"/>
        <xdr:cNvGrpSpPr/>
      </xdr:nvGrpSpPr>
      <xdr:grpSpPr>
        <a:xfrm>
          <a:off x="7085418" y="41612457"/>
          <a:ext cx="5747300" cy="2060214"/>
          <a:chOff x="8302350" y="44843700"/>
          <a:chExt cx="5760683" cy="2160000"/>
        </a:xfrm>
      </xdr:grpSpPr>
      <xdr:graphicFrame macro="">
        <xdr:nvGraphicFramePr>
          <xdr:cNvPr id="63" name="SAIFI"/>
          <xdr:cNvGraphicFramePr/>
        </xdr:nvGraphicFramePr>
        <xdr:xfrm>
          <a:off x="11182350" y="44843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4" name="Chart 63"/>
          <xdr:cNvGraphicFramePr/>
        </xdr:nvGraphicFramePr>
        <xdr:xfrm>
          <a:off x="8302350" y="44843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5" name="TextBox 64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8" name="TextBox 67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0.39129</cdr:y>
    </cdr:from>
    <cdr:to>
      <cdr:x>1</cdr:x>
      <cdr:y>0.50652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30202" y="852755"/>
          <a:ext cx="523226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0.76072</cdr:x>
      <cdr:y>0.64918</cdr:y>
    </cdr:from>
    <cdr:to>
      <cdr:x>1</cdr:x>
      <cdr:y>0.72745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36690" y="1163575"/>
          <a:ext cx="451902" cy="14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 baseline="0"/>
            <a:t>Invercargill</a:t>
          </a:r>
          <a:endParaRPr lang="en-NZ" sz="7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0.74478</cdr:x>
      <cdr:y>0.59991</cdr:y>
    </cdr:from>
    <cdr:to>
      <cdr:x>1</cdr:x>
      <cdr:y>0.66899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10252" y="1075271"/>
          <a:ext cx="497947" cy="123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 baseline="0"/>
            <a:t>Invercargill</a:t>
          </a:r>
          <a:endParaRPr lang="en-NZ" sz="7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0.76212</cdr:x>
      <cdr:y>0.63421</cdr:y>
    </cdr:from>
    <cdr:to>
      <cdr:x>1</cdr:x>
      <cdr:y>0.70088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67908" y="1136741"/>
          <a:ext cx="449258" cy="119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Invercargill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0.75701</cdr:x>
      <cdr:y>0.40427</cdr:y>
    </cdr:from>
    <cdr:to>
      <cdr:x>1</cdr:x>
      <cdr:y>0.48921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81667" y="729389"/>
          <a:ext cx="463365" cy="1532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 baseline="0"/>
            <a:t>Invercargill</a:t>
          </a:r>
          <a:endParaRPr lang="en-NZ" sz="8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0.76322</cdr:x>
      <cdr:y>0.19668</cdr:y>
    </cdr:from>
    <cdr:to>
      <cdr:x>1</cdr:x>
      <cdr:y>0.26494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89048" y="336318"/>
          <a:ext cx="456050" cy="11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 baseline="0">
              <a:latin typeface="+mn-lt"/>
              <a:ea typeface="+mn-ea"/>
              <a:cs typeface="+mn-cs"/>
            </a:rPr>
            <a:t>Invercargill</a:t>
          </a:r>
          <a:endParaRPr lang="en-NZ" sz="700">
            <a:latin typeface="+mn-lt"/>
            <a:ea typeface="+mn-ea"/>
            <a:cs typeface="+mn-cs"/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0.76801</cdr:x>
      <cdr:y>0.38171</cdr:y>
    </cdr:from>
    <cdr:to>
      <cdr:x>1</cdr:x>
      <cdr:y>0.45754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02643" y="688685"/>
          <a:ext cx="442389" cy="1368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 baseline="0">
              <a:latin typeface="+mn-lt"/>
              <a:ea typeface="+mn-ea"/>
              <a:cs typeface="+mn-cs"/>
            </a:rPr>
            <a:t>Invercargill</a:t>
          </a:r>
          <a:endParaRPr lang="en-NZ" sz="700">
            <a:latin typeface="+mn-lt"/>
            <a:ea typeface="+mn-ea"/>
            <a:cs typeface="+mn-cs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0.28616</cdr:x>
      <cdr:y>0.45302</cdr:y>
    </cdr:from>
    <cdr:to>
      <cdr:x>0.47645</cdr:x>
      <cdr:y>0.54103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39550" y="811975"/>
          <a:ext cx="358764" cy="157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en-NZ" sz="700"/>
            <a:t>Industry</a:t>
          </a:r>
          <a:endParaRPr lang="en-NZ" sz="800"/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28026</xdr:colOff>
      <xdr:row>18</xdr:row>
      <xdr:rowOff>9070</xdr:rowOff>
    </xdr:from>
    <xdr:to>
      <xdr:col>15</xdr:col>
      <xdr:colOff>279854</xdr:colOff>
      <xdr:row>28</xdr:row>
      <xdr:rowOff>165141</xdr:rowOff>
    </xdr:to>
    <xdr:grpSp>
      <xdr:nvGrpSpPr>
        <xdr:cNvPr id="2" name="Group 1"/>
        <xdr:cNvGrpSpPr/>
      </xdr:nvGrpSpPr>
      <xdr:grpSpPr>
        <a:xfrm flipH="1" flipV="1">
          <a:off x="7094669" y="3519713"/>
          <a:ext cx="5740042" cy="2051999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18322</xdr:colOff>
      <xdr:row>37</xdr:row>
      <xdr:rowOff>132082</xdr:rowOff>
    </xdr:from>
    <xdr:to>
      <xdr:col>15</xdr:col>
      <xdr:colOff>282850</xdr:colOff>
      <xdr:row>49</xdr:row>
      <xdr:rowOff>4218</xdr:rowOff>
    </xdr:to>
    <xdr:grpSp>
      <xdr:nvGrpSpPr>
        <xdr:cNvPr id="6" name="Group 5"/>
        <xdr:cNvGrpSpPr/>
      </xdr:nvGrpSpPr>
      <xdr:grpSpPr>
        <a:xfrm>
          <a:off x="7084965" y="7171511"/>
          <a:ext cx="5752742" cy="2049278"/>
          <a:chOff x="10016851" y="8656782"/>
          <a:chExt cx="5713672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1" y="8725168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17415</xdr:colOff>
      <xdr:row>52</xdr:row>
      <xdr:rowOff>146050</xdr:rowOff>
    </xdr:from>
    <xdr:to>
      <xdr:col>15</xdr:col>
      <xdr:colOff>276501</xdr:colOff>
      <xdr:row>64</xdr:row>
      <xdr:rowOff>26400</xdr:rowOff>
    </xdr:to>
    <xdr:grpSp>
      <xdr:nvGrpSpPr>
        <xdr:cNvPr id="9" name="Group 8"/>
        <xdr:cNvGrpSpPr/>
      </xdr:nvGrpSpPr>
      <xdr:grpSpPr>
        <a:xfrm>
          <a:off x="7084058" y="9906907"/>
          <a:ext cx="5747300" cy="2057493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12916</xdr:colOff>
      <xdr:row>81</xdr:row>
      <xdr:rowOff>116022</xdr:rowOff>
    </xdr:from>
    <xdr:to>
      <xdr:col>15</xdr:col>
      <xdr:colOff>272002</xdr:colOff>
      <xdr:row>92</xdr:row>
      <xdr:rowOff>172308</xdr:rowOff>
    </xdr:to>
    <xdr:grpSp>
      <xdr:nvGrpSpPr>
        <xdr:cNvPr id="16" name="Group 15"/>
        <xdr:cNvGrpSpPr/>
      </xdr:nvGrpSpPr>
      <xdr:grpSpPr>
        <a:xfrm>
          <a:off x="7079559" y="15138308"/>
          <a:ext cx="5747300" cy="2052000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13030</xdr:colOff>
      <xdr:row>111</xdr:row>
      <xdr:rowOff>29936</xdr:rowOff>
    </xdr:from>
    <xdr:to>
      <xdr:col>15</xdr:col>
      <xdr:colOff>272116</xdr:colOff>
      <xdr:row>122</xdr:row>
      <xdr:rowOff>88086</xdr:rowOff>
    </xdr:to>
    <xdr:grpSp>
      <xdr:nvGrpSpPr>
        <xdr:cNvPr id="26" name="Group 25"/>
        <xdr:cNvGrpSpPr/>
      </xdr:nvGrpSpPr>
      <xdr:grpSpPr>
        <a:xfrm>
          <a:off x="7079673" y="20495079"/>
          <a:ext cx="5747300" cy="2053864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24721</xdr:colOff>
      <xdr:row>134</xdr:row>
      <xdr:rowOff>142269</xdr:rowOff>
    </xdr:from>
    <xdr:to>
      <xdr:col>15</xdr:col>
      <xdr:colOff>301949</xdr:colOff>
      <xdr:row>145</xdr:row>
      <xdr:rowOff>162555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27778</xdr:colOff>
      <xdr:row>182</xdr:row>
      <xdr:rowOff>127791</xdr:rowOff>
    </xdr:from>
    <xdr:to>
      <xdr:col>15</xdr:col>
      <xdr:colOff>286864</xdr:colOff>
      <xdr:row>193</xdr:row>
      <xdr:rowOff>148076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25580</xdr:colOff>
      <xdr:row>67</xdr:row>
      <xdr:rowOff>115207</xdr:rowOff>
    </xdr:from>
    <xdr:to>
      <xdr:col>15</xdr:col>
      <xdr:colOff>284666</xdr:colOff>
      <xdr:row>78</xdr:row>
      <xdr:rowOff>179707</xdr:rowOff>
    </xdr:to>
    <xdr:grpSp>
      <xdr:nvGrpSpPr>
        <xdr:cNvPr id="37" name="Group 36"/>
        <xdr:cNvGrpSpPr/>
      </xdr:nvGrpSpPr>
      <xdr:grpSpPr>
        <a:xfrm>
          <a:off x="7092223" y="12597493"/>
          <a:ext cx="5747300" cy="2060214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9827</xdr:colOff>
      <xdr:row>96</xdr:row>
      <xdr:rowOff>56150</xdr:rowOff>
    </xdr:from>
    <xdr:to>
      <xdr:col>15</xdr:col>
      <xdr:colOff>268913</xdr:colOff>
      <xdr:row>107</xdr:row>
      <xdr:rowOff>114300</xdr:rowOff>
    </xdr:to>
    <xdr:grpSp>
      <xdr:nvGrpSpPr>
        <xdr:cNvPr id="44" name="Group 43"/>
        <xdr:cNvGrpSpPr/>
      </xdr:nvGrpSpPr>
      <xdr:grpSpPr>
        <a:xfrm>
          <a:off x="7076470" y="17799864"/>
          <a:ext cx="5747300" cy="2053865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21167</xdr:colOff>
      <xdr:row>203</xdr:row>
      <xdr:rowOff>109009</xdr:rowOff>
    </xdr:from>
    <xdr:to>
      <xdr:col>15</xdr:col>
      <xdr:colOff>292953</xdr:colOff>
      <xdr:row>213</xdr:row>
      <xdr:rowOff>2739</xdr:rowOff>
    </xdr:to>
    <xdr:grpSp>
      <xdr:nvGrpSpPr>
        <xdr:cNvPr id="47" name="Group 46"/>
        <xdr:cNvGrpSpPr/>
      </xdr:nvGrpSpPr>
      <xdr:grpSpPr>
        <a:xfrm>
          <a:off x="7087810" y="37265580"/>
          <a:ext cx="5760000" cy="1708016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13758</xdr:colOff>
      <xdr:row>159</xdr:row>
      <xdr:rowOff>92075</xdr:rowOff>
    </xdr:from>
    <xdr:to>
      <xdr:col>15</xdr:col>
      <xdr:colOff>290986</xdr:colOff>
      <xdr:row>168</xdr:row>
      <xdr:rowOff>175458</xdr:rowOff>
    </xdr:to>
    <xdr:grpSp>
      <xdr:nvGrpSpPr>
        <xdr:cNvPr id="52" name="Group 51"/>
        <xdr:cNvGrpSpPr/>
      </xdr:nvGrpSpPr>
      <xdr:grpSpPr>
        <a:xfrm>
          <a:off x="7080401" y="29265789"/>
          <a:ext cx="5765442" cy="1716240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64500</xdr:rowOff>
    </xdr:to>
    <xdr:grpSp>
      <xdr:nvGrpSpPr>
        <xdr:cNvPr id="59" name="Group 58"/>
        <xdr:cNvGrpSpPr/>
      </xdr:nvGrpSpPr>
      <xdr:grpSpPr>
        <a:xfrm>
          <a:off x="9503861" y="39333714"/>
          <a:ext cx="5760000" cy="2060215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7</xdr:col>
      <xdr:colOff>18775</xdr:colOff>
      <xdr:row>227</xdr:row>
      <xdr:rowOff>120650</xdr:rowOff>
    </xdr:from>
    <xdr:to>
      <xdr:col>15</xdr:col>
      <xdr:colOff>277861</xdr:colOff>
      <xdr:row>239</xdr:row>
      <xdr:rowOff>1000</xdr:rowOff>
    </xdr:to>
    <xdr:grpSp>
      <xdr:nvGrpSpPr>
        <xdr:cNvPr id="62" name="Group 61"/>
        <xdr:cNvGrpSpPr/>
      </xdr:nvGrpSpPr>
      <xdr:grpSpPr>
        <a:xfrm>
          <a:off x="7085418" y="41631507"/>
          <a:ext cx="5747300" cy="2057493"/>
          <a:chOff x="8302350" y="44843700"/>
          <a:chExt cx="5760683" cy="2160000"/>
        </a:xfrm>
      </xdr:grpSpPr>
      <xdr:graphicFrame macro="">
        <xdr:nvGraphicFramePr>
          <xdr:cNvPr id="63" name="SAIFI"/>
          <xdr:cNvGraphicFramePr/>
        </xdr:nvGraphicFramePr>
        <xdr:xfrm>
          <a:off x="11182350" y="44843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4" name="Chart 63"/>
          <xdr:cNvGraphicFramePr/>
        </xdr:nvGraphicFramePr>
        <xdr:xfrm>
          <a:off x="8302350" y="44843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5" name="TextBox 64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8" name="TextBox 67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0.3494</cdr:x>
      <cdr:y>0.85577</cdr:y>
    </cdr:from>
    <cdr:to>
      <cdr:x>0.65387</cdr:x>
      <cdr:y>0.89988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90337" y="1864993"/>
          <a:ext cx="862967" cy="961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0.76072</cdr:x>
      <cdr:y>0.697</cdr:y>
    </cdr:from>
    <cdr:to>
      <cdr:x>1</cdr:x>
      <cdr:y>0.82841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703390" y="1249294"/>
          <a:ext cx="451902" cy="2355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Horizon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0.74478</cdr:x>
      <cdr:y>0.59991</cdr:y>
    </cdr:from>
    <cdr:to>
      <cdr:x>1</cdr:x>
      <cdr:y>0.72504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95977" y="1075275"/>
          <a:ext cx="497947" cy="2242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Horizon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0.76212</cdr:x>
      <cdr:y>0.62358</cdr:y>
    </cdr:from>
    <cdr:to>
      <cdr:x>1</cdr:x>
      <cdr:y>0.7487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67908" y="1117695"/>
          <a:ext cx="449258" cy="224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Horizon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0.75701</cdr:x>
      <cdr:y>0.38314</cdr:y>
    </cdr:from>
    <cdr:to>
      <cdr:x>1</cdr:x>
      <cdr:y>0.46809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72142" y="691281"/>
          <a:ext cx="463365" cy="1532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Horizon</a:t>
          </a:r>
          <a:endParaRPr lang="en-NZ" sz="8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0.39359</cdr:x>
      <cdr:y>0.43151</cdr:y>
    </cdr:from>
    <cdr:to>
      <cdr:x>0.58542</cdr:x>
      <cdr:y>0.5156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50550" y="778551"/>
          <a:ext cx="365807" cy="1517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Horizon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0.76801</cdr:x>
      <cdr:y>0.56119</cdr:y>
    </cdr:from>
    <cdr:to>
      <cdr:x>1</cdr:x>
      <cdr:y>0.65815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59793" y="1012525"/>
          <a:ext cx="442389" cy="174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Horizon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21676</xdr:colOff>
      <xdr:row>17</xdr:row>
      <xdr:rowOff>142420</xdr:rowOff>
    </xdr:from>
    <xdr:to>
      <xdr:col>15</xdr:col>
      <xdr:colOff>273504</xdr:colOff>
      <xdr:row>28</xdr:row>
      <xdr:rowOff>114341</xdr:rowOff>
    </xdr:to>
    <xdr:grpSp>
      <xdr:nvGrpSpPr>
        <xdr:cNvPr id="2" name="Group 1"/>
        <xdr:cNvGrpSpPr/>
      </xdr:nvGrpSpPr>
      <xdr:grpSpPr>
        <a:xfrm flipH="1" flipV="1">
          <a:off x="7088319" y="3471634"/>
          <a:ext cx="5740042" cy="2049278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18322</xdr:colOff>
      <xdr:row>37</xdr:row>
      <xdr:rowOff>119381</xdr:rowOff>
    </xdr:from>
    <xdr:to>
      <xdr:col>15</xdr:col>
      <xdr:colOff>282850</xdr:colOff>
      <xdr:row>48</xdr:row>
      <xdr:rowOff>175667</xdr:rowOff>
    </xdr:to>
    <xdr:grpSp>
      <xdr:nvGrpSpPr>
        <xdr:cNvPr id="6" name="Group 5"/>
        <xdr:cNvGrpSpPr/>
      </xdr:nvGrpSpPr>
      <xdr:grpSpPr>
        <a:xfrm>
          <a:off x="7084965" y="7158810"/>
          <a:ext cx="5752742" cy="2052000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17415</xdr:colOff>
      <xdr:row>52</xdr:row>
      <xdr:rowOff>101600</xdr:rowOff>
    </xdr:from>
    <xdr:to>
      <xdr:col>15</xdr:col>
      <xdr:colOff>276501</xdr:colOff>
      <xdr:row>63</xdr:row>
      <xdr:rowOff>157885</xdr:rowOff>
    </xdr:to>
    <xdr:grpSp>
      <xdr:nvGrpSpPr>
        <xdr:cNvPr id="9" name="Group 8"/>
        <xdr:cNvGrpSpPr/>
      </xdr:nvGrpSpPr>
      <xdr:grpSpPr>
        <a:xfrm>
          <a:off x="7084058" y="9862457"/>
          <a:ext cx="5747300" cy="2051999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12916</xdr:colOff>
      <xdr:row>81</xdr:row>
      <xdr:rowOff>122372</xdr:rowOff>
    </xdr:from>
    <xdr:to>
      <xdr:col>15</xdr:col>
      <xdr:colOff>272002</xdr:colOff>
      <xdr:row>92</xdr:row>
      <xdr:rowOff>178658</xdr:rowOff>
    </xdr:to>
    <xdr:grpSp>
      <xdr:nvGrpSpPr>
        <xdr:cNvPr id="16" name="Group 15"/>
        <xdr:cNvGrpSpPr/>
      </xdr:nvGrpSpPr>
      <xdr:grpSpPr>
        <a:xfrm>
          <a:off x="7079559" y="15144658"/>
          <a:ext cx="5747300" cy="2052000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13030</xdr:colOff>
      <xdr:row>111</xdr:row>
      <xdr:rowOff>61685</xdr:rowOff>
    </xdr:from>
    <xdr:to>
      <xdr:col>15</xdr:col>
      <xdr:colOff>272116</xdr:colOff>
      <xdr:row>122</xdr:row>
      <xdr:rowOff>120692</xdr:rowOff>
    </xdr:to>
    <xdr:grpSp>
      <xdr:nvGrpSpPr>
        <xdr:cNvPr id="26" name="Group 25"/>
        <xdr:cNvGrpSpPr/>
      </xdr:nvGrpSpPr>
      <xdr:grpSpPr>
        <a:xfrm>
          <a:off x="7079673" y="20526828"/>
          <a:ext cx="5747300" cy="205472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12021</xdr:colOff>
      <xdr:row>135</xdr:row>
      <xdr:rowOff>66069</xdr:rowOff>
    </xdr:from>
    <xdr:to>
      <xdr:col>15</xdr:col>
      <xdr:colOff>289249</xdr:colOff>
      <xdr:row>146</xdr:row>
      <xdr:rowOff>86355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27778</xdr:colOff>
      <xdr:row>184</xdr:row>
      <xdr:rowOff>7141</xdr:rowOff>
    </xdr:from>
    <xdr:to>
      <xdr:col>15</xdr:col>
      <xdr:colOff>286864</xdr:colOff>
      <xdr:row>195</xdr:row>
      <xdr:rowOff>27426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12880</xdr:colOff>
      <xdr:row>67</xdr:row>
      <xdr:rowOff>127907</xdr:rowOff>
    </xdr:from>
    <xdr:to>
      <xdr:col>15</xdr:col>
      <xdr:colOff>271966</xdr:colOff>
      <xdr:row>79</xdr:row>
      <xdr:rowOff>43</xdr:rowOff>
    </xdr:to>
    <xdr:grpSp>
      <xdr:nvGrpSpPr>
        <xdr:cNvPr id="37" name="Group 36"/>
        <xdr:cNvGrpSpPr/>
      </xdr:nvGrpSpPr>
      <xdr:grpSpPr>
        <a:xfrm>
          <a:off x="7079523" y="12610193"/>
          <a:ext cx="5747300" cy="2049279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16177</xdr:colOff>
      <xdr:row>96</xdr:row>
      <xdr:rowOff>49799</xdr:rowOff>
    </xdr:from>
    <xdr:to>
      <xdr:col>15</xdr:col>
      <xdr:colOff>275263</xdr:colOff>
      <xdr:row>107</xdr:row>
      <xdr:rowOff>108806</xdr:rowOff>
    </xdr:to>
    <xdr:grpSp>
      <xdr:nvGrpSpPr>
        <xdr:cNvPr id="44" name="Group 43"/>
        <xdr:cNvGrpSpPr/>
      </xdr:nvGrpSpPr>
      <xdr:grpSpPr>
        <a:xfrm>
          <a:off x="7082820" y="17793513"/>
          <a:ext cx="5747300" cy="2054722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14817</xdr:colOff>
      <xdr:row>203</xdr:row>
      <xdr:rowOff>109009</xdr:rowOff>
    </xdr:from>
    <xdr:to>
      <xdr:col>15</xdr:col>
      <xdr:colOff>286603</xdr:colOff>
      <xdr:row>213</xdr:row>
      <xdr:rowOff>2001</xdr:rowOff>
    </xdr:to>
    <xdr:grpSp>
      <xdr:nvGrpSpPr>
        <xdr:cNvPr id="47" name="Group 46"/>
        <xdr:cNvGrpSpPr/>
      </xdr:nvGrpSpPr>
      <xdr:grpSpPr>
        <a:xfrm>
          <a:off x="7081460" y="37265580"/>
          <a:ext cx="5760000" cy="1707278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20108</xdr:colOff>
      <xdr:row>159</xdr:row>
      <xdr:rowOff>92075</xdr:rowOff>
    </xdr:from>
    <xdr:to>
      <xdr:col>15</xdr:col>
      <xdr:colOff>297336</xdr:colOff>
      <xdr:row>168</xdr:row>
      <xdr:rowOff>171939</xdr:rowOff>
    </xdr:to>
    <xdr:grpSp>
      <xdr:nvGrpSpPr>
        <xdr:cNvPr id="52" name="Group 51"/>
        <xdr:cNvGrpSpPr/>
      </xdr:nvGrpSpPr>
      <xdr:grpSpPr>
        <a:xfrm>
          <a:off x="7086751" y="29265789"/>
          <a:ext cx="5765442" cy="1712721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56286</xdr:rowOff>
    </xdr:to>
    <xdr:grpSp>
      <xdr:nvGrpSpPr>
        <xdr:cNvPr id="59" name="Group 58"/>
        <xdr:cNvGrpSpPr/>
      </xdr:nvGrpSpPr>
      <xdr:grpSpPr>
        <a:xfrm>
          <a:off x="9503861" y="39333714"/>
          <a:ext cx="5760000" cy="2052001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2" name="TextBox 61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4" name="TextBox 63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7</xdr:col>
      <xdr:colOff>21267</xdr:colOff>
      <xdr:row>227</xdr:row>
      <xdr:rowOff>126000</xdr:rowOff>
    </xdr:from>
    <xdr:to>
      <xdr:col>15</xdr:col>
      <xdr:colOff>278539</xdr:colOff>
      <xdr:row>238</xdr:row>
      <xdr:rowOff>182286</xdr:rowOff>
    </xdr:to>
    <xdr:grpSp>
      <xdr:nvGrpSpPr>
        <xdr:cNvPr id="65" name="Group 64"/>
        <xdr:cNvGrpSpPr/>
      </xdr:nvGrpSpPr>
      <xdr:grpSpPr>
        <a:xfrm>
          <a:off x="7087910" y="41636857"/>
          <a:ext cx="5745486" cy="2052000"/>
          <a:chOff x="8549317" y="44207700"/>
          <a:chExt cx="5761366" cy="2160000"/>
        </a:xfrm>
      </xdr:grpSpPr>
      <xdr:graphicFrame macro="">
        <xdr:nvGraphicFramePr>
          <xdr:cNvPr id="66" name="SAIFI"/>
          <xdr:cNvGraphicFramePr/>
        </xdr:nvGraphicFramePr>
        <xdr:xfrm>
          <a:off x="11430000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7" name="SAIFI"/>
          <xdr:cNvGraphicFramePr/>
        </xdr:nvGraphicFramePr>
        <xdr:xfrm>
          <a:off x="8549317" y="44207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0.73419</cdr:y>
    </cdr:from>
    <cdr:to>
      <cdr:x>1</cdr:x>
      <cdr:y>0.84942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77974" y="1600025"/>
          <a:ext cx="522671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0.81729</cdr:x>
      <cdr:y>0.54615</cdr:y>
    </cdr:from>
    <cdr:to>
      <cdr:x>1</cdr:x>
      <cdr:y>0.63496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730468" y="978905"/>
          <a:ext cx="355883" cy="1591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en-NZ" sz="700"/>
            <a:t>Industry</a:t>
          </a:r>
          <a:endParaRPr lang="en-NZ" sz="800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0.66537</cdr:x>
      <cdr:y>0.27089</cdr:y>
    </cdr:from>
    <cdr:to>
      <cdr:x>1</cdr:x>
      <cdr:y>0.34725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254528" y="485535"/>
          <a:ext cx="630923" cy="1368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Lines Company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0.67189</cdr:x>
      <cdr:y>0.60861</cdr:y>
    </cdr:from>
    <cdr:to>
      <cdr:x>1</cdr:x>
      <cdr:y>0.67576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08712" y="1090856"/>
          <a:ext cx="639093" cy="1203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Lines</a:t>
          </a:r>
          <a:r>
            <a:rPr lang="en-NZ" sz="700" baseline="0"/>
            <a:t> Company</a:t>
          </a:r>
          <a:endParaRPr lang="en-NZ" sz="7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0.68256</cdr:x>
      <cdr:y>0.38251</cdr:y>
    </cdr:from>
    <cdr:to>
      <cdr:x>1</cdr:x>
      <cdr:y>0.45836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286933" y="685608"/>
          <a:ext cx="598517" cy="135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Lines Company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0.67363</cdr:x>
      <cdr:y>0.37019</cdr:y>
    </cdr:from>
    <cdr:to>
      <cdr:x>1</cdr:x>
      <cdr:y>0.45514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281642" y="667903"/>
          <a:ext cx="620947" cy="1532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Lines Company</a:t>
          </a:r>
          <a:endParaRPr lang="en-NZ" sz="8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0.65437</cdr:x>
      <cdr:y>0.61197</cdr:y>
    </cdr:from>
    <cdr:to>
      <cdr:x>1</cdr:x>
      <cdr:y>0.6807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244997" y="1104142"/>
          <a:ext cx="657592" cy="124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Lines Company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0.68558</cdr:x>
      <cdr:y>0.21421</cdr:y>
    </cdr:from>
    <cdr:to>
      <cdr:x>1</cdr:x>
      <cdr:y>0.28716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04386" y="386478"/>
          <a:ext cx="598203" cy="1316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Lines Company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21676</xdr:colOff>
      <xdr:row>18</xdr:row>
      <xdr:rowOff>21770</xdr:rowOff>
    </xdr:from>
    <xdr:to>
      <xdr:col>15</xdr:col>
      <xdr:colOff>273504</xdr:colOff>
      <xdr:row>28</xdr:row>
      <xdr:rowOff>177841</xdr:rowOff>
    </xdr:to>
    <xdr:grpSp>
      <xdr:nvGrpSpPr>
        <xdr:cNvPr id="2" name="Group 1"/>
        <xdr:cNvGrpSpPr/>
      </xdr:nvGrpSpPr>
      <xdr:grpSpPr>
        <a:xfrm flipH="1" flipV="1">
          <a:off x="7088319" y="3532413"/>
          <a:ext cx="5740042" cy="2051999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18322</xdr:colOff>
      <xdr:row>37</xdr:row>
      <xdr:rowOff>138431</xdr:rowOff>
    </xdr:from>
    <xdr:to>
      <xdr:col>15</xdr:col>
      <xdr:colOff>282850</xdr:colOff>
      <xdr:row>49</xdr:row>
      <xdr:rowOff>10567</xdr:rowOff>
    </xdr:to>
    <xdr:grpSp>
      <xdr:nvGrpSpPr>
        <xdr:cNvPr id="6" name="Group 5"/>
        <xdr:cNvGrpSpPr/>
      </xdr:nvGrpSpPr>
      <xdr:grpSpPr>
        <a:xfrm>
          <a:off x="7084965" y="7177860"/>
          <a:ext cx="5752742" cy="2049278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23765</xdr:colOff>
      <xdr:row>52</xdr:row>
      <xdr:rowOff>165100</xdr:rowOff>
    </xdr:from>
    <xdr:to>
      <xdr:col>15</xdr:col>
      <xdr:colOff>282851</xdr:colOff>
      <xdr:row>64</xdr:row>
      <xdr:rowOff>45450</xdr:rowOff>
    </xdr:to>
    <xdr:grpSp>
      <xdr:nvGrpSpPr>
        <xdr:cNvPr id="9" name="Group 8"/>
        <xdr:cNvGrpSpPr/>
      </xdr:nvGrpSpPr>
      <xdr:grpSpPr>
        <a:xfrm>
          <a:off x="7090408" y="9925957"/>
          <a:ext cx="5747300" cy="2057493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12916</xdr:colOff>
      <xdr:row>81</xdr:row>
      <xdr:rowOff>135072</xdr:rowOff>
    </xdr:from>
    <xdr:to>
      <xdr:col>15</xdr:col>
      <xdr:colOff>272002</xdr:colOff>
      <xdr:row>93</xdr:row>
      <xdr:rowOff>7208</xdr:rowOff>
    </xdr:to>
    <xdr:grpSp>
      <xdr:nvGrpSpPr>
        <xdr:cNvPr id="16" name="Group 15"/>
        <xdr:cNvGrpSpPr/>
      </xdr:nvGrpSpPr>
      <xdr:grpSpPr>
        <a:xfrm>
          <a:off x="7079559" y="15157358"/>
          <a:ext cx="5747300" cy="2049279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24</xdr:col>
      <xdr:colOff>246187</xdr:colOff>
      <xdr:row>101</xdr:row>
      <xdr:rowOff>126000</xdr:rowOff>
    </xdr:from>
    <xdr:to>
      <xdr:col>28</xdr:col>
      <xdr:colOff>0</xdr:colOff>
      <xdr:row>113</xdr:row>
      <xdr:rowOff>0</xdr:rowOff>
    </xdr:to>
    <xdr:graphicFrame macro="">
      <xdr:nvGraphicFramePr>
        <xdr:cNvPr id="21" name="Quantity of small connection point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28</xdr:col>
      <xdr:colOff>0</xdr:colOff>
      <xdr:row>101</xdr:row>
      <xdr:rowOff>126000</xdr:rowOff>
    </xdr:from>
    <xdr:to>
      <xdr:col>31</xdr:col>
      <xdr:colOff>337219</xdr:colOff>
      <xdr:row>113</xdr:row>
      <xdr:rowOff>0</xdr:rowOff>
    </xdr:to>
    <xdr:graphicFrame macro="">
      <xdr:nvGraphicFramePr>
        <xdr:cNvPr id="22" name="Quantity of medium connection point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32</xdr:col>
      <xdr:colOff>0</xdr:colOff>
      <xdr:row>101</xdr:row>
      <xdr:rowOff>126000</xdr:rowOff>
    </xdr:from>
    <xdr:to>
      <xdr:col>35</xdr:col>
      <xdr:colOff>337219</xdr:colOff>
      <xdr:row>113</xdr:row>
      <xdr:rowOff>0</xdr:rowOff>
    </xdr:to>
    <xdr:graphicFrame macro="">
      <xdr:nvGraphicFramePr>
        <xdr:cNvPr id="23" name="Quantity of large connection point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19380</xdr:colOff>
      <xdr:row>111</xdr:row>
      <xdr:rowOff>36286</xdr:rowOff>
    </xdr:from>
    <xdr:to>
      <xdr:col>15</xdr:col>
      <xdr:colOff>278466</xdr:colOff>
      <xdr:row>122</xdr:row>
      <xdr:rowOff>94436</xdr:rowOff>
    </xdr:to>
    <xdr:grpSp>
      <xdr:nvGrpSpPr>
        <xdr:cNvPr id="26" name="Group 25"/>
        <xdr:cNvGrpSpPr/>
      </xdr:nvGrpSpPr>
      <xdr:grpSpPr>
        <a:xfrm>
          <a:off x="7086023" y="20501429"/>
          <a:ext cx="5747300" cy="2053864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</xdr:grpSp>
    <xdr:clientData/>
  </xdr:twoCellAnchor>
  <xdr:twoCellAnchor>
    <xdr:from>
      <xdr:col>7</xdr:col>
      <xdr:colOff>24721</xdr:colOff>
      <xdr:row>134</xdr:row>
      <xdr:rowOff>91470</xdr:rowOff>
    </xdr:from>
    <xdr:to>
      <xdr:col>15</xdr:col>
      <xdr:colOff>301949</xdr:colOff>
      <xdr:row>145</xdr:row>
      <xdr:rowOff>111756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15078</xdr:colOff>
      <xdr:row>182</xdr:row>
      <xdr:rowOff>51591</xdr:rowOff>
    </xdr:from>
    <xdr:to>
      <xdr:col>15</xdr:col>
      <xdr:colOff>274164</xdr:colOff>
      <xdr:row>193</xdr:row>
      <xdr:rowOff>71876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25580</xdr:colOff>
      <xdr:row>67</xdr:row>
      <xdr:rowOff>115207</xdr:rowOff>
    </xdr:from>
    <xdr:to>
      <xdr:col>15</xdr:col>
      <xdr:colOff>284666</xdr:colOff>
      <xdr:row>78</xdr:row>
      <xdr:rowOff>179707</xdr:rowOff>
    </xdr:to>
    <xdr:grpSp>
      <xdr:nvGrpSpPr>
        <xdr:cNvPr id="37" name="Group 36"/>
        <xdr:cNvGrpSpPr/>
      </xdr:nvGrpSpPr>
      <xdr:grpSpPr>
        <a:xfrm>
          <a:off x="7092223" y="12597493"/>
          <a:ext cx="5747300" cy="2060214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6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8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9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0"/>
            </a:graphicData>
          </a:graphic>
        </xdr:graphicFrame>
      </xdr:grpSp>
    </xdr:grpSp>
    <xdr:clientData/>
  </xdr:twoCellAnchor>
  <xdr:twoCellAnchor>
    <xdr:from>
      <xdr:col>7</xdr:col>
      <xdr:colOff>22527</xdr:colOff>
      <xdr:row>96</xdr:row>
      <xdr:rowOff>49800</xdr:rowOff>
    </xdr:from>
    <xdr:to>
      <xdr:col>15</xdr:col>
      <xdr:colOff>281613</xdr:colOff>
      <xdr:row>107</xdr:row>
      <xdr:rowOff>107950</xdr:rowOff>
    </xdr:to>
    <xdr:grpSp>
      <xdr:nvGrpSpPr>
        <xdr:cNvPr id="44" name="Group 43"/>
        <xdr:cNvGrpSpPr/>
      </xdr:nvGrpSpPr>
      <xdr:grpSpPr>
        <a:xfrm>
          <a:off x="7089170" y="17793514"/>
          <a:ext cx="5747300" cy="2053865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twoCellAnchor>
    <xdr:from>
      <xdr:col>7</xdr:col>
      <xdr:colOff>21167</xdr:colOff>
      <xdr:row>203</xdr:row>
      <xdr:rowOff>109009</xdr:rowOff>
    </xdr:from>
    <xdr:to>
      <xdr:col>15</xdr:col>
      <xdr:colOff>292953</xdr:colOff>
      <xdr:row>213</xdr:row>
      <xdr:rowOff>2739</xdr:rowOff>
    </xdr:to>
    <xdr:grpSp>
      <xdr:nvGrpSpPr>
        <xdr:cNvPr id="47" name="Group 46"/>
        <xdr:cNvGrpSpPr/>
      </xdr:nvGrpSpPr>
      <xdr:grpSpPr>
        <a:xfrm>
          <a:off x="7087810" y="37265580"/>
          <a:ext cx="5760000" cy="1708016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20108</xdr:colOff>
      <xdr:row>159</xdr:row>
      <xdr:rowOff>79375</xdr:rowOff>
    </xdr:from>
    <xdr:to>
      <xdr:col>15</xdr:col>
      <xdr:colOff>297336</xdr:colOff>
      <xdr:row>168</xdr:row>
      <xdr:rowOff>177239</xdr:rowOff>
    </xdr:to>
    <xdr:grpSp>
      <xdr:nvGrpSpPr>
        <xdr:cNvPr id="52" name="Group 51"/>
        <xdr:cNvGrpSpPr/>
      </xdr:nvGrpSpPr>
      <xdr:grpSpPr>
        <a:xfrm>
          <a:off x="7086751" y="29253089"/>
          <a:ext cx="5765442" cy="1730721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108857</xdr:rowOff>
    </xdr:from>
    <xdr:to>
      <xdr:col>19</xdr:col>
      <xdr:colOff>314147</xdr:colOff>
      <xdr:row>181</xdr:row>
      <xdr:rowOff>165143</xdr:rowOff>
    </xdr:to>
    <xdr:grpSp>
      <xdr:nvGrpSpPr>
        <xdr:cNvPr id="56" name="Group 55"/>
        <xdr:cNvGrpSpPr/>
      </xdr:nvGrpSpPr>
      <xdr:grpSpPr>
        <a:xfrm>
          <a:off x="9503861" y="31278286"/>
          <a:ext cx="5760000" cy="2052000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314147</xdr:colOff>
      <xdr:row>226</xdr:row>
      <xdr:rowOff>64500</xdr:rowOff>
    </xdr:to>
    <xdr:grpSp>
      <xdr:nvGrpSpPr>
        <xdr:cNvPr id="59" name="Group 58"/>
        <xdr:cNvGrpSpPr/>
      </xdr:nvGrpSpPr>
      <xdr:grpSpPr>
        <a:xfrm>
          <a:off x="9503861" y="39333714"/>
          <a:ext cx="5760000" cy="2060215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"/>
          </a:graphicData>
        </a:graphic>
      </xdr:graphicFrame>
    </xdr:grpSp>
    <xdr:clientData/>
  </xdr:twoCellAnchor>
  <xdr:twoCellAnchor>
    <xdr:from>
      <xdr:col>7</xdr:col>
      <xdr:colOff>12425</xdr:colOff>
      <xdr:row>227</xdr:row>
      <xdr:rowOff>120650</xdr:rowOff>
    </xdr:from>
    <xdr:to>
      <xdr:col>15</xdr:col>
      <xdr:colOff>271511</xdr:colOff>
      <xdr:row>239</xdr:row>
      <xdr:rowOff>1000</xdr:rowOff>
    </xdr:to>
    <xdr:grpSp>
      <xdr:nvGrpSpPr>
        <xdr:cNvPr id="62" name="Group 61"/>
        <xdr:cNvGrpSpPr/>
      </xdr:nvGrpSpPr>
      <xdr:grpSpPr>
        <a:xfrm>
          <a:off x="7079068" y="41631507"/>
          <a:ext cx="5747300" cy="2057493"/>
          <a:chOff x="8302350" y="44843700"/>
          <a:chExt cx="5760683" cy="2160000"/>
        </a:xfrm>
      </xdr:grpSpPr>
      <xdr:graphicFrame macro="">
        <xdr:nvGraphicFramePr>
          <xdr:cNvPr id="63" name="SAIFI"/>
          <xdr:cNvGraphicFramePr/>
        </xdr:nvGraphicFramePr>
        <xdr:xfrm>
          <a:off x="11182350" y="44843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"/>
          </a:graphicData>
        </a:graphic>
      </xdr:graphicFrame>
      <xdr:graphicFrame macro="">
        <xdr:nvGraphicFramePr>
          <xdr:cNvPr id="64" name="Chart 63"/>
          <xdr:cNvGraphicFramePr/>
        </xdr:nvGraphicFramePr>
        <xdr:xfrm>
          <a:off x="8302350" y="44843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5" name="TextBox 64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8" name="TextBox 67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0.7628</cdr:y>
    </cdr:from>
    <cdr:to>
      <cdr:x>1</cdr:x>
      <cdr:y>0.87803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30202" y="1662376"/>
          <a:ext cx="523226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0.1202</cdr:x>
      <cdr:y>0.21342</cdr:y>
    </cdr:from>
    <cdr:to>
      <cdr:x>0.37965</cdr:x>
      <cdr:y>0.27575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27015" y="382527"/>
          <a:ext cx="489995" cy="1117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ctr"/>
          <a:r>
            <a:rPr lang="en-NZ" sz="700"/>
            <a:t>Mainpower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0.15406</cdr:x>
      <cdr:y>0.34483</cdr:y>
    </cdr:from>
    <cdr:to>
      <cdr:x>0.40928</cdr:x>
      <cdr:y>0.41391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00579" y="618066"/>
          <a:ext cx="497946" cy="1238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ctr"/>
          <a:r>
            <a:rPr lang="en-NZ" sz="700"/>
            <a:t>Mainpower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0.83073</cdr:x>
      <cdr:y>0.54808</cdr:y>
    </cdr:from>
    <cdr:to>
      <cdr:x>1</cdr:x>
      <cdr:y>0.60978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589197" y="988869"/>
          <a:ext cx="322051" cy="1113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en-NZ" sz="700"/>
            <a:t>Industry</a:t>
          </a:r>
          <a:endParaRPr lang="en-NZ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0.14178</cdr:x>
      <cdr:y>0.21439</cdr:y>
    </cdr:from>
    <cdr:to>
      <cdr:x>0.39479</cdr:x>
      <cdr:y>0.28106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67758" y="384270"/>
          <a:ext cx="477833" cy="1194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ctr"/>
          <a:r>
            <a:rPr lang="en-NZ" sz="700"/>
            <a:t>Mainpower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0.75701</cdr:x>
      <cdr:y>0.37258</cdr:y>
    </cdr:from>
    <cdr:to>
      <cdr:x>1</cdr:x>
      <cdr:y>0.45753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10242" y="672227"/>
          <a:ext cx="463365" cy="1532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Mainpower</a:t>
          </a:r>
          <a:endParaRPr lang="en-NZ" sz="8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0.73824</cdr:x>
      <cdr:y>0.63105</cdr:y>
    </cdr:from>
    <cdr:to>
      <cdr:x>1</cdr:x>
      <cdr:y>0.6993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43398" y="1107636"/>
          <a:ext cx="505036" cy="119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Mainpower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0.72944</cdr:x>
      <cdr:y>0.34667</cdr:y>
    </cdr:from>
    <cdr:to>
      <cdr:x>1</cdr:x>
      <cdr:y>0.4153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48142" y="625473"/>
          <a:ext cx="515940" cy="1238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>
              <a:latin typeface="+mn-lt"/>
              <a:ea typeface="+mn-ea"/>
              <a:cs typeface="+mn-cs"/>
            </a:rPr>
            <a:t>Mainpower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15326</xdr:colOff>
      <xdr:row>18</xdr:row>
      <xdr:rowOff>7054</xdr:rowOff>
    </xdr:from>
    <xdr:to>
      <xdr:col>15</xdr:col>
      <xdr:colOff>276226</xdr:colOff>
      <xdr:row>28</xdr:row>
      <xdr:rowOff>139942</xdr:rowOff>
    </xdr:to>
    <xdr:grpSp>
      <xdr:nvGrpSpPr>
        <xdr:cNvPr id="2" name="Group 1"/>
        <xdr:cNvGrpSpPr/>
      </xdr:nvGrpSpPr>
      <xdr:grpSpPr>
        <a:xfrm flipH="1" flipV="1">
          <a:off x="7081969" y="3517697"/>
          <a:ext cx="5749114" cy="2028816"/>
          <a:chOff x="1718109" y="2510896"/>
          <a:chExt cx="383284" cy="395746"/>
        </a:xfrm>
      </xdr:grpSpPr>
      <xdr:graphicFrame macro="">
        <xdr:nvGraphicFramePr>
          <xdr:cNvPr id="3" name="Annual line charge"/>
          <xdr:cNvGraphicFramePr/>
        </xdr:nvGraphicFramePr>
        <xdr:xfrm>
          <a:off x="1909000" y="2512852"/>
          <a:ext cx="192393" cy="39379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omponents of the annual line charge"/>
          <xdr:cNvGraphicFramePr/>
        </xdr:nvGraphicFramePr>
        <xdr:xfrm>
          <a:off x="1718109" y="2510896"/>
          <a:ext cx="192278" cy="3936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  <xdr:twoCellAnchor>
    <xdr:from>
      <xdr:col>7</xdr:col>
      <xdr:colOff>5622</xdr:colOff>
      <xdr:row>37</xdr:row>
      <xdr:rowOff>93980</xdr:rowOff>
    </xdr:from>
    <xdr:to>
      <xdr:col>15</xdr:col>
      <xdr:colOff>266522</xdr:colOff>
      <xdr:row>48</xdr:row>
      <xdr:rowOff>128091</xdr:rowOff>
    </xdr:to>
    <xdr:grpSp>
      <xdr:nvGrpSpPr>
        <xdr:cNvPr id="6" name="Group 5"/>
        <xdr:cNvGrpSpPr/>
      </xdr:nvGrpSpPr>
      <xdr:grpSpPr>
        <a:xfrm>
          <a:off x="7072265" y="7133409"/>
          <a:ext cx="5749114" cy="2029825"/>
          <a:chOff x="10016850" y="8656782"/>
          <a:chExt cx="5713673" cy="2849421"/>
        </a:xfrm>
      </xdr:grpSpPr>
      <xdr:graphicFrame macro="">
        <xdr:nvGraphicFramePr>
          <xdr:cNvPr id="7" name="Regulatory revenue composition"/>
          <xdr:cNvGraphicFramePr/>
        </xdr:nvGraphicFramePr>
        <xdr:xfrm>
          <a:off x="10016850" y="8725167"/>
          <a:ext cx="2872523" cy="278103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8" name="Chart 7"/>
          <xdr:cNvGraphicFramePr/>
        </xdr:nvGraphicFramePr>
        <xdr:xfrm>
          <a:off x="12896850" y="8656782"/>
          <a:ext cx="2833673" cy="28494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</xdr:grpSp>
    <xdr:clientData/>
  </xdr:twoCellAnchor>
  <xdr:twoCellAnchor>
    <xdr:from>
      <xdr:col>7</xdr:col>
      <xdr:colOff>23765</xdr:colOff>
      <xdr:row>53</xdr:row>
      <xdr:rowOff>19050</xdr:rowOff>
    </xdr:from>
    <xdr:to>
      <xdr:col>15</xdr:col>
      <xdr:colOff>284665</xdr:colOff>
      <xdr:row>64</xdr:row>
      <xdr:rowOff>53162</xdr:rowOff>
    </xdr:to>
    <xdr:grpSp>
      <xdr:nvGrpSpPr>
        <xdr:cNvPr id="9" name="Group 8"/>
        <xdr:cNvGrpSpPr/>
      </xdr:nvGrpSpPr>
      <xdr:grpSpPr>
        <a:xfrm>
          <a:off x="7090408" y="9961336"/>
          <a:ext cx="5749114" cy="2029826"/>
          <a:chOff x="10016850" y="11887200"/>
          <a:chExt cx="5737500" cy="2160000"/>
        </a:xfrm>
      </xdr:grpSpPr>
      <xdr:graphicFrame macro="">
        <xdr:nvGraphicFramePr>
          <xdr:cNvPr id="1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1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>
    <xdr:from>
      <xdr:col>7</xdr:col>
      <xdr:colOff>25616</xdr:colOff>
      <xdr:row>81</xdr:row>
      <xdr:rowOff>141421</xdr:rowOff>
    </xdr:from>
    <xdr:to>
      <xdr:col>15</xdr:col>
      <xdr:colOff>286516</xdr:colOff>
      <xdr:row>92</xdr:row>
      <xdr:rowOff>175533</xdr:rowOff>
    </xdr:to>
    <xdr:grpSp>
      <xdr:nvGrpSpPr>
        <xdr:cNvPr id="16" name="Group 15"/>
        <xdr:cNvGrpSpPr/>
      </xdr:nvGrpSpPr>
      <xdr:grpSpPr>
        <a:xfrm>
          <a:off x="7092259" y="15163707"/>
          <a:ext cx="5749114" cy="2029826"/>
          <a:chOff x="10031401" y="18299700"/>
          <a:chExt cx="5722948" cy="2160001"/>
        </a:xfrm>
      </xdr:grpSpPr>
      <xdr:graphicFrame macro="">
        <xdr:nvGraphicFramePr>
          <xdr:cNvPr id="17" name="Average revenue per MW of electricity delivered"/>
          <xdr:cNvGraphicFramePr/>
        </xdr:nvGraphicFramePr>
        <xdr:xfrm>
          <a:off x="10031401" y="18299701"/>
          <a:ext cx="2843324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18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  <xdr:twoCellAnchor>
    <xdr:from>
      <xdr:col>7</xdr:col>
      <xdr:colOff>25730</xdr:colOff>
      <xdr:row>111</xdr:row>
      <xdr:rowOff>99785</xdr:rowOff>
    </xdr:from>
    <xdr:to>
      <xdr:col>15</xdr:col>
      <xdr:colOff>286630</xdr:colOff>
      <xdr:row>122</xdr:row>
      <xdr:rowOff>134602</xdr:rowOff>
    </xdr:to>
    <xdr:grpSp>
      <xdr:nvGrpSpPr>
        <xdr:cNvPr id="26" name="Group 25"/>
        <xdr:cNvGrpSpPr/>
      </xdr:nvGrpSpPr>
      <xdr:grpSpPr>
        <a:xfrm>
          <a:off x="7092373" y="20564928"/>
          <a:ext cx="5749114" cy="2030531"/>
          <a:chOff x="10024258" y="22936200"/>
          <a:chExt cx="5752592" cy="2160000"/>
        </a:xfrm>
      </xdr:grpSpPr>
      <xdr:graphicFrame macro="">
        <xdr:nvGraphicFramePr>
          <xdr:cNvPr id="27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graphicFrame macro="">
        <xdr:nvGraphicFramePr>
          <xdr:cNvPr id="28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</xdr:grpSp>
    <xdr:clientData/>
  </xdr:twoCellAnchor>
  <xdr:twoCellAnchor>
    <xdr:from>
      <xdr:col>7</xdr:col>
      <xdr:colOff>18371</xdr:colOff>
      <xdr:row>134</xdr:row>
      <xdr:rowOff>97819</xdr:rowOff>
    </xdr:from>
    <xdr:to>
      <xdr:col>15</xdr:col>
      <xdr:colOff>279271</xdr:colOff>
      <xdr:row>145</xdr:row>
      <xdr:rowOff>95931</xdr:rowOff>
    </xdr:to>
    <xdr:graphicFrame macro="">
      <xdr:nvGraphicFramePr>
        <xdr:cNvPr id="29" name="O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21428</xdr:colOff>
      <xdr:row>182</xdr:row>
      <xdr:rowOff>108740</xdr:rowOff>
    </xdr:from>
    <xdr:to>
      <xdr:col>15</xdr:col>
      <xdr:colOff>282328</xdr:colOff>
      <xdr:row>193</xdr:row>
      <xdr:rowOff>106851</xdr:rowOff>
    </xdr:to>
    <xdr:graphicFrame macro="">
      <xdr:nvGraphicFramePr>
        <xdr:cNvPr id="32" name="Capex compositi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19230</xdr:colOff>
      <xdr:row>67</xdr:row>
      <xdr:rowOff>102506</xdr:rowOff>
    </xdr:from>
    <xdr:to>
      <xdr:col>15</xdr:col>
      <xdr:colOff>280130</xdr:colOff>
      <xdr:row>78</xdr:row>
      <xdr:rowOff>136617</xdr:rowOff>
    </xdr:to>
    <xdr:grpSp>
      <xdr:nvGrpSpPr>
        <xdr:cNvPr id="37" name="Group 36"/>
        <xdr:cNvGrpSpPr/>
      </xdr:nvGrpSpPr>
      <xdr:grpSpPr>
        <a:xfrm>
          <a:off x="7085873" y="12584792"/>
          <a:ext cx="5749114" cy="2029825"/>
          <a:chOff x="16284300" y="18173700"/>
          <a:chExt cx="5762116" cy="2160000"/>
        </a:xfrm>
      </xdr:grpSpPr>
      <xdr:graphicFrame macro="">
        <xdr:nvGraphicFramePr>
          <xdr:cNvPr id="38" name="Chart 37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3"/>
          </a:graphicData>
        </a:graphic>
      </xdr:graphicFrame>
      <xdr:grpSp>
        <xdr:nvGrpSpPr>
          <xdr:cNvPr id="39" name="Group 100"/>
          <xdr:cNvGrpSpPr/>
        </xdr:nvGrpSpPr>
        <xdr:grpSpPr>
          <a:xfrm>
            <a:off x="16284300" y="18173700"/>
            <a:ext cx="2880000" cy="2160000"/>
            <a:chOff x="16240350" y="18370050"/>
            <a:chExt cx="3600000" cy="2160000"/>
          </a:xfrm>
        </xdr:grpSpPr>
        <xdr:graphicFrame macro="">
          <xdr:nvGraphicFramePr>
            <xdr:cNvPr id="40" name="Chart 39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4"/>
            </a:graphicData>
          </a:graphic>
        </xdr:graphicFrame>
        <xdr:graphicFrame macro="">
          <xdr:nvGraphicFramePr>
            <xdr:cNvPr id="41" name="Chart 40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5"/>
            </a:graphicData>
          </a:graphic>
        </xdr:graphicFrame>
        <xdr:graphicFrame macro="">
          <xdr:nvGraphicFramePr>
            <xdr:cNvPr id="42" name="Chart 41"/>
            <xdr:cNvGraphicFramePr/>
          </xdr:nvGraphicFramePr>
          <xdr:xfrm>
            <a:off x="162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6"/>
            </a:graphicData>
          </a:graphic>
        </xdr:graphicFrame>
        <xdr:graphicFrame macro="">
          <xdr:nvGraphicFramePr>
            <xdr:cNvPr id="43" name="Chart 42"/>
            <xdr:cNvGraphicFramePr/>
          </xdr:nvGraphicFramePr>
          <xdr:xfrm>
            <a:off x="18040350" y="1945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7"/>
            </a:graphicData>
          </a:graphic>
        </xdr:graphicFrame>
      </xdr:grpSp>
    </xdr:grpSp>
    <xdr:clientData/>
  </xdr:twoCellAnchor>
  <xdr:twoCellAnchor>
    <xdr:from>
      <xdr:col>7</xdr:col>
      <xdr:colOff>28877</xdr:colOff>
      <xdr:row>96</xdr:row>
      <xdr:rowOff>106949</xdr:rowOff>
    </xdr:from>
    <xdr:to>
      <xdr:col>15</xdr:col>
      <xdr:colOff>289777</xdr:colOff>
      <xdr:row>107</xdr:row>
      <xdr:rowOff>141060</xdr:rowOff>
    </xdr:to>
    <xdr:grpSp>
      <xdr:nvGrpSpPr>
        <xdr:cNvPr id="44" name="Group 43"/>
        <xdr:cNvGrpSpPr/>
      </xdr:nvGrpSpPr>
      <xdr:grpSpPr>
        <a:xfrm>
          <a:off x="7095520" y="17850663"/>
          <a:ext cx="5749114" cy="2029826"/>
          <a:chOff x="8272909" y="19634932"/>
          <a:chExt cx="5753952" cy="2160000"/>
        </a:xfrm>
      </xdr:grpSpPr>
      <xdr:graphicFrame macro="">
        <xdr:nvGraphicFramePr>
          <xdr:cNvPr id="4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8"/>
          </a:graphicData>
        </a:graphic>
      </xdr:graphicFrame>
      <xdr:graphicFrame macro="">
        <xdr:nvGraphicFramePr>
          <xdr:cNvPr id="46" name="Chart 4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9"/>
          </a:graphicData>
        </a:graphic>
      </xdr:graphicFrame>
    </xdr:grpSp>
    <xdr:clientData/>
  </xdr:twoCellAnchor>
  <xdr:twoCellAnchor>
    <xdr:from>
      <xdr:col>7</xdr:col>
      <xdr:colOff>8467</xdr:colOff>
      <xdr:row>203</xdr:row>
      <xdr:rowOff>128059</xdr:rowOff>
    </xdr:from>
    <xdr:to>
      <xdr:col>15</xdr:col>
      <xdr:colOff>269367</xdr:colOff>
      <xdr:row>213</xdr:row>
      <xdr:rowOff>2909</xdr:rowOff>
    </xdr:to>
    <xdr:grpSp>
      <xdr:nvGrpSpPr>
        <xdr:cNvPr id="47" name="Group 46"/>
        <xdr:cNvGrpSpPr/>
      </xdr:nvGrpSpPr>
      <xdr:grpSpPr>
        <a:xfrm>
          <a:off x="7075110" y="37284630"/>
          <a:ext cx="5749114" cy="1689136"/>
          <a:chOff x="7965282" y="38754843"/>
          <a:chExt cx="5633550" cy="2738439"/>
        </a:xfrm>
      </xdr:grpSpPr>
      <xdr:graphicFrame macro="">
        <xdr:nvGraphicFramePr>
          <xdr:cNvPr id="48" name="Chart 47"/>
          <xdr:cNvGraphicFramePr/>
        </xdr:nvGraphicFramePr>
        <xdr:xfrm>
          <a:off x="9822656" y="38754843"/>
          <a:ext cx="1857375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0"/>
          </a:graphicData>
        </a:graphic>
      </xdr:graphicFrame>
      <xdr:graphicFrame macro="">
        <xdr:nvGraphicFramePr>
          <xdr:cNvPr id="49" name="Chart 48"/>
          <xdr:cNvGraphicFramePr/>
        </xdr:nvGraphicFramePr>
        <xdr:xfrm>
          <a:off x="11680032" y="38754845"/>
          <a:ext cx="1918800" cy="27384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1"/>
          </a:graphicData>
        </a:graphic>
      </xdr:graphicFrame>
      <xdr:graphicFrame macro="">
        <xdr:nvGraphicFramePr>
          <xdr:cNvPr id="50" name="Chart 49"/>
          <xdr:cNvGraphicFramePr/>
        </xdr:nvGraphicFramePr>
        <xdr:xfrm>
          <a:off x="7965282" y="38754844"/>
          <a:ext cx="1857374" cy="27384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2"/>
          </a:graphicData>
        </a:graphic>
      </xdr:graphicFrame>
    </xdr:grpSp>
    <xdr:clientData/>
  </xdr:twoCellAnchor>
  <xdr:oneCellAnchor>
    <xdr:from>
      <xdr:col>16</xdr:col>
      <xdr:colOff>304800</xdr:colOff>
      <xdr:row>205</xdr:row>
      <xdr:rowOff>142875</xdr:rowOff>
    </xdr:from>
    <xdr:ext cx="184731" cy="264560"/>
    <xdr:sp macro="" textlink="">
      <xdr:nvSpPr>
        <xdr:cNvPr id="51" name="TextBox 50"/>
        <xdr:cNvSpPr txBox="1"/>
      </xdr:nvSpPr>
      <xdr:spPr>
        <a:xfrm>
          <a:off x="12877800" y="39843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NZ" sz="1100"/>
        </a:p>
      </xdr:txBody>
    </xdr:sp>
    <xdr:clientData/>
  </xdr:oneCellAnchor>
  <xdr:twoCellAnchor>
    <xdr:from>
      <xdr:col>7</xdr:col>
      <xdr:colOff>20108</xdr:colOff>
      <xdr:row>159</xdr:row>
      <xdr:rowOff>136525</xdr:rowOff>
    </xdr:from>
    <xdr:to>
      <xdr:col>15</xdr:col>
      <xdr:colOff>281008</xdr:colOff>
      <xdr:row>169</xdr:row>
      <xdr:rowOff>12081</xdr:rowOff>
    </xdr:to>
    <xdr:grpSp>
      <xdr:nvGrpSpPr>
        <xdr:cNvPr id="52" name="Group 51"/>
        <xdr:cNvGrpSpPr/>
      </xdr:nvGrpSpPr>
      <xdr:grpSpPr>
        <a:xfrm>
          <a:off x="7086751" y="29310239"/>
          <a:ext cx="5749114" cy="1689842"/>
          <a:chOff x="9067800" y="30670500"/>
          <a:chExt cx="5738325" cy="2743200"/>
        </a:xfrm>
      </xdr:grpSpPr>
      <xdr:graphicFrame macro="">
        <xdr:nvGraphicFramePr>
          <xdr:cNvPr id="53" name="Chart 52"/>
          <xdr:cNvGraphicFramePr/>
        </xdr:nvGraphicFramePr>
        <xdr:xfrm>
          <a:off x="9067800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3"/>
          </a:graphicData>
        </a:graphic>
      </xdr:graphicFrame>
      <xdr:graphicFrame macro="">
        <xdr:nvGraphicFramePr>
          <xdr:cNvPr id="54" name="Chart 53"/>
          <xdr:cNvGraphicFramePr/>
        </xdr:nvGraphicFramePr>
        <xdr:xfrm>
          <a:off x="10982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4"/>
          </a:graphicData>
        </a:graphic>
      </xdr:graphicFrame>
      <xdr:graphicFrame macro="">
        <xdr:nvGraphicFramePr>
          <xdr:cNvPr id="55" name="Chart 54"/>
          <xdr:cNvGraphicFramePr/>
        </xdr:nvGraphicFramePr>
        <xdr:xfrm>
          <a:off x="12887325" y="30670500"/>
          <a:ext cx="1918800" cy="2743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5"/>
          </a:graphicData>
        </a:graphic>
      </xdr:graphicFrame>
    </xdr:grpSp>
    <xdr:clientData/>
  </xdr:twoCellAnchor>
  <xdr:twoCellAnchor>
    <xdr:from>
      <xdr:col>9</xdr:col>
      <xdr:colOff>768075</xdr:colOff>
      <xdr:row>170</xdr:row>
      <xdr:rowOff>108856</xdr:rowOff>
    </xdr:from>
    <xdr:to>
      <xdr:col>19</xdr:col>
      <xdr:colOff>298020</xdr:colOff>
      <xdr:row>181</xdr:row>
      <xdr:rowOff>142967</xdr:rowOff>
    </xdr:to>
    <xdr:grpSp>
      <xdr:nvGrpSpPr>
        <xdr:cNvPr id="56" name="Group 55"/>
        <xdr:cNvGrpSpPr/>
      </xdr:nvGrpSpPr>
      <xdr:grpSpPr>
        <a:xfrm>
          <a:off x="9503861" y="31278285"/>
          <a:ext cx="5743873" cy="2029825"/>
          <a:chOff x="8873850" y="33903557"/>
          <a:chExt cx="5751107" cy="2177143"/>
        </a:xfrm>
      </xdr:grpSpPr>
      <xdr:graphicFrame macro="">
        <xdr:nvGraphicFramePr>
          <xdr:cNvPr id="57" name="Chart 56"/>
          <xdr:cNvGraphicFramePr/>
        </xdr:nvGraphicFramePr>
        <xdr:xfrm>
          <a:off x="11745344" y="33903557"/>
          <a:ext cx="287961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6"/>
          </a:graphicData>
        </a:graphic>
      </xdr:graphicFrame>
      <xdr:graphicFrame macro="">
        <xdr:nvGraphicFramePr>
          <xdr:cNvPr id="58" name="Chart 57"/>
          <xdr:cNvGraphicFramePr/>
        </xdr:nvGraphicFramePr>
        <xdr:xfrm>
          <a:off x="8873850" y="33920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7"/>
          </a:graphicData>
        </a:graphic>
      </xdr:graphicFrame>
    </xdr:grpSp>
    <xdr:clientData/>
  </xdr:twoCellAnchor>
  <xdr:twoCellAnchor>
    <xdr:from>
      <xdr:col>9</xdr:col>
      <xdr:colOff>768075</xdr:colOff>
      <xdr:row>215</xdr:row>
      <xdr:rowOff>0</xdr:rowOff>
    </xdr:from>
    <xdr:to>
      <xdr:col>19</xdr:col>
      <xdr:colOff>298020</xdr:colOff>
      <xdr:row>226</xdr:row>
      <xdr:rowOff>34111</xdr:rowOff>
    </xdr:to>
    <xdr:grpSp>
      <xdr:nvGrpSpPr>
        <xdr:cNvPr id="59" name="Group 58"/>
        <xdr:cNvGrpSpPr/>
      </xdr:nvGrpSpPr>
      <xdr:grpSpPr>
        <a:xfrm>
          <a:off x="9503861" y="39333714"/>
          <a:ext cx="5743873" cy="2029826"/>
          <a:chOff x="8873850" y="42367200"/>
          <a:chExt cx="5762049" cy="2160000"/>
        </a:xfrm>
      </xdr:grpSpPr>
      <xdr:graphicFrame macro="">
        <xdr:nvGraphicFramePr>
          <xdr:cNvPr id="60" name="Chart 59"/>
          <xdr:cNvGraphicFramePr/>
        </xdr:nvGraphicFramePr>
        <xdr:xfrm>
          <a:off x="11753850" y="42367200"/>
          <a:ext cx="2882049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"/>
          </a:graphicData>
        </a:graphic>
      </xdr:graphicFrame>
      <xdr:graphicFrame macro="">
        <xdr:nvGraphicFramePr>
          <xdr:cNvPr id="61" name="Chart 60"/>
          <xdr:cNvGraphicFramePr/>
        </xdr:nvGraphicFramePr>
        <xdr:xfrm>
          <a:off x="8873850" y="4236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9"/>
          </a:graphicData>
        </a:graphic>
      </xdr:graphicFrame>
    </xdr:grpSp>
    <xdr:clientData/>
  </xdr:twoCellAnchor>
  <xdr:twoCellAnchor>
    <xdr:from>
      <xdr:col>7</xdr:col>
      <xdr:colOff>21950</xdr:colOff>
      <xdr:row>227</xdr:row>
      <xdr:rowOff>158750</xdr:rowOff>
    </xdr:from>
    <xdr:to>
      <xdr:col>15</xdr:col>
      <xdr:colOff>265917</xdr:colOff>
      <xdr:row>239</xdr:row>
      <xdr:rowOff>8711</xdr:rowOff>
    </xdr:to>
    <xdr:grpSp>
      <xdr:nvGrpSpPr>
        <xdr:cNvPr id="62" name="Group 61"/>
        <xdr:cNvGrpSpPr/>
      </xdr:nvGrpSpPr>
      <xdr:grpSpPr>
        <a:xfrm>
          <a:off x="7088593" y="41669607"/>
          <a:ext cx="5732181" cy="2027104"/>
          <a:chOff x="8302350" y="44843700"/>
          <a:chExt cx="5760683" cy="2160000"/>
        </a:xfrm>
      </xdr:grpSpPr>
      <xdr:graphicFrame macro="">
        <xdr:nvGraphicFramePr>
          <xdr:cNvPr id="63" name="SAIFI"/>
          <xdr:cNvGraphicFramePr/>
        </xdr:nvGraphicFramePr>
        <xdr:xfrm>
          <a:off x="11182350" y="44843700"/>
          <a:ext cx="2880683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0"/>
          </a:graphicData>
        </a:graphic>
      </xdr:graphicFrame>
      <xdr:graphicFrame macro="">
        <xdr:nvGraphicFramePr>
          <xdr:cNvPr id="64" name="Chart 63"/>
          <xdr:cNvGraphicFramePr/>
        </xdr:nvGraphicFramePr>
        <xdr:xfrm>
          <a:off x="8302350" y="448437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1"/>
          </a:graphicData>
        </a:graphic>
      </xdr:graphicFrame>
    </xdr:grp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5" name="TextBox 64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8</xdr:col>
      <xdr:colOff>666750</xdr:colOff>
      <xdr:row>197</xdr:row>
      <xdr:rowOff>104776</xdr:rowOff>
    </xdr:from>
    <xdr:to>
      <xdr:col>8</xdr:col>
      <xdr:colOff>712469</xdr:colOff>
      <xdr:row>197</xdr:row>
      <xdr:rowOff>157529</xdr:rowOff>
    </xdr:to>
    <xdr:sp macro="" textlink="">
      <xdr:nvSpPr>
        <xdr:cNvPr id="68" name="TextBox 67"/>
        <xdr:cNvSpPr txBox="1"/>
      </xdr:nvSpPr>
      <xdr:spPr>
        <a:xfrm>
          <a:off x="8220075" y="38280976"/>
          <a:ext cx="45719" cy="5275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tIns="0" rIns="0" bIns="0" rtlCol="0" anchor="t"/>
        <a:lstStyle/>
        <a:p>
          <a:r>
            <a:rPr lang="en-NZ" sz="800"/>
            <a:t>Industry</a:t>
          </a:r>
        </a:p>
      </xdr:txBody>
    </xdr:sp>
    <xdr:clientData/>
  </xdr:twoCellAnchor>
  <xdr:twoCellAnchor>
    <xdr:from>
      <xdr:col>26</xdr:col>
      <xdr:colOff>0</xdr:colOff>
      <xdr:row>55</xdr:row>
      <xdr:rowOff>0</xdr:rowOff>
    </xdr:from>
    <xdr:to>
      <xdr:col>36</xdr:col>
      <xdr:colOff>90357</xdr:colOff>
      <xdr:row>66</xdr:row>
      <xdr:rowOff>56285</xdr:rowOff>
    </xdr:to>
    <xdr:grpSp>
      <xdr:nvGrpSpPr>
        <xdr:cNvPr id="69" name="Group 68"/>
        <xdr:cNvGrpSpPr/>
      </xdr:nvGrpSpPr>
      <xdr:grpSpPr>
        <a:xfrm>
          <a:off x="20229286" y="10305143"/>
          <a:ext cx="5760000" cy="2051999"/>
          <a:chOff x="10016850" y="11887200"/>
          <a:chExt cx="5737500" cy="2160000"/>
        </a:xfrm>
      </xdr:grpSpPr>
      <xdr:graphicFrame macro="">
        <xdr:nvGraphicFramePr>
          <xdr:cNvPr id="70" name="Line charge revenue composition"/>
          <xdr:cNvGraphicFramePr/>
        </xdr:nvGraphicFramePr>
        <xdr:xfrm>
          <a:off x="100168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2"/>
          </a:graphicData>
        </a:graphic>
      </xdr:graphicFrame>
      <xdr:graphicFrame macro="">
        <xdr:nvGraphicFramePr>
          <xdr:cNvPr id="71" name="Indexed growth"/>
          <xdr:cNvGraphicFramePr/>
        </xdr:nvGraphicFramePr>
        <xdr:xfrm>
          <a:off x="12874350" y="11887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3"/>
          </a:graphicData>
        </a:graphic>
      </xdr:graphicFrame>
    </xdr:grpSp>
    <xdr:clientData/>
  </xdr:twoCellAnchor>
  <xdr:twoCellAnchor>
    <xdr:from>
      <xdr:col>26</xdr:col>
      <xdr:colOff>14551</xdr:colOff>
      <xdr:row>82</xdr:row>
      <xdr:rowOff>71571</xdr:rowOff>
    </xdr:from>
    <xdr:to>
      <xdr:col>36</xdr:col>
      <xdr:colOff>104908</xdr:colOff>
      <xdr:row>93</xdr:row>
      <xdr:rowOff>127857</xdr:rowOff>
    </xdr:to>
    <xdr:grpSp>
      <xdr:nvGrpSpPr>
        <xdr:cNvPr id="72" name="Group 71"/>
        <xdr:cNvGrpSpPr/>
      </xdr:nvGrpSpPr>
      <xdr:grpSpPr>
        <a:xfrm>
          <a:off x="20243837" y="15275285"/>
          <a:ext cx="5760000" cy="2052001"/>
          <a:chOff x="10031401" y="18299700"/>
          <a:chExt cx="5722948" cy="2160000"/>
        </a:xfrm>
      </xdr:grpSpPr>
      <xdr:graphicFrame macro="">
        <xdr:nvGraphicFramePr>
          <xdr:cNvPr id="73" name="Average revenue per MW of electricity delivered"/>
          <xdr:cNvGraphicFramePr/>
        </xdr:nvGraphicFramePr>
        <xdr:xfrm>
          <a:off x="10031401" y="18299700"/>
          <a:ext cx="280426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4"/>
          </a:graphicData>
        </a:graphic>
      </xdr:graphicFrame>
      <xdr:graphicFrame macro="">
        <xdr:nvGraphicFramePr>
          <xdr:cNvPr id="74" name="Indexed growth"/>
          <xdr:cNvGraphicFramePr/>
        </xdr:nvGraphicFramePr>
        <xdr:xfrm>
          <a:off x="12891181" y="18299700"/>
          <a:ext cx="2863168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5"/>
          </a:graphicData>
        </a:graphic>
      </xdr:graphicFrame>
    </xdr:grpSp>
    <xdr:clientData/>
  </xdr:twoCellAnchor>
  <xdr:twoCellAnchor>
    <xdr:from>
      <xdr:col>26</xdr:col>
      <xdr:colOff>21015</xdr:colOff>
      <xdr:row>110</xdr:row>
      <xdr:rowOff>163285</xdr:rowOff>
    </xdr:from>
    <xdr:to>
      <xdr:col>36</xdr:col>
      <xdr:colOff>111372</xdr:colOff>
      <xdr:row>122</xdr:row>
      <xdr:rowOff>38142</xdr:rowOff>
    </xdr:to>
    <xdr:grpSp>
      <xdr:nvGrpSpPr>
        <xdr:cNvPr id="75" name="Group 74"/>
        <xdr:cNvGrpSpPr/>
      </xdr:nvGrpSpPr>
      <xdr:grpSpPr>
        <a:xfrm>
          <a:off x="20250301" y="20446999"/>
          <a:ext cx="5760000" cy="2052000"/>
          <a:chOff x="10024258" y="22936200"/>
          <a:chExt cx="5752592" cy="2160000"/>
        </a:xfrm>
      </xdr:grpSpPr>
      <xdr:graphicFrame macro="">
        <xdr:nvGraphicFramePr>
          <xdr:cNvPr id="76" name="Indexed growth"/>
          <xdr:cNvGraphicFramePr/>
        </xdr:nvGraphicFramePr>
        <xdr:xfrm>
          <a:off x="12896850" y="22936200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6"/>
          </a:graphicData>
        </a:graphic>
      </xdr:graphicFrame>
      <xdr:graphicFrame macro="">
        <xdr:nvGraphicFramePr>
          <xdr:cNvPr id="77" name="Electricity delivered by customer group"/>
          <xdr:cNvGraphicFramePr/>
        </xdr:nvGraphicFramePr>
        <xdr:xfrm>
          <a:off x="10024258" y="22936200"/>
          <a:ext cx="287259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7"/>
          </a:graphicData>
        </a:graphic>
      </xdr:graphicFrame>
    </xdr:grpSp>
    <xdr:clientData/>
  </xdr:twoCellAnchor>
  <xdr:twoCellAnchor>
    <xdr:from>
      <xdr:col>26</xdr:col>
      <xdr:colOff>8165</xdr:colOff>
      <xdr:row>68</xdr:row>
      <xdr:rowOff>108857</xdr:rowOff>
    </xdr:from>
    <xdr:to>
      <xdr:col>36</xdr:col>
      <xdr:colOff>98522</xdr:colOff>
      <xdr:row>79</xdr:row>
      <xdr:rowOff>165143</xdr:rowOff>
    </xdr:to>
    <xdr:grpSp>
      <xdr:nvGrpSpPr>
        <xdr:cNvPr id="78" name="Group 77"/>
        <xdr:cNvGrpSpPr/>
      </xdr:nvGrpSpPr>
      <xdr:grpSpPr>
        <a:xfrm>
          <a:off x="20237451" y="12772571"/>
          <a:ext cx="5760000" cy="2052001"/>
          <a:chOff x="16284300" y="18173700"/>
          <a:chExt cx="5762116" cy="2160000"/>
        </a:xfrm>
      </xdr:grpSpPr>
      <xdr:graphicFrame macro="">
        <xdr:nvGraphicFramePr>
          <xdr:cNvPr id="79" name="Chart 78"/>
          <xdr:cNvGraphicFramePr/>
        </xdr:nvGraphicFramePr>
        <xdr:xfrm>
          <a:off x="19164300" y="18173700"/>
          <a:ext cx="2882116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8"/>
          </a:graphicData>
        </a:graphic>
      </xdr:graphicFrame>
      <xdr:grpSp>
        <xdr:nvGrpSpPr>
          <xdr:cNvPr id="80" name="Group 100"/>
          <xdr:cNvGrpSpPr/>
        </xdr:nvGrpSpPr>
        <xdr:grpSpPr>
          <a:xfrm>
            <a:off x="16284300" y="18173700"/>
            <a:ext cx="2880000" cy="2147252"/>
            <a:chOff x="16240350" y="18370050"/>
            <a:chExt cx="3600000" cy="2147252"/>
          </a:xfrm>
        </xdr:grpSpPr>
        <xdr:graphicFrame macro="">
          <xdr:nvGraphicFramePr>
            <xdr:cNvPr id="81" name="Chart 80"/>
            <xdr:cNvGraphicFramePr/>
          </xdr:nvGraphicFramePr>
          <xdr:xfrm>
            <a:off x="16240350" y="18370050"/>
            <a:ext cx="1800001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9"/>
            </a:graphicData>
          </a:graphic>
        </xdr:graphicFrame>
        <xdr:graphicFrame macro="">
          <xdr:nvGraphicFramePr>
            <xdr:cNvPr id="82" name="Chart 81"/>
            <xdr:cNvGraphicFramePr/>
          </xdr:nvGraphicFramePr>
          <xdr:xfrm>
            <a:off x="18040350" y="18370050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0"/>
            </a:graphicData>
          </a:graphic>
        </xdr:graphicFrame>
        <xdr:graphicFrame macro="">
          <xdr:nvGraphicFramePr>
            <xdr:cNvPr id="83" name="Chart 82"/>
            <xdr:cNvGraphicFramePr/>
          </xdr:nvGraphicFramePr>
          <xdr:xfrm>
            <a:off x="17130439" y="19437302"/>
            <a:ext cx="1800000" cy="1080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1"/>
            </a:graphicData>
          </a:graphic>
        </xdr:graphicFrame>
      </xdr:grpSp>
    </xdr:grpSp>
    <xdr:clientData/>
  </xdr:twoCellAnchor>
  <xdr:twoCellAnchor>
    <xdr:from>
      <xdr:col>26</xdr:col>
      <xdr:colOff>189262</xdr:colOff>
      <xdr:row>95</xdr:row>
      <xdr:rowOff>125999</xdr:rowOff>
    </xdr:from>
    <xdr:to>
      <xdr:col>36</xdr:col>
      <xdr:colOff>279619</xdr:colOff>
      <xdr:row>107</xdr:row>
      <xdr:rowOff>856</xdr:rowOff>
    </xdr:to>
    <xdr:grpSp>
      <xdr:nvGrpSpPr>
        <xdr:cNvPr id="84" name="Group 83"/>
        <xdr:cNvGrpSpPr/>
      </xdr:nvGrpSpPr>
      <xdr:grpSpPr>
        <a:xfrm>
          <a:off x="20418548" y="17688285"/>
          <a:ext cx="5760000" cy="2052000"/>
          <a:chOff x="8272909" y="19634932"/>
          <a:chExt cx="5753952" cy="2160000"/>
        </a:xfrm>
      </xdr:grpSpPr>
      <xdr:graphicFrame macro="">
        <xdr:nvGraphicFramePr>
          <xdr:cNvPr id="85" name="Indexed growth in connection points by customer group"/>
          <xdr:cNvGraphicFramePr/>
        </xdr:nvGraphicFramePr>
        <xdr:xfrm>
          <a:off x="11152909" y="19634932"/>
          <a:ext cx="2873952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2"/>
          </a:graphicData>
        </a:graphic>
      </xdr:graphicFrame>
      <xdr:graphicFrame macro="">
        <xdr:nvGraphicFramePr>
          <xdr:cNvPr id="86" name="Chart 85"/>
          <xdr:cNvGraphicFramePr/>
        </xdr:nvGraphicFramePr>
        <xdr:xfrm>
          <a:off x="8272909" y="19634932"/>
          <a:ext cx="2880000" cy="2160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3"/>
          </a:graphicData>
        </a:graphic>
      </xdr:graphicFrame>
    </xdr:grpSp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0.68243</cdr:x>
      <cdr:y>0.57667</cdr:y>
    </cdr:from>
    <cdr:to>
      <cdr:x>1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14229" y="1583552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NZ" sz="1100"/>
        </a:p>
      </cdr:txBody>
    </cdr:sp>
  </cdr:relSizeAnchor>
  <cdr:relSizeAnchor xmlns:cdr="http://schemas.openxmlformats.org/drawingml/2006/chartDrawing">
    <cdr:from>
      <cdr:x>0.8154</cdr:x>
      <cdr:y>0.55301</cdr:y>
    </cdr:from>
    <cdr:to>
      <cdr:x>1</cdr:x>
      <cdr:y>0.66824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406402" y="1205185"/>
          <a:ext cx="523226" cy="2511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lvl="0" algn="ctr" defTabSz="360000">
            <a:lnSpc>
              <a:spcPct val="100000"/>
            </a:lnSpc>
          </a:pPr>
          <a:r>
            <a:rPr lang="en-NZ" sz="700"/>
            <a:t>Capital</a:t>
          </a:r>
          <a:r>
            <a:rPr lang="en-NZ" sz="700" baseline="0"/>
            <a:t> contributions</a:t>
          </a:r>
          <a:endParaRPr lang="en-NZ" sz="7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0.02423</cdr:x>
      <cdr:y>0.0254</cdr:y>
    </cdr:to>
    <cdr:sp macro="" textlink="">
      <cdr:nvSpPr>
        <cdr:cNvPr id="2" name="TextBox 88"/>
        <cdr:cNvSpPr txBox="1"/>
      </cdr:nvSpPr>
      <cdr:spPr>
        <a:xfrm xmlns:a="http://schemas.openxmlformats.org/drawingml/2006/main">
          <a:off x="0" y="0"/>
          <a:ext cx="45719" cy="4571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endParaRPr lang="en-NZ" sz="700"/>
        </a:p>
      </cdr:txBody>
    </cdr:sp>
  </cdr:relSizeAnchor>
  <cdr:relSizeAnchor xmlns:cdr="http://schemas.openxmlformats.org/drawingml/2006/chartDrawing">
    <cdr:from>
      <cdr:x>0.69739</cdr:x>
      <cdr:y>0.20279</cdr:y>
    </cdr:from>
    <cdr:to>
      <cdr:x>1</cdr:x>
      <cdr:y>0.27043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45660" y="363472"/>
          <a:ext cx="571507" cy="1212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Marlborough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0.71197</cdr:x>
      <cdr:y>0.40328</cdr:y>
    </cdr:from>
    <cdr:to>
      <cdr:x>1</cdr:x>
      <cdr:y>0.47237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27188" y="722837"/>
          <a:ext cx="561961" cy="1238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Marlborough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0.72261</cdr:x>
      <cdr:y>0.18782</cdr:y>
    </cdr:from>
    <cdr:to>
      <cdr:x>1</cdr:x>
      <cdr:y>0.25449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431390" y="336637"/>
          <a:ext cx="523876" cy="119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Marlborough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0.71206</cdr:x>
      <cdr:y>0.16669</cdr:y>
    </cdr:from>
    <cdr:to>
      <cdr:x>1</cdr:x>
      <cdr:y>0.25692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86425" y="300756"/>
          <a:ext cx="549082" cy="162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36000" bIns="0" rtlCol="0"/>
        <a:lstStyle xmlns:a="http://schemas.openxmlformats.org/drawingml/2006/main"/>
        <a:p xmlns:a="http://schemas.openxmlformats.org/drawingml/2006/main">
          <a:pPr algn="r"/>
          <a:r>
            <a:rPr lang="en-NZ" sz="700"/>
            <a:t>Marlborough</a:t>
          </a:r>
          <a:endParaRPr lang="en-NZ" sz="800"/>
        </a:p>
      </cdr:txBody>
    </cdr:sp>
  </cdr:relSizeAnchor>
</c:userShapes>
</file>

<file path=xl/theme/theme1.xml><?xml version="1.0" encoding="utf-8"?>
<a:theme xmlns:a="http://schemas.openxmlformats.org/drawingml/2006/main" name="Part4June2012">
  <a:themeElements>
    <a:clrScheme name="Custom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A9C6E9"/>
      </a:accent1>
      <a:accent2>
        <a:srgbClr val="204C82"/>
      </a:accent2>
      <a:accent3>
        <a:srgbClr val="7EA9DE"/>
      </a:accent3>
      <a:accent4>
        <a:srgbClr val="0F243E"/>
      </a:accent4>
      <a:accent5>
        <a:srgbClr val="4785D1"/>
      </a:accent5>
      <a:accent6>
        <a:srgbClr val="7F7F7F"/>
      </a:accent6>
      <a:hlink>
        <a:srgbClr val="3F3F3F"/>
      </a:hlink>
      <a:folHlink>
        <a:srgbClr val="0C0C0C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A9C6E9"/>
    </a:accent1>
    <a:accent2>
      <a:srgbClr val="204C82"/>
    </a:accent2>
    <a:accent3>
      <a:srgbClr val="7EA9DE"/>
    </a:accent3>
    <a:accent4>
      <a:srgbClr val="0F243E"/>
    </a:accent4>
    <a:accent5>
      <a:srgbClr val="4785D1"/>
    </a:accent5>
    <a:accent6>
      <a:srgbClr val="7F7F7F"/>
    </a:accent6>
    <a:hlink>
      <a:srgbClr val="3F3F3F"/>
    </a:hlink>
    <a:folHlink>
      <a:srgbClr val="0C0C0C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stats.govt.nz/browse_for_stats/economic_indicators/CPI_inflation/ConsumersPriceIndex_HOTPDec11qtr.aspx" TargetMode="External"/><Relationship Id="rId1" Type="http://schemas.openxmlformats.org/officeDocument/2006/relationships/hyperlink" Target="http://www.med.govt.nz/sectors-industries/energy/electricity/prices/electricity-tariff-surveys/quarterly-surv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1"/>
  </sheetPr>
  <dimension ref="B2:D55"/>
  <sheetViews>
    <sheetView tabSelected="1" zoomScale="70" zoomScaleNormal="70" workbookViewId="0"/>
  </sheetViews>
  <sheetFormatPr defaultColWidth="9.140625" defaultRowHeight="15"/>
  <cols>
    <col min="1" max="1" width="3.140625" style="215" customWidth="1"/>
    <col min="2" max="2" width="34.28515625" style="215" customWidth="1"/>
    <col min="3" max="3" width="67.42578125" style="215" customWidth="1"/>
    <col min="4" max="4" width="47.140625" style="215" customWidth="1"/>
    <col min="5" max="16384" width="9.140625" style="215"/>
  </cols>
  <sheetData>
    <row r="2" spans="2:4" ht="21">
      <c r="B2" s="767" t="s">
        <v>523</v>
      </c>
      <c r="C2" s="763"/>
    </row>
    <row r="3" spans="2:4">
      <c r="B3" s="768" t="s">
        <v>489</v>
      </c>
      <c r="C3" s="763"/>
    </row>
    <row r="4" spans="2:4">
      <c r="B4" s="196"/>
      <c r="C4" s="453"/>
      <c r="D4" s="216"/>
    </row>
    <row r="5" spans="2:4" ht="60" customHeight="1">
      <c r="B5" s="885" t="s">
        <v>550</v>
      </c>
      <c r="C5" s="885"/>
      <c r="D5" s="769"/>
    </row>
    <row r="6" spans="2:4">
      <c r="B6" s="769"/>
      <c r="C6" s="769"/>
      <c r="D6" s="769"/>
    </row>
    <row r="7" spans="2:4" ht="15.75" thickBot="1"/>
    <row r="8" spans="2:4" ht="15.75" thickBot="1">
      <c r="B8" s="677" t="s">
        <v>354</v>
      </c>
      <c r="C8" s="680"/>
      <c r="D8" s="228"/>
    </row>
    <row r="9" spans="2:4" ht="15.75" thickBot="1">
      <c r="B9" s="229" t="s">
        <v>519</v>
      </c>
      <c r="C9" s="230" t="s">
        <v>352</v>
      </c>
      <c r="D9" s="226"/>
    </row>
    <row r="10" spans="2:4">
      <c r="B10" s="231" t="s">
        <v>29</v>
      </c>
      <c r="C10" s="232" t="s">
        <v>112</v>
      </c>
      <c r="D10" s="233"/>
    </row>
    <row r="11" spans="2:4">
      <c r="B11" s="234" t="s">
        <v>30</v>
      </c>
      <c r="C11" s="235" t="s">
        <v>174</v>
      </c>
      <c r="D11" s="233"/>
    </row>
    <row r="12" spans="2:4">
      <c r="B12" s="234" t="s">
        <v>31</v>
      </c>
      <c r="C12" s="235" t="s">
        <v>113</v>
      </c>
      <c r="D12" s="227"/>
    </row>
    <row r="13" spans="2:4">
      <c r="B13" s="234" t="s">
        <v>32</v>
      </c>
      <c r="C13" s="235" t="s">
        <v>32</v>
      </c>
      <c r="D13" s="227"/>
    </row>
    <row r="14" spans="2:4">
      <c r="B14" s="234" t="s">
        <v>33</v>
      </c>
      <c r="C14" s="235" t="s">
        <v>114</v>
      </c>
      <c r="D14" s="227"/>
    </row>
    <row r="15" spans="2:4">
      <c r="B15" s="234" t="s">
        <v>34</v>
      </c>
      <c r="C15" s="235" t="s">
        <v>177</v>
      </c>
      <c r="D15" s="227"/>
    </row>
    <row r="16" spans="2:4">
      <c r="B16" s="234" t="s">
        <v>35</v>
      </c>
      <c r="C16" s="235" t="s">
        <v>353</v>
      </c>
      <c r="D16" s="227"/>
    </row>
    <row r="17" spans="2:4">
      <c r="B17" s="234" t="s">
        <v>36</v>
      </c>
      <c r="C17" s="235" t="s">
        <v>115</v>
      </c>
      <c r="D17" s="227"/>
    </row>
    <row r="18" spans="2:4">
      <c r="B18" s="234" t="s">
        <v>37</v>
      </c>
      <c r="C18" s="235" t="s">
        <v>116</v>
      </c>
      <c r="D18" s="227"/>
    </row>
    <row r="19" spans="2:4">
      <c r="B19" s="234" t="s">
        <v>38</v>
      </c>
      <c r="C19" s="235" t="s">
        <v>117</v>
      </c>
      <c r="D19" s="227"/>
    </row>
    <row r="20" spans="2:4">
      <c r="B20" s="234" t="s">
        <v>39</v>
      </c>
      <c r="C20" s="235" t="s">
        <v>118</v>
      </c>
      <c r="D20" s="227"/>
    </row>
    <row r="21" spans="2:4">
      <c r="B21" s="234" t="s">
        <v>40</v>
      </c>
      <c r="C21" s="235" t="s">
        <v>119</v>
      </c>
      <c r="D21" s="227"/>
    </row>
    <row r="22" spans="2:4">
      <c r="B22" s="234" t="s">
        <v>41</v>
      </c>
      <c r="C22" s="235" t="s">
        <v>120</v>
      </c>
      <c r="D22" s="227"/>
    </row>
    <row r="23" spans="2:4">
      <c r="B23" s="234" t="s">
        <v>42</v>
      </c>
      <c r="C23" s="235" t="s">
        <v>121</v>
      </c>
      <c r="D23" s="227"/>
    </row>
    <row r="24" spans="2:4">
      <c r="B24" s="234" t="s">
        <v>43</v>
      </c>
      <c r="C24" s="235" t="s">
        <v>122</v>
      </c>
      <c r="D24" s="227"/>
    </row>
    <row r="25" spans="2:4">
      <c r="B25" s="234" t="s">
        <v>44</v>
      </c>
      <c r="C25" s="235" t="s">
        <v>44</v>
      </c>
      <c r="D25" s="227"/>
    </row>
    <row r="26" spans="2:4">
      <c r="B26" s="234" t="s">
        <v>45</v>
      </c>
      <c r="C26" s="235" t="s">
        <v>356</v>
      </c>
      <c r="D26" s="227"/>
    </row>
    <row r="27" spans="2:4">
      <c r="B27" s="234" t="s">
        <v>123</v>
      </c>
      <c r="C27" s="235" t="s">
        <v>295</v>
      </c>
      <c r="D27" s="227"/>
    </row>
    <row r="28" spans="2:4">
      <c r="B28" s="234" t="s">
        <v>355</v>
      </c>
      <c r="C28" s="235" t="s">
        <v>47</v>
      </c>
      <c r="D28" s="227"/>
    </row>
    <row r="29" spans="2:4">
      <c r="B29" s="234" t="s">
        <v>48</v>
      </c>
      <c r="C29" s="235" t="s">
        <v>48</v>
      </c>
      <c r="D29" s="227"/>
    </row>
    <row r="30" spans="2:4">
      <c r="B30" s="234" t="s">
        <v>357</v>
      </c>
      <c r="C30" s="235" t="s">
        <v>176</v>
      </c>
      <c r="D30" s="227"/>
    </row>
    <row r="31" spans="2:4">
      <c r="B31" s="236" t="s">
        <v>50</v>
      </c>
      <c r="C31" s="235" t="s">
        <v>124</v>
      </c>
      <c r="D31" s="227"/>
    </row>
    <row r="32" spans="2:4">
      <c r="B32" s="236" t="s">
        <v>142</v>
      </c>
      <c r="C32" s="235" t="s">
        <v>125</v>
      </c>
      <c r="D32" s="227"/>
    </row>
    <row r="33" spans="2:4">
      <c r="B33" s="234" t="s">
        <v>52</v>
      </c>
      <c r="C33" s="235" t="s">
        <v>358</v>
      </c>
      <c r="D33" s="227"/>
    </row>
    <row r="34" spans="2:4">
      <c r="B34" s="234" t="s">
        <v>53</v>
      </c>
      <c r="C34" s="235" t="s">
        <v>53</v>
      </c>
      <c r="D34" s="227"/>
    </row>
    <row r="35" spans="2:4">
      <c r="B35" s="234" t="s">
        <v>54</v>
      </c>
      <c r="C35" s="235" t="s">
        <v>126</v>
      </c>
      <c r="D35" s="227"/>
    </row>
    <row r="36" spans="2:4">
      <c r="B36" s="234" t="s">
        <v>55</v>
      </c>
      <c r="C36" s="235" t="s">
        <v>127</v>
      </c>
      <c r="D36" s="227"/>
    </row>
    <row r="37" spans="2:4">
      <c r="B37" s="234" t="s">
        <v>56</v>
      </c>
      <c r="C37" s="235" t="s">
        <v>211</v>
      </c>
      <c r="D37" s="227"/>
    </row>
    <row r="38" spans="2:4" ht="15.75" thickBot="1">
      <c r="B38" s="237" t="s">
        <v>57</v>
      </c>
      <c r="C38" s="238" t="s">
        <v>57</v>
      </c>
      <c r="D38" s="227"/>
    </row>
    <row r="39" spans="2:4" ht="15.75" thickBot="1">
      <c r="B39" s="237" t="s">
        <v>254</v>
      </c>
      <c r="C39" s="238" t="s">
        <v>425</v>
      </c>
      <c r="D39" s="227"/>
    </row>
    <row r="41" spans="2:4" ht="15.75" thickBot="1"/>
    <row r="42" spans="2:4" ht="15.75" thickBot="1">
      <c r="B42" s="677" t="s">
        <v>160</v>
      </c>
      <c r="C42" s="678"/>
      <c r="D42" s="679"/>
    </row>
    <row r="43" spans="2:4" ht="15.75" thickBot="1">
      <c r="B43" s="217" t="s">
        <v>519</v>
      </c>
      <c r="C43" s="218" t="s">
        <v>136</v>
      </c>
      <c r="D43" s="219" t="s">
        <v>137</v>
      </c>
    </row>
    <row r="44" spans="2:4">
      <c r="B44" s="764" t="s">
        <v>491</v>
      </c>
      <c r="C44" s="220" t="s">
        <v>134</v>
      </c>
      <c r="D44" s="221" t="s">
        <v>360</v>
      </c>
    </row>
    <row r="45" spans="2:4">
      <c r="B45" s="765" t="s">
        <v>492</v>
      </c>
      <c r="C45" s="224" t="s">
        <v>216</v>
      </c>
      <c r="D45" s="223" t="s">
        <v>360</v>
      </c>
    </row>
    <row r="46" spans="2:4">
      <c r="B46" s="765" t="s">
        <v>493</v>
      </c>
      <c r="C46" s="224" t="s">
        <v>218</v>
      </c>
      <c r="D46" s="223" t="s">
        <v>360</v>
      </c>
    </row>
    <row r="47" spans="2:4">
      <c r="B47" s="765" t="s">
        <v>490</v>
      </c>
      <c r="C47" s="222" t="s">
        <v>138</v>
      </c>
      <c r="D47" s="223" t="s">
        <v>360</v>
      </c>
    </row>
    <row r="48" spans="2:4">
      <c r="B48" s="765" t="s">
        <v>494</v>
      </c>
      <c r="C48" s="222" t="s">
        <v>135</v>
      </c>
      <c r="D48" s="223" t="s">
        <v>361</v>
      </c>
    </row>
    <row r="49" spans="2:4">
      <c r="B49" s="765" t="s">
        <v>495</v>
      </c>
      <c r="C49" s="224" t="s">
        <v>217</v>
      </c>
      <c r="D49" s="223" t="s">
        <v>361</v>
      </c>
    </row>
    <row r="50" spans="2:4">
      <c r="B50" s="765" t="s">
        <v>496</v>
      </c>
      <c r="C50" s="224" t="s">
        <v>219</v>
      </c>
      <c r="D50" s="223" t="s">
        <v>361</v>
      </c>
    </row>
    <row r="51" spans="2:4">
      <c r="B51" s="765" t="s">
        <v>497</v>
      </c>
      <c r="C51" s="224" t="s">
        <v>359</v>
      </c>
      <c r="D51" s="223" t="s">
        <v>361</v>
      </c>
    </row>
    <row r="52" spans="2:4">
      <c r="B52" s="765" t="s">
        <v>521</v>
      </c>
      <c r="C52" s="224" t="s">
        <v>520</v>
      </c>
      <c r="D52" s="223" t="s">
        <v>361</v>
      </c>
    </row>
    <row r="53" spans="2:4">
      <c r="B53" s="765" t="s">
        <v>517</v>
      </c>
      <c r="C53" s="224" t="s">
        <v>224</v>
      </c>
      <c r="D53" s="532" t="s">
        <v>499</v>
      </c>
    </row>
    <row r="54" spans="2:4">
      <c r="B54" s="765" t="s">
        <v>225</v>
      </c>
      <c r="C54" s="224" t="s">
        <v>226</v>
      </c>
      <c r="D54" s="223" t="s">
        <v>518</v>
      </c>
    </row>
    <row r="55" spans="2:4" ht="15.75" thickBot="1">
      <c r="B55" s="766" t="s">
        <v>522</v>
      </c>
      <c r="C55" s="225" t="s">
        <v>314</v>
      </c>
      <c r="D55" s="531" t="s">
        <v>498</v>
      </c>
    </row>
  </sheetData>
  <sheetProtection password="80F5" sheet="1" objects="1" scenarios="1"/>
  <mergeCells count="1">
    <mergeCell ref="B5:C5"/>
  </mergeCells>
  <hyperlinks>
    <hyperlink ref="B10" location="Aurora!A1" display="Alpine"/>
    <hyperlink ref="B11" location="Aurora!A1" display="Aurora"/>
    <hyperlink ref="B12" location="Buller!A1" display="Buller"/>
    <hyperlink ref="B13" location="Centralines!A1" display="Centralines"/>
    <hyperlink ref="B14" location="Counties!A1" display="Counties"/>
    <hyperlink ref="B25" location="Northpower!A1" display="Northpower"/>
    <hyperlink ref="B26" location="Orion!A1" display="Orion!A1"/>
    <hyperlink ref="B27" location="OtagoNet!A1" display="OtagoNet"/>
    <hyperlink ref="B28" location="PowerCo!A1" display="PowerCo"/>
    <hyperlink ref="B32" location="'Top Energy'!A1" display="'Top Energy"/>
    <hyperlink ref="B34" location="Vector!A1" display="Vector"/>
    <hyperlink ref="B30" location="LinesCo!A1" display="LinesCo"/>
    <hyperlink ref="B35" location="Waipa!A1" display="Waipa"/>
    <hyperlink ref="B36" location="WEL!A1" display="WEL"/>
    <hyperlink ref="B39" location="Total!A1" display="Total"/>
    <hyperlink ref="B29" location="Scanpower!A1" display="Scanpower"/>
    <hyperlink ref="B31" location="'Power Comp'!A1" display="'Power Comp'"/>
    <hyperlink ref="B37" location="Wellington!A1" display="Wellington"/>
    <hyperlink ref="B38" location="Westpower!A1" display="Westpower"/>
    <hyperlink ref="D53" r:id="rId1"/>
    <hyperlink ref="D55" r:id="rId2"/>
    <hyperlink ref="B44" location="'FS (nominal)'!A1" display="FS (nominal)"/>
    <hyperlink ref="B45" location="'AV (nominal)'!A1" display="AV (nominal)"/>
    <hyperlink ref="B46" location="'MP (nominal)'!A1" display="MP (nominal)"/>
    <hyperlink ref="B47" location="'AM (nominal)'!A1" display="AM (nominal)"/>
    <hyperlink ref="B48" location="'FS (2011)'!A1" display="FS (2011)"/>
    <hyperlink ref="B49" location="'AV (2011)'!A1" display="AV (2011)"/>
    <hyperlink ref="B50" location="'MP (2011)'!A1" display="MP (2011)"/>
    <hyperlink ref="B51" location="'AM (2011)'!A1" display="AM (2011)"/>
    <hyperlink ref="B52" location="'Industry calcs'!A1" display="Industry calculations"/>
    <hyperlink ref="B53" location="'MED price allocation'!A1" display="MED price allocation"/>
    <hyperlink ref="B54" location="'Compliance data'!A1" display="Compliance"/>
    <hyperlink ref="B55" location="CPI!A1" display="CPI data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116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Electricity Invercargill</v>
      </c>
      <c r="C6" s="108"/>
      <c r="D6" s="109">
        <f>VLOOKUP($B$6,$B$258:$J$286,9,FALSE)</f>
        <v>192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16.381</v>
      </c>
      <c r="E7" s="407">
        <f>D7/('Industry calcs'!D4/1000)*100</f>
        <v>0.79467539707665891</v>
      </c>
    </row>
    <row r="8" spans="2:5">
      <c r="B8" s="111" t="s">
        <v>250</v>
      </c>
      <c r="C8" s="114"/>
      <c r="D8" s="406">
        <f>VLOOKUP(D6,'AV (2011)'!A8:F214,'AV (2011)'!F214,FALSE)/1000</f>
        <v>59.954492000000002</v>
      </c>
      <c r="E8" s="407">
        <f>D8/('Industry calcs'!D5/1000)*100</f>
        <v>0.6680061330192153</v>
      </c>
    </row>
    <row r="9" spans="2:5">
      <c r="B9" s="111" t="s">
        <v>230</v>
      </c>
      <c r="C9" s="114"/>
      <c r="D9" s="406">
        <f>VLOOKUP($D$6,'FS (2011)'!$A$13:$AH$244,'FS (2011)'!S245,FALSE)/1000</f>
        <v>4.7320000000000002</v>
      </c>
      <c r="E9" s="407">
        <f>D9/('Industry calcs'!D6/1000)*100</f>
        <v>1.042273623648136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3.8719999999999999</v>
      </c>
      <c r="E10" s="407">
        <f>D10/('Industry calcs'!D7/1000)*100</f>
        <v>0.66169018393417289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273.73370999999997</v>
      </c>
      <c r="E11" s="407">
        <f>D11/'Industry calcs'!D8*100</f>
        <v>0.88456000170307592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64.585999999999999</v>
      </c>
      <c r="E12" s="407">
        <f>D12/'Industry calcs'!D9*100</f>
        <v>1.0328393036469672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654.31115999999997</v>
      </c>
      <c r="E13" s="407">
        <f>D13/'Industry calcs'!D10*100</f>
        <v>0.43746207493144951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17266</v>
      </c>
      <c r="E14" s="407">
        <f>D14/'Industry calcs'!D11*100</f>
        <v>0.85957160814965095</v>
      </c>
    </row>
    <row r="15" spans="2:5">
      <c r="B15" s="115" t="s">
        <v>195</v>
      </c>
      <c r="C15" s="116" t="s">
        <v>239</v>
      </c>
      <c r="D15" s="408">
        <f>D14/D13</f>
        <v>26.38805671601261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Electricity Invercargill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22.626596760856547</v>
      </c>
      <c r="D20" s="409">
        <f>VLOOKUP($B$2,'MED price allocation'!$B$16:$F$44,3,FALSE)</f>
        <v>22.285295490424865</v>
      </c>
      <c r="E20" s="409">
        <f>VLOOKUP($B$2,'MED price allocation'!$B$16:$F$44,4,FALSE)</f>
        <v>21.950808385653843</v>
      </c>
      <c r="F20" s="503">
        <f>VLOOKUP($B$2,'MED price allocation'!$B$16:$F$44,5,FALSE)</f>
        <v>23.118333333333332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5.9511049014855573</v>
      </c>
      <c r="D21" s="410">
        <f>VLOOKUP($B$2,'MED price allocation'!$B$47:$F$75,3,FALSE)</f>
        <v>5.9067581851877256</v>
      </c>
      <c r="E21" s="410">
        <f>VLOOKUP($B$2,'MED price allocation'!$B$47:$F$75,4,FALSE)</f>
        <v>5.613782975398129</v>
      </c>
      <c r="F21" s="504">
        <f>VLOOKUP($B$2,'MED price allocation'!$B$47:$F$75,5,FALSE)</f>
        <v>6.04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7.7299677796470014</v>
      </c>
      <c r="D22" s="409">
        <f>VLOOKUP($B$2,'MED price allocation'!$B$78:$F$106,3,FALSE)</f>
        <v>7.7753284370924547</v>
      </c>
      <c r="E22" s="409">
        <f>VLOOKUP($B$2,'MED price allocation'!$B$78:$F$106,4,FALSE)</f>
        <v>7.4069332542911788</v>
      </c>
      <c r="F22" s="503">
        <f>VLOOKUP($B$2,'MED price allocation'!$B$78:$F$106,5,FALSE)</f>
        <v>7.98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1.7788628781614437</v>
      </c>
      <c r="D23" s="411">
        <f>VLOOKUP($B$2,'MED price allocation'!$B$109:$F$137,3,FALSE)</f>
        <v>1.8685702519047287</v>
      </c>
      <c r="E23" s="411">
        <f>VLOOKUP($B$2,'MED price allocation'!$B$109:$F$137,4,FALSE)</f>
        <v>1.7931502788930502</v>
      </c>
      <c r="F23" s="505">
        <f>VLOOKUP($B$2,'MED price allocation'!$B$109:$F$137,5,FALSE)</f>
        <v>1.94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Electricity Invercargill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1810.1277408685239</v>
      </c>
      <c r="D26" s="412">
        <f>(D20*8000)/100</f>
        <v>1782.8236392339893</v>
      </c>
      <c r="E26" s="412">
        <f>(E20*8000)/100</f>
        <v>1756.0646708523075</v>
      </c>
      <c r="F26" s="506">
        <f>(F20*8000)/100</f>
        <v>1849.4666666666665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618.39742237176006</v>
      </c>
      <c r="D27" s="412">
        <f>(D22*8000)/100</f>
        <v>622.02627496739638</v>
      </c>
      <c r="E27" s="412">
        <f>(E22*8000)/100</f>
        <v>592.55466034329436</v>
      </c>
      <c r="F27" s="506">
        <f>(F22*8000)/100</f>
        <v>638.4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476.08839211884458</v>
      </c>
      <c r="D28" s="412">
        <f>(D21*8000)/100</f>
        <v>472.54065481501806</v>
      </c>
      <c r="E28" s="412">
        <f>(E21*8000)/100</f>
        <v>449.10263803185029</v>
      </c>
      <c r="F28" s="506">
        <f>(F21*8000)/100</f>
        <v>483.2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142.30903025291548</v>
      </c>
      <c r="D29" s="413">
        <f>(D23*8000)/100</f>
        <v>149.48562015237829</v>
      </c>
      <c r="E29" s="413">
        <f>(E23*8000)/100</f>
        <v>143.45202231144401</v>
      </c>
      <c r="F29" s="507">
        <f>(F23*8000)/100</f>
        <v>155.19999999999999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Electricity Invercargill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1799.6206794053717</v>
      </c>
      <c r="D32" s="122"/>
    </row>
    <row r="33" spans="2:13">
      <c r="B33" s="120" t="s">
        <v>241</v>
      </c>
      <c r="C33" s="412">
        <f>AVERAGE(C27:F27)</f>
        <v>617.84458942061269</v>
      </c>
      <c r="D33" s="414">
        <f>C33/$C$32</f>
        <v>0.34331934306553985</v>
      </c>
    </row>
    <row r="34" spans="2:13">
      <c r="B34" s="120" t="s">
        <v>222</v>
      </c>
      <c r="C34" s="412">
        <f>AVERAGE(C28:F28)</f>
        <v>470.23292124142824</v>
      </c>
      <c r="D34" s="414">
        <f>C34/$C$32</f>
        <v>0.26129557557473831</v>
      </c>
    </row>
    <row r="35" spans="2:13">
      <c r="B35" s="124" t="s">
        <v>223</v>
      </c>
      <c r="C35" s="413">
        <f>AVERAGE(C29:F29)</f>
        <v>147.61166817918445</v>
      </c>
      <c r="D35" s="415">
        <f>C35/$C$32</f>
        <v>8.2023767490801508E-2</v>
      </c>
    </row>
    <row r="38" spans="2:13">
      <c r="B38" s="517" t="s">
        <v>227</v>
      </c>
      <c r="C38" s="518">
        <f>VLOOKUP($B$2,$B$258:$J$286,6,FALSE)</f>
        <v>189</v>
      </c>
      <c r="D38" s="518">
        <f>VLOOKUP($B$2,$B$258:$J$286,7,FALSE)</f>
        <v>190</v>
      </c>
      <c r="E38" s="518">
        <f>VLOOKUP($B$2,$B$258:$J$286,8,FALSE)</f>
        <v>191</v>
      </c>
      <c r="F38" s="519">
        <f>VLOOKUP($B$2,$B$258:$J$286,9,FALSE)</f>
        <v>192</v>
      </c>
    </row>
    <row r="39" spans="2:13">
      <c r="B39" s="137" t="str">
        <f>B2</f>
        <v>Electricity Invercargill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14896.089931852526</v>
      </c>
      <c r="D40" s="418">
        <f>VLOOKUP($D$38,'FS (2011)'!$A$13:$AH$244,'FS (2011)'!E245,FALSE)</f>
        <v>15165.523783375656</v>
      </c>
      <c r="E40" s="418">
        <f>VLOOKUP($E$38,'FS (2011)'!$A$13:$AH$244,'FS (2011)'!E245,FALSE)</f>
        <v>15628.934817170109</v>
      </c>
      <c r="F40" s="419">
        <f>VLOOKUP($F$38,'FS (2011)'!$A$13:$AH$244,'FS (2011)'!E245,FALSE)</f>
        <v>16254</v>
      </c>
    </row>
    <row r="41" spans="2:13" ht="30">
      <c r="B41" s="120" t="s">
        <v>198</v>
      </c>
      <c r="C41" s="417">
        <f>VLOOKUP($C$38,'FS (2011)'!$A$13:$AH$244,'FS (2011)'!$F$245,FALSE)</f>
        <v>30.186763993042682</v>
      </c>
      <c r="D41" s="418">
        <f>VLOOKUP($D$38,'FS (2011)'!$A$13:$AH$244,'FS (2011)'!$F$245,FALSE)</f>
        <v>117.3046880362413</v>
      </c>
      <c r="E41" s="418">
        <f>VLOOKUP($E$38,'FS (2011)'!$A$13:$AH$244,'FS (2011)'!$F$245,FALSE)</f>
        <v>136.52394168844816</v>
      </c>
      <c r="F41" s="419">
        <f>VLOOKUP($F$38,'FS (2011)'!$A$13:$AH$244,'FS (2011)'!$F$245,FALSE)</f>
        <v>41</v>
      </c>
    </row>
    <row r="42" spans="2:13">
      <c r="B42" s="120" t="s">
        <v>13</v>
      </c>
      <c r="C42" s="417">
        <f>VLOOKUP($C$38,'FS (2011)'!$A$13:$AH$244,'FS (2011)'!$H$245,FALSE)</f>
        <v>344.99158849191639</v>
      </c>
      <c r="D42" s="418">
        <f>VLOOKUP($D$38,'FS (2011)'!$A$13:$AH$244,'FS (2011)'!$H$245,FALSE)</f>
        <v>87.199945088887333</v>
      </c>
      <c r="E42" s="418">
        <f>VLOOKUP($E$38,'FS (2011)'!$A$13:$AH$244,'FS (2011)'!$H$245,FALSE)</f>
        <v>87.619843173183142</v>
      </c>
      <c r="F42" s="419">
        <f>VLOOKUP($F$38,'FS (2011)'!$A$13:$AH$244,'FS (2011)'!$H$245,FALSE)</f>
        <v>86</v>
      </c>
    </row>
    <row r="43" spans="2:13">
      <c r="B43" s="124" t="s">
        <v>5</v>
      </c>
      <c r="C43" s="420">
        <f>SUM(C40:C42)</f>
        <v>15271.268284337484</v>
      </c>
      <c r="D43" s="420">
        <f>SUM(D40:D42)</f>
        <v>15370.028416500785</v>
      </c>
      <c r="E43" s="420">
        <f>SUM(E40:E42)</f>
        <v>15853.078602031741</v>
      </c>
      <c r="F43" s="421">
        <f>SUM(F40:F42)</f>
        <v>16381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Electricity Invercargill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101.80875553756556</v>
      </c>
      <c r="E46" s="422">
        <f>IF(ISERROR(E40/$C40),"",(E40/$C40))*100</f>
        <v>104.91971308356921</v>
      </c>
      <c r="F46" s="423">
        <f>IF(ISERROR(F40/$C40),"",(F40/$C40))*100</f>
        <v>109.11588258636809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388.5964327387897</v>
      </c>
      <c r="E47" s="422">
        <f t="shared" si="0"/>
        <v>452.26424972187687</v>
      </c>
      <c r="F47" s="423">
        <f t="shared" si="0"/>
        <v>135.82111686250803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25.275962660443398</v>
      </c>
      <c r="E48" s="422">
        <f t="shared" si="0"/>
        <v>25.397675217590471</v>
      </c>
      <c r="F48" s="423">
        <f t="shared" si="0"/>
        <v>24.92814400952129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100.64670550162877</v>
      </c>
      <c r="E49" s="424">
        <f t="shared" si="0"/>
        <v>103.80983626809159</v>
      </c>
      <c r="F49" s="416">
        <f t="shared" si="0"/>
        <v>107.26679470886305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Electricity Invercargill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9703.0362336688431</v>
      </c>
      <c r="D54" s="426">
        <f>VLOOKUP($D$38,'MP (2011)'!$A$14:$AR$245,'MP (2011)'!$Z$246,FALSE)</f>
        <v>9736.9533837325798</v>
      </c>
      <c r="E54" s="426">
        <f>VLOOKUP($E$38,'MP (2011)'!$A$14:$AR$245,'MP (2011)'!$Z$246,FALSE)</f>
        <v>10170.497748376491</v>
      </c>
      <c r="F54" s="427">
        <f>VLOOKUP($F$38,'MP (2011)'!$A$14:$AR$245,'MP (2011)'!$Z$246,FALSE)</f>
        <v>10685.285</v>
      </c>
    </row>
    <row r="55" spans="2:23">
      <c r="B55" s="111" t="s">
        <v>180</v>
      </c>
      <c r="C55" s="425">
        <f>VLOOKUP($C$38,'MP (2011)'!$A$14:$AR$245,'MP (2011)'!$AD$246,FALSE)</f>
        <v>2540.4205975307232</v>
      </c>
      <c r="D55" s="426">
        <f>VLOOKUP($D$38,'MP (2011)'!$A$14:$AR$245,'MP (2011)'!$AD$246,FALSE)</f>
        <v>2586.5900673759347</v>
      </c>
      <c r="E55" s="426">
        <f>VLOOKUP($E$38,'MP (2011)'!$A$14:$AR$245,'MP (2011)'!$AD$246,FALSE)</f>
        <v>2993.4569557274117</v>
      </c>
      <c r="F55" s="427">
        <f>VLOOKUP($F$38,'MP (2011)'!$A$14:$AR$245,'MP (2011)'!$AD$246,FALSE)</f>
        <v>3009.2372</v>
      </c>
      <c r="J55" s="139"/>
    </row>
    <row r="56" spans="2:23">
      <c r="B56" s="111" t="s">
        <v>184</v>
      </c>
      <c r="C56" s="425">
        <f>VLOOKUP($C$38,'MP (2011)'!$A$14:$AR$245,'MP (2011)'!$AH$246,FALSE)</f>
        <v>2257.3160798095291</v>
      </c>
      <c r="D56" s="426">
        <f>VLOOKUP($D$38,'MP (2011)'!$A$14:$AR$245,'MP (2011)'!$AH$246,FALSE)</f>
        <v>2421.0607992312434</v>
      </c>
      <c r="E56" s="426">
        <f>VLOOKUP($E$38,'MP (2011)'!$A$14:$AR$245,'MP (2011)'!$AH$246,FALSE)</f>
        <v>2004.6854664385219</v>
      </c>
      <c r="F56" s="427">
        <f>VLOOKUP($F$38,'MP (2011)'!$A$14:$AR$245,'MP (2011)'!$AH$246,FALSE)</f>
        <v>2099.9636999999998</v>
      </c>
    </row>
    <row r="57" spans="2:23">
      <c r="B57" s="111" t="s">
        <v>181</v>
      </c>
      <c r="C57" s="425">
        <f>VLOOKUP($C$38,'MP (2011)'!$A$14:$AR$245,'MP (2011)'!$AL$246,FALSE)</f>
        <v>395.31704240540614</v>
      </c>
      <c r="D57" s="426">
        <f>VLOOKUP($D$38,'MP (2011)'!$A$14:$AR$245,'MP (2011)'!$AL$246,FALSE)</f>
        <v>420.512703768275</v>
      </c>
      <c r="E57" s="426">
        <f>VLOOKUP($E$38,'MP (2011)'!$A$14:$AR$245,'MP (2011)'!$AL$246,FALSE)</f>
        <v>460.29469756945372</v>
      </c>
      <c r="F57" s="427">
        <f>VLOOKUP($F$38,'MP (2011)'!$A$14:$AR$245,'MP (2011)'!$AL$246,FALSE)</f>
        <v>459.84805</v>
      </c>
      <c r="W57" s="139"/>
    </row>
    <row r="58" spans="2:23">
      <c r="B58" s="147" t="s">
        <v>248</v>
      </c>
      <c r="C58" s="428">
        <f>SUM(C54:C57)</f>
        <v>14896.089953414501</v>
      </c>
      <c r="D58" s="428">
        <f>SUM(D54:D57)</f>
        <v>15165.116954108033</v>
      </c>
      <c r="E58" s="428">
        <f>SUM(E54:E57)</f>
        <v>15628.934868111879</v>
      </c>
      <c r="F58" s="429">
        <f>SUM(F54:F57)</f>
        <v>16254.33395</v>
      </c>
    </row>
    <row r="59" spans="2:23">
      <c r="B59" s="103" t="s">
        <v>302</v>
      </c>
    </row>
    <row r="60" spans="2:23">
      <c r="B60" s="137" t="str">
        <f>$B$2</f>
        <v>Electricity Invercargill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100.3495519262934</v>
      </c>
      <c r="E61" s="422">
        <f t="shared" si="1"/>
        <v>104.81768287214666</v>
      </c>
      <c r="F61" s="423">
        <f t="shared" si="1"/>
        <v>110.12310726948358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101.81739472157044</v>
      </c>
      <c r="E62" s="422">
        <f t="shared" si="1"/>
        <v>117.83312411484295</v>
      </c>
      <c r="F62" s="423">
        <f t="shared" si="1"/>
        <v>118.45429071567773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107.25395618656697</v>
      </c>
      <c r="E63" s="422">
        <f t="shared" si="1"/>
        <v>88.80836336432229</v>
      </c>
      <c r="F63" s="423">
        <f t="shared" si="1"/>
        <v>93.029227000287591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106.37353280029606</v>
      </c>
      <c r="E64" s="422">
        <f t="shared" si="1"/>
        <v>116.43684642804031</v>
      </c>
      <c r="F64" s="423">
        <f t="shared" si="1"/>
        <v>116.32386177988651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101.80602427573193</v>
      </c>
      <c r="E65" s="424">
        <f t="shared" si="1"/>
        <v>104.91971327367955</v>
      </c>
      <c r="F65" s="416">
        <f t="shared" si="1"/>
        <v>109.11812429189958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Electricity Invercargill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621.19310074704504</v>
      </c>
      <c r="D70" s="433">
        <f>(D54/D98)*1000</f>
        <v>621.41511160460652</v>
      </c>
      <c r="E70" s="433">
        <f>(E54/E98)*1000</f>
        <v>646.03301457006228</v>
      </c>
      <c r="F70" s="434">
        <f>(F54/F98)*1000</f>
        <v>676.19826604227308</v>
      </c>
    </row>
    <row r="71" spans="2:40">
      <c r="B71" s="111" t="s">
        <v>180</v>
      </c>
      <c r="C71" s="433">
        <f>(C55/C99)*1000</f>
        <v>2163.9017014742103</v>
      </c>
      <c r="D71" s="433">
        <f t="shared" ref="C71:F73" si="2">(D55/D99)*1000</f>
        <v>2094.4049128550078</v>
      </c>
      <c r="E71" s="433">
        <f t="shared" si="2"/>
        <v>2427.7834190814369</v>
      </c>
      <c r="F71" s="434">
        <f t="shared" si="2"/>
        <v>2432.6897332255453</v>
      </c>
    </row>
    <row r="72" spans="2:40">
      <c r="B72" s="111" t="s">
        <v>184</v>
      </c>
      <c r="C72" s="433">
        <f>(C56/C100)*1000</f>
        <v>10597.728074223141</v>
      </c>
      <c r="D72" s="433">
        <f t="shared" si="2"/>
        <v>11156.96220843891</v>
      </c>
      <c r="E72" s="433">
        <f t="shared" si="2"/>
        <v>9238.1818729885799</v>
      </c>
      <c r="F72" s="434">
        <f t="shared" si="2"/>
        <v>9459.2959459459453</v>
      </c>
    </row>
    <row r="73" spans="2:40">
      <c r="B73" s="115" t="s">
        <v>181</v>
      </c>
      <c r="C73" s="435">
        <f t="shared" si="2"/>
        <v>79063.40848108122</v>
      </c>
      <c r="D73" s="435">
        <f t="shared" si="2"/>
        <v>84102.540753655005</v>
      </c>
      <c r="E73" s="435">
        <f t="shared" si="2"/>
        <v>92058.939513890742</v>
      </c>
      <c r="F73" s="436">
        <f t="shared" si="2"/>
        <v>91969.61</v>
      </c>
    </row>
    <row r="74" spans="2:40">
      <c r="B74" s="103" t="s">
        <v>303</v>
      </c>
    </row>
    <row r="75" spans="2:40">
      <c r="B75" s="137" t="str">
        <f>$B$2</f>
        <v>Electricity Invercargill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100.0357394274493</v>
      </c>
      <c r="E76" s="422">
        <f t="shared" si="3"/>
        <v>103.99874270869151</v>
      </c>
      <c r="F76" s="423">
        <f t="shared" si="3"/>
        <v>108.85476114095263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96.788357411436195</v>
      </c>
      <c r="E77" s="422">
        <f t="shared" si="3"/>
        <v>112.1947183380581</v>
      </c>
      <c r="F77" s="423">
        <f t="shared" si="3"/>
        <v>112.42145295085339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105.27692473612333</v>
      </c>
      <c r="E78" s="422">
        <f t="shared" si="3"/>
        <v>87.171342841477639</v>
      </c>
      <c r="F78" s="423">
        <f t="shared" si="3"/>
        <v>89.257771851627282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106.37353280029609</v>
      </c>
      <c r="E79" s="424">
        <f t="shared" si="3"/>
        <v>116.43684642804031</v>
      </c>
      <c r="F79" s="416">
        <f t="shared" si="3"/>
        <v>116.32386177988651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Electricity Invercargill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6.8648270397394695</v>
      </c>
      <c r="D84" s="437">
        <f>(D54/VLOOKUP($D$38,'MP (2011)'!$A$14:$AR$245,'MP (2011)'!$AA$246,FALSE)*100)</f>
        <v>6.587130067475333</v>
      </c>
      <c r="E84" s="437">
        <f>(E54/VLOOKUP($E$38,'MP (2011)'!$A$14:$AR$245,'MP (2011)'!$AA$246,FALSE)*100)</f>
        <v>6.730965584461436</v>
      </c>
      <c r="F84" s="438">
        <f>(F54/VLOOKUP($F$38,'MP (2011)'!$A$14:$AR$245,'MP (2011)'!$AA$246,FALSE)*100)</f>
        <v>7.090226683464226</v>
      </c>
    </row>
    <row r="85" spans="2:7">
      <c r="B85" s="111" t="s">
        <v>180</v>
      </c>
      <c r="C85" s="430">
        <f>(C55/VLOOKUP($C$38,'MP (2011)'!$A$14:$AR$245,'MP (2011)'!$AE$246,FALSE)*100)</f>
        <v>6.4210903393394458</v>
      </c>
      <c r="D85" s="437">
        <f>(D55/VLOOKUP($D$38,'MP (2011)'!$A$14:$AR$245,'MP (2011)'!$AE$246,FALSE)*100)</f>
        <v>6.4279546857920256</v>
      </c>
      <c r="E85" s="437">
        <f>(E55/VLOOKUP($E$38,'MP (2011)'!$A$14:$AR$245,'MP (2011)'!$AE$246,FALSE)*100)</f>
        <v>6.0469232146213328</v>
      </c>
      <c r="F85" s="438">
        <f>(F55/VLOOKUP($F$38,'MP (2011)'!$A$14:$AR$245,'MP (2011)'!$AE$246,FALSE)*100)</f>
        <v>6.0733442717569597</v>
      </c>
    </row>
    <row r="86" spans="2:7">
      <c r="B86" s="111" t="s">
        <v>184</v>
      </c>
      <c r="C86" s="430">
        <f>(C56/VLOOKUP($C$38,'MP (2011)'!$A$14:$AR$245,'MP (2011)'!$AI$246,FALSE)*100)</f>
        <v>3.1888216497389363</v>
      </c>
      <c r="D86" s="437">
        <f>(D56/VLOOKUP($D$38,'MP (2011)'!$A$14:$AR$245,'MP (2011)'!$AI$246,FALSE)*100)</f>
        <v>3.6917699845522041</v>
      </c>
      <c r="E86" s="437">
        <f>(E56/VLOOKUP($E$38,'MP (2011)'!$A$14:$AR$245,'MP (2011)'!$AI$246,FALSE)*100)</f>
        <v>3.4525968746400841</v>
      </c>
      <c r="F86" s="438">
        <f>(F56/VLOOKUP($F$38,'MP (2011)'!$A$14:$AR$245,'MP (2011)'!$AI$246,FALSE)*100)</f>
        <v>3.665712424497674</v>
      </c>
    </row>
    <row r="87" spans="2:7">
      <c r="B87" s="115" t="s">
        <v>181</v>
      </c>
      <c r="C87" s="431">
        <f>(C57/VLOOKUP($C$38,'MP (2011)'!$A$14:$AR$245,'MP (2011)'!$AM$246,FALSE)*100)</f>
        <v>2.5052882079298691</v>
      </c>
      <c r="D87" s="431">
        <f>(D57/VLOOKUP($D$38,'MP (2011)'!$A$14:$AR$245,'MP (2011)'!$AM$246,FALSE)*100)</f>
        <v>2.6345571391132268</v>
      </c>
      <c r="E87" s="431">
        <f>(E57/VLOOKUP($E$38,'MP (2011)'!$A$14:$AR$245,'MP (2011)'!$AM$246,FALSE)*100)</f>
        <v>2.893382422939021</v>
      </c>
      <c r="F87" s="432">
        <f>(F57/VLOOKUP($F$38,'MP (2011)'!$A$14:$AR$245,'MP (2011)'!$AM$246,FALSE)*100)</f>
        <v>2.8395538155002815</v>
      </c>
    </row>
    <row r="88" spans="2:7">
      <c r="B88" s="103" t="s">
        <v>304</v>
      </c>
    </row>
    <row r="89" spans="2:7">
      <c r="B89" s="137" t="str">
        <f>$B$2</f>
        <v>Electricity Invercargill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95.954785595374943</v>
      </c>
      <c r="E90" s="422">
        <f>IF(ISERROR(E84/$C84),"",(E84/$C84)*100)</f>
        <v>98.05003892300374</v>
      </c>
      <c r="F90" s="423">
        <f>IF(ISERROR(F84/$C84),"",(F84/$C84)*100)</f>
        <v>103.28339872832851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100.10690312843793</v>
      </c>
      <c r="E91" s="422">
        <f t="shared" si="4"/>
        <v>94.172841294168677</v>
      </c>
      <c r="F91" s="423">
        <f t="shared" si="4"/>
        <v>94.584314357765919</v>
      </c>
    </row>
    <row r="92" spans="2:7">
      <c r="B92" s="111" t="s">
        <v>184</v>
      </c>
      <c r="C92" s="422">
        <f t="shared" si="4"/>
        <v>100</v>
      </c>
      <c r="D92" s="422">
        <f t="shared" si="4"/>
        <v>115.77223156567705</v>
      </c>
      <c r="E92" s="422">
        <f t="shared" si="4"/>
        <v>108.27187136423082</v>
      </c>
      <c r="F92" s="423">
        <f t="shared" si="4"/>
        <v>114.95507830605014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105.15984271886121</v>
      </c>
      <c r="E93" s="424">
        <f>IF(ISERROR(E87/$C87),"",(E87/$C87)*100)</f>
        <v>115.49100074716895</v>
      </c>
      <c r="F93" s="416">
        <f>IF(ISERROR(F87/$C87),"",(F87/$C87)*100)</f>
        <v>113.34240134577639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15620</v>
      </c>
      <c r="D98" s="150">
        <f>VLOOKUP($D$38,'MP (2011)'!$A$14:$AR$245,'MP (2011)'!$AB$246,FALSE)</f>
        <v>15669</v>
      </c>
      <c r="E98" s="150">
        <f>VLOOKUP($E$38,'MP (2011)'!$A$14:$AR$245,'MP (2011)'!$AB$246,FALSE)</f>
        <v>15743</v>
      </c>
      <c r="F98" s="151">
        <f>VLOOKUP($F$38,'MP (2011)'!$A$14:$AR$245,'MP (2011)'!$AB$246,FALSE)</f>
        <v>15802</v>
      </c>
    </row>
    <row r="99" spans="2:7">
      <c r="B99" s="155" t="s">
        <v>309</v>
      </c>
      <c r="C99" s="150">
        <f>VLOOKUP($C$38,'MP (2011)'!$A$14:$AR$245,'MP (2011)'!$AF$246,FALSE)</f>
        <v>1174</v>
      </c>
      <c r="D99" s="150">
        <f>VLOOKUP($D$38,'MP (2011)'!$A$14:$AR$245,'MP (2011)'!$AF$246,FALSE)</f>
        <v>1235</v>
      </c>
      <c r="E99" s="150">
        <f>VLOOKUP($E$38,'MP (2011)'!$A$14:$AR$245,'MP (2011)'!$AF$246,FALSE)</f>
        <v>1233</v>
      </c>
      <c r="F99" s="151">
        <f>VLOOKUP($F$38,'MP (2011)'!$A$14:$AR$245,'MP (2011)'!$AF$246,FALSE)</f>
        <v>1237</v>
      </c>
    </row>
    <row r="100" spans="2:7">
      <c r="B100" s="155" t="s">
        <v>310</v>
      </c>
      <c r="C100" s="150">
        <f>VLOOKUP($C$38,'MP (2011)'!$A$14:$AR$245,'MP (2011)'!$AJ$246,FALSE)</f>
        <v>213</v>
      </c>
      <c r="D100" s="150">
        <f>VLOOKUP($D$38,'MP (2011)'!$A$14:$AR$245,'MP (2011)'!$AJ$246,FALSE)</f>
        <v>217</v>
      </c>
      <c r="E100" s="150">
        <f>VLOOKUP($E$38,'MP (2011)'!$A$14:$AR$245,'MP (2011)'!$AJ$246,FALSE)</f>
        <v>217</v>
      </c>
      <c r="F100" s="151">
        <f>VLOOKUP($F$38,'MP (2011)'!$A$14:$AR$245,'MP (2011)'!$AJ$246,FALSE)</f>
        <v>222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17012</v>
      </c>
      <c r="D102" s="152">
        <f>SUM(D98:D101)</f>
        <v>17126</v>
      </c>
      <c r="E102" s="152">
        <f>SUM(E98:E101)</f>
        <v>17198</v>
      </c>
      <c r="F102" s="157">
        <f>SUM(F98:F101)</f>
        <v>17266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100.31370038412292</v>
      </c>
      <c r="E105" s="422">
        <f t="shared" si="5"/>
        <v>100.78745198463508</v>
      </c>
      <c r="F105" s="423">
        <f t="shared" si="5"/>
        <v>101.1651728553137</v>
      </c>
    </row>
    <row r="106" spans="2:7">
      <c r="B106" s="111" t="s">
        <v>180</v>
      </c>
      <c r="C106" s="422">
        <f t="shared" si="5"/>
        <v>100</v>
      </c>
      <c r="D106" s="422">
        <f t="shared" si="5"/>
        <v>105.19591141396933</v>
      </c>
      <c r="E106" s="422">
        <f t="shared" si="5"/>
        <v>105.02555366269166</v>
      </c>
      <c r="F106" s="423">
        <f t="shared" si="5"/>
        <v>105.36626916524703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101.87793427230048</v>
      </c>
      <c r="E107" s="422">
        <f t="shared" si="5"/>
        <v>101.87793427230048</v>
      </c>
      <c r="F107" s="423">
        <f t="shared" si="5"/>
        <v>104.22535211267605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Electricity Invercargill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141344.22</v>
      </c>
      <c r="D113" s="150">
        <f>VLOOKUP($D$38,'MP (2011)'!$A$14:$AR$245,'MP (2011)'!$AA$246,FALSE)</f>
        <v>147817.84</v>
      </c>
      <c r="E113" s="150">
        <f>VLOOKUP($E$38,'MP (2011)'!$A$14:$AR$245,'MP (2011)'!$AA$246,FALSE)</f>
        <v>151100.13</v>
      </c>
      <c r="F113" s="151">
        <f>VLOOKUP($F$38,'MP (2011)'!$A$14:$AR$245,'MP (2011)'!$AA$246,FALSE)</f>
        <v>150704.42000000001</v>
      </c>
    </row>
    <row r="114" spans="2:7">
      <c r="B114" s="155" t="s">
        <v>309</v>
      </c>
      <c r="C114" s="150">
        <f>VLOOKUP($C$38,'MP (2011)'!$A$14:$AR$245,'MP (2011)'!$AE$246,FALSE)</f>
        <v>39563.695</v>
      </c>
      <c r="D114" s="150">
        <f>VLOOKUP($D$38,'MP (2011)'!$A$14:$AR$245,'MP (2011)'!$AE$246,FALSE)</f>
        <v>40239.705999999998</v>
      </c>
      <c r="E114" s="150">
        <f>VLOOKUP($E$38,'MP (2011)'!$A$14:$AR$245,'MP (2011)'!$AE$246,FALSE)</f>
        <v>49503.803</v>
      </c>
      <c r="F114" s="151">
        <f>VLOOKUP($F$38,'MP (2011)'!$A$14:$AR$245,'MP (2011)'!$AE$246,FALSE)</f>
        <v>49548.273000000001</v>
      </c>
    </row>
    <row r="115" spans="2:7">
      <c r="B115" s="155" t="s">
        <v>310</v>
      </c>
      <c r="C115" s="150">
        <f>VLOOKUP($C$38,'MP (2011)'!$A$14:$AR$245,'MP (2011)'!$AI$246,FALSE)</f>
        <v>70788.407999999996</v>
      </c>
      <c r="D115" s="150">
        <f>VLOOKUP($D$38,'MP (2011)'!$A$14:$AR$245,'MP (2011)'!$AI$246,FALSE)</f>
        <v>65579.947</v>
      </c>
      <c r="E115" s="150">
        <f>VLOOKUP($E$38,'MP (2011)'!$A$14:$AR$245,'MP (2011)'!$AI$246,FALSE)</f>
        <v>58063.12</v>
      </c>
      <c r="F115" s="151">
        <f>VLOOKUP($F$38,'MP (2011)'!$A$14:$AR$245,'MP (2011)'!$AI$246,FALSE)</f>
        <v>57286.646000000001</v>
      </c>
    </row>
    <row r="116" spans="2:7">
      <c r="B116" s="155" t="s">
        <v>311</v>
      </c>
      <c r="C116" s="150">
        <f>VLOOKUP($C$38,'MP (2011)'!$A$14:$AR$245,'MP (2011)'!$AM$246,FALSE)</f>
        <v>15779.304</v>
      </c>
      <c r="D116" s="150">
        <f>VLOOKUP($D$38,'MP (2011)'!$A$14:$AR$245,'MP (2011)'!$AM$246,FALSE)</f>
        <v>15961.419</v>
      </c>
      <c r="E116" s="150">
        <f>VLOOKUP($E$38,'MP (2011)'!$A$14:$AR$245,'MP (2011)'!$AM$246,FALSE)</f>
        <v>15908.532999999999</v>
      </c>
      <c r="F116" s="151">
        <f>VLOOKUP($F$38,'MP (2011)'!$A$14:$AR$245,'MP (2011)'!$AM$246,FALSE)</f>
        <v>16194.377</v>
      </c>
    </row>
    <row r="117" spans="2:7">
      <c r="B117" s="147" t="s">
        <v>254</v>
      </c>
      <c r="C117" s="158">
        <f>SUM(C113:C116)</f>
        <v>267475.62699999998</v>
      </c>
      <c r="D117" s="158">
        <f>SUM(D113:D116)</f>
        <v>269598.91200000001</v>
      </c>
      <c r="E117" s="158">
        <f>SUM(E113:E116)</f>
        <v>274575.58600000001</v>
      </c>
      <c r="F117" s="159">
        <f>SUM(F113:F116)</f>
        <v>273733.71600000001</v>
      </c>
    </row>
    <row r="118" spans="2:7">
      <c r="B118" s="103" t="s">
        <v>306</v>
      </c>
    </row>
    <row r="119" spans="2:7">
      <c r="B119" s="137" t="str">
        <f>$B$2</f>
        <v>Electricity Invercargill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104.58003871682902</v>
      </c>
      <c r="E120" s="422">
        <f t="shared" si="6"/>
        <v>106.90223484200484</v>
      </c>
      <c r="F120" s="423">
        <f t="shared" si="6"/>
        <v>106.62227291643053</v>
      </c>
    </row>
    <row r="121" spans="2:7">
      <c r="B121" s="111" t="s">
        <v>180</v>
      </c>
      <c r="C121" s="422">
        <f t="shared" si="6"/>
        <v>100</v>
      </c>
      <c r="D121" s="422">
        <f t="shared" si="6"/>
        <v>101.70866497681776</v>
      </c>
      <c r="E121" s="422">
        <f t="shared" si="6"/>
        <v>125.12431662411714</v>
      </c>
      <c r="F121" s="423">
        <f t="shared" si="6"/>
        <v>125.23671765238309</v>
      </c>
    </row>
    <row r="122" spans="2:7">
      <c r="B122" s="111" t="s">
        <v>184</v>
      </c>
      <c r="C122" s="422">
        <f t="shared" si="6"/>
        <v>100</v>
      </c>
      <c r="D122" s="422">
        <f t="shared" si="6"/>
        <v>92.642211984764515</v>
      </c>
      <c r="E122" s="422">
        <f t="shared" si="6"/>
        <v>82.023486105239158</v>
      </c>
      <c r="F122" s="423">
        <f t="shared" si="6"/>
        <v>80.926591822774157</v>
      </c>
    </row>
    <row r="123" spans="2:7">
      <c r="B123" s="115" t="s">
        <v>181</v>
      </c>
      <c r="C123" s="424">
        <f t="shared" si="6"/>
        <v>100</v>
      </c>
      <c r="D123" s="424">
        <f t="shared" si="6"/>
        <v>101.15413835743325</v>
      </c>
      <c r="E123" s="424">
        <f t="shared" si="6"/>
        <v>100.81897782056799</v>
      </c>
      <c r="F123" s="416">
        <f t="shared" si="6"/>
        <v>102.63048991260959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Electricity Invercargill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15271.268284337486</v>
      </c>
      <c r="D128" s="433">
        <f>VLOOKUP($D$38,'FS (2011)'!$A$13:$AH$244,'FS (2011)'!$I$245,FALSE)</f>
        <v>15370.028416500785</v>
      </c>
      <c r="E128" s="433">
        <f>VLOOKUP($E$38,'FS (2011)'!$A$13:$AH$244,'FS (2011)'!$I$245,FALSE)</f>
        <v>15853.078602031741</v>
      </c>
      <c r="F128" s="440">
        <f>VLOOKUP($F$38,'FS (2011)'!$A$13:$AH$244,'FS (2011)'!$I$245,FALSE)</f>
        <v>16381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1805.3887423512301</v>
      </c>
      <c r="D129" s="433">
        <f>VLOOKUP($D$38,'FS (2011)'!$A$13:$AH$244,'FS (2011)'!$Y$245,FALSE)+VLOOKUP($D$38,'FS (2011)'!$A$13:$AH$244,'FS (2011)'!$Z$245,FALSE)</f>
        <v>1595.7365722836155</v>
      </c>
      <c r="E129" s="433">
        <f>VLOOKUP($E$38,'FS (2011)'!$A$13:$AH$244,'FS (2011)'!$Y$245,FALSE)+VLOOKUP($E$38,'FS (2011)'!$A$13:$AH$244,'FS (2011)'!$Z$245,FALSE)</f>
        <v>1131.5899997574843</v>
      </c>
      <c r="F129" s="440">
        <f>VLOOKUP($F$38,'FS (2011)'!$A$13:$AH$244,'FS (2011)'!$Y$245,FALSE)+VLOOKUP($F$38,'FS (2011)'!$A$13:$AH$244,'FS (2011)'!$Z$245,FALSE)</f>
        <v>2515.4398999999999</v>
      </c>
      <c r="G129" s="121"/>
    </row>
    <row r="130" spans="1:30">
      <c r="B130" s="162" t="s">
        <v>191</v>
      </c>
      <c r="C130" s="441">
        <f>VLOOKUP($C$38,'FS (2011)'!$A$13:$AH$244,'FS (2011)'!$J$245,FALSE)</f>
        <v>3649.3641470160528</v>
      </c>
      <c r="D130" s="433">
        <f>VLOOKUP($D$38,'FS (2011)'!$A$13:$AH$244,'FS (2011)'!$J$245,FALSE)</f>
        <v>4043.3784062049544</v>
      </c>
      <c r="E130" s="433">
        <f>VLOOKUP($E$38,'FS (2011)'!$A$13:$AH$244,'FS (2011)'!$J$245,FALSE)</f>
        <v>4107.9442752822606</v>
      </c>
      <c r="F130" s="440">
        <f>VLOOKUP($F$38,'FS (2011)'!$A$13:$AH$244,'FS (2011)'!$J$245,FALSE)</f>
        <v>4338</v>
      </c>
    </row>
    <row r="131" spans="1:30">
      <c r="B131" s="162" t="s">
        <v>182</v>
      </c>
      <c r="C131" s="441">
        <f>VLOOKUP($C$38,'FS (2011)'!$A$13:$AH$244,'FS (2011)'!$S$245,FALSE)</f>
        <v>3584.6782241738188</v>
      </c>
      <c r="D131" s="433">
        <f>VLOOKUP($D$38,'FS (2011)'!$A$13:$AH$244,'FS (2011)'!$S$245,FALSE)</f>
        <v>3917.7689614935812</v>
      </c>
      <c r="E131" s="433">
        <f>VLOOKUP($E$38,'FS (2011)'!$A$13:$AH$244,'FS (2011)'!$S$245,FALSE)</f>
        <v>4501.21473417585</v>
      </c>
      <c r="F131" s="440">
        <f>VLOOKUP($F$38,'FS (2011)'!$A$13:$AH$244,'FS (2011)'!$S$245,FALSE)</f>
        <v>4732</v>
      </c>
      <c r="I131" s="139"/>
    </row>
    <row r="132" spans="1:30">
      <c r="B132" s="162" t="s">
        <v>143</v>
      </c>
      <c r="C132" s="441">
        <f>VLOOKUP($C$38,'FS (2011)'!$A$13:$AH$244,'FS (2011)'!$U$245,FALSE)</f>
        <v>2160.5098229306263</v>
      </c>
      <c r="D132" s="433">
        <f>VLOOKUP($D$38,'FS (2011)'!$A$13:$AH$244,'FS (2011)'!$U$245,FALSE)</f>
        <v>2320.1413961150379</v>
      </c>
      <c r="E132" s="433">
        <f>VLOOKUP($E$38,'FS (2011)'!$A$13:$AH$244,'FS (2011)'!$U$245,FALSE)</f>
        <v>2288.3042763601084</v>
      </c>
      <c r="F132" s="440">
        <f>VLOOKUP($F$38,'FS (2011)'!$A$13:$AH$244,'FS (2011)'!$U$245,FALSE)</f>
        <v>2439</v>
      </c>
    </row>
    <row r="133" spans="1:30">
      <c r="B133" s="162" t="s">
        <v>196</v>
      </c>
      <c r="C133" s="441">
        <f>VLOOKUP($C$38,'FS (2011)'!$A$13:$AH$244,'FS (2011)'!$X$245,FALSE)</f>
        <v>1365.4708855179492</v>
      </c>
      <c r="D133" s="433">
        <f>VLOOKUP($D$38,'FS (2011)'!$A$13:$AH$244,'FS (2011)'!$X$245,FALSE)</f>
        <v>1087.7417693184154</v>
      </c>
      <c r="E133" s="433">
        <f>VLOOKUP($E$38,'FS (2011)'!$A$13:$AH$244,'FS (2011)'!$X$245,FALSE)</f>
        <v>1097.8224329174639</v>
      </c>
      <c r="F133" s="440">
        <f>VLOOKUP($F$38,'FS (2011)'!$A$13:$AH$244,'FS (2011)'!$X$245,FALSE)</f>
        <v>1000.9333</v>
      </c>
    </row>
    <row r="134" spans="1:30">
      <c r="B134" s="164" t="s">
        <v>258</v>
      </c>
      <c r="C134" s="442">
        <f>VLOOKUP($C$38,'FS (2011)'!$A$13:$AH$244,'FS (2011)'!$AA$245,FALSE)</f>
        <v>6316.6339470502689</v>
      </c>
      <c r="D134" s="435">
        <f>VLOOKUP($D$38,'FS (2011)'!$A$13:$AH$244,'FS (2011)'!$AA$245,FALSE)</f>
        <v>5596.7345594618691</v>
      </c>
      <c r="E134" s="435">
        <f>VLOOKUP($E$38,'FS (2011)'!$A$13:$AH$244,'FS (2011)'!$AA$245,FALSE)</f>
        <v>4989.3828830535413</v>
      </c>
      <c r="F134" s="443">
        <f>VLOOKUP($F$38,'FS (2011)'!$A$13:$AH$244,'FS (2011)'!$AA$245,FALSE)</f>
        <v>6386.5065999999997</v>
      </c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2</v>
      </c>
      <c r="B138" s="166" t="s">
        <v>204</v>
      </c>
      <c r="C138" s="167"/>
      <c r="D138" s="444">
        <f>VLOOKUP($D$6,'FS (2011)'!$A$13:$AH$244,'FS (2011)'!$L$245,FALSE)</f>
        <v>1081</v>
      </c>
      <c r="E138" s="446">
        <f t="shared" ref="E138:E144" si="7">D138/$D$145</f>
        <v>0.22844463229078613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2002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1</v>
      </c>
      <c r="B139" s="162" t="s">
        <v>199</v>
      </c>
      <c r="C139" s="121"/>
      <c r="D139" s="441">
        <f>VLOOKUP($D$6,'FS (2011)'!$A$13:$AH$244,'FS (2011)'!K245,FALSE)</f>
        <v>2002</v>
      </c>
      <c r="E139" s="414">
        <f t="shared" si="7"/>
        <v>0.42307692307692307</v>
      </c>
      <c r="Q139" s="559"/>
      <c r="R139" s="559"/>
      <c r="S139" s="559"/>
      <c r="T139" s="559">
        <v>2</v>
      </c>
      <c r="U139" s="559" t="str">
        <f t="shared" ref="U139:U144" si="9">VLOOKUP(T139,$A$138:$E$144,2,FALSE)</f>
        <v>System management and operations</v>
      </c>
      <c r="V139" s="559">
        <f t="shared" ref="V139:V144" si="10">VLOOKUP(T139,$A$138:$E$144,4,FALSE)</f>
        <v>1081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3</v>
      </c>
      <c r="B140" s="162" t="s">
        <v>201</v>
      </c>
      <c r="C140" s="121"/>
      <c r="D140" s="441">
        <f>VLOOKUP($D$6,'FS (2011)'!$A$13:$AH$244,'FS (2011)'!M245,FALSE)</f>
        <v>565</v>
      </c>
      <c r="E140" s="414">
        <f t="shared" si="7"/>
        <v>0.11939983093829247</v>
      </c>
      <c r="Q140" s="559"/>
      <c r="R140" s="559"/>
      <c r="S140" s="559"/>
      <c r="T140" s="559">
        <v>3</v>
      </c>
      <c r="U140" s="559" t="str">
        <f t="shared" si="9"/>
        <v>Routine and preventative maintenance</v>
      </c>
      <c r="V140" s="559">
        <f t="shared" si="10"/>
        <v>565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5</v>
      </c>
      <c r="B141" s="162" t="s">
        <v>202</v>
      </c>
      <c r="C141" s="121"/>
      <c r="D141" s="441">
        <f>VLOOKUP($D$6,'FS (2011)'!$A$13:$AH$244,'FS (2011)'!N245,FALSE)</f>
        <v>253</v>
      </c>
      <c r="E141" s="414">
        <f t="shared" si="7"/>
        <v>5.3465765004226541E-2</v>
      </c>
      <c r="Q141" s="559"/>
      <c r="R141" s="559"/>
      <c r="S141" s="559"/>
      <c r="T141" s="559">
        <v>4</v>
      </c>
      <c r="U141" s="559" t="str">
        <f t="shared" si="9"/>
        <v>Fault and emergency maintenance</v>
      </c>
      <c r="V141" s="559">
        <f t="shared" si="10"/>
        <v>464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4</v>
      </c>
      <c r="B142" s="162" t="s">
        <v>203</v>
      </c>
      <c r="C142" s="121"/>
      <c r="D142" s="441">
        <f>VLOOKUP($D$6,'FS (2011)'!$A$13:$AH$244,'FS (2011)'!O245,FALSE)</f>
        <v>464</v>
      </c>
      <c r="E142" s="414">
        <f t="shared" si="7"/>
        <v>9.8055790363482664E-2</v>
      </c>
      <c r="Q142" s="559"/>
      <c r="R142" s="559"/>
      <c r="S142" s="559"/>
      <c r="T142" s="559">
        <v>5</v>
      </c>
      <c r="U142" s="559" t="str">
        <f t="shared" si="9"/>
        <v>Refurbishment and renewal maintenance</v>
      </c>
      <c r="V142" s="559">
        <f t="shared" si="10"/>
        <v>253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8"/>
        <v>6</v>
      </c>
      <c r="B143" s="162" t="s">
        <v>13</v>
      </c>
      <c r="C143" s="121"/>
      <c r="D143" s="441">
        <f>VLOOKUP($D$6,'FS (2011)'!$A$13:$AH$244,'FS (2011)'!R245,FALSE)</f>
        <v>222</v>
      </c>
      <c r="E143" s="414">
        <f t="shared" si="7"/>
        <v>4.6914623837700759E-2</v>
      </c>
      <c r="Q143" s="559"/>
      <c r="R143" s="559"/>
      <c r="S143" s="559"/>
      <c r="T143" s="559">
        <v>6</v>
      </c>
      <c r="U143" s="559" t="str">
        <f t="shared" si="9"/>
        <v>Other</v>
      </c>
      <c r="V143" s="559">
        <f t="shared" si="10"/>
        <v>222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7</v>
      </c>
      <c r="B144" s="162" t="s">
        <v>200</v>
      </c>
      <c r="C144" s="121"/>
      <c r="D144" s="441">
        <f>VLOOKUP($D$6,'FS (2011)'!$A$13:$AH$244,'FS (2011)'!P245,FALSE)</f>
        <v>145</v>
      </c>
      <c r="E144" s="414">
        <f t="shared" si="7"/>
        <v>3.0642434488588336E-2</v>
      </c>
      <c r="Q144" s="559"/>
      <c r="R144" s="559"/>
      <c r="S144" s="559"/>
      <c r="T144" s="559">
        <v>7</v>
      </c>
      <c r="U144" s="559" t="str">
        <f t="shared" si="9"/>
        <v>Pass-through costs</v>
      </c>
      <c r="V144" s="559">
        <f t="shared" si="10"/>
        <v>145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4732</v>
      </c>
      <c r="E145" s="447">
        <f>SUM(E138:E144)</f>
        <v>0.99999999999999989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1.1543404920374012</v>
      </c>
      <c r="F149" s="455">
        <f>(VLOOKUP(F$38,'FS (2011)'!$A$13:$AH$244,'FS (2011)'!$M$245,FALSE)+VLOOKUP(F$38,'FS (2011)'!$A$13:$AH$244,'FS (2011)'!$N$245,FALSE)+VLOOKUP(F$38,'FS (2011)'!$A$13:$AH$244,'FS (2011)'!$O$245,FALSE))/1000</f>
        <v>1.282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2.9199822155156148</v>
      </c>
      <c r="F150" s="457">
        <f>(VLOOKUP(F$38,'FS (2011)'!$A$13:$AH$244,'FS (2011)'!$L$245,FALSE)+VLOOKUP(F$38,'FS (2011)'!$A$13:$AH$244,'FS (2011)'!$K$245,FALSE))/1000</f>
        <v>3.0830000000000002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0.4268920266228341</v>
      </c>
      <c r="F151" s="457">
        <f>(VLOOKUP(F$38,'FS (2011)'!$A$13:$AH$244,'FS (2011)'!$R$245,FALSE)+VLOOKUP(F$38,'FS (2011)'!$A$13:$AH$244,'FS (2011)'!$P$245,FALSE)+VLOOKUP(F$38,'FS (2011)'!$A$13:$AH$244,'FS (2011)'!$Q$245,FALSE))/1000</f>
        <v>0.36699999999999999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3.5846782241738189</v>
      </c>
      <c r="D152" s="458">
        <f>VLOOKUP($D$38,'FS (2011)'!$A$13:$AH$244,'FS (2011)'!$S$245,FALSE)/1000</f>
        <v>3.9177689614935813</v>
      </c>
      <c r="E152" s="459">
        <f>VLOOKUP($E$38,'FS (2011)'!$A$13:$AH$244,'FS (2011)'!$S$245,FALSE)/1000</f>
        <v>4.5012147341758499</v>
      </c>
      <c r="F152" s="460">
        <f>VLOOKUP($F$38,'FS (2011)'!$A$13:$AH$244,'FS (2011)'!$S$245,FALSE)/1000</f>
        <v>4.7320000000000002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0.11059086018656505</v>
      </c>
      <c r="D154" s="464" t="str">
        <f t="shared" ref="D154:E157" si="11">IF(ISERROR(D149/C149 - 1),"",(D149/C149 - 1))</f>
        <v/>
      </c>
      <c r="E154" s="464" t="str">
        <f t="shared" si="11"/>
        <v/>
      </c>
      <c r="F154" s="465">
        <f>IF(ISERROR(F149/E149 - 1),"",(F149/E149 - 1))</f>
        <v>0.11059086018656505</v>
      </c>
      <c r="Q154" s="559"/>
      <c r="R154" s="559" t="s">
        <v>423</v>
      </c>
      <c r="S154" s="559" t="e">
        <f t="shared" ref="S154:V157" si="12">LN(C149)</f>
        <v>#NUM!</v>
      </c>
      <c r="T154" s="559" t="e">
        <f t="shared" si="12"/>
        <v>#NUM!</v>
      </c>
      <c r="U154" s="559">
        <f t="shared" si="12"/>
        <v>0.14352917832468773</v>
      </c>
      <c r="V154" s="559">
        <f t="shared" si="12"/>
        <v>0.24842135849847832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5.5828348411909534E-2</v>
      </c>
      <c r="D155" s="467" t="str">
        <f t="shared" si="11"/>
        <v/>
      </c>
      <c r="E155" s="467" t="str">
        <f t="shared" si="11"/>
        <v/>
      </c>
      <c r="F155" s="468">
        <f>IF(ISERROR(F150/E150 - 1),"",(F150/E150 - 1))</f>
        <v>5.5828348411909534E-2</v>
      </c>
      <c r="Q155" s="559"/>
      <c r="R155" s="559" t="s">
        <v>423</v>
      </c>
      <c r="S155" s="559" t="e">
        <f t="shared" si="12"/>
        <v>#NUM!</v>
      </c>
      <c r="T155" s="559" t="e">
        <f t="shared" si="12"/>
        <v>#NUM!</v>
      </c>
      <c r="U155" s="559">
        <f t="shared" si="12"/>
        <v>1.0715775256847986</v>
      </c>
      <c r="V155" s="559">
        <f t="shared" si="12"/>
        <v>1.1259031489040134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-0.14029783384956418</v>
      </c>
      <c r="D156" s="467" t="str">
        <f t="shared" si="11"/>
        <v/>
      </c>
      <c r="E156" s="467" t="str">
        <f t="shared" si="11"/>
        <v/>
      </c>
      <c r="F156" s="468">
        <f>IF(ISERROR(F151/E151 - 1),"",(F151/E151 - 1))</f>
        <v>-0.14029783384956418</v>
      </c>
      <c r="Q156" s="559"/>
      <c r="R156" s="559" t="s">
        <v>423</v>
      </c>
      <c r="S156" s="559" t="e">
        <f t="shared" si="12"/>
        <v>#NUM!</v>
      </c>
      <c r="T156" s="559" t="e">
        <f t="shared" si="12"/>
        <v>#NUM!</v>
      </c>
      <c r="U156" s="559">
        <f t="shared" si="12"/>
        <v>-0.85122416278118096</v>
      </c>
      <c r="V156" s="559">
        <f t="shared" si="12"/>
        <v>-1.0023934309275668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0.10206563061861629</v>
      </c>
      <c r="D157" s="470">
        <f t="shared" si="11"/>
        <v>9.2920679762416247E-2</v>
      </c>
      <c r="E157" s="470">
        <f t="shared" si="11"/>
        <v>0.14892296570235741</v>
      </c>
      <c r="F157" s="471">
        <f>IF(ISERROR(F152/E152 - 1),"",(F152/E152 - 1))</f>
        <v>5.127177427726215E-2</v>
      </c>
      <c r="N157" s="136"/>
      <c r="O157" s="136"/>
      <c r="Q157" s="559"/>
      <c r="R157" s="559" t="s">
        <v>423</v>
      </c>
      <c r="S157" s="559">
        <f t="shared" si="12"/>
        <v>1.2766687138653281</v>
      </c>
      <c r="T157" s="559">
        <f t="shared" si="12"/>
        <v>1.3655223493031858</v>
      </c>
      <c r="U157" s="559">
        <f t="shared" si="12"/>
        <v>1.5043473012767439</v>
      </c>
      <c r="V157" s="559">
        <f t="shared" si="12"/>
        <v>1.5543479461161405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Electricity Invercargill</v>
      </c>
      <c r="C162" s="456">
        <f>(C152/C102)*1000000</f>
        <v>210.71468517363149</v>
      </c>
      <c r="D162" s="456">
        <f>(D152/D102)*1000000</f>
        <v>228.76147153413416</v>
      </c>
      <c r="E162" s="456">
        <f>(E152/E102)*1000000</f>
        <v>261.728964657277</v>
      </c>
      <c r="F162" s="457">
        <f>(F152/F102)*1000000</f>
        <v>274.06463570022009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Electricity Invercargill</v>
      </c>
      <c r="C165" s="456">
        <f>C152/VLOOKUP(C$38,'MP (2011)'!$A$14:$AR$245,'MP (2011)'!$H$246,FALSE)*1000000</f>
        <v>5584.8920735661886</v>
      </c>
      <c r="D165" s="456">
        <f>D152/VLOOKUP(D$38,'MP (2011)'!$A$14:$AR$245,'MP (2011)'!$H$246,FALSE)*1000000</f>
        <v>6014.3244564983361</v>
      </c>
      <c r="E165" s="456">
        <f>E152/VLOOKUP(E$38,'MP (2011)'!$A$14:$AR$245,'MP (2011)'!$H$246,FALSE)*1000000</f>
        <v>6893.6706459558227</v>
      </c>
      <c r="F165" s="457">
        <f>F152/VLOOKUP(F$38,'MP (2011)'!$A$14:$AR$245,'MP (2011)'!$H$246,FALSE)*1000000</f>
        <v>7232.0331507107421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Electricity Invercargill</v>
      </c>
      <c r="C168" s="456">
        <f>(C152/C117)*1000000</f>
        <v>13.401887358408993</v>
      </c>
      <c r="D168" s="456">
        <f>(D152/D117)*1000000</f>
        <v>14.531842626625961</v>
      </c>
      <c r="E168" s="456">
        <f>(E152/E117)*1000000</f>
        <v>16.393353829265248</v>
      </c>
      <c r="F168" s="457">
        <f>(F152/F117)*1000000</f>
        <v>17.286873057318228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9.6716428934188192E-2</v>
      </c>
      <c r="D171" s="464">
        <f>IF(ISERROR(D162/C162 - 1),"",(D162/C162 - 1))</f>
        <v>8.5645603416923066E-2</v>
      </c>
      <c r="E171" s="464">
        <f>IF(ISERROR(E162/D162 - 1),"",(E162/D162 - 1))</f>
        <v>0.14411296142682684</v>
      </c>
      <c r="F171" s="465">
        <f>IF(ISERROR(F162/E162 - 1),"",(F162/E162 - 1))</f>
        <v>4.7131470752945326E-2</v>
      </c>
      <c r="H171" s="139"/>
      <c r="Q171" s="559"/>
      <c r="R171" s="559" t="s">
        <v>423</v>
      </c>
      <c r="S171" s="559">
        <f>LN(C162)</f>
        <v>5.3505050154560783</v>
      </c>
      <c r="T171" s="559">
        <f>LN(D162)</f>
        <v>5.4326798516813231</v>
      </c>
      <c r="U171" s="559">
        <f>LN(E162)</f>
        <v>5.5673094822701756</v>
      </c>
      <c r="V171" s="559">
        <f>LN(F162)</f>
        <v>5.6133639752849467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9.5468905333963461E-2</v>
      </c>
      <c r="D172" s="467">
        <f>IF(ISERROR(D165/C165 - 1),"",(D165/C165 - 1))</f>
        <v>7.6891796166427495E-2</v>
      </c>
      <c r="E172" s="467">
        <f>IF(ISERROR(E165/D165 - 1),"",(E165/D165 - 1))</f>
        <v>0.1462086383629293</v>
      </c>
      <c r="F172" s="468">
        <f>IF(ISERROR(F165/E165 - 1),"",(F165/E165 - 1))</f>
        <v>4.9083067952110593E-2</v>
      </c>
      <c r="Q172" s="559"/>
      <c r="R172" s="559" t="s">
        <v>423</v>
      </c>
      <c r="S172" s="559">
        <f>LN(C165)</f>
        <v>8.6278203869774952</v>
      </c>
      <c r="T172" s="559">
        <f>LN(D165)</f>
        <v>8.7018993122924719</v>
      </c>
      <c r="U172" s="559">
        <f>LN(E165)</f>
        <v>8.8383589719228066</v>
      </c>
      <c r="V172" s="559">
        <f>LN(F165)</f>
        <v>8.886275485954032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9.244569225726873E-2</v>
      </c>
      <c r="D173" s="470">
        <f>IF(ISERROR(D168/C168 - 1),"",(D168/C168 - 1))</f>
        <v>8.4313144708530796E-2</v>
      </c>
      <c r="E173" s="470">
        <f>IF(ISERROR(E168/D168 - 1),"",(E168/D168 - 1))</f>
        <v>0.12809877250036639</v>
      </c>
      <c r="F173" s="471">
        <f>IF(ISERROR(F168/E168 - 1),"",(F168/E168 - 1))</f>
        <v>5.4504968132748965E-2</v>
      </c>
      <c r="Q173" s="559"/>
      <c r="R173" s="559" t="s">
        <v>423</v>
      </c>
      <c r="S173" s="559">
        <f>LN(C168)</f>
        <v>2.5953955446812298</v>
      </c>
      <c r="T173" s="559">
        <f>LN(D168)</f>
        <v>2.6763422848636225</v>
      </c>
      <c r="U173" s="559">
        <f>LN(E168)</f>
        <v>2.796875998379337</v>
      </c>
      <c r="V173" s="559">
        <f>LN(F168)</f>
        <v>2.8499474306683723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Electricity Invercargill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1154.3404920374012</v>
      </c>
      <c r="X176" s="563">
        <f>D178</f>
        <v>1282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Electricity Invercargill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2030.5389237692325</v>
      </c>
      <c r="X177" s="563">
        <f t="shared" si="14"/>
        <v>2050.9156314839265</v>
      </c>
      <c r="Y177" s="563">
        <f t="shared" si="14"/>
        <v>2007.1057098973347</v>
      </c>
      <c r="Z177" s="563">
        <f t="shared" si="14"/>
        <v>1999.9738621971919</v>
      </c>
      <c r="AA177" s="563">
        <f t="shared" si="14"/>
        <v>1992.8420144970491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1154.3404920374012</v>
      </c>
      <c r="D178" s="461">
        <f>VLOOKUP(F38,'FS (2011)'!$A$14:$T$246,'FS (2011)'!$M$245,FALSE)+VLOOKUP(F38,'FS (2011)'!$A$14:$AO$245,'FS (2011)'!$N$245,FALSE)+VLOOKUP(F38,'FS (2011)'!$A$14:$AO$245,'FS (2011)'!$O$245,FALSE)</f>
        <v>1282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1473</v>
      </c>
      <c r="Y178" s="563">
        <f t="shared" si="14"/>
        <v>1442</v>
      </c>
      <c r="Z178" s="563">
        <f t="shared" si="14"/>
        <v>1432</v>
      </c>
      <c r="AA178" s="563">
        <f t="shared" si="14"/>
        <v>1421</v>
      </c>
      <c r="AB178" s="563">
        <f>H180</f>
        <v>1411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2030.5389237692325</v>
      </c>
      <c r="D179" s="461">
        <f>VLOOKUP(D182,'AM (2011)'!$A$10:$N$444,'AM (2011)'!$N$445,FALSE)</f>
        <v>2050.9156314839265</v>
      </c>
      <c r="E179" s="461">
        <f>VLOOKUP(E182,'AM (2011)'!$A$10:$N$444,'AM (2011)'!$N$445,FALSE)</f>
        <v>2007.1057098973347</v>
      </c>
      <c r="F179" s="461">
        <f>VLOOKUP(F182,'AM (2011)'!$A$10:$N$444,'AM (2011)'!$N$445,FALSE)</f>
        <v>1999.9738621971919</v>
      </c>
      <c r="G179" s="461">
        <f>VLOOKUP(G182,'AM (2011)'!$A$10:$N$444,'AM (2011)'!$N$445,FALSE)</f>
        <v>1992.8420144970491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1581.8120232708468</v>
      </c>
      <c r="Z179" s="563">
        <f>F181</f>
        <v>1562.2593406593405</v>
      </c>
      <c r="AA179" s="563">
        <f>G181</f>
        <v>1569.1027795733678</v>
      </c>
      <c r="AB179" s="563">
        <f>H181</f>
        <v>1562.2593406593405</v>
      </c>
      <c r="AC179" s="563">
        <f>I181</f>
        <v>1562.2593406593405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1473</v>
      </c>
      <c r="E180" s="461">
        <f>VLOOKUP(E183,'AM (2011)'!$A$10:$N$444,'AM (2011)'!$N$445,FALSE)</f>
        <v>1442</v>
      </c>
      <c r="F180" s="461">
        <f>VLOOKUP(F183,'AM (2011)'!$A$10:$N$444,'AM (2011)'!$N$445,FALSE)</f>
        <v>1432</v>
      </c>
      <c r="G180" s="461">
        <f>VLOOKUP(G183,'AM (2011)'!$A$10:$N$444,'AM (2011)'!$N$445,FALSE)</f>
        <v>1421</v>
      </c>
      <c r="H180" s="461">
        <f>VLOOKUP(H183,'AM (2011)'!$A$10:$N$444,'AM (2011)'!$N$445,FALSE)</f>
        <v>1411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1581.8120232708468</v>
      </c>
      <c r="F181" s="493">
        <f>VLOOKUP(F184,'AM (2011)'!$A$10:$N$444,'AM (2011)'!$N$445,FALSE)</f>
        <v>1562.2593406593405</v>
      </c>
      <c r="G181" s="493">
        <f>VLOOKUP(G184,'AM (2011)'!$A$10:$N$444,'AM (2011)'!$N$445,FALSE)</f>
        <v>1569.1027795733678</v>
      </c>
      <c r="H181" s="493">
        <f>VLOOKUP(H184,'AM (2011)'!$A$10:$N$444,'AM (2011)'!$N$445,FALSE)</f>
        <v>1562.2593406593405</v>
      </c>
      <c r="I181" s="494">
        <f>VLOOKUP(I184,'AM (2011)'!$A$10:$N$444,'AM (2011)'!$N$445,FALSE)</f>
        <v>1562.2593406593405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193</v>
      </c>
      <c r="D182" s="136">
        <f>VLOOKUP($B$2,$B$257:$Y$286,11,FALSE)</f>
        <v>194</v>
      </c>
      <c r="E182" s="136">
        <f>VLOOKUP($B$2,$B$257:$Y$286,12,FALSE)</f>
        <v>195</v>
      </c>
      <c r="F182" s="136">
        <f>VLOOKUP($B$2,$B$257:$Y$286,13,FALSE)</f>
        <v>196</v>
      </c>
      <c r="G182" s="136">
        <f>VLOOKUP($B$2,$B$257:$Y$286,14,FALSE)</f>
        <v>197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198</v>
      </c>
      <c r="E183" s="136">
        <f>VLOOKUP($B$2,$B$257:$Y$286,16,FALSE)</f>
        <v>199</v>
      </c>
      <c r="F183" s="136">
        <f>VLOOKUP($B$2,$B$257:$Y$286,17,FALSE)</f>
        <v>200</v>
      </c>
      <c r="G183" s="136">
        <f>VLOOKUP($B$2,$B$257:$Y$286,18,FALSE)</f>
        <v>201</v>
      </c>
      <c r="H183" s="136">
        <f>VLOOKUP($B$2,$B$257:$Y$286,19,FALSE)</f>
        <v>202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203</v>
      </c>
      <c r="F184" s="136">
        <f>VLOOKUP($B$2,$B$257:$Y$286,21,FALSE)</f>
        <v>204</v>
      </c>
      <c r="G184" s="136">
        <f>VLOOKUP($B$2,$B$257:$Y$286,22,FALSE)</f>
        <v>205</v>
      </c>
      <c r="H184" s="136">
        <f>VLOOKUP($B$2,$B$257:$Y$286,23,FALSE)</f>
        <v>206</v>
      </c>
      <c r="I184" s="136">
        <f>VLOOKUP($B$2,$B$257:$Y$286,24,FALSE)</f>
        <v>207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5</v>
      </c>
      <c r="B186" s="483" t="s">
        <v>205</v>
      </c>
      <c r="C186" s="490"/>
      <c r="D186" s="484">
        <f>VLOOKUP($D$6,'FS (2011)'!$A$13:$AH$244,'FS (2011)'!AC245,FALSE)/1000</f>
        <v>7.8E-2</v>
      </c>
      <c r="E186" s="495">
        <f t="shared" ref="E186:E191" si="16">D186/$D$192</f>
        <v>2.0144628099173556E-2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Reliability, safety and environment</v>
      </c>
      <c r="V186" s="559">
        <f t="shared" ref="V186:V191" si="18">VLOOKUP(T186,$A$186:$D$191,4,FALSE)</f>
        <v>1.5229999999999999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1</v>
      </c>
      <c r="B187" s="162" t="s">
        <v>206</v>
      </c>
      <c r="C187" s="121"/>
      <c r="D187" s="456">
        <f>VLOOKUP($D$6,'FS (2011)'!$A$13:$AH$244,'FS (2011)'!AD245,FALSE)/1000</f>
        <v>1.5229999999999999</v>
      </c>
      <c r="E187" s="468">
        <f t="shared" si="16"/>
        <v>0.39333677685950413</v>
      </c>
      <c r="Q187" s="559"/>
      <c r="R187" s="559"/>
      <c r="S187" s="559"/>
      <c r="T187" s="559">
        <v>2</v>
      </c>
      <c r="U187" s="559" t="str">
        <f t="shared" si="17"/>
        <v>Asset replacement and renewal</v>
      </c>
      <c r="V187" s="559">
        <f t="shared" si="18"/>
        <v>1.393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4</v>
      </c>
      <c r="B188" s="162" t="s">
        <v>209</v>
      </c>
      <c r="C188" s="121"/>
      <c r="D188" s="456">
        <f>VLOOKUP($D$6,'FS (2011)'!$A$13:$AH$244,'FS (2011)'!AB245,FALSE)/1000</f>
        <v>0.378</v>
      </c>
      <c r="E188" s="468">
        <f t="shared" si="16"/>
        <v>9.7623966942148768E-2</v>
      </c>
      <c r="Q188" s="559"/>
      <c r="R188" s="559"/>
      <c r="S188" s="559"/>
      <c r="T188" s="559">
        <v>3</v>
      </c>
      <c r="U188" s="559" t="str">
        <f t="shared" si="17"/>
        <v>Non-network capex</v>
      </c>
      <c r="V188" s="559">
        <f t="shared" si="18"/>
        <v>0.496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2</v>
      </c>
      <c r="B189" s="162" t="s">
        <v>208</v>
      </c>
      <c r="C189" s="121"/>
      <c r="D189" s="456">
        <f>VLOOKUP($D$6,'FS (2011)'!$A$13:$AH$244,'FS (2011)'!AE245,FALSE)/1000</f>
        <v>1.393</v>
      </c>
      <c r="E189" s="468">
        <f t="shared" si="16"/>
        <v>0.35976239669421489</v>
      </c>
      <c r="Q189" s="559"/>
      <c r="R189" s="559"/>
      <c r="S189" s="559"/>
      <c r="T189" s="559">
        <v>4</v>
      </c>
      <c r="U189" s="559" t="str">
        <f t="shared" si="17"/>
        <v>Customer connection</v>
      </c>
      <c r="V189" s="559">
        <f t="shared" si="18"/>
        <v>0.378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3</v>
      </c>
      <c r="B190" s="162" t="s">
        <v>312</v>
      </c>
      <c r="C190" s="121"/>
      <c r="D190" s="456">
        <f>VLOOKUP($D$6,'FS (2011)'!$A$13:$AH$244,'FS (2011)'!AH245,FALSE)/1000</f>
        <v>0.496</v>
      </c>
      <c r="E190" s="468">
        <f t="shared" si="16"/>
        <v>0.128099173553719</v>
      </c>
      <c r="Q190" s="559"/>
      <c r="R190" s="559"/>
      <c r="S190" s="559"/>
      <c r="T190" s="559">
        <v>5</v>
      </c>
      <c r="U190" s="559" t="str">
        <f t="shared" si="17"/>
        <v>System growth</v>
      </c>
      <c r="V190" s="559">
        <f t="shared" si="18"/>
        <v>7.8E-2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6</v>
      </c>
      <c r="B191" s="162" t="s">
        <v>207</v>
      </c>
      <c r="C191" s="121"/>
      <c r="D191" s="456">
        <f>VLOOKUP($D$6,'FS (2011)'!$A$13:$AH$244,'FS (2011)'!AF245,FALSE)/1000</f>
        <v>4.0000000000000001E-3</v>
      </c>
      <c r="E191" s="468">
        <f t="shared" si="16"/>
        <v>1.0330578512396695E-3</v>
      </c>
      <c r="Q191" s="559"/>
      <c r="R191" s="559"/>
      <c r="S191" s="559"/>
      <c r="T191" s="559">
        <v>6</v>
      </c>
      <c r="U191" s="559" t="str">
        <f t="shared" si="17"/>
        <v>Asset relocations</v>
      </c>
      <c r="V191" s="559">
        <f t="shared" si="18"/>
        <v>4.0000000000000001E-3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3.8719999999999999</v>
      </c>
      <c r="E192" s="496">
        <f>SUM(E186:E191)</f>
        <v>1.0000000000000002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2.8052128539248953</v>
      </c>
      <c r="D196" s="484">
        <f>VLOOKUP($D$38,'FS (2011)'!$A$13:$AH$244,'FS (2011)'!$AG$245,FALSE)/1000</f>
        <v>2.9814076463724337</v>
      </c>
      <c r="E196" s="484">
        <f>VLOOKUP($E$38,'FS (2011)'!$A$13:$AH$244,'FS (2011)'!$AG$245,FALSE)/1000</f>
        <v>2.5155045673789442</v>
      </c>
      <c r="F196" s="486">
        <f>VLOOKUP($F$38,'FS (2011)'!$A$13:$AH$244,'FS (2011)'!$AG$245,FALSE)/1000</f>
        <v>3.3759999999999999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0.11859085854409625</v>
      </c>
      <c r="D197" s="456">
        <f>VLOOKUP($D$38,'FS (2011)'!$A$13:$AH$244,'FS (2011)'!$AH$245,FALSE)/1000</f>
        <v>8.0971377582538237E-2</v>
      </c>
      <c r="E197" s="456">
        <f>VLOOKUP($E$38,'FS (2011)'!$A$13:$AH$244,'FS (2011)'!$AH$245,FALSE)/1000</f>
        <v>0.31482013419201849</v>
      </c>
      <c r="F197" s="457">
        <f>VLOOKUP($F$38,'FS (2011)'!$A$13:$AH$244,'FS (2011)'!$AH$245,FALSE)/1000</f>
        <v>0.496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2.9238037124689917</v>
      </c>
      <c r="D198" s="488">
        <f>SUM(D196:D197)</f>
        <v>3.0623790239549717</v>
      </c>
      <c r="E198" s="488">
        <f>SUM(E196:E197)</f>
        <v>2.8303247015709627</v>
      </c>
      <c r="F198" s="489">
        <f>SUM(F196:F197)</f>
        <v>3.8719999999999999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3.9324967157924329E-2</v>
      </c>
      <c r="D200" s="498">
        <f t="shared" ref="D200:F202" si="20">D196/C196 - 1</f>
        <v>6.2809776520529104E-2</v>
      </c>
      <c r="E200" s="498">
        <f t="shared" si="20"/>
        <v>-0.15626949892624298</v>
      </c>
      <c r="F200" s="495">
        <f t="shared" si="20"/>
        <v>0.34207667272004105</v>
      </c>
      <c r="Q200" s="559"/>
      <c r="R200" s="559" t="s">
        <v>423</v>
      </c>
      <c r="S200" s="559">
        <f t="shared" ref="S200:V202" si="21">LN(C196)</f>
        <v>1.0314794198478241</v>
      </c>
      <c r="T200" s="559">
        <f t="shared" si="21"/>
        <v>1.0923955535428052</v>
      </c>
      <c r="U200" s="559">
        <f t="shared" si="21"/>
        <v>0.92247340664186106</v>
      </c>
      <c r="V200" s="559">
        <f t="shared" si="21"/>
        <v>1.2166915767337108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0.75955252711292975</v>
      </c>
      <c r="D201" s="467">
        <f t="shared" si="20"/>
        <v>-0.31722074891269769</v>
      </c>
      <c r="E201" s="467">
        <f t="shared" si="20"/>
        <v>2.8880422143134017</v>
      </c>
      <c r="F201" s="468">
        <f t="shared" si="20"/>
        <v>0.57550279073788313</v>
      </c>
      <c r="Q201" s="559"/>
      <c r="R201" s="559" t="s">
        <v>423</v>
      </c>
      <c r="S201" s="559">
        <f t="shared" si="21"/>
        <v>-2.1320758734322105</v>
      </c>
      <c r="T201" s="559">
        <f t="shared" si="21"/>
        <v>-2.5136595499357179</v>
      </c>
      <c r="U201" s="559">
        <f t="shared" si="21"/>
        <v>-1.1557538058055732</v>
      </c>
      <c r="V201" s="559">
        <f t="shared" si="21"/>
        <v>-0.70117935225720962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7.9378772147015386E-2</v>
      </c>
      <c r="D202" s="500">
        <f t="shared" si="20"/>
        <v>4.7395559043517554E-2</v>
      </c>
      <c r="E202" s="500">
        <f t="shared" si="20"/>
        <v>-7.5775833288042049E-2</v>
      </c>
      <c r="F202" s="501">
        <f t="shared" si="20"/>
        <v>0.36804091694880747</v>
      </c>
      <c r="Q202" s="559"/>
      <c r="R202" s="559" t="s">
        <v>423</v>
      </c>
      <c r="S202" s="559">
        <f t="shared" si="21"/>
        <v>1.0728854098356599</v>
      </c>
      <c r="T202" s="559">
        <f t="shared" si="21"/>
        <v>1.1191920727085556</v>
      </c>
      <c r="U202" s="559">
        <f t="shared" si="21"/>
        <v>1.0403914406109707</v>
      </c>
      <c r="V202" s="559">
        <f t="shared" si="21"/>
        <v>1.3537711694143306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Electricity Invercargill</v>
      </c>
      <c r="C206" s="456">
        <f>(C198/C102)*1000000</f>
        <v>171.86713569650786</v>
      </c>
      <c r="D206" s="456">
        <f>(D198/D102)*1000000</f>
        <v>178.81461076462523</v>
      </c>
      <c r="E206" s="456">
        <f>(E198/E102)*1000000</f>
        <v>164.57289810274233</v>
      </c>
      <c r="F206" s="457">
        <f>(F198/F102)*1000000</f>
        <v>224.25576277076334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Electricity Invercargill</v>
      </c>
      <c r="C209" s="456">
        <f>(C198/C117)*1000000000</f>
        <v>10931.103313084268</v>
      </c>
      <c r="D209" s="456">
        <f>(D198/D117)*1000000000</f>
        <v>11359.018481331897</v>
      </c>
      <c r="E209" s="456">
        <f>(E198/E117)*1000000000</f>
        <v>10307.998401470997</v>
      </c>
      <c r="F209" s="457">
        <f>(F198/F117)*1000000000</f>
        <v>14145.133659749827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Electricity Invercargill</v>
      </c>
      <c r="C212" s="456">
        <f>(C198/VLOOKUP(C$38,'AV (2011)'!$A$11:$F$213,'AV (2011)'!$F$214,FALSE)*1000)</f>
        <v>5.1873328163470157E-2</v>
      </c>
      <c r="D212" s="456">
        <f>(D198/VLOOKUP(D$38,'AV (2011)'!$A$11:$F$213,'AV (2011)'!$F$214,FALSE)*1000)</f>
        <v>5.3923252989879863E-2</v>
      </c>
      <c r="E212" s="456">
        <f>(E198/VLOOKUP(E$38,'AV (2011)'!$A$11:$F$213,'AV (2011)'!$F$214,FALSE)*1000)</f>
        <v>4.8884308052649768E-2</v>
      </c>
      <c r="F212" s="457">
        <f>(F198/VLOOKUP(F$38,'AV (2011)'!$A$11:$F$213,'AV (2011)'!$F$214,FALSE)*1000)</f>
        <v>6.4582316867933753E-2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7.4139687844146929E-2</v>
      </c>
      <c r="D215" s="464">
        <f>D206/C206 - 1</f>
        <v>4.0423522740179907E-2</v>
      </c>
      <c r="E215" s="464">
        <f>E206/D206 - 1</f>
        <v>-7.964512855512329E-2</v>
      </c>
      <c r="F215" s="465">
        <f>F206/E206 - 1</f>
        <v>0.36265305743574605</v>
      </c>
      <c r="K215" s="139"/>
      <c r="P215" s="139"/>
      <c r="Q215" s="559"/>
      <c r="R215" s="559" t="s">
        <v>423</v>
      </c>
      <c r="S215" s="559">
        <f>LN(C206)</f>
        <v>5.1467217114264097</v>
      </c>
      <c r="T215" s="559">
        <f>LN(D206)</f>
        <v>5.1863495750866928</v>
      </c>
      <c r="U215" s="559">
        <f>LN(E206)</f>
        <v>5.1033536216044029</v>
      </c>
      <c r="V215" s="559">
        <f>LN(F206)</f>
        <v>5.4127871985831364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6.9956867527076527E-2</v>
      </c>
      <c r="D216" s="467">
        <f>D209/C209 - 1</f>
        <v>3.9146567001651533E-2</v>
      </c>
      <c r="E216" s="467">
        <f>E209/D209 - 1</f>
        <v>-9.2527367711234043E-2</v>
      </c>
      <c r="F216" s="468">
        <f>F209/E209 - 1</f>
        <v>0.37224833656660761</v>
      </c>
      <c r="Q216" s="559"/>
      <c r="R216" s="559" t="s">
        <v>423</v>
      </c>
      <c r="S216" s="559">
        <f>LN(C209)</f>
        <v>9.299367519633698</v>
      </c>
      <c r="T216" s="559">
        <f>LN(D209)</f>
        <v>9.337767287251129</v>
      </c>
      <c r="U216" s="559">
        <f>LN(E209)</f>
        <v>9.2406754166957015</v>
      </c>
      <c r="V216" s="559">
        <f>LN(F209)</f>
        <v>9.5571259329486988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5.7523900241678971E-2</v>
      </c>
      <c r="D217" s="470">
        <f>D212/C212 - 1</f>
        <v>3.951789674936057E-2</v>
      </c>
      <c r="E217" s="470">
        <f>E212/D212 - 1</f>
        <v>-9.3446605273902694E-2</v>
      </c>
      <c r="F217" s="471">
        <f>F212/E212 - 1</f>
        <v>0.32112572399259065</v>
      </c>
      <c r="Q217" s="559"/>
      <c r="R217" s="559" t="s">
        <v>423</v>
      </c>
      <c r="S217" s="559">
        <f>LN(C212)</f>
        <v>-2.9589505291246825</v>
      </c>
      <c r="T217" s="559">
        <f>LN(D212)</f>
        <v>-2.9201934842668562</v>
      </c>
      <c r="U217" s="559">
        <f>LN(E212)</f>
        <v>-3.0182988327191409</v>
      </c>
      <c r="V217" s="559">
        <f>LN(F212)</f>
        <v>-2.739814638359737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Electricity Invercargill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2515.5045673789441</v>
      </c>
      <c r="X220" s="563">
        <f>D222</f>
        <v>3376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Electricity Invercargill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3014.7339063889408</v>
      </c>
      <c r="X221" s="563">
        <f t="shared" si="23"/>
        <v>4068.2096952386078</v>
      </c>
      <c r="Y221" s="563">
        <f t="shared" si="23"/>
        <v>3038.1671202608386</v>
      </c>
      <c r="Z221" s="563">
        <f t="shared" si="23"/>
        <v>3053.4496510468589</v>
      </c>
      <c r="AA221" s="563">
        <f t="shared" si="23"/>
        <v>2821.1551830993503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2515.5045673789441</v>
      </c>
      <c r="D222" s="461">
        <f>VLOOKUP(D226,'FS (2011)'!$A$14:$AJ$245,'FS (2011)'!$AG$245,FALSE)</f>
        <v>3376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3952</v>
      </c>
      <c r="Y222" s="563">
        <f t="shared" si="23"/>
        <v>3451</v>
      </c>
      <c r="Z222" s="563">
        <f t="shared" si="23"/>
        <v>3344</v>
      </c>
      <c r="AA222" s="563">
        <f t="shared" si="23"/>
        <v>2945</v>
      </c>
      <c r="AB222" s="563">
        <f>H224</f>
        <v>2907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3014.7339063889408</v>
      </c>
      <c r="D223" s="461">
        <f>VLOOKUP(D227,'AM (2011)'!$A$10:$N$444,'AM (2011)'!$J$445,FALSE)</f>
        <v>4068.2096952386078</v>
      </c>
      <c r="E223" s="461">
        <f>VLOOKUP(E226,'AM (2011)'!$A$10:$N$444,'AM (2011)'!$J$445,FALSE)</f>
        <v>3038.1671202608386</v>
      </c>
      <c r="F223" s="461">
        <f>VLOOKUP(F226,'AM (2011)'!$A$10:$N$444,'AM (2011)'!$J$445,FALSE)</f>
        <v>3053.4496510468589</v>
      </c>
      <c r="G223" s="461">
        <f>VLOOKUP(G226,'AM (2011)'!$A$10:$N$444,'AM (2011)'!$J$445,FALSE)</f>
        <v>2821.1551830993503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4558.7079508726565</v>
      </c>
      <c r="Z223" s="563">
        <f>F225</f>
        <v>5120.8475759534585</v>
      </c>
      <c r="AA223" s="563">
        <f>G225</f>
        <v>4854.9310924369747</v>
      </c>
      <c r="AB223" s="563">
        <f>H225</f>
        <v>3657.3292824822233</v>
      </c>
      <c r="AC223" s="563">
        <f>I225</f>
        <v>2757.9058823529413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3952</v>
      </c>
      <c r="E224" s="461">
        <f>VLOOKUP(E227,'AM (2011)'!$A$10:$N$444,'AM (2011)'!$J$445,FALSE)</f>
        <v>3451</v>
      </c>
      <c r="F224" s="461">
        <f>VLOOKUP(F227,'AM (2011)'!$A$10:$N$444,'AM (2011)'!$J$445,FALSE)</f>
        <v>3344</v>
      </c>
      <c r="G224" s="461">
        <f>VLOOKUP(G227,'AM (2011)'!$A$10:$N$444,'AM (2011)'!$J$445,FALSE)</f>
        <v>2945</v>
      </c>
      <c r="H224" s="461">
        <f>VLOOKUP(H227,'AM (2011)'!$A$10:$N$444,'AM (2011)'!$J$445,FALSE)</f>
        <v>2907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4558.7079508726565</v>
      </c>
      <c r="F225" s="493">
        <f>VLOOKUP(F228,'AM (2011)'!$A$10:$N$444,'AM (2011)'!$J$445,FALSE)</f>
        <v>5120.8475759534585</v>
      </c>
      <c r="G225" s="493">
        <f>VLOOKUP(G228,'AM (2011)'!$A$10:$N$444,'AM (2011)'!$J$445,FALSE)</f>
        <v>4854.9310924369747</v>
      </c>
      <c r="H225" s="493">
        <f>VLOOKUP(H228,'AM (2011)'!$A$10:$N$444,'AM (2011)'!$J$445,FALSE)</f>
        <v>3657.3292824822233</v>
      </c>
      <c r="I225" s="494">
        <f>VLOOKUP(I228,'AM (2011)'!$A$10:$N$444,'AM (2011)'!$J$445,FALSE)</f>
        <v>2757.9058823529413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191</v>
      </c>
      <c r="D226" s="136">
        <f>VLOOKUP($B$2,$B$257:$Y$286,9,FALSE)</f>
        <v>192</v>
      </c>
      <c r="E226" s="136">
        <f>VLOOKUP($B$2,$B$257:$Y$286,12,FALSE)</f>
        <v>195</v>
      </c>
      <c r="F226" s="136">
        <f>VLOOKUP($B$2,$B$257:$Y$286,13,FALSE)</f>
        <v>196</v>
      </c>
      <c r="G226" s="136">
        <f>VLOOKUP($B$2,$B$257:$Y$286,14,FALSE)</f>
        <v>197</v>
      </c>
      <c r="H226" s="136"/>
      <c r="I226" s="136"/>
    </row>
    <row r="227" spans="2:30">
      <c r="C227" s="136">
        <f>VLOOKUP($B$2,$B$257:$Y$286,10,FALSE)</f>
        <v>193</v>
      </c>
      <c r="D227" s="136">
        <f>VLOOKUP($B$2,$B$257:$Y$286,11,FALSE)</f>
        <v>194</v>
      </c>
      <c r="E227" s="136">
        <f>VLOOKUP($B$2,$B$257:$Y$286,16,FALSE)</f>
        <v>199</v>
      </c>
      <c r="F227" s="136">
        <f>VLOOKUP($B$2,$B$257:$Y$286,17,FALSE)</f>
        <v>200</v>
      </c>
      <c r="G227" s="136">
        <f>VLOOKUP($B$2,$B$257:$Y$286,18,FALSE)</f>
        <v>201</v>
      </c>
      <c r="H227" s="136">
        <f>VLOOKUP($B$2,$B$257:$Y$286,19,FALSE)</f>
        <v>202</v>
      </c>
      <c r="I227" s="136"/>
    </row>
    <row r="228" spans="2:30">
      <c r="B228" s="517" t="s">
        <v>291</v>
      </c>
      <c r="C228" s="518"/>
      <c r="D228" s="518">
        <f>VLOOKUP($B$2,$B$257:$Y$286,15,FALSE)</f>
        <v>198</v>
      </c>
      <c r="E228" s="518">
        <f>VLOOKUP($B$2,$B$257:$Y$286,20,FALSE)</f>
        <v>203</v>
      </c>
      <c r="F228" s="519">
        <f>VLOOKUP($B$2,$B$257:$Y$286,21,FALSE)</f>
        <v>204</v>
      </c>
      <c r="G228" s="136">
        <f>VLOOKUP($B$2,$B$257:$Y$286,22,FALSE)</f>
        <v>205</v>
      </c>
      <c r="H228" s="136">
        <f>VLOOKUP($B$2,$B$257:$Y$286,23,FALSE)</f>
        <v>206</v>
      </c>
      <c r="I228" s="136">
        <f>VLOOKUP($B$2,$B$257:$Y$286,24,FALSE)</f>
        <v>207</v>
      </c>
    </row>
    <row r="229" spans="2:30">
      <c r="B229" s="474" t="str">
        <f>$B$2</f>
        <v>Electricity Invercargill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54.66</v>
      </c>
      <c r="D230" s="456">
        <f>VLOOKUP(D$38,'MP (2011)'!$A$11:$AR$245,'MP (2011)'!$S$246,FALSE)+VLOOKUP(D$38,'MP (2011)'!$A$11:$AR$245,'MP (2011)'!$T$246,FALSE)</f>
        <v>32.872</v>
      </c>
      <c r="E230" s="456">
        <f>VLOOKUP(E$38,'MP (2011)'!$A$11:$AR$245,'MP (2011)'!$S$246,FALSE)+VLOOKUP(E$38,'MP (2011)'!$A$11:$AR$245,'MP (2011)'!$T$246,FALSE)</f>
        <v>29.991</v>
      </c>
      <c r="F230" s="457">
        <f>VLOOKUP(F$38,'MP (2011)'!$A$11:$AR$245,'MP (2011)'!$S$246,FALSE)+VLOOKUP(F$38,'MP (2011)'!$A$11:$AR$245,'MP (2011)'!$T$246,FALSE)</f>
        <v>44.769999999999996</v>
      </c>
    </row>
    <row r="231" spans="2:30">
      <c r="B231" s="199" t="s">
        <v>292</v>
      </c>
      <c r="C231" s="456">
        <f>IF(ISERROR(VLOOKUP(C$38,'Compliance data'!$A$7:$E$74,'Compliance data'!$D$75,FALSE)),"",(VLOOKUP(C$38,'Compliance data'!$A$7:$E$74,'Compliance data'!$D$75,FALSE)))</f>
        <v>35.44</v>
      </c>
      <c r="D231" s="456">
        <f>IF(ISERROR(VLOOKUP(D$38,'Compliance data'!$A$7:$E$74,'Compliance data'!$D$75,FALSE)),"",(VLOOKUP(D$38,'Compliance data'!$A$7:$E$74,'Compliance data'!$D$75,FALSE)))</f>
        <v>35.44</v>
      </c>
      <c r="E231" s="456">
        <f>IF(ISERROR(VLOOKUP(E$38,'Compliance data'!$A$7:$E$74,'Compliance data'!$D$75,FALSE)),"",(VLOOKUP(E$38,'Compliance data'!$A$7:$E$74,'Compliance data'!$D$75,FALSE)))</f>
        <v>35.44</v>
      </c>
      <c r="F231" s="457">
        <f>IF(ISERROR(VLOOKUP(F$38,'Compliance data'!$A$7:$E$74,'Compliance data'!$D$75,FALSE)),"",(VLOOKUP(F$38,'Compliance data'!$A$7:$E$74,'Compliance data'!$D$75,FALSE)))</f>
        <v>45.645000000000003</v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1.1499999999999999</v>
      </c>
      <c r="D237" s="456">
        <f>VLOOKUP(D$38,'MP (2011)'!$A$11:$AR$245,'MP (2011)'!$W$246,FALSE)+VLOOKUP(D$38,'MP (2011)'!$A$11:$AR$245,'MP (2011)'!$X$246,FALSE)</f>
        <v>0.84520000000000006</v>
      </c>
      <c r="E237" s="456">
        <f>VLOOKUP(E$38,'MP (2011)'!$A$11:$AR$245,'MP (2011)'!$W$246,FALSE)+VLOOKUP(E$38,'MP (2011)'!$A$11:$AR$245,'MP (2011)'!$X$246,FALSE)</f>
        <v>0.84299999999999997</v>
      </c>
      <c r="F237" s="457">
        <f>VLOOKUP(F$38,'MP (2011)'!$A$11:$AR$245,'MP (2011)'!$W$246,FALSE)+VLOOKUP(F$38,'MP (2011)'!$A$11:$AR$245,'MP (2011)'!$X$246,FALSE)</f>
        <v>1.18</v>
      </c>
    </row>
    <row r="238" spans="2:30">
      <c r="B238" s="199" t="s">
        <v>292</v>
      </c>
      <c r="C238" s="456">
        <f>IF(ISERROR(VLOOKUP(C$38,'Compliance data'!$A$7:$E$74,'Compliance data'!$E$75,FALSE)),"",(VLOOKUP(C$38,'Compliance data'!$A$7:$E$74,'Compliance data'!$E$75,FALSE)))</f>
        <v>0.99</v>
      </c>
      <c r="D238" s="456">
        <f>IF(ISERROR(VLOOKUP(D$38,'Compliance data'!$A$7:$E$74,'Compliance data'!$E$75,FALSE)),"",(VLOOKUP(D$38,'Compliance data'!$A$7:$E$74,'Compliance data'!$E$75,FALSE)))</f>
        <v>0.99</v>
      </c>
      <c r="E238" s="456">
        <f>IF(ISERROR(VLOOKUP(E$38,'Compliance data'!$A$7:$E$74,'Compliance data'!$E$75,FALSE)),"",(VLOOKUP(E$38,'Compliance data'!$A$7:$E$74,'Compliance data'!$E$75,FALSE)))</f>
        <v>0.99</v>
      </c>
      <c r="F238" s="457">
        <f>IF(ISERROR(VLOOKUP(F$38,'Compliance data'!$A$7:$E$74,'Compliance data'!$E$75,FALSE)),"",(VLOOKUP(F$38,'Compliance data'!$A$7:$E$74,'Compliance data'!$E$75,FALSE)))</f>
        <v>1.1322000000000001</v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T258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si="24"/>
        <v>18</v>
      </c>
      <c r="U258" s="526">
        <f t="shared" ref="T258:Y273" si="25">T258+1</f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ref="D259:S274" si="26">C259+1</f>
        <v>25</v>
      </c>
      <c r="E259" s="526">
        <f t="shared" si="26"/>
        <v>26</v>
      </c>
      <c r="F259" s="526">
        <f t="shared" si="26"/>
        <v>27</v>
      </c>
      <c r="G259" s="526">
        <f t="shared" si="26"/>
        <v>28</v>
      </c>
      <c r="H259" s="526">
        <f t="shared" si="26"/>
        <v>29</v>
      </c>
      <c r="I259" s="526">
        <f t="shared" si="26"/>
        <v>30</v>
      </c>
      <c r="J259" s="526">
        <f t="shared" si="26"/>
        <v>31</v>
      </c>
      <c r="K259" s="526">
        <f t="shared" si="26"/>
        <v>32</v>
      </c>
      <c r="L259" s="526">
        <f t="shared" si="26"/>
        <v>33</v>
      </c>
      <c r="M259" s="526">
        <f t="shared" si="26"/>
        <v>34</v>
      </c>
      <c r="N259" s="526">
        <f t="shared" si="26"/>
        <v>35</v>
      </c>
      <c r="O259" s="526">
        <f t="shared" si="26"/>
        <v>36</v>
      </c>
      <c r="P259" s="526">
        <f t="shared" si="26"/>
        <v>37</v>
      </c>
      <c r="Q259" s="526">
        <f t="shared" si="26"/>
        <v>38</v>
      </c>
      <c r="R259" s="526">
        <f t="shared" si="26"/>
        <v>39</v>
      </c>
      <c r="S259" s="526">
        <f t="shared" si="26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7">Y259+1</f>
        <v>47</v>
      </c>
      <c r="D260" s="526">
        <f t="shared" si="26"/>
        <v>48</v>
      </c>
      <c r="E260" s="526">
        <f t="shared" si="26"/>
        <v>49</v>
      </c>
      <c r="F260" s="526">
        <f t="shared" si="26"/>
        <v>50</v>
      </c>
      <c r="G260" s="526">
        <f t="shared" si="26"/>
        <v>51</v>
      </c>
      <c r="H260" s="526">
        <f t="shared" si="26"/>
        <v>52</v>
      </c>
      <c r="I260" s="526">
        <f t="shared" si="26"/>
        <v>53</v>
      </c>
      <c r="J260" s="526">
        <f t="shared" si="26"/>
        <v>54</v>
      </c>
      <c r="K260" s="526">
        <f t="shared" si="26"/>
        <v>55</v>
      </c>
      <c r="L260" s="526">
        <f t="shared" si="26"/>
        <v>56</v>
      </c>
      <c r="M260" s="526">
        <f t="shared" si="26"/>
        <v>57</v>
      </c>
      <c r="N260" s="526">
        <f t="shared" si="26"/>
        <v>58</v>
      </c>
      <c r="O260" s="526">
        <f t="shared" si="26"/>
        <v>59</v>
      </c>
      <c r="P260" s="526">
        <f t="shared" si="26"/>
        <v>60</v>
      </c>
      <c r="Q260" s="526">
        <f t="shared" si="26"/>
        <v>61</v>
      </c>
      <c r="R260" s="526">
        <f t="shared" si="26"/>
        <v>62</v>
      </c>
      <c r="S260" s="526">
        <f t="shared" si="26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7"/>
        <v>70</v>
      </c>
      <c r="D261" s="526">
        <f t="shared" si="26"/>
        <v>71</v>
      </c>
      <c r="E261" s="526">
        <f t="shared" si="26"/>
        <v>72</v>
      </c>
      <c r="F261" s="526">
        <f t="shared" si="26"/>
        <v>73</v>
      </c>
      <c r="G261" s="526">
        <f t="shared" si="26"/>
        <v>74</v>
      </c>
      <c r="H261" s="526">
        <f t="shared" si="26"/>
        <v>75</v>
      </c>
      <c r="I261" s="526">
        <f t="shared" si="26"/>
        <v>76</v>
      </c>
      <c r="J261" s="526">
        <f t="shared" si="26"/>
        <v>77</v>
      </c>
      <c r="K261" s="526">
        <f t="shared" si="26"/>
        <v>78</v>
      </c>
      <c r="L261" s="526">
        <f t="shared" si="26"/>
        <v>79</v>
      </c>
      <c r="M261" s="526">
        <f t="shared" si="26"/>
        <v>80</v>
      </c>
      <c r="N261" s="526">
        <f t="shared" si="26"/>
        <v>81</v>
      </c>
      <c r="O261" s="526">
        <f t="shared" si="26"/>
        <v>82</v>
      </c>
      <c r="P261" s="526">
        <f t="shared" si="26"/>
        <v>83</v>
      </c>
      <c r="Q261" s="526">
        <f t="shared" si="26"/>
        <v>84</v>
      </c>
      <c r="R261" s="526">
        <f t="shared" si="26"/>
        <v>85</v>
      </c>
      <c r="S261" s="526">
        <f t="shared" si="26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7"/>
        <v>93</v>
      </c>
      <c r="D262" s="526">
        <f t="shared" si="26"/>
        <v>94</v>
      </c>
      <c r="E262" s="526">
        <f t="shared" si="26"/>
        <v>95</v>
      </c>
      <c r="F262" s="526">
        <f t="shared" si="26"/>
        <v>96</v>
      </c>
      <c r="G262" s="526">
        <f t="shared" si="26"/>
        <v>97</v>
      </c>
      <c r="H262" s="526">
        <f t="shared" si="26"/>
        <v>98</v>
      </c>
      <c r="I262" s="526">
        <f t="shared" si="26"/>
        <v>99</v>
      </c>
      <c r="J262" s="526">
        <f t="shared" si="26"/>
        <v>100</v>
      </c>
      <c r="K262" s="526">
        <f t="shared" si="26"/>
        <v>101</v>
      </c>
      <c r="L262" s="526">
        <f t="shared" si="26"/>
        <v>102</v>
      </c>
      <c r="M262" s="526">
        <f t="shared" si="26"/>
        <v>103</v>
      </c>
      <c r="N262" s="526">
        <f t="shared" si="26"/>
        <v>104</v>
      </c>
      <c r="O262" s="526">
        <f t="shared" si="26"/>
        <v>105</v>
      </c>
      <c r="P262" s="526">
        <f t="shared" si="26"/>
        <v>106</v>
      </c>
      <c r="Q262" s="526">
        <f t="shared" si="26"/>
        <v>107</v>
      </c>
      <c r="R262" s="526">
        <f t="shared" si="26"/>
        <v>108</v>
      </c>
      <c r="S262" s="526">
        <f t="shared" si="26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7"/>
        <v>116</v>
      </c>
      <c r="D263" s="526">
        <f t="shared" si="26"/>
        <v>117</v>
      </c>
      <c r="E263" s="526">
        <f t="shared" si="26"/>
        <v>118</v>
      </c>
      <c r="F263" s="526">
        <f t="shared" si="26"/>
        <v>119</v>
      </c>
      <c r="G263" s="526">
        <f t="shared" si="26"/>
        <v>120</v>
      </c>
      <c r="H263" s="526">
        <f t="shared" si="26"/>
        <v>121</v>
      </c>
      <c r="I263" s="526">
        <f t="shared" si="26"/>
        <v>122</v>
      </c>
      <c r="J263" s="526">
        <f t="shared" si="26"/>
        <v>123</v>
      </c>
      <c r="K263" s="526">
        <f t="shared" si="26"/>
        <v>124</v>
      </c>
      <c r="L263" s="526">
        <f t="shared" si="26"/>
        <v>125</v>
      </c>
      <c r="M263" s="526">
        <f t="shared" si="26"/>
        <v>126</v>
      </c>
      <c r="N263" s="526">
        <f t="shared" si="26"/>
        <v>127</v>
      </c>
      <c r="O263" s="526">
        <f t="shared" si="26"/>
        <v>128</v>
      </c>
      <c r="P263" s="526">
        <f t="shared" si="26"/>
        <v>129</v>
      </c>
      <c r="Q263" s="526">
        <f t="shared" si="26"/>
        <v>130</v>
      </c>
      <c r="R263" s="526">
        <f t="shared" si="26"/>
        <v>131</v>
      </c>
      <c r="S263" s="526">
        <f t="shared" si="26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7"/>
        <v>139</v>
      </c>
      <c r="D264" s="526">
        <f t="shared" si="26"/>
        <v>140</v>
      </c>
      <c r="E264" s="526">
        <f t="shared" si="26"/>
        <v>141</v>
      </c>
      <c r="F264" s="526">
        <f t="shared" si="26"/>
        <v>142</v>
      </c>
      <c r="G264" s="526">
        <f t="shared" si="26"/>
        <v>143</v>
      </c>
      <c r="H264" s="526">
        <f t="shared" si="26"/>
        <v>144</v>
      </c>
      <c r="I264" s="526">
        <f t="shared" si="26"/>
        <v>145</v>
      </c>
      <c r="J264" s="526">
        <f t="shared" si="26"/>
        <v>146</v>
      </c>
      <c r="K264" s="526">
        <f t="shared" si="26"/>
        <v>147</v>
      </c>
      <c r="L264" s="526">
        <f t="shared" si="26"/>
        <v>148</v>
      </c>
      <c r="M264" s="526">
        <f t="shared" si="26"/>
        <v>149</v>
      </c>
      <c r="N264" s="526">
        <f t="shared" si="26"/>
        <v>150</v>
      </c>
      <c r="O264" s="526">
        <f t="shared" si="26"/>
        <v>151</v>
      </c>
      <c r="P264" s="526">
        <f t="shared" si="26"/>
        <v>152</v>
      </c>
      <c r="Q264" s="526">
        <f t="shared" si="26"/>
        <v>153</v>
      </c>
      <c r="R264" s="526">
        <f t="shared" si="26"/>
        <v>154</v>
      </c>
      <c r="S264" s="526">
        <f t="shared" si="26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7"/>
        <v>162</v>
      </c>
      <c r="D265" s="526">
        <f t="shared" si="26"/>
        <v>163</v>
      </c>
      <c r="E265" s="526">
        <f t="shared" si="26"/>
        <v>164</v>
      </c>
      <c r="F265" s="526">
        <f t="shared" si="26"/>
        <v>165</v>
      </c>
      <c r="G265" s="526">
        <f t="shared" si="26"/>
        <v>166</v>
      </c>
      <c r="H265" s="526">
        <f t="shared" si="26"/>
        <v>167</v>
      </c>
      <c r="I265" s="526">
        <f t="shared" si="26"/>
        <v>168</v>
      </c>
      <c r="J265" s="526">
        <f t="shared" si="26"/>
        <v>169</v>
      </c>
      <c r="K265" s="526">
        <f t="shared" si="26"/>
        <v>170</v>
      </c>
      <c r="L265" s="526">
        <f t="shared" si="26"/>
        <v>171</v>
      </c>
      <c r="M265" s="526">
        <f t="shared" si="26"/>
        <v>172</v>
      </c>
      <c r="N265" s="526">
        <f t="shared" si="26"/>
        <v>173</v>
      </c>
      <c r="O265" s="526">
        <f t="shared" si="26"/>
        <v>174</v>
      </c>
      <c r="P265" s="526">
        <f t="shared" si="26"/>
        <v>175</v>
      </c>
      <c r="Q265" s="526">
        <f t="shared" si="26"/>
        <v>176</v>
      </c>
      <c r="R265" s="526">
        <f t="shared" si="26"/>
        <v>177</v>
      </c>
      <c r="S265" s="526">
        <f t="shared" si="26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7"/>
        <v>185</v>
      </c>
      <c r="D266" s="526">
        <f t="shared" si="26"/>
        <v>186</v>
      </c>
      <c r="E266" s="526">
        <f t="shared" si="26"/>
        <v>187</v>
      </c>
      <c r="F266" s="526">
        <f t="shared" si="26"/>
        <v>188</v>
      </c>
      <c r="G266" s="526">
        <f t="shared" si="26"/>
        <v>189</v>
      </c>
      <c r="H266" s="526">
        <f t="shared" si="26"/>
        <v>190</v>
      </c>
      <c r="I266" s="526">
        <f t="shared" si="26"/>
        <v>191</v>
      </c>
      <c r="J266" s="526">
        <f t="shared" si="26"/>
        <v>192</v>
      </c>
      <c r="K266" s="526">
        <f t="shared" si="26"/>
        <v>193</v>
      </c>
      <c r="L266" s="526">
        <f t="shared" si="26"/>
        <v>194</v>
      </c>
      <c r="M266" s="526">
        <f t="shared" si="26"/>
        <v>195</v>
      </c>
      <c r="N266" s="526">
        <f t="shared" si="26"/>
        <v>196</v>
      </c>
      <c r="O266" s="526">
        <f t="shared" si="26"/>
        <v>197</v>
      </c>
      <c r="P266" s="526">
        <f t="shared" si="26"/>
        <v>198</v>
      </c>
      <c r="Q266" s="526">
        <f t="shared" si="26"/>
        <v>199</v>
      </c>
      <c r="R266" s="526">
        <f t="shared" si="26"/>
        <v>200</v>
      </c>
      <c r="S266" s="526">
        <f t="shared" si="26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7"/>
        <v>208</v>
      </c>
      <c r="D267" s="526">
        <f t="shared" si="26"/>
        <v>209</v>
      </c>
      <c r="E267" s="526">
        <f t="shared" si="26"/>
        <v>210</v>
      </c>
      <c r="F267" s="526">
        <f t="shared" si="26"/>
        <v>211</v>
      </c>
      <c r="G267" s="526">
        <f t="shared" si="26"/>
        <v>212</v>
      </c>
      <c r="H267" s="526">
        <f t="shared" si="26"/>
        <v>213</v>
      </c>
      <c r="I267" s="526">
        <f t="shared" si="26"/>
        <v>214</v>
      </c>
      <c r="J267" s="526">
        <f t="shared" si="26"/>
        <v>215</v>
      </c>
      <c r="K267" s="526">
        <f t="shared" si="26"/>
        <v>216</v>
      </c>
      <c r="L267" s="526">
        <f t="shared" si="26"/>
        <v>217</v>
      </c>
      <c r="M267" s="526">
        <f t="shared" si="26"/>
        <v>218</v>
      </c>
      <c r="N267" s="526">
        <f t="shared" si="26"/>
        <v>219</v>
      </c>
      <c r="O267" s="526">
        <f t="shared" si="26"/>
        <v>220</v>
      </c>
      <c r="P267" s="526">
        <f t="shared" si="26"/>
        <v>221</v>
      </c>
      <c r="Q267" s="526">
        <f t="shared" si="26"/>
        <v>222</v>
      </c>
      <c r="R267" s="526">
        <f t="shared" si="26"/>
        <v>223</v>
      </c>
      <c r="S267" s="526">
        <f t="shared" si="26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7"/>
        <v>231</v>
      </c>
      <c r="D268" s="526">
        <f t="shared" si="26"/>
        <v>232</v>
      </c>
      <c r="E268" s="526">
        <f t="shared" si="26"/>
        <v>233</v>
      </c>
      <c r="F268" s="526">
        <f t="shared" si="26"/>
        <v>234</v>
      </c>
      <c r="G268" s="526">
        <f t="shared" si="26"/>
        <v>235</v>
      </c>
      <c r="H268" s="526">
        <f t="shared" si="26"/>
        <v>236</v>
      </c>
      <c r="I268" s="526">
        <f t="shared" si="26"/>
        <v>237</v>
      </c>
      <c r="J268" s="526">
        <f t="shared" si="26"/>
        <v>238</v>
      </c>
      <c r="K268" s="526">
        <f t="shared" si="26"/>
        <v>239</v>
      </c>
      <c r="L268" s="526">
        <f t="shared" si="26"/>
        <v>240</v>
      </c>
      <c r="M268" s="526">
        <f t="shared" si="26"/>
        <v>241</v>
      </c>
      <c r="N268" s="526">
        <f t="shared" si="26"/>
        <v>242</v>
      </c>
      <c r="O268" s="526">
        <f t="shared" si="26"/>
        <v>243</v>
      </c>
      <c r="P268" s="526">
        <f t="shared" si="26"/>
        <v>244</v>
      </c>
      <c r="Q268" s="526">
        <f t="shared" si="26"/>
        <v>245</v>
      </c>
      <c r="R268" s="526">
        <f t="shared" si="26"/>
        <v>246</v>
      </c>
      <c r="S268" s="526">
        <f t="shared" si="26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7"/>
        <v>254</v>
      </c>
      <c r="D269" s="526">
        <f t="shared" si="26"/>
        <v>255</v>
      </c>
      <c r="E269" s="526">
        <f t="shared" si="26"/>
        <v>256</v>
      </c>
      <c r="F269" s="526">
        <f t="shared" si="26"/>
        <v>257</v>
      </c>
      <c r="G269" s="526">
        <f t="shared" si="26"/>
        <v>258</v>
      </c>
      <c r="H269" s="526">
        <f t="shared" si="26"/>
        <v>259</v>
      </c>
      <c r="I269" s="526">
        <f t="shared" si="26"/>
        <v>260</v>
      </c>
      <c r="J269" s="526">
        <f t="shared" si="26"/>
        <v>261</v>
      </c>
      <c r="K269" s="526">
        <f t="shared" si="26"/>
        <v>262</v>
      </c>
      <c r="L269" s="526">
        <f t="shared" si="26"/>
        <v>263</v>
      </c>
      <c r="M269" s="526">
        <f t="shared" si="26"/>
        <v>264</v>
      </c>
      <c r="N269" s="526">
        <f t="shared" si="26"/>
        <v>265</v>
      </c>
      <c r="O269" s="526">
        <f t="shared" si="26"/>
        <v>266</v>
      </c>
      <c r="P269" s="526">
        <f t="shared" si="26"/>
        <v>267</v>
      </c>
      <c r="Q269" s="526">
        <f t="shared" si="26"/>
        <v>268</v>
      </c>
      <c r="R269" s="526">
        <f t="shared" si="26"/>
        <v>269</v>
      </c>
      <c r="S269" s="526">
        <f t="shared" si="26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7"/>
        <v>277</v>
      </c>
      <c r="D270" s="526">
        <f t="shared" si="26"/>
        <v>278</v>
      </c>
      <c r="E270" s="526">
        <f t="shared" si="26"/>
        <v>279</v>
      </c>
      <c r="F270" s="526">
        <f t="shared" si="26"/>
        <v>280</v>
      </c>
      <c r="G270" s="526">
        <f t="shared" si="26"/>
        <v>281</v>
      </c>
      <c r="H270" s="526">
        <f t="shared" si="26"/>
        <v>282</v>
      </c>
      <c r="I270" s="526">
        <f t="shared" si="26"/>
        <v>283</v>
      </c>
      <c r="J270" s="526">
        <f t="shared" si="26"/>
        <v>284</v>
      </c>
      <c r="K270" s="526">
        <f t="shared" si="26"/>
        <v>285</v>
      </c>
      <c r="L270" s="526">
        <f t="shared" si="26"/>
        <v>286</v>
      </c>
      <c r="M270" s="526">
        <f t="shared" si="26"/>
        <v>287</v>
      </c>
      <c r="N270" s="526">
        <f t="shared" si="26"/>
        <v>288</v>
      </c>
      <c r="O270" s="526">
        <f t="shared" si="26"/>
        <v>289</v>
      </c>
      <c r="P270" s="526">
        <f t="shared" si="26"/>
        <v>290</v>
      </c>
      <c r="Q270" s="526">
        <f t="shared" si="26"/>
        <v>291</v>
      </c>
      <c r="R270" s="526">
        <f t="shared" si="26"/>
        <v>292</v>
      </c>
      <c r="S270" s="526">
        <f t="shared" si="26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7"/>
        <v>300</v>
      </c>
      <c r="D271" s="526">
        <f t="shared" si="26"/>
        <v>301</v>
      </c>
      <c r="E271" s="526">
        <f t="shared" si="26"/>
        <v>302</v>
      </c>
      <c r="F271" s="526">
        <f t="shared" si="26"/>
        <v>303</v>
      </c>
      <c r="G271" s="526">
        <f t="shared" si="26"/>
        <v>304</v>
      </c>
      <c r="H271" s="526">
        <f t="shared" si="26"/>
        <v>305</v>
      </c>
      <c r="I271" s="526">
        <f t="shared" si="26"/>
        <v>306</v>
      </c>
      <c r="J271" s="526">
        <f t="shared" si="26"/>
        <v>307</v>
      </c>
      <c r="K271" s="526">
        <f t="shared" si="26"/>
        <v>308</v>
      </c>
      <c r="L271" s="526">
        <f t="shared" si="26"/>
        <v>309</v>
      </c>
      <c r="M271" s="526">
        <f t="shared" si="26"/>
        <v>310</v>
      </c>
      <c r="N271" s="526">
        <f t="shared" si="26"/>
        <v>311</v>
      </c>
      <c r="O271" s="526">
        <f t="shared" si="26"/>
        <v>312</v>
      </c>
      <c r="P271" s="526">
        <f t="shared" si="26"/>
        <v>313</v>
      </c>
      <c r="Q271" s="526">
        <f t="shared" si="26"/>
        <v>314</v>
      </c>
      <c r="R271" s="526">
        <f t="shared" si="26"/>
        <v>315</v>
      </c>
      <c r="S271" s="526">
        <f t="shared" si="26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7"/>
        <v>323</v>
      </c>
      <c r="D272" s="526">
        <f t="shared" si="26"/>
        <v>324</v>
      </c>
      <c r="E272" s="526">
        <f t="shared" si="26"/>
        <v>325</v>
      </c>
      <c r="F272" s="526">
        <f t="shared" si="26"/>
        <v>326</v>
      </c>
      <c r="G272" s="526">
        <f t="shared" si="26"/>
        <v>327</v>
      </c>
      <c r="H272" s="526">
        <f t="shared" si="26"/>
        <v>328</v>
      </c>
      <c r="I272" s="526">
        <f t="shared" si="26"/>
        <v>329</v>
      </c>
      <c r="J272" s="526">
        <f t="shared" si="26"/>
        <v>330</v>
      </c>
      <c r="K272" s="526">
        <f t="shared" si="26"/>
        <v>331</v>
      </c>
      <c r="L272" s="526">
        <f t="shared" si="26"/>
        <v>332</v>
      </c>
      <c r="M272" s="526">
        <f t="shared" si="26"/>
        <v>333</v>
      </c>
      <c r="N272" s="526">
        <f t="shared" si="26"/>
        <v>334</v>
      </c>
      <c r="O272" s="526">
        <f t="shared" si="26"/>
        <v>335</v>
      </c>
      <c r="P272" s="526">
        <f t="shared" si="26"/>
        <v>336</v>
      </c>
      <c r="Q272" s="526">
        <f t="shared" si="26"/>
        <v>337</v>
      </c>
      <c r="R272" s="526">
        <f t="shared" si="26"/>
        <v>338</v>
      </c>
      <c r="S272" s="526">
        <f t="shared" si="26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7"/>
        <v>346</v>
      </c>
      <c r="D273" s="526">
        <f t="shared" si="26"/>
        <v>347</v>
      </c>
      <c r="E273" s="526">
        <f t="shared" si="26"/>
        <v>348</v>
      </c>
      <c r="F273" s="526">
        <f t="shared" si="26"/>
        <v>349</v>
      </c>
      <c r="G273" s="526">
        <f t="shared" si="26"/>
        <v>350</v>
      </c>
      <c r="H273" s="526">
        <f t="shared" si="26"/>
        <v>351</v>
      </c>
      <c r="I273" s="526">
        <f t="shared" si="26"/>
        <v>352</v>
      </c>
      <c r="J273" s="526">
        <f t="shared" si="26"/>
        <v>353</v>
      </c>
      <c r="K273" s="526">
        <f t="shared" si="26"/>
        <v>354</v>
      </c>
      <c r="L273" s="526">
        <f t="shared" si="26"/>
        <v>355</v>
      </c>
      <c r="M273" s="526">
        <f t="shared" si="26"/>
        <v>356</v>
      </c>
      <c r="N273" s="526">
        <f t="shared" si="26"/>
        <v>357</v>
      </c>
      <c r="O273" s="526">
        <f t="shared" si="26"/>
        <v>358</v>
      </c>
      <c r="P273" s="526">
        <f t="shared" si="26"/>
        <v>359</v>
      </c>
      <c r="Q273" s="526">
        <f t="shared" si="26"/>
        <v>360</v>
      </c>
      <c r="R273" s="526">
        <f t="shared" si="26"/>
        <v>361</v>
      </c>
      <c r="S273" s="526">
        <f t="shared" si="26"/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7"/>
        <v>369</v>
      </c>
      <c r="D274" s="526">
        <f t="shared" si="26"/>
        <v>370</v>
      </c>
      <c r="E274" s="526">
        <f t="shared" si="26"/>
        <v>371</v>
      </c>
      <c r="F274" s="526">
        <f t="shared" si="26"/>
        <v>372</v>
      </c>
      <c r="G274" s="526">
        <f t="shared" si="26"/>
        <v>373</v>
      </c>
      <c r="H274" s="526">
        <f t="shared" si="26"/>
        <v>374</v>
      </c>
      <c r="I274" s="526">
        <f t="shared" si="26"/>
        <v>375</v>
      </c>
      <c r="J274" s="526">
        <f t="shared" si="26"/>
        <v>376</v>
      </c>
      <c r="K274" s="526">
        <f t="shared" si="26"/>
        <v>377</v>
      </c>
      <c r="L274" s="526">
        <f t="shared" si="26"/>
        <v>378</v>
      </c>
      <c r="M274" s="526">
        <f t="shared" si="26"/>
        <v>379</v>
      </c>
      <c r="N274" s="526">
        <f t="shared" si="26"/>
        <v>380</v>
      </c>
      <c r="O274" s="526">
        <f t="shared" si="26"/>
        <v>381</v>
      </c>
      <c r="P274" s="526">
        <f t="shared" si="26"/>
        <v>382</v>
      </c>
      <c r="Q274" s="526">
        <f t="shared" si="26"/>
        <v>383</v>
      </c>
      <c r="R274" s="526">
        <f t="shared" si="26"/>
        <v>384</v>
      </c>
      <c r="S274" s="526">
        <f t="shared" ref="S274:Y286" si="28">R274+1</f>
        <v>385</v>
      </c>
      <c r="T274" s="526">
        <f t="shared" si="28"/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7"/>
        <v>392</v>
      </c>
      <c r="D275" s="526">
        <f t="shared" ref="D275:S286" si="29">C275+1</f>
        <v>393</v>
      </c>
      <c r="E275" s="526">
        <f t="shared" si="29"/>
        <v>394</v>
      </c>
      <c r="F275" s="526">
        <f t="shared" si="29"/>
        <v>395</v>
      </c>
      <c r="G275" s="526">
        <f t="shared" si="29"/>
        <v>396</v>
      </c>
      <c r="H275" s="526">
        <f t="shared" si="29"/>
        <v>397</v>
      </c>
      <c r="I275" s="526">
        <f t="shared" si="29"/>
        <v>398</v>
      </c>
      <c r="J275" s="526">
        <f t="shared" si="29"/>
        <v>399</v>
      </c>
      <c r="K275" s="526">
        <f t="shared" si="29"/>
        <v>400</v>
      </c>
      <c r="L275" s="526">
        <f t="shared" si="29"/>
        <v>401</v>
      </c>
      <c r="M275" s="526">
        <f t="shared" si="29"/>
        <v>402</v>
      </c>
      <c r="N275" s="526">
        <f t="shared" si="29"/>
        <v>403</v>
      </c>
      <c r="O275" s="526">
        <f t="shared" si="29"/>
        <v>404</v>
      </c>
      <c r="P275" s="526">
        <f t="shared" si="29"/>
        <v>405</v>
      </c>
      <c r="Q275" s="526">
        <f t="shared" si="29"/>
        <v>406</v>
      </c>
      <c r="R275" s="526">
        <f t="shared" si="29"/>
        <v>407</v>
      </c>
      <c r="S275" s="526">
        <f t="shared" si="29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7"/>
        <v>415</v>
      </c>
      <c r="D276" s="526">
        <f t="shared" si="29"/>
        <v>416</v>
      </c>
      <c r="E276" s="526">
        <f t="shared" si="29"/>
        <v>417</v>
      </c>
      <c r="F276" s="526">
        <f t="shared" si="29"/>
        <v>418</v>
      </c>
      <c r="G276" s="526">
        <f t="shared" si="29"/>
        <v>419</v>
      </c>
      <c r="H276" s="526">
        <f t="shared" si="29"/>
        <v>420</v>
      </c>
      <c r="I276" s="526">
        <f t="shared" si="29"/>
        <v>421</v>
      </c>
      <c r="J276" s="526">
        <f t="shared" si="29"/>
        <v>422</v>
      </c>
      <c r="K276" s="526">
        <f t="shared" si="29"/>
        <v>423</v>
      </c>
      <c r="L276" s="526">
        <f t="shared" si="29"/>
        <v>424</v>
      </c>
      <c r="M276" s="526">
        <f t="shared" si="29"/>
        <v>425</v>
      </c>
      <c r="N276" s="526">
        <f t="shared" si="29"/>
        <v>426</v>
      </c>
      <c r="O276" s="526">
        <f t="shared" si="29"/>
        <v>427</v>
      </c>
      <c r="P276" s="526">
        <f t="shared" si="29"/>
        <v>428</v>
      </c>
      <c r="Q276" s="526">
        <f t="shared" si="29"/>
        <v>429</v>
      </c>
      <c r="R276" s="526">
        <f t="shared" si="29"/>
        <v>430</v>
      </c>
      <c r="S276" s="526">
        <f t="shared" si="29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7"/>
        <v>438</v>
      </c>
      <c r="D277" s="526">
        <f t="shared" si="29"/>
        <v>439</v>
      </c>
      <c r="E277" s="526">
        <f t="shared" si="29"/>
        <v>440</v>
      </c>
      <c r="F277" s="526">
        <f t="shared" si="29"/>
        <v>441</v>
      </c>
      <c r="G277" s="526">
        <f t="shared" si="29"/>
        <v>442</v>
      </c>
      <c r="H277" s="526">
        <f t="shared" si="29"/>
        <v>443</v>
      </c>
      <c r="I277" s="526">
        <f t="shared" si="29"/>
        <v>444</v>
      </c>
      <c r="J277" s="526">
        <f t="shared" si="29"/>
        <v>445</v>
      </c>
      <c r="K277" s="526">
        <f t="shared" si="29"/>
        <v>446</v>
      </c>
      <c r="L277" s="526">
        <f t="shared" si="29"/>
        <v>447</v>
      </c>
      <c r="M277" s="526">
        <f t="shared" si="29"/>
        <v>448</v>
      </c>
      <c r="N277" s="526">
        <f t="shared" si="29"/>
        <v>449</v>
      </c>
      <c r="O277" s="526">
        <f t="shared" si="29"/>
        <v>450</v>
      </c>
      <c r="P277" s="526">
        <f t="shared" si="29"/>
        <v>451</v>
      </c>
      <c r="Q277" s="526">
        <f t="shared" si="29"/>
        <v>452</v>
      </c>
      <c r="R277" s="526">
        <f t="shared" si="29"/>
        <v>453</v>
      </c>
      <c r="S277" s="526">
        <f t="shared" si="29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7"/>
        <v>461</v>
      </c>
      <c r="D278" s="526">
        <f t="shared" si="29"/>
        <v>462</v>
      </c>
      <c r="E278" s="526">
        <f t="shared" si="29"/>
        <v>463</v>
      </c>
      <c r="F278" s="526">
        <f t="shared" si="29"/>
        <v>464</v>
      </c>
      <c r="G278" s="526">
        <f t="shared" si="29"/>
        <v>465</v>
      </c>
      <c r="H278" s="526">
        <f t="shared" si="29"/>
        <v>466</v>
      </c>
      <c r="I278" s="526">
        <f t="shared" si="29"/>
        <v>467</v>
      </c>
      <c r="J278" s="526">
        <f t="shared" si="29"/>
        <v>468</v>
      </c>
      <c r="K278" s="526">
        <f t="shared" si="29"/>
        <v>469</v>
      </c>
      <c r="L278" s="526">
        <f t="shared" si="29"/>
        <v>470</v>
      </c>
      <c r="M278" s="526">
        <f t="shared" si="29"/>
        <v>471</v>
      </c>
      <c r="N278" s="526">
        <f t="shared" si="29"/>
        <v>472</v>
      </c>
      <c r="O278" s="526">
        <f t="shared" si="29"/>
        <v>473</v>
      </c>
      <c r="P278" s="526">
        <f t="shared" si="29"/>
        <v>474</v>
      </c>
      <c r="Q278" s="526">
        <f t="shared" si="29"/>
        <v>475</v>
      </c>
      <c r="R278" s="526">
        <f t="shared" si="29"/>
        <v>476</v>
      </c>
      <c r="S278" s="526">
        <f t="shared" si="29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7"/>
        <v>484</v>
      </c>
      <c r="D279" s="526">
        <f t="shared" si="29"/>
        <v>485</v>
      </c>
      <c r="E279" s="526">
        <f t="shared" si="29"/>
        <v>486</v>
      </c>
      <c r="F279" s="526">
        <f t="shared" si="29"/>
        <v>487</v>
      </c>
      <c r="G279" s="526">
        <f t="shared" si="29"/>
        <v>488</v>
      </c>
      <c r="H279" s="526">
        <f t="shared" si="29"/>
        <v>489</v>
      </c>
      <c r="I279" s="526">
        <f t="shared" si="29"/>
        <v>490</v>
      </c>
      <c r="J279" s="526">
        <f t="shared" si="29"/>
        <v>491</v>
      </c>
      <c r="K279" s="526">
        <f t="shared" si="29"/>
        <v>492</v>
      </c>
      <c r="L279" s="526">
        <f t="shared" si="29"/>
        <v>493</v>
      </c>
      <c r="M279" s="526">
        <f t="shared" si="29"/>
        <v>494</v>
      </c>
      <c r="N279" s="526">
        <f t="shared" si="29"/>
        <v>495</v>
      </c>
      <c r="O279" s="526">
        <f t="shared" si="29"/>
        <v>496</v>
      </c>
      <c r="P279" s="526">
        <f t="shared" si="29"/>
        <v>497</v>
      </c>
      <c r="Q279" s="526">
        <f t="shared" si="29"/>
        <v>498</v>
      </c>
      <c r="R279" s="526">
        <f t="shared" si="29"/>
        <v>499</v>
      </c>
      <c r="S279" s="526">
        <f t="shared" si="29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7"/>
        <v>507</v>
      </c>
      <c r="D280" s="526">
        <f t="shared" si="29"/>
        <v>508</v>
      </c>
      <c r="E280" s="526">
        <f t="shared" si="29"/>
        <v>509</v>
      </c>
      <c r="F280" s="526">
        <f t="shared" si="29"/>
        <v>510</v>
      </c>
      <c r="G280" s="526">
        <f t="shared" si="29"/>
        <v>511</v>
      </c>
      <c r="H280" s="526">
        <f t="shared" si="29"/>
        <v>512</v>
      </c>
      <c r="I280" s="526">
        <f t="shared" si="29"/>
        <v>513</v>
      </c>
      <c r="J280" s="526">
        <f t="shared" si="29"/>
        <v>514</v>
      </c>
      <c r="K280" s="526">
        <f t="shared" si="29"/>
        <v>515</v>
      </c>
      <c r="L280" s="526">
        <f t="shared" si="29"/>
        <v>516</v>
      </c>
      <c r="M280" s="526">
        <f t="shared" si="29"/>
        <v>517</v>
      </c>
      <c r="N280" s="526">
        <f t="shared" si="29"/>
        <v>518</v>
      </c>
      <c r="O280" s="526">
        <f t="shared" si="29"/>
        <v>519</v>
      </c>
      <c r="P280" s="526">
        <f t="shared" si="29"/>
        <v>520</v>
      </c>
      <c r="Q280" s="526">
        <f t="shared" si="29"/>
        <v>521</v>
      </c>
      <c r="R280" s="526">
        <f t="shared" si="29"/>
        <v>522</v>
      </c>
      <c r="S280" s="526">
        <f t="shared" si="29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7"/>
        <v>530</v>
      </c>
      <c r="D281" s="526">
        <f t="shared" si="29"/>
        <v>531</v>
      </c>
      <c r="E281" s="526">
        <f t="shared" si="29"/>
        <v>532</v>
      </c>
      <c r="F281" s="526">
        <f t="shared" si="29"/>
        <v>533</v>
      </c>
      <c r="G281" s="526">
        <f t="shared" si="29"/>
        <v>534</v>
      </c>
      <c r="H281" s="526">
        <f t="shared" si="29"/>
        <v>535</v>
      </c>
      <c r="I281" s="526">
        <f t="shared" si="29"/>
        <v>536</v>
      </c>
      <c r="J281" s="526">
        <f t="shared" si="29"/>
        <v>537</v>
      </c>
      <c r="K281" s="526">
        <f t="shared" si="29"/>
        <v>538</v>
      </c>
      <c r="L281" s="526">
        <f t="shared" si="29"/>
        <v>539</v>
      </c>
      <c r="M281" s="526">
        <f t="shared" si="29"/>
        <v>540</v>
      </c>
      <c r="N281" s="526">
        <f t="shared" si="29"/>
        <v>541</v>
      </c>
      <c r="O281" s="526">
        <f t="shared" si="29"/>
        <v>542</v>
      </c>
      <c r="P281" s="526">
        <f t="shared" si="29"/>
        <v>543</v>
      </c>
      <c r="Q281" s="526">
        <f t="shared" si="29"/>
        <v>544</v>
      </c>
      <c r="R281" s="526">
        <f t="shared" si="29"/>
        <v>545</v>
      </c>
      <c r="S281" s="526">
        <f t="shared" si="29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7"/>
        <v>553</v>
      </c>
      <c r="D282" s="526">
        <f t="shared" si="29"/>
        <v>554</v>
      </c>
      <c r="E282" s="526">
        <f t="shared" si="29"/>
        <v>555</v>
      </c>
      <c r="F282" s="526">
        <f t="shared" si="29"/>
        <v>556</v>
      </c>
      <c r="G282" s="526">
        <f t="shared" si="29"/>
        <v>557</v>
      </c>
      <c r="H282" s="526">
        <f t="shared" si="29"/>
        <v>558</v>
      </c>
      <c r="I282" s="526">
        <f t="shared" si="29"/>
        <v>559</v>
      </c>
      <c r="J282" s="526">
        <f t="shared" si="29"/>
        <v>560</v>
      </c>
      <c r="K282" s="526">
        <f t="shared" si="29"/>
        <v>561</v>
      </c>
      <c r="L282" s="526">
        <f t="shared" si="29"/>
        <v>562</v>
      </c>
      <c r="M282" s="526">
        <f t="shared" si="29"/>
        <v>563</v>
      </c>
      <c r="N282" s="526">
        <f t="shared" si="29"/>
        <v>564</v>
      </c>
      <c r="O282" s="526">
        <f t="shared" si="29"/>
        <v>565</v>
      </c>
      <c r="P282" s="526">
        <f t="shared" si="29"/>
        <v>566</v>
      </c>
      <c r="Q282" s="526">
        <f t="shared" si="29"/>
        <v>567</v>
      </c>
      <c r="R282" s="526">
        <f t="shared" si="29"/>
        <v>568</v>
      </c>
      <c r="S282" s="526">
        <f t="shared" si="29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7"/>
        <v>576</v>
      </c>
      <c r="D283" s="526">
        <f t="shared" si="29"/>
        <v>577</v>
      </c>
      <c r="E283" s="526">
        <f t="shared" si="29"/>
        <v>578</v>
      </c>
      <c r="F283" s="526">
        <f t="shared" si="29"/>
        <v>579</v>
      </c>
      <c r="G283" s="526">
        <f t="shared" si="29"/>
        <v>580</v>
      </c>
      <c r="H283" s="526">
        <f t="shared" si="29"/>
        <v>581</v>
      </c>
      <c r="I283" s="526">
        <f t="shared" si="29"/>
        <v>582</v>
      </c>
      <c r="J283" s="526">
        <f t="shared" si="29"/>
        <v>583</v>
      </c>
      <c r="K283" s="526">
        <f t="shared" si="29"/>
        <v>584</v>
      </c>
      <c r="L283" s="526">
        <f t="shared" si="29"/>
        <v>585</v>
      </c>
      <c r="M283" s="526">
        <f t="shared" si="29"/>
        <v>586</v>
      </c>
      <c r="N283" s="526">
        <f t="shared" si="29"/>
        <v>587</v>
      </c>
      <c r="O283" s="526">
        <f t="shared" si="29"/>
        <v>588</v>
      </c>
      <c r="P283" s="526">
        <f t="shared" si="29"/>
        <v>589</v>
      </c>
      <c r="Q283" s="526">
        <f t="shared" si="29"/>
        <v>590</v>
      </c>
      <c r="R283" s="526">
        <f t="shared" si="29"/>
        <v>591</v>
      </c>
      <c r="S283" s="526">
        <f t="shared" si="29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7"/>
        <v>599</v>
      </c>
      <c r="D284" s="526">
        <f t="shared" si="29"/>
        <v>600</v>
      </c>
      <c r="E284" s="526">
        <f t="shared" si="29"/>
        <v>601</v>
      </c>
      <c r="F284" s="526">
        <f t="shared" si="29"/>
        <v>602</v>
      </c>
      <c r="G284" s="526">
        <f t="shared" si="29"/>
        <v>603</v>
      </c>
      <c r="H284" s="526">
        <f t="shared" si="29"/>
        <v>604</v>
      </c>
      <c r="I284" s="526">
        <f t="shared" si="29"/>
        <v>605</v>
      </c>
      <c r="J284" s="526">
        <f t="shared" si="29"/>
        <v>606</v>
      </c>
      <c r="K284" s="526">
        <f t="shared" si="29"/>
        <v>607</v>
      </c>
      <c r="L284" s="526">
        <f t="shared" si="29"/>
        <v>608</v>
      </c>
      <c r="M284" s="526">
        <f t="shared" si="29"/>
        <v>609</v>
      </c>
      <c r="N284" s="526">
        <f t="shared" si="29"/>
        <v>610</v>
      </c>
      <c r="O284" s="526">
        <f t="shared" si="29"/>
        <v>611</v>
      </c>
      <c r="P284" s="526">
        <f t="shared" si="29"/>
        <v>612</v>
      </c>
      <c r="Q284" s="526">
        <f t="shared" si="29"/>
        <v>613</v>
      </c>
      <c r="R284" s="526">
        <f t="shared" si="29"/>
        <v>614</v>
      </c>
      <c r="S284" s="526">
        <f t="shared" si="29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7"/>
        <v>622</v>
      </c>
      <c r="D285" s="526">
        <f t="shared" si="29"/>
        <v>623</v>
      </c>
      <c r="E285" s="526">
        <f t="shared" si="29"/>
        <v>624</v>
      </c>
      <c r="F285" s="526">
        <f t="shared" si="29"/>
        <v>625</v>
      </c>
      <c r="G285" s="526">
        <f t="shared" si="29"/>
        <v>626</v>
      </c>
      <c r="H285" s="526">
        <f t="shared" si="29"/>
        <v>627</v>
      </c>
      <c r="I285" s="526">
        <f t="shared" si="29"/>
        <v>628</v>
      </c>
      <c r="J285" s="526">
        <f t="shared" si="29"/>
        <v>629</v>
      </c>
      <c r="K285" s="526">
        <f t="shared" si="29"/>
        <v>630</v>
      </c>
      <c r="L285" s="526">
        <f t="shared" si="29"/>
        <v>631</v>
      </c>
      <c r="M285" s="526">
        <f t="shared" si="29"/>
        <v>632</v>
      </c>
      <c r="N285" s="526">
        <f t="shared" si="29"/>
        <v>633</v>
      </c>
      <c r="O285" s="526">
        <f t="shared" si="29"/>
        <v>634</v>
      </c>
      <c r="P285" s="526">
        <f t="shared" si="29"/>
        <v>635</v>
      </c>
      <c r="Q285" s="526">
        <f t="shared" si="29"/>
        <v>636</v>
      </c>
      <c r="R285" s="526">
        <f t="shared" si="29"/>
        <v>637</v>
      </c>
      <c r="S285" s="526">
        <f t="shared" si="29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7"/>
        <v>645</v>
      </c>
      <c r="D286" s="526">
        <f t="shared" si="29"/>
        <v>646</v>
      </c>
      <c r="E286" s="526">
        <f t="shared" si="29"/>
        <v>647</v>
      </c>
      <c r="F286" s="526">
        <f t="shared" si="29"/>
        <v>648</v>
      </c>
      <c r="G286" s="526">
        <f t="shared" si="29"/>
        <v>649</v>
      </c>
      <c r="H286" s="526">
        <f t="shared" si="29"/>
        <v>650</v>
      </c>
      <c r="I286" s="526">
        <f t="shared" si="29"/>
        <v>651</v>
      </c>
      <c r="J286" s="526">
        <f t="shared" si="29"/>
        <v>652</v>
      </c>
      <c r="K286" s="526">
        <f t="shared" si="29"/>
        <v>653</v>
      </c>
      <c r="L286" s="526">
        <f t="shared" si="29"/>
        <v>654</v>
      </c>
      <c r="M286" s="526">
        <f t="shared" si="29"/>
        <v>655</v>
      </c>
      <c r="N286" s="526">
        <f t="shared" si="29"/>
        <v>656</v>
      </c>
      <c r="O286" s="526">
        <f t="shared" si="29"/>
        <v>657</v>
      </c>
      <c r="P286" s="526">
        <f t="shared" si="29"/>
        <v>658</v>
      </c>
      <c r="Q286" s="526">
        <f t="shared" si="29"/>
        <v>659</v>
      </c>
      <c r="R286" s="526">
        <f t="shared" si="29"/>
        <v>660</v>
      </c>
      <c r="S286" s="526">
        <f t="shared" si="29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dataConsolidate/>
  <pageMargins left="0.7" right="0.7" top="0.75" bottom="0.75" header="0.3" footer="0.3"/>
  <pageSetup paperSize="9"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38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Horizon</v>
      </c>
      <c r="C6" s="108"/>
      <c r="D6" s="109">
        <f>VLOOKUP($B$6,$B$258:$J$286,9,FALSE)</f>
        <v>215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28.615608209999998</v>
      </c>
      <c r="E7" s="407">
        <f>D7/('Industry calcs'!D4/1000)*100</f>
        <v>1.3882009533527775</v>
      </c>
    </row>
    <row r="8" spans="2:5">
      <c r="B8" s="111" t="s">
        <v>250</v>
      </c>
      <c r="C8" s="114"/>
      <c r="D8" s="406">
        <f>VLOOKUP(D6,'AV (2011)'!A8:F214,'AV (2011)'!F214,FALSE)/1000</f>
        <v>97.309162999999998</v>
      </c>
      <c r="E8" s="407">
        <f>D8/('Industry calcs'!D5/1000)*100</f>
        <v>1.084207630063257</v>
      </c>
    </row>
    <row r="9" spans="2:5">
      <c r="B9" s="111" t="s">
        <v>230</v>
      </c>
      <c r="C9" s="114"/>
      <c r="D9" s="406">
        <f>VLOOKUP($D$6,'FS (2011)'!$A$13:$AH$244,'FS (2011)'!S245,FALSE)/1000</f>
        <v>6.8320897</v>
      </c>
      <c r="E9" s="407">
        <f>D9/('Industry calcs'!D6/1000)*100</f>
        <v>1.5048408471487968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6.0082713199999995</v>
      </c>
      <c r="E10" s="407">
        <f>D10/('Industry calcs'!D7/1000)*100</f>
        <v>1.0267598540437024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540.56871000000001</v>
      </c>
      <c r="E11" s="407">
        <f>D11/'Industry calcs'!D8*100</f>
        <v>1.7468270862153936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90</v>
      </c>
      <c r="E12" s="407">
        <f>D12/'Industry calcs'!D9*100</f>
        <v>1.4392521185431373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2363.8130000000001</v>
      </c>
      <c r="E13" s="407">
        <f>D13/'Industry calcs'!D10*100</f>
        <v>1.580407920491429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24593</v>
      </c>
      <c r="E14" s="407">
        <f>D14/'Industry calcs'!D11*100</f>
        <v>1.2243394277322117</v>
      </c>
    </row>
    <row r="15" spans="2:5">
      <c r="B15" s="115" t="s">
        <v>195</v>
      </c>
      <c r="C15" s="116" t="s">
        <v>239</v>
      </c>
      <c r="D15" s="408">
        <f>D14/D13</f>
        <v>10.403953273799576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Horizon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26.454745611283776</v>
      </c>
      <c r="D20" s="409">
        <f>VLOOKUP($B$2,'MED price allocation'!$B$16:$F$44,3,FALSE)</f>
        <v>27.004300455304634</v>
      </c>
      <c r="E20" s="409">
        <f>VLOOKUP($B$2,'MED price allocation'!$B$16:$F$44,4,FALSE)</f>
        <v>26.810653175608309</v>
      </c>
      <c r="F20" s="503">
        <f>VLOOKUP($B$2,'MED price allocation'!$B$16:$F$44,5,FALSE)</f>
        <v>27.84375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8.473855892332697</v>
      </c>
      <c r="D21" s="410">
        <f>VLOOKUP($B$2,'MED price allocation'!$B$47:$F$75,3,FALSE)</f>
        <v>8.5019946461665157</v>
      </c>
      <c r="E21" s="410">
        <f>VLOOKUP($B$2,'MED price allocation'!$B$47:$F$75,4,FALSE)</f>
        <v>8.6091590094581107</v>
      </c>
      <c r="F21" s="504">
        <f>VLOOKUP($B$2,'MED price allocation'!$B$47:$F$75,5,FALSE)</f>
        <v>9.09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10.780987140372387</v>
      </c>
      <c r="D22" s="409">
        <f>VLOOKUP($B$2,'MED price allocation'!$B$78:$F$106,3,FALSE)</f>
        <v>11.045326377925727</v>
      </c>
      <c r="E22" s="409">
        <f>VLOOKUP($B$2,'MED price allocation'!$B$78:$F$106,4,FALSE)</f>
        <v>10.942292042790545</v>
      </c>
      <c r="F22" s="503">
        <f>VLOOKUP($B$2,'MED price allocation'!$B$78:$F$106,5,FALSE)</f>
        <v>11.36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2.3071312480396911</v>
      </c>
      <c r="D23" s="411">
        <f>VLOOKUP($B$2,'MED price allocation'!$B$109:$F$137,3,FALSE)</f>
        <v>2.5433317317592139</v>
      </c>
      <c r="E23" s="411">
        <f>VLOOKUP($B$2,'MED price allocation'!$B$109:$F$137,4,FALSE)</f>
        <v>2.3331330333324347</v>
      </c>
      <c r="F23" s="505">
        <f>VLOOKUP($B$2,'MED price allocation'!$B$109:$F$137,5,FALSE)</f>
        <v>2.2700000000000005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Horizon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2116.3796489027022</v>
      </c>
      <c r="D26" s="412">
        <f>(D20*8000)/100</f>
        <v>2160.3440364243706</v>
      </c>
      <c r="E26" s="412">
        <f>(E20*8000)/100</f>
        <v>2144.8522540486647</v>
      </c>
      <c r="F26" s="506">
        <f>(F20*8000)/100</f>
        <v>2227.5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862.47897122979089</v>
      </c>
      <c r="D27" s="412">
        <f>(D22*8000)/100</f>
        <v>883.62611023405816</v>
      </c>
      <c r="E27" s="412">
        <f>(E22*8000)/100</f>
        <v>875.38336342324362</v>
      </c>
      <c r="F27" s="506">
        <f>(F22*8000)/100</f>
        <v>908.8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677.9084713866157</v>
      </c>
      <c r="D28" s="412">
        <f>(D21*8000)/100</f>
        <v>680.15957169332114</v>
      </c>
      <c r="E28" s="412">
        <f>(E21*8000)/100</f>
        <v>688.73272075664897</v>
      </c>
      <c r="F28" s="506">
        <f>(F21*8000)/100</f>
        <v>727.2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184.57049984317527</v>
      </c>
      <c r="D29" s="413">
        <f>(D23*8000)/100</f>
        <v>203.46653854073713</v>
      </c>
      <c r="E29" s="413">
        <f>(E23*8000)/100</f>
        <v>186.65064266659479</v>
      </c>
      <c r="F29" s="507">
        <f>(F23*8000)/100</f>
        <v>181.60000000000002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Horizon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2162.2689848439345</v>
      </c>
      <c r="D32" s="122"/>
    </row>
    <row r="33" spans="2:13">
      <c r="B33" s="120" t="s">
        <v>241</v>
      </c>
      <c r="C33" s="412">
        <f>AVERAGE(C27:F27)</f>
        <v>882.57211122177318</v>
      </c>
      <c r="D33" s="414">
        <f>C33/$C$32</f>
        <v>0.40816943562896935</v>
      </c>
    </row>
    <row r="34" spans="2:13">
      <c r="B34" s="120" t="s">
        <v>222</v>
      </c>
      <c r="C34" s="412">
        <f>AVERAGE(C28:F28)</f>
        <v>693.50019095914649</v>
      </c>
      <c r="D34" s="414">
        <f>C34/$C$32</f>
        <v>0.32072799259487184</v>
      </c>
    </row>
    <row r="35" spans="2:13">
      <c r="B35" s="124" t="s">
        <v>223</v>
      </c>
      <c r="C35" s="413">
        <f>AVERAGE(C29:F29)</f>
        <v>189.0719202626268</v>
      </c>
      <c r="D35" s="415">
        <f>C35/$C$32</f>
        <v>8.7441443034097538E-2</v>
      </c>
    </row>
    <row r="38" spans="2:13">
      <c r="B38" s="517" t="s">
        <v>227</v>
      </c>
      <c r="C38" s="518">
        <f>VLOOKUP($B$2,$B$258:$J$286,6,FALSE)</f>
        <v>212</v>
      </c>
      <c r="D38" s="518">
        <f>VLOOKUP($B$2,$B$258:$J$286,7,FALSE)</f>
        <v>213</v>
      </c>
      <c r="E38" s="518">
        <f>VLOOKUP($B$2,$B$258:$J$286,8,FALSE)</f>
        <v>214</v>
      </c>
      <c r="F38" s="519">
        <f>VLOOKUP($B$2,$B$258:$J$286,9,FALSE)</f>
        <v>215</v>
      </c>
    </row>
    <row r="39" spans="2:13">
      <c r="B39" s="137" t="str">
        <f>B2</f>
        <v>Horizon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27170.735404180086</v>
      </c>
      <c r="D40" s="418">
        <f>VLOOKUP($D$38,'FS (2011)'!$A$13:$AH$244,'FS (2011)'!E245,FALSE)</f>
        <v>27299.356694900125</v>
      </c>
      <c r="E40" s="418">
        <f>VLOOKUP($E$38,'FS (2011)'!$A$13:$AH$244,'FS (2011)'!E245,FALSE)</f>
        <v>27499.13628169545</v>
      </c>
      <c r="F40" s="419">
        <f>VLOOKUP($F$38,'FS (2011)'!$A$13:$AH$244,'FS (2011)'!E245,FALSE)</f>
        <v>27462.531999999999</v>
      </c>
    </row>
    <row r="41" spans="2:13" ht="30">
      <c r="B41" s="120" t="s">
        <v>198</v>
      </c>
      <c r="C41" s="417">
        <f>VLOOKUP($C$38,'FS (2011)'!$A$13:$AH$244,'FS (2011)'!$F$245,FALSE)</f>
        <v>1146.9911624419035</v>
      </c>
      <c r="D41" s="418">
        <f>VLOOKUP($D$38,'FS (2011)'!$A$13:$AH$244,'FS (2011)'!$F$245,FALSE)</f>
        <v>746.55898721394715</v>
      </c>
      <c r="E41" s="418">
        <f>VLOOKUP($E$38,'FS (2011)'!$A$13:$AH$244,'FS (2011)'!$F$245,FALSE)</f>
        <v>602.81154106868576</v>
      </c>
      <c r="F41" s="419">
        <f>VLOOKUP($F$38,'FS (2011)'!$A$13:$AH$244,'FS (2011)'!$F$245,FALSE)</f>
        <v>1139.837</v>
      </c>
    </row>
    <row r="42" spans="2:13">
      <c r="B42" s="120" t="s">
        <v>13</v>
      </c>
      <c r="C42" s="417">
        <f>VLOOKUP($C$38,'FS (2011)'!$A$13:$AH$244,'FS (2011)'!$H$245,FALSE)</f>
        <v>181.69329155712694</v>
      </c>
      <c r="D42" s="418">
        <f>VLOOKUP($D$38,'FS (2011)'!$A$13:$AH$244,'FS (2011)'!$H$245,FALSE)</f>
        <v>1662.9596328093894</v>
      </c>
      <c r="E42" s="418">
        <f>VLOOKUP($E$38,'FS (2011)'!$A$13:$AH$244,'FS (2011)'!$H$245,FALSE)</f>
        <v>182.92440506857804</v>
      </c>
      <c r="F42" s="419">
        <f>VLOOKUP($F$38,'FS (2011)'!$A$13:$AH$244,'FS (2011)'!$H$245,FALSE)</f>
        <v>13.23921</v>
      </c>
    </row>
    <row r="43" spans="2:13">
      <c r="B43" s="124" t="s">
        <v>5</v>
      </c>
      <c r="C43" s="420">
        <f>SUM(C40:C42)</f>
        <v>28499.419858179117</v>
      </c>
      <c r="D43" s="420">
        <f>SUM(D40:D42)</f>
        <v>29708.875314923462</v>
      </c>
      <c r="E43" s="420">
        <f>SUM(E40:E42)</f>
        <v>28284.872227832711</v>
      </c>
      <c r="F43" s="421">
        <f>SUM(F40:F42)</f>
        <v>28615.608209999999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Horizon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100.47338170574601</v>
      </c>
      <c r="E46" s="422">
        <f>IF(ISERROR(E40/$C40),"",(E40/$C40))*100</f>
        <v>101.20865656608191</v>
      </c>
      <c r="F46" s="423">
        <f>IF(ISERROR(F40/$C40),"",(F40/$C40))*100</f>
        <v>101.07393705573027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65.088469001326004</v>
      </c>
      <c r="E47" s="422">
        <f t="shared" si="0"/>
        <v>52.55590110958844</v>
      </c>
      <c r="F47" s="423">
        <f t="shared" si="0"/>
        <v>99.376266995233635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915.25648446218565</v>
      </c>
      <c r="E48" s="422">
        <f t="shared" si="0"/>
        <v>100.67757785711314</v>
      </c>
      <c r="F48" s="423">
        <f t="shared" si="0"/>
        <v>7.2865706193876747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104.24378974295942</v>
      </c>
      <c r="E49" s="424">
        <f t="shared" si="0"/>
        <v>99.247185972858205</v>
      </c>
      <c r="F49" s="416">
        <f t="shared" si="0"/>
        <v>100.4076867262529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Horizon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13098.338764221149</v>
      </c>
      <c r="D54" s="426">
        <f>VLOOKUP($D$38,'MP (2011)'!$A$14:$AR$245,'MP (2011)'!$Z$246,FALSE)</f>
        <v>13719.919979408329</v>
      </c>
      <c r="E54" s="426">
        <f>VLOOKUP($E$38,'MP (2011)'!$A$14:$AR$245,'MP (2011)'!$Z$246,FALSE)</f>
        <v>13813.370159790895</v>
      </c>
      <c r="F54" s="427">
        <f>VLOOKUP($F$38,'MP (2011)'!$A$14:$AR$245,'MP (2011)'!$Z$246,FALSE)</f>
        <v>13889.957</v>
      </c>
    </row>
    <row r="55" spans="2:23">
      <c r="B55" s="111" t="s">
        <v>180</v>
      </c>
      <c r="C55" s="425">
        <f>VLOOKUP($C$38,'MP (2011)'!$A$14:$AR$245,'MP (2011)'!$AD$246,FALSE)</f>
        <v>5456.2860535485152</v>
      </c>
      <c r="D55" s="426">
        <f>VLOOKUP($D$38,'MP (2011)'!$A$14:$AR$245,'MP (2011)'!$AD$246,FALSE)</f>
        <v>5705.8779554945413</v>
      </c>
      <c r="E55" s="426">
        <f>VLOOKUP($E$38,'MP (2011)'!$A$14:$AR$245,'MP (2011)'!$AD$246,FALSE)</f>
        <v>5548.5775107111094</v>
      </c>
      <c r="F55" s="427">
        <f>VLOOKUP($F$38,'MP (2011)'!$A$14:$AR$245,'MP (2011)'!$AD$246,FALSE)</f>
        <v>5563.13</v>
      </c>
      <c r="J55" s="139"/>
    </row>
    <row r="56" spans="2:23">
      <c r="B56" s="111" t="s">
        <v>184</v>
      </c>
      <c r="C56" s="425">
        <f>VLOOKUP($C$38,'MP (2011)'!$A$14:$AR$245,'MP (2011)'!$AH$246,FALSE)</f>
        <v>4642.9478998032555</v>
      </c>
      <c r="D56" s="426">
        <f>VLOOKUP($D$38,'MP (2011)'!$A$14:$AR$245,'MP (2011)'!$AH$246,FALSE)</f>
        <v>4634.6029615210364</v>
      </c>
      <c r="E56" s="426">
        <f>VLOOKUP($E$38,'MP (2011)'!$A$14:$AR$245,'MP (2011)'!$AH$246,FALSE)</f>
        <v>4700.1012841745032</v>
      </c>
      <c r="F56" s="427">
        <f>VLOOKUP($F$38,'MP (2011)'!$A$14:$AR$245,'MP (2011)'!$AH$246,FALSE)</f>
        <v>5257.4161999999997</v>
      </c>
    </row>
    <row r="57" spans="2:23">
      <c r="B57" s="111" t="s">
        <v>181</v>
      </c>
      <c r="C57" s="425">
        <f>VLOOKUP($C$38,'MP (2011)'!$A$14:$AR$245,'MP (2011)'!$AL$246,FALSE)</f>
        <v>3973.1631178466537</v>
      </c>
      <c r="D57" s="426">
        <f>VLOOKUP($D$38,'MP (2011)'!$A$14:$AR$245,'MP (2011)'!$AL$246,FALSE)</f>
        <v>3238.9554870478405</v>
      </c>
      <c r="E57" s="426">
        <f>VLOOKUP($E$38,'MP (2011)'!$A$14:$AR$245,'MP (2011)'!$AL$246,FALSE)</f>
        <v>3436.4827501010477</v>
      </c>
      <c r="F57" s="427">
        <f>VLOOKUP($F$38,'MP (2011)'!$A$14:$AR$245,'MP (2011)'!$AL$246,FALSE)</f>
        <v>2752.0284000000001</v>
      </c>
      <c r="W57" s="139"/>
    </row>
    <row r="58" spans="2:23">
      <c r="B58" s="147" t="s">
        <v>248</v>
      </c>
      <c r="C58" s="428">
        <f>SUM(C54:C57)</f>
        <v>27170.735835419571</v>
      </c>
      <c r="D58" s="428">
        <f>SUM(D54:D57)</f>
        <v>27299.356383471742</v>
      </c>
      <c r="E58" s="428">
        <f>SUM(E54:E57)</f>
        <v>27498.531704777557</v>
      </c>
      <c r="F58" s="429">
        <f>SUM(F54:F57)</f>
        <v>27462.531599999998</v>
      </c>
    </row>
    <row r="59" spans="2:23">
      <c r="B59" s="103" t="s">
        <v>302</v>
      </c>
    </row>
    <row r="60" spans="2:23">
      <c r="B60" s="137" t="str">
        <f>$B$2</f>
        <v>Horizon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104.74549655781588</v>
      </c>
      <c r="E61" s="422">
        <f t="shared" si="1"/>
        <v>105.45894718743185</v>
      </c>
      <c r="F61" s="423">
        <f t="shared" si="1"/>
        <v>106.04365370317952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104.57439180234518</v>
      </c>
      <c r="E62" s="422">
        <f t="shared" si="1"/>
        <v>101.69147028320798</v>
      </c>
      <c r="F62" s="423">
        <f t="shared" si="1"/>
        <v>101.95818081022342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99.820266381137444</v>
      </c>
      <c r="E63" s="422">
        <f t="shared" si="1"/>
        <v>101.23097190846508</v>
      </c>
      <c r="F63" s="423">
        <f t="shared" si="1"/>
        <v>113.23444314812971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81.520828392348164</v>
      </c>
      <c r="E64" s="422">
        <f t="shared" si="1"/>
        <v>86.492365104897274</v>
      </c>
      <c r="F64" s="423">
        <f t="shared" si="1"/>
        <v>69.265427025596793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100.47337896489539</v>
      </c>
      <c r="E65" s="424">
        <f t="shared" si="1"/>
        <v>101.20642985653217</v>
      </c>
      <c r="F65" s="416">
        <f t="shared" si="1"/>
        <v>101.0739339793663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Horizon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634.73244641505858</v>
      </c>
      <c r="D70" s="433">
        <f>(D54/D98)*1000</f>
        <v>663.66371496194688</v>
      </c>
      <c r="E70" s="433">
        <f>(E54/E98)*1000</f>
        <v>661.97202088421398</v>
      </c>
      <c r="F70" s="434">
        <f>(F54/F98)*1000</f>
        <v>663.67036169907794</v>
      </c>
    </row>
    <row r="71" spans="2:40">
      <c r="B71" s="111" t="s">
        <v>180</v>
      </c>
      <c r="C71" s="433">
        <f>(C55/C99)*1000</f>
        <v>1673.7073783891151</v>
      </c>
      <c r="D71" s="433">
        <f t="shared" ref="C71:F73" si="2">(D55/D99)*1000</f>
        <v>1745.4161444335348</v>
      </c>
      <c r="E71" s="433">
        <f t="shared" si="2"/>
        <v>1680.3687191735644</v>
      </c>
      <c r="F71" s="434">
        <f t="shared" si="2"/>
        <v>1679.1820102626018</v>
      </c>
    </row>
    <row r="72" spans="2:40">
      <c r="B72" s="111" t="s">
        <v>184</v>
      </c>
      <c r="C72" s="433">
        <f>(C56/C100)*1000</f>
        <v>14554.695610668512</v>
      </c>
      <c r="D72" s="433">
        <f t="shared" si="2"/>
        <v>15096.426584759076</v>
      </c>
      <c r="E72" s="433">
        <f t="shared" si="2"/>
        <v>14242.731164165161</v>
      </c>
      <c r="F72" s="434">
        <f t="shared" si="2"/>
        <v>15194.84450867052</v>
      </c>
    </row>
    <row r="73" spans="2:40">
      <c r="B73" s="115" t="s">
        <v>181</v>
      </c>
      <c r="C73" s="435">
        <f t="shared" si="2"/>
        <v>794632.62356933067</v>
      </c>
      <c r="D73" s="435">
        <f t="shared" si="2"/>
        <v>647791.09740956814</v>
      </c>
      <c r="E73" s="435">
        <f t="shared" si="2"/>
        <v>687296.55002020951</v>
      </c>
      <c r="F73" s="436">
        <f t="shared" si="2"/>
        <v>550405.68000000005</v>
      </c>
    </row>
    <row r="74" spans="2:40">
      <c r="B74" s="103" t="s">
        <v>303</v>
      </c>
    </row>
    <row r="75" spans="2:40">
      <c r="B75" s="137" t="str">
        <f>$B$2</f>
        <v>Horizon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104.55802578082954</v>
      </c>
      <c r="E76" s="422">
        <f t="shared" si="3"/>
        <v>104.29150496764477</v>
      </c>
      <c r="F76" s="423">
        <f t="shared" si="3"/>
        <v>104.55907295230604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104.28442671462899</v>
      </c>
      <c r="E77" s="422">
        <f t="shared" si="3"/>
        <v>100.39799912878802</v>
      </c>
      <c r="F77" s="423">
        <f t="shared" si="3"/>
        <v>100.32709611872272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103.72203575108418</v>
      </c>
      <c r="E78" s="422">
        <f t="shared" si="3"/>
        <v>97.856606178182915</v>
      </c>
      <c r="F78" s="423">
        <f t="shared" si="3"/>
        <v>104.39822937645485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81.520828392348179</v>
      </c>
      <c r="E79" s="424">
        <f t="shared" si="3"/>
        <v>86.492365104897289</v>
      </c>
      <c r="F79" s="416">
        <f t="shared" si="3"/>
        <v>69.265427025596807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Horizon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10.238475555760729</v>
      </c>
      <c r="D84" s="437">
        <f>(D54/VLOOKUP($D$38,'MP (2011)'!$A$14:$AR$245,'MP (2011)'!$AA$246,FALSE)*100)</f>
        <v>10.603391342472394</v>
      </c>
      <c r="E84" s="437">
        <f>(E54/VLOOKUP($E$38,'MP (2011)'!$A$14:$AR$245,'MP (2011)'!$AA$246,FALSE)*100)</f>
        <v>10.433342719130502</v>
      </c>
      <c r="F84" s="438">
        <f>(F54/VLOOKUP($F$38,'MP (2011)'!$A$14:$AR$245,'MP (2011)'!$AA$246,FALSE)*100)</f>
        <v>10.724095650582095</v>
      </c>
    </row>
    <row r="85" spans="2:7">
      <c r="B85" s="111" t="s">
        <v>180</v>
      </c>
      <c r="C85" s="430">
        <f>(C55/VLOOKUP($C$38,'MP (2011)'!$A$14:$AR$245,'MP (2011)'!$AE$246,FALSE)*100)</f>
        <v>9.3843669828986354</v>
      </c>
      <c r="D85" s="437">
        <f>(D55/VLOOKUP($D$38,'MP (2011)'!$A$14:$AR$245,'MP (2011)'!$AE$246,FALSE)*100)</f>
        <v>9.5438828883560962</v>
      </c>
      <c r="E85" s="437">
        <f>(E55/VLOOKUP($E$38,'MP (2011)'!$A$14:$AR$245,'MP (2011)'!$AE$246,FALSE)*100)</f>
        <v>9.2423895198598824</v>
      </c>
      <c r="F85" s="438">
        <f>(F55/VLOOKUP($F$38,'MP (2011)'!$A$14:$AR$245,'MP (2011)'!$AE$246,FALSE)*100)</f>
        <v>9.3465001828934451</v>
      </c>
    </row>
    <row r="86" spans="2:7">
      <c r="B86" s="111" t="s">
        <v>184</v>
      </c>
      <c r="C86" s="430">
        <f>(C56/VLOOKUP($C$38,'MP (2011)'!$A$14:$AR$245,'MP (2011)'!$AI$246,FALSE)*100)</f>
        <v>7.8019075950435761</v>
      </c>
      <c r="D86" s="437">
        <f>(D56/VLOOKUP($D$38,'MP (2011)'!$A$14:$AR$245,'MP (2011)'!$AI$246,FALSE)*100)</f>
        <v>7.7515732927729966</v>
      </c>
      <c r="E86" s="437">
        <f>(E56/VLOOKUP($E$38,'MP (2011)'!$A$14:$AR$245,'MP (2011)'!$AI$246,FALSE)*100)</f>
        <v>6.2534901994745917</v>
      </c>
      <c r="F86" s="438">
        <f>(F56/VLOOKUP($F$38,'MP (2011)'!$A$14:$AR$245,'MP (2011)'!$AI$246,FALSE)*100)</f>
        <v>8.2188254356965338</v>
      </c>
    </row>
    <row r="87" spans="2:7">
      <c r="B87" s="115" t="s">
        <v>181</v>
      </c>
      <c r="C87" s="431">
        <f>(C57/VLOOKUP($C$38,'MP (2011)'!$A$14:$AR$245,'MP (2011)'!$AM$246,FALSE)*100)</f>
        <v>1.347064275771507</v>
      </c>
      <c r="D87" s="431">
        <f>(D57/VLOOKUP($D$38,'MP (2011)'!$A$14:$AR$245,'MP (2011)'!$AM$246,FALSE)*100)</f>
        <v>1.2309764631891136</v>
      </c>
      <c r="E87" s="431">
        <f>(E57/VLOOKUP($E$38,'MP (2011)'!$A$14:$AR$245,'MP (2011)'!$AM$246,FALSE)*100)</f>
        <v>1.2561287070699172</v>
      </c>
      <c r="F87" s="432">
        <f>(F57/VLOOKUP($F$38,'MP (2011)'!$A$14:$AR$245,'MP (2011)'!$AM$246,FALSE)*100)</f>
        <v>0.95703176877989427</v>
      </c>
    </row>
    <row r="88" spans="2:7">
      <c r="B88" s="103" t="s">
        <v>304</v>
      </c>
    </row>
    <row r="89" spans="2:7">
      <c r="B89" s="137" t="str">
        <f>$B$2</f>
        <v>Horizon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103.56416133167738</v>
      </c>
      <c r="E90" s="422">
        <f>IF(ISERROR(E84/$C84),"",(E84/$C84)*100)</f>
        <v>101.90328298689086</v>
      </c>
      <c r="F90" s="423">
        <f>IF(ISERROR(F84/$C84),"",(F84/$C84)*100)</f>
        <v>104.74308984942712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101.69980464050639</v>
      </c>
      <c r="E91" s="422">
        <f t="shared" si="4"/>
        <v>98.48708534845791</v>
      </c>
      <c r="F91" s="423">
        <f t="shared" si="4"/>
        <v>99.596490630916335</v>
      </c>
    </row>
    <row r="92" spans="2:7">
      <c r="B92" s="111" t="s">
        <v>184</v>
      </c>
      <c r="C92" s="422">
        <f t="shared" si="4"/>
        <v>100</v>
      </c>
      <c r="D92" s="422">
        <f t="shared" si="4"/>
        <v>99.354846213475341</v>
      </c>
      <c r="E92" s="422">
        <f t="shared" si="4"/>
        <v>80.153348694456866</v>
      </c>
      <c r="F92" s="423">
        <f t="shared" si="4"/>
        <v>105.34379362449535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91.382162331050893</v>
      </c>
      <c r="E93" s="424">
        <f>IF(ISERROR(E87/$C87),"",(E87/$C87)*100)</f>
        <v>93.249351917561015</v>
      </c>
      <c r="F93" s="416">
        <f>IF(ISERROR(F87/$C87),"",(F87/$C87)*100)</f>
        <v>71.045738944548248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20636</v>
      </c>
      <c r="D98" s="150">
        <f>VLOOKUP($D$38,'MP (2011)'!$A$14:$AR$245,'MP (2011)'!$AB$246,FALSE)</f>
        <v>20673</v>
      </c>
      <c r="E98" s="150">
        <f>VLOOKUP($E$38,'MP (2011)'!$A$14:$AR$245,'MP (2011)'!$AB$246,FALSE)</f>
        <v>20867</v>
      </c>
      <c r="F98" s="151">
        <f>VLOOKUP($F$38,'MP (2011)'!$A$14:$AR$245,'MP (2011)'!$AB$246,FALSE)</f>
        <v>20929</v>
      </c>
    </row>
    <row r="99" spans="2:7">
      <c r="B99" s="155" t="s">
        <v>309</v>
      </c>
      <c r="C99" s="150">
        <f>VLOOKUP($C$38,'MP (2011)'!$A$14:$AR$245,'MP (2011)'!$AF$246,FALSE)</f>
        <v>3260</v>
      </c>
      <c r="D99" s="150">
        <f>VLOOKUP($D$38,'MP (2011)'!$A$14:$AR$245,'MP (2011)'!$AF$246,FALSE)</f>
        <v>3269.0645</v>
      </c>
      <c r="E99" s="150">
        <f>VLOOKUP($E$38,'MP (2011)'!$A$14:$AR$245,'MP (2011)'!$AF$246,FALSE)</f>
        <v>3302</v>
      </c>
      <c r="F99" s="151">
        <f>VLOOKUP($F$38,'MP (2011)'!$A$14:$AR$245,'MP (2011)'!$AF$246,FALSE)</f>
        <v>3313</v>
      </c>
    </row>
    <row r="100" spans="2:7">
      <c r="B100" s="155" t="s">
        <v>310</v>
      </c>
      <c r="C100" s="150">
        <f>VLOOKUP($C$38,'MP (2011)'!$A$14:$AR$245,'MP (2011)'!$AJ$246,FALSE)</f>
        <v>319</v>
      </c>
      <c r="D100" s="150">
        <f>VLOOKUP($D$38,'MP (2011)'!$A$14:$AR$245,'MP (2011)'!$AJ$246,FALSE)</f>
        <v>307</v>
      </c>
      <c r="E100" s="150">
        <f>VLOOKUP($E$38,'MP (2011)'!$A$14:$AR$245,'MP (2011)'!$AJ$246,FALSE)</f>
        <v>330</v>
      </c>
      <c r="F100" s="151">
        <f>VLOOKUP($F$38,'MP (2011)'!$A$14:$AR$245,'MP (2011)'!$AJ$246,FALSE)</f>
        <v>346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24220</v>
      </c>
      <c r="D102" s="152">
        <f>SUM(D98:D101)</f>
        <v>24254.0645</v>
      </c>
      <c r="E102" s="152">
        <f>SUM(E98:E101)</f>
        <v>24504</v>
      </c>
      <c r="F102" s="157">
        <f>SUM(F98:F101)</f>
        <v>24593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100.17929831362666</v>
      </c>
      <c r="E105" s="422">
        <f t="shared" si="5"/>
        <v>101.11940298507463</v>
      </c>
      <c r="F105" s="423">
        <f t="shared" si="5"/>
        <v>101.41984880790851</v>
      </c>
    </row>
    <row r="106" spans="2:7">
      <c r="B106" s="111" t="s">
        <v>180</v>
      </c>
      <c r="C106" s="422">
        <f t="shared" si="5"/>
        <v>100</v>
      </c>
      <c r="D106" s="422">
        <f t="shared" si="5"/>
        <v>100.27805214723926</v>
      </c>
      <c r="E106" s="422">
        <f t="shared" si="5"/>
        <v>101.28834355828221</v>
      </c>
      <c r="F106" s="423">
        <f t="shared" si="5"/>
        <v>101.62576687116565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96.238244514106583</v>
      </c>
      <c r="E107" s="422">
        <f t="shared" si="5"/>
        <v>103.44827586206897</v>
      </c>
      <c r="F107" s="423">
        <f t="shared" si="5"/>
        <v>108.4639498432602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Horizon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127932.51</v>
      </c>
      <c r="D113" s="150">
        <f>VLOOKUP($D$38,'MP (2011)'!$A$14:$AR$245,'MP (2011)'!$AA$246,FALSE)</f>
        <v>129391.81</v>
      </c>
      <c r="E113" s="150">
        <f>VLOOKUP($E$38,'MP (2011)'!$A$14:$AR$245,'MP (2011)'!$AA$246,FALSE)</f>
        <v>132396.4</v>
      </c>
      <c r="F113" s="151">
        <f>VLOOKUP($F$38,'MP (2011)'!$A$14:$AR$245,'MP (2011)'!$AA$246,FALSE)</f>
        <v>129521.01</v>
      </c>
    </row>
    <row r="114" spans="2:7">
      <c r="B114" s="155" t="s">
        <v>309</v>
      </c>
      <c r="C114" s="150">
        <f>VLOOKUP($C$38,'MP (2011)'!$A$14:$AR$245,'MP (2011)'!$AE$246,FALSE)</f>
        <v>58142.292000000001</v>
      </c>
      <c r="D114" s="150">
        <f>VLOOKUP($D$38,'MP (2011)'!$A$14:$AR$245,'MP (2011)'!$AE$246,FALSE)</f>
        <v>59785.707999999999</v>
      </c>
      <c r="E114" s="150">
        <f>VLOOKUP($E$38,'MP (2011)'!$A$14:$AR$245,'MP (2011)'!$AE$246,FALSE)</f>
        <v>60034.014999999999</v>
      </c>
      <c r="F114" s="151">
        <f>VLOOKUP($F$38,'MP (2011)'!$A$14:$AR$245,'MP (2011)'!$AE$246,FALSE)</f>
        <v>59520.995999999999</v>
      </c>
    </row>
    <row r="115" spans="2:7">
      <c r="B115" s="155" t="s">
        <v>310</v>
      </c>
      <c r="C115" s="150">
        <f>VLOOKUP($C$38,'MP (2011)'!$A$14:$AR$245,'MP (2011)'!$AI$246,FALSE)</f>
        <v>59510.419000000002</v>
      </c>
      <c r="D115" s="150">
        <f>VLOOKUP($D$38,'MP (2011)'!$A$14:$AR$245,'MP (2011)'!$AI$246,FALSE)</f>
        <v>59789.190999999999</v>
      </c>
      <c r="E115" s="150">
        <f>VLOOKUP($E$38,'MP (2011)'!$A$14:$AR$245,'MP (2011)'!$AI$246,FALSE)</f>
        <v>75159.649000000005</v>
      </c>
      <c r="F115" s="151">
        <f>VLOOKUP($F$38,'MP (2011)'!$A$14:$AR$245,'MP (2011)'!$AI$246,FALSE)</f>
        <v>63967.974999999999</v>
      </c>
    </row>
    <row r="116" spans="2:7">
      <c r="B116" s="155" t="s">
        <v>311</v>
      </c>
      <c r="C116" s="150">
        <f>VLOOKUP($C$38,'MP (2011)'!$A$14:$AR$245,'MP (2011)'!$AM$246,FALSE)</f>
        <v>294949.78000000003</v>
      </c>
      <c r="D116" s="150">
        <f>VLOOKUP($D$38,'MP (2011)'!$A$14:$AR$245,'MP (2011)'!$AM$246,FALSE)</f>
        <v>263120.83</v>
      </c>
      <c r="E116" s="150">
        <f>VLOOKUP($E$38,'MP (2011)'!$A$14:$AR$245,'MP (2011)'!$AM$246,FALSE)</f>
        <v>273577.28000000003</v>
      </c>
      <c r="F116" s="151">
        <f>VLOOKUP($F$38,'MP (2011)'!$A$14:$AR$245,'MP (2011)'!$AM$246,FALSE)</f>
        <v>287558.73</v>
      </c>
    </row>
    <row r="117" spans="2:7">
      <c r="B117" s="147" t="s">
        <v>254</v>
      </c>
      <c r="C117" s="158">
        <f>SUM(C113:C116)</f>
        <v>540535.00100000005</v>
      </c>
      <c r="D117" s="158">
        <f>SUM(D113:D116)</f>
        <v>512087.53899999999</v>
      </c>
      <c r="E117" s="158">
        <f>SUM(E113:E116)</f>
        <v>541167.34400000004</v>
      </c>
      <c r="F117" s="159">
        <f>SUM(F113:F116)</f>
        <v>540568.71100000001</v>
      </c>
    </row>
    <row r="118" spans="2:7">
      <c r="B118" s="103" t="s">
        <v>306</v>
      </c>
    </row>
    <row r="119" spans="2:7">
      <c r="B119" s="137" t="str">
        <f>$B$2</f>
        <v>Horizon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101.14067956612436</v>
      </c>
      <c r="E120" s="422">
        <f t="shared" si="6"/>
        <v>103.48925382609939</v>
      </c>
      <c r="F120" s="423">
        <f t="shared" si="6"/>
        <v>101.24167031507471</v>
      </c>
    </row>
    <row r="121" spans="2:7">
      <c r="B121" s="111" t="s">
        <v>180</v>
      </c>
      <c r="C121" s="422">
        <f t="shared" si="6"/>
        <v>100</v>
      </c>
      <c r="D121" s="422">
        <f t="shared" si="6"/>
        <v>102.82654147861938</v>
      </c>
      <c r="E121" s="422">
        <f t="shared" si="6"/>
        <v>103.25360926603994</v>
      </c>
      <c r="F121" s="423">
        <f t="shared" si="6"/>
        <v>102.37125842923427</v>
      </c>
    </row>
    <row r="122" spans="2:7">
      <c r="B122" s="111" t="s">
        <v>184</v>
      </c>
      <c r="C122" s="422">
        <f t="shared" si="6"/>
        <v>100</v>
      </c>
      <c r="D122" s="422">
        <f t="shared" si="6"/>
        <v>100.46844234116381</v>
      </c>
      <c r="E122" s="422">
        <f t="shared" si="6"/>
        <v>126.29662210914698</v>
      </c>
      <c r="F122" s="423">
        <f t="shared" si="6"/>
        <v>107.49037912167951</v>
      </c>
    </row>
    <row r="123" spans="2:7">
      <c r="B123" s="115" t="s">
        <v>181</v>
      </c>
      <c r="C123" s="424">
        <f t="shared" si="6"/>
        <v>100</v>
      </c>
      <c r="D123" s="424">
        <f t="shared" si="6"/>
        <v>89.208688340096401</v>
      </c>
      <c r="E123" s="424">
        <f t="shared" si="6"/>
        <v>92.753851181038343</v>
      </c>
      <c r="F123" s="416">
        <f t="shared" si="6"/>
        <v>97.494132729985409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Horizon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28525.097991788083</v>
      </c>
      <c r="D128" s="433">
        <f>VLOOKUP($D$38,'FS (2011)'!$A$13:$AH$244,'FS (2011)'!$I$245,FALSE)</f>
        <v>29834.505127050579</v>
      </c>
      <c r="E128" s="433">
        <f>VLOOKUP($E$38,'FS (2011)'!$A$13:$AH$244,'FS (2011)'!$I$245,FALSE)</f>
        <v>28284.872319527898</v>
      </c>
      <c r="F128" s="440">
        <f>VLOOKUP($F$38,'FS (2011)'!$A$13:$AH$244,'FS (2011)'!$I$245,FALSE)</f>
        <v>28615.608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2946.8223059222714</v>
      </c>
      <c r="D129" s="433">
        <f>VLOOKUP($D$38,'FS (2011)'!$A$13:$AH$244,'FS (2011)'!$Y$245,FALSE)+VLOOKUP($D$38,'FS (2011)'!$A$13:$AH$244,'FS (2011)'!$Z$245,FALSE)</f>
        <v>2640.3853744526041</v>
      </c>
      <c r="E129" s="433">
        <f>VLOOKUP($E$38,'FS (2011)'!$A$13:$AH$244,'FS (2011)'!$Y$245,FALSE)+VLOOKUP($E$38,'FS (2011)'!$A$13:$AH$244,'FS (2011)'!$Z$245,FALSE)</f>
        <v>1817.8295284417015</v>
      </c>
      <c r="F129" s="440">
        <f>VLOOKUP($F$38,'FS (2011)'!$A$13:$AH$244,'FS (2011)'!$Y$245,FALSE)+VLOOKUP($F$38,'FS (2011)'!$A$13:$AH$244,'FS (2011)'!$Z$245,FALSE)</f>
        <v>4111.5192500000003</v>
      </c>
      <c r="G129" s="121"/>
    </row>
    <row r="130" spans="1:30">
      <c r="B130" s="162" t="s">
        <v>191</v>
      </c>
      <c r="C130" s="441">
        <f>VLOOKUP($C$38,'FS (2011)'!$A$13:$AH$244,'FS (2011)'!$J$245,FALSE)</f>
        <v>8255.0202888711465</v>
      </c>
      <c r="D130" s="433">
        <f>VLOOKUP($D$38,'FS (2011)'!$A$13:$AH$244,'FS (2011)'!$J$245,FALSE)</f>
        <v>7780.9695468734963</v>
      </c>
      <c r="E130" s="433">
        <f>VLOOKUP($E$38,'FS (2011)'!$A$13:$AH$244,'FS (2011)'!$J$245,FALSE)</f>
        <v>7462.2631475842727</v>
      </c>
      <c r="F130" s="440">
        <f>VLOOKUP($F$38,'FS (2011)'!$A$13:$AH$244,'FS (2011)'!$J$245,FALSE)</f>
        <v>7884.2341999999999</v>
      </c>
    </row>
    <row r="131" spans="1:30">
      <c r="B131" s="162" t="s">
        <v>182</v>
      </c>
      <c r="C131" s="441">
        <f>VLOOKUP($C$38,'FS (2011)'!$A$13:$AH$244,'FS (2011)'!$S$245,FALSE)</f>
        <v>6962.9668476804191</v>
      </c>
      <c r="D131" s="433">
        <f>VLOOKUP($D$38,'FS (2011)'!$A$13:$AH$244,'FS (2011)'!$S$245,FALSE)</f>
        <v>7269.7235354794402</v>
      </c>
      <c r="E131" s="433">
        <f>VLOOKUP($E$38,'FS (2011)'!$A$13:$AH$244,'FS (2011)'!$S$245,FALSE)</f>
        <v>6994.9294691600862</v>
      </c>
      <c r="F131" s="440">
        <f>VLOOKUP($F$38,'FS (2011)'!$A$13:$AH$244,'FS (2011)'!$S$245,FALSE)</f>
        <v>6832.0897000000004</v>
      </c>
      <c r="I131" s="139"/>
    </row>
    <row r="132" spans="1:30">
      <c r="B132" s="162" t="s">
        <v>143</v>
      </c>
      <c r="C132" s="441">
        <f>VLOOKUP($C$38,'FS (2011)'!$A$13:$AH$244,'FS (2011)'!$U$245,FALSE)</f>
        <v>4429.8265429557177</v>
      </c>
      <c r="D132" s="433">
        <f>VLOOKUP($D$38,'FS (2011)'!$A$13:$AH$244,'FS (2011)'!$U$245,FALSE)</f>
        <v>4130.5794931978844</v>
      </c>
      <c r="E132" s="433">
        <f>VLOOKUP($E$38,'FS (2011)'!$A$13:$AH$244,'FS (2011)'!$U$245,FALSE)</f>
        <v>3725.1946162323834</v>
      </c>
      <c r="F132" s="440">
        <f>VLOOKUP($F$38,'FS (2011)'!$A$13:$AH$244,'FS (2011)'!$U$245,FALSE)</f>
        <v>4096.5924999999997</v>
      </c>
    </row>
    <row r="133" spans="1:30">
      <c r="B133" s="162" t="s">
        <v>196</v>
      </c>
      <c r="C133" s="441">
        <f>VLOOKUP($C$38,'FS (2011)'!$A$13:$AH$244,'FS (2011)'!$X$245,FALSE)</f>
        <v>2360.6711395169796</v>
      </c>
      <c r="D133" s="433">
        <f>VLOOKUP($D$38,'FS (2011)'!$A$13:$AH$244,'FS (2011)'!$X$245,FALSE)</f>
        <v>2000.0267643626871</v>
      </c>
      <c r="E133" s="433">
        <f>VLOOKUP($E$38,'FS (2011)'!$A$13:$AH$244,'FS (2011)'!$X$245,FALSE)</f>
        <v>2491.8189879819997</v>
      </c>
      <c r="F133" s="440">
        <f>VLOOKUP($F$38,'FS (2011)'!$A$13:$AH$244,'FS (2011)'!$X$245,FALSE)</f>
        <v>2370.2152000000001</v>
      </c>
    </row>
    <row r="134" spans="1:30">
      <c r="B134" s="164" t="s">
        <v>258</v>
      </c>
      <c r="C134" s="442">
        <f>VLOOKUP($C$38,'FS (2011)'!$A$13:$AH$244,'FS (2011)'!$AA$245,FALSE)</f>
        <v>9463.4355864959653</v>
      </c>
      <c r="D134" s="435">
        <f>VLOOKUP($D$38,'FS (2011)'!$A$13:$AH$244,'FS (2011)'!$AA$245,FALSE)</f>
        <v>11293.590850161298</v>
      </c>
      <c r="E134" s="435">
        <f>VLOOKUP($E$38,'FS (2011)'!$A$13:$AH$244,'FS (2011)'!$AA$245,FALSE)</f>
        <v>9428.4952194767047</v>
      </c>
      <c r="F134" s="443">
        <f>VLOOKUP($F$38,'FS (2011)'!$A$13:$AH$244,'FS (2011)'!$AA$245,FALSE)</f>
        <v>11543.995999999999</v>
      </c>
      <c r="Q134" s="559"/>
      <c r="R134" s="559"/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2</v>
      </c>
      <c r="B138" s="166" t="s">
        <v>204</v>
      </c>
      <c r="C138" s="167"/>
      <c r="D138" s="444">
        <f>VLOOKUP($D$6,'FS (2011)'!$A$13:$AH$244,'FS (2011)'!$L$245,FALSE)</f>
        <v>1728.7253000000001</v>
      </c>
      <c r="E138" s="446">
        <f t="shared" ref="E138:E144" si="7">D138/$D$145</f>
        <v>0.2530302408837376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2863.7143999999998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1</v>
      </c>
      <c r="B139" s="162" t="s">
        <v>199</v>
      </c>
      <c r="C139" s="121"/>
      <c r="D139" s="441">
        <f>VLOOKUP($D$6,'FS (2011)'!$A$13:$AH$244,'FS (2011)'!K245,FALSE)</f>
        <v>2863.7143999999998</v>
      </c>
      <c r="E139" s="414">
        <f t="shared" si="7"/>
        <v>0.4191564411385823</v>
      </c>
      <c r="Q139" s="559"/>
      <c r="R139" s="559"/>
      <c r="S139" s="559"/>
      <c r="T139" s="559">
        <v>2</v>
      </c>
      <c r="U139" s="559" t="str">
        <f t="shared" ref="U139:U144" si="9">VLOOKUP(T139,$A$138:$E$144,2,FALSE)</f>
        <v>System management and operations</v>
      </c>
      <c r="V139" s="559">
        <f t="shared" ref="V139:V144" si="10">VLOOKUP(T139,$A$138:$E$144,4,FALSE)</f>
        <v>1728.7253000000001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3</v>
      </c>
      <c r="B140" s="162" t="s">
        <v>201</v>
      </c>
      <c r="C140" s="121"/>
      <c r="D140" s="441">
        <f>VLOOKUP($D$6,'FS (2011)'!$A$13:$AH$244,'FS (2011)'!M245,FALSE)</f>
        <v>1146.8359</v>
      </c>
      <c r="E140" s="414">
        <f t="shared" si="7"/>
        <v>0.16786019388454487</v>
      </c>
      <c r="Q140" s="559"/>
      <c r="R140" s="559"/>
      <c r="S140" s="559"/>
      <c r="T140" s="559">
        <v>3</v>
      </c>
      <c r="U140" s="559" t="str">
        <f t="shared" si="9"/>
        <v>Routine and preventative maintenance</v>
      </c>
      <c r="V140" s="559">
        <f t="shared" si="10"/>
        <v>1146.8359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6</v>
      </c>
      <c r="B141" s="162" t="s">
        <v>202</v>
      </c>
      <c r="C141" s="121"/>
      <c r="D141" s="441">
        <f>VLOOKUP($D$6,'FS (2011)'!$A$13:$AH$244,'FS (2011)'!N245,FALSE)</f>
        <v>188.9897</v>
      </c>
      <c r="E141" s="414">
        <f t="shared" si="7"/>
        <v>2.7662063669424693E-2</v>
      </c>
      <c r="Q141" s="559"/>
      <c r="R141" s="559"/>
      <c r="S141" s="559"/>
      <c r="T141" s="559">
        <v>4</v>
      </c>
      <c r="U141" s="559" t="str">
        <f t="shared" si="9"/>
        <v>Fault and emergency maintenance</v>
      </c>
      <c r="V141" s="559">
        <f t="shared" si="10"/>
        <v>698.87699999999995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4</v>
      </c>
      <c r="B142" s="162" t="s">
        <v>203</v>
      </c>
      <c r="C142" s="121"/>
      <c r="D142" s="441">
        <f>VLOOKUP($D$6,'FS (2011)'!$A$13:$AH$244,'FS (2011)'!O245,FALSE)</f>
        <v>698.87699999999995</v>
      </c>
      <c r="E142" s="414">
        <f t="shared" si="7"/>
        <v>0.10229329995812744</v>
      </c>
      <c r="Q142" s="559"/>
      <c r="R142" s="559"/>
      <c r="S142" s="559"/>
      <c r="T142" s="559">
        <v>5</v>
      </c>
      <c r="U142" s="559" t="str">
        <f t="shared" si="9"/>
        <v>Pass-through costs</v>
      </c>
      <c r="V142" s="559">
        <f t="shared" si="10"/>
        <v>204.94739000000001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8"/>
        <v>7</v>
      </c>
      <c r="B143" s="162" t="s">
        <v>13</v>
      </c>
      <c r="C143" s="121"/>
      <c r="D143" s="441">
        <f>VLOOKUP($D$6,'FS (2011)'!$A$13:$AH$244,'FS (2011)'!R245,FALSE)</f>
        <v>0</v>
      </c>
      <c r="E143" s="414">
        <f t="shared" si="7"/>
        <v>0</v>
      </c>
      <c r="Q143" s="559"/>
      <c r="R143" s="559"/>
      <c r="S143" s="559"/>
      <c r="T143" s="559">
        <v>6</v>
      </c>
      <c r="U143" s="559" t="str">
        <f t="shared" si="9"/>
        <v>Refurbishment and renewal maintenance</v>
      </c>
      <c r="V143" s="559">
        <f t="shared" si="10"/>
        <v>188.9897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5</v>
      </c>
      <c r="B144" s="162" t="s">
        <v>200</v>
      </c>
      <c r="C144" s="121"/>
      <c r="D144" s="441">
        <f>VLOOKUP($D$6,'FS (2011)'!$A$13:$AH$244,'FS (2011)'!P245,FALSE)</f>
        <v>204.94739000000001</v>
      </c>
      <c r="E144" s="414">
        <f t="shared" si="7"/>
        <v>2.9997760465583119E-2</v>
      </c>
      <c r="Q144" s="559"/>
      <c r="R144" s="559"/>
      <c r="S144" s="559"/>
      <c r="T144" s="559">
        <v>7</v>
      </c>
      <c r="U144" s="559" t="str">
        <f t="shared" si="9"/>
        <v>Other</v>
      </c>
      <c r="V144" s="559">
        <f t="shared" si="10"/>
        <v>0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6832.0896899999998</v>
      </c>
      <c r="E145" s="447">
        <f>SUM(E138:E144)</f>
        <v>1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2.096927368410983</v>
      </c>
      <c r="F149" s="455">
        <f>(VLOOKUP(F$38,'FS (2011)'!$A$13:$AH$244,'FS (2011)'!$M$245,FALSE)+VLOOKUP(F$38,'FS (2011)'!$A$13:$AH$244,'FS (2011)'!$N$245,FALSE)+VLOOKUP(F$38,'FS (2011)'!$A$13:$AH$244,'FS (2011)'!$O$245,FALSE))/1000</f>
        <v>2.0347026000000001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4.7350541641022872</v>
      </c>
      <c r="F150" s="457">
        <f>(VLOOKUP(F$38,'FS (2011)'!$A$13:$AH$244,'FS (2011)'!$L$245,FALSE)+VLOOKUP(F$38,'FS (2011)'!$A$13:$AH$244,'FS (2011)'!$K$245,FALSE))/1000</f>
        <v>4.5924396999999999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0.18276925563571039</v>
      </c>
      <c r="D151" s="456">
        <f>(VLOOKUP(D$38,'FS (2011)'!$A$13:$AH$244,'FS (2011)'!$R$245,FALSE)+VLOOKUP(D$38,'FS (2011)'!$A$13:$AH$244,'FS (2011)'!$P$245,FALSE)+VLOOKUP(D$38,'FS (2011)'!$A$13:$AH$244,'FS (2011)'!$Q$245,FALSE))/1000</f>
        <v>0.1712660071988468</v>
      </c>
      <c r="E151" s="456">
        <f>(VLOOKUP(E$38,'FS (2011)'!$A$13:$AH$244,'FS (2011)'!$R$245,FALSE)+VLOOKUP(E$38,'FS (2011)'!$A$13:$AH$244,'FS (2011)'!$P$245,FALSE)+VLOOKUP(E$38,'FS (2011)'!$A$13:$AH$244,'FS (2011)'!$Q$245,FALSE))/1000</f>
        <v>0.16294792645846243</v>
      </c>
      <c r="F151" s="457">
        <f>(VLOOKUP(F$38,'FS (2011)'!$A$13:$AH$244,'FS (2011)'!$R$245,FALSE)+VLOOKUP(F$38,'FS (2011)'!$A$13:$AH$244,'FS (2011)'!$P$245,FALSE)+VLOOKUP(F$38,'FS (2011)'!$A$13:$AH$244,'FS (2011)'!$Q$245,FALSE))/1000</f>
        <v>0.20494739000000001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6.962966847680419</v>
      </c>
      <c r="D152" s="458">
        <f>VLOOKUP($D$38,'FS (2011)'!$A$13:$AH$244,'FS (2011)'!$S$245,FALSE)/1000</f>
        <v>7.2697235354794403</v>
      </c>
      <c r="E152" s="459">
        <f>VLOOKUP($E$38,'FS (2011)'!$A$13:$AH$244,'FS (2011)'!$S$245,FALSE)/1000</f>
        <v>6.9949294691600858</v>
      </c>
      <c r="F152" s="460">
        <f>VLOOKUP($F$38,'FS (2011)'!$A$13:$AH$244,'FS (2011)'!$S$245,FALSE)/1000</f>
        <v>6.8320897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-2.9674260228734539E-2</v>
      </c>
      <c r="D154" s="464" t="str">
        <f t="shared" ref="D154:E157" si="11">IF(ISERROR(D149/C149 - 1),"",(D149/C149 - 1))</f>
        <v/>
      </c>
      <c r="E154" s="464" t="str">
        <f t="shared" si="11"/>
        <v/>
      </c>
      <c r="F154" s="465">
        <f>IF(ISERROR(F149/E149 - 1),"",(F149/E149 - 1))</f>
        <v>-2.9674260228734539E-2</v>
      </c>
      <c r="Q154" s="559"/>
      <c r="R154" s="559" t="s">
        <v>423</v>
      </c>
      <c r="S154" s="559" t="e">
        <f t="shared" ref="S154:V157" si="12">LN(C149)</f>
        <v>#NUM!</v>
      </c>
      <c r="T154" s="559" t="e">
        <f t="shared" si="12"/>
        <v>#NUM!</v>
      </c>
      <c r="U154" s="559">
        <f t="shared" si="12"/>
        <v>0.74047311536905425</v>
      </c>
      <c r="V154" s="559">
        <f t="shared" si="12"/>
        <v>0.71034966570855929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-3.0118866471155803E-2</v>
      </c>
      <c r="D155" s="467" t="str">
        <f t="shared" si="11"/>
        <v/>
      </c>
      <c r="E155" s="467" t="str">
        <f t="shared" si="11"/>
        <v/>
      </c>
      <c r="F155" s="468">
        <f>IF(ISERROR(F150/E150 - 1),"",(F150/E150 - 1))</f>
        <v>-3.0118866471155803E-2</v>
      </c>
      <c r="Q155" s="559"/>
      <c r="R155" s="559" t="s">
        <v>423</v>
      </c>
      <c r="S155" s="559" t="e">
        <f t="shared" si="12"/>
        <v>#NUM!</v>
      </c>
      <c r="T155" s="559" t="e">
        <f t="shared" si="12"/>
        <v>#NUM!</v>
      </c>
      <c r="U155" s="559">
        <f t="shared" si="12"/>
        <v>1.5549931656649678</v>
      </c>
      <c r="V155" s="559">
        <f t="shared" si="12"/>
        <v>1.5244114079175135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2.9815777414918587E-2</v>
      </c>
      <c r="D156" s="467">
        <f t="shared" si="11"/>
        <v>-6.2938640291841486E-2</v>
      </c>
      <c r="E156" s="467">
        <f t="shared" si="11"/>
        <v>-4.8568194450441915E-2</v>
      </c>
      <c r="F156" s="468">
        <f>IF(ISERROR(F151/E151 - 1),"",(F151/E151 - 1))</f>
        <v>0.2577477630698406</v>
      </c>
      <c r="Q156" s="559"/>
      <c r="R156" s="559" t="s">
        <v>423</v>
      </c>
      <c r="S156" s="559">
        <f t="shared" si="12"/>
        <v>-1.6995308199071766</v>
      </c>
      <c r="T156" s="559">
        <f t="shared" si="12"/>
        <v>-1.7645373335141066</v>
      </c>
      <c r="U156" s="559">
        <f t="shared" si="12"/>
        <v>-1.8143245987966372</v>
      </c>
      <c r="V156" s="559">
        <f t="shared" si="12"/>
        <v>-1.5850019669262481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-9.5003779808922051E-3</v>
      </c>
      <c r="D157" s="470">
        <f t="shared" si="11"/>
        <v>4.4055457179321689E-2</v>
      </c>
      <c r="E157" s="470">
        <f t="shared" si="11"/>
        <v>-3.7799795958985083E-2</v>
      </c>
      <c r="F157" s="471">
        <f>IF(ISERROR(F152/E152 - 1),"",(F152/E152 - 1))</f>
        <v>-2.3279687075906774E-2</v>
      </c>
      <c r="N157" s="136"/>
      <c r="O157" s="136"/>
      <c r="Q157" s="559"/>
      <c r="R157" s="559" t="s">
        <v>423</v>
      </c>
      <c r="S157" s="559">
        <f t="shared" si="12"/>
        <v>1.9406056547370141</v>
      </c>
      <c r="T157" s="559">
        <f t="shared" si="12"/>
        <v>1.9837182626902137</v>
      </c>
      <c r="U157" s="559">
        <f t="shared" si="12"/>
        <v>1.945185525030168</v>
      </c>
      <c r="V157" s="559">
        <f t="shared" si="12"/>
        <v>1.9216305857911797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Horizon</v>
      </c>
      <c r="C162" s="456">
        <f>(C152/C102)*1000000</f>
        <v>287.48830915278359</v>
      </c>
      <c r="D162" s="456">
        <f>(D152/D102)*1000000</f>
        <v>299.73217624944641</v>
      </c>
      <c r="E162" s="456">
        <f>(E152/E102)*1000000</f>
        <v>285.46071944009492</v>
      </c>
      <c r="F162" s="457">
        <f>(F152/F102)*1000000</f>
        <v>277.80627414304882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Horizon</v>
      </c>
      <c r="C165" s="456">
        <f>C152/VLOOKUP(C$38,'MP (2011)'!$A$14:$AR$245,'MP (2011)'!$H$246,FALSE)*1000000</f>
        <v>2972.578059972856</v>
      </c>
      <c r="D165" s="456">
        <f>D152/VLOOKUP(D$38,'MP (2011)'!$A$14:$AR$245,'MP (2011)'!$H$246,FALSE)*1000000</f>
        <v>3104.8618499527806</v>
      </c>
      <c r="E165" s="456">
        <f>E152/VLOOKUP(E$38,'MP (2011)'!$A$14:$AR$245,'MP (2011)'!$H$246,FALSE)*1000000</f>
        <v>2965.0839172396618</v>
      </c>
      <c r="F165" s="457">
        <f>F152/VLOOKUP(F$38,'MP (2011)'!$A$14:$AR$245,'MP (2011)'!$H$246,FALSE)*1000000</f>
        <v>2890.2834953526358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Horizon</v>
      </c>
      <c r="C168" s="456">
        <f>(C152/C117)*1000000</f>
        <v>12.881620680989757</v>
      </c>
      <c r="D168" s="456">
        <f>(D152/D117)*1000000</f>
        <v>14.196251581664518</v>
      </c>
      <c r="E168" s="456">
        <f>(E152/E117)*1000000</f>
        <v>12.925631131874219</v>
      </c>
      <c r="F168" s="457">
        <f>(F152/F117)*1000000</f>
        <v>12.638707274346851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-1.5041670407024643E-2</v>
      </c>
      <c r="D171" s="464">
        <f>IF(ISERROR(D162/C162 - 1),"",(D162/C162 - 1))</f>
        <v>4.2589095649645747E-2</v>
      </c>
      <c r="E171" s="464">
        <f>IF(ISERROR(E162/D162 - 1),"",(E162/D162 - 1))</f>
        <v>-4.7614029924749723E-2</v>
      </c>
      <c r="F171" s="465">
        <f>IF(ISERROR(F162/E162 - 1),"",(F162/E162 - 1))</f>
        <v>-2.6814355796691003E-2</v>
      </c>
      <c r="H171" s="139"/>
      <c r="Q171" s="559"/>
      <c r="R171" s="559" t="s">
        <v>423</v>
      </c>
      <c r="S171" s="559">
        <f>LN(C162)</f>
        <v>5.661182195594205</v>
      </c>
      <c r="T171" s="559">
        <f>LN(D162)</f>
        <v>5.702889330086129</v>
      </c>
      <c r="U171" s="559">
        <f>LN(E162)</f>
        <v>5.6541044344818312</v>
      </c>
      <c r="V171" s="559">
        <f>LN(F162)</f>
        <v>5.6269240151733708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-1.2944385282963378E-2</v>
      </c>
      <c r="D172" s="467">
        <f>IF(ISERROR(D165/C165 - 1),"",(D165/C165 - 1))</f>
        <v>4.4501367940908754E-2</v>
      </c>
      <c r="E172" s="467">
        <f>IF(ISERROR(E165/D165 - 1),"",(E165/D165 - 1))</f>
        <v>-4.501905059487421E-2</v>
      </c>
      <c r="F172" s="468">
        <f>IF(ISERROR(F165/E165 - 1),"",(F165/E165 - 1))</f>
        <v>-2.5227084283220291E-2</v>
      </c>
      <c r="Q172" s="559"/>
      <c r="R172" s="559" t="s">
        <v>423</v>
      </c>
      <c r="S172" s="559">
        <f>LN(C165)</f>
        <v>7.9971848889342958</v>
      </c>
      <c r="T172" s="559">
        <f>LN(D165)</f>
        <v>8.0407245006089152</v>
      </c>
      <c r="U172" s="559">
        <f>LN(E165)</f>
        <v>7.9946606136416554</v>
      </c>
      <c r="V172" s="559">
        <f>LN(F165)</f>
        <v>7.9691098715731794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-1.4974549481276078E-2</v>
      </c>
      <c r="D173" s="470">
        <f>IF(ISERROR(D168/C168 - 1),"",(D168/C168 - 1))</f>
        <v>0.1020547750342351</v>
      </c>
      <c r="E173" s="470">
        <f>IF(ISERROR(E168/D168 - 1),"",(E168/D168 - 1))</f>
        <v>-8.9503940000006499E-2</v>
      </c>
      <c r="F173" s="471">
        <f>IF(ISERROR(F168/E168 - 1),"",(F168/E168 - 1))</f>
        <v>-2.2198053975083898E-2</v>
      </c>
      <c r="Q173" s="559"/>
      <c r="R173" s="559" t="s">
        <v>423</v>
      </c>
      <c r="S173" s="559">
        <f>LN(C168)</f>
        <v>2.55580154202976</v>
      </c>
      <c r="T173" s="559">
        <f>LN(D168)</f>
        <v>2.6529779566379608</v>
      </c>
      <c r="U173" s="559">
        <f>LN(E168)</f>
        <v>2.55921224952142</v>
      </c>
      <c r="V173" s="559">
        <f>LN(F168)</f>
        <v>2.5367641108893708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Horizon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2096.927368410983</v>
      </c>
      <c r="X176" s="563">
        <f>D178</f>
        <v>2034.7026000000001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Horizon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2209.2106650405422</v>
      </c>
      <c r="X177" s="563">
        <f t="shared" si="14"/>
        <v>2231.4921428709977</v>
      </c>
      <c r="Y177" s="563">
        <f t="shared" si="14"/>
        <v>2253.3894178774931</v>
      </c>
      <c r="Z177" s="563">
        <f t="shared" si="14"/>
        <v>2274.6637769291501</v>
      </c>
      <c r="AA177" s="563">
        <f t="shared" si="14"/>
        <v>2296.517547664675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2096.927368410983</v>
      </c>
      <c r="D178" s="461">
        <f>VLOOKUP(F38,'FS (2011)'!$A$14:$T$246,'FS (2011)'!$M$245,FALSE)+VLOOKUP(F38,'FS (2011)'!$A$14:$AO$245,'FS (2011)'!$N$245,FALSE)+VLOOKUP(F38,'FS (2011)'!$A$14:$AO$245,'FS (2011)'!$O$245,FALSE)</f>
        <v>2034.7026000000001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2002</v>
      </c>
      <c r="Y178" s="563">
        <f t="shared" si="14"/>
        <v>1935.3545000000001</v>
      </c>
      <c r="Z178" s="563">
        <f t="shared" si="14"/>
        <v>2199.7155750000002</v>
      </c>
      <c r="AA178" s="563">
        <f t="shared" si="14"/>
        <v>2222.6014555499996</v>
      </c>
      <c r="AB178" s="563">
        <f>H180</f>
        <v>2246.7564192675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2209.2106650405422</v>
      </c>
      <c r="D179" s="461">
        <f>VLOOKUP(D182,'AM (2011)'!$A$10:$N$444,'AM (2011)'!$N$445,FALSE)</f>
        <v>2231.4921428709977</v>
      </c>
      <c r="E179" s="461">
        <f>VLOOKUP(E182,'AM (2011)'!$A$10:$N$444,'AM (2011)'!$N$445,FALSE)</f>
        <v>2253.3894178774931</v>
      </c>
      <c r="F179" s="461">
        <f>VLOOKUP(F182,'AM (2011)'!$A$10:$N$444,'AM (2011)'!$N$445,FALSE)</f>
        <v>2274.6637769291501</v>
      </c>
      <c r="G179" s="461">
        <f>VLOOKUP(G182,'AM (2011)'!$A$10:$N$444,'AM (2011)'!$N$445,FALSE)</f>
        <v>2296.517547664675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2444.0853264382677</v>
      </c>
      <c r="Z179" s="563">
        <f>F181</f>
        <v>2488.0788623141561</v>
      </c>
      <c r="AA179" s="563">
        <f>G181</f>
        <v>2491.9893988364574</v>
      </c>
      <c r="AB179" s="563">
        <f>H181</f>
        <v>2574.1106658047834</v>
      </c>
      <c r="AC179" s="563">
        <f>I181</f>
        <v>2558.4685197155786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2002</v>
      </c>
      <c r="E180" s="461">
        <f>VLOOKUP(E183,'AM (2011)'!$A$10:$N$444,'AM (2011)'!$N$445,FALSE)</f>
        <v>1935.3545000000001</v>
      </c>
      <c r="F180" s="461">
        <f>VLOOKUP(F183,'AM (2011)'!$A$10:$N$444,'AM (2011)'!$N$445,FALSE)</f>
        <v>2199.7155750000002</v>
      </c>
      <c r="G180" s="461">
        <f>VLOOKUP(G183,'AM (2011)'!$A$10:$N$444,'AM (2011)'!$N$445,FALSE)</f>
        <v>2222.6014555499996</v>
      </c>
      <c r="H180" s="461">
        <f>VLOOKUP(H183,'AM (2011)'!$A$10:$N$444,'AM (2011)'!$N$445,FALSE)</f>
        <v>2246.7564192675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2444.0853264382677</v>
      </c>
      <c r="F181" s="493">
        <f>VLOOKUP(F184,'AM (2011)'!$A$10:$N$444,'AM (2011)'!$N$445,FALSE)</f>
        <v>2488.0788623141561</v>
      </c>
      <c r="G181" s="493">
        <f>VLOOKUP(G184,'AM (2011)'!$A$10:$N$444,'AM (2011)'!$N$445,FALSE)</f>
        <v>2491.9893988364574</v>
      </c>
      <c r="H181" s="493">
        <f>VLOOKUP(H184,'AM (2011)'!$A$10:$N$444,'AM (2011)'!$N$445,FALSE)</f>
        <v>2574.1106658047834</v>
      </c>
      <c r="I181" s="494">
        <f>VLOOKUP(I184,'AM (2011)'!$A$10:$N$444,'AM (2011)'!$N$445,FALSE)</f>
        <v>2558.4685197155786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216</v>
      </c>
      <c r="D182" s="136">
        <f>VLOOKUP($B$2,$B$257:$Y$286,11,FALSE)</f>
        <v>217</v>
      </c>
      <c r="E182" s="136">
        <f>VLOOKUP($B$2,$B$257:$Y$286,12,FALSE)</f>
        <v>218</v>
      </c>
      <c r="F182" s="136">
        <f>VLOOKUP($B$2,$B$257:$Y$286,13,FALSE)</f>
        <v>219</v>
      </c>
      <c r="G182" s="136">
        <f>VLOOKUP($B$2,$B$257:$Y$286,14,FALSE)</f>
        <v>220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221</v>
      </c>
      <c r="E183" s="136">
        <f>VLOOKUP($B$2,$B$257:$Y$286,16,FALSE)</f>
        <v>222</v>
      </c>
      <c r="F183" s="136">
        <f>VLOOKUP($B$2,$B$257:$Y$286,17,FALSE)</f>
        <v>223</v>
      </c>
      <c r="G183" s="136">
        <f>VLOOKUP($B$2,$B$257:$Y$286,18,FALSE)</f>
        <v>224</v>
      </c>
      <c r="H183" s="136">
        <f>VLOOKUP($B$2,$B$257:$Y$286,19,FALSE)</f>
        <v>225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226</v>
      </c>
      <c r="F184" s="136">
        <f>VLOOKUP($B$2,$B$257:$Y$286,21,FALSE)</f>
        <v>227</v>
      </c>
      <c r="G184" s="136">
        <f>VLOOKUP($B$2,$B$257:$Y$286,22,FALSE)</f>
        <v>228</v>
      </c>
      <c r="H184" s="136">
        <f>VLOOKUP($B$2,$B$257:$Y$286,23,FALSE)</f>
        <v>229</v>
      </c>
      <c r="I184" s="136">
        <f>VLOOKUP($B$2,$B$257:$Y$286,24,FALSE)</f>
        <v>230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4</v>
      </c>
      <c r="B186" s="483" t="s">
        <v>205</v>
      </c>
      <c r="C186" s="490"/>
      <c r="D186" s="484">
        <f>VLOOKUP($D$6,'FS (2011)'!$A$13:$AH$244,'FS (2011)'!AC245,FALSE)/1000</f>
        <v>0.35108486</v>
      </c>
      <c r="E186" s="495">
        <f t="shared" ref="E186:E191" si="16">D186/$D$192</f>
        <v>5.8433589513730552E-2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Reliability, safety and environment</v>
      </c>
      <c r="V186" s="559">
        <f t="shared" ref="V186:V191" si="18">VLOOKUP(T186,$A$186:$D$191,4,FALSE)</f>
        <v>3.4876961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1</v>
      </c>
      <c r="B187" s="162" t="s">
        <v>206</v>
      </c>
      <c r="C187" s="121"/>
      <c r="D187" s="456">
        <f>VLOOKUP($D$6,'FS (2011)'!$A$13:$AH$244,'FS (2011)'!AD245,FALSE)/1000</f>
        <v>3.4876961</v>
      </c>
      <c r="E187" s="468">
        <f t="shared" si="16"/>
        <v>0.58048245730687142</v>
      </c>
      <c r="Q187" s="559"/>
      <c r="R187" s="559"/>
      <c r="S187" s="559"/>
      <c r="T187" s="559">
        <v>2</v>
      </c>
      <c r="U187" s="559" t="str">
        <f t="shared" si="17"/>
        <v>Asset replacement and renewal</v>
      </c>
      <c r="V187" s="559">
        <f t="shared" si="18"/>
        <v>1.4875571999999999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3</v>
      </c>
      <c r="B188" s="162" t="s">
        <v>209</v>
      </c>
      <c r="C188" s="121"/>
      <c r="D188" s="456">
        <f>VLOOKUP($D$6,'FS (2011)'!$A$13:$AH$244,'FS (2011)'!AB245,FALSE)/1000</f>
        <v>0.46064332000000002</v>
      </c>
      <c r="E188" s="468">
        <f t="shared" si="16"/>
        <v>7.6668195470240522E-2</v>
      </c>
      <c r="Q188" s="559"/>
      <c r="R188" s="559"/>
      <c r="S188" s="559"/>
      <c r="T188" s="559">
        <v>3</v>
      </c>
      <c r="U188" s="559" t="str">
        <f t="shared" si="17"/>
        <v>Customer connection</v>
      </c>
      <c r="V188" s="559">
        <f t="shared" si="18"/>
        <v>0.46064332000000002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2</v>
      </c>
      <c r="B189" s="162" t="s">
        <v>208</v>
      </c>
      <c r="C189" s="121"/>
      <c r="D189" s="456">
        <f>VLOOKUP($D$6,'FS (2011)'!$A$13:$AH$244,'FS (2011)'!AE245,FALSE)/1000</f>
        <v>1.4875571999999999</v>
      </c>
      <c r="E189" s="468">
        <f t="shared" si="16"/>
        <v>0.247584891023197</v>
      </c>
      <c r="Q189" s="559"/>
      <c r="R189" s="559"/>
      <c r="S189" s="559"/>
      <c r="T189" s="559">
        <v>4</v>
      </c>
      <c r="U189" s="559" t="str">
        <f t="shared" si="17"/>
        <v>System growth</v>
      </c>
      <c r="V189" s="559">
        <f t="shared" si="18"/>
        <v>0.35108486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6</v>
      </c>
      <c r="B190" s="162" t="s">
        <v>312</v>
      </c>
      <c r="C190" s="121"/>
      <c r="D190" s="456">
        <f>VLOOKUP($D$6,'FS (2011)'!$A$13:$AH$244,'FS (2011)'!AH245,FALSE)/1000</f>
        <v>8.603972E-2</v>
      </c>
      <c r="E190" s="468">
        <f t="shared" si="16"/>
        <v>1.4320212157130082E-2</v>
      </c>
      <c r="Q190" s="559"/>
      <c r="R190" s="559"/>
      <c r="S190" s="559"/>
      <c r="T190" s="559">
        <v>5</v>
      </c>
      <c r="U190" s="559" t="str">
        <f t="shared" si="17"/>
        <v>Asset relocations</v>
      </c>
      <c r="V190" s="559">
        <f t="shared" si="18"/>
        <v>0.13525012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5</v>
      </c>
      <c r="B191" s="162" t="s">
        <v>207</v>
      </c>
      <c r="C191" s="121"/>
      <c r="D191" s="456">
        <f>VLOOKUP($D$6,'FS (2011)'!$A$13:$AH$244,'FS (2011)'!AF245,FALSE)/1000</f>
        <v>0.13525012</v>
      </c>
      <c r="E191" s="468">
        <f t="shared" si="16"/>
        <v>2.2510654528830436E-2</v>
      </c>
      <c r="Q191" s="559"/>
      <c r="R191" s="559"/>
      <c r="S191" s="559"/>
      <c r="T191" s="559">
        <v>6</v>
      </c>
      <c r="U191" s="559" t="str">
        <f t="shared" si="17"/>
        <v>Non-network capex</v>
      </c>
      <c r="V191" s="559">
        <f t="shared" si="18"/>
        <v>8.603972E-2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6.0082713199999995</v>
      </c>
      <c r="E192" s="496">
        <f>SUM(E186:E191)</f>
        <v>1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3.0175983005902314</v>
      </c>
      <c r="D196" s="484">
        <f>VLOOKUP($D$38,'FS (2011)'!$A$13:$AH$244,'FS (2011)'!$AG$245,FALSE)/1000</f>
        <v>3.0914456723179344</v>
      </c>
      <c r="E196" s="484">
        <f>VLOOKUP($E$38,'FS (2011)'!$A$13:$AH$244,'FS (2011)'!$AG$245,FALSE)/1000</f>
        <v>3.5036516124599171</v>
      </c>
      <c r="F196" s="486">
        <f>VLOOKUP($F$38,'FS (2011)'!$A$13:$AH$244,'FS (2011)'!$AG$245,FALSE)/1000</f>
        <v>5.9222315999999999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0.20268255823900089</v>
      </c>
      <c r="D197" s="456">
        <f>VLOOKUP($D$38,'FS (2011)'!$A$13:$AH$244,'FS (2011)'!$AH$245,FALSE)/1000</f>
        <v>0.23149509231930804</v>
      </c>
      <c r="E197" s="456">
        <f>VLOOKUP($E$38,'FS (2011)'!$A$13:$AH$244,'FS (2011)'!$AH$245,FALSE)/1000</f>
        <v>0.11036687141278864</v>
      </c>
      <c r="F197" s="457">
        <f>VLOOKUP($F$38,'FS (2011)'!$A$13:$AH$244,'FS (2011)'!$AH$245,FALSE)/1000</f>
        <v>8.603972E-2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3.2202808588292324</v>
      </c>
      <c r="D198" s="488">
        <f>SUM(D196:D197)</f>
        <v>3.3229407646372424</v>
      </c>
      <c r="E198" s="488">
        <f>SUM(E196:E197)</f>
        <v>3.6140184838727056</v>
      </c>
      <c r="F198" s="489">
        <f>SUM(F196:F197)</f>
        <v>6.0082713199999995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0.23960442508606183</v>
      </c>
      <c r="D200" s="498">
        <f t="shared" ref="D200:F202" si="20">D196/C196 - 1</f>
        <v>2.4472233999223381E-2</v>
      </c>
      <c r="E200" s="498">
        <f t="shared" si="20"/>
        <v>0.13333759795070721</v>
      </c>
      <c r="F200" s="495">
        <f t="shared" si="20"/>
        <v>0.69030264851076195</v>
      </c>
      <c r="Q200" s="559"/>
      <c r="R200" s="559" t="s">
        <v>423</v>
      </c>
      <c r="S200" s="559">
        <f t="shared" ref="S200:V202" si="21">LN(C196)</f>
        <v>1.1044612502908271</v>
      </c>
      <c r="T200" s="559">
        <f t="shared" si="21"/>
        <v>1.1286388366186446</v>
      </c>
      <c r="U200" s="559">
        <f t="shared" si="21"/>
        <v>1.2538057424632538</v>
      </c>
      <c r="V200" s="559">
        <f t="shared" si="21"/>
        <v>1.7787133373240067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-0.28188420748683407</v>
      </c>
      <c r="D201" s="467">
        <f t="shared" si="20"/>
        <v>0.14215596216390636</v>
      </c>
      <c r="E201" s="467">
        <f t="shared" si="20"/>
        <v>-0.52324314823678275</v>
      </c>
      <c r="F201" s="468">
        <f t="shared" si="20"/>
        <v>-0.22042077573986352</v>
      </c>
      <c r="Q201" s="559"/>
      <c r="R201" s="559" t="s">
        <v>423</v>
      </c>
      <c r="S201" s="559">
        <f t="shared" si="21"/>
        <v>-1.5961142763946772</v>
      </c>
      <c r="T201" s="559">
        <f t="shared" si="21"/>
        <v>-1.463196605165191</v>
      </c>
      <c r="U201" s="559">
        <f t="shared" si="21"/>
        <v>-2.2039452679542006</v>
      </c>
      <c r="V201" s="559">
        <f t="shared" si="21"/>
        <v>-2.4529462288882282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0.21591583025073491</v>
      </c>
      <c r="D202" s="500">
        <f t="shared" si="20"/>
        <v>3.1879177720334884E-2</v>
      </c>
      <c r="E202" s="500">
        <f t="shared" si="20"/>
        <v>8.7596421318464124E-2</v>
      </c>
      <c r="F202" s="501">
        <f t="shared" si="20"/>
        <v>0.66249047889806678</v>
      </c>
      <c r="Q202" s="559"/>
      <c r="R202" s="559" t="s">
        <v>423</v>
      </c>
      <c r="S202" s="559">
        <f t="shared" si="21"/>
        <v>1.1694685789914834</v>
      </c>
      <c r="T202" s="559">
        <f t="shared" si="21"/>
        <v>1.2008501633445532</v>
      </c>
      <c r="U202" s="559">
        <f t="shared" si="21"/>
        <v>1.2848203066762454</v>
      </c>
      <c r="V202" s="559">
        <f t="shared" si="21"/>
        <v>1.7931370732291119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Horizon</v>
      </c>
      <c r="C206" s="456">
        <f>(C198/C102)*1000000</f>
        <v>132.95957303176021</v>
      </c>
      <c r="D206" s="456">
        <f>(D198/D102)*1000000</f>
        <v>137.00552188426985</v>
      </c>
      <c r="E206" s="456">
        <f>(E198/E102)*1000000</f>
        <v>147.48687903496187</v>
      </c>
      <c r="F206" s="457">
        <f>(F198/F102)*1000000</f>
        <v>244.30819013540437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Horizon</v>
      </c>
      <c r="C209" s="456">
        <f>(C198/C117)*1000000000</f>
        <v>5957.5806430141456</v>
      </c>
      <c r="D209" s="456">
        <f>(D198/D117)*1000000000</f>
        <v>6489.0092251146198</v>
      </c>
      <c r="E209" s="456">
        <f>(E198/E117)*1000000000</f>
        <v>6678.1902565663777</v>
      </c>
      <c r="F209" s="457">
        <f>(F198/F117)*1000000000</f>
        <v>11114.722694336631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Horizon</v>
      </c>
      <c r="C212" s="456">
        <f>(C198/VLOOKUP(C$38,'AV (2011)'!$A$11:$F$213,'AV (2011)'!$F$214,FALSE)*1000)</f>
        <v>3.4577661874247496E-2</v>
      </c>
      <c r="D212" s="456">
        <f>(D198/VLOOKUP(D$38,'AV (2011)'!$A$11:$F$213,'AV (2011)'!$F$214,FALSE)*1000)</f>
        <v>3.639583413350729E-2</v>
      </c>
      <c r="E212" s="456">
        <f>(E198/VLOOKUP(E$38,'AV (2011)'!$A$11:$F$213,'AV (2011)'!$F$214,FALSE)*1000)</f>
        <v>3.9804742733578168E-2</v>
      </c>
      <c r="F212" s="457">
        <f>(F198/VLOOKUP(F$38,'AV (2011)'!$A$11:$F$213,'AV (2011)'!$F$214,FALSE)*1000)</f>
        <v>6.1744147568096951E-2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0.20911345998102338</v>
      </c>
      <c r="D215" s="464">
        <f>D206/C206 - 1</f>
        <v>3.0429917607686541E-2</v>
      </c>
      <c r="E215" s="464">
        <f>E206/D206 - 1</f>
        <v>7.6503173058570129E-2</v>
      </c>
      <c r="F215" s="465">
        <f>F206/E206 - 1</f>
        <v>0.65647406558444388</v>
      </c>
      <c r="K215" s="139"/>
      <c r="P215" s="139"/>
      <c r="Q215" s="559"/>
      <c r="R215" s="559" t="s">
        <v>423</v>
      </c>
      <c r="S215" s="559">
        <f>LN(C206)</f>
        <v>4.8900451198486747</v>
      </c>
      <c r="T215" s="559">
        <f>LN(D206)</f>
        <v>4.9200212307404687</v>
      </c>
      <c r="U215" s="559">
        <f>LN(E206)</f>
        <v>4.9937392161279082</v>
      </c>
      <c r="V215" s="559">
        <f>LN(F206)</f>
        <v>5.4984305026113027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0.20919585617214231</v>
      </c>
      <c r="D216" s="467">
        <f>D209/C209 - 1</f>
        <v>8.9202079492390451E-2</v>
      </c>
      <c r="E216" s="467">
        <f>E209/D209 - 1</f>
        <v>2.9154070350149164E-2</v>
      </c>
      <c r="F216" s="468">
        <f>F209/E209 - 1</f>
        <v>0.66433154302664588</v>
      </c>
      <c r="Q216" s="559"/>
      <c r="R216" s="559" t="s">
        <v>423</v>
      </c>
      <c r="S216" s="559">
        <f>LN(C209)</f>
        <v>8.692419745266367</v>
      </c>
      <c r="T216" s="559">
        <f>LN(D209)</f>
        <v>8.7778651362744373</v>
      </c>
      <c r="U216" s="559">
        <f>LN(E209)</f>
        <v>8.8066023101496338</v>
      </c>
      <c r="V216" s="559">
        <f>LN(F209)</f>
        <v>9.3160258773094409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0.20068301537559874</v>
      </c>
      <c r="D217" s="470">
        <f>D212/C212 - 1</f>
        <v>5.2582278867557619E-2</v>
      </c>
      <c r="E217" s="470">
        <f>E212/D212 - 1</f>
        <v>9.3662054496850056E-2</v>
      </c>
      <c r="F217" s="471">
        <f>F212/E212 - 1</f>
        <v>0.55117564711732991</v>
      </c>
      <c r="Q217" s="559"/>
      <c r="R217" s="559" t="s">
        <v>423</v>
      </c>
      <c r="S217" s="559">
        <f>LN(C212)</f>
        <v>-3.3645474159855877</v>
      </c>
      <c r="T217" s="559">
        <f>LN(D212)</f>
        <v>-3.3133009577706538</v>
      </c>
      <c r="U217" s="559">
        <f>LN(E212)</f>
        <v>-3.2237692096309742</v>
      </c>
      <c r="V217" s="559">
        <f>LN(F212)</f>
        <v>-2.7847560841907515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Horizon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3503.651612459917</v>
      </c>
      <c r="X220" s="563">
        <f>D222</f>
        <v>5922.2316000000001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Horizon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5343.7480441938151</v>
      </c>
      <c r="X221" s="563">
        <f t="shared" si="23"/>
        <v>4841.4621990266141</v>
      </c>
      <c r="Y221" s="563">
        <f t="shared" si="23"/>
        <v>4505.2465217341669</v>
      </c>
      <c r="Z221" s="563">
        <f t="shared" si="23"/>
        <v>3599.5018638160295</v>
      </c>
      <c r="AA221" s="563">
        <f t="shared" si="23"/>
        <v>4266.8390414722498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3503.651612459917</v>
      </c>
      <c r="D222" s="461">
        <f>VLOOKUP(D226,'FS (2011)'!$A$14:$AJ$245,'FS (2011)'!$AG$245,FALSE)</f>
        <v>5922.2316000000001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6214.127819840005</v>
      </c>
      <c r="Y222" s="563">
        <f t="shared" si="23"/>
        <v>6330.2864862000006</v>
      </c>
      <c r="Z222" s="563">
        <f t="shared" si="23"/>
        <v>5841.6457833200002</v>
      </c>
      <c r="AA222" s="563">
        <f t="shared" si="23"/>
        <v>4530.9715838000002</v>
      </c>
      <c r="AB222" s="563">
        <f>H224</f>
        <v>4700.1680230900001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5343.7480441938151</v>
      </c>
      <c r="D223" s="461">
        <f>VLOOKUP(D227,'AM (2011)'!$A$10:$N$444,'AM (2011)'!$J$445,FALSE)</f>
        <v>4841.4621990266141</v>
      </c>
      <c r="E223" s="461">
        <f>VLOOKUP(E226,'AM (2011)'!$A$10:$N$444,'AM (2011)'!$J$445,FALSE)</f>
        <v>4505.2465217341669</v>
      </c>
      <c r="F223" s="461">
        <f>VLOOKUP(F226,'AM (2011)'!$A$10:$N$444,'AM (2011)'!$J$445,FALSE)</f>
        <v>3599.5018638160295</v>
      </c>
      <c r="G223" s="461">
        <f>VLOOKUP(G226,'AM (2011)'!$A$10:$N$444,'AM (2011)'!$J$445,FALSE)</f>
        <v>4266.8390414722498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6716.3464770523588</v>
      </c>
      <c r="Z223" s="563">
        <f>F225</f>
        <v>6535.4841628959275</v>
      </c>
      <c r="AA223" s="563">
        <f>G225</f>
        <v>7707.6674854557205</v>
      </c>
      <c r="AB223" s="563">
        <f>H225</f>
        <v>7645.0989010989006</v>
      </c>
      <c r="AC223" s="563">
        <f>I225</f>
        <v>7438.8180995475113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6214.127819840005</v>
      </c>
      <c r="E224" s="461">
        <f>VLOOKUP(E227,'AM (2011)'!$A$10:$N$444,'AM (2011)'!$J$445,FALSE)</f>
        <v>6330.2864862000006</v>
      </c>
      <c r="F224" s="461">
        <f>VLOOKUP(F227,'AM (2011)'!$A$10:$N$444,'AM (2011)'!$J$445,FALSE)</f>
        <v>5841.6457833200002</v>
      </c>
      <c r="G224" s="461">
        <f>VLOOKUP(G227,'AM (2011)'!$A$10:$N$444,'AM (2011)'!$J$445,FALSE)</f>
        <v>4530.9715838000002</v>
      </c>
      <c r="H224" s="461">
        <f>VLOOKUP(H227,'AM (2011)'!$A$10:$N$444,'AM (2011)'!$J$445,FALSE)</f>
        <v>4700.1680230900001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6716.3464770523588</v>
      </c>
      <c r="F225" s="493">
        <f>VLOOKUP(F228,'AM (2011)'!$A$10:$N$444,'AM (2011)'!$J$445,FALSE)</f>
        <v>6535.4841628959275</v>
      </c>
      <c r="G225" s="493">
        <f>VLOOKUP(G228,'AM (2011)'!$A$10:$N$444,'AM (2011)'!$J$445,FALSE)</f>
        <v>7707.6674854557205</v>
      </c>
      <c r="H225" s="493">
        <f>VLOOKUP(H228,'AM (2011)'!$A$10:$N$444,'AM (2011)'!$J$445,FALSE)</f>
        <v>7645.0989010989006</v>
      </c>
      <c r="I225" s="494">
        <f>VLOOKUP(I228,'AM (2011)'!$A$10:$N$444,'AM (2011)'!$J$445,FALSE)</f>
        <v>7438.8180995475113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214</v>
      </c>
      <c r="D226" s="136">
        <f>VLOOKUP($B$2,$B$257:$Y$286,9,FALSE)</f>
        <v>215</v>
      </c>
      <c r="E226" s="136">
        <f>VLOOKUP($B$2,$B$257:$Y$286,12,FALSE)</f>
        <v>218</v>
      </c>
      <c r="F226" s="136">
        <f>VLOOKUP($B$2,$B$257:$Y$286,13,FALSE)</f>
        <v>219</v>
      </c>
      <c r="G226" s="136">
        <f>VLOOKUP($B$2,$B$257:$Y$286,14,FALSE)</f>
        <v>220</v>
      </c>
      <c r="H226" s="136"/>
      <c r="I226" s="136"/>
    </row>
    <row r="227" spans="2:30">
      <c r="C227" s="136">
        <f>VLOOKUP($B$2,$B$257:$Y$286,10,FALSE)</f>
        <v>216</v>
      </c>
      <c r="D227" s="136">
        <f>VLOOKUP($B$2,$B$257:$Y$286,11,FALSE)</f>
        <v>217</v>
      </c>
      <c r="E227" s="136">
        <f>VLOOKUP($B$2,$B$257:$Y$286,16,FALSE)</f>
        <v>222</v>
      </c>
      <c r="F227" s="136">
        <f>VLOOKUP($B$2,$B$257:$Y$286,17,FALSE)</f>
        <v>223</v>
      </c>
      <c r="G227" s="136">
        <f>VLOOKUP($B$2,$B$257:$Y$286,18,FALSE)</f>
        <v>224</v>
      </c>
      <c r="H227" s="136">
        <f>VLOOKUP($B$2,$B$257:$Y$286,19,FALSE)</f>
        <v>225</v>
      </c>
      <c r="I227" s="136"/>
    </row>
    <row r="228" spans="2:30">
      <c r="B228" s="517" t="s">
        <v>291</v>
      </c>
      <c r="C228" s="518"/>
      <c r="D228" s="518">
        <f>VLOOKUP($B$2,$B$257:$Y$286,15,FALSE)</f>
        <v>221</v>
      </c>
      <c r="E228" s="518">
        <f>VLOOKUP($B$2,$B$257:$Y$286,20,FALSE)</f>
        <v>226</v>
      </c>
      <c r="F228" s="519">
        <f>VLOOKUP($B$2,$B$257:$Y$286,21,FALSE)</f>
        <v>227</v>
      </c>
      <c r="G228" s="136">
        <f>VLOOKUP($B$2,$B$257:$Y$286,22,FALSE)</f>
        <v>228</v>
      </c>
      <c r="H228" s="136">
        <f>VLOOKUP($B$2,$B$257:$Y$286,23,FALSE)</f>
        <v>229</v>
      </c>
      <c r="I228" s="136">
        <f>VLOOKUP($B$2,$B$257:$Y$286,24,FALSE)</f>
        <v>230</v>
      </c>
    </row>
    <row r="229" spans="2:30">
      <c r="B229" s="474" t="str">
        <f>$B$2</f>
        <v>Horizon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143.07753199999999</v>
      </c>
      <c r="D230" s="456">
        <f>VLOOKUP(D$38,'MP (2011)'!$A$11:$AR$245,'MP (2011)'!$S$246,FALSE)+VLOOKUP(D$38,'MP (2011)'!$A$11:$AR$245,'MP (2011)'!$T$246,FALSE)</f>
        <v>133.26300700000002</v>
      </c>
      <c r="E230" s="456">
        <f>VLOOKUP(E$38,'MP (2011)'!$A$11:$AR$245,'MP (2011)'!$S$246,FALSE)+VLOOKUP(E$38,'MP (2011)'!$A$11:$AR$245,'MP (2011)'!$T$246,FALSE)</f>
        <v>139.89975200000001</v>
      </c>
      <c r="F230" s="457">
        <f>VLOOKUP(F$38,'MP (2011)'!$A$11:$AR$245,'MP (2011)'!$S$246,FALSE)+VLOOKUP(F$38,'MP (2011)'!$A$11:$AR$245,'MP (2011)'!$T$246,FALSE)</f>
        <v>177.40687600000001</v>
      </c>
    </row>
    <row r="231" spans="2:30">
      <c r="B231" s="199" t="s">
        <v>292</v>
      </c>
      <c r="C231" s="456">
        <f>IF(ISERROR(VLOOKUP(C$38,'Compliance data'!$A$7:$E$74,'Compliance data'!$D$75,FALSE)),"",(VLOOKUP(C$38,'Compliance data'!$A$7:$E$74,'Compliance data'!$D$75,FALSE)))</f>
        <v>161</v>
      </c>
      <c r="D231" s="456">
        <f>IF(ISERROR(VLOOKUP(D$38,'Compliance data'!$A$7:$E$74,'Compliance data'!$D$75,FALSE)),"",(VLOOKUP(D$38,'Compliance data'!$A$7:$E$74,'Compliance data'!$D$75,FALSE)))</f>
        <v>161</v>
      </c>
      <c r="E231" s="456">
        <f>IF(ISERROR(VLOOKUP(E$38,'Compliance data'!$A$7:$E$74,'Compliance data'!$D$75,FALSE)),"",(VLOOKUP(E$38,'Compliance data'!$A$7:$E$74,'Compliance data'!$D$75,FALSE)))</f>
        <v>161</v>
      </c>
      <c r="F231" s="457">
        <f>IF(ISERROR(VLOOKUP(F$38,'Compliance data'!$A$7:$E$74,'Compliance data'!$D$75,FALSE)),"",(VLOOKUP(F$38,'Compliance data'!$A$7:$E$74,'Compliance data'!$D$75,FALSE)))</f>
        <v>220.0583</v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1.5654832999999999</v>
      </c>
      <c r="D237" s="456">
        <f>VLOOKUP(D$38,'MP (2011)'!$A$11:$AR$245,'MP (2011)'!$W$246,FALSE)+VLOOKUP(D$38,'MP (2011)'!$A$11:$AR$245,'MP (2011)'!$X$246,FALSE)</f>
        <v>2.2192286499999998</v>
      </c>
      <c r="E237" s="456">
        <f>VLOOKUP(E$38,'MP (2011)'!$A$11:$AR$245,'MP (2011)'!$W$246,FALSE)+VLOOKUP(E$38,'MP (2011)'!$A$11:$AR$245,'MP (2011)'!$X$246,FALSE)</f>
        <v>2.3630308200000001</v>
      </c>
      <c r="F237" s="457">
        <f>VLOOKUP(F$38,'MP (2011)'!$A$11:$AR$245,'MP (2011)'!$W$246,FALSE)+VLOOKUP(F$38,'MP (2011)'!$A$11:$AR$245,'MP (2011)'!$X$246,FALSE)</f>
        <v>2.3926608199999997</v>
      </c>
    </row>
    <row r="238" spans="2:30">
      <c r="B238" s="199" t="s">
        <v>292</v>
      </c>
      <c r="C238" s="456">
        <f>IF(ISERROR(VLOOKUP(C$38,'Compliance data'!$A$7:$E$74,'Compliance data'!$E$75,FALSE)),"",(VLOOKUP(C$38,'Compliance data'!$A$7:$E$74,'Compliance data'!$E$75,FALSE)))</f>
        <v>1.87</v>
      </c>
      <c r="D238" s="456">
        <f>IF(ISERROR(VLOOKUP(D$38,'Compliance data'!$A$7:$E$74,'Compliance data'!$E$75,FALSE)),"",(VLOOKUP(D$38,'Compliance data'!$A$7:$E$74,'Compliance data'!$E$75,FALSE)))</f>
        <v>1.87</v>
      </c>
      <c r="E238" s="456">
        <f>IF(ISERROR(VLOOKUP(E$38,'Compliance data'!$A$7:$E$74,'Compliance data'!$E$75,FALSE)),"",(VLOOKUP(E$38,'Compliance data'!$A$7:$E$74,'Compliance data'!$E$75,FALSE)))</f>
        <v>1.87</v>
      </c>
      <c r="F238" s="457">
        <f>IF(ISERROR(VLOOKUP(F$38,'Compliance data'!$A$7:$E$74,'Compliance data'!$E$75,FALSE)),"",(VLOOKUP(F$38,'Compliance data'!$A$7:$E$74,'Compliance data'!$E$75,FALSE)))</f>
        <v>2.3961999999999999</v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Y269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si="24"/>
        <v>18</v>
      </c>
      <c r="U258" s="526">
        <f t="shared" si="24"/>
        <v>19</v>
      </c>
      <c r="V258" s="526">
        <f t="shared" si="24"/>
        <v>20</v>
      </c>
      <c r="W258" s="526">
        <f t="shared" si="24"/>
        <v>21</v>
      </c>
      <c r="X258" s="526">
        <f t="shared" si="24"/>
        <v>22</v>
      </c>
      <c r="Y258" s="526">
        <f t="shared" si="24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4"/>
        <v>25</v>
      </c>
      <c r="E259" s="526">
        <f t="shared" si="24"/>
        <v>26</v>
      </c>
      <c r="F259" s="526">
        <f t="shared" si="24"/>
        <v>27</v>
      </c>
      <c r="G259" s="526">
        <f t="shared" si="24"/>
        <v>28</v>
      </c>
      <c r="H259" s="526">
        <f t="shared" si="24"/>
        <v>29</v>
      </c>
      <c r="I259" s="526">
        <f t="shared" si="24"/>
        <v>30</v>
      </c>
      <c r="J259" s="526">
        <f t="shared" si="24"/>
        <v>31</v>
      </c>
      <c r="K259" s="526">
        <f t="shared" si="24"/>
        <v>32</v>
      </c>
      <c r="L259" s="526">
        <f t="shared" si="24"/>
        <v>33</v>
      </c>
      <c r="M259" s="526">
        <f t="shared" si="24"/>
        <v>34</v>
      </c>
      <c r="N259" s="526">
        <f t="shared" si="24"/>
        <v>35</v>
      </c>
      <c r="O259" s="526">
        <f t="shared" si="24"/>
        <v>36</v>
      </c>
      <c r="P259" s="526">
        <f t="shared" si="24"/>
        <v>37</v>
      </c>
      <c r="Q259" s="526">
        <f t="shared" si="24"/>
        <v>38</v>
      </c>
      <c r="R259" s="526">
        <f t="shared" si="24"/>
        <v>39</v>
      </c>
      <c r="S259" s="526">
        <f t="shared" si="24"/>
        <v>40</v>
      </c>
      <c r="T259" s="526">
        <f t="shared" si="24"/>
        <v>41</v>
      </c>
      <c r="U259" s="526">
        <f t="shared" si="24"/>
        <v>42</v>
      </c>
      <c r="V259" s="526">
        <f t="shared" si="24"/>
        <v>43</v>
      </c>
      <c r="W259" s="526">
        <f t="shared" si="24"/>
        <v>44</v>
      </c>
      <c r="X259" s="526">
        <f t="shared" si="24"/>
        <v>45</v>
      </c>
      <c r="Y259" s="526">
        <f t="shared" si="24"/>
        <v>46</v>
      </c>
    </row>
    <row r="260" spans="2:25" s="526" customFormat="1" ht="15.75">
      <c r="B260" s="530" t="s">
        <v>31</v>
      </c>
      <c r="C260" s="526">
        <f t="shared" ref="C260:C286" si="25">Y259+1</f>
        <v>47</v>
      </c>
      <c r="D260" s="526">
        <f t="shared" si="24"/>
        <v>48</v>
      </c>
      <c r="E260" s="526">
        <f t="shared" si="24"/>
        <v>49</v>
      </c>
      <c r="F260" s="526">
        <f t="shared" si="24"/>
        <v>50</v>
      </c>
      <c r="G260" s="526">
        <f t="shared" si="24"/>
        <v>51</v>
      </c>
      <c r="H260" s="526">
        <f t="shared" si="24"/>
        <v>52</v>
      </c>
      <c r="I260" s="526">
        <f t="shared" si="24"/>
        <v>53</v>
      </c>
      <c r="J260" s="526">
        <f t="shared" si="24"/>
        <v>54</v>
      </c>
      <c r="K260" s="526">
        <f t="shared" si="24"/>
        <v>55</v>
      </c>
      <c r="L260" s="526">
        <f t="shared" si="24"/>
        <v>56</v>
      </c>
      <c r="M260" s="526">
        <f t="shared" si="24"/>
        <v>57</v>
      </c>
      <c r="N260" s="526">
        <f t="shared" si="24"/>
        <v>58</v>
      </c>
      <c r="O260" s="526">
        <f t="shared" si="24"/>
        <v>59</v>
      </c>
      <c r="P260" s="526">
        <f t="shared" si="24"/>
        <v>60</v>
      </c>
      <c r="Q260" s="526">
        <f t="shared" si="24"/>
        <v>61</v>
      </c>
      <c r="R260" s="526">
        <f t="shared" si="24"/>
        <v>62</v>
      </c>
      <c r="S260" s="526">
        <f t="shared" si="24"/>
        <v>63</v>
      </c>
      <c r="T260" s="526">
        <f t="shared" si="24"/>
        <v>64</v>
      </c>
      <c r="U260" s="526">
        <f t="shared" si="24"/>
        <v>65</v>
      </c>
      <c r="V260" s="526">
        <f t="shared" si="24"/>
        <v>66</v>
      </c>
      <c r="W260" s="526">
        <f t="shared" si="24"/>
        <v>67</v>
      </c>
      <c r="X260" s="526">
        <f t="shared" si="24"/>
        <v>68</v>
      </c>
      <c r="Y260" s="526">
        <f t="shared" si="24"/>
        <v>69</v>
      </c>
    </row>
    <row r="261" spans="2:25" s="526" customFormat="1" ht="15.75">
      <c r="B261" s="530" t="s">
        <v>32</v>
      </c>
      <c r="C261" s="526">
        <f t="shared" si="25"/>
        <v>70</v>
      </c>
      <c r="D261" s="526">
        <f t="shared" si="24"/>
        <v>71</v>
      </c>
      <c r="E261" s="526">
        <f t="shared" si="24"/>
        <v>72</v>
      </c>
      <c r="F261" s="526">
        <f t="shared" si="24"/>
        <v>73</v>
      </c>
      <c r="G261" s="526">
        <f t="shared" si="24"/>
        <v>74</v>
      </c>
      <c r="H261" s="526">
        <f t="shared" si="24"/>
        <v>75</v>
      </c>
      <c r="I261" s="526">
        <f t="shared" si="24"/>
        <v>76</v>
      </c>
      <c r="J261" s="526">
        <f t="shared" si="24"/>
        <v>77</v>
      </c>
      <c r="K261" s="526">
        <f t="shared" si="24"/>
        <v>78</v>
      </c>
      <c r="L261" s="526">
        <f t="shared" si="24"/>
        <v>79</v>
      </c>
      <c r="M261" s="526">
        <f t="shared" si="24"/>
        <v>80</v>
      </c>
      <c r="N261" s="526">
        <f t="shared" si="24"/>
        <v>81</v>
      </c>
      <c r="O261" s="526">
        <f t="shared" si="24"/>
        <v>82</v>
      </c>
      <c r="P261" s="526">
        <f t="shared" si="24"/>
        <v>83</v>
      </c>
      <c r="Q261" s="526">
        <f t="shared" si="24"/>
        <v>84</v>
      </c>
      <c r="R261" s="526">
        <f t="shared" si="24"/>
        <v>85</v>
      </c>
      <c r="S261" s="526">
        <f t="shared" si="24"/>
        <v>86</v>
      </c>
      <c r="T261" s="526">
        <f t="shared" si="24"/>
        <v>87</v>
      </c>
      <c r="U261" s="526">
        <f t="shared" si="24"/>
        <v>88</v>
      </c>
      <c r="V261" s="526">
        <f t="shared" si="24"/>
        <v>89</v>
      </c>
      <c r="W261" s="526">
        <f t="shared" si="24"/>
        <v>90</v>
      </c>
      <c r="X261" s="526">
        <f t="shared" si="24"/>
        <v>91</v>
      </c>
      <c r="Y261" s="526">
        <f t="shared" si="24"/>
        <v>92</v>
      </c>
    </row>
    <row r="262" spans="2:25" s="526" customFormat="1" ht="15.75">
      <c r="B262" s="530" t="s">
        <v>33</v>
      </c>
      <c r="C262" s="526">
        <f t="shared" si="25"/>
        <v>93</v>
      </c>
      <c r="D262" s="526">
        <f t="shared" si="24"/>
        <v>94</v>
      </c>
      <c r="E262" s="526">
        <f t="shared" si="24"/>
        <v>95</v>
      </c>
      <c r="F262" s="526">
        <f t="shared" si="24"/>
        <v>96</v>
      </c>
      <c r="G262" s="526">
        <f t="shared" si="24"/>
        <v>97</v>
      </c>
      <c r="H262" s="526">
        <f t="shared" si="24"/>
        <v>98</v>
      </c>
      <c r="I262" s="526">
        <f t="shared" si="24"/>
        <v>99</v>
      </c>
      <c r="J262" s="526">
        <f t="shared" si="24"/>
        <v>100</v>
      </c>
      <c r="K262" s="526">
        <f t="shared" si="24"/>
        <v>101</v>
      </c>
      <c r="L262" s="526">
        <f t="shared" si="24"/>
        <v>102</v>
      </c>
      <c r="M262" s="526">
        <f t="shared" si="24"/>
        <v>103</v>
      </c>
      <c r="N262" s="526">
        <f t="shared" si="24"/>
        <v>104</v>
      </c>
      <c r="O262" s="526">
        <f t="shared" si="24"/>
        <v>105</v>
      </c>
      <c r="P262" s="526">
        <f t="shared" si="24"/>
        <v>106</v>
      </c>
      <c r="Q262" s="526">
        <f t="shared" si="24"/>
        <v>107</v>
      </c>
      <c r="R262" s="526">
        <f t="shared" si="24"/>
        <v>108</v>
      </c>
      <c r="S262" s="526">
        <f t="shared" si="24"/>
        <v>109</v>
      </c>
      <c r="T262" s="526">
        <f t="shared" si="24"/>
        <v>110</v>
      </c>
      <c r="U262" s="526">
        <f t="shared" si="24"/>
        <v>111</v>
      </c>
      <c r="V262" s="526">
        <f t="shared" si="24"/>
        <v>112</v>
      </c>
      <c r="W262" s="526">
        <f t="shared" si="24"/>
        <v>113</v>
      </c>
      <c r="X262" s="526">
        <f t="shared" si="24"/>
        <v>114</v>
      </c>
      <c r="Y262" s="526">
        <f t="shared" si="24"/>
        <v>115</v>
      </c>
    </row>
    <row r="263" spans="2:25" s="526" customFormat="1" ht="15.75">
      <c r="B263" s="530" t="s">
        <v>34</v>
      </c>
      <c r="C263" s="526">
        <f t="shared" si="25"/>
        <v>116</v>
      </c>
      <c r="D263" s="526">
        <f t="shared" si="24"/>
        <v>117</v>
      </c>
      <c r="E263" s="526">
        <f t="shared" si="24"/>
        <v>118</v>
      </c>
      <c r="F263" s="526">
        <f t="shared" si="24"/>
        <v>119</v>
      </c>
      <c r="G263" s="526">
        <f t="shared" si="24"/>
        <v>120</v>
      </c>
      <c r="H263" s="526">
        <f t="shared" si="24"/>
        <v>121</v>
      </c>
      <c r="I263" s="526">
        <f t="shared" si="24"/>
        <v>122</v>
      </c>
      <c r="J263" s="526">
        <f t="shared" si="24"/>
        <v>123</v>
      </c>
      <c r="K263" s="526">
        <f t="shared" si="24"/>
        <v>124</v>
      </c>
      <c r="L263" s="526">
        <f t="shared" si="24"/>
        <v>125</v>
      </c>
      <c r="M263" s="526">
        <f t="shared" si="24"/>
        <v>126</v>
      </c>
      <c r="N263" s="526">
        <f t="shared" si="24"/>
        <v>127</v>
      </c>
      <c r="O263" s="526">
        <f t="shared" si="24"/>
        <v>128</v>
      </c>
      <c r="P263" s="526">
        <f t="shared" si="24"/>
        <v>129</v>
      </c>
      <c r="Q263" s="526">
        <f t="shared" si="24"/>
        <v>130</v>
      </c>
      <c r="R263" s="526">
        <f t="shared" si="24"/>
        <v>131</v>
      </c>
      <c r="S263" s="526">
        <f t="shared" si="24"/>
        <v>132</v>
      </c>
      <c r="T263" s="526">
        <f t="shared" si="24"/>
        <v>133</v>
      </c>
      <c r="U263" s="526">
        <f t="shared" si="24"/>
        <v>134</v>
      </c>
      <c r="V263" s="526">
        <f t="shared" si="24"/>
        <v>135</v>
      </c>
      <c r="W263" s="526">
        <f t="shared" si="24"/>
        <v>136</v>
      </c>
      <c r="X263" s="526">
        <f t="shared" si="24"/>
        <v>137</v>
      </c>
      <c r="Y263" s="526">
        <f t="shared" si="24"/>
        <v>138</v>
      </c>
    </row>
    <row r="264" spans="2:25" s="526" customFormat="1" ht="15.75">
      <c r="B264" s="530" t="s">
        <v>35</v>
      </c>
      <c r="C264" s="526">
        <f t="shared" si="25"/>
        <v>139</v>
      </c>
      <c r="D264" s="526">
        <f t="shared" si="24"/>
        <v>140</v>
      </c>
      <c r="E264" s="526">
        <f t="shared" si="24"/>
        <v>141</v>
      </c>
      <c r="F264" s="526">
        <f t="shared" si="24"/>
        <v>142</v>
      </c>
      <c r="G264" s="526">
        <f t="shared" si="24"/>
        <v>143</v>
      </c>
      <c r="H264" s="526">
        <f t="shared" si="24"/>
        <v>144</v>
      </c>
      <c r="I264" s="526">
        <f t="shared" si="24"/>
        <v>145</v>
      </c>
      <c r="J264" s="526">
        <f t="shared" si="24"/>
        <v>146</v>
      </c>
      <c r="K264" s="526">
        <f t="shared" si="24"/>
        <v>147</v>
      </c>
      <c r="L264" s="526">
        <f t="shared" si="24"/>
        <v>148</v>
      </c>
      <c r="M264" s="526">
        <f t="shared" si="24"/>
        <v>149</v>
      </c>
      <c r="N264" s="526">
        <f t="shared" si="24"/>
        <v>150</v>
      </c>
      <c r="O264" s="526">
        <f t="shared" si="24"/>
        <v>151</v>
      </c>
      <c r="P264" s="526">
        <f t="shared" si="24"/>
        <v>152</v>
      </c>
      <c r="Q264" s="526">
        <f t="shared" si="24"/>
        <v>153</v>
      </c>
      <c r="R264" s="526">
        <f t="shared" si="24"/>
        <v>154</v>
      </c>
      <c r="S264" s="526">
        <f t="shared" si="24"/>
        <v>155</v>
      </c>
      <c r="T264" s="526">
        <f t="shared" si="24"/>
        <v>156</v>
      </c>
      <c r="U264" s="526">
        <f t="shared" si="24"/>
        <v>157</v>
      </c>
      <c r="V264" s="526">
        <f t="shared" si="24"/>
        <v>158</v>
      </c>
      <c r="W264" s="526">
        <f t="shared" si="24"/>
        <v>159</v>
      </c>
      <c r="X264" s="526">
        <f t="shared" si="24"/>
        <v>160</v>
      </c>
      <c r="Y264" s="526">
        <f t="shared" si="24"/>
        <v>161</v>
      </c>
    </row>
    <row r="265" spans="2:25" s="526" customFormat="1" ht="15.75">
      <c r="B265" s="530" t="s">
        <v>115</v>
      </c>
      <c r="C265" s="526">
        <f t="shared" si="25"/>
        <v>162</v>
      </c>
      <c r="D265" s="526">
        <f t="shared" si="24"/>
        <v>163</v>
      </c>
      <c r="E265" s="526">
        <f t="shared" si="24"/>
        <v>164</v>
      </c>
      <c r="F265" s="526">
        <f t="shared" si="24"/>
        <v>165</v>
      </c>
      <c r="G265" s="526">
        <f t="shared" si="24"/>
        <v>166</v>
      </c>
      <c r="H265" s="526">
        <f t="shared" si="24"/>
        <v>167</v>
      </c>
      <c r="I265" s="526">
        <f t="shared" si="24"/>
        <v>168</v>
      </c>
      <c r="J265" s="526">
        <f t="shared" si="24"/>
        <v>169</v>
      </c>
      <c r="K265" s="526">
        <f t="shared" si="24"/>
        <v>170</v>
      </c>
      <c r="L265" s="526">
        <f t="shared" si="24"/>
        <v>171</v>
      </c>
      <c r="M265" s="526">
        <f t="shared" si="24"/>
        <v>172</v>
      </c>
      <c r="N265" s="526">
        <f t="shared" si="24"/>
        <v>173</v>
      </c>
      <c r="O265" s="526">
        <f t="shared" si="24"/>
        <v>174</v>
      </c>
      <c r="P265" s="526">
        <f t="shared" si="24"/>
        <v>175</v>
      </c>
      <c r="Q265" s="526">
        <f t="shared" si="24"/>
        <v>176</v>
      </c>
      <c r="R265" s="526">
        <f t="shared" si="24"/>
        <v>177</v>
      </c>
      <c r="S265" s="526">
        <f t="shared" si="24"/>
        <v>178</v>
      </c>
      <c r="T265" s="526">
        <f t="shared" si="24"/>
        <v>179</v>
      </c>
      <c r="U265" s="526">
        <f t="shared" si="24"/>
        <v>180</v>
      </c>
      <c r="V265" s="526">
        <f t="shared" si="24"/>
        <v>181</v>
      </c>
      <c r="W265" s="526">
        <f t="shared" si="24"/>
        <v>182</v>
      </c>
      <c r="X265" s="526">
        <f t="shared" si="24"/>
        <v>183</v>
      </c>
      <c r="Y265" s="526">
        <f t="shared" si="24"/>
        <v>184</v>
      </c>
    </row>
    <row r="266" spans="2:25" s="526" customFormat="1" ht="15.75">
      <c r="B266" s="530" t="s">
        <v>116</v>
      </c>
      <c r="C266" s="526">
        <f t="shared" si="25"/>
        <v>185</v>
      </c>
      <c r="D266" s="526">
        <f t="shared" si="24"/>
        <v>186</v>
      </c>
      <c r="E266" s="526">
        <f t="shared" si="24"/>
        <v>187</v>
      </c>
      <c r="F266" s="526">
        <f t="shared" si="24"/>
        <v>188</v>
      </c>
      <c r="G266" s="526">
        <f t="shared" si="24"/>
        <v>189</v>
      </c>
      <c r="H266" s="526">
        <f t="shared" si="24"/>
        <v>190</v>
      </c>
      <c r="I266" s="526">
        <f t="shared" si="24"/>
        <v>191</v>
      </c>
      <c r="J266" s="526">
        <f t="shared" si="24"/>
        <v>192</v>
      </c>
      <c r="K266" s="526">
        <f t="shared" si="24"/>
        <v>193</v>
      </c>
      <c r="L266" s="526">
        <f t="shared" si="24"/>
        <v>194</v>
      </c>
      <c r="M266" s="526">
        <f t="shared" si="24"/>
        <v>195</v>
      </c>
      <c r="N266" s="526">
        <f t="shared" si="24"/>
        <v>196</v>
      </c>
      <c r="O266" s="526">
        <f t="shared" si="24"/>
        <v>197</v>
      </c>
      <c r="P266" s="526">
        <f t="shared" si="24"/>
        <v>198</v>
      </c>
      <c r="Q266" s="526">
        <f t="shared" si="24"/>
        <v>199</v>
      </c>
      <c r="R266" s="526">
        <f t="shared" si="24"/>
        <v>200</v>
      </c>
      <c r="S266" s="526">
        <f t="shared" si="24"/>
        <v>201</v>
      </c>
      <c r="T266" s="526">
        <f t="shared" si="24"/>
        <v>202</v>
      </c>
      <c r="U266" s="526">
        <f t="shared" si="24"/>
        <v>203</v>
      </c>
      <c r="V266" s="526">
        <f t="shared" si="24"/>
        <v>204</v>
      </c>
      <c r="W266" s="526">
        <f t="shared" si="24"/>
        <v>205</v>
      </c>
      <c r="X266" s="526">
        <f t="shared" si="24"/>
        <v>206</v>
      </c>
      <c r="Y266" s="526">
        <f t="shared" si="24"/>
        <v>207</v>
      </c>
    </row>
    <row r="267" spans="2:25" s="526" customFormat="1" ht="15.75">
      <c r="B267" s="530" t="s">
        <v>38</v>
      </c>
      <c r="C267" s="526">
        <f t="shared" si="25"/>
        <v>208</v>
      </c>
      <c r="D267" s="526">
        <f t="shared" si="24"/>
        <v>209</v>
      </c>
      <c r="E267" s="526">
        <f t="shared" si="24"/>
        <v>210</v>
      </c>
      <c r="F267" s="526">
        <f t="shared" si="24"/>
        <v>211</v>
      </c>
      <c r="G267" s="526">
        <f t="shared" si="24"/>
        <v>212</v>
      </c>
      <c r="H267" s="526">
        <f t="shared" si="24"/>
        <v>213</v>
      </c>
      <c r="I267" s="526">
        <f t="shared" si="24"/>
        <v>214</v>
      </c>
      <c r="J267" s="526">
        <f t="shared" si="24"/>
        <v>215</v>
      </c>
      <c r="K267" s="526">
        <f t="shared" si="24"/>
        <v>216</v>
      </c>
      <c r="L267" s="526">
        <f t="shared" si="24"/>
        <v>217</v>
      </c>
      <c r="M267" s="526">
        <f t="shared" si="24"/>
        <v>218</v>
      </c>
      <c r="N267" s="526">
        <f t="shared" si="24"/>
        <v>219</v>
      </c>
      <c r="O267" s="526">
        <f t="shared" si="24"/>
        <v>220</v>
      </c>
      <c r="P267" s="526">
        <f t="shared" si="24"/>
        <v>221</v>
      </c>
      <c r="Q267" s="526">
        <f t="shared" si="24"/>
        <v>222</v>
      </c>
      <c r="R267" s="526">
        <f t="shared" si="24"/>
        <v>223</v>
      </c>
      <c r="S267" s="526">
        <f t="shared" si="24"/>
        <v>224</v>
      </c>
      <c r="T267" s="526">
        <f t="shared" si="24"/>
        <v>225</v>
      </c>
      <c r="U267" s="526">
        <f t="shared" si="24"/>
        <v>226</v>
      </c>
      <c r="V267" s="526">
        <f t="shared" si="24"/>
        <v>227</v>
      </c>
      <c r="W267" s="526">
        <f t="shared" si="24"/>
        <v>228</v>
      </c>
      <c r="X267" s="526">
        <f t="shared" si="24"/>
        <v>229</v>
      </c>
      <c r="Y267" s="526">
        <f t="shared" si="24"/>
        <v>230</v>
      </c>
    </row>
    <row r="268" spans="2:25" s="526" customFormat="1" ht="15.75">
      <c r="B268" s="530" t="s">
        <v>39</v>
      </c>
      <c r="C268" s="526">
        <f t="shared" si="25"/>
        <v>231</v>
      </c>
      <c r="D268" s="526">
        <f t="shared" si="24"/>
        <v>232</v>
      </c>
      <c r="E268" s="526">
        <f t="shared" si="24"/>
        <v>233</v>
      </c>
      <c r="F268" s="526">
        <f t="shared" si="24"/>
        <v>234</v>
      </c>
      <c r="G268" s="526">
        <f t="shared" si="24"/>
        <v>235</v>
      </c>
      <c r="H268" s="526">
        <f t="shared" si="24"/>
        <v>236</v>
      </c>
      <c r="I268" s="526">
        <f t="shared" si="24"/>
        <v>237</v>
      </c>
      <c r="J268" s="526">
        <f t="shared" si="24"/>
        <v>238</v>
      </c>
      <c r="K268" s="526">
        <f t="shared" si="24"/>
        <v>239</v>
      </c>
      <c r="L268" s="526">
        <f t="shared" si="24"/>
        <v>240</v>
      </c>
      <c r="M268" s="526">
        <f t="shared" si="24"/>
        <v>241</v>
      </c>
      <c r="N268" s="526">
        <f t="shared" si="24"/>
        <v>242</v>
      </c>
      <c r="O268" s="526">
        <f t="shared" si="24"/>
        <v>243</v>
      </c>
      <c r="P268" s="526">
        <f t="shared" si="24"/>
        <v>244</v>
      </c>
      <c r="Q268" s="526">
        <f t="shared" si="24"/>
        <v>245</v>
      </c>
      <c r="R268" s="526">
        <f t="shared" si="24"/>
        <v>246</v>
      </c>
      <c r="S268" s="526">
        <f t="shared" si="24"/>
        <v>247</v>
      </c>
      <c r="T268" s="526">
        <f t="shared" si="24"/>
        <v>248</v>
      </c>
      <c r="U268" s="526">
        <f t="shared" si="24"/>
        <v>249</v>
      </c>
      <c r="V268" s="526">
        <f t="shared" si="24"/>
        <v>250</v>
      </c>
      <c r="W268" s="526">
        <f t="shared" si="24"/>
        <v>251</v>
      </c>
      <c r="X268" s="526">
        <f t="shared" si="24"/>
        <v>252</v>
      </c>
      <c r="Y268" s="526">
        <f t="shared" si="24"/>
        <v>253</v>
      </c>
    </row>
    <row r="269" spans="2:25" s="526" customFormat="1" ht="15.75">
      <c r="B269" s="530" t="s">
        <v>40</v>
      </c>
      <c r="C269" s="526">
        <f t="shared" si="25"/>
        <v>254</v>
      </c>
      <c r="D269" s="526">
        <f t="shared" si="24"/>
        <v>255</v>
      </c>
      <c r="E269" s="526">
        <f t="shared" si="24"/>
        <v>256</v>
      </c>
      <c r="F269" s="526">
        <f t="shared" si="24"/>
        <v>257</v>
      </c>
      <c r="G269" s="526">
        <f t="shared" si="24"/>
        <v>258</v>
      </c>
      <c r="H269" s="526">
        <f t="shared" si="24"/>
        <v>259</v>
      </c>
      <c r="I269" s="526">
        <f t="shared" si="24"/>
        <v>260</v>
      </c>
      <c r="J269" s="526">
        <f t="shared" si="24"/>
        <v>261</v>
      </c>
      <c r="K269" s="526">
        <f t="shared" si="24"/>
        <v>262</v>
      </c>
      <c r="L269" s="526">
        <f t="shared" si="24"/>
        <v>263</v>
      </c>
      <c r="M269" s="526">
        <f t="shared" si="24"/>
        <v>264</v>
      </c>
      <c r="N269" s="526">
        <f t="shared" si="24"/>
        <v>265</v>
      </c>
      <c r="O269" s="526">
        <f t="shared" si="24"/>
        <v>266</v>
      </c>
      <c r="P269" s="526">
        <f t="shared" si="24"/>
        <v>267</v>
      </c>
      <c r="Q269" s="526">
        <f t="shared" ref="Q269:Y284" si="26">P269+1</f>
        <v>268</v>
      </c>
      <c r="R269" s="526">
        <f t="shared" si="26"/>
        <v>269</v>
      </c>
      <c r="S269" s="526">
        <f t="shared" si="26"/>
        <v>270</v>
      </c>
      <c r="T269" s="526">
        <f t="shared" si="26"/>
        <v>271</v>
      </c>
      <c r="U269" s="526">
        <f t="shared" si="26"/>
        <v>272</v>
      </c>
      <c r="V269" s="526">
        <f t="shared" si="26"/>
        <v>273</v>
      </c>
      <c r="W269" s="526">
        <f t="shared" si="26"/>
        <v>274</v>
      </c>
      <c r="X269" s="526">
        <f t="shared" si="26"/>
        <v>275</v>
      </c>
      <c r="Y269" s="526">
        <f t="shared" si="26"/>
        <v>276</v>
      </c>
    </row>
    <row r="270" spans="2:25" s="526" customFormat="1" ht="15.75">
      <c r="B270" s="530" t="s">
        <v>41</v>
      </c>
      <c r="C270" s="526">
        <f t="shared" si="25"/>
        <v>277</v>
      </c>
      <c r="D270" s="526">
        <f t="shared" ref="D270:S285" si="27">C270+1</f>
        <v>278</v>
      </c>
      <c r="E270" s="526">
        <f t="shared" si="27"/>
        <v>279</v>
      </c>
      <c r="F270" s="526">
        <f t="shared" si="27"/>
        <v>280</v>
      </c>
      <c r="G270" s="526">
        <f t="shared" si="27"/>
        <v>281</v>
      </c>
      <c r="H270" s="526">
        <f t="shared" si="27"/>
        <v>282</v>
      </c>
      <c r="I270" s="526">
        <f t="shared" si="27"/>
        <v>283</v>
      </c>
      <c r="J270" s="526">
        <f t="shared" si="27"/>
        <v>284</v>
      </c>
      <c r="K270" s="526">
        <f t="shared" si="27"/>
        <v>285</v>
      </c>
      <c r="L270" s="526">
        <f t="shared" si="27"/>
        <v>286</v>
      </c>
      <c r="M270" s="526">
        <f t="shared" si="27"/>
        <v>287</v>
      </c>
      <c r="N270" s="526">
        <f t="shared" si="27"/>
        <v>288</v>
      </c>
      <c r="O270" s="526">
        <f t="shared" si="27"/>
        <v>289</v>
      </c>
      <c r="P270" s="526">
        <f t="shared" si="27"/>
        <v>290</v>
      </c>
      <c r="Q270" s="526">
        <f t="shared" si="27"/>
        <v>291</v>
      </c>
      <c r="R270" s="526">
        <f t="shared" si="27"/>
        <v>292</v>
      </c>
      <c r="S270" s="526">
        <f t="shared" si="27"/>
        <v>293</v>
      </c>
      <c r="T270" s="526">
        <f t="shared" si="26"/>
        <v>294</v>
      </c>
      <c r="U270" s="526">
        <f t="shared" si="26"/>
        <v>295</v>
      </c>
      <c r="V270" s="526">
        <f t="shared" si="26"/>
        <v>296</v>
      </c>
      <c r="W270" s="526">
        <f t="shared" si="26"/>
        <v>297</v>
      </c>
      <c r="X270" s="526">
        <f t="shared" si="26"/>
        <v>298</v>
      </c>
      <c r="Y270" s="526">
        <f t="shared" si="26"/>
        <v>299</v>
      </c>
    </row>
    <row r="271" spans="2:25" s="526" customFormat="1" ht="15.75">
      <c r="B271" s="530" t="s">
        <v>42</v>
      </c>
      <c r="C271" s="526">
        <f t="shared" si="25"/>
        <v>300</v>
      </c>
      <c r="D271" s="526">
        <f t="shared" si="27"/>
        <v>301</v>
      </c>
      <c r="E271" s="526">
        <f t="shared" si="27"/>
        <v>302</v>
      </c>
      <c r="F271" s="526">
        <f t="shared" si="27"/>
        <v>303</v>
      </c>
      <c r="G271" s="526">
        <f t="shared" si="27"/>
        <v>304</v>
      </c>
      <c r="H271" s="526">
        <f t="shared" si="27"/>
        <v>305</v>
      </c>
      <c r="I271" s="526">
        <f t="shared" si="27"/>
        <v>306</v>
      </c>
      <c r="J271" s="526">
        <f t="shared" si="27"/>
        <v>307</v>
      </c>
      <c r="K271" s="526">
        <f t="shared" si="27"/>
        <v>308</v>
      </c>
      <c r="L271" s="526">
        <f t="shared" si="27"/>
        <v>309</v>
      </c>
      <c r="M271" s="526">
        <f t="shared" si="27"/>
        <v>310</v>
      </c>
      <c r="N271" s="526">
        <f t="shared" si="27"/>
        <v>311</v>
      </c>
      <c r="O271" s="526">
        <f t="shared" si="27"/>
        <v>312</v>
      </c>
      <c r="P271" s="526">
        <f t="shared" si="27"/>
        <v>313</v>
      </c>
      <c r="Q271" s="526">
        <f t="shared" si="27"/>
        <v>314</v>
      </c>
      <c r="R271" s="526">
        <f t="shared" si="27"/>
        <v>315</v>
      </c>
      <c r="S271" s="526">
        <f t="shared" si="27"/>
        <v>316</v>
      </c>
      <c r="T271" s="526">
        <f t="shared" si="26"/>
        <v>317</v>
      </c>
      <c r="U271" s="526">
        <f t="shared" si="26"/>
        <v>318</v>
      </c>
      <c r="V271" s="526">
        <f t="shared" si="26"/>
        <v>319</v>
      </c>
      <c r="W271" s="526">
        <f t="shared" si="26"/>
        <v>320</v>
      </c>
      <c r="X271" s="526">
        <f t="shared" si="26"/>
        <v>321</v>
      </c>
      <c r="Y271" s="526">
        <f t="shared" si="26"/>
        <v>322</v>
      </c>
    </row>
    <row r="272" spans="2:25" s="526" customFormat="1" ht="15.75">
      <c r="B272" s="530" t="s">
        <v>43</v>
      </c>
      <c r="C272" s="526">
        <f t="shared" si="25"/>
        <v>323</v>
      </c>
      <c r="D272" s="526">
        <f t="shared" si="27"/>
        <v>324</v>
      </c>
      <c r="E272" s="526">
        <f t="shared" si="27"/>
        <v>325</v>
      </c>
      <c r="F272" s="526">
        <f t="shared" si="27"/>
        <v>326</v>
      </c>
      <c r="G272" s="526">
        <f t="shared" si="27"/>
        <v>327</v>
      </c>
      <c r="H272" s="526">
        <f t="shared" si="27"/>
        <v>328</v>
      </c>
      <c r="I272" s="526">
        <f t="shared" si="27"/>
        <v>329</v>
      </c>
      <c r="J272" s="526">
        <f t="shared" si="27"/>
        <v>330</v>
      </c>
      <c r="K272" s="526">
        <f t="shared" si="27"/>
        <v>331</v>
      </c>
      <c r="L272" s="526">
        <f t="shared" si="27"/>
        <v>332</v>
      </c>
      <c r="M272" s="526">
        <f t="shared" si="27"/>
        <v>333</v>
      </c>
      <c r="N272" s="526">
        <f t="shared" si="27"/>
        <v>334</v>
      </c>
      <c r="O272" s="526">
        <f t="shared" si="27"/>
        <v>335</v>
      </c>
      <c r="P272" s="526">
        <f t="shared" si="27"/>
        <v>336</v>
      </c>
      <c r="Q272" s="526">
        <f t="shared" si="27"/>
        <v>337</v>
      </c>
      <c r="R272" s="526">
        <f t="shared" si="27"/>
        <v>338</v>
      </c>
      <c r="S272" s="526">
        <f t="shared" si="27"/>
        <v>339</v>
      </c>
      <c r="T272" s="526">
        <f t="shared" si="26"/>
        <v>340</v>
      </c>
      <c r="U272" s="526">
        <f t="shared" si="26"/>
        <v>341</v>
      </c>
      <c r="V272" s="526">
        <f t="shared" si="26"/>
        <v>342</v>
      </c>
      <c r="W272" s="526">
        <f t="shared" si="26"/>
        <v>343</v>
      </c>
      <c r="X272" s="526">
        <f t="shared" si="26"/>
        <v>344</v>
      </c>
      <c r="Y272" s="526">
        <f t="shared" si="26"/>
        <v>345</v>
      </c>
    </row>
    <row r="273" spans="2:25" s="526" customFormat="1" ht="15.75">
      <c r="B273" s="530" t="s">
        <v>44</v>
      </c>
      <c r="C273" s="526">
        <f t="shared" si="25"/>
        <v>346</v>
      </c>
      <c r="D273" s="526">
        <f t="shared" si="27"/>
        <v>347</v>
      </c>
      <c r="E273" s="526">
        <f t="shared" si="27"/>
        <v>348</v>
      </c>
      <c r="F273" s="526">
        <f t="shared" si="27"/>
        <v>349</v>
      </c>
      <c r="G273" s="526">
        <f t="shared" si="27"/>
        <v>350</v>
      </c>
      <c r="H273" s="526">
        <f t="shared" si="27"/>
        <v>351</v>
      </c>
      <c r="I273" s="526">
        <f t="shared" si="27"/>
        <v>352</v>
      </c>
      <c r="J273" s="526">
        <f t="shared" si="27"/>
        <v>353</v>
      </c>
      <c r="K273" s="526">
        <f t="shared" si="27"/>
        <v>354</v>
      </c>
      <c r="L273" s="526">
        <f t="shared" si="27"/>
        <v>355</v>
      </c>
      <c r="M273" s="526">
        <f t="shared" si="27"/>
        <v>356</v>
      </c>
      <c r="N273" s="526">
        <f t="shared" si="27"/>
        <v>357</v>
      </c>
      <c r="O273" s="526">
        <f t="shared" si="27"/>
        <v>358</v>
      </c>
      <c r="P273" s="526">
        <f t="shared" si="27"/>
        <v>359</v>
      </c>
      <c r="Q273" s="526">
        <f t="shared" si="27"/>
        <v>360</v>
      </c>
      <c r="R273" s="526">
        <f t="shared" si="27"/>
        <v>361</v>
      </c>
      <c r="S273" s="526">
        <f t="shared" si="27"/>
        <v>362</v>
      </c>
      <c r="T273" s="526">
        <f t="shared" si="26"/>
        <v>363</v>
      </c>
      <c r="U273" s="526">
        <f t="shared" si="26"/>
        <v>364</v>
      </c>
      <c r="V273" s="526">
        <f t="shared" si="26"/>
        <v>365</v>
      </c>
      <c r="W273" s="526">
        <f t="shared" si="26"/>
        <v>366</v>
      </c>
      <c r="X273" s="526">
        <f t="shared" si="26"/>
        <v>367</v>
      </c>
      <c r="Y273" s="526">
        <f t="shared" si="26"/>
        <v>368</v>
      </c>
    </row>
    <row r="274" spans="2:25" s="526" customFormat="1" ht="15.75">
      <c r="B274" s="530" t="s">
        <v>45</v>
      </c>
      <c r="C274" s="526">
        <f t="shared" si="25"/>
        <v>369</v>
      </c>
      <c r="D274" s="526">
        <f t="shared" si="27"/>
        <v>370</v>
      </c>
      <c r="E274" s="526">
        <f t="shared" si="27"/>
        <v>371</v>
      </c>
      <c r="F274" s="526">
        <f t="shared" si="27"/>
        <v>372</v>
      </c>
      <c r="G274" s="526">
        <f t="shared" si="27"/>
        <v>373</v>
      </c>
      <c r="H274" s="526">
        <f t="shared" si="27"/>
        <v>374</v>
      </c>
      <c r="I274" s="526">
        <f t="shared" si="27"/>
        <v>375</v>
      </c>
      <c r="J274" s="526">
        <f t="shared" si="27"/>
        <v>376</v>
      </c>
      <c r="K274" s="526">
        <f t="shared" si="27"/>
        <v>377</v>
      </c>
      <c r="L274" s="526">
        <f t="shared" si="27"/>
        <v>378</v>
      </c>
      <c r="M274" s="526">
        <f t="shared" si="27"/>
        <v>379</v>
      </c>
      <c r="N274" s="526">
        <f t="shared" si="27"/>
        <v>380</v>
      </c>
      <c r="O274" s="526">
        <f t="shared" si="27"/>
        <v>381</v>
      </c>
      <c r="P274" s="526">
        <f t="shared" si="27"/>
        <v>382</v>
      </c>
      <c r="Q274" s="526">
        <f t="shared" si="27"/>
        <v>383</v>
      </c>
      <c r="R274" s="526">
        <f t="shared" si="27"/>
        <v>384</v>
      </c>
      <c r="S274" s="526">
        <f t="shared" si="27"/>
        <v>385</v>
      </c>
      <c r="T274" s="526">
        <f t="shared" si="26"/>
        <v>386</v>
      </c>
      <c r="U274" s="526">
        <f t="shared" si="26"/>
        <v>387</v>
      </c>
      <c r="V274" s="526">
        <f t="shared" si="26"/>
        <v>388</v>
      </c>
      <c r="W274" s="526">
        <f t="shared" si="26"/>
        <v>389</v>
      </c>
      <c r="X274" s="526">
        <f t="shared" si="26"/>
        <v>390</v>
      </c>
      <c r="Y274" s="526">
        <f t="shared" si="26"/>
        <v>391</v>
      </c>
    </row>
    <row r="275" spans="2:25" s="526" customFormat="1" ht="15.75">
      <c r="B275" s="530" t="s">
        <v>295</v>
      </c>
      <c r="C275" s="526">
        <f t="shared" si="25"/>
        <v>392</v>
      </c>
      <c r="D275" s="526">
        <f t="shared" si="27"/>
        <v>393</v>
      </c>
      <c r="E275" s="526">
        <f t="shared" si="27"/>
        <v>394</v>
      </c>
      <c r="F275" s="526">
        <f t="shared" si="27"/>
        <v>395</v>
      </c>
      <c r="G275" s="526">
        <f t="shared" si="27"/>
        <v>396</v>
      </c>
      <c r="H275" s="526">
        <f t="shared" si="27"/>
        <v>397</v>
      </c>
      <c r="I275" s="526">
        <f t="shared" si="27"/>
        <v>398</v>
      </c>
      <c r="J275" s="526">
        <f t="shared" si="27"/>
        <v>399</v>
      </c>
      <c r="K275" s="526">
        <f t="shared" si="27"/>
        <v>400</v>
      </c>
      <c r="L275" s="526">
        <f t="shared" si="27"/>
        <v>401</v>
      </c>
      <c r="M275" s="526">
        <f t="shared" si="27"/>
        <v>402</v>
      </c>
      <c r="N275" s="526">
        <f t="shared" si="27"/>
        <v>403</v>
      </c>
      <c r="O275" s="526">
        <f t="shared" si="27"/>
        <v>404</v>
      </c>
      <c r="P275" s="526">
        <f t="shared" si="27"/>
        <v>405</v>
      </c>
      <c r="Q275" s="526">
        <f t="shared" si="27"/>
        <v>406</v>
      </c>
      <c r="R275" s="526">
        <f t="shared" si="27"/>
        <v>407</v>
      </c>
      <c r="S275" s="526">
        <f t="shared" si="27"/>
        <v>408</v>
      </c>
      <c r="T275" s="526">
        <f t="shared" si="26"/>
        <v>409</v>
      </c>
      <c r="U275" s="526">
        <f t="shared" si="26"/>
        <v>410</v>
      </c>
      <c r="V275" s="526">
        <f t="shared" si="26"/>
        <v>411</v>
      </c>
      <c r="W275" s="526">
        <f t="shared" si="26"/>
        <v>412</v>
      </c>
      <c r="X275" s="526">
        <f t="shared" si="26"/>
        <v>413</v>
      </c>
      <c r="Y275" s="526">
        <f t="shared" si="26"/>
        <v>414</v>
      </c>
    </row>
    <row r="276" spans="2:25" s="526" customFormat="1" ht="15.75">
      <c r="B276" s="530" t="s">
        <v>47</v>
      </c>
      <c r="C276" s="526">
        <f t="shared" si="25"/>
        <v>415</v>
      </c>
      <c r="D276" s="526">
        <f t="shared" si="27"/>
        <v>416</v>
      </c>
      <c r="E276" s="526">
        <f t="shared" si="27"/>
        <v>417</v>
      </c>
      <c r="F276" s="526">
        <f t="shared" si="27"/>
        <v>418</v>
      </c>
      <c r="G276" s="526">
        <f t="shared" si="27"/>
        <v>419</v>
      </c>
      <c r="H276" s="526">
        <f t="shared" si="27"/>
        <v>420</v>
      </c>
      <c r="I276" s="526">
        <f t="shared" si="27"/>
        <v>421</v>
      </c>
      <c r="J276" s="526">
        <f t="shared" si="27"/>
        <v>422</v>
      </c>
      <c r="K276" s="526">
        <f t="shared" si="27"/>
        <v>423</v>
      </c>
      <c r="L276" s="526">
        <f t="shared" si="27"/>
        <v>424</v>
      </c>
      <c r="M276" s="526">
        <f t="shared" si="27"/>
        <v>425</v>
      </c>
      <c r="N276" s="526">
        <f t="shared" si="27"/>
        <v>426</v>
      </c>
      <c r="O276" s="526">
        <f t="shared" si="27"/>
        <v>427</v>
      </c>
      <c r="P276" s="526">
        <f t="shared" si="27"/>
        <v>428</v>
      </c>
      <c r="Q276" s="526">
        <f t="shared" si="27"/>
        <v>429</v>
      </c>
      <c r="R276" s="526">
        <f t="shared" si="27"/>
        <v>430</v>
      </c>
      <c r="S276" s="526">
        <f t="shared" si="27"/>
        <v>431</v>
      </c>
      <c r="T276" s="526">
        <f t="shared" si="26"/>
        <v>432</v>
      </c>
      <c r="U276" s="526">
        <f t="shared" si="26"/>
        <v>433</v>
      </c>
      <c r="V276" s="526">
        <f t="shared" si="26"/>
        <v>434</v>
      </c>
      <c r="W276" s="526">
        <f t="shared" si="26"/>
        <v>435</v>
      </c>
      <c r="X276" s="526">
        <f t="shared" si="26"/>
        <v>436</v>
      </c>
      <c r="Y276" s="526">
        <f t="shared" si="26"/>
        <v>437</v>
      </c>
    </row>
    <row r="277" spans="2:25" s="526" customFormat="1" ht="15.75">
      <c r="B277" s="530" t="s">
        <v>48</v>
      </c>
      <c r="C277" s="526">
        <f t="shared" si="25"/>
        <v>438</v>
      </c>
      <c r="D277" s="526">
        <f t="shared" si="27"/>
        <v>439</v>
      </c>
      <c r="E277" s="526">
        <f t="shared" si="27"/>
        <v>440</v>
      </c>
      <c r="F277" s="526">
        <f t="shared" si="27"/>
        <v>441</v>
      </c>
      <c r="G277" s="526">
        <f t="shared" si="27"/>
        <v>442</v>
      </c>
      <c r="H277" s="526">
        <f t="shared" si="27"/>
        <v>443</v>
      </c>
      <c r="I277" s="526">
        <f t="shared" si="27"/>
        <v>444</v>
      </c>
      <c r="J277" s="526">
        <f t="shared" si="27"/>
        <v>445</v>
      </c>
      <c r="K277" s="526">
        <f t="shared" si="27"/>
        <v>446</v>
      </c>
      <c r="L277" s="526">
        <f t="shared" si="27"/>
        <v>447</v>
      </c>
      <c r="M277" s="526">
        <f t="shared" si="27"/>
        <v>448</v>
      </c>
      <c r="N277" s="526">
        <f t="shared" si="27"/>
        <v>449</v>
      </c>
      <c r="O277" s="526">
        <f t="shared" si="27"/>
        <v>450</v>
      </c>
      <c r="P277" s="526">
        <f t="shared" si="27"/>
        <v>451</v>
      </c>
      <c r="Q277" s="526">
        <f t="shared" si="27"/>
        <v>452</v>
      </c>
      <c r="R277" s="526">
        <f t="shared" si="27"/>
        <v>453</v>
      </c>
      <c r="S277" s="526">
        <f t="shared" si="27"/>
        <v>454</v>
      </c>
      <c r="T277" s="526">
        <f t="shared" si="26"/>
        <v>455</v>
      </c>
      <c r="U277" s="526">
        <f t="shared" si="26"/>
        <v>456</v>
      </c>
      <c r="V277" s="526">
        <f t="shared" si="26"/>
        <v>457</v>
      </c>
      <c r="W277" s="526">
        <f t="shared" si="26"/>
        <v>458</v>
      </c>
      <c r="X277" s="526">
        <f t="shared" si="26"/>
        <v>459</v>
      </c>
      <c r="Y277" s="526">
        <f t="shared" si="26"/>
        <v>460</v>
      </c>
    </row>
    <row r="278" spans="2:25" s="526" customFormat="1" ht="15.75">
      <c r="B278" s="530" t="s">
        <v>176</v>
      </c>
      <c r="C278" s="526">
        <f t="shared" si="25"/>
        <v>461</v>
      </c>
      <c r="D278" s="526">
        <f t="shared" si="27"/>
        <v>462</v>
      </c>
      <c r="E278" s="526">
        <f t="shared" si="27"/>
        <v>463</v>
      </c>
      <c r="F278" s="526">
        <f t="shared" si="27"/>
        <v>464</v>
      </c>
      <c r="G278" s="526">
        <f t="shared" si="27"/>
        <v>465</v>
      </c>
      <c r="H278" s="526">
        <f t="shared" si="27"/>
        <v>466</v>
      </c>
      <c r="I278" s="526">
        <f t="shared" si="27"/>
        <v>467</v>
      </c>
      <c r="J278" s="526">
        <f t="shared" si="27"/>
        <v>468</v>
      </c>
      <c r="K278" s="526">
        <f t="shared" si="27"/>
        <v>469</v>
      </c>
      <c r="L278" s="526">
        <f t="shared" si="27"/>
        <v>470</v>
      </c>
      <c r="M278" s="526">
        <f t="shared" si="27"/>
        <v>471</v>
      </c>
      <c r="N278" s="526">
        <f t="shared" si="27"/>
        <v>472</v>
      </c>
      <c r="O278" s="526">
        <f t="shared" si="27"/>
        <v>473</v>
      </c>
      <c r="P278" s="526">
        <f t="shared" si="27"/>
        <v>474</v>
      </c>
      <c r="Q278" s="526">
        <f t="shared" si="27"/>
        <v>475</v>
      </c>
      <c r="R278" s="526">
        <f t="shared" si="27"/>
        <v>476</v>
      </c>
      <c r="S278" s="526">
        <f t="shared" si="27"/>
        <v>477</v>
      </c>
      <c r="T278" s="526">
        <f t="shared" si="26"/>
        <v>478</v>
      </c>
      <c r="U278" s="526">
        <f t="shared" si="26"/>
        <v>479</v>
      </c>
      <c r="V278" s="526">
        <f t="shared" si="26"/>
        <v>480</v>
      </c>
      <c r="W278" s="526">
        <f t="shared" si="26"/>
        <v>481</v>
      </c>
      <c r="X278" s="526">
        <f t="shared" si="26"/>
        <v>482</v>
      </c>
      <c r="Y278" s="526">
        <f t="shared" si="26"/>
        <v>483</v>
      </c>
    </row>
    <row r="279" spans="2:25" s="526" customFormat="1" ht="15.75">
      <c r="B279" s="530" t="s">
        <v>124</v>
      </c>
      <c r="C279" s="526">
        <f t="shared" si="25"/>
        <v>484</v>
      </c>
      <c r="D279" s="526">
        <f t="shared" si="27"/>
        <v>485</v>
      </c>
      <c r="E279" s="526">
        <f t="shared" si="27"/>
        <v>486</v>
      </c>
      <c r="F279" s="526">
        <f t="shared" si="27"/>
        <v>487</v>
      </c>
      <c r="G279" s="526">
        <f t="shared" si="27"/>
        <v>488</v>
      </c>
      <c r="H279" s="526">
        <f t="shared" si="27"/>
        <v>489</v>
      </c>
      <c r="I279" s="526">
        <f t="shared" si="27"/>
        <v>490</v>
      </c>
      <c r="J279" s="526">
        <f t="shared" si="27"/>
        <v>491</v>
      </c>
      <c r="K279" s="526">
        <f t="shared" si="27"/>
        <v>492</v>
      </c>
      <c r="L279" s="526">
        <f t="shared" si="27"/>
        <v>493</v>
      </c>
      <c r="M279" s="526">
        <f t="shared" si="27"/>
        <v>494</v>
      </c>
      <c r="N279" s="526">
        <f t="shared" si="27"/>
        <v>495</v>
      </c>
      <c r="O279" s="526">
        <f t="shared" si="27"/>
        <v>496</v>
      </c>
      <c r="P279" s="526">
        <f t="shared" si="27"/>
        <v>497</v>
      </c>
      <c r="Q279" s="526">
        <f t="shared" si="27"/>
        <v>498</v>
      </c>
      <c r="R279" s="526">
        <f t="shared" si="27"/>
        <v>499</v>
      </c>
      <c r="S279" s="526">
        <f t="shared" si="27"/>
        <v>500</v>
      </c>
      <c r="T279" s="526">
        <f t="shared" si="26"/>
        <v>501</v>
      </c>
      <c r="U279" s="526">
        <f t="shared" si="26"/>
        <v>502</v>
      </c>
      <c r="V279" s="526">
        <f t="shared" si="26"/>
        <v>503</v>
      </c>
      <c r="W279" s="526">
        <f t="shared" si="26"/>
        <v>504</v>
      </c>
      <c r="X279" s="526">
        <f t="shared" si="26"/>
        <v>505</v>
      </c>
      <c r="Y279" s="526">
        <f t="shared" si="26"/>
        <v>506</v>
      </c>
    </row>
    <row r="280" spans="2:25" s="526" customFormat="1" ht="15.75">
      <c r="B280" s="530" t="s">
        <v>125</v>
      </c>
      <c r="C280" s="526">
        <f t="shared" si="25"/>
        <v>507</v>
      </c>
      <c r="D280" s="526">
        <f t="shared" si="27"/>
        <v>508</v>
      </c>
      <c r="E280" s="526">
        <f t="shared" si="27"/>
        <v>509</v>
      </c>
      <c r="F280" s="526">
        <f t="shared" si="27"/>
        <v>510</v>
      </c>
      <c r="G280" s="526">
        <f t="shared" si="27"/>
        <v>511</v>
      </c>
      <c r="H280" s="526">
        <f t="shared" si="27"/>
        <v>512</v>
      </c>
      <c r="I280" s="526">
        <f t="shared" si="27"/>
        <v>513</v>
      </c>
      <c r="J280" s="526">
        <f t="shared" si="27"/>
        <v>514</v>
      </c>
      <c r="K280" s="526">
        <f t="shared" si="27"/>
        <v>515</v>
      </c>
      <c r="L280" s="526">
        <f t="shared" si="27"/>
        <v>516</v>
      </c>
      <c r="M280" s="526">
        <f t="shared" si="27"/>
        <v>517</v>
      </c>
      <c r="N280" s="526">
        <f t="shared" si="27"/>
        <v>518</v>
      </c>
      <c r="O280" s="526">
        <f t="shared" si="27"/>
        <v>519</v>
      </c>
      <c r="P280" s="526">
        <f t="shared" si="27"/>
        <v>520</v>
      </c>
      <c r="Q280" s="526">
        <f t="shared" si="27"/>
        <v>521</v>
      </c>
      <c r="R280" s="526">
        <f t="shared" si="27"/>
        <v>522</v>
      </c>
      <c r="S280" s="526">
        <f t="shared" si="27"/>
        <v>523</v>
      </c>
      <c r="T280" s="526">
        <f t="shared" si="26"/>
        <v>524</v>
      </c>
      <c r="U280" s="526">
        <f t="shared" si="26"/>
        <v>525</v>
      </c>
      <c r="V280" s="526">
        <f t="shared" si="26"/>
        <v>526</v>
      </c>
      <c r="W280" s="526">
        <f t="shared" si="26"/>
        <v>527</v>
      </c>
      <c r="X280" s="526">
        <f t="shared" si="26"/>
        <v>528</v>
      </c>
      <c r="Y280" s="526">
        <f t="shared" si="26"/>
        <v>529</v>
      </c>
    </row>
    <row r="281" spans="2:25" s="526" customFormat="1" ht="15.75">
      <c r="B281" s="530" t="s">
        <v>52</v>
      </c>
      <c r="C281" s="526">
        <f t="shared" si="25"/>
        <v>530</v>
      </c>
      <c r="D281" s="526">
        <f t="shared" si="27"/>
        <v>531</v>
      </c>
      <c r="E281" s="526">
        <f t="shared" si="27"/>
        <v>532</v>
      </c>
      <c r="F281" s="526">
        <f t="shared" si="27"/>
        <v>533</v>
      </c>
      <c r="G281" s="526">
        <f t="shared" si="27"/>
        <v>534</v>
      </c>
      <c r="H281" s="526">
        <f t="shared" si="27"/>
        <v>535</v>
      </c>
      <c r="I281" s="526">
        <f t="shared" si="27"/>
        <v>536</v>
      </c>
      <c r="J281" s="526">
        <f t="shared" si="27"/>
        <v>537</v>
      </c>
      <c r="K281" s="526">
        <f t="shared" si="27"/>
        <v>538</v>
      </c>
      <c r="L281" s="526">
        <f t="shared" si="27"/>
        <v>539</v>
      </c>
      <c r="M281" s="526">
        <f t="shared" si="27"/>
        <v>540</v>
      </c>
      <c r="N281" s="526">
        <f t="shared" si="27"/>
        <v>541</v>
      </c>
      <c r="O281" s="526">
        <f t="shared" si="27"/>
        <v>542</v>
      </c>
      <c r="P281" s="526">
        <f t="shared" si="27"/>
        <v>543</v>
      </c>
      <c r="Q281" s="526">
        <f t="shared" si="27"/>
        <v>544</v>
      </c>
      <c r="R281" s="526">
        <f t="shared" si="27"/>
        <v>545</v>
      </c>
      <c r="S281" s="526">
        <f t="shared" si="27"/>
        <v>546</v>
      </c>
      <c r="T281" s="526">
        <f t="shared" si="26"/>
        <v>547</v>
      </c>
      <c r="U281" s="526">
        <f t="shared" si="26"/>
        <v>548</v>
      </c>
      <c r="V281" s="526">
        <f t="shared" si="26"/>
        <v>549</v>
      </c>
      <c r="W281" s="526">
        <f t="shared" si="26"/>
        <v>550</v>
      </c>
      <c r="X281" s="526">
        <f t="shared" si="26"/>
        <v>551</v>
      </c>
      <c r="Y281" s="526">
        <f t="shared" si="26"/>
        <v>552</v>
      </c>
    </row>
    <row r="282" spans="2:25" s="526" customFormat="1" ht="15.75">
      <c r="B282" s="530" t="s">
        <v>53</v>
      </c>
      <c r="C282" s="526">
        <f t="shared" si="25"/>
        <v>553</v>
      </c>
      <c r="D282" s="526">
        <f t="shared" si="27"/>
        <v>554</v>
      </c>
      <c r="E282" s="526">
        <f t="shared" si="27"/>
        <v>555</v>
      </c>
      <c r="F282" s="526">
        <f t="shared" si="27"/>
        <v>556</v>
      </c>
      <c r="G282" s="526">
        <f t="shared" si="27"/>
        <v>557</v>
      </c>
      <c r="H282" s="526">
        <f t="shared" si="27"/>
        <v>558</v>
      </c>
      <c r="I282" s="526">
        <f t="shared" si="27"/>
        <v>559</v>
      </c>
      <c r="J282" s="526">
        <f t="shared" si="27"/>
        <v>560</v>
      </c>
      <c r="K282" s="526">
        <f t="shared" si="27"/>
        <v>561</v>
      </c>
      <c r="L282" s="526">
        <f t="shared" si="27"/>
        <v>562</v>
      </c>
      <c r="M282" s="526">
        <f t="shared" si="27"/>
        <v>563</v>
      </c>
      <c r="N282" s="526">
        <f t="shared" si="27"/>
        <v>564</v>
      </c>
      <c r="O282" s="526">
        <f t="shared" si="27"/>
        <v>565</v>
      </c>
      <c r="P282" s="526">
        <f t="shared" si="27"/>
        <v>566</v>
      </c>
      <c r="Q282" s="526">
        <f t="shared" si="27"/>
        <v>567</v>
      </c>
      <c r="R282" s="526">
        <f t="shared" si="27"/>
        <v>568</v>
      </c>
      <c r="S282" s="526">
        <f t="shared" si="27"/>
        <v>569</v>
      </c>
      <c r="T282" s="526">
        <f t="shared" si="26"/>
        <v>570</v>
      </c>
      <c r="U282" s="526">
        <f t="shared" si="26"/>
        <v>571</v>
      </c>
      <c r="V282" s="526">
        <f t="shared" si="26"/>
        <v>572</v>
      </c>
      <c r="W282" s="526">
        <f t="shared" si="26"/>
        <v>573</v>
      </c>
      <c r="X282" s="526">
        <f t="shared" si="26"/>
        <v>574</v>
      </c>
      <c r="Y282" s="526">
        <f t="shared" si="26"/>
        <v>575</v>
      </c>
    </row>
    <row r="283" spans="2:25" s="526" customFormat="1" ht="15.75">
      <c r="B283" s="530" t="s">
        <v>54</v>
      </c>
      <c r="C283" s="526">
        <f t="shared" si="25"/>
        <v>576</v>
      </c>
      <c r="D283" s="526">
        <f t="shared" si="27"/>
        <v>577</v>
      </c>
      <c r="E283" s="526">
        <f t="shared" si="27"/>
        <v>578</v>
      </c>
      <c r="F283" s="526">
        <f t="shared" si="27"/>
        <v>579</v>
      </c>
      <c r="G283" s="526">
        <f t="shared" si="27"/>
        <v>580</v>
      </c>
      <c r="H283" s="526">
        <f t="shared" si="27"/>
        <v>581</v>
      </c>
      <c r="I283" s="526">
        <f t="shared" si="27"/>
        <v>582</v>
      </c>
      <c r="J283" s="526">
        <f t="shared" si="27"/>
        <v>583</v>
      </c>
      <c r="K283" s="526">
        <f t="shared" si="27"/>
        <v>584</v>
      </c>
      <c r="L283" s="526">
        <f t="shared" si="27"/>
        <v>585</v>
      </c>
      <c r="M283" s="526">
        <f t="shared" si="27"/>
        <v>586</v>
      </c>
      <c r="N283" s="526">
        <f t="shared" si="27"/>
        <v>587</v>
      </c>
      <c r="O283" s="526">
        <f t="shared" si="27"/>
        <v>588</v>
      </c>
      <c r="P283" s="526">
        <f t="shared" si="27"/>
        <v>589</v>
      </c>
      <c r="Q283" s="526">
        <f t="shared" si="27"/>
        <v>590</v>
      </c>
      <c r="R283" s="526">
        <f t="shared" si="27"/>
        <v>591</v>
      </c>
      <c r="S283" s="526">
        <f t="shared" si="27"/>
        <v>592</v>
      </c>
      <c r="T283" s="526">
        <f t="shared" si="26"/>
        <v>593</v>
      </c>
      <c r="U283" s="526">
        <f t="shared" si="26"/>
        <v>594</v>
      </c>
      <c r="V283" s="526">
        <f t="shared" si="26"/>
        <v>595</v>
      </c>
      <c r="W283" s="526">
        <f t="shared" si="26"/>
        <v>596</v>
      </c>
      <c r="X283" s="526">
        <f t="shared" si="26"/>
        <v>597</v>
      </c>
      <c r="Y283" s="526">
        <f t="shared" si="26"/>
        <v>598</v>
      </c>
    </row>
    <row r="284" spans="2:25" s="526" customFormat="1" ht="15.75">
      <c r="B284" s="530" t="s">
        <v>55</v>
      </c>
      <c r="C284" s="526">
        <f t="shared" si="25"/>
        <v>599</v>
      </c>
      <c r="D284" s="526">
        <f t="shared" si="27"/>
        <v>600</v>
      </c>
      <c r="E284" s="526">
        <f t="shared" si="27"/>
        <v>601</v>
      </c>
      <c r="F284" s="526">
        <f t="shared" si="27"/>
        <v>602</v>
      </c>
      <c r="G284" s="526">
        <f t="shared" si="27"/>
        <v>603</v>
      </c>
      <c r="H284" s="526">
        <f t="shared" si="27"/>
        <v>604</v>
      </c>
      <c r="I284" s="526">
        <f t="shared" si="27"/>
        <v>605</v>
      </c>
      <c r="J284" s="526">
        <f t="shared" si="27"/>
        <v>606</v>
      </c>
      <c r="K284" s="526">
        <f t="shared" si="27"/>
        <v>607</v>
      </c>
      <c r="L284" s="526">
        <f t="shared" si="27"/>
        <v>608</v>
      </c>
      <c r="M284" s="526">
        <f t="shared" si="27"/>
        <v>609</v>
      </c>
      <c r="N284" s="526">
        <f t="shared" si="27"/>
        <v>610</v>
      </c>
      <c r="O284" s="526">
        <f t="shared" si="27"/>
        <v>611</v>
      </c>
      <c r="P284" s="526">
        <f t="shared" si="27"/>
        <v>612</v>
      </c>
      <c r="Q284" s="526">
        <f t="shared" si="27"/>
        <v>613</v>
      </c>
      <c r="R284" s="526">
        <f t="shared" si="27"/>
        <v>614</v>
      </c>
      <c r="S284" s="526">
        <f t="shared" si="27"/>
        <v>615</v>
      </c>
      <c r="T284" s="526">
        <f t="shared" si="26"/>
        <v>616</v>
      </c>
      <c r="U284" s="526">
        <f t="shared" si="26"/>
        <v>617</v>
      </c>
      <c r="V284" s="526">
        <f t="shared" si="26"/>
        <v>618</v>
      </c>
      <c r="W284" s="526">
        <f t="shared" si="26"/>
        <v>619</v>
      </c>
      <c r="X284" s="526">
        <f t="shared" si="26"/>
        <v>620</v>
      </c>
      <c r="Y284" s="526">
        <f t="shared" si="26"/>
        <v>621</v>
      </c>
    </row>
    <row r="285" spans="2:25" s="526" customFormat="1" ht="15.75">
      <c r="B285" s="530" t="s">
        <v>214</v>
      </c>
      <c r="C285" s="526">
        <f t="shared" si="25"/>
        <v>622</v>
      </c>
      <c r="D285" s="526">
        <f t="shared" si="27"/>
        <v>623</v>
      </c>
      <c r="E285" s="526">
        <f t="shared" si="27"/>
        <v>624</v>
      </c>
      <c r="F285" s="526">
        <f t="shared" si="27"/>
        <v>625</v>
      </c>
      <c r="G285" s="526">
        <f t="shared" si="27"/>
        <v>626</v>
      </c>
      <c r="H285" s="526">
        <f t="shared" si="27"/>
        <v>627</v>
      </c>
      <c r="I285" s="526">
        <f t="shared" si="27"/>
        <v>628</v>
      </c>
      <c r="J285" s="526">
        <f t="shared" si="27"/>
        <v>629</v>
      </c>
      <c r="K285" s="526">
        <f t="shared" si="27"/>
        <v>630</v>
      </c>
      <c r="L285" s="526">
        <f t="shared" si="27"/>
        <v>631</v>
      </c>
      <c r="M285" s="526">
        <f t="shared" si="27"/>
        <v>632</v>
      </c>
      <c r="N285" s="526">
        <f t="shared" si="27"/>
        <v>633</v>
      </c>
      <c r="O285" s="526">
        <f t="shared" si="27"/>
        <v>634</v>
      </c>
      <c r="P285" s="526">
        <f t="shared" si="27"/>
        <v>635</v>
      </c>
      <c r="Q285" s="526">
        <f t="shared" si="27"/>
        <v>636</v>
      </c>
      <c r="R285" s="526">
        <f t="shared" si="27"/>
        <v>637</v>
      </c>
      <c r="S285" s="526">
        <f t="shared" ref="S285:Y286" si="28">R285+1</f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5"/>
        <v>645</v>
      </c>
      <c r="D286" s="526">
        <f t="shared" ref="D286:R286" si="29">C286+1</f>
        <v>646</v>
      </c>
      <c r="E286" s="526">
        <f t="shared" si="29"/>
        <v>647</v>
      </c>
      <c r="F286" s="526">
        <f t="shared" si="29"/>
        <v>648</v>
      </c>
      <c r="G286" s="526">
        <f t="shared" si="29"/>
        <v>649</v>
      </c>
      <c r="H286" s="526">
        <f t="shared" si="29"/>
        <v>650</v>
      </c>
      <c r="I286" s="526">
        <f t="shared" si="29"/>
        <v>651</v>
      </c>
      <c r="J286" s="526">
        <f t="shared" si="29"/>
        <v>652</v>
      </c>
      <c r="K286" s="526">
        <f t="shared" si="29"/>
        <v>653</v>
      </c>
      <c r="L286" s="526">
        <f t="shared" si="29"/>
        <v>654</v>
      </c>
      <c r="M286" s="526">
        <f t="shared" si="29"/>
        <v>655</v>
      </c>
      <c r="N286" s="526">
        <f t="shared" si="29"/>
        <v>656</v>
      </c>
      <c r="O286" s="526">
        <f t="shared" si="29"/>
        <v>657</v>
      </c>
      <c r="P286" s="526">
        <f t="shared" si="29"/>
        <v>658</v>
      </c>
      <c r="Q286" s="526">
        <f t="shared" si="29"/>
        <v>659</v>
      </c>
      <c r="R286" s="526">
        <f t="shared" si="29"/>
        <v>660</v>
      </c>
      <c r="S286" s="526">
        <f t="shared" si="28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176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The Lines Company</v>
      </c>
      <c r="C6" s="108"/>
      <c r="D6" s="109">
        <f>VLOOKUP($B$6,$B$258:$J$286,9,FALSE)</f>
        <v>468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30.817</v>
      </c>
      <c r="E7" s="407">
        <f>D7/('Industry calcs'!D4/1000)*100</f>
        <v>1.4949949155553017</v>
      </c>
    </row>
    <row r="8" spans="2:5">
      <c r="B8" s="111" t="s">
        <v>250</v>
      </c>
      <c r="C8" s="114"/>
      <c r="D8" s="406">
        <f>VLOOKUP(D6,'AV (2011)'!A8:F214,'AV (2011)'!F214,FALSE)/1000</f>
        <v>151.80600000000001</v>
      </c>
      <c r="E8" s="407">
        <f>D8/('Industry calcs'!D5/1000)*100</f>
        <v>1.6914051916095796</v>
      </c>
    </row>
    <row r="9" spans="2:5">
      <c r="B9" s="111" t="s">
        <v>230</v>
      </c>
      <c r="C9" s="114"/>
      <c r="D9" s="406">
        <f>VLOOKUP($D$6,'FS (2011)'!$A$13:$AH$244,'FS (2011)'!S245,FALSE)/1000</f>
        <v>7.1473181000000006</v>
      </c>
      <c r="E9" s="407">
        <f>D9/('Industry calcs'!D6/1000)*100</f>
        <v>1.5742732746096599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8.7520000000000007</v>
      </c>
      <c r="E10" s="407">
        <f>D10/('Industry calcs'!D7/1000)*100</f>
        <v>1.4956385562479035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299</v>
      </c>
      <c r="E11" s="407">
        <f>D11/'Industry calcs'!D8*100</f>
        <v>0.96620705030892873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63</v>
      </c>
      <c r="E12" s="407">
        <f>D12/'Industry calcs'!D9*100</f>
        <v>1.0074764829801959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5001</v>
      </c>
      <c r="E13" s="407">
        <f>D13/'Industry calcs'!D10*100</f>
        <v>3.3435893661544447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24474</v>
      </c>
      <c r="E14" s="407">
        <f>D14/'Industry calcs'!D11*100</f>
        <v>1.218415124397924</v>
      </c>
    </row>
    <row r="15" spans="2:5">
      <c r="B15" s="115" t="s">
        <v>195</v>
      </c>
      <c r="C15" s="116" t="s">
        <v>239</v>
      </c>
      <c r="D15" s="408">
        <f>D14/D13</f>
        <v>4.8938212357528492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The Lines Company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23.001936665819777</v>
      </c>
      <c r="D20" s="409">
        <f>VLOOKUP($B$2,'MED price allocation'!$B$16:$F$44,3,FALSE)</f>
        <v>23.166141063792431</v>
      </c>
      <c r="E20" s="409">
        <f>VLOOKUP($B$2,'MED price allocation'!$B$16:$F$44,4,FALSE)</f>
        <v>23.884055743747137</v>
      </c>
      <c r="F20" s="503">
        <f>VLOOKUP($B$2,'MED price allocation'!$B$16:$F$44,5,FALSE)</f>
        <v>26.334202948980039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6.4682850357355575</v>
      </c>
      <c r="D21" s="410">
        <f>VLOOKUP($B$2,'MED price allocation'!$B$47:$F$75,3,FALSE)</f>
        <v>6.4919354762960868</v>
      </c>
      <c r="E21" s="410">
        <f>VLOOKUP($B$2,'MED price allocation'!$B$47:$F$75,4,FALSE)</f>
        <v>8.1363449898800102</v>
      </c>
      <c r="F21" s="504">
        <f>VLOOKUP($B$2,'MED price allocation'!$B$47:$F$75,5,FALSE)</f>
        <v>8.2893767126266802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7.9252917130754961</v>
      </c>
      <c r="D22" s="409">
        <f>VLOOKUP($B$2,'MED price allocation'!$B$78:$F$106,3,FALSE)</f>
        <v>8.1482750757907869</v>
      </c>
      <c r="E22" s="409">
        <f>VLOOKUP($B$2,'MED price allocation'!$B$78:$F$106,4,FALSE)</f>
        <v>10.102325281361923</v>
      </c>
      <c r="F22" s="503">
        <f>VLOOKUP($B$2,'MED price allocation'!$B$78:$F$106,5,FALSE)</f>
        <v>10.306607803053369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1.4570066773399377</v>
      </c>
      <c r="D23" s="411">
        <f>VLOOKUP($B$2,'MED price allocation'!$B$109:$F$137,3,FALSE)</f>
        <v>1.6563395994946988</v>
      </c>
      <c r="E23" s="411">
        <f>VLOOKUP($B$2,'MED price allocation'!$B$109:$F$137,4,FALSE)</f>
        <v>1.9659802914819138</v>
      </c>
      <c r="F23" s="505">
        <f>VLOOKUP($B$2,'MED price allocation'!$B$109:$F$137,5,FALSE)</f>
        <v>2.017231090426689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The Lines Company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1840.154933265582</v>
      </c>
      <c r="D26" s="412">
        <f>(D20*8000)/100</f>
        <v>1853.2912851033946</v>
      </c>
      <c r="E26" s="412">
        <f>(E20*8000)/100</f>
        <v>1910.724459499771</v>
      </c>
      <c r="F26" s="506">
        <f>(F20*8000)/100</f>
        <v>2106.7362359184031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634.02333704603961</v>
      </c>
      <c r="D27" s="412">
        <f>(D22*8000)/100</f>
        <v>651.86200606326292</v>
      </c>
      <c r="E27" s="412">
        <f>(E22*8000)/100</f>
        <v>808.18602250895378</v>
      </c>
      <c r="F27" s="506">
        <f>(F22*8000)/100</f>
        <v>824.52862424426962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517.46280285884461</v>
      </c>
      <c r="D28" s="412">
        <f>(D21*8000)/100</f>
        <v>519.35483810368692</v>
      </c>
      <c r="E28" s="412">
        <f>(E21*8000)/100</f>
        <v>650.90759919040079</v>
      </c>
      <c r="F28" s="506">
        <f>(F21*8000)/100</f>
        <v>663.15013701013436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116.56053418719503</v>
      </c>
      <c r="D29" s="413">
        <f>(D23*8000)/100</f>
        <v>132.5071679595759</v>
      </c>
      <c r="E29" s="413">
        <f>(E23*8000)/100</f>
        <v>157.27842331855311</v>
      </c>
      <c r="F29" s="507">
        <f>(F23*8000)/100</f>
        <v>161.37848723413512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The Lines Company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1927.7267284467875</v>
      </c>
      <c r="D32" s="122"/>
    </row>
    <row r="33" spans="2:13">
      <c r="B33" s="120" t="s">
        <v>241</v>
      </c>
      <c r="C33" s="412">
        <f>AVERAGE(C27:F27)</f>
        <v>729.64999746563149</v>
      </c>
      <c r="D33" s="414">
        <f>C33/$C$32</f>
        <v>0.37850281717758139</v>
      </c>
    </row>
    <row r="34" spans="2:13">
      <c r="B34" s="120" t="s">
        <v>222</v>
      </c>
      <c r="C34" s="412">
        <f>AVERAGE(C28:F28)</f>
        <v>587.7188442907667</v>
      </c>
      <c r="D34" s="414">
        <f>C34/$C$32</f>
        <v>0.30487663817594357</v>
      </c>
    </row>
    <row r="35" spans="2:13">
      <c r="B35" s="124" t="s">
        <v>223</v>
      </c>
      <c r="C35" s="413">
        <f>AVERAGE(C29:F29)</f>
        <v>141.93115317486479</v>
      </c>
      <c r="D35" s="415">
        <f>C35/$C$32</f>
        <v>7.3626179001637787E-2</v>
      </c>
    </row>
    <row r="38" spans="2:13">
      <c r="B38" s="517" t="s">
        <v>227</v>
      </c>
      <c r="C38" s="518">
        <f>VLOOKUP($B$2,$B$258:$J$286,6,FALSE)</f>
        <v>465</v>
      </c>
      <c r="D38" s="518">
        <f>VLOOKUP($B$2,$B$258:$J$286,7,FALSE)</f>
        <v>466</v>
      </c>
      <c r="E38" s="518">
        <f>VLOOKUP($B$2,$B$258:$J$286,8,FALSE)</f>
        <v>467</v>
      </c>
      <c r="F38" s="519">
        <f>VLOOKUP($B$2,$B$258:$J$286,9,FALSE)</f>
        <v>468</v>
      </c>
    </row>
    <row r="39" spans="2:13">
      <c r="B39" s="137" t="str">
        <f>B2</f>
        <v>The Lines Company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24492.246585497989</v>
      </c>
      <c r="D40" s="418">
        <f>VLOOKUP($D$38,'FS (2011)'!$A$13:$AH$244,'FS (2011)'!E245,FALSE)</f>
        <v>25095.936577664896</v>
      </c>
      <c r="E40" s="418">
        <f>VLOOKUP($E$38,'FS (2011)'!$A$13:$AH$244,'FS (2011)'!E245,FALSE)</f>
        <v>27882.468001401197</v>
      </c>
      <c r="F40" s="419">
        <f>VLOOKUP($F$38,'FS (2011)'!$A$13:$AH$244,'FS (2011)'!E245,FALSE)</f>
        <v>30653</v>
      </c>
    </row>
    <row r="41" spans="2:13" ht="30">
      <c r="B41" s="120" t="s">
        <v>198</v>
      </c>
      <c r="C41" s="417">
        <f>VLOOKUP($C$38,'FS (2011)'!$A$13:$AH$244,'FS (2011)'!$F$245,FALSE)</f>
        <v>1640.8662427646773</v>
      </c>
      <c r="D41" s="418">
        <f>VLOOKUP($D$38,'FS (2011)'!$A$13:$AH$244,'FS (2011)'!$F$245,FALSE)</f>
        <v>852.27565378543454</v>
      </c>
      <c r="E41" s="418">
        <f>VLOOKUP($E$38,'FS (2011)'!$A$13:$AH$244,'FS (2011)'!$F$245,FALSE)</f>
        <v>88.481023971329236</v>
      </c>
      <c r="F41" s="419">
        <f>VLOOKUP($F$38,'FS (2011)'!$A$13:$AH$244,'FS (2011)'!$F$245,FALSE)</f>
        <v>164</v>
      </c>
    </row>
    <row r="42" spans="2:13">
      <c r="B42" s="120" t="s">
        <v>13</v>
      </c>
      <c r="C42" s="417">
        <f>VLOOKUP($C$38,'FS (2011)'!$A$13:$AH$244,'FS (2011)'!$H$245,FALSE)</f>
        <v>0</v>
      </c>
      <c r="D42" s="418">
        <f>VLOOKUP($D$38,'FS (2011)'!$A$13:$AH$244,'FS (2011)'!$H$245,FALSE)</f>
        <v>0</v>
      </c>
      <c r="E42" s="418">
        <f>VLOOKUP($E$38,'FS (2011)'!$A$13:$AH$244,'FS (2011)'!$H$245,FALSE)</f>
        <v>0</v>
      </c>
      <c r="F42" s="419">
        <f>VLOOKUP($F$38,'FS (2011)'!$A$13:$AH$244,'FS (2011)'!$H$245,FALSE)</f>
        <v>0</v>
      </c>
    </row>
    <row r="43" spans="2:13">
      <c r="B43" s="124" t="s">
        <v>5</v>
      </c>
      <c r="C43" s="420">
        <f>SUM(C40:C42)</f>
        <v>26133.112828262667</v>
      </c>
      <c r="D43" s="420">
        <f>SUM(D40:D42)</f>
        <v>25948.212231450329</v>
      </c>
      <c r="E43" s="420">
        <f>SUM(E40:E42)</f>
        <v>27970.949025372527</v>
      </c>
      <c r="F43" s="421">
        <f>SUM(F40:F42)</f>
        <v>30817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The Lines Company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102.46482081608778</v>
      </c>
      <c r="E46" s="422">
        <f>IF(ISERROR(E40/$C40),"",(E40/$C40))*100</f>
        <v>113.84201895921862</v>
      </c>
      <c r="F46" s="423">
        <f>IF(ISERROR(F40/$C40),"",(F40/$C40))*100</f>
        <v>125.1538926533176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51.940592814527328</v>
      </c>
      <c r="E47" s="422">
        <f t="shared" si="0"/>
        <v>5.3923361737425068</v>
      </c>
      <c r="F47" s="423">
        <f t="shared" si="0"/>
        <v>9.9947208203685278</v>
      </c>
      <c r="G47" s="141"/>
    </row>
    <row r="48" spans="2:13">
      <c r="B48" s="120" t="s">
        <v>13</v>
      </c>
      <c r="C48" s="422" t="str">
        <f t="shared" si="0"/>
        <v/>
      </c>
      <c r="D48" s="422" t="str">
        <f t="shared" si="0"/>
        <v/>
      </c>
      <c r="E48" s="422" t="str">
        <f t="shared" si="0"/>
        <v/>
      </c>
      <c r="F48" s="423" t="str">
        <f t="shared" si="0"/>
        <v/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99.292466236121825</v>
      </c>
      <c r="E49" s="424">
        <f t="shared" si="0"/>
        <v>107.0325958074243</v>
      </c>
      <c r="F49" s="416">
        <f t="shared" si="0"/>
        <v>117.92318887733788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The Lines Company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14495.309969205326</v>
      </c>
      <c r="D54" s="426">
        <f>VLOOKUP($D$38,'MP (2011)'!$A$14:$AR$245,'MP (2011)'!$Z$246,FALSE)</f>
        <v>18717.641575125261</v>
      </c>
      <c r="E54" s="426">
        <f>VLOOKUP($E$38,'MP (2011)'!$A$14:$AR$245,'MP (2011)'!$Z$246,FALSE)</f>
        <v>17696.151814825789</v>
      </c>
      <c r="F54" s="427">
        <f>VLOOKUP($F$38,'MP (2011)'!$A$14:$AR$245,'MP (2011)'!$Z$246,FALSE)</f>
        <v>21113</v>
      </c>
    </row>
    <row r="55" spans="2:23">
      <c r="B55" s="111" t="s">
        <v>180</v>
      </c>
      <c r="C55" s="425">
        <f>VLOOKUP($C$38,'MP (2011)'!$A$14:$AR$245,'MP (2011)'!$AD$246,FALSE)</f>
        <v>2504.6507915371672</v>
      </c>
      <c r="D55" s="426">
        <f>VLOOKUP($D$38,'MP (2011)'!$A$14:$AR$245,'MP (2011)'!$AD$246,FALSE)</f>
        <v>1408.3683893197881</v>
      </c>
      <c r="E55" s="426">
        <f>VLOOKUP($E$38,'MP (2011)'!$A$14:$AR$245,'MP (2011)'!$AD$246,FALSE)</f>
        <v>3211.3691358357355</v>
      </c>
      <c r="F55" s="427">
        <f>VLOOKUP($F$38,'MP (2011)'!$A$14:$AR$245,'MP (2011)'!$AD$246,FALSE)</f>
        <v>3046</v>
      </c>
      <c r="J55" s="139"/>
    </row>
    <row r="56" spans="2:23">
      <c r="B56" s="111" t="s">
        <v>184</v>
      </c>
      <c r="C56" s="425">
        <f>VLOOKUP($C$38,'MP (2011)'!$A$14:$AR$245,'MP (2011)'!$AH$246,FALSE)</f>
        <v>4172.0738399247239</v>
      </c>
      <c r="D56" s="426">
        <f>VLOOKUP($D$38,'MP (2011)'!$A$14:$AR$245,'MP (2011)'!$AH$246,FALSE)</f>
        <v>2904.4204758047904</v>
      </c>
      <c r="E56" s="426">
        <f>VLOOKUP($E$38,'MP (2011)'!$A$14:$AR$245,'MP (2011)'!$AH$246,FALSE)</f>
        <v>3839.9905688340377</v>
      </c>
      <c r="F56" s="427">
        <f>VLOOKUP($F$38,'MP (2011)'!$A$14:$AR$245,'MP (2011)'!$AH$246,FALSE)</f>
        <v>3429</v>
      </c>
    </row>
    <row r="57" spans="2:23">
      <c r="B57" s="111" t="s">
        <v>181</v>
      </c>
      <c r="C57" s="425">
        <f>VLOOKUP($C$38,'MP (2011)'!$A$14:$AR$245,'MP (2011)'!$AL$246,FALSE)</f>
        <v>3320.2119848307716</v>
      </c>
      <c r="D57" s="426">
        <f>VLOOKUP($D$38,'MP (2011)'!$A$14:$AR$245,'MP (2011)'!$AL$246,FALSE)</f>
        <v>2065.5061374150587</v>
      </c>
      <c r="E57" s="426">
        <f>VLOOKUP($E$38,'MP (2011)'!$A$14:$AR$245,'MP (2011)'!$AL$246,FALSE)</f>
        <v>3134.9564819056341</v>
      </c>
      <c r="F57" s="427">
        <f>VLOOKUP($F$38,'MP (2011)'!$A$14:$AR$245,'MP (2011)'!$AL$246,FALSE)</f>
        <v>3065</v>
      </c>
      <c r="W57" s="139"/>
    </row>
    <row r="58" spans="2:23">
      <c r="B58" s="147" t="s">
        <v>248</v>
      </c>
      <c r="C58" s="428">
        <f>SUM(C54:C57)</f>
        <v>24492.246585497986</v>
      </c>
      <c r="D58" s="428">
        <f>SUM(D54:D57)</f>
        <v>25095.936577664896</v>
      </c>
      <c r="E58" s="428">
        <f>SUM(E54:E57)</f>
        <v>27882.468001401197</v>
      </c>
      <c r="F58" s="429">
        <f>SUM(F54:F57)</f>
        <v>30653</v>
      </c>
    </row>
    <row r="59" spans="2:23">
      <c r="B59" s="103" t="s">
        <v>302</v>
      </c>
    </row>
    <row r="60" spans="2:23">
      <c r="B60" s="137" t="str">
        <f>$B$2</f>
        <v>The Lines Company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129.12895008723581</v>
      </c>
      <c r="E61" s="422">
        <f t="shared" si="1"/>
        <v>122.0819137529347</v>
      </c>
      <c r="F61" s="423">
        <f t="shared" si="1"/>
        <v>145.65400839894889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56.23012972820203</v>
      </c>
      <c r="E62" s="422">
        <f t="shared" si="1"/>
        <v>128.21624262697466</v>
      </c>
      <c r="F62" s="423">
        <f t="shared" si="1"/>
        <v>121.61375990185815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69.615749558670188</v>
      </c>
      <c r="E63" s="422">
        <f t="shared" si="1"/>
        <v>92.040330928163101</v>
      </c>
      <c r="F63" s="423">
        <f t="shared" si="1"/>
        <v>82.189341118225968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62.210068117693872</v>
      </c>
      <c r="E64" s="422">
        <f t="shared" si="1"/>
        <v>94.420371236188402</v>
      </c>
      <c r="F64" s="423">
        <f t="shared" si="1"/>
        <v>92.313382820230387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102.46482081608781</v>
      </c>
      <c r="E65" s="424">
        <f t="shared" si="1"/>
        <v>113.84201895921863</v>
      </c>
      <c r="F65" s="416">
        <f t="shared" si="1"/>
        <v>125.15389265331763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The Lines Company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631.82416394409063</v>
      </c>
      <c r="D70" s="433">
        <f>(D54/D98)*1000</f>
        <v>783.26323702244053</v>
      </c>
      <c r="E70" s="433">
        <f>(E54/E98)*1000</f>
        <v>734.7984808713943</v>
      </c>
      <c r="F70" s="434">
        <f>(F54/F98)*1000</f>
        <v>872.18573140000819</v>
      </c>
    </row>
    <row r="71" spans="2:40">
      <c r="B71" s="111" t="s">
        <v>180</v>
      </c>
      <c r="C71" s="433">
        <f>(C55/C99)*1000</f>
        <v>11131.781295720742</v>
      </c>
      <c r="D71" s="433">
        <f t="shared" ref="C71:F73" si="2">(D55/D99)*1000</f>
        <v>6231.7185368132214</v>
      </c>
      <c r="E71" s="433">
        <f t="shared" si="2"/>
        <v>11150.587277207414</v>
      </c>
      <c r="F71" s="434">
        <f t="shared" si="2"/>
        <v>14436.018957345972</v>
      </c>
    </row>
    <row r="72" spans="2:40">
      <c r="B72" s="111" t="s">
        <v>184</v>
      </c>
      <c r="C72" s="433">
        <f>(C56/C100)*1000</f>
        <v>74501.318570084346</v>
      </c>
      <c r="D72" s="433">
        <f t="shared" si="2"/>
        <v>50954.745189557725</v>
      </c>
      <c r="E72" s="433">
        <f t="shared" si="2"/>
        <v>65084.585912441311</v>
      </c>
      <c r="F72" s="434">
        <f t="shared" si="2"/>
        <v>67235.294117647063</v>
      </c>
    </row>
    <row r="73" spans="2:40">
      <c r="B73" s="115" t="s">
        <v>181</v>
      </c>
      <c r="C73" s="435">
        <f t="shared" si="2"/>
        <v>664042.39696615434</v>
      </c>
      <c r="D73" s="435">
        <f t="shared" si="2"/>
        <v>413101.22748301172</v>
      </c>
      <c r="E73" s="435">
        <f t="shared" si="2"/>
        <v>626991.29638112686</v>
      </c>
      <c r="F73" s="436">
        <f t="shared" si="2"/>
        <v>613000</v>
      </c>
    </row>
    <row r="74" spans="2:40">
      <c r="B74" s="103" t="s">
        <v>303</v>
      </c>
    </row>
    <row r="75" spans="2:40">
      <c r="B75" s="137" t="str">
        <f>$B$2</f>
        <v>The Lines Company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123.96854721937329</v>
      </c>
      <c r="E76" s="422">
        <f t="shared" si="3"/>
        <v>116.29793901589616</v>
      </c>
      <c r="F76" s="423">
        <f t="shared" si="3"/>
        <v>138.04247782412875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55.98132384444893</v>
      </c>
      <c r="E77" s="422">
        <f t="shared" si="3"/>
        <v>100.16893955232395</v>
      </c>
      <c r="F77" s="423">
        <f t="shared" si="3"/>
        <v>129.68291932662598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68.394420619044411</v>
      </c>
      <c r="E78" s="422">
        <f t="shared" si="3"/>
        <v>87.360314101307353</v>
      </c>
      <c r="F78" s="423">
        <f t="shared" si="3"/>
        <v>90.247119659228531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62.210068117693865</v>
      </c>
      <c r="E79" s="424">
        <f t="shared" si="3"/>
        <v>94.420371236188416</v>
      </c>
      <c r="F79" s="416">
        <f t="shared" si="3"/>
        <v>92.313382820230387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The Lines Company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10.348544644648303</v>
      </c>
      <c r="D84" s="437">
        <f>(D54/VLOOKUP($D$38,'MP (2011)'!$A$14:$AR$245,'MP (2011)'!$AA$246,FALSE)*100)</f>
        <v>9.9235233493424708</v>
      </c>
      <c r="E84" s="437">
        <f>(E54/VLOOKUP($E$38,'MP (2011)'!$A$14:$AR$245,'MP (2011)'!$AA$246,FALSE)*100)</f>
        <v>8.8615898319065529</v>
      </c>
      <c r="F84" s="438">
        <f>(F54/VLOOKUP($F$38,'MP (2011)'!$A$14:$AR$245,'MP (2011)'!$AA$246,FALSE)*100)</f>
        <v>10.828623303619969</v>
      </c>
    </row>
    <row r="85" spans="2:7">
      <c r="B85" s="111" t="s">
        <v>180</v>
      </c>
      <c r="C85" s="430">
        <f>(C55/VLOOKUP($C$38,'MP (2011)'!$A$14:$AR$245,'MP (2011)'!$AE$246,FALSE)*100)</f>
        <v>5.5219603852400176</v>
      </c>
      <c r="D85" s="437">
        <f>(D55/VLOOKUP($D$38,'MP (2011)'!$A$14:$AR$245,'MP (2011)'!$AE$246,FALSE)*100)</f>
        <v>4.8028554418548444</v>
      </c>
      <c r="E85" s="437">
        <f>(E55/VLOOKUP($E$38,'MP (2011)'!$A$14:$AR$245,'MP (2011)'!$AE$246,FALSE)*100)</f>
        <v>10.343906254705068</v>
      </c>
      <c r="F85" s="438">
        <f>(F55/VLOOKUP($F$38,'MP (2011)'!$A$14:$AR$245,'MP (2011)'!$AE$246,FALSE)*100)</f>
        <v>12.784353227566525</v>
      </c>
    </row>
    <row r="86" spans="2:7">
      <c r="B86" s="111" t="s">
        <v>184</v>
      </c>
      <c r="C86" s="430">
        <f>(C56/VLOOKUP($C$38,'MP (2011)'!$A$14:$AR$245,'MP (2011)'!$AI$246,FALSE)*100)</f>
        <v>6.6798069741661985</v>
      </c>
      <c r="D86" s="437">
        <f>(D56/VLOOKUP($D$38,'MP (2011)'!$A$14:$AR$245,'MP (2011)'!$AI$246,FALSE)*100)</f>
        <v>8.219494604840877</v>
      </c>
      <c r="E86" s="437">
        <f>(E56/VLOOKUP($E$38,'MP (2011)'!$A$14:$AR$245,'MP (2011)'!$AI$246,FALSE)*100)</f>
        <v>10.264335539905476</v>
      </c>
      <c r="F86" s="438">
        <f>(F56/VLOOKUP($F$38,'MP (2011)'!$A$14:$AR$245,'MP (2011)'!$AI$246,FALSE)*100)</f>
        <v>8.7474489795918355</v>
      </c>
    </row>
    <row r="87" spans="2:7">
      <c r="B87" s="115" t="s">
        <v>181</v>
      </c>
      <c r="C87" s="431">
        <f>(C57/VLOOKUP($C$38,'MP (2011)'!$A$14:$AR$245,'MP (2011)'!$AM$246,FALSE)*100)</f>
        <v>6.2292907782941302</v>
      </c>
      <c r="D87" s="431">
        <f>(D57/VLOOKUP($D$38,'MP (2011)'!$A$14:$AR$245,'MP (2011)'!$AM$246,FALSE)*100)</f>
        <v>5.1036146516151755</v>
      </c>
      <c r="E87" s="431">
        <f>(E57/VLOOKUP($E$38,'MP (2011)'!$A$14:$AR$245,'MP (2011)'!$AM$246,FALSE)*100)</f>
        <v>7.3164593024309985</v>
      </c>
      <c r="F87" s="432">
        <f>(F57/VLOOKUP($F$38,'MP (2011)'!$A$14:$AR$245,'MP (2011)'!$AM$246,FALSE)*100)</f>
        <v>7.475609756097561</v>
      </c>
    </row>
    <row r="88" spans="2:7">
      <c r="B88" s="103" t="s">
        <v>304</v>
      </c>
    </row>
    <row r="89" spans="2:7">
      <c r="B89" s="137" t="str">
        <f>$B$2</f>
        <v>The Lines Company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95.892936544216099</v>
      </c>
      <c r="E90" s="422">
        <f>IF(ISERROR(E84/$C84),"",(E84/$C84)*100)</f>
        <v>85.631266387677798</v>
      </c>
      <c r="F90" s="423">
        <f>IF(ISERROR(F84/$C84),"",(F84/$C84)*100)</f>
        <v>104.63909347117651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86.977361422090013</v>
      </c>
      <c r="E91" s="422">
        <f t="shared" si="4"/>
        <v>187.32307972280861</v>
      </c>
      <c r="F91" s="423">
        <f t="shared" si="4"/>
        <v>231.51837998944353</v>
      </c>
    </row>
    <row r="92" spans="2:7">
      <c r="B92" s="111" t="s">
        <v>184</v>
      </c>
      <c r="C92" s="422">
        <f t="shared" si="4"/>
        <v>100</v>
      </c>
      <c r="D92" s="422">
        <f t="shared" si="4"/>
        <v>123.04988207936756</v>
      </c>
      <c r="E92" s="422">
        <f t="shared" si="4"/>
        <v>153.66215789770951</v>
      </c>
      <c r="F92" s="423">
        <f t="shared" si="4"/>
        <v>130.95361907046316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81.929305169035345</v>
      </c>
      <c r="E93" s="424">
        <f>IF(ISERROR(E87/$C87),"",(E87/$C87)*100)</f>
        <v>117.45252489938487</v>
      </c>
      <c r="F93" s="416">
        <f>IF(ISERROR(F87/$C87),"",(F87/$C87)*100)</f>
        <v>120.00739766629951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22942</v>
      </c>
      <c r="D98" s="150">
        <f>VLOOKUP($D$38,'MP (2011)'!$A$14:$AR$245,'MP (2011)'!$AB$246,FALSE)</f>
        <v>23897</v>
      </c>
      <c r="E98" s="150">
        <f>VLOOKUP($E$38,'MP (2011)'!$A$14:$AR$245,'MP (2011)'!$AB$246,FALSE)</f>
        <v>24083</v>
      </c>
      <c r="F98" s="151">
        <f>VLOOKUP($F$38,'MP (2011)'!$A$14:$AR$245,'MP (2011)'!$AB$246,FALSE)</f>
        <v>24207</v>
      </c>
    </row>
    <row r="99" spans="2:7">
      <c r="B99" s="155" t="s">
        <v>309</v>
      </c>
      <c r="C99" s="150">
        <f>VLOOKUP($C$38,'MP (2011)'!$A$14:$AR$245,'MP (2011)'!$AF$246,FALSE)</f>
        <v>225</v>
      </c>
      <c r="D99" s="150">
        <f>VLOOKUP($D$38,'MP (2011)'!$A$14:$AR$245,'MP (2011)'!$AF$246,FALSE)</f>
        <v>226</v>
      </c>
      <c r="E99" s="150">
        <f>VLOOKUP($E$38,'MP (2011)'!$A$14:$AR$245,'MP (2011)'!$AF$246,FALSE)</f>
        <v>288</v>
      </c>
      <c r="F99" s="151">
        <f>VLOOKUP($F$38,'MP (2011)'!$A$14:$AR$245,'MP (2011)'!$AF$246,FALSE)</f>
        <v>211</v>
      </c>
    </row>
    <row r="100" spans="2:7">
      <c r="B100" s="155" t="s">
        <v>310</v>
      </c>
      <c r="C100" s="150">
        <f>VLOOKUP($C$38,'MP (2011)'!$A$14:$AR$245,'MP (2011)'!$AJ$246,FALSE)</f>
        <v>56</v>
      </c>
      <c r="D100" s="150">
        <f>VLOOKUP($D$38,'MP (2011)'!$A$14:$AR$245,'MP (2011)'!$AJ$246,FALSE)</f>
        <v>57</v>
      </c>
      <c r="E100" s="150">
        <f>VLOOKUP($E$38,'MP (2011)'!$A$14:$AR$245,'MP (2011)'!$AJ$246,FALSE)</f>
        <v>59</v>
      </c>
      <c r="F100" s="151">
        <f>VLOOKUP($F$38,'MP (2011)'!$A$14:$AR$245,'MP (2011)'!$AJ$246,FALSE)</f>
        <v>51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23228</v>
      </c>
      <c r="D102" s="152">
        <f>SUM(D98:D101)</f>
        <v>24185</v>
      </c>
      <c r="E102" s="152">
        <f>SUM(E98:E101)</f>
        <v>24435</v>
      </c>
      <c r="F102" s="157">
        <f>SUM(F98:F101)</f>
        <v>24474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104.16267108360213</v>
      </c>
      <c r="E105" s="422">
        <f t="shared" si="5"/>
        <v>104.97341121087962</v>
      </c>
      <c r="F105" s="423">
        <f t="shared" si="5"/>
        <v>105.5139046290646</v>
      </c>
    </row>
    <row r="106" spans="2:7">
      <c r="B106" s="111" t="s">
        <v>180</v>
      </c>
      <c r="C106" s="422">
        <f t="shared" si="5"/>
        <v>100</v>
      </c>
      <c r="D106" s="422">
        <f t="shared" si="5"/>
        <v>100.44444444444444</v>
      </c>
      <c r="E106" s="422">
        <f t="shared" si="5"/>
        <v>128</v>
      </c>
      <c r="F106" s="423">
        <f t="shared" si="5"/>
        <v>93.777777777777786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101.78571428571428</v>
      </c>
      <c r="E107" s="422">
        <f t="shared" si="5"/>
        <v>105.35714285714286</v>
      </c>
      <c r="F107" s="423">
        <f t="shared" si="5"/>
        <v>91.071428571428569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The Lines Company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140071</v>
      </c>
      <c r="D113" s="150">
        <f>VLOOKUP($D$38,'MP (2011)'!$A$14:$AR$245,'MP (2011)'!$AA$246,FALSE)</f>
        <v>188618.91</v>
      </c>
      <c r="E113" s="150">
        <f>VLOOKUP($E$38,'MP (2011)'!$A$14:$AR$245,'MP (2011)'!$AA$246,FALSE)</f>
        <v>199695</v>
      </c>
      <c r="F113" s="151">
        <f>VLOOKUP($F$38,'MP (2011)'!$A$14:$AR$245,'MP (2011)'!$AA$246,FALSE)</f>
        <v>194974</v>
      </c>
    </row>
    <row r="114" spans="2:7">
      <c r="B114" s="155" t="s">
        <v>309</v>
      </c>
      <c r="C114" s="150">
        <f>VLOOKUP($C$38,'MP (2011)'!$A$14:$AR$245,'MP (2011)'!$AE$246,FALSE)</f>
        <v>45358</v>
      </c>
      <c r="D114" s="150">
        <f>VLOOKUP($D$38,'MP (2011)'!$A$14:$AR$245,'MP (2011)'!$AE$246,FALSE)</f>
        <v>29323.563999999998</v>
      </c>
      <c r="E114" s="150">
        <f>VLOOKUP($E$38,'MP (2011)'!$A$14:$AR$245,'MP (2011)'!$AE$246,FALSE)</f>
        <v>31046</v>
      </c>
      <c r="F114" s="151">
        <f>VLOOKUP($F$38,'MP (2011)'!$A$14:$AR$245,'MP (2011)'!$AE$246,FALSE)</f>
        <v>23826</v>
      </c>
    </row>
    <row r="115" spans="2:7">
      <c r="B115" s="155" t="s">
        <v>310</v>
      </c>
      <c r="C115" s="150">
        <f>VLOOKUP($C$38,'MP (2011)'!$A$14:$AR$245,'MP (2011)'!$AI$246,FALSE)</f>
        <v>62458</v>
      </c>
      <c r="D115" s="150">
        <f>VLOOKUP($D$38,'MP (2011)'!$A$14:$AR$245,'MP (2011)'!$AI$246,FALSE)</f>
        <v>35335.754999999997</v>
      </c>
      <c r="E115" s="150">
        <f>VLOOKUP($E$38,'MP (2011)'!$A$14:$AR$245,'MP (2011)'!$AI$246,FALSE)</f>
        <v>37411</v>
      </c>
      <c r="F115" s="151">
        <f>VLOOKUP($F$38,'MP (2011)'!$A$14:$AR$245,'MP (2011)'!$AI$246,FALSE)</f>
        <v>39200</v>
      </c>
    </row>
    <row r="116" spans="2:7">
      <c r="B116" s="155" t="s">
        <v>311</v>
      </c>
      <c r="C116" s="150">
        <f>VLOOKUP($C$38,'MP (2011)'!$A$14:$AR$245,'MP (2011)'!$AM$246,FALSE)</f>
        <v>53300</v>
      </c>
      <c r="D116" s="150">
        <f>VLOOKUP($D$38,'MP (2011)'!$A$14:$AR$245,'MP (2011)'!$AM$246,FALSE)</f>
        <v>40471.436000000002</v>
      </c>
      <c r="E116" s="150">
        <f>VLOOKUP($E$38,'MP (2011)'!$A$14:$AR$245,'MP (2011)'!$AM$246,FALSE)</f>
        <v>42848</v>
      </c>
      <c r="F116" s="151">
        <f>VLOOKUP($F$38,'MP (2011)'!$A$14:$AR$245,'MP (2011)'!$AM$246,FALSE)</f>
        <v>41000</v>
      </c>
    </row>
    <row r="117" spans="2:7">
      <c r="B117" s="147" t="s">
        <v>254</v>
      </c>
      <c r="C117" s="158">
        <f>SUM(C113:C116)</f>
        <v>301187</v>
      </c>
      <c r="D117" s="158">
        <f>SUM(D113:D116)</f>
        <v>293749.66499999998</v>
      </c>
      <c r="E117" s="158">
        <f>SUM(E113:E116)</f>
        <v>311000</v>
      </c>
      <c r="F117" s="159">
        <f>SUM(F113:F116)</f>
        <v>299000</v>
      </c>
    </row>
    <row r="118" spans="2:7">
      <c r="B118" s="103" t="s">
        <v>306</v>
      </c>
    </row>
    <row r="119" spans="2:7">
      <c r="B119" s="137" t="str">
        <f>$B$2</f>
        <v>The Lines Company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134.65950125293602</v>
      </c>
      <c r="E120" s="422">
        <f t="shared" si="6"/>
        <v>142.56698388674317</v>
      </c>
      <c r="F120" s="423">
        <f t="shared" si="6"/>
        <v>139.19655032090867</v>
      </c>
    </row>
    <row r="121" spans="2:7">
      <c r="B121" s="111" t="s">
        <v>180</v>
      </c>
      <c r="C121" s="422">
        <f t="shared" si="6"/>
        <v>100</v>
      </c>
      <c r="D121" s="422">
        <f t="shared" si="6"/>
        <v>64.649155606508231</v>
      </c>
      <c r="E121" s="422">
        <f t="shared" si="6"/>
        <v>68.446580537060726</v>
      </c>
      <c r="F121" s="423">
        <f t="shared" si="6"/>
        <v>52.528771109837294</v>
      </c>
    </row>
    <row r="122" spans="2:7">
      <c r="B122" s="111" t="s">
        <v>184</v>
      </c>
      <c r="C122" s="422">
        <f t="shared" si="6"/>
        <v>100</v>
      </c>
      <c r="D122" s="422">
        <f t="shared" si="6"/>
        <v>56.575226552243109</v>
      </c>
      <c r="E122" s="422">
        <f t="shared" si="6"/>
        <v>59.89785135611131</v>
      </c>
      <c r="F122" s="423">
        <f t="shared" si="6"/>
        <v>62.762176182394569</v>
      </c>
    </row>
    <row r="123" spans="2:7">
      <c r="B123" s="115" t="s">
        <v>181</v>
      </c>
      <c r="C123" s="424">
        <f t="shared" si="6"/>
        <v>100</v>
      </c>
      <c r="D123" s="424">
        <f t="shared" si="6"/>
        <v>75.93139962476549</v>
      </c>
      <c r="E123" s="424">
        <f t="shared" si="6"/>
        <v>80.390243902439025</v>
      </c>
      <c r="F123" s="416">
        <f t="shared" si="6"/>
        <v>76.923076923076934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The Lines Company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26133.112828262667</v>
      </c>
      <c r="D128" s="433">
        <f>VLOOKUP($D$38,'FS (2011)'!$A$13:$AH$244,'FS (2011)'!$I$245,FALSE)</f>
        <v>26020.878852357739</v>
      </c>
      <c r="E128" s="433">
        <f>VLOOKUP($E$38,'FS (2011)'!$A$13:$AH$244,'FS (2011)'!$I$245,FALSE)</f>
        <v>27989.978567810082</v>
      </c>
      <c r="F128" s="440">
        <f>VLOOKUP($F$38,'FS (2011)'!$A$13:$AH$244,'FS (2011)'!$I$245,FALSE)</f>
        <v>30869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4118.292885574976</v>
      </c>
      <c r="D129" s="433">
        <f>VLOOKUP($D$38,'FS (2011)'!$A$13:$AH$244,'FS (2011)'!$Y$245,FALSE)+VLOOKUP($D$38,'FS (2011)'!$A$13:$AH$244,'FS (2011)'!$Z$245,FALSE)</f>
        <v>3968.6490913583625</v>
      </c>
      <c r="E129" s="433">
        <f>VLOOKUP($E$38,'FS (2011)'!$A$13:$AH$244,'FS (2011)'!$Y$245,FALSE)+VLOOKUP($E$38,'FS (2011)'!$A$13:$AH$244,'FS (2011)'!$Z$245,FALSE)</f>
        <v>2798.0263972407101</v>
      </c>
      <c r="F129" s="440">
        <f>VLOOKUP($F$38,'FS (2011)'!$A$13:$AH$244,'FS (2011)'!$Y$245,FALSE)+VLOOKUP($F$38,'FS (2011)'!$A$13:$AH$244,'FS (2011)'!$Z$245,FALSE)</f>
        <v>6490</v>
      </c>
      <c r="G129" s="121"/>
    </row>
    <row r="130" spans="1:30">
      <c r="B130" s="162" t="s">
        <v>191</v>
      </c>
      <c r="C130" s="441">
        <f>VLOOKUP($C$38,'FS (2011)'!$A$13:$AH$244,'FS (2011)'!$J$245,FALSE)</f>
        <v>4946.3169000028511</v>
      </c>
      <c r="D130" s="433">
        <f>VLOOKUP($D$38,'FS (2011)'!$A$13:$AH$244,'FS (2011)'!$J$245,FALSE)</f>
        <v>5247.5681240991125</v>
      </c>
      <c r="E130" s="433">
        <f>VLOOKUP($E$38,'FS (2011)'!$A$13:$AH$244,'FS (2011)'!$J$245,FALSE)</f>
        <v>5228.2329454070214</v>
      </c>
      <c r="F130" s="440">
        <f>VLOOKUP($F$38,'FS (2011)'!$A$13:$AH$244,'FS (2011)'!$J$245,FALSE)</f>
        <v>5356.4345000000003</v>
      </c>
    </row>
    <row r="131" spans="1:30">
      <c r="B131" s="162" t="s">
        <v>182</v>
      </c>
      <c r="C131" s="441">
        <f>VLOOKUP($C$38,'FS (2011)'!$A$13:$AH$244,'FS (2011)'!$S$245,FALSE)</f>
        <v>5964.0420860540044</v>
      </c>
      <c r="D131" s="433">
        <f>VLOOKUP($D$38,'FS (2011)'!$A$13:$AH$244,'FS (2011)'!$S$245,FALSE)</f>
        <v>6850.3861623996136</v>
      </c>
      <c r="E131" s="433">
        <f>VLOOKUP($E$38,'FS (2011)'!$A$13:$AH$244,'FS (2011)'!$S$245,FALSE)</f>
        <v>6998.3802646115701</v>
      </c>
      <c r="F131" s="440">
        <f>VLOOKUP($F$38,'FS (2011)'!$A$13:$AH$244,'FS (2011)'!$S$245,FALSE)</f>
        <v>7147.3181000000004</v>
      </c>
      <c r="I131" s="139"/>
    </row>
    <row r="132" spans="1:30">
      <c r="B132" s="162" t="s">
        <v>143</v>
      </c>
      <c r="C132" s="441">
        <f>VLOOKUP($C$38,'FS (2011)'!$A$13:$AH$244,'FS (2011)'!$U$245,FALSE)</f>
        <v>4896.7243591571378</v>
      </c>
      <c r="D132" s="433">
        <f>VLOOKUP($D$38,'FS (2011)'!$A$13:$AH$244,'FS (2011)'!$U$245,FALSE)</f>
        <v>6207.8056146612653</v>
      </c>
      <c r="E132" s="433">
        <f>VLOOKUP($E$38,'FS (2011)'!$A$13:$AH$244,'FS (2011)'!$U$245,FALSE)</f>
        <v>6381.9848562420839</v>
      </c>
      <c r="F132" s="440">
        <f>VLOOKUP($F$38,'FS (2011)'!$A$13:$AH$244,'FS (2011)'!$U$245,FALSE)</f>
        <v>7016</v>
      </c>
    </row>
    <row r="133" spans="1:30">
      <c r="B133" s="162" t="s">
        <v>196</v>
      </c>
      <c r="C133" s="441">
        <f>VLOOKUP($C$38,'FS (2011)'!$A$13:$AH$244,'FS (2011)'!$X$245,FALSE)</f>
        <v>2055.3148799577998</v>
      </c>
      <c r="D133" s="433">
        <f>VLOOKUP($D$38,'FS (2011)'!$A$13:$AH$244,'FS (2011)'!$X$245,FALSE)</f>
        <v>1644.2145512801148</v>
      </c>
      <c r="E133" s="433">
        <f>VLOOKUP($E$38,'FS (2011)'!$A$13:$AH$244,'FS (2011)'!$X$245,FALSE)</f>
        <v>2321.3157654603751</v>
      </c>
      <c r="F133" s="440">
        <f>VLOOKUP($F$38,'FS (2011)'!$A$13:$AH$244,'FS (2011)'!$X$245,FALSE)</f>
        <v>2368</v>
      </c>
      <c r="R133" s="559"/>
      <c r="S133" s="559"/>
      <c r="T133" s="559"/>
      <c r="U133" s="559"/>
      <c r="V133" s="559"/>
      <c r="W133" s="559"/>
      <c r="X133" s="559"/>
      <c r="Y133" s="559"/>
      <c r="Z133" s="559"/>
      <c r="AA133" s="559"/>
      <c r="AB133" s="559"/>
      <c r="AC133" s="559"/>
      <c r="AD133" s="559"/>
    </row>
    <row r="134" spans="1:30">
      <c r="B134" s="164" t="s">
        <v>258</v>
      </c>
      <c r="C134" s="442">
        <f>VLOOKUP($C$38,'FS (2011)'!$A$13:$AH$244,'FS (2011)'!$AA$245,FALSE)</f>
        <v>12389.008027715205</v>
      </c>
      <c r="D134" s="435">
        <f>VLOOKUP($D$38,'FS (2011)'!$A$13:$AH$244,'FS (2011)'!$AA$245,FALSE)</f>
        <v>10039.553387466536</v>
      </c>
      <c r="E134" s="435">
        <f>VLOOKUP($E$38,'FS (2011)'!$A$13:$AH$244,'FS (2011)'!$AA$245,FALSE)</f>
        <v>9858.0910314462017</v>
      </c>
      <c r="F134" s="443">
        <f>VLOOKUP($F$38,'FS (2011)'!$A$13:$AH$244,'FS (2011)'!$AA$245,FALSE)</f>
        <v>15471.246999999999</v>
      </c>
      <c r="R134" s="559"/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</row>
    <row r="135" spans="1:30"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 t="shared" ref="A138:A143" si="7">RANK(D138,$D$138:$D$144)</f>
        <v>1</v>
      </c>
      <c r="B138" s="166" t="s">
        <v>204</v>
      </c>
      <c r="C138" s="167"/>
      <c r="D138" s="444">
        <f>VLOOKUP($D$6,'FS (2011)'!$A$13:$AH$244,'FS (2011)'!$L$245,FALSE)</f>
        <v>2822.7276999999999</v>
      </c>
      <c r="E138" s="446">
        <f t="shared" ref="E138:E144" si="8">D138/$D$145</f>
        <v>0.39493522199697223</v>
      </c>
      <c r="R138" s="559"/>
      <c r="S138" s="559"/>
      <c r="T138" s="559">
        <v>1</v>
      </c>
      <c r="U138" s="559" t="str">
        <f>VLOOKUP(T138,$A$138:$E$144,2,FALSE)</f>
        <v>System management and operations</v>
      </c>
      <c r="V138" s="559">
        <f>VLOOKUP(T138,$A$138:$E$144,4,FALSE)</f>
        <v>2822.7276999999999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si="7"/>
        <v>2</v>
      </c>
      <c r="B139" s="162" t="s">
        <v>199</v>
      </c>
      <c r="C139" s="121"/>
      <c r="D139" s="441">
        <f>VLOOKUP($D$6,'FS (2011)'!$A$13:$AH$244,'FS (2011)'!K245,FALSE)</f>
        <v>1862.5905</v>
      </c>
      <c r="E139" s="414">
        <f t="shared" si="8"/>
        <v>0.26059991284563211</v>
      </c>
      <c r="R139" s="559"/>
      <c r="S139" s="559"/>
      <c r="T139" s="559">
        <v>2</v>
      </c>
      <c r="U139" s="559" t="str">
        <f t="shared" ref="U139:U144" si="9">VLOOKUP(T139,$A$138:$E$144,2,FALSE)</f>
        <v>General management, admin and overheads</v>
      </c>
      <c r="V139" s="559">
        <f t="shared" ref="V139:V144" si="10">VLOOKUP(T139,$A$138:$E$144,4,FALSE)</f>
        <v>1862.5905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7"/>
        <v>4</v>
      </c>
      <c r="B140" s="162" t="s">
        <v>201</v>
      </c>
      <c r="C140" s="121"/>
      <c r="D140" s="441">
        <f>VLOOKUP($D$6,'FS (2011)'!$A$13:$AH$244,'FS (2011)'!M245,FALSE)</f>
        <v>1120</v>
      </c>
      <c r="E140" s="414">
        <f t="shared" si="8"/>
        <v>0.15670213199686564</v>
      </c>
      <c r="R140" s="559"/>
      <c r="S140" s="559"/>
      <c r="T140" s="559">
        <v>3</v>
      </c>
      <c r="U140" s="559" t="str">
        <f t="shared" si="9"/>
        <v>Fault and emergency maintenance</v>
      </c>
      <c r="V140" s="559">
        <f t="shared" si="10"/>
        <v>1216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7"/>
        <v>5</v>
      </c>
      <c r="B141" s="162" t="s">
        <v>202</v>
      </c>
      <c r="C141" s="121"/>
      <c r="D141" s="441">
        <f>VLOOKUP($D$6,'FS (2011)'!$A$13:$AH$244,'FS (2011)'!N245,FALSE)</f>
        <v>126</v>
      </c>
      <c r="E141" s="414">
        <f t="shared" si="8"/>
        <v>1.7628989849647385E-2</v>
      </c>
      <c r="R141" s="559"/>
      <c r="S141" s="559"/>
      <c r="T141" s="559">
        <v>4</v>
      </c>
      <c r="U141" s="559" t="str">
        <f t="shared" si="9"/>
        <v>Routine and preventative maintenance</v>
      </c>
      <c r="V141" s="559">
        <f t="shared" si="10"/>
        <v>1120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7"/>
        <v>3</v>
      </c>
      <c r="B142" s="162" t="s">
        <v>203</v>
      </c>
      <c r="C142" s="121"/>
      <c r="D142" s="441">
        <f>VLOOKUP($D$6,'FS (2011)'!$A$13:$AH$244,'FS (2011)'!O245,FALSE)</f>
        <v>1216</v>
      </c>
      <c r="E142" s="414">
        <f t="shared" si="8"/>
        <v>0.17013374331088268</v>
      </c>
      <c r="R142" s="559"/>
      <c r="S142" s="559"/>
      <c r="T142" s="559">
        <v>5</v>
      </c>
      <c r="U142" s="559" t="str">
        <f t="shared" si="9"/>
        <v>Refurbishment and renewal maintenance</v>
      </c>
      <c r="V142" s="559">
        <f t="shared" si="10"/>
        <v>126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7"/>
        <v>6</v>
      </c>
      <c r="B143" s="162" t="s">
        <v>13</v>
      </c>
      <c r="C143" s="121"/>
      <c r="D143" s="441">
        <f>VLOOKUP($D$6,'FS (2011)'!$A$13:$AH$244,'FS (2011)'!R245,FALSE)</f>
        <v>0</v>
      </c>
      <c r="E143" s="414">
        <f t="shared" si="8"/>
        <v>0</v>
      </c>
      <c r="R143" s="559"/>
      <c r="S143" s="559"/>
      <c r="T143" s="559">
        <v>6</v>
      </c>
      <c r="U143" s="559" t="str">
        <f t="shared" si="9"/>
        <v>Other</v>
      </c>
      <c r="V143" s="559">
        <f t="shared" si="10"/>
        <v>0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v>7</v>
      </c>
      <c r="B144" s="162" t="s">
        <v>200</v>
      </c>
      <c r="C144" s="121"/>
      <c r="D144" s="441">
        <f>VLOOKUP($D$6,'FS (2011)'!$A$13:$AH$244,'FS (2011)'!P245,FALSE)</f>
        <v>0</v>
      </c>
      <c r="E144" s="414">
        <f t="shared" si="8"/>
        <v>0</v>
      </c>
      <c r="R144" s="559"/>
      <c r="S144" s="559"/>
      <c r="T144" s="559">
        <v>7</v>
      </c>
      <c r="U144" s="559" t="str">
        <f t="shared" si="9"/>
        <v>Pass-through costs</v>
      </c>
      <c r="V144" s="559">
        <f t="shared" si="10"/>
        <v>0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7147.3181999999997</v>
      </c>
      <c r="E145" s="447">
        <f>SUM(E138:E144)</f>
        <v>1</v>
      </c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3.2526238202503492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2.6112750936380045</v>
      </c>
      <c r="F149" s="455">
        <f>(VLOOKUP(F$38,'FS (2011)'!$A$13:$AH$244,'FS (2011)'!$M$245,FALSE)+VLOOKUP(F$38,'FS (2011)'!$A$13:$AH$244,'FS (2011)'!$N$245,FALSE)+VLOOKUP(F$38,'FS (2011)'!$A$13:$AH$244,'FS (2011)'!$O$245,FALSE))/1000</f>
        <v>2.4620000000000002</v>
      </c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3.1426577514185507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4.2159408261701374</v>
      </c>
      <c r="F150" s="457">
        <f>(VLOOKUP(F$38,'FS (2011)'!$A$13:$AH$244,'FS (2011)'!$L$245,FALSE)+VLOOKUP(F$38,'FS (2011)'!$A$13:$AH$244,'FS (2011)'!$K$245,FALSE))/1000</f>
        <v>4.6853181999999993</v>
      </c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-0.43123948561489545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0.17116434480342752</v>
      </c>
      <c r="F151" s="457">
        <f>(VLOOKUP(F$38,'FS (2011)'!$A$13:$AH$244,'FS (2011)'!$R$245,FALSE)+VLOOKUP(F$38,'FS (2011)'!$A$13:$AH$244,'FS (2011)'!$P$245,FALSE)+VLOOKUP(F$38,'FS (2011)'!$A$13:$AH$244,'FS (2011)'!$Q$245,FALSE))/1000</f>
        <v>0</v>
      </c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5.964042086054004</v>
      </c>
      <c r="D152" s="458">
        <f>VLOOKUP($D$38,'FS (2011)'!$A$13:$AH$244,'FS (2011)'!$S$245,FALSE)/1000</f>
        <v>6.8503861623996132</v>
      </c>
      <c r="E152" s="459">
        <f>VLOOKUP($E$38,'FS (2011)'!$A$13:$AH$244,'FS (2011)'!$S$245,FALSE)/1000</f>
        <v>6.99838026461157</v>
      </c>
      <c r="F152" s="460">
        <f>VLOOKUP($F$38,'FS (2011)'!$A$13:$AH$244,'FS (2011)'!$S$245,FALSE)/1000</f>
        <v>7.1473181000000006</v>
      </c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-5.716559469421334E-2</v>
      </c>
      <c r="D154" s="464">
        <f t="shared" ref="D154:E157" si="11">IF(ISERROR(D149/C149 - 1),"",(D149/C149 - 1))</f>
        <v>-1</v>
      </c>
      <c r="E154" s="464" t="str">
        <f t="shared" si="11"/>
        <v/>
      </c>
      <c r="F154" s="465">
        <f>IF(ISERROR(F149/E149 - 1),"",(F149/E149 - 1))</f>
        <v>-5.716559469421334E-2</v>
      </c>
      <c r="R154" s="559" t="s">
        <v>423</v>
      </c>
      <c r="S154" s="559">
        <f t="shared" ref="S154:V157" si="12">LN(C149)</f>
        <v>1.1794619999344347</v>
      </c>
      <c r="T154" s="559" t="e">
        <f t="shared" si="12"/>
        <v>#NUM!</v>
      </c>
      <c r="U154" s="559">
        <f t="shared" si="12"/>
        <v>0.95983864366075244</v>
      </c>
      <c r="V154" s="559">
        <f t="shared" si="12"/>
        <v>0.90097402776226188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0.11133395680419356</v>
      </c>
      <c r="D155" s="467">
        <f t="shared" si="11"/>
        <v>-1</v>
      </c>
      <c r="E155" s="467" t="str">
        <f t="shared" si="11"/>
        <v/>
      </c>
      <c r="F155" s="468">
        <f>IF(ISERROR(F150/E150 - 1),"",(F150/E150 - 1))</f>
        <v>0.11133395680419356</v>
      </c>
      <c r="R155" s="559" t="s">
        <v>423</v>
      </c>
      <c r="S155" s="559">
        <f t="shared" si="12"/>
        <v>1.1450688595599663</v>
      </c>
      <c r="T155" s="559" t="e">
        <f t="shared" si="12"/>
        <v>#NUM!</v>
      </c>
      <c r="U155" s="559">
        <f t="shared" si="12"/>
        <v>1.4388727756021698</v>
      </c>
      <c r="V155" s="559">
        <f t="shared" si="12"/>
        <v>1.5444338322740767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-1</v>
      </c>
      <c r="D156" s="467">
        <f t="shared" si="11"/>
        <v>-1</v>
      </c>
      <c r="E156" s="467" t="str">
        <f t="shared" si="11"/>
        <v/>
      </c>
      <c r="F156" s="468">
        <f>IF(ISERROR(F151/E151 - 1),"",(F151/E151 - 1))</f>
        <v>-1</v>
      </c>
      <c r="R156" s="559" t="s">
        <v>423</v>
      </c>
      <c r="S156" s="559" t="e">
        <f t="shared" si="12"/>
        <v>#NUM!</v>
      </c>
      <c r="T156" s="559" t="e">
        <f t="shared" si="12"/>
        <v>#NUM!</v>
      </c>
      <c r="U156" s="559">
        <f t="shared" si="12"/>
        <v>-1.7651311033000598</v>
      </c>
      <c r="V156" s="559" t="e">
        <f t="shared" si="12"/>
        <v>#NUM!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5.805677359259076E-2</v>
      </c>
      <c r="D157" s="470">
        <f t="shared" si="11"/>
        <v>0.14861465823961706</v>
      </c>
      <c r="E157" s="470">
        <f t="shared" si="11"/>
        <v>2.1603760533131178E-2</v>
      </c>
      <c r="F157" s="471">
        <f>IF(ISERROR(F152/E152 - 1),"",(F152/E152 - 1))</f>
        <v>2.128175802929122E-2</v>
      </c>
      <c r="N157" s="136"/>
      <c r="O157" s="136"/>
      <c r="R157" s="559" t="s">
        <v>423</v>
      </c>
      <c r="S157" s="559">
        <f t="shared" si="12"/>
        <v>1.7857484535600223</v>
      </c>
      <c r="T157" s="559">
        <f t="shared" si="12"/>
        <v>1.9243050247581117</v>
      </c>
      <c r="U157" s="559">
        <f t="shared" si="12"/>
        <v>1.945678731510563</v>
      </c>
      <c r="V157" s="559">
        <f t="shared" si="12"/>
        <v>1.9667371954326345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The Lines Company</v>
      </c>
      <c r="C162" s="456">
        <f>(C152/C102)*1000000</f>
        <v>256.76089573161715</v>
      </c>
      <c r="D162" s="456">
        <f>(D152/D102)*1000000</f>
        <v>283.24937615876013</v>
      </c>
      <c r="E162" s="456">
        <f>(E152/E102)*1000000</f>
        <v>286.40803211015225</v>
      </c>
      <c r="F162" s="457">
        <f>(F152/F102)*1000000</f>
        <v>292.03718640189589</v>
      </c>
      <c r="G162" s="181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The Lines Company</v>
      </c>
      <c r="C165" s="456">
        <f>C152/VLOOKUP(C$38,'MP (2011)'!$A$14:$AR$245,'MP (2011)'!$H$246,FALSE)*1000000</f>
        <v>1367.9121106739519</v>
      </c>
      <c r="D165" s="456">
        <f>D152/VLOOKUP(D$38,'MP (2011)'!$A$14:$AR$245,'MP (2011)'!$H$246,FALSE)*1000000</f>
        <v>1550.9875186276943</v>
      </c>
      <c r="E165" s="456">
        <f>E152/VLOOKUP(E$38,'MP (2011)'!$A$14:$AR$245,'MP (2011)'!$H$246,FALSE)*1000000</f>
        <v>1558.3469381664188</v>
      </c>
      <c r="F165" s="457">
        <f>F152/VLOOKUP(F$38,'MP (2011)'!$A$14:$AR$245,'MP (2011)'!$H$246,FALSE)*1000000</f>
        <v>1429.1777844431115</v>
      </c>
      <c r="G165" s="181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The Lines Company</v>
      </c>
      <c r="C168" s="456">
        <f>(C152/C117)*1000000</f>
        <v>19.801791199666663</v>
      </c>
      <c r="D168" s="456">
        <f>(D152/D117)*1000000</f>
        <v>23.32049012685551</v>
      </c>
      <c r="E168" s="456">
        <f>(E152/E117)*1000000</f>
        <v>22.502830432834632</v>
      </c>
      <c r="F168" s="457">
        <f>(F152/F117)*1000000</f>
        <v>23.904073913043483</v>
      </c>
      <c r="G168" s="181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4.0529518701017064E-2</v>
      </c>
      <c r="D171" s="464">
        <f>IF(ISERROR(D162/C162 - 1),"",(D162/C162 - 1))</f>
        <v>0.10316399758485972</v>
      </c>
      <c r="E171" s="464">
        <f>IF(ISERROR(E162/D162 - 1),"",(E162/D162 - 1))</f>
        <v>1.1151501882290749E-2</v>
      </c>
      <c r="F171" s="465">
        <f>IF(ISERROR(F162/E162 - 1),"",(F162/E162 - 1))</f>
        <v>1.9654317130249677E-2</v>
      </c>
      <c r="H171" s="139"/>
      <c r="R171" s="559" t="s">
        <v>423</v>
      </c>
      <c r="S171" s="559">
        <f>LN(C162)</f>
        <v>5.5481452850323558</v>
      </c>
      <c r="T171" s="559">
        <f>LN(D162)</f>
        <v>5.6463276974653027</v>
      </c>
      <c r="U171" s="559">
        <f>LN(E162)</f>
        <v>5.6574174797705821</v>
      </c>
      <c r="V171" s="559">
        <f>LN(F162)</f>
        <v>5.6768811448512952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1.3710636892948713E-2</v>
      </c>
      <c r="D172" s="467">
        <f>IF(ISERROR(D165/C165 - 1),"",(D165/C165 - 1))</f>
        <v>0.13383565108107964</v>
      </c>
      <c r="E172" s="467">
        <f>IF(ISERROR(E165/D165 - 1),"",(E165/D165 - 1))</f>
        <v>4.7449895310802681E-3</v>
      </c>
      <c r="F172" s="468">
        <f>IF(ISERROR(F165/E165 - 1),"",(F165/E165 - 1))</f>
        <v>-8.2888572858679455E-2</v>
      </c>
      <c r="R172" s="559" t="s">
        <v>423</v>
      </c>
      <c r="S172" s="559">
        <f>LN(C165)</f>
        <v>7.2210408495352274</v>
      </c>
      <c r="T172" s="559">
        <f>LN(D165)</f>
        <v>7.3466471158377082</v>
      </c>
      <c r="U172" s="559">
        <f>LN(E165)</f>
        <v>7.3513808833907408</v>
      </c>
      <c r="V172" s="559">
        <f>LN(F165)</f>
        <v>7.264854581978005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5.4338781236225042E-2</v>
      </c>
      <c r="D173" s="470">
        <f>IF(ISERROR(D168/C168 - 1),"",(D168/C168 - 1))</f>
        <v>0.17769599182765239</v>
      </c>
      <c r="E173" s="470">
        <f>IF(ISERROR(E168/D168 - 1),"",(E168/D168 - 1))</f>
        <v>-3.5061857172516087E-2</v>
      </c>
      <c r="F173" s="471">
        <f>IF(ISERROR(F168/E168 - 1),"",(F168/E168 - 1))</f>
        <v>6.2269654672607366E-2</v>
      </c>
      <c r="R173" s="559" t="s">
        <v>423</v>
      </c>
      <c r="S173" s="559">
        <f>LN(C168)</f>
        <v>2.9857723982384412</v>
      </c>
      <c r="T173" s="559">
        <f>LN(D168)</f>
        <v>3.1493323787080625</v>
      </c>
      <c r="U173" s="559">
        <f>LN(E168)</f>
        <v>3.1136410983134661</v>
      </c>
      <c r="V173" s="559">
        <f>LN(F168)</f>
        <v>3.1740489010240851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R175" s="559"/>
      <c r="S175" s="559"/>
      <c r="T175" s="559"/>
      <c r="U175" s="559"/>
      <c r="V175" s="560" t="str">
        <f>$B$2</f>
        <v>The Lines Company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R176" s="559"/>
      <c r="S176" s="559"/>
      <c r="T176" s="559"/>
      <c r="U176" s="559"/>
      <c r="V176" s="562" t="s">
        <v>280</v>
      </c>
      <c r="W176" s="563">
        <f>C178</f>
        <v>2611.2750936380044</v>
      </c>
      <c r="X176" s="563">
        <f>D178</f>
        <v>2462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The Lines Company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R177" s="561"/>
      <c r="S177" s="561"/>
      <c r="T177" s="561"/>
      <c r="U177" s="561"/>
      <c r="V177" s="565" t="s">
        <v>277</v>
      </c>
      <c r="W177" s="563">
        <f t="shared" ref="W177:AA178" si="14">C179</f>
        <v>3338.7235590525715</v>
      </c>
      <c r="X177" s="563">
        <f t="shared" si="14"/>
        <v>3432.7338546089231</v>
      </c>
      <c r="Y177" s="563">
        <f t="shared" si="14"/>
        <v>3543.5094715852438</v>
      </c>
      <c r="Z177" s="563">
        <f t="shared" si="14"/>
        <v>3602.9966519421869</v>
      </c>
      <c r="AA177" s="563">
        <f t="shared" si="14"/>
        <v>3696.3347794454471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2611.2750936380044</v>
      </c>
      <c r="D178" s="461">
        <f>VLOOKUP(F38,'FS (2011)'!$A$14:$T$246,'FS (2011)'!$M$245,FALSE)+VLOOKUP(F38,'FS (2011)'!$A$14:$AO$245,'FS (2011)'!$N$245,FALSE)+VLOOKUP(F38,'FS (2011)'!$A$14:$AO$245,'FS (2011)'!$O$245,FALSE)</f>
        <v>2462</v>
      </c>
      <c r="E178" s="461"/>
      <c r="F178" s="461"/>
      <c r="G178" s="461"/>
      <c r="H178" s="461"/>
      <c r="I178" s="462"/>
      <c r="R178" s="559"/>
      <c r="S178" s="559"/>
      <c r="T178" s="559"/>
      <c r="U178" s="559"/>
      <c r="V178" s="565" t="s">
        <v>278</v>
      </c>
      <c r="W178" s="564"/>
      <c r="X178" s="563">
        <f t="shared" si="14"/>
        <v>3435</v>
      </c>
      <c r="Y178" s="563">
        <f t="shared" si="14"/>
        <v>3520</v>
      </c>
      <c r="Z178" s="563">
        <f t="shared" si="14"/>
        <v>3609</v>
      </c>
      <c r="AA178" s="563">
        <f t="shared" si="14"/>
        <v>3678</v>
      </c>
      <c r="AB178" s="563">
        <f>H180</f>
        <v>3769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3338.7235590525715</v>
      </c>
      <c r="D179" s="461">
        <f>VLOOKUP(D182,'AM (2011)'!$A$10:$N$444,'AM (2011)'!$N$445,FALSE)</f>
        <v>3432.7338546089231</v>
      </c>
      <c r="E179" s="461">
        <f>VLOOKUP(E182,'AM (2011)'!$A$10:$N$444,'AM (2011)'!$N$445,FALSE)</f>
        <v>3543.5094715852438</v>
      </c>
      <c r="F179" s="461">
        <f>VLOOKUP(F182,'AM (2011)'!$A$10:$N$444,'AM (2011)'!$N$445,FALSE)</f>
        <v>3602.9966519421869</v>
      </c>
      <c r="G179" s="461">
        <f>VLOOKUP(G182,'AM (2011)'!$A$10:$N$444,'AM (2011)'!$N$445,FALSE)</f>
        <v>3696.3347794454471</v>
      </c>
      <c r="H179" s="461"/>
      <c r="I179" s="462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3244.767679379444</v>
      </c>
      <c r="Z179" s="563">
        <f>F181</f>
        <v>3223.2597285067873</v>
      </c>
      <c r="AA179" s="563">
        <f>G181</f>
        <v>3198.8188752424044</v>
      </c>
      <c r="AB179" s="563">
        <f>H181</f>
        <v>3191.9754363283773</v>
      </c>
      <c r="AC179" s="563">
        <f>I181</f>
        <v>3181.221460892049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3435</v>
      </c>
      <c r="E180" s="461">
        <f>VLOOKUP(E183,'AM (2011)'!$A$10:$N$444,'AM (2011)'!$N$445,FALSE)</f>
        <v>3520</v>
      </c>
      <c r="F180" s="461">
        <f>VLOOKUP(F183,'AM (2011)'!$A$10:$N$444,'AM (2011)'!$N$445,FALSE)</f>
        <v>3609</v>
      </c>
      <c r="G180" s="461">
        <f>VLOOKUP(G183,'AM (2011)'!$A$10:$N$444,'AM (2011)'!$N$445,FALSE)</f>
        <v>3678</v>
      </c>
      <c r="H180" s="461">
        <f>VLOOKUP(H183,'AM (2011)'!$A$10:$N$444,'AM (2011)'!$N$445,FALSE)</f>
        <v>3769</v>
      </c>
      <c r="I180" s="462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3244.767679379444</v>
      </c>
      <c r="F181" s="493">
        <f>VLOOKUP(F184,'AM (2011)'!$A$10:$N$444,'AM (2011)'!$N$445,FALSE)</f>
        <v>3223.2597285067873</v>
      </c>
      <c r="G181" s="493">
        <f>VLOOKUP(G184,'AM (2011)'!$A$10:$N$444,'AM (2011)'!$N$445,FALSE)</f>
        <v>3198.8188752424044</v>
      </c>
      <c r="H181" s="493">
        <f>VLOOKUP(H184,'AM (2011)'!$A$10:$N$444,'AM (2011)'!$N$445,FALSE)</f>
        <v>3191.9754363283773</v>
      </c>
      <c r="I181" s="494">
        <f>VLOOKUP(I184,'AM (2011)'!$A$10:$N$444,'AM (2011)'!$N$445,FALSE)</f>
        <v>3181.221460892049</v>
      </c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469</v>
      </c>
      <c r="D182" s="136">
        <f>VLOOKUP($B$2,$B$257:$Y$286,11,FALSE)</f>
        <v>470</v>
      </c>
      <c r="E182" s="136">
        <f>VLOOKUP($B$2,$B$257:$Y$286,12,FALSE)</f>
        <v>471</v>
      </c>
      <c r="F182" s="136">
        <f>VLOOKUP($B$2,$B$257:$Y$286,13,FALSE)</f>
        <v>472</v>
      </c>
      <c r="G182" s="136">
        <f>VLOOKUP($B$2,$B$257:$Y$286,14,FALSE)</f>
        <v>473</v>
      </c>
      <c r="H182" s="136"/>
      <c r="I182" s="136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474</v>
      </c>
      <c r="E183" s="136">
        <f>VLOOKUP($B$2,$B$257:$Y$286,16,FALSE)</f>
        <v>475</v>
      </c>
      <c r="F183" s="136">
        <f>VLOOKUP($B$2,$B$257:$Y$286,17,FALSE)</f>
        <v>476</v>
      </c>
      <c r="G183" s="136">
        <f>VLOOKUP($B$2,$B$257:$Y$286,18,FALSE)</f>
        <v>477</v>
      </c>
      <c r="H183" s="136">
        <f>VLOOKUP($B$2,$B$257:$Y$286,19,FALSE)</f>
        <v>478</v>
      </c>
      <c r="I183" s="136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479</v>
      </c>
      <c r="F184" s="136">
        <f>VLOOKUP($B$2,$B$257:$Y$286,21,FALSE)</f>
        <v>480</v>
      </c>
      <c r="G184" s="136">
        <f>VLOOKUP($B$2,$B$257:$Y$286,22,FALSE)</f>
        <v>481</v>
      </c>
      <c r="H184" s="136">
        <f>VLOOKUP($B$2,$B$257:$Y$286,23,FALSE)</f>
        <v>482</v>
      </c>
      <c r="I184" s="136">
        <f>VLOOKUP($B$2,$B$257:$Y$286,24,FALSE)</f>
        <v>483</v>
      </c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4</v>
      </c>
      <c r="B186" s="483" t="s">
        <v>205</v>
      </c>
      <c r="C186" s="490"/>
      <c r="D186" s="484">
        <f>VLOOKUP($D$6,'FS (2011)'!$A$13:$AH$244,'FS (2011)'!AC245,FALSE)/1000</f>
        <v>1.087</v>
      </c>
      <c r="E186" s="495">
        <f t="shared" ref="E186:E191" si="16">D186/$D$192</f>
        <v>0.12420018281535648</v>
      </c>
      <c r="R186" s="559"/>
      <c r="S186" s="559"/>
      <c r="T186" s="559">
        <v>1</v>
      </c>
      <c r="U186" s="559" t="str">
        <f t="shared" ref="U186:U191" si="17">VLOOKUP(T186,$A$186:$D$191,2,FALSE)</f>
        <v>Asset replacement and renewal</v>
      </c>
      <c r="V186" s="559">
        <f t="shared" ref="V186:V191" si="18">VLOOKUP(T186,$A$186:$D$191,4,FALSE)</f>
        <v>3.72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2</v>
      </c>
      <c r="B187" s="162" t="s">
        <v>206</v>
      </c>
      <c r="C187" s="121"/>
      <c r="D187" s="456">
        <f>VLOOKUP($D$6,'FS (2011)'!$A$13:$AH$244,'FS (2011)'!AD245,FALSE)/1000</f>
        <v>2.1259999999999999</v>
      </c>
      <c r="E187" s="468">
        <f t="shared" si="16"/>
        <v>0.24291590493601459</v>
      </c>
      <c r="R187" s="559"/>
      <c r="S187" s="559"/>
      <c r="T187" s="559">
        <v>2</v>
      </c>
      <c r="U187" s="559" t="str">
        <f t="shared" si="17"/>
        <v>Reliability, safety and environment</v>
      </c>
      <c r="V187" s="559">
        <f t="shared" si="18"/>
        <v>2.1259999999999999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3</v>
      </c>
      <c r="B188" s="162" t="s">
        <v>209</v>
      </c>
      <c r="C188" s="121"/>
      <c r="D188" s="456">
        <f>VLOOKUP($D$6,'FS (2011)'!$A$13:$AH$244,'FS (2011)'!AB245,FALSE)/1000</f>
        <v>1.4319999999999999</v>
      </c>
      <c r="E188" s="468">
        <f t="shared" si="16"/>
        <v>0.16361974405850088</v>
      </c>
      <c r="R188" s="559"/>
      <c r="S188" s="559"/>
      <c r="T188" s="559">
        <v>3</v>
      </c>
      <c r="U188" s="559" t="str">
        <f t="shared" si="17"/>
        <v>Customer connection</v>
      </c>
      <c r="V188" s="559">
        <f t="shared" si="18"/>
        <v>1.4319999999999999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1</v>
      </c>
      <c r="B189" s="162" t="s">
        <v>208</v>
      </c>
      <c r="C189" s="121"/>
      <c r="D189" s="456">
        <f>VLOOKUP($D$6,'FS (2011)'!$A$13:$AH$244,'FS (2011)'!AE245,FALSE)/1000</f>
        <v>3.72</v>
      </c>
      <c r="E189" s="468">
        <f t="shared" si="16"/>
        <v>0.42504570383912249</v>
      </c>
      <c r="R189" s="559"/>
      <c r="S189" s="559"/>
      <c r="T189" s="559">
        <v>4</v>
      </c>
      <c r="U189" s="559" t="str">
        <f t="shared" si="17"/>
        <v>System growth</v>
      </c>
      <c r="V189" s="559">
        <f t="shared" si="18"/>
        <v>1.087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5</v>
      </c>
      <c r="B190" s="162" t="s">
        <v>312</v>
      </c>
      <c r="C190" s="121"/>
      <c r="D190" s="456">
        <f>VLOOKUP($D$6,'FS (2011)'!$A$13:$AH$244,'FS (2011)'!AH245,FALSE)/1000</f>
        <v>0.35</v>
      </c>
      <c r="E190" s="468">
        <f t="shared" si="16"/>
        <v>3.9990859232175498E-2</v>
      </c>
      <c r="R190" s="559"/>
      <c r="S190" s="559"/>
      <c r="T190" s="559">
        <v>5</v>
      </c>
      <c r="U190" s="559" t="str">
        <f t="shared" si="17"/>
        <v>Non-network capex</v>
      </c>
      <c r="V190" s="559">
        <f t="shared" si="18"/>
        <v>0.35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6</v>
      </c>
      <c r="B191" s="162" t="s">
        <v>207</v>
      </c>
      <c r="C191" s="121"/>
      <c r="D191" s="456">
        <f>VLOOKUP($D$6,'FS (2011)'!$A$13:$AH$244,'FS (2011)'!AF245,FALSE)/1000</f>
        <v>3.6999999999999998E-2</v>
      </c>
      <c r="E191" s="468">
        <f t="shared" si="16"/>
        <v>4.2276051188299812E-3</v>
      </c>
      <c r="R191" s="559"/>
      <c r="S191" s="559"/>
      <c r="T191" s="559">
        <v>6</v>
      </c>
      <c r="U191" s="559" t="str">
        <f t="shared" si="17"/>
        <v>Asset relocations</v>
      </c>
      <c r="V191" s="559">
        <f t="shared" si="18"/>
        <v>3.6999999999999998E-2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8.7520000000000007</v>
      </c>
      <c r="E192" s="496">
        <f>SUM(E186:E191)</f>
        <v>1</v>
      </c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11.238079433149895</v>
      </c>
      <c r="D196" s="484">
        <f>VLOOKUP($D$38,'FS (2011)'!$A$13:$AH$244,'FS (2011)'!$AG$245,FALSE)/1000</f>
        <v>6.8213195140366514</v>
      </c>
      <c r="E196" s="484">
        <f>VLOOKUP($E$38,'FS (2011)'!$A$13:$AH$244,'FS (2011)'!$AG$245,FALSE)/1000</f>
        <v>7.0798870954703439</v>
      </c>
      <c r="F196" s="486">
        <f>VLOOKUP($F$38,'FS (2011)'!$A$13:$AH$244,'FS (2011)'!$AG$245,FALSE)/1000</f>
        <v>8.4019999999999992</v>
      </c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0.36655356277266116</v>
      </c>
      <c r="D197" s="456">
        <f>VLOOKUP($D$38,'FS (2011)'!$A$13:$AH$244,'FS (2011)'!$AH$245,FALSE)/1000</f>
        <v>0.19412368728121349</v>
      </c>
      <c r="E197" s="456">
        <f>VLOOKUP($E$38,'FS (2011)'!$A$13:$AH$244,'FS (2011)'!$AH$245,FALSE)/1000</f>
        <v>0.29036808493438598</v>
      </c>
      <c r="F197" s="457">
        <f>VLOOKUP($F$38,'FS (2011)'!$A$13:$AH$244,'FS (2011)'!$AH$245,FALSE)/1000</f>
        <v>0.35</v>
      </c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11.604632995922557</v>
      </c>
      <c r="D198" s="488">
        <f>SUM(D196:D197)</f>
        <v>7.0154432013178649</v>
      </c>
      <c r="E198" s="488">
        <f>SUM(E196:E197)</f>
        <v>7.3702551804047296</v>
      </c>
      <c r="F198" s="489">
        <f>SUM(F196:F197)</f>
        <v>8.7519999999999989</v>
      </c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-8.0137386663873933E-2</v>
      </c>
      <c r="D200" s="498">
        <f t="shared" ref="D200:F202" si="20">D196/C196 - 1</f>
        <v>-0.39301732519212851</v>
      </c>
      <c r="E200" s="498">
        <f t="shared" si="20"/>
        <v>3.7905801201896683E-2</v>
      </c>
      <c r="F200" s="495">
        <f t="shared" si="20"/>
        <v>0.18674208877928766</v>
      </c>
      <c r="R200" s="559" t="s">
        <v>423</v>
      </c>
      <c r="S200" s="559">
        <f t="shared" ref="S200:V202" si="21">LN(C196)</f>
        <v>2.419307960928943</v>
      </c>
      <c r="T200" s="559">
        <f t="shared" si="21"/>
        <v>1.9200529302725582</v>
      </c>
      <c r="U200" s="559">
        <f t="shared" si="21"/>
        <v>1.9572579606110085</v>
      </c>
      <c r="V200" s="559">
        <f t="shared" si="21"/>
        <v>2.1284697727471902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2.675355360206555E-2</v>
      </c>
      <c r="D201" s="467">
        <f t="shared" si="20"/>
        <v>-0.47040840140023343</v>
      </c>
      <c r="E201" s="467">
        <f t="shared" si="20"/>
        <v>0.49578904563949444</v>
      </c>
      <c r="F201" s="468">
        <f t="shared" si="20"/>
        <v>0.20536663001062583</v>
      </c>
      <c r="R201" s="559" t="s">
        <v>423</v>
      </c>
      <c r="S201" s="559">
        <f t="shared" si="21"/>
        <v>-1.0036106216144194</v>
      </c>
      <c r="T201" s="559">
        <f t="shared" si="21"/>
        <v>-1.639259759770723</v>
      </c>
      <c r="U201" s="559">
        <f t="shared" si="21"/>
        <v>-1.2366059024346681</v>
      </c>
      <c r="V201" s="559">
        <f t="shared" si="21"/>
        <v>-1.0498221244986778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-7.660926889809061E-2</v>
      </c>
      <c r="D202" s="500">
        <f t="shared" si="20"/>
        <v>-0.39546186391393556</v>
      </c>
      <c r="E202" s="500">
        <f t="shared" si="20"/>
        <v>5.0575846586600859E-2</v>
      </c>
      <c r="F202" s="501">
        <f t="shared" si="20"/>
        <v>0.18747584524195426</v>
      </c>
      <c r="R202" s="559" t="s">
        <v>423</v>
      </c>
      <c r="S202" s="559">
        <f t="shared" si="21"/>
        <v>2.4514044145751077</v>
      </c>
      <c r="T202" s="559">
        <f t="shared" si="21"/>
        <v>1.9481138906489255</v>
      </c>
      <c r="U202" s="559">
        <f t="shared" si="21"/>
        <v>1.9974523298087246</v>
      </c>
      <c r="V202" s="559">
        <f t="shared" si="21"/>
        <v>2.1692822456796255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The Lines Company</v>
      </c>
      <c r="C206" s="456">
        <f>(C198/C102)*1000000</f>
        <v>499.59673652154976</v>
      </c>
      <c r="D206" s="456">
        <f>(D198/D102)*1000000</f>
        <v>290.0741451857707</v>
      </c>
      <c r="E206" s="456">
        <f>(E198/E102)*1000000</f>
        <v>301.6269768939934</v>
      </c>
      <c r="F206" s="457">
        <f>(F198/F102)*1000000</f>
        <v>357.60398790553234</v>
      </c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The Lines Company</v>
      </c>
      <c r="C209" s="456">
        <f>(C198/C117)*1000000000</f>
        <v>38529.660961205351</v>
      </c>
      <c r="D209" s="456">
        <f>(D198/D117)*1000000000</f>
        <v>23882.387070357563</v>
      </c>
      <c r="E209" s="456">
        <f>(E198/E117)*1000000000</f>
        <v>23698.569711912314</v>
      </c>
      <c r="F209" s="457">
        <f>(F198/F117)*1000000000</f>
        <v>29270.903010033438</v>
      </c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The Lines Company</v>
      </c>
      <c r="C212" s="456">
        <f>(C198/VLOOKUP(C$38,'AV (2011)'!$A$11:$F$213,'AV (2011)'!$F$214,FALSE)*1000)</f>
        <v>8.3044373505647903E-2</v>
      </c>
      <c r="D212" s="456">
        <f>(D198/VLOOKUP(D$38,'AV (2011)'!$A$11:$F$213,'AV (2011)'!$F$214,FALSE)*1000)</f>
        <v>4.9198031321630351E-2</v>
      </c>
      <c r="E212" s="456">
        <f>(E198/VLOOKUP(E$38,'AV (2011)'!$A$11:$F$213,'AV (2011)'!$F$214,FALSE)*1000)</f>
        <v>5.0009844348680187E-2</v>
      </c>
      <c r="F212" s="457">
        <f>(F198/VLOOKUP(F$38,'AV (2011)'!$A$11:$F$213,'AV (2011)'!$F$214,FALSE)*1000)</f>
        <v>5.7652530203022273E-2</v>
      </c>
      <c r="J212" s="135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-9.1905711501624965E-2</v>
      </c>
      <c r="D215" s="464">
        <f>D206/C206 - 1</f>
        <v>-0.41938342671047746</v>
      </c>
      <c r="E215" s="464">
        <f>E206/D206 - 1</f>
        <v>3.9827167984323397E-2</v>
      </c>
      <c r="F215" s="465">
        <f>F206/E206 - 1</f>
        <v>0.18558356944051457</v>
      </c>
      <c r="K215" s="139"/>
      <c r="P215" s="139"/>
      <c r="R215" s="559" t="s">
        <v>423</v>
      </c>
      <c r="S215" s="559">
        <f>LN(C206)</f>
        <v>6.2138012460474412</v>
      </c>
      <c r="T215" s="559">
        <f>LN(D206)</f>
        <v>5.6701365633561158</v>
      </c>
      <c r="U215" s="559">
        <f>LN(E206)</f>
        <v>5.7091910780687432</v>
      </c>
      <c r="V215" s="559">
        <f>LN(F206)</f>
        <v>5.8794261950982856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-7.9854047217990276E-2</v>
      </c>
      <c r="D216" s="467">
        <f>D209/C209 - 1</f>
        <v>-0.38015579492370299</v>
      </c>
      <c r="E216" s="467">
        <f>E209/D209 - 1</f>
        <v>-7.6967749456418044E-3</v>
      </c>
      <c r="F216" s="468">
        <f>F209/E209 - 1</f>
        <v>0.23513373869648069</v>
      </c>
      <c r="R216" s="559" t="s">
        <v>423</v>
      </c>
      <c r="S216" s="559">
        <f>LN(C209)</f>
        <v>10.559183638235664</v>
      </c>
      <c r="T216" s="559">
        <f>LN(D209)</f>
        <v>10.080896523581012</v>
      </c>
      <c r="U216" s="559">
        <f>LN(E209)</f>
        <v>10.073169975593764</v>
      </c>
      <c r="V216" s="559">
        <f>LN(F209)</f>
        <v>10.284349230253213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-0.10223385195576651</v>
      </c>
      <c r="D217" s="470">
        <f>D212/C212 - 1</f>
        <v>-0.40756936027358481</v>
      </c>
      <c r="E217" s="470">
        <f>E212/D212 - 1</f>
        <v>1.6500925041952108E-2</v>
      </c>
      <c r="F217" s="471">
        <f>F212/E212 - 1</f>
        <v>0.15282362810520889</v>
      </c>
      <c r="R217" s="559" t="s">
        <v>423</v>
      </c>
      <c r="S217" s="559">
        <f>LN(C212)</f>
        <v>-2.488380193494216</v>
      </c>
      <c r="T217" s="559">
        <f>LN(D212)</f>
        <v>-3.0119016700724486</v>
      </c>
      <c r="U217" s="559">
        <f>LN(E212)</f>
        <v>-2.9955354059600836</v>
      </c>
      <c r="V217" s="559">
        <f>LN(F212)</f>
        <v>-2.8533211441924844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R219" s="559"/>
      <c r="S219" s="559"/>
      <c r="T219" s="559"/>
      <c r="U219" s="559"/>
      <c r="V219" s="560" t="str">
        <f>$B$2</f>
        <v>The Lines Company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R220" s="559"/>
      <c r="S220" s="559"/>
      <c r="T220" s="559"/>
      <c r="U220" s="559"/>
      <c r="V220" s="562" t="s">
        <v>280</v>
      </c>
      <c r="W220" s="563">
        <f>C222</f>
        <v>7079.8870954703443</v>
      </c>
      <c r="X220" s="563">
        <f>D222</f>
        <v>8402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The Lines Company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R221" s="559"/>
      <c r="S221" s="559"/>
      <c r="T221" s="559"/>
      <c r="U221" s="559"/>
      <c r="V221" s="565" t="s">
        <v>277</v>
      </c>
      <c r="W221" s="563">
        <f t="shared" ref="W221:AA222" si="23">C223</f>
        <v>7917.4726462024728</v>
      </c>
      <c r="X221" s="563">
        <f t="shared" si="23"/>
        <v>11381.405445064067</v>
      </c>
      <c r="Y221" s="563">
        <f t="shared" si="23"/>
        <v>11889.348012734636</v>
      </c>
      <c r="Z221" s="563">
        <f t="shared" si="23"/>
        <v>13113.319803228889</v>
      </c>
      <c r="AA221" s="563">
        <f t="shared" si="23"/>
        <v>14362.522432701891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7079.8870954703443</v>
      </c>
      <c r="D222" s="461">
        <f>VLOOKUP(D226,'FS (2011)'!$A$14:$AJ$245,'FS (2011)'!$AG$245,FALSE)</f>
        <v>8402</v>
      </c>
      <c r="E222" s="461"/>
      <c r="F222" s="461"/>
      <c r="G222" s="461"/>
      <c r="H222" s="461"/>
      <c r="I222" s="462"/>
      <c r="R222" s="559"/>
      <c r="S222" s="559"/>
      <c r="T222" s="559"/>
      <c r="U222" s="559"/>
      <c r="V222" s="565" t="s">
        <v>278</v>
      </c>
      <c r="W222" s="563"/>
      <c r="X222" s="563">
        <f t="shared" si="23"/>
        <v>8204</v>
      </c>
      <c r="Y222" s="563">
        <f t="shared" si="23"/>
        <v>7710</v>
      </c>
      <c r="Z222" s="563">
        <f t="shared" si="23"/>
        <v>8061</v>
      </c>
      <c r="AA222" s="563">
        <f t="shared" si="23"/>
        <v>8498</v>
      </c>
      <c r="AB222" s="563">
        <f>H224</f>
        <v>7789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7917.4726462024728</v>
      </c>
      <c r="D223" s="461">
        <f>VLOOKUP(D227,'AM (2011)'!$A$10:$N$444,'AM (2011)'!$J$445,FALSE)</f>
        <v>11381.405445064067</v>
      </c>
      <c r="E223" s="461">
        <f>VLOOKUP(E226,'AM (2011)'!$A$10:$N$444,'AM (2011)'!$J$445,FALSE)</f>
        <v>11889.348012734636</v>
      </c>
      <c r="F223" s="461">
        <f>VLOOKUP(F226,'AM (2011)'!$A$10:$N$444,'AM (2011)'!$J$445,FALSE)</f>
        <v>13113.319803228889</v>
      </c>
      <c r="G223" s="461">
        <f>VLOOKUP(G226,'AM (2011)'!$A$10:$N$444,'AM (2011)'!$J$445,FALSE)</f>
        <v>14362.522432701891</v>
      </c>
      <c r="H223" s="461"/>
      <c r="I223" s="462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10578.978926955397</v>
      </c>
      <c r="Z223" s="563">
        <f>F225</f>
        <v>9968.9352294764049</v>
      </c>
      <c r="AA223" s="563">
        <f>G225</f>
        <v>8064.5039431157074</v>
      </c>
      <c r="AB223" s="563">
        <f>H225</f>
        <v>9054.847317388494</v>
      </c>
      <c r="AC223" s="563">
        <f>I225</f>
        <v>7550.2683904330961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8204</v>
      </c>
      <c r="E224" s="461">
        <f>VLOOKUP(E227,'AM (2011)'!$A$10:$N$444,'AM (2011)'!$J$445,FALSE)</f>
        <v>7710</v>
      </c>
      <c r="F224" s="461">
        <f>VLOOKUP(F227,'AM (2011)'!$A$10:$N$444,'AM (2011)'!$J$445,FALSE)</f>
        <v>8061</v>
      </c>
      <c r="G224" s="461">
        <f>VLOOKUP(G227,'AM (2011)'!$A$10:$N$444,'AM (2011)'!$J$445,FALSE)</f>
        <v>8498</v>
      </c>
      <c r="H224" s="461">
        <f>VLOOKUP(H227,'AM (2011)'!$A$10:$N$444,'AM (2011)'!$J$445,FALSE)</f>
        <v>7789</v>
      </c>
      <c r="I224" s="462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10578.978926955397</v>
      </c>
      <c r="F225" s="493">
        <f>VLOOKUP(F228,'AM (2011)'!$A$10:$N$444,'AM (2011)'!$J$445,FALSE)</f>
        <v>9968.9352294764049</v>
      </c>
      <c r="G225" s="493">
        <f>VLOOKUP(G228,'AM (2011)'!$A$10:$N$444,'AM (2011)'!$J$445,FALSE)</f>
        <v>8064.5039431157074</v>
      </c>
      <c r="H225" s="493">
        <f>VLOOKUP(H228,'AM (2011)'!$A$10:$N$444,'AM (2011)'!$J$445,FALSE)</f>
        <v>9054.847317388494</v>
      </c>
      <c r="I225" s="494">
        <f>VLOOKUP(I228,'AM (2011)'!$A$10:$N$444,'AM (2011)'!$J$445,FALSE)</f>
        <v>7550.2683904330961</v>
      </c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467</v>
      </c>
      <c r="D226" s="136">
        <f>VLOOKUP($B$2,$B$257:$Y$286,9,FALSE)</f>
        <v>468</v>
      </c>
      <c r="E226" s="136">
        <f>VLOOKUP($B$2,$B$257:$Y$286,12,FALSE)</f>
        <v>471</v>
      </c>
      <c r="F226" s="136">
        <f>VLOOKUP($B$2,$B$257:$Y$286,13,FALSE)</f>
        <v>472</v>
      </c>
      <c r="G226" s="136">
        <f>VLOOKUP($B$2,$B$257:$Y$286,14,FALSE)</f>
        <v>473</v>
      </c>
      <c r="H226" s="136"/>
      <c r="I226" s="136"/>
    </row>
    <row r="227" spans="2:30">
      <c r="C227" s="136">
        <f>VLOOKUP($B$2,$B$257:$Y$286,10,FALSE)</f>
        <v>469</v>
      </c>
      <c r="D227" s="136">
        <f>VLOOKUP($B$2,$B$257:$Y$286,11,FALSE)</f>
        <v>470</v>
      </c>
      <c r="E227" s="136">
        <f>VLOOKUP($B$2,$B$257:$Y$286,16,FALSE)</f>
        <v>475</v>
      </c>
      <c r="F227" s="136">
        <f>VLOOKUP($B$2,$B$257:$Y$286,17,FALSE)</f>
        <v>476</v>
      </c>
      <c r="G227" s="136">
        <f>VLOOKUP($B$2,$B$257:$Y$286,18,FALSE)</f>
        <v>477</v>
      </c>
      <c r="H227" s="136">
        <f>VLOOKUP($B$2,$B$257:$Y$286,19,FALSE)</f>
        <v>478</v>
      </c>
      <c r="I227" s="136"/>
    </row>
    <row r="228" spans="2:30">
      <c r="B228" s="517" t="s">
        <v>291</v>
      </c>
      <c r="C228" s="518"/>
      <c r="D228" s="518">
        <f>VLOOKUP($B$2,$B$257:$Y$286,15,FALSE)</f>
        <v>474</v>
      </c>
      <c r="E228" s="518">
        <f>VLOOKUP($B$2,$B$257:$Y$286,20,FALSE)</f>
        <v>479</v>
      </c>
      <c r="F228" s="519">
        <f>VLOOKUP($B$2,$B$257:$Y$286,21,FALSE)</f>
        <v>480</v>
      </c>
      <c r="G228" s="136">
        <f>VLOOKUP($B$2,$B$257:$Y$286,22,FALSE)</f>
        <v>481</v>
      </c>
      <c r="H228" s="136">
        <f>VLOOKUP($B$2,$B$257:$Y$286,23,FALSE)</f>
        <v>482</v>
      </c>
      <c r="I228" s="136">
        <f>VLOOKUP($B$2,$B$257:$Y$286,24,FALSE)</f>
        <v>483</v>
      </c>
    </row>
    <row r="229" spans="2:30">
      <c r="B229" s="474" t="str">
        <f>$B$2</f>
        <v>The Lines Company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267.11</v>
      </c>
      <c r="D230" s="456">
        <f>VLOOKUP(D$38,'MP (2011)'!$A$11:$AR$245,'MP (2011)'!$S$246,FALSE)+VLOOKUP(D$38,'MP (2011)'!$A$11:$AR$245,'MP (2011)'!$T$246,FALSE)</f>
        <v>285.14</v>
      </c>
      <c r="E230" s="456">
        <f>VLOOKUP(E$38,'MP (2011)'!$A$11:$AR$245,'MP (2011)'!$S$246,FALSE)+VLOOKUP(E$38,'MP (2011)'!$A$11:$AR$245,'MP (2011)'!$T$246,FALSE)</f>
        <v>293.26</v>
      </c>
      <c r="F230" s="457">
        <f>VLOOKUP(F$38,'MP (2011)'!$A$11:$AR$245,'MP (2011)'!$S$246,FALSE)+VLOOKUP(F$38,'MP (2011)'!$A$11:$AR$245,'MP (2011)'!$T$246,FALSE)</f>
        <v>292.43</v>
      </c>
    </row>
    <row r="231" spans="2:30">
      <c r="B231" s="199" t="s">
        <v>292</v>
      </c>
      <c r="C231" s="456">
        <f>IF(ISERROR(VLOOKUP(C$38,'Compliance data'!$A$7:$E$74,'Compliance data'!$D$75,FALSE)),"",(VLOOKUP(C$38,'Compliance data'!$A$7:$E$74,'Compliance data'!$D$75,FALSE)))</f>
        <v>527.30999999999995</v>
      </c>
      <c r="D231" s="456">
        <f>IF(ISERROR(VLOOKUP(D$38,'Compliance data'!$A$7:$E$74,'Compliance data'!$D$75,FALSE)),"",(VLOOKUP(D$38,'Compliance data'!$A$7:$E$74,'Compliance data'!$D$75,FALSE)))</f>
        <v>527.30999999999995</v>
      </c>
      <c r="E231" s="456">
        <f>IF(ISERROR(VLOOKUP(E$38,'Compliance data'!$A$7:$E$74,'Compliance data'!$D$75,FALSE)),"",(VLOOKUP(E$38,'Compliance data'!$A$7:$E$74,'Compliance data'!$D$75,FALSE)))</f>
        <v>527.30999999999995</v>
      </c>
      <c r="F231" s="457">
        <f>IF(ISERROR(VLOOKUP(F$38,'Compliance data'!$A$7:$E$74,'Compliance data'!$D$75,FALSE)),"",(VLOOKUP(F$38,'Compliance data'!$A$7:$E$74,'Compliance data'!$D$75,FALSE)))</f>
        <v>307.673</v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3.68</v>
      </c>
      <c r="D237" s="456">
        <f>VLOOKUP(D$38,'MP (2011)'!$A$11:$AR$245,'MP (2011)'!$W$246,FALSE)+VLOOKUP(D$38,'MP (2011)'!$A$11:$AR$245,'MP (2011)'!$X$246,FALSE)</f>
        <v>4.26</v>
      </c>
      <c r="E237" s="456">
        <f>VLOOKUP(E$38,'MP (2011)'!$A$11:$AR$245,'MP (2011)'!$W$246,FALSE)+VLOOKUP(E$38,'MP (2011)'!$A$11:$AR$245,'MP (2011)'!$X$246,FALSE)</f>
        <v>2.63</v>
      </c>
      <c r="F237" s="457">
        <f>VLOOKUP(F$38,'MP (2011)'!$A$11:$AR$245,'MP (2011)'!$W$246,FALSE)+VLOOKUP(F$38,'MP (2011)'!$A$11:$AR$245,'MP (2011)'!$X$246,FALSE)</f>
        <v>3.47</v>
      </c>
    </row>
    <row r="238" spans="2:30">
      <c r="B238" s="199" t="s">
        <v>292</v>
      </c>
      <c r="C238" s="456">
        <f>IF(ISERROR(VLOOKUP(C$38,'Compliance data'!$A$7:$E$74,'Compliance data'!$E$75,FALSE)),"",(VLOOKUP(C$38,'Compliance data'!$A$7:$E$74,'Compliance data'!$E$75,FALSE)))</f>
        <v>6.27</v>
      </c>
      <c r="D238" s="456">
        <f>IF(ISERROR(VLOOKUP(D$38,'Compliance data'!$A$7:$E$74,'Compliance data'!$E$75,FALSE)),"",(VLOOKUP(D$38,'Compliance data'!$A$7:$E$74,'Compliance data'!$E$75,FALSE)))</f>
        <v>6.27</v>
      </c>
      <c r="E238" s="456">
        <f>IF(ISERROR(VLOOKUP(E$38,'Compliance data'!$A$7:$E$74,'Compliance data'!$E$75,FALSE)),"",(VLOOKUP(E$38,'Compliance data'!$A$7:$E$74,'Compliance data'!$E$75,FALSE)))</f>
        <v>6.27</v>
      </c>
      <c r="F238" s="457">
        <f>IF(ISERROR(VLOOKUP(F$38,'Compliance data'!$A$7:$E$74,'Compliance data'!$E$75,FALSE)),"",(VLOOKUP(F$38,'Compliance data'!$A$7:$E$74,'Compliance data'!$E$75,FALSE)))</f>
        <v>4.1769999999999996</v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ref="T258:Y273" si="25">S258+1</f>
        <v>18</v>
      </c>
      <c r="U258" s="526">
        <f t="shared" si="25"/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4"/>
        <v>25</v>
      </c>
      <c r="E259" s="526">
        <f t="shared" si="24"/>
        <v>26</v>
      </c>
      <c r="F259" s="526">
        <f t="shared" si="24"/>
        <v>27</v>
      </c>
      <c r="G259" s="526">
        <f t="shared" si="24"/>
        <v>28</v>
      </c>
      <c r="H259" s="526">
        <f t="shared" si="24"/>
        <v>29</v>
      </c>
      <c r="I259" s="526">
        <f t="shared" si="24"/>
        <v>30</v>
      </c>
      <c r="J259" s="526">
        <f t="shared" si="24"/>
        <v>31</v>
      </c>
      <c r="K259" s="526">
        <f t="shared" si="24"/>
        <v>32</v>
      </c>
      <c r="L259" s="526">
        <f t="shared" si="24"/>
        <v>33</v>
      </c>
      <c r="M259" s="526">
        <f t="shared" si="24"/>
        <v>34</v>
      </c>
      <c r="N259" s="526">
        <f t="shared" si="24"/>
        <v>35</v>
      </c>
      <c r="O259" s="526">
        <f t="shared" si="24"/>
        <v>36</v>
      </c>
      <c r="P259" s="526">
        <f t="shared" si="24"/>
        <v>37</v>
      </c>
      <c r="Q259" s="526">
        <f t="shared" si="24"/>
        <v>38</v>
      </c>
      <c r="R259" s="526">
        <f t="shared" si="24"/>
        <v>39</v>
      </c>
      <c r="S259" s="526">
        <f t="shared" si="24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6">Y259+1</f>
        <v>47</v>
      </c>
      <c r="D260" s="526">
        <f t="shared" si="24"/>
        <v>48</v>
      </c>
      <c r="E260" s="526">
        <f t="shared" si="24"/>
        <v>49</v>
      </c>
      <c r="F260" s="526">
        <f t="shared" si="24"/>
        <v>50</v>
      </c>
      <c r="G260" s="526">
        <f t="shared" si="24"/>
        <v>51</v>
      </c>
      <c r="H260" s="526">
        <f t="shared" si="24"/>
        <v>52</v>
      </c>
      <c r="I260" s="526">
        <f t="shared" si="24"/>
        <v>53</v>
      </c>
      <c r="J260" s="526">
        <f t="shared" si="24"/>
        <v>54</v>
      </c>
      <c r="K260" s="526">
        <f t="shared" si="24"/>
        <v>55</v>
      </c>
      <c r="L260" s="526">
        <f t="shared" si="24"/>
        <v>56</v>
      </c>
      <c r="M260" s="526">
        <f t="shared" si="24"/>
        <v>57</v>
      </c>
      <c r="N260" s="526">
        <f t="shared" si="24"/>
        <v>58</v>
      </c>
      <c r="O260" s="526">
        <f t="shared" si="24"/>
        <v>59</v>
      </c>
      <c r="P260" s="526">
        <f t="shared" si="24"/>
        <v>60</v>
      </c>
      <c r="Q260" s="526">
        <f t="shared" si="24"/>
        <v>61</v>
      </c>
      <c r="R260" s="526">
        <f t="shared" si="24"/>
        <v>62</v>
      </c>
      <c r="S260" s="526">
        <f t="shared" si="24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6"/>
        <v>70</v>
      </c>
      <c r="D261" s="526">
        <f t="shared" si="24"/>
        <v>71</v>
      </c>
      <c r="E261" s="526">
        <f t="shared" si="24"/>
        <v>72</v>
      </c>
      <c r="F261" s="526">
        <f t="shared" si="24"/>
        <v>73</v>
      </c>
      <c r="G261" s="526">
        <f t="shared" si="24"/>
        <v>74</v>
      </c>
      <c r="H261" s="526">
        <f t="shared" si="24"/>
        <v>75</v>
      </c>
      <c r="I261" s="526">
        <f t="shared" si="24"/>
        <v>76</v>
      </c>
      <c r="J261" s="526">
        <f t="shared" si="24"/>
        <v>77</v>
      </c>
      <c r="K261" s="526">
        <f t="shared" si="24"/>
        <v>78</v>
      </c>
      <c r="L261" s="526">
        <f t="shared" si="24"/>
        <v>79</v>
      </c>
      <c r="M261" s="526">
        <f t="shared" si="24"/>
        <v>80</v>
      </c>
      <c r="N261" s="526">
        <f t="shared" si="24"/>
        <v>81</v>
      </c>
      <c r="O261" s="526">
        <f t="shared" si="24"/>
        <v>82</v>
      </c>
      <c r="P261" s="526">
        <f t="shared" si="24"/>
        <v>83</v>
      </c>
      <c r="Q261" s="526">
        <f t="shared" si="24"/>
        <v>84</v>
      </c>
      <c r="R261" s="526">
        <f t="shared" si="24"/>
        <v>85</v>
      </c>
      <c r="S261" s="526">
        <f t="shared" si="24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6"/>
        <v>93</v>
      </c>
      <c r="D262" s="526">
        <f t="shared" si="24"/>
        <v>94</v>
      </c>
      <c r="E262" s="526">
        <f t="shared" si="24"/>
        <v>95</v>
      </c>
      <c r="F262" s="526">
        <f t="shared" si="24"/>
        <v>96</v>
      </c>
      <c r="G262" s="526">
        <f t="shared" si="24"/>
        <v>97</v>
      </c>
      <c r="H262" s="526">
        <f t="shared" si="24"/>
        <v>98</v>
      </c>
      <c r="I262" s="526">
        <f t="shared" si="24"/>
        <v>99</v>
      </c>
      <c r="J262" s="526">
        <f t="shared" si="24"/>
        <v>100</v>
      </c>
      <c r="K262" s="526">
        <f t="shared" si="24"/>
        <v>101</v>
      </c>
      <c r="L262" s="526">
        <f t="shared" si="24"/>
        <v>102</v>
      </c>
      <c r="M262" s="526">
        <f t="shared" si="24"/>
        <v>103</v>
      </c>
      <c r="N262" s="526">
        <f t="shared" si="24"/>
        <v>104</v>
      </c>
      <c r="O262" s="526">
        <f t="shared" si="24"/>
        <v>105</v>
      </c>
      <c r="P262" s="526">
        <f t="shared" si="24"/>
        <v>106</v>
      </c>
      <c r="Q262" s="526">
        <f t="shared" si="24"/>
        <v>107</v>
      </c>
      <c r="R262" s="526">
        <f t="shared" si="24"/>
        <v>108</v>
      </c>
      <c r="S262" s="526">
        <f t="shared" si="24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6"/>
        <v>116</v>
      </c>
      <c r="D263" s="526">
        <f t="shared" si="24"/>
        <v>117</v>
      </c>
      <c r="E263" s="526">
        <f t="shared" si="24"/>
        <v>118</v>
      </c>
      <c r="F263" s="526">
        <f t="shared" si="24"/>
        <v>119</v>
      </c>
      <c r="G263" s="526">
        <f t="shared" si="24"/>
        <v>120</v>
      </c>
      <c r="H263" s="526">
        <f t="shared" si="24"/>
        <v>121</v>
      </c>
      <c r="I263" s="526">
        <f t="shared" si="24"/>
        <v>122</v>
      </c>
      <c r="J263" s="526">
        <f t="shared" si="24"/>
        <v>123</v>
      </c>
      <c r="K263" s="526">
        <f t="shared" si="24"/>
        <v>124</v>
      </c>
      <c r="L263" s="526">
        <f t="shared" si="24"/>
        <v>125</v>
      </c>
      <c r="M263" s="526">
        <f t="shared" si="24"/>
        <v>126</v>
      </c>
      <c r="N263" s="526">
        <f t="shared" si="24"/>
        <v>127</v>
      </c>
      <c r="O263" s="526">
        <f t="shared" si="24"/>
        <v>128</v>
      </c>
      <c r="P263" s="526">
        <f t="shared" si="24"/>
        <v>129</v>
      </c>
      <c r="Q263" s="526">
        <f t="shared" si="24"/>
        <v>130</v>
      </c>
      <c r="R263" s="526">
        <f t="shared" si="24"/>
        <v>131</v>
      </c>
      <c r="S263" s="526">
        <f t="shared" si="24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6"/>
        <v>139</v>
      </c>
      <c r="D264" s="526">
        <f t="shared" si="24"/>
        <v>140</v>
      </c>
      <c r="E264" s="526">
        <f t="shared" si="24"/>
        <v>141</v>
      </c>
      <c r="F264" s="526">
        <f t="shared" si="24"/>
        <v>142</v>
      </c>
      <c r="G264" s="526">
        <f t="shared" si="24"/>
        <v>143</v>
      </c>
      <c r="H264" s="526">
        <f t="shared" si="24"/>
        <v>144</v>
      </c>
      <c r="I264" s="526">
        <f t="shared" si="24"/>
        <v>145</v>
      </c>
      <c r="J264" s="526">
        <f t="shared" si="24"/>
        <v>146</v>
      </c>
      <c r="K264" s="526">
        <f t="shared" si="24"/>
        <v>147</v>
      </c>
      <c r="L264" s="526">
        <f t="shared" si="24"/>
        <v>148</v>
      </c>
      <c r="M264" s="526">
        <f t="shared" si="24"/>
        <v>149</v>
      </c>
      <c r="N264" s="526">
        <f t="shared" si="24"/>
        <v>150</v>
      </c>
      <c r="O264" s="526">
        <f t="shared" si="24"/>
        <v>151</v>
      </c>
      <c r="P264" s="526">
        <f t="shared" si="24"/>
        <v>152</v>
      </c>
      <c r="Q264" s="526">
        <f t="shared" si="24"/>
        <v>153</v>
      </c>
      <c r="R264" s="526">
        <f t="shared" si="24"/>
        <v>154</v>
      </c>
      <c r="S264" s="526">
        <f t="shared" si="24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6"/>
        <v>162</v>
      </c>
      <c r="D265" s="526">
        <f t="shared" si="24"/>
        <v>163</v>
      </c>
      <c r="E265" s="526">
        <f t="shared" si="24"/>
        <v>164</v>
      </c>
      <c r="F265" s="526">
        <f t="shared" si="24"/>
        <v>165</v>
      </c>
      <c r="G265" s="526">
        <f t="shared" si="24"/>
        <v>166</v>
      </c>
      <c r="H265" s="526">
        <f t="shared" si="24"/>
        <v>167</v>
      </c>
      <c r="I265" s="526">
        <f t="shared" si="24"/>
        <v>168</v>
      </c>
      <c r="J265" s="526">
        <f t="shared" si="24"/>
        <v>169</v>
      </c>
      <c r="K265" s="526">
        <f t="shared" si="24"/>
        <v>170</v>
      </c>
      <c r="L265" s="526">
        <f t="shared" si="24"/>
        <v>171</v>
      </c>
      <c r="M265" s="526">
        <f t="shared" si="24"/>
        <v>172</v>
      </c>
      <c r="N265" s="526">
        <f t="shared" si="24"/>
        <v>173</v>
      </c>
      <c r="O265" s="526">
        <f t="shared" si="24"/>
        <v>174</v>
      </c>
      <c r="P265" s="526">
        <f t="shared" si="24"/>
        <v>175</v>
      </c>
      <c r="Q265" s="526">
        <f t="shared" si="24"/>
        <v>176</v>
      </c>
      <c r="R265" s="526">
        <f t="shared" si="24"/>
        <v>177</v>
      </c>
      <c r="S265" s="526">
        <f t="shared" si="24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6"/>
        <v>185</v>
      </c>
      <c r="D266" s="526">
        <f t="shared" si="24"/>
        <v>186</v>
      </c>
      <c r="E266" s="526">
        <f t="shared" si="24"/>
        <v>187</v>
      </c>
      <c r="F266" s="526">
        <f t="shared" si="24"/>
        <v>188</v>
      </c>
      <c r="G266" s="526">
        <f t="shared" si="24"/>
        <v>189</v>
      </c>
      <c r="H266" s="526">
        <f t="shared" si="24"/>
        <v>190</v>
      </c>
      <c r="I266" s="526">
        <f t="shared" si="24"/>
        <v>191</v>
      </c>
      <c r="J266" s="526">
        <f t="shared" si="24"/>
        <v>192</v>
      </c>
      <c r="K266" s="526">
        <f t="shared" si="24"/>
        <v>193</v>
      </c>
      <c r="L266" s="526">
        <f t="shared" si="24"/>
        <v>194</v>
      </c>
      <c r="M266" s="526">
        <f t="shared" si="24"/>
        <v>195</v>
      </c>
      <c r="N266" s="526">
        <f t="shared" si="24"/>
        <v>196</v>
      </c>
      <c r="O266" s="526">
        <f t="shared" si="24"/>
        <v>197</v>
      </c>
      <c r="P266" s="526">
        <f t="shared" si="24"/>
        <v>198</v>
      </c>
      <c r="Q266" s="526">
        <f t="shared" si="24"/>
        <v>199</v>
      </c>
      <c r="R266" s="526">
        <f t="shared" si="24"/>
        <v>200</v>
      </c>
      <c r="S266" s="526">
        <f t="shared" si="24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6"/>
        <v>208</v>
      </c>
      <c r="D267" s="526">
        <f t="shared" si="24"/>
        <v>209</v>
      </c>
      <c r="E267" s="526">
        <f t="shared" si="24"/>
        <v>210</v>
      </c>
      <c r="F267" s="526">
        <f t="shared" si="24"/>
        <v>211</v>
      </c>
      <c r="G267" s="526">
        <f t="shared" si="24"/>
        <v>212</v>
      </c>
      <c r="H267" s="526">
        <f t="shared" si="24"/>
        <v>213</v>
      </c>
      <c r="I267" s="526">
        <f t="shared" si="24"/>
        <v>214</v>
      </c>
      <c r="J267" s="526">
        <f t="shared" si="24"/>
        <v>215</v>
      </c>
      <c r="K267" s="526">
        <f t="shared" si="24"/>
        <v>216</v>
      </c>
      <c r="L267" s="526">
        <f t="shared" si="24"/>
        <v>217</v>
      </c>
      <c r="M267" s="526">
        <f t="shared" si="24"/>
        <v>218</v>
      </c>
      <c r="N267" s="526">
        <f t="shared" si="24"/>
        <v>219</v>
      </c>
      <c r="O267" s="526">
        <f t="shared" si="24"/>
        <v>220</v>
      </c>
      <c r="P267" s="526">
        <f t="shared" si="24"/>
        <v>221</v>
      </c>
      <c r="Q267" s="526">
        <f t="shared" si="24"/>
        <v>222</v>
      </c>
      <c r="R267" s="526">
        <f t="shared" si="24"/>
        <v>223</v>
      </c>
      <c r="S267" s="526">
        <f t="shared" si="24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6"/>
        <v>231</v>
      </c>
      <c r="D268" s="526">
        <f t="shared" si="24"/>
        <v>232</v>
      </c>
      <c r="E268" s="526">
        <f t="shared" si="24"/>
        <v>233</v>
      </c>
      <c r="F268" s="526">
        <f t="shared" si="24"/>
        <v>234</v>
      </c>
      <c r="G268" s="526">
        <f t="shared" si="24"/>
        <v>235</v>
      </c>
      <c r="H268" s="526">
        <f t="shared" si="24"/>
        <v>236</v>
      </c>
      <c r="I268" s="526">
        <f t="shared" si="24"/>
        <v>237</v>
      </c>
      <c r="J268" s="526">
        <f t="shared" si="24"/>
        <v>238</v>
      </c>
      <c r="K268" s="526">
        <f t="shared" si="24"/>
        <v>239</v>
      </c>
      <c r="L268" s="526">
        <f t="shared" si="24"/>
        <v>240</v>
      </c>
      <c r="M268" s="526">
        <f t="shared" si="24"/>
        <v>241</v>
      </c>
      <c r="N268" s="526">
        <f t="shared" si="24"/>
        <v>242</v>
      </c>
      <c r="O268" s="526">
        <f t="shared" si="24"/>
        <v>243</v>
      </c>
      <c r="P268" s="526">
        <f t="shared" si="24"/>
        <v>244</v>
      </c>
      <c r="Q268" s="526">
        <f t="shared" si="24"/>
        <v>245</v>
      </c>
      <c r="R268" s="526">
        <f t="shared" si="24"/>
        <v>246</v>
      </c>
      <c r="S268" s="526">
        <f t="shared" si="24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6"/>
        <v>254</v>
      </c>
      <c r="D269" s="526">
        <f t="shared" si="24"/>
        <v>255</v>
      </c>
      <c r="E269" s="526">
        <f t="shared" si="24"/>
        <v>256</v>
      </c>
      <c r="F269" s="526">
        <f t="shared" si="24"/>
        <v>257</v>
      </c>
      <c r="G269" s="526">
        <f t="shared" si="24"/>
        <v>258</v>
      </c>
      <c r="H269" s="526">
        <f t="shared" si="24"/>
        <v>259</v>
      </c>
      <c r="I269" s="526">
        <f t="shared" si="24"/>
        <v>260</v>
      </c>
      <c r="J269" s="526">
        <f t="shared" si="24"/>
        <v>261</v>
      </c>
      <c r="K269" s="526">
        <f t="shared" si="24"/>
        <v>262</v>
      </c>
      <c r="L269" s="526">
        <f t="shared" si="24"/>
        <v>263</v>
      </c>
      <c r="M269" s="526">
        <f t="shared" si="24"/>
        <v>264</v>
      </c>
      <c r="N269" s="526">
        <f t="shared" si="24"/>
        <v>265</v>
      </c>
      <c r="O269" s="526">
        <f t="shared" si="24"/>
        <v>266</v>
      </c>
      <c r="P269" s="526">
        <f t="shared" si="24"/>
        <v>267</v>
      </c>
      <c r="Q269" s="526">
        <f t="shared" si="24"/>
        <v>268</v>
      </c>
      <c r="R269" s="526">
        <f t="shared" si="24"/>
        <v>269</v>
      </c>
      <c r="S269" s="526">
        <f t="shared" si="24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6"/>
        <v>277</v>
      </c>
      <c r="D270" s="526">
        <f t="shared" si="24"/>
        <v>278</v>
      </c>
      <c r="E270" s="526">
        <f t="shared" si="24"/>
        <v>279</v>
      </c>
      <c r="F270" s="526">
        <f t="shared" si="24"/>
        <v>280</v>
      </c>
      <c r="G270" s="526">
        <f t="shared" si="24"/>
        <v>281</v>
      </c>
      <c r="H270" s="526">
        <f t="shared" si="24"/>
        <v>282</v>
      </c>
      <c r="I270" s="526">
        <f t="shared" si="24"/>
        <v>283</v>
      </c>
      <c r="J270" s="526">
        <f t="shared" si="24"/>
        <v>284</v>
      </c>
      <c r="K270" s="526">
        <f t="shared" si="24"/>
        <v>285</v>
      </c>
      <c r="L270" s="526">
        <f t="shared" si="24"/>
        <v>286</v>
      </c>
      <c r="M270" s="526">
        <f t="shared" si="24"/>
        <v>287</v>
      </c>
      <c r="N270" s="526">
        <f t="shared" si="24"/>
        <v>288</v>
      </c>
      <c r="O270" s="526">
        <f t="shared" si="24"/>
        <v>289</v>
      </c>
      <c r="P270" s="526">
        <f t="shared" si="24"/>
        <v>290</v>
      </c>
      <c r="Q270" s="526">
        <f t="shared" si="24"/>
        <v>291</v>
      </c>
      <c r="R270" s="526">
        <f t="shared" si="24"/>
        <v>292</v>
      </c>
      <c r="S270" s="526">
        <f t="shared" si="24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6"/>
        <v>300</v>
      </c>
      <c r="D271" s="526">
        <f t="shared" si="24"/>
        <v>301</v>
      </c>
      <c r="E271" s="526">
        <f t="shared" si="24"/>
        <v>302</v>
      </c>
      <c r="F271" s="526">
        <f t="shared" si="24"/>
        <v>303</v>
      </c>
      <c r="G271" s="526">
        <f t="shared" si="24"/>
        <v>304</v>
      </c>
      <c r="H271" s="526">
        <f t="shared" si="24"/>
        <v>305</v>
      </c>
      <c r="I271" s="526">
        <f t="shared" si="24"/>
        <v>306</v>
      </c>
      <c r="J271" s="526">
        <f t="shared" si="24"/>
        <v>307</v>
      </c>
      <c r="K271" s="526">
        <f t="shared" si="24"/>
        <v>308</v>
      </c>
      <c r="L271" s="526">
        <f t="shared" si="24"/>
        <v>309</v>
      </c>
      <c r="M271" s="526">
        <f t="shared" si="24"/>
        <v>310</v>
      </c>
      <c r="N271" s="526">
        <f t="shared" si="24"/>
        <v>311</v>
      </c>
      <c r="O271" s="526">
        <f t="shared" si="24"/>
        <v>312</v>
      </c>
      <c r="P271" s="526">
        <f t="shared" si="24"/>
        <v>313</v>
      </c>
      <c r="Q271" s="526">
        <f t="shared" si="24"/>
        <v>314</v>
      </c>
      <c r="R271" s="526">
        <f t="shared" si="24"/>
        <v>315</v>
      </c>
      <c r="S271" s="526">
        <f t="shared" si="24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6"/>
        <v>323</v>
      </c>
      <c r="D272" s="526">
        <f t="shared" si="24"/>
        <v>324</v>
      </c>
      <c r="E272" s="526">
        <f t="shared" si="24"/>
        <v>325</v>
      </c>
      <c r="F272" s="526">
        <f t="shared" si="24"/>
        <v>326</v>
      </c>
      <c r="G272" s="526">
        <f t="shared" si="24"/>
        <v>327</v>
      </c>
      <c r="H272" s="526">
        <f t="shared" si="24"/>
        <v>328</v>
      </c>
      <c r="I272" s="526">
        <f t="shared" si="24"/>
        <v>329</v>
      </c>
      <c r="J272" s="526">
        <f t="shared" si="24"/>
        <v>330</v>
      </c>
      <c r="K272" s="526">
        <f t="shared" si="24"/>
        <v>331</v>
      </c>
      <c r="L272" s="526">
        <f t="shared" si="24"/>
        <v>332</v>
      </c>
      <c r="M272" s="526">
        <f t="shared" si="24"/>
        <v>333</v>
      </c>
      <c r="N272" s="526">
        <f t="shared" si="24"/>
        <v>334</v>
      </c>
      <c r="O272" s="526">
        <f t="shared" si="24"/>
        <v>335</v>
      </c>
      <c r="P272" s="526">
        <f t="shared" si="24"/>
        <v>336</v>
      </c>
      <c r="Q272" s="526">
        <f t="shared" si="24"/>
        <v>337</v>
      </c>
      <c r="R272" s="526">
        <f t="shared" si="24"/>
        <v>338</v>
      </c>
      <c r="S272" s="526">
        <f t="shared" si="24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6"/>
        <v>346</v>
      </c>
      <c r="D273" s="526">
        <f t="shared" si="24"/>
        <v>347</v>
      </c>
      <c r="E273" s="526">
        <f t="shared" si="24"/>
        <v>348</v>
      </c>
      <c r="F273" s="526">
        <f t="shared" si="24"/>
        <v>349</v>
      </c>
      <c r="G273" s="526">
        <f t="shared" si="24"/>
        <v>350</v>
      </c>
      <c r="H273" s="526">
        <f t="shared" si="24"/>
        <v>351</v>
      </c>
      <c r="I273" s="526">
        <f t="shared" si="24"/>
        <v>352</v>
      </c>
      <c r="J273" s="526">
        <f t="shared" si="24"/>
        <v>353</v>
      </c>
      <c r="K273" s="526">
        <f t="shared" si="24"/>
        <v>354</v>
      </c>
      <c r="L273" s="526">
        <f t="shared" si="24"/>
        <v>355</v>
      </c>
      <c r="M273" s="526">
        <f t="shared" si="24"/>
        <v>356</v>
      </c>
      <c r="N273" s="526">
        <f t="shared" si="24"/>
        <v>357</v>
      </c>
      <c r="O273" s="526">
        <f t="shared" si="24"/>
        <v>358</v>
      </c>
      <c r="P273" s="526">
        <f t="shared" si="24"/>
        <v>359</v>
      </c>
      <c r="Q273" s="526">
        <f t="shared" si="24"/>
        <v>360</v>
      </c>
      <c r="R273" s="526">
        <f t="shared" si="24"/>
        <v>361</v>
      </c>
      <c r="S273" s="526">
        <f t="shared" ref="D273:S286" si="27">R273+1</f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6"/>
        <v>369</v>
      </c>
      <c r="D274" s="526">
        <f t="shared" si="27"/>
        <v>370</v>
      </c>
      <c r="E274" s="526">
        <f t="shared" si="27"/>
        <v>371</v>
      </c>
      <c r="F274" s="526">
        <f t="shared" si="27"/>
        <v>372</v>
      </c>
      <c r="G274" s="526">
        <f t="shared" si="27"/>
        <v>373</v>
      </c>
      <c r="H274" s="526">
        <f t="shared" si="27"/>
        <v>374</v>
      </c>
      <c r="I274" s="526">
        <f t="shared" si="27"/>
        <v>375</v>
      </c>
      <c r="J274" s="526">
        <f t="shared" si="27"/>
        <v>376</v>
      </c>
      <c r="K274" s="526">
        <f t="shared" si="27"/>
        <v>377</v>
      </c>
      <c r="L274" s="526">
        <f t="shared" si="27"/>
        <v>378</v>
      </c>
      <c r="M274" s="526">
        <f t="shared" si="27"/>
        <v>379</v>
      </c>
      <c r="N274" s="526">
        <f t="shared" si="27"/>
        <v>380</v>
      </c>
      <c r="O274" s="526">
        <f t="shared" si="27"/>
        <v>381</v>
      </c>
      <c r="P274" s="526">
        <f t="shared" si="27"/>
        <v>382</v>
      </c>
      <c r="Q274" s="526">
        <f t="shared" si="27"/>
        <v>383</v>
      </c>
      <c r="R274" s="526">
        <f t="shared" si="27"/>
        <v>384</v>
      </c>
      <c r="S274" s="526">
        <f t="shared" si="27"/>
        <v>385</v>
      </c>
      <c r="T274" s="526">
        <f t="shared" ref="S274:Y286" si="28">S274+1</f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6"/>
        <v>392</v>
      </c>
      <c r="D275" s="526">
        <f t="shared" si="27"/>
        <v>393</v>
      </c>
      <c r="E275" s="526">
        <f t="shared" si="27"/>
        <v>394</v>
      </c>
      <c r="F275" s="526">
        <f t="shared" si="27"/>
        <v>395</v>
      </c>
      <c r="G275" s="526">
        <f t="shared" si="27"/>
        <v>396</v>
      </c>
      <c r="H275" s="526">
        <f t="shared" si="27"/>
        <v>397</v>
      </c>
      <c r="I275" s="526">
        <f t="shared" si="27"/>
        <v>398</v>
      </c>
      <c r="J275" s="526">
        <f t="shared" si="27"/>
        <v>399</v>
      </c>
      <c r="K275" s="526">
        <f t="shared" si="27"/>
        <v>400</v>
      </c>
      <c r="L275" s="526">
        <f t="shared" si="27"/>
        <v>401</v>
      </c>
      <c r="M275" s="526">
        <f t="shared" si="27"/>
        <v>402</v>
      </c>
      <c r="N275" s="526">
        <f t="shared" si="27"/>
        <v>403</v>
      </c>
      <c r="O275" s="526">
        <f t="shared" si="27"/>
        <v>404</v>
      </c>
      <c r="P275" s="526">
        <f t="shared" si="27"/>
        <v>405</v>
      </c>
      <c r="Q275" s="526">
        <f t="shared" si="27"/>
        <v>406</v>
      </c>
      <c r="R275" s="526">
        <f t="shared" si="27"/>
        <v>407</v>
      </c>
      <c r="S275" s="526">
        <f t="shared" si="27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6"/>
        <v>415</v>
      </c>
      <c r="D276" s="526">
        <f t="shared" si="27"/>
        <v>416</v>
      </c>
      <c r="E276" s="526">
        <f t="shared" si="27"/>
        <v>417</v>
      </c>
      <c r="F276" s="526">
        <f t="shared" si="27"/>
        <v>418</v>
      </c>
      <c r="G276" s="526">
        <f t="shared" si="27"/>
        <v>419</v>
      </c>
      <c r="H276" s="526">
        <f t="shared" si="27"/>
        <v>420</v>
      </c>
      <c r="I276" s="526">
        <f t="shared" si="27"/>
        <v>421</v>
      </c>
      <c r="J276" s="526">
        <f t="shared" si="27"/>
        <v>422</v>
      </c>
      <c r="K276" s="526">
        <f t="shared" si="27"/>
        <v>423</v>
      </c>
      <c r="L276" s="526">
        <f t="shared" si="27"/>
        <v>424</v>
      </c>
      <c r="M276" s="526">
        <f t="shared" si="27"/>
        <v>425</v>
      </c>
      <c r="N276" s="526">
        <f t="shared" si="27"/>
        <v>426</v>
      </c>
      <c r="O276" s="526">
        <f t="shared" si="27"/>
        <v>427</v>
      </c>
      <c r="P276" s="526">
        <f t="shared" si="27"/>
        <v>428</v>
      </c>
      <c r="Q276" s="526">
        <f t="shared" si="27"/>
        <v>429</v>
      </c>
      <c r="R276" s="526">
        <f t="shared" si="27"/>
        <v>430</v>
      </c>
      <c r="S276" s="526">
        <f t="shared" si="27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6"/>
        <v>438</v>
      </c>
      <c r="D277" s="526">
        <f t="shared" si="27"/>
        <v>439</v>
      </c>
      <c r="E277" s="526">
        <f t="shared" si="27"/>
        <v>440</v>
      </c>
      <c r="F277" s="526">
        <f t="shared" si="27"/>
        <v>441</v>
      </c>
      <c r="G277" s="526">
        <f t="shared" si="27"/>
        <v>442</v>
      </c>
      <c r="H277" s="526">
        <f t="shared" si="27"/>
        <v>443</v>
      </c>
      <c r="I277" s="526">
        <f t="shared" si="27"/>
        <v>444</v>
      </c>
      <c r="J277" s="526">
        <f t="shared" si="27"/>
        <v>445</v>
      </c>
      <c r="K277" s="526">
        <f t="shared" si="27"/>
        <v>446</v>
      </c>
      <c r="L277" s="526">
        <f t="shared" si="27"/>
        <v>447</v>
      </c>
      <c r="M277" s="526">
        <f t="shared" si="27"/>
        <v>448</v>
      </c>
      <c r="N277" s="526">
        <f t="shared" si="27"/>
        <v>449</v>
      </c>
      <c r="O277" s="526">
        <f t="shared" si="27"/>
        <v>450</v>
      </c>
      <c r="P277" s="526">
        <f t="shared" si="27"/>
        <v>451</v>
      </c>
      <c r="Q277" s="526">
        <f t="shared" si="27"/>
        <v>452</v>
      </c>
      <c r="R277" s="526">
        <f t="shared" si="27"/>
        <v>453</v>
      </c>
      <c r="S277" s="526">
        <f t="shared" si="27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6"/>
        <v>461</v>
      </c>
      <c r="D278" s="526">
        <f t="shared" si="27"/>
        <v>462</v>
      </c>
      <c r="E278" s="526">
        <f t="shared" si="27"/>
        <v>463</v>
      </c>
      <c r="F278" s="526">
        <f t="shared" si="27"/>
        <v>464</v>
      </c>
      <c r="G278" s="526">
        <f t="shared" si="27"/>
        <v>465</v>
      </c>
      <c r="H278" s="526">
        <f t="shared" si="27"/>
        <v>466</v>
      </c>
      <c r="I278" s="526">
        <f t="shared" si="27"/>
        <v>467</v>
      </c>
      <c r="J278" s="526">
        <f t="shared" si="27"/>
        <v>468</v>
      </c>
      <c r="K278" s="526">
        <f t="shared" si="27"/>
        <v>469</v>
      </c>
      <c r="L278" s="526">
        <f t="shared" si="27"/>
        <v>470</v>
      </c>
      <c r="M278" s="526">
        <f t="shared" si="27"/>
        <v>471</v>
      </c>
      <c r="N278" s="526">
        <f t="shared" si="27"/>
        <v>472</v>
      </c>
      <c r="O278" s="526">
        <f t="shared" si="27"/>
        <v>473</v>
      </c>
      <c r="P278" s="526">
        <f t="shared" si="27"/>
        <v>474</v>
      </c>
      <c r="Q278" s="526">
        <f t="shared" si="27"/>
        <v>475</v>
      </c>
      <c r="R278" s="526">
        <f t="shared" si="27"/>
        <v>476</v>
      </c>
      <c r="S278" s="526">
        <f t="shared" si="27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6"/>
        <v>484</v>
      </c>
      <c r="D279" s="526">
        <f t="shared" si="27"/>
        <v>485</v>
      </c>
      <c r="E279" s="526">
        <f t="shared" si="27"/>
        <v>486</v>
      </c>
      <c r="F279" s="526">
        <f t="shared" si="27"/>
        <v>487</v>
      </c>
      <c r="G279" s="526">
        <f t="shared" si="27"/>
        <v>488</v>
      </c>
      <c r="H279" s="526">
        <f t="shared" si="27"/>
        <v>489</v>
      </c>
      <c r="I279" s="526">
        <f t="shared" si="27"/>
        <v>490</v>
      </c>
      <c r="J279" s="526">
        <f t="shared" si="27"/>
        <v>491</v>
      </c>
      <c r="K279" s="526">
        <f t="shared" si="27"/>
        <v>492</v>
      </c>
      <c r="L279" s="526">
        <f t="shared" si="27"/>
        <v>493</v>
      </c>
      <c r="M279" s="526">
        <f t="shared" si="27"/>
        <v>494</v>
      </c>
      <c r="N279" s="526">
        <f t="shared" si="27"/>
        <v>495</v>
      </c>
      <c r="O279" s="526">
        <f t="shared" si="27"/>
        <v>496</v>
      </c>
      <c r="P279" s="526">
        <f t="shared" si="27"/>
        <v>497</v>
      </c>
      <c r="Q279" s="526">
        <f t="shared" si="27"/>
        <v>498</v>
      </c>
      <c r="R279" s="526">
        <f t="shared" si="27"/>
        <v>499</v>
      </c>
      <c r="S279" s="526">
        <f t="shared" si="27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6"/>
        <v>507</v>
      </c>
      <c r="D280" s="526">
        <f t="shared" si="27"/>
        <v>508</v>
      </c>
      <c r="E280" s="526">
        <f t="shared" si="27"/>
        <v>509</v>
      </c>
      <c r="F280" s="526">
        <f t="shared" si="27"/>
        <v>510</v>
      </c>
      <c r="G280" s="526">
        <f t="shared" si="27"/>
        <v>511</v>
      </c>
      <c r="H280" s="526">
        <f t="shared" si="27"/>
        <v>512</v>
      </c>
      <c r="I280" s="526">
        <f t="shared" si="27"/>
        <v>513</v>
      </c>
      <c r="J280" s="526">
        <f t="shared" si="27"/>
        <v>514</v>
      </c>
      <c r="K280" s="526">
        <f t="shared" si="27"/>
        <v>515</v>
      </c>
      <c r="L280" s="526">
        <f t="shared" si="27"/>
        <v>516</v>
      </c>
      <c r="M280" s="526">
        <f t="shared" si="27"/>
        <v>517</v>
      </c>
      <c r="N280" s="526">
        <f t="shared" si="27"/>
        <v>518</v>
      </c>
      <c r="O280" s="526">
        <f t="shared" si="27"/>
        <v>519</v>
      </c>
      <c r="P280" s="526">
        <f t="shared" si="27"/>
        <v>520</v>
      </c>
      <c r="Q280" s="526">
        <f t="shared" si="27"/>
        <v>521</v>
      </c>
      <c r="R280" s="526">
        <f t="shared" si="27"/>
        <v>522</v>
      </c>
      <c r="S280" s="526">
        <f t="shared" si="27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6"/>
        <v>530</v>
      </c>
      <c r="D281" s="526">
        <f t="shared" si="27"/>
        <v>531</v>
      </c>
      <c r="E281" s="526">
        <f t="shared" si="27"/>
        <v>532</v>
      </c>
      <c r="F281" s="526">
        <f t="shared" si="27"/>
        <v>533</v>
      </c>
      <c r="G281" s="526">
        <f t="shared" si="27"/>
        <v>534</v>
      </c>
      <c r="H281" s="526">
        <f t="shared" si="27"/>
        <v>535</v>
      </c>
      <c r="I281" s="526">
        <f t="shared" si="27"/>
        <v>536</v>
      </c>
      <c r="J281" s="526">
        <f t="shared" si="27"/>
        <v>537</v>
      </c>
      <c r="K281" s="526">
        <f t="shared" si="27"/>
        <v>538</v>
      </c>
      <c r="L281" s="526">
        <f t="shared" si="27"/>
        <v>539</v>
      </c>
      <c r="M281" s="526">
        <f t="shared" si="27"/>
        <v>540</v>
      </c>
      <c r="N281" s="526">
        <f t="shared" si="27"/>
        <v>541</v>
      </c>
      <c r="O281" s="526">
        <f t="shared" si="27"/>
        <v>542</v>
      </c>
      <c r="P281" s="526">
        <f t="shared" si="27"/>
        <v>543</v>
      </c>
      <c r="Q281" s="526">
        <f t="shared" si="27"/>
        <v>544</v>
      </c>
      <c r="R281" s="526">
        <f t="shared" si="27"/>
        <v>545</v>
      </c>
      <c r="S281" s="526">
        <f t="shared" si="27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6"/>
        <v>553</v>
      </c>
      <c r="D282" s="526">
        <f t="shared" si="27"/>
        <v>554</v>
      </c>
      <c r="E282" s="526">
        <f t="shared" si="27"/>
        <v>555</v>
      </c>
      <c r="F282" s="526">
        <f t="shared" si="27"/>
        <v>556</v>
      </c>
      <c r="G282" s="526">
        <f t="shared" si="27"/>
        <v>557</v>
      </c>
      <c r="H282" s="526">
        <f t="shared" si="27"/>
        <v>558</v>
      </c>
      <c r="I282" s="526">
        <f t="shared" si="27"/>
        <v>559</v>
      </c>
      <c r="J282" s="526">
        <f t="shared" si="27"/>
        <v>560</v>
      </c>
      <c r="K282" s="526">
        <f t="shared" si="27"/>
        <v>561</v>
      </c>
      <c r="L282" s="526">
        <f t="shared" si="27"/>
        <v>562</v>
      </c>
      <c r="M282" s="526">
        <f t="shared" si="27"/>
        <v>563</v>
      </c>
      <c r="N282" s="526">
        <f t="shared" si="27"/>
        <v>564</v>
      </c>
      <c r="O282" s="526">
        <f t="shared" si="27"/>
        <v>565</v>
      </c>
      <c r="P282" s="526">
        <f t="shared" si="27"/>
        <v>566</v>
      </c>
      <c r="Q282" s="526">
        <f t="shared" si="27"/>
        <v>567</v>
      </c>
      <c r="R282" s="526">
        <f t="shared" si="27"/>
        <v>568</v>
      </c>
      <c r="S282" s="526">
        <f t="shared" si="27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6"/>
        <v>576</v>
      </c>
      <c r="D283" s="526">
        <f t="shared" si="27"/>
        <v>577</v>
      </c>
      <c r="E283" s="526">
        <f t="shared" si="27"/>
        <v>578</v>
      </c>
      <c r="F283" s="526">
        <f t="shared" si="27"/>
        <v>579</v>
      </c>
      <c r="G283" s="526">
        <f t="shared" si="27"/>
        <v>580</v>
      </c>
      <c r="H283" s="526">
        <f t="shared" si="27"/>
        <v>581</v>
      </c>
      <c r="I283" s="526">
        <f t="shared" si="27"/>
        <v>582</v>
      </c>
      <c r="J283" s="526">
        <f t="shared" si="27"/>
        <v>583</v>
      </c>
      <c r="K283" s="526">
        <f t="shared" si="27"/>
        <v>584</v>
      </c>
      <c r="L283" s="526">
        <f t="shared" si="27"/>
        <v>585</v>
      </c>
      <c r="M283" s="526">
        <f t="shared" si="27"/>
        <v>586</v>
      </c>
      <c r="N283" s="526">
        <f t="shared" si="27"/>
        <v>587</v>
      </c>
      <c r="O283" s="526">
        <f t="shared" si="27"/>
        <v>588</v>
      </c>
      <c r="P283" s="526">
        <f t="shared" si="27"/>
        <v>589</v>
      </c>
      <c r="Q283" s="526">
        <f t="shared" si="27"/>
        <v>590</v>
      </c>
      <c r="R283" s="526">
        <f t="shared" si="27"/>
        <v>591</v>
      </c>
      <c r="S283" s="526">
        <f t="shared" si="27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6"/>
        <v>599</v>
      </c>
      <c r="D284" s="526">
        <f t="shared" si="27"/>
        <v>600</v>
      </c>
      <c r="E284" s="526">
        <f t="shared" si="27"/>
        <v>601</v>
      </c>
      <c r="F284" s="526">
        <f t="shared" si="27"/>
        <v>602</v>
      </c>
      <c r="G284" s="526">
        <f t="shared" si="27"/>
        <v>603</v>
      </c>
      <c r="H284" s="526">
        <f t="shared" si="27"/>
        <v>604</v>
      </c>
      <c r="I284" s="526">
        <f t="shared" si="27"/>
        <v>605</v>
      </c>
      <c r="J284" s="526">
        <f t="shared" si="27"/>
        <v>606</v>
      </c>
      <c r="K284" s="526">
        <f t="shared" si="27"/>
        <v>607</v>
      </c>
      <c r="L284" s="526">
        <f t="shared" si="27"/>
        <v>608</v>
      </c>
      <c r="M284" s="526">
        <f t="shared" si="27"/>
        <v>609</v>
      </c>
      <c r="N284" s="526">
        <f t="shared" si="27"/>
        <v>610</v>
      </c>
      <c r="O284" s="526">
        <f t="shared" si="27"/>
        <v>611</v>
      </c>
      <c r="P284" s="526">
        <f t="shared" si="27"/>
        <v>612</v>
      </c>
      <c r="Q284" s="526">
        <f t="shared" si="27"/>
        <v>613</v>
      </c>
      <c r="R284" s="526">
        <f t="shared" si="27"/>
        <v>614</v>
      </c>
      <c r="S284" s="526">
        <f t="shared" si="27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6"/>
        <v>622</v>
      </c>
      <c r="D285" s="526">
        <f t="shared" si="27"/>
        <v>623</v>
      </c>
      <c r="E285" s="526">
        <f t="shared" si="27"/>
        <v>624</v>
      </c>
      <c r="F285" s="526">
        <f t="shared" si="27"/>
        <v>625</v>
      </c>
      <c r="G285" s="526">
        <f t="shared" si="27"/>
        <v>626</v>
      </c>
      <c r="H285" s="526">
        <f t="shared" si="27"/>
        <v>627</v>
      </c>
      <c r="I285" s="526">
        <f t="shared" si="27"/>
        <v>628</v>
      </c>
      <c r="J285" s="526">
        <f t="shared" si="27"/>
        <v>629</v>
      </c>
      <c r="K285" s="526">
        <f t="shared" si="27"/>
        <v>630</v>
      </c>
      <c r="L285" s="526">
        <f t="shared" si="27"/>
        <v>631</v>
      </c>
      <c r="M285" s="526">
        <f t="shared" si="27"/>
        <v>632</v>
      </c>
      <c r="N285" s="526">
        <f t="shared" si="27"/>
        <v>633</v>
      </c>
      <c r="O285" s="526">
        <f t="shared" si="27"/>
        <v>634</v>
      </c>
      <c r="P285" s="526">
        <f t="shared" si="27"/>
        <v>635</v>
      </c>
      <c r="Q285" s="526">
        <f t="shared" si="27"/>
        <v>636</v>
      </c>
      <c r="R285" s="526">
        <f t="shared" si="27"/>
        <v>637</v>
      </c>
      <c r="S285" s="526">
        <f t="shared" si="27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6"/>
        <v>645</v>
      </c>
      <c r="D286" s="526">
        <f t="shared" si="27"/>
        <v>646</v>
      </c>
      <c r="E286" s="526">
        <f t="shared" si="27"/>
        <v>647</v>
      </c>
      <c r="F286" s="526">
        <f t="shared" si="27"/>
        <v>648</v>
      </c>
      <c r="G286" s="526">
        <f t="shared" si="27"/>
        <v>649</v>
      </c>
      <c r="H286" s="526">
        <f t="shared" si="27"/>
        <v>650</v>
      </c>
      <c r="I286" s="526">
        <f t="shared" si="27"/>
        <v>651</v>
      </c>
      <c r="J286" s="526">
        <f t="shared" si="27"/>
        <v>652</v>
      </c>
      <c r="K286" s="526">
        <f t="shared" si="27"/>
        <v>653</v>
      </c>
      <c r="L286" s="526">
        <f t="shared" si="27"/>
        <v>654</v>
      </c>
      <c r="M286" s="526">
        <f t="shared" si="27"/>
        <v>655</v>
      </c>
      <c r="N286" s="526">
        <f t="shared" si="27"/>
        <v>656</v>
      </c>
      <c r="O286" s="526">
        <f t="shared" si="27"/>
        <v>657</v>
      </c>
      <c r="P286" s="526">
        <f t="shared" si="27"/>
        <v>658</v>
      </c>
      <c r="Q286" s="526">
        <f t="shared" si="27"/>
        <v>659</v>
      </c>
      <c r="R286" s="526">
        <f t="shared" si="27"/>
        <v>660</v>
      </c>
      <c r="S286" s="526">
        <f t="shared" si="28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39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Mainpower</v>
      </c>
      <c r="C6" s="108"/>
      <c r="D6" s="109">
        <f>VLOOKUP($B$6,$B$258:$J$286,9,FALSE)</f>
        <v>238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42.164999999999999</v>
      </c>
      <c r="E7" s="407">
        <f>D7/('Industry calcs'!D4/1000)*100</f>
        <v>2.0455093167533924</v>
      </c>
    </row>
    <row r="8" spans="2:5">
      <c r="B8" s="111" t="s">
        <v>250</v>
      </c>
      <c r="C8" s="114"/>
      <c r="D8" s="406">
        <f>VLOOKUP(D6,'AV (2011)'!A8:F214,'AV (2011)'!F214,FALSE)/1000</f>
        <v>192.69567000000001</v>
      </c>
      <c r="E8" s="407">
        <f>D8/('Industry calcs'!D5/1000)*100</f>
        <v>2.146993245581112</v>
      </c>
    </row>
    <row r="9" spans="2:5">
      <c r="B9" s="111" t="s">
        <v>230</v>
      </c>
      <c r="C9" s="114"/>
      <c r="D9" s="406">
        <f>VLOOKUP($D$6,'FS (2011)'!$A$13:$AH$244,'FS (2011)'!S245,FALSE)/1000</f>
        <v>10.109</v>
      </c>
      <c r="E9" s="407">
        <f>D9/('Industry calcs'!D6/1000)*100</f>
        <v>2.2266153976033403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12.183999999999999</v>
      </c>
      <c r="E10" s="407">
        <f>D10/('Industry calcs'!D7/1000)*100</f>
        <v>2.0821366738259202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540</v>
      </c>
      <c r="E11" s="407">
        <f>D11/'Industry calcs'!D8*100</f>
        <v>1.7449893216281658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92</v>
      </c>
      <c r="E12" s="407">
        <f>D12/'Industry calcs'!D9*100</f>
        <v>1.471235498955207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4583</v>
      </c>
      <c r="E13" s="407">
        <f>D13/'Industry calcs'!D10*100</f>
        <v>3.0641211887794078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34247</v>
      </c>
      <c r="E14" s="407">
        <f>D14/'Industry calcs'!D11*100</f>
        <v>1.7049547587339915</v>
      </c>
    </row>
    <row r="15" spans="2:5">
      <c r="B15" s="115" t="s">
        <v>195</v>
      </c>
      <c r="C15" s="116" t="s">
        <v>239</v>
      </c>
      <c r="D15" s="408">
        <f>D14/D13</f>
        <v>7.4726161902683828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Mainpower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21.214287445467765</v>
      </c>
      <c r="D20" s="409">
        <f>VLOOKUP($B$2,'MED price allocation'!$B$16:$F$44,3,FALSE)</f>
        <v>21.61312924703136</v>
      </c>
      <c r="E20" s="409">
        <f>VLOOKUP($B$2,'MED price allocation'!$B$16:$F$44,4,FALSE)</f>
        <v>21.741947131578232</v>
      </c>
      <c r="F20" s="503">
        <f>VLOOKUP($B$2,'MED price allocation'!$B$16:$F$44,5,FALSE)</f>
        <v>23.142469777515259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4.3016138690085821</v>
      </c>
      <c r="D21" s="410">
        <f>VLOOKUP($B$2,'MED price allocation'!$B$47:$F$75,3,FALSE)</f>
        <v>4.6807101994750866</v>
      </c>
      <c r="E21" s="410">
        <f>VLOOKUP($B$2,'MED price allocation'!$B$47:$F$75,4,FALSE)</f>
        <v>4.5956399014317908</v>
      </c>
      <c r="F21" s="504">
        <f>VLOOKUP($B$2,'MED price allocation'!$B$47:$F$75,5,FALSE)</f>
        <v>4.7452460129946843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6.6626500527501351</v>
      </c>
      <c r="D22" s="409">
        <f>VLOOKUP($B$2,'MED price allocation'!$B$78:$F$106,3,FALSE)</f>
        <v>6.8907537069386731</v>
      </c>
      <c r="E22" s="409">
        <f>VLOOKUP($B$2,'MED price allocation'!$B$78:$F$106,4,FALSE)</f>
        <v>6.7629418598528872</v>
      </c>
      <c r="F22" s="503">
        <f>VLOOKUP($B$2,'MED price allocation'!$B$78:$F$106,5,FALSE)</f>
        <v>7.0500000000000007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2.3610361837415526</v>
      </c>
      <c r="D23" s="411">
        <f>VLOOKUP($B$2,'MED price allocation'!$B$109:$F$137,3,FALSE)</f>
        <v>2.2100435074635869</v>
      </c>
      <c r="E23" s="411">
        <f>VLOOKUP($B$2,'MED price allocation'!$B$109:$F$137,4,FALSE)</f>
        <v>2.1673019584210964</v>
      </c>
      <c r="F23" s="505">
        <f>VLOOKUP($B$2,'MED price allocation'!$B$109:$F$137,5,FALSE)</f>
        <v>2.304753987005316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Mainpower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1697.1429956374213</v>
      </c>
      <c r="D26" s="412">
        <f>(D20*8000)/100</f>
        <v>1729.0503397625089</v>
      </c>
      <c r="E26" s="412">
        <f>(E20*8000)/100</f>
        <v>1739.3557705262585</v>
      </c>
      <c r="F26" s="506">
        <f>(F20*8000)/100</f>
        <v>1851.3975822012208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533.01200422001079</v>
      </c>
      <c r="D27" s="412">
        <f>(D22*8000)/100</f>
        <v>551.26029655509376</v>
      </c>
      <c r="E27" s="412">
        <f>(E22*8000)/100</f>
        <v>541.03534878823098</v>
      </c>
      <c r="F27" s="506">
        <f>(F22*8000)/100</f>
        <v>564.00000000000011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344.12910952068654</v>
      </c>
      <c r="D28" s="412">
        <f>(D21*8000)/100</f>
        <v>374.45681595800693</v>
      </c>
      <c r="E28" s="412">
        <f>(E21*8000)/100</f>
        <v>367.65119211454322</v>
      </c>
      <c r="F28" s="506">
        <f>(F21*8000)/100</f>
        <v>379.61968103957474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188.8828946993242</v>
      </c>
      <c r="D29" s="413">
        <f>(D23*8000)/100</f>
        <v>176.80348059708697</v>
      </c>
      <c r="E29" s="413">
        <f>(E23*8000)/100</f>
        <v>173.38415667368773</v>
      </c>
      <c r="F29" s="507">
        <f>(F23*8000)/100</f>
        <v>184.38031896042529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Mainpower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1754.2366720318523</v>
      </c>
      <c r="D32" s="122"/>
    </row>
    <row r="33" spans="2:13">
      <c r="B33" s="120" t="s">
        <v>241</v>
      </c>
      <c r="C33" s="412">
        <f>AVERAGE(C27:F27)</f>
        <v>547.32691239083397</v>
      </c>
      <c r="D33" s="414">
        <f>C33/$C$32</f>
        <v>0.31200289055460811</v>
      </c>
    </row>
    <row r="34" spans="2:13">
      <c r="B34" s="120" t="s">
        <v>222</v>
      </c>
      <c r="C34" s="412">
        <f>AVERAGE(C28:F28)</f>
        <v>366.46419965820286</v>
      </c>
      <c r="D34" s="414">
        <f>C34/$C$32</f>
        <v>0.20890237075807114</v>
      </c>
    </row>
    <row r="35" spans="2:13">
      <c r="B35" s="124" t="s">
        <v>223</v>
      </c>
      <c r="C35" s="413">
        <f>AVERAGE(C29:F29)</f>
        <v>180.86271273263102</v>
      </c>
      <c r="D35" s="415">
        <f>C35/$C$32</f>
        <v>0.10310051979653691</v>
      </c>
    </row>
    <row r="38" spans="2:13">
      <c r="B38" s="517" t="s">
        <v>227</v>
      </c>
      <c r="C38" s="518">
        <f>VLOOKUP($B$2,$B$258:$J$286,6,FALSE)</f>
        <v>235</v>
      </c>
      <c r="D38" s="518">
        <f>VLOOKUP($B$2,$B$258:$J$286,7,FALSE)</f>
        <v>236</v>
      </c>
      <c r="E38" s="518">
        <f>VLOOKUP($B$2,$B$258:$J$286,8,FALSE)</f>
        <v>237</v>
      </c>
      <c r="F38" s="519">
        <f>VLOOKUP($B$2,$B$258:$J$286,9,FALSE)</f>
        <v>238</v>
      </c>
    </row>
    <row r="39" spans="2:13">
      <c r="B39" s="137" t="str">
        <f>B2</f>
        <v>Mainpower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33642.070371532034</v>
      </c>
      <c r="D40" s="418">
        <f>VLOOKUP($D$38,'FS (2011)'!$A$13:$AH$244,'FS (2011)'!E245,FALSE)</f>
        <v>35636.748987576349</v>
      </c>
      <c r="E40" s="418">
        <f>VLOOKUP($E$38,'FS (2011)'!$A$13:$AH$244,'FS (2011)'!E245,FALSE)</f>
        <v>35858.930236318069</v>
      </c>
      <c r="F40" s="419">
        <f>VLOOKUP($F$38,'FS (2011)'!$A$13:$AH$244,'FS (2011)'!E245,FALSE)</f>
        <v>39081</v>
      </c>
    </row>
    <row r="41" spans="2:13" ht="30">
      <c r="B41" s="120" t="s">
        <v>198</v>
      </c>
      <c r="C41" s="417">
        <f>VLOOKUP($C$38,'FS (2011)'!$A$13:$AH$244,'FS (2011)'!$F$245,FALSE)</f>
        <v>5413.133643180975</v>
      </c>
      <c r="D41" s="418">
        <f>VLOOKUP($D$38,'FS (2011)'!$A$13:$AH$244,'FS (2011)'!$F$245,FALSE)</f>
        <v>5354.4918662914388</v>
      </c>
      <c r="E41" s="418">
        <f>VLOOKUP($E$38,'FS (2011)'!$A$13:$AH$244,'FS (2011)'!$F$245,FALSE)</f>
        <v>3780.8981164614261</v>
      </c>
      <c r="F41" s="419">
        <f>VLOOKUP($F$38,'FS (2011)'!$A$13:$AH$244,'FS (2011)'!$F$245,FALSE)</f>
        <v>3052</v>
      </c>
    </row>
    <row r="42" spans="2:13">
      <c r="B42" s="120" t="s">
        <v>13</v>
      </c>
      <c r="C42" s="417">
        <f>VLOOKUP($C$38,'FS (2011)'!$A$13:$AH$244,'FS (2011)'!$H$245,FALSE)</f>
        <v>10.780987140372387</v>
      </c>
      <c r="D42" s="418">
        <f>VLOOKUP($D$38,'FS (2011)'!$A$13:$AH$244,'FS (2011)'!$H$245,FALSE)</f>
        <v>11.419040428306674</v>
      </c>
      <c r="E42" s="418">
        <f>VLOOKUP($E$38,'FS (2011)'!$A$13:$AH$244,'FS (2011)'!$H$245,FALSE)</f>
        <v>31.58389695777532</v>
      </c>
      <c r="F42" s="419">
        <f>VLOOKUP($F$38,'FS (2011)'!$A$13:$AH$244,'FS (2011)'!$H$245,FALSE)</f>
        <v>32</v>
      </c>
    </row>
    <row r="43" spans="2:13">
      <c r="B43" s="124" t="s">
        <v>5</v>
      </c>
      <c r="C43" s="420">
        <f>SUM(C40:C42)</f>
        <v>39065.985001853383</v>
      </c>
      <c r="D43" s="420">
        <f>SUM(D40:D42)</f>
        <v>41002.659894296092</v>
      </c>
      <c r="E43" s="420">
        <f>SUM(E40:E42)</f>
        <v>39671.412249737266</v>
      </c>
      <c r="F43" s="421">
        <f>SUM(F40:F42)</f>
        <v>42165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Mainpower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105.92911968263468</v>
      </c>
      <c r="E46" s="422">
        <f>IF(ISERROR(E40/$C40),"",(E40/$C40))*100</f>
        <v>106.5895464824363</v>
      </c>
      <c r="F46" s="423">
        <f>IF(ISERROR(F40/$C40),"",(F40/$C40))*100</f>
        <v>116.16704789093598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98.916675981879592</v>
      </c>
      <c r="E47" s="422">
        <f t="shared" si="0"/>
        <v>69.846753575432103</v>
      </c>
      <c r="F47" s="423">
        <f t="shared" si="0"/>
        <v>56.381390173964405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105.91831971995329</v>
      </c>
      <c r="E48" s="422">
        <f t="shared" si="0"/>
        <v>292.95923041685751</v>
      </c>
      <c r="F48" s="423">
        <f t="shared" si="0"/>
        <v>296.81883099709074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104.95744544096566</v>
      </c>
      <c r="E49" s="424">
        <f t="shared" si="0"/>
        <v>101.54975549152327</v>
      </c>
      <c r="F49" s="416">
        <f t="shared" si="0"/>
        <v>107.93277066481133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Mainpower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17251.735622023894</v>
      </c>
      <c r="D54" s="426">
        <f>VLOOKUP($D$38,'MP (2011)'!$A$14:$AR$245,'MP (2011)'!$Z$246,FALSE)</f>
        <v>17252.093898002604</v>
      </c>
      <c r="E54" s="426">
        <f>VLOOKUP($E$38,'MP (2011)'!$A$14:$AR$245,'MP (2011)'!$Z$246,FALSE)</f>
        <v>18585.595106572171</v>
      </c>
      <c r="F54" s="427">
        <f>VLOOKUP($F$38,'MP (2011)'!$A$14:$AR$245,'MP (2011)'!$Z$246,FALSE)</f>
        <v>19067</v>
      </c>
    </row>
    <row r="55" spans="2:23">
      <c r="B55" s="111" t="s">
        <v>180</v>
      </c>
      <c r="C55" s="425">
        <f>VLOOKUP($C$38,'MP (2011)'!$A$14:$AR$245,'MP (2011)'!$AD$246,FALSE)</f>
        <v>8190.3159305409026</v>
      </c>
      <c r="D55" s="426">
        <f>VLOOKUP($D$38,'MP (2011)'!$A$14:$AR$245,'MP (2011)'!$AD$246,FALSE)</f>
        <v>9992.698469352732</v>
      </c>
      <c r="E55" s="426">
        <f>VLOOKUP($E$38,'MP (2011)'!$A$14:$AR$245,'MP (2011)'!$AD$246,FALSE)</f>
        <v>8787.4552019616804</v>
      </c>
      <c r="F55" s="427">
        <f>VLOOKUP($F$38,'MP (2011)'!$A$14:$AR$245,'MP (2011)'!$AD$246,FALSE)</f>
        <v>9938</v>
      </c>
      <c r="J55" s="139"/>
    </row>
    <row r="56" spans="2:23">
      <c r="B56" s="111" t="s">
        <v>184</v>
      </c>
      <c r="C56" s="425">
        <f>VLOOKUP($C$38,'MP (2011)'!$A$14:$AR$245,'MP (2011)'!$AH$246,FALSE)</f>
        <v>6273.4564169826917</v>
      </c>
      <c r="D56" s="426">
        <f>VLOOKUP($D$38,'MP (2011)'!$A$14:$AR$245,'MP (2011)'!$AH$246,FALSE)</f>
        <v>6606.4339350676073</v>
      </c>
      <c r="E56" s="426">
        <f>VLOOKUP($E$38,'MP (2011)'!$A$14:$AR$245,'MP (2011)'!$AH$246,FALSE)</f>
        <v>6604.0909703322459</v>
      </c>
      <c r="F56" s="427">
        <f>VLOOKUP($F$38,'MP (2011)'!$A$14:$AR$245,'MP (2011)'!$AH$246,FALSE)</f>
        <v>8156</v>
      </c>
    </row>
    <row r="57" spans="2:23">
      <c r="B57" s="111" t="s">
        <v>181</v>
      </c>
      <c r="C57" s="425">
        <f>VLOOKUP($C$38,'MP (2011)'!$A$14:$AR$245,'MP (2011)'!$AL$246,FALSE)</f>
        <v>1926.5624019845454</v>
      </c>
      <c r="D57" s="426">
        <f>VLOOKUP($D$38,'MP (2011)'!$A$14:$AR$245,'MP (2011)'!$AL$246,FALSE)</f>
        <v>1785.5226851534073</v>
      </c>
      <c r="E57" s="426">
        <f>VLOOKUP($E$38,'MP (2011)'!$A$14:$AR$245,'MP (2011)'!$AL$246,FALSE)</f>
        <v>1881.7889574519681</v>
      </c>
      <c r="F57" s="427">
        <f>VLOOKUP($F$38,'MP (2011)'!$A$14:$AR$245,'MP (2011)'!$AL$246,FALSE)</f>
        <v>1920</v>
      </c>
      <c r="W57" s="139"/>
    </row>
    <row r="58" spans="2:23">
      <c r="B58" s="147" t="s">
        <v>248</v>
      </c>
      <c r="C58" s="428">
        <f>SUM(C54:C57)</f>
        <v>33642.070371532034</v>
      </c>
      <c r="D58" s="428">
        <f>SUM(D54:D57)</f>
        <v>35636.748987576357</v>
      </c>
      <c r="E58" s="428">
        <f>SUM(E54:E57)</f>
        <v>35858.930236318061</v>
      </c>
      <c r="F58" s="429">
        <f>SUM(F54:F57)</f>
        <v>39081</v>
      </c>
    </row>
    <row r="59" spans="2:23">
      <c r="B59" s="103" t="s">
        <v>302</v>
      </c>
    </row>
    <row r="60" spans="2:23">
      <c r="B60" s="137" t="str">
        <f>$B$2</f>
        <v>Mainpower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100.00207675324128</v>
      </c>
      <c r="E61" s="422">
        <f t="shared" si="1"/>
        <v>107.73174081595272</v>
      </c>
      <c r="F61" s="423">
        <f t="shared" si="1"/>
        <v>110.52221305581975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122.00626391090627</v>
      </c>
      <c r="E62" s="422">
        <f t="shared" si="1"/>
        <v>107.29079655149935</v>
      </c>
      <c r="F62" s="423">
        <f t="shared" si="1"/>
        <v>121.33842069439777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105.30772027336512</v>
      </c>
      <c r="E63" s="422">
        <f t="shared" si="1"/>
        <v>105.2703730029032</v>
      </c>
      <c r="F63" s="423">
        <f t="shared" si="1"/>
        <v>130.0080762165037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92.679203295680765</v>
      </c>
      <c r="E64" s="422">
        <f t="shared" si="1"/>
        <v>97.675993028491774</v>
      </c>
      <c r="F64" s="423">
        <f t="shared" si="1"/>
        <v>99.659372466846364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105.92911968263469</v>
      </c>
      <c r="E65" s="424">
        <f t="shared" si="1"/>
        <v>106.58954648243628</v>
      </c>
      <c r="F65" s="416">
        <f t="shared" si="1"/>
        <v>116.16704789093598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Mainpower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625.06288485593825</v>
      </c>
      <c r="D70" s="433">
        <f>(D54/D98)*1000</f>
        <v>624.91737233319827</v>
      </c>
      <c r="E70" s="433">
        <f>(E54/E98)*1000</f>
        <v>663.5579673166543</v>
      </c>
      <c r="F70" s="434">
        <f>(F54/F98)*1000</f>
        <v>674.22206506364921</v>
      </c>
    </row>
    <row r="71" spans="2:40">
      <c r="B71" s="111" t="s">
        <v>180</v>
      </c>
      <c r="C71" s="433">
        <f>(C55/C99)*1000</f>
        <v>1827.7875319216475</v>
      </c>
      <c r="D71" s="433">
        <f t="shared" ref="C71:F73" si="2">(D55/D99)*1000</f>
        <v>1955.5182914584605</v>
      </c>
      <c r="E71" s="433">
        <f t="shared" si="2"/>
        <v>1662.0872332062947</v>
      </c>
      <c r="F71" s="434">
        <f t="shared" si="2"/>
        <v>1837.3081900536145</v>
      </c>
    </row>
    <row r="72" spans="2:40">
      <c r="B72" s="111" t="s">
        <v>184</v>
      </c>
      <c r="C72" s="433">
        <f>(C56/C100)*1000</f>
        <v>13667.661039177978</v>
      </c>
      <c r="D72" s="433">
        <f t="shared" si="2"/>
        <v>12559.760332828151</v>
      </c>
      <c r="E72" s="433">
        <f t="shared" si="2"/>
        <v>13422.949126691556</v>
      </c>
      <c r="F72" s="434">
        <f t="shared" si="2"/>
        <v>14748.64376130199</v>
      </c>
    </row>
    <row r="73" spans="2:40">
      <c r="B73" s="115" t="s">
        <v>181</v>
      </c>
      <c r="C73" s="435">
        <f t="shared" si="2"/>
        <v>385312.48039690912</v>
      </c>
      <c r="D73" s="435">
        <f t="shared" si="2"/>
        <v>357104.53703068144</v>
      </c>
      <c r="E73" s="435">
        <f t="shared" si="2"/>
        <v>376357.79149039363</v>
      </c>
      <c r="F73" s="436">
        <f t="shared" si="2"/>
        <v>384000</v>
      </c>
    </row>
    <row r="74" spans="2:40">
      <c r="B74" s="103" t="s">
        <v>303</v>
      </c>
    </row>
    <row r="75" spans="2:40">
      <c r="B75" s="137" t="str">
        <f>$B$2</f>
        <v>Mainpower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99.976720338662645</v>
      </c>
      <c r="E76" s="422">
        <f t="shared" si="3"/>
        <v>106.15859354208628</v>
      </c>
      <c r="F76" s="423">
        <f t="shared" si="3"/>
        <v>107.86467752265294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106.98827173870275</v>
      </c>
      <c r="E77" s="422">
        <f t="shared" si="3"/>
        <v>90.934378541189446</v>
      </c>
      <c r="F77" s="423">
        <f t="shared" si="3"/>
        <v>100.52088429129162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91.89399924995169</v>
      </c>
      <c r="E78" s="422">
        <f t="shared" si="3"/>
        <v>98.209555301488948</v>
      </c>
      <c r="F78" s="423">
        <f t="shared" si="3"/>
        <v>107.909054219485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92.67920329568075</v>
      </c>
      <c r="E79" s="424">
        <f t="shared" si="3"/>
        <v>97.67599302849176</v>
      </c>
      <c r="F79" s="416">
        <f t="shared" si="3"/>
        <v>99.659372466846349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Mainpower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7.9764639948696354</v>
      </c>
      <c r="D84" s="437">
        <f>(D54/VLOOKUP($D$38,'MP (2011)'!$A$14:$AR$245,'MP (2011)'!$AA$246,FALSE)*100)</f>
        <v>8.0661361108655676</v>
      </c>
      <c r="E84" s="437">
        <f>(E54/VLOOKUP($E$38,'MP (2011)'!$A$14:$AR$245,'MP (2011)'!$AA$246,FALSE)*100)</f>
        <v>7.9452443801848363</v>
      </c>
      <c r="F84" s="438">
        <f>(F54/VLOOKUP($F$38,'MP (2011)'!$A$14:$AR$245,'MP (2011)'!$AA$246,FALSE)*100)</f>
        <v>8.3324229009434987</v>
      </c>
    </row>
    <row r="85" spans="2:7">
      <c r="B85" s="111" t="s">
        <v>180</v>
      </c>
      <c r="C85" s="430">
        <f>(C55/VLOOKUP($C$38,'MP (2011)'!$A$14:$AR$245,'MP (2011)'!$AE$246,FALSE)*100)</f>
        <v>7.8143667463729027</v>
      </c>
      <c r="D85" s="437">
        <f>(D55/VLOOKUP($D$38,'MP (2011)'!$A$14:$AR$245,'MP (2011)'!$AE$246,FALSE)*100)</f>
        <v>7.9647211660524562</v>
      </c>
      <c r="E85" s="437">
        <f>(E55/VLOOKUP($E$38,'MP (2011)'!$A$14:$AR$245,'MP (2011)'!$AE$246,FALSE)*100)</f>
        <v>7.9626085792383767</v>
      </c>
      <c r="F85" s="438">
        <f>(F55/VLOOKUP($F$38,'MP (2011)'!$A$14:$AR$245,'MP (2011)'!$AE$246,FALSE)*100)</f>
        <v>8.2457290309733402</v>
      </c>
    </row>
    <row r="86" spans="2:7">
      <c r="B86" s="111" t="s">
        <v>184</v>
      </c>
      <c r="C86" s="430">
        <f>(C56/VLOOKUP($C$38,'MP (2011)'!$A$14:$AR$245,'MP (2011)'!$AI$246,FALSE)*100)</f>
        <v>7.0983564160973662</v>
      </c>
      <c r="D86" s="437">
        <f>(D56/VLOOKUP($D$38,'MP (2011)'!$A$14:$AR$245,'MP (2011)'!$AI$246,FALSE)*100)</f>
        <v>7.2524853280942425</v>
      </c>
      <c r="E86" s="437">
        <f>(E56/VLOOKUP($E$38,'MP (2011)'!$A$14:$AR$245,'MP (2011)'!$AI$246,FALSE)*100)</f>
        <v>7.163254626474874</v>
      </c>
      <c r="F86" s="438">
        <f>(F56/VLOOKUP($F$38,'MP (2011)'!$A$14:$AR$245,'MP (2011)'!$AI$246,FALSE)*100)</f>
        <v>7.4406553907347597</v>
      </c>
    </row>
    <row r="87" spans="2:7">
      <c r="B87" s="115" t="s">
        <v>181</v>
      </c>
      <c r="C87" s="431">
        <f>(C57/VLOOKUP($C$38,'MP (2011)'!$A$14:$AR$245,'MP (2011)'!$AM$246,FALSE)*100)</f>
        <v>2.3344631477995632</v>
      </c>
      <c r="D87" s="431">
        <f>(D57/VLOOKUP($D$38,'MP (2011)'!$A$14:$AR$245,'MP (2011)'!$AM$246,FALSE)*100)</f>
        <v>2.2683961799873047</v>
      </c>
      <c r="E87" s="431">
        <f>(E57/VLOOKUP($E$38,'MP (2011)'!$A$14:$AR$245,'MP (2011)'!$AM$246,FALSE)*100)</f>
        <v>2.366256265186188</v>
      </c>
      <c r="F87" s="432">
        <f>(F57/VLOOKUP($F$38,'MP (2011)'!$A$14:$AR$245,'MP (2011)'!$AM$246,FALSE)*100)</f>
        <v>2.3693758175580624</v>
      </c>
    </row>
    <row r="88" spans="2:7">
      <c r="B88" s="103" t="s">
        <v>304</v>
      </c>
    </row>
    <row r="89" spans="2:7">
      <c r="B89" s="137" t="str">
        <f>$B$2</f>
        <v>Mainpower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101.12420887317499</v>
      </c>
      <c r="E90" s="422">
        <f>IF(ISERROR(E84/$C84),"",(E84/$C84)*100)</f>
        <v>99.608603327177576</v>
      </c>
      <c r="F90" s="423">
        <f>IF(ISERROR(F84/$C84),"",(F84/$C84)*100)</f>
        <v>104.46261534312463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101.92407682617841</v>
      </c>
      <c r="E91" s="422">
        <f t="shared" si="4"/>
        <v>101.89704217471341</v>
      </c>
      <c r="F91" s="423">
        <f t="shared" si="4"/>
        <v>105.52011824631418</v>
      </c>
    </row>
    <row r="92" spans="2:7">
      <c r="B92" s="111" t="s">
        <v>184</v>
      </c>
      <c r="C92" s="422">
        <f t="shared" si="4"/>
        <v>100</v>
      </c>
      <c r="D92" s="422">
        <f t="shared" si="4"/>
        <v>102.17133238966909</v>
      </c>
      <c r="E92" s="422">
        <f t="shared" si="4"/>
        <v>100.91427094630434</v>
      </c>
      <c r="F92" s="423">
        <f t="shared" si="4"/>
        <v>104.82222861986953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97.169928860323523</v>
      </c>
      <c r="E93" s="424">
        <f>IF(ISERROR(E87/$C87),"",(E87/$C87)*100)</f>
        <v>101.36190273196613</v>
      </c>
      <c r="F93" s="416">
        <f>IF(ISERROR(F87/$C87),"",(F87/$C87)*100)</f>
        <v>101.49553312895119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27600</v>
      </c>
      <c r="D98" s="150">
        <f>VLOOKUP($D$38,'MP (2011)'!$A$14:$AR$245,'MP (2011)'!$AB$246,FALSE)</f>
        <v>27607</v>
      </c>
      <c r="E98" s="150">
        <f>VLOOKUP($E$38,'MP (2011)'!$A$14:$AR$245,'MP (2011)'!$AB$246,FALSE)</f>
        <v>28009</v>
      </c>
      <c r="F98" s="151">
        <f>VLOOKUP($F$38,'MP (2011)'!$A$14:$AR$245,'MP (2011)'!$AB$246,FALSE)</f>
        <v>28280</v>
      </c>
    </row>
    <row r="99" spans="2:7">
      <c r="B99" s="155" t="s">
        <v>309</v>
      </c>
      <c r="C99" s="150">
        <f>VLOOKUP($C$38,'MP (2011)'!$A$14:$AR$245,'MP (2011)'!$AF$246,FALSE)</f>
        <v>4481</v>
      </c>
      <c r="D99" s="150">
        <f>VLOOKUP($D$38,'MP (2011)'!$A$14:$AR$245,'MP (2011)'!$AF$246,FALSE)</f>
        <v>5110</v>
      </c>
      <c r="E99" s="150">
        <f>VLOOKUP($E$38,'MP (2011)'!$A$14:$AR$245,'MP (2011)'!$AF$246,FALSE)</f>
        <v>5287</v>
      </c>
      <c r="F99" s="151">
        <f>VLOOKUP($F$38,'MP (2011)'!$A$14:$AR$245,'MP (2011)'!$AF$246,FALSE)</f>
        <v>5409</v>
      </c>
    </row>
    <row r="100" spans="2:7">
      <c r="B100" s="155" t="s">
        <v>310</v>
      </c>
      <c r="C100" s="150">
        <f>VLOOKUP($C$38,'MP (2011)'!$A$14:$AR$245,'MP (2011)'!$AJ$246,FALSE)</f>
        <v>459</v>
      </c>
      <c r="D100" s="150">
        <f>VLOOKUP($D$38,'MP (2011)'!$A$14:$AR$245,'MP (2011)'!$AJ$246,FALSE)</f>
        <v>526</v>
      </c>
      <c r="E100" s="150">
        <f>VLOOKUP($E$38,'MP (2011)'!$A$14:$AR$245,'MP (2011)'!$AJ$246,FALSE)</f>
        <v>492</v>
      </c>
      <c r="F100" s="151">
        <f>VLOOKUP($F$38,'MP (2011)'!$A$14:$AR$245,'MP (2011)'!$AJ$246,FALSE)</f>
        <v>553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32545</v>
      </c>
      <c r="D102" s="152">
        <f>SUM(D98:D101)</f>
        <v>33248</v>
      </c>
      <c r="E102" s="152">
        <f>SUM(E98:E101)</f>
        <v>33793</v>
      </c>
      <c r="F102" s="157">
        <f>SUM(F98:F101)</f>
        <v>34247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100.02536231884058</v>
      </c>
      <c r="E105" s="422">
        <f t="shared" si="5"/>
        <v>101.481884057971</v>
      </c>
      <c r="F105" s="423">
        <f t="shared" si="5"/>
        <v>102.46376811594202</v>
      </c>
    </row>
    <row r="106" spans="2:7">
      <c r="B106" s="111" t="s">
        <v>180</v>
      </c>
      <c r="C106" s="422">
        <f t="shared" si="5"/>
        <v>100</v>
      </c>
      <c r="D106" s="422">
        <f t="shared" si="5"/>
        <v>114.03704530238785</v>
      </c>
      <c r="E106" s="422">
        <f t="shared" si="5"/>
        <v>117.98705646061147</v>
      </c>
      <c r="F106" s="423">
        <f t="shared" si="5"/>
        <v>120.70966302164696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114.59694989106754</v>
      </c>
      <c r="E107" s="422">
        <f t="shared" si="5"/>
        <v>107.18954248366013</v>
      </c>
      <c r="F107" s="423">
        <f t="shared" si="5"/>
        <v>120.47930283224402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Mainpower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216283</v>
      </c>
      <c r="D113" s="150">
        <f>VLOOKUP($D$38,'MP (2011)'!$A$14:$AR$245,'MP (2011)'!$AA$246,FALSE)</f>
        <v>213883</v>
      </c>
      <c r="E113" s="150">
        <f>VLOOKUP($E$38,'MP (2011)'!$A$14:$AR$245,'MP (2011)'!$AA$246,FALSE)</f>
        <v>233921</v>
      </c>
      <c r="F113" s="151">
        <f>VLOOKUP($F$38,'MP (2011)'!$A$14:$AR$245,'MP (2011)'!$AA$246,FALSE)</f>
        <v>228829</v>
      </c>
    </row>
    <row r="114" spans="2:7">
      <c r="B114" s="155" t="s">
        <v>309</v>
      </c>
      <c r="C114" s="150">
        <f>VLOOKUP($C$38,'MP (2011)'!$A$14:$AR$245,'MP (2011)'!$AE$246,FALSE)</f>
        <v>104811</v>
      </c>
      <c r="D114" s="150">
        <f>VLOOKUP($D$38,'MP (2011)'!$A$14:$AR$245,'MP (2011)'!$AE$246,FALSE)</f>
        <v>125462</v>
      </c>
      <c r="E114" s="150">
        <f>VLOOKUP($E$38,'MP (2011)'!$A$14:$AR$245,'MP (2011)'!$AE$246,FALSE)</f>
        <v>110359</v>
      </c>
      <c r="F114" s="151">
        <f>VLOOKUP($F$38,'MP (2011)'!$A$14:$AR$245,'MP (2011)'!$AE$246,FALSE)</f>
        <v>120523</v>
      </c>
    </row>
    <row r="115" spans="2:7">
      <c r="B115" s="155" t="s">
        <v>310</v>
      </c>
      <c r="C115" s="150">
        <f>VLOOKUP($C$38,'MP (2011)'!$A$14:$AR$245,'MP (2011)'!$AI$246,FALSE)</f>
        <v>88379</v>
      </c>
      <c r="D115" s="150">
        <f>VLOOKUP($D$38,'MP (2011)'!$A$14:$AR$245,'MP (2011)'!$AI$246,FALSE)</f>
        <v>91092</v>
      </c>
      <c r="E115" s="150">
        <f>VLOOKUP($E$38,'MP (2011)'!$A$14:$AR$245,'MP (2011)'!$AI$246,FALSE)</f>
        <v>92194</v>
      </c>
      <c r="F115" s="151">
        <f>VLOOKUP($F$38,'MP (2011)'!$A$14:$AR$245,'MP (2011)'!$AI$246,FALSE)</f>
        <v>109614</v>
      </c>
    </row>
    <row r="116" spans="2:7">
      <c r="B116" s="155" t="s">
        <v>311</v>
      </c>
      <c r="C116" s="150">
        <f>VLOOKUP($C$38,'MP (2011)'!$A$14:$AR$245,'MP (2011)'!$AM$246,FALSE)</f>
        <v>82527</v>
      </c>
      <c r="D116" s="150">
        <f>VLOOKUP($D$38,'MP (2011)'!$A$14:$AR$245,'MP (2011)'!$AM$246,FALSE)</f>
        <v>78713</v>
      </c>
      <c r="E116" s="150">
        <f>VLOOKUP($E$38,'MP (2011)'!$A$14:$AR$245,'MP (2011)'!$AM$246,FALSE)</f>
        <v>79526</v>
      </c>
      <c r="F116" s="151">
        <f>VLOOKUP($F$38,'MP (2011)'!$A$14:$AR$245,'MP (2011)'!$AM$246,FALSE)</f>
        <v>81034</v>
      </c>
    </row>
    <row r="117" spans="2:7">
      <c r="B117" s="147" t="s">
        <v>254</v>
      </c>
      <c r="C117" s="158">
        <f>SUM(C113:C116)</f>
        <v>492000</v>
      </c>
      <c r="D117" s="158">
        <f>SUM(D113:D116)</f>
        <v>509150</v>
      </c>
      <c r="E117" s="158">
        <f>SUM(E113:E116)</f>
        <v>516000</v>
      </c>
      <c r="F117" s="159">
        <f>SUM(F113:F116)</f>
        <v>540000</v>
      </c>
    </row>
    <row r="118" spans="2:7">
      <c r="B118" s="103" t="s">
        <v>306</v>
      </c>
    </row>
    <row r="119" spans="2:7">
      <c r="B119" s="137" t="str">
        <f>$B$2</f>
        <v>Mainpower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98.890342745384515</v>
      </c>
      <c r="E120" s="422">
        <f t="shared" si="6"/>
        <v>108.15505610704494</v>
      </c>
      <c r="F120" s="423">
        <f t="shared" si="6"/>
        <v>105.80073329850241</v>
      </c>
    </row>
    <row r="121" spans="2:7">
      <c r="B121" s="111" t="s">
        <v>180</v>
      </c>
      <c r="C121" s="422">
        <f t="shared" si="6"/>
        <v>100</v>
      </c>
      <c r="D121" s="422">
        <f t="shared" si="6"/>
        <v>119.70308459989887</v>
      </c>
      <c r="E121" s="422">
        <f t="shared" si="6"/>
        <v>105.29333753136598</v>
      </c>
      <c r="F121" s="423">
        <f t="shared" si="6"/>
        <v>114.99079295112153</v>
      </c>
    </row>
    <row r="122" spans="2:7">
      <c r="B122" s="111" t="s">
        <v>184</v>
      </c>
      <c r="C122" s="422">
        <f t="shared" si="6"/>
        <v>100</v>
      </c>
      <c r="D122" s="422">
        <f t="shared" si="6"/>
        <v>103.06973376028242</v>
      </c>
      <c r="E122" s="422">
        <f t="shared" si="6"/>
        <v>104.31663630500458</v>
      </c>
      <c r="F122" s="423">
        <f t="shared" si="6"/>
        <v>124.02720103191936</v>
      </c>
    </row>
    <row r="123" spans="2:7">
      <c r="B123" s="115" t="s">
        <v>181</v>
      </c>
      <c r="C123" s="424">
        <f t="shared" si="6"/>
        <v>100</v>
      </c>
      <c r="D123" s="424">
        <f t="shared" si="6"/>
        <v>95.378482193706304</v>
      </c>
      <c r="E123" s="424">
        <f t="shared" si="6"/>
        <v>96.363614332279141</v>
      </c>
      <c r="F123" s="416">
        <f t="shared" si="6"/>
        <v>98.190895100997238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Mainpower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39562.988509024544</v>
      </c>
      <c r="D128" s="433">
        <f>VLOOKUP($D$38,'FS (2011)'!$A$13:$AH$244,'FS (2011)'!$I$245,FALSE)</f>
        <v>42612.744594687334</v>
      </c>
      <c r="E128" s="433">
        <f>VLOOKUP($E$38,'FS (2011)'!$A$13:$AH$244,'FS (2011)'!$I$245,FALSE)</f>
        <v>40054.494354773509</v>
      </c>
      <c r="F128" s="440">
        <f>VLOOKUP($F$38,'FS (2011)'!$A$13:$AH$244,'FS (2011)'!$I$245,FALSE)</f>
        <v>42818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5316.6077997775938</v>
      </c>
      <c r="D129" s="433">
        <f>VLOOKUP($D$38,'FS (2011)'!$A$13:$AH$244,'FS (2011)'!$Y$245,FALSE)+VLOOKUP($D$38,'FS (2011)'!$A$13:$AH$244,'FS (2011)'!$Z$245,FALSE)</f>
        <v>4919.3990202759269</v>
      </c>
      <c r="E129" s="433">
        <f>VLOOKUP($E$38,'FS (2011)'!$A$13:$AH$244,'FS (2011)'!$Y$245,FALSE)+VLOOKUP($E$38,'FS (2011)'!$A$13:$AH$244,'FS (2011)'!$Z$245,FALSE)</f>
        <v>3613.3209891676315</v>
      </c>
      <c r="F129" s="440">
        <f>VLOOKUP($F$38,'FS (2011)'!$A$13:$AH$244,'FS (2011)'!$Y$245,FALSE)+VLOOKUP($F$38,'FS (2011)'!$A$13:$AH$244,'FS (2011)'!$Z$245,FALSE)</f>
        <v>8041.2452000000003</v>
      </c>
      <c r="G129" s="121"/>
    </row>
    <row r="130" spans="1:30">
      <c r="B130" s="162" t="s">
        <v>191</v>
      </c>
      <c r="C130" s="441">
        <f>VLOOKUP($C$38,'FS (2011)'!$A$13:$AH$244,'FS (2011)'!$J$245,FALSE)</f>
        <v>8571.9628753100842</v>
      </c>
      <c r="D130" s="433">
        <f>VLOOKUP($D$38,'FS (2011)'!$A$13:$AH$244,'FS (2011)'!$J$245,FALSE)</f>
        <v>9353.232205367558</v>
      </c>
      <c r="E130" s="433">
        <f>VLOOKUP($E$38,'FS (2011)'!$A$13:$AH$244,'FS (2011)'!$J$245,FALSE)</f>
        <v>9972.3607555711224</v>
      </c>
      <c r="F130" s="440">
        <f>VLOOKUP($F$38,'FS (2011)'!$A$13:$AH$244,'FS (2011)'!$J$245,FALSE)</f>
        <v>10027</v>
      </c>
    </row>
    <row r="131" spans="1:30">
      <c r="B131" s="162" t="s">
        <v>182</v>
      </c>
      <c r="C131" s="441">
        <f>VLOOKUP($C$38,'FS (2011)'!$A$13:$AH$244,'FS (2011)'!$S$245,FALSE)</f>
        <v>7650.1884748082457</v>
      </c>
      <c r="D131" s="433">
        <f>VLOOKUP($D$38,'FS (2011)'!$A$13:$AH$244,'FS (2011)'!$S$245,FALSE)</f>
        <v>9285.7560573821102</v>
      </c>
      <c r="E131" s="433">
        <f>VLOOKUP($E$38,'FS (2011)'!$A$13:$AH$244,'FS (2011)'!$S$245,FALSE)</f>
        <v>9037.0698714666796</v>
      </c>
      <c r="F131" s="440">
        <f>VLOOKUP($F$38,'FS (2011)'!$A$13:$AH$244,'FS (2011)'!$S$245,FALSE)</f>
        <v>10109</v>
      </c>
      <c r="I131" s="139"/>
    </row>
    <row r="132" spans="1:30">
      <c r="B132" s="162" t="s">
        <v>143</v>
      </c>
      <c r="C132" s="441">
        <f>VLOOKUP($C$38,'FS (2011)'!$A$13:$AH$244,'FS (2011)'!$U$245,FALSE)</f>
        <v>6727.3359755923693</v>
      </c>
      <c r="D132" s="433">
        <f>VLOOKUP($D$38,'FS (2011)'!$A$13:$AH$244,'FS (2011)'!$U$245,FALSE)</f>
        <v>6956.2718100075481</v>
      </c>
      <c r="E132" s="433">
        <f>VLOOKUP($E$38,'FS (2011)'!$A$13:$AH$244,'FS (2011)'!$U$245,FALSE)</f>
        <v>8026.3851688178693</v>
      </c>
      <c r="F132" s="440">
        <f>VLOOKUP($F$38,'FS (2011)'!$A$13:$AH$244,'FS (2011)'!$U$245,FALSE)</f>
        <v>8599</v>
      </c>
      <c r="Q132" s="559"/>
      <c r="R132" s="559"/>
      <c r="S132" s="559"/>
      <c r="T132" s="559"/>
      <c r="U132" s="559"/>
      <c r="V132" s="559"/>
      <c r="W132" s="559"/>
      <c r="X132" s="559"/>
      <c r="Y132" s="559"/>
      <c r="Z132" s="559"/>
      <c r="AA132" s="559"/>
      <c r="AB132" s="559"/>
      <c r="AC132" s="559"/>
      <c r="AD132" s="559"/>
    </row>
    <row r="133" spans="1:30">
      <c r="B133" s="162" t="s">
        <v>196</v>
      </c>
      <c r="C133" s="441">
        <f>VLOOKUP($C$38,'FS (2011)'!$A$13:$AH$244,'FS (2011)'!$X$245,FALSE)</f>
        <v>2228.8451099198769</v>
      </c>
      <c r="D133" s="433">
        <f>VLOOKUP($D$38,'FS (2011)'!$A$13:$AH$244,'FS (2011)'!$X$245,FALSE)</f>
        <v>1961.1766973985855</v>
      </c>
      <c r="E133" s="433">
        <f>VLOOKUP($E$38,'FS (2011)'!$A$13:$AH$244,'FS (2011)'!$X$245,FALSE)</f>
        <v>1874.8156405378456</v>
      </c>
      <c r="F133" s="440">
        <f>VLOOKUP($F$38,'FS (2011)'!$A$13:$AH$244,'FS (2011)'!$X$245,FALSE)</f>
        <v>2206.5482000000002</v>
      </c>
      <c r="Q133" s="559"/>
      <c r="R133" s="559"/>
      <c r="S133" s="559"/>
      <c r="T133" s="559"/>
      <c r="U133" s="559"/>
      <c r="V133" s="559"/>
      <c r="W133" s="559"/>
      <c r="X133" s="559"/>
      <c r="Y133" s="559"/>
      <c r="Z133" s="559"/>
      <c r="AA133" s="559"/>
      <c r="AB133" s="559"/>
      <c r="AC133" s="559"/>
      <c r="AD133" s="559"/>
    </row>
    <row r="134" spans="1:30">
      <c r="B134" s="164" t="s">
        <v>258</v>
      </c>
      <c r="C134" s="442">
        <f>VLOOKUP($C$38,'FS (2011)'!$A$13:$AH$244,'FS (2011)'!$AA$245,FALSE)</f>
        <v>19701.264304411048</v>
      </c>
      <c r="D134" s="435">
        <f>VLOOKUP($D$38,'FS (2011)'!$A$13:$AH$244,'FS (2011)'!$AA$245,FALSE)</f>
        <v>19975.706325760169</v>
      </c>
      <c r="E134" s="435">
        <f>VLOOKUP($E$38,'FS (2011)'!$A$13:$AH$244,'FS (2011)'!$AA$245,FALSE)</f>
        <v>14757.18360189701</v>
      </c>
      <c r="F134" s="443">
        <f>VLOOKUP($F$38,'FS (2011)'!$A$13:$AH$244,'FS (2011)'!$AA$245,FALSE)</f>
        <v>19917.697</v>
      </c>
      <c r="Q134" s="559"/>
      <c r="R134" s="559"/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5</v>
      </c>
      <c r="B138" s="166" t="s">
        <v>204</v>
      </c>
      <c r="C138" s="167"/>
      <c r="D138" s="444">
        <f>VLOOKUP($D$6,'FS (2011)'!$A$13:$AH$244,'FS (2011)'!$L$245,FALSE)</f>
        <v>0</v>
      </c>
      <c r="E138" s="446">
        <f t="shared" ref="E138:E144" si="7">D138/$D$145</f>
        <v>0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6645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>RANK(D139,$D$138:$D$144)</f>
        <v>1</v>
      </c>
      <c r="B139" s="162" t="s">
        <v>199</v>
      </c>
      <c r="C139" s="121"/>
      <c r="D139" s="441">
        <f>VLOOKUP($D$6,'FS (2011)'!$A$13:$AH$244,'FS (2011)'!K245,FALSE)</f>
        <v>6645</v>
      </c>
      <c r="E139" s="414">
        <f t="shared" si="7"/>
        <v>0.65733504797705011</v>
      </c>
      <c r="Q139" s="559"/>
      <c r="R139" s="559"/>
      <c r="S139" s="559"/>
      <c r="T139" s="559">
        <v>2</v>
      </c>
      <c r="U139" s="559" t="str">
        <f t="shared" ref="U139:U144" si="8">VLOOKUP(T139,$A$138:$E$144,2,FALSE)</f>
        <v>Routine and preventative maintenance</v>
      </c>
      <c r="V139" s="559">
        <f t="shared" ref="V139:V144" si="9">VLOOKUP(T139,$A$138:$E$144,4,FALSE)</f>
        <v>2323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>RANK(D140,$D$138:$D$144)</f>
        <v>2</v>
      </c>
      <c r="B140" s="162" t="s">
        <v>201</v>
      </c>
      <c r="C140" s="121"/>
      <c r="D140" s="441">
        <f>VLOOKUP($D$6,'FS (2011)'!$A$13:$AH$244,'FS (2011)'!M245,FALSE)</f>
        <v>2323</v>
      </c>
      <c r="E140" s="414">
        <f t="shared" si="7"/>
        <v>0.22979523197151053</v>
      </c>
      <c r="Q140" s="559"/>
      <c r="R140" s="559"/>
      <c r="S140" s="559"/>
      <c r="T140" s="559">
        <v>3</v>
      </c>
      <c r="U140" s="559" t="str">
        <f t="shared" si="8"/>
        <v>Fault and emergency maintenance</v>
      </c>
      <c r="V140" s="559">
        <f t="shared" si="9"/>
        <v>1070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>RANK(D141,$D$138:$D$144)</f>
        <v>4</v>
      </c>
      <c r="B141" s="162" t="s">
        <v>202</v>
      </c>
      <c r="C141" s="121"/>
      <c r="D141" s="441">
        <f>VLOOKUP($D$6,'FS (2011)'!$A$13:$AH$244,'FS (2011)'!N245,FALSE)</f>
        <v>71</v>
      </c>
      <c r="E141" s="414">
        <f t="shared" si="7"/>
        <v>7.0234444554357501E-3</v>
      </c>
      <c r="Q141" s="559"/>
      <c r="R141" s="559"/>
      <c r="S141" s="559"/>
      <c r="T141" s="559">
        <v>4</v>
      </c>
      <c r="U141" s="559" t="str">
        <f t="shared" si="8"/>
        <v>Refurbishment and renewal maintenance</v>
      </c>
      <c r="V141" s="559">
        <f t="shared" si="9"/>
        <v>71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>RANK(D142,$D$138:$D$144)</f>
        <v>3</v>
      </c>
      <c r="B142" s="162" t="s">
        <v>203</v>
      </c>
      <c r="C142" s="121"/>
      <c r="D142" s="441">
        <f>VLOOKUP($D$6,'FS (2011)'!$A$13:$AH$244,'FS (2011)'!O245,FALSE)</f>
        <v>1070</v>
      </c>
      <c r="E142" s="414">
        <f t="shared" si="7"/>
        <v>0.10584627559600356</v>
      </c>
      <c r="Q142" s="559"/>
      <c r="R142" s="559"/>
      <c r="S142" s="559"/>
      <c r="T142" s="559">
        <v>5</v>
      </c>
      <c r="U142" s="559" t="str">
        <f t="shared" si="8"/>
        <v>System management and operations</v>
      </c>
      <c r="V142" s="559">
        <f t="shared" si="9"/>
        <v>0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v>6</v>
      </c>
      <c r="B143" s="162" t="s">
        <v>13</v>
      </c>
      <c r="C143" s="121"/>
      <c r="D143" s="441">
        <f>VLOOKUP($D$6,'FS (2011)'!$A$13:$AH$244,'FS (2011)'!R245,FALSE)</f>
        <v>0</v>
      </c>
      <c r="E143" s="414">
        <f t="shared" si="7"/>
        <v>0</v>
      </c>
      <c r="Q143" s="559"/>
      <c r="R143" s="559"/>
      <c r="S143" s="559"/>
      <c r="T143" s="559">
        <v>6</v>
      </c>
      <c r="U143" s="559" t="str">
        <f t="shared" si="8"/>
        <v>Other</v>
      </c>
      <c r="V143" s="559">
        <f t="shared" si="9"/>
        <v>0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v>7</v>
      </c>
      <c r="B144" s="162" t="s">
        <v>200</v>
      </c>
      <c r="C144" s="121"/>
      <c r="D144" s="441">
        <f>VLOOKUP($D$6,'FS (2011)'!$A$13:$AH$244,'FS (2011)'!P245,FALSE)</f>
        <v>0</v>
      </c>
      <c r="E144" s="414">
        <f t="shared" si="7"/>
        <v>0</v>
      </c>
      <c r="Q144" s="559"/>
      <c r="R144" s="559"/>
      <c r="S144" s="559"/>
      <c r="T144" s="559">
        <v>7</v>
      </c>
      <c r="U144" s="559" t="str">
        <f t="shared" si="8"/>
        <v>Pass-through costs</v>
      </c>
      <c r="V144" s="559">
        <f t="shared" si="9"/>
        <v>0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10109</v>
      </c>
      <c r="E145" s="447">
        <f>SUM(E138:E144)</f>
        <v>1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</v>
      </c>
      <c r="D149" s="454">
        <f>(VLOOKUP(D$38,'FS (2011)'!$A$13:$AH$244,'FS (2011)'!$M$245,FALSE)+VLOOKUP(D$38,'FS (2011)'!$A$13:$AH$244,'FS (2011)'!$N$245,FALSE)+VLOOKUP(D$38,'FS (2011)'!$A$13:$AH$244,'FS (2011)'!$O$245,FALSE))/1000</f>
        <v>3.750635733406547</v>
      </c>
      <c r="E149" s="454">
        <f>(VLOOKUP(E$38,'FS (2011)'!$A$13:$AH$244,'FS (2011)'!$M$245,FALSE)+VLOOKUP(E$38,'FS (2011)'!$A$13:$AH$244,'FS (2011)'!$N$245,FALSE)+VLOOKUP(E$38,'FS (2011)'!$A$13:$AH$244,'FS (2011)'!$O$245,FALSE))/1000</f>
        <v>3.7350505241033654</v>
      </c>
      <c r="F149" s="455">
        <f>(VLOOKUP(F$38,'FS (2011)'!$A$13:$AH$244,'FS (2011)'!$M$245,FALSE)+VLOOKUP(F$38,'FS (2011)'!$A$13:$AH$244,'FS (2011)'!$N$245,FALSE)+VLOOKUP(F$38,'FS (2011)'!$A$13:$AH$244,'FS (2011)'!$O$245,FALSE))/1000</f>
        <v>3.464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5.5351203239755629</v>
      </c>
      <c r="E150" s="456">
        <f>(VLOOKUP(E$38,'FS (2011)'!$A$13:$AH$244,'FS (2011)'!$L$245,FALSE)+VLOOKUP(E$38,'FS (2011)'!$A$13:$AH$244,'FS (2011)'!$K$245,FALSE))/1000</f>
        <v>5.3020193473633146</v>
      </c>
      <c r="F150" s="457">
        <f>(VLOOKUP(F$38,'FS (2011)'!$A$13:$AH$244,'FS (2011)'!$L$245,FALSE)+VLOOKUP(F$38,'FS (2011)'!$A$13:$AH$244,'FS (2011)'!$K$245,FALSE))/1000</f>
        <v>6.6449999999999996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0</v>
      </c>
      <c r="F151" s="457">
        <f>(VLOOKUP(F$38,'FS (2011)'!$A$13:$AH$244,'FS (2011)'!$R$245,FALSE)+VLOOKUP(F$38,'FS (2011)'!$A$13:$AH$244,'FS (2011)'!$P$245,FALSE)+VLOOKUP(F$38,'FS (2011)'!$A$13:$AH$244,'FS (2011)'!$Q$245,FALSE))/1000</f>
        <v>0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7.650188474808246</v>
      </c>
      <c r="D152" s="458">
        <f>VLOOKUP($D$38,'FS (2011)'!$A$13:$AH$244,'FS (2011)'!$S$245,FALSE)/1000</f>
        <v>9.2857560573821107</v>
      </c>
      <c r="E152" s="459">
        <f>VLOOKUP($E$38,'FS (2011)'!$A$13:$AH$244,'FS (2011)'!$S$245,FALSE)/1000</f>
        <v>9.0370698714666791</v>
      </c>
      <c r="F152" s="460">
        <f>VLOOKUP($F$38,'FS (2011)'!$A$13:$AH$244,'FS (2011)'!$S$245,FALSE)/1000</f>
        <v>10.109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-3.8970988797262129E-2</v>
      </c>
      <c r="D154" s="464" t="str">
        <f t="shared" ref="D154:E157" si="10">IF(ISERROR(D149/C149 - 1),"",(D149/C149 - 1))</f>
        <v/>
      </c>
      <c r="E154" s="464">
        <f t="shared" si="10"/>
        <v>-4.1553513620012916E-3</v>
      </c>
      <c r="F154" s="465">
        <f>IF(ISERROR(F149/E149 - 1),"",(F149/E149 - 1))</f>
        <v>-7.2569439785137524E-2</v>
      </c>
      <c r="Q154" s="559"/>
      <c r="R154" s="559" t="s">
        <v>423</v>
      </c>
      <c r="S154" s="559" t="e">
        <f t="shared" ref="S154:V157" si="11">LN(C149)</f>
        <v>#NUM!</v>
      </c>
      <c r="T154" s="559">
        <f t="shared" si="11"/>
        <v>1.3219253545223304</v>
      </c>
      <c r="U154" s="559">
        <f t="shared" si="11"/>
        <v>1.3177613456963317</v>
      </c>
      <c r="V154" s="559">
        <f t="shared" si="11"/>
        <v>1.2424239907001886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2">IFERROR(EXP(SLOPE(S155:V155,$C$148:$F$148))-1,(IFERROR(EXP(SLOPE(T155:V155,$D$148:$F$148))-1,F155)))</f>
        <v>9.5680568279870037E-2</v>
      </c>
      <c r="D155" s="467" t="str">
        <f t="shared" si="10"/>
        <v/>
      </c>
      <c r="E155" s="467">
        <f t="shared" si="10"/>
        <v>-4.2113082095535215E-2</v>
      </c>
      <c r="F155" s="468">
        <f>IF(ISERROR(F150/E150 - 1),"",(F150/E150 - 1))</f>
        <v>0.2532960679037406</v>
      </c>
      <c r="Q155" s="559"/>
      <c r="R155" s="559" t="s">
        <v>423</v>
      </c>
      <c r="S155" s="559" t="e">
        <f t="shared" si="11"/>
        <v>#NUM!</v>
      </c>
      <c r="T155" s="559">
        <f t="shared" si="11"/>
        <v>1.7111133046732896</v>
      </c>
      <c r="U155" s="559">
        <f t="shared" si="11"/>
        <v>1.6680877569290773</v>
      </c>
      <c r="V155" s="559">
        <f t="shared" si="11"/>
        <v>1.8938646921652087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 t="str">
        <f t="shared" si="12"/>
        <v/>
      </c>
      <c r="D156" s="467" t="str">
        <f t="shared" si="10"/>
        <v/>
      </c>
      <c r="E156" s="467" t="str">
        <f t="shared" si="10"/>
        <v/>
      </c>
      <c r="F156" s="468" t="str">
        <f>IF(ISERROR(F151/E151 - 1),"",(F151/E151 - 1))</f>
        <v/>
      </c>
      <c r="Q156" s="559"/>
      <c r="R156" s="559" t="s">
        <v>423</v>
      </c>
      <c r="S156" s="559" t="e">
        <f t="shared" si="11"/>
        <v>#NUM!</v>
      </c>
      <c r="T156" s="559" t="e">
        <f t="shared" si="11"/>
        <v>#NUM!</v>
      </c>
      <c r="U156" s="559" t="e">
        <f t="shared" si="11"/>
        <v>#NUM!</v>
      </c>
      <c r="V156" s="559" t="e">
        <f t="shared" si="11"/>
        <v>#NUM!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2"/>
        <v>8.4256053403167774E-2</v>
      </c>
      <c r="D157" s="470">
        <f t="shared" si="10"/>
        <v>0.21379441669440191</v>
      </c>
      <c r="E157" s="470">
        <f t="shared" si="10"/>
        <v>-2.6781468776333806E-2</v>
      </c>
      <c r="F157" s="471">
        <f>IF(ISERROR(F152/E152 - 1),"",(F152/E152 - 1))</f>
        <v>0.11861478817573334</v>
      </c>
      <c r="N157" s="136"/>
      <c r="O157" s="136"/>
      <c r="Q157" s="559"/>
      <c r="R157" s="559" t="s">
        <v>423</v>
      </c>
      <c r="S157" s="559">
        <f t="shared" si="11"/>
        <v>2.0347302847647888</v>
      </c>
      <c r="T157" s="559">
        <f t="shared" si="11"/>
        <v>2.2284816193175097</v>
      </c>
      <c r="U157" s="559">
        <f t="shared" si="11"/>
        <v>2.2013349926003065</v>
      </c>
      <c r="V157" s="559">
        <f t="shared" si="11"/>
        <v>2.3134261161719207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Mainpower</v>
      </c>
      <c r="C162" s="456">
        <f>(C152/C102)*1000000</f>
        <v>235.06494007707008</v>
      </c>
      <c r="D162" s="456">
        <f>(D152/D102)*1000000</f>
        <v>279.28765812626654</v>
      </c>
      <c r="E162" s="456">
        <f>(E152/E102)*1000000</f>
        <v>267.42431484232475</v>
      </c>
      <c r="F162" s="457">
        <f>(F152/F102)*1000000</f>
        <v>295.17913977866675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Mainpower</v>
      </c>
      <c r="C165" s="456">
        <f>C152/VLOOKUP(C$38,'MP (2011)'!$A$14:$AR$245,'MP (2011)'!$H$246,FALSE)*1000000</f>
        <v>1768.5401961501439</v>
      </c>
      <c r="D165" s="456">
        <f>D152/VLOOKUP(D$38,'MP (2011)'!$A$14:$AR$245,'MP (2011)'!$H$246,FALSE)*1000000</f>
        <v>2108.9611758760188</v>
      </c>
      <c r="E165" s="456">
        <f>E152/VLOOKUP(E$38,'MP (2011)'!$A$14:$AR$245,'MP (2011)'!$H$246,FALSE)*1000000</f>
        <v>2000.2368020067902</v>
      </c>
      <c r="F165" s="457">
        <f>F152/VLOOKUP(F$38,'MP (2011)'!$A$14:$AR$245,'MP (2011)'!$H$246,FALSE)*1000000</f>
        <v>2205.7604189395593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Mainpower</v>
      </c>
      <c r="C168" s="456">
        <f>(C152/C117)*1000000</f>
        <v>15.549163566683427</v>
      </c>
      <c r="D168" s="456">
        <f>(D152/D117)*1000000</f>
        <v>18.237761086874421</v>
      </c>
      <c r="E168" s="456">
        <f>(E152/E117)*1000000</f>
        <v>17.513701301292013</v>
      </c>
      <c r="F168" s="457">
        <f>(F152/F117)*1000000</f>
        <v>18.720370370370368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6.6066400725824259E-2</v>
      </c>
      <c r="D171" s="464">
        <f>IF(ISERROR(D162/C162 - 1),"",(D162/C162 - 1))</f>
        <v>0.18812979100455074</v>
      </c>
      <c r="E171" s="464">
        <f>IF(ISERROR(E162/D162 - 1),"",(E162/D162 - 1))</f>
        <v>-4.2477148340648641E-2</v>
      </c>
      <c r="F171" s="465">
        <f>IF(ISERROR(F162/E162 - 1),"",(F162/E162 - 1))</f>
        <v>0.10378571953229621</v>
      </c>
      <c r="H171" s="139"/>
      <c r="Q171" s="559"/>
      <c r="R171" s="559" t="s">
        <v>423</v>
      </c>
      <c r="S171" s="559">
        <f>LN(C162)</f>
        <v>5.459861816722575</v>
      </c>
      <c r="T171" s="559">
        <f>LN(D162)</f>
        <v>5.6322422833828298</v>
      </c>
      <c r="U171" s="559">
        <f>LN(E162)</f>
        <v>5.5888365911334752</v>
      </c>
      <c r="V171" s="559">
        <f>LN(F162)</f>
        <v>5.6875824255230363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6.288016894783488E-2</v>
      </c>
      <c r="D172" s="467">
        <f>IF(ISERROR(D165/C165 - 1),"",(D165/C165 - 1))</f>
        <v>0.19248699038162775</v>
      </c>
      <c r="E172" s="467">
        <f>IF(ISERROR(E165/D165 - 1),"",(E165/D165 - 1))</f>
        <v>-5.1553520810579512E-2</v>
      </c>
      <c r="F172" s="468">
        <f>IF(ISERROR(F165/E165 - 1),"",(F165/E165 - 1))</f>
        <v>0.10274964280557786</v>
      </c>
      <c r="Q172" s="559"/>
      <c r="R172" s="559" t="s">
        <v>423</v>
      </c>
      <c r="S172" s="559">
        <f>LN(C165)</f>
        <v>7.4779097373384067</v>
      </c>
      <c r="T172" s="559">
        <f>LN(D165)</f>
        <v>7.6539507715260298</v>
      </c>
      <c r="U172" s="559">
        <f>LN(E165)</f>
        <v>7.6010208535366317</v>
      </c>
      <c r="V172" s="559">
        <f>LN(F165)</f>
        <v>7.6988275896270704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5.298664487767657E-2</v>
      </c>
      <c r="D173" s="470">
        <f>IF(ISERROR(D168/C168 - 1),"",(D168/C168 - 1))</f>
        <v>0.17290946285700826</v>
      </c>
      <c r="E173" s="470">
        <f>IF(ISERROR(E168/D168 - 1),"",(E168/D168 - 1))</f>
        <v>-3.9701133386570664E-2</v>
      </c>
      <c r="F173" s="471">
        <f>IF(ISERROR(F168/E168 - 1),"",(F168/E168 - 1))</f>
        <v>6.8898575367922765E-2</v>
      </c>
      <c r="Q173" s="559"/>
      <c r="R173" s="559" t="s">
        <v>423</v>
      </c>
      <c r="S173" s="559">
        <f>LN(C168)</f>
        <v>2.7440068472546177</v>
      </c>
      <c r="T173" s="559">
        <f>LN(D168)</f>
        <v>2.9034942296819728</v>
      </c>
      <c r="U173" s="559">
        <f>LN(E168)</f>
        <v>2.8629835061008806</v>
      </c>
      <c r="V173" s="559">
        <f>LN(F168)</f>
        <v>2.9296122555957376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Mainpower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3735.0505241033652</v>
      </c>
      <c r="X176" s="563">
        <f>D178</f>
        <v>3464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Mainpower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3">C179</f>
        <v>3968.3638274366085</v>
      </c>
      <c r="X177" s="563">
        <f t="shared" si="13"/>
        <v>4085.5298967960975</v>
      </c>
      <c r="Y177" s="563">
        <f t="shared" si="13"/>
        <v>4159.9048799547299</v>
      </c>
      <c r="Z177" s="563">
        <f t="shared" si="13"/>
        <v>4236.3175338848314</v>
      </c>
      <c r="AA177" s="563">
        <f t="shared" si="13"/>
        <v>4315.7866939721371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3735.0505241033652</v>
      </c>
      <c r="D178" s="461">
        <f>VLOOKUP(F38,'FS (2011)'!$A$14:$T$246,'FS (2011)'!$M$245,FALSE)+VLOOKUP(F38,'FS (2011)'!$A$14:$AO$245,'FS (2011)'!$N$245,FALSE)+VLOOKUP(F38,'FS (2011)'!$A$14:$AO$245,'FS (2011)'!$O$245,FALSE)</f>
        <v>3464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3"/>
        <v>3199</v>
      </c>
      <c r="Y178" s="563">
        <f t="shared" si="13"/>
        <v>3312</v>
      </c>
      <c r="Z178" s="563">
        <f t="shared" si="13"/>
        <v>3374</v>
      </c>
      <c r="AA178" s="563">
        <f t="shared" si="13"/>
        <v>3439</v>
      </c>
      <c r="AB178" s="563">
        <f>H180</f>
        <v>3510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3968.3638274366085</v>
      </c>
      <c r="D179" s="461">
        <f>VLOOKUP(D182,'AM (2011)'!$A$10:$N$444,'AM (2011)'!$N$445,FALSE)</f>
        <v>4085.5298967960975</v>
      </c>
      <c r="E179" s="461">
        <f>VLOOKUP(E182,'AM (2011)'!$A$10:$N$444,'AM (2011)'!$N$445,FALSE)</f>
        <v>4159.9048799547299</v>
      </c>
      <c r="F179" s="461">
        <f>VLOOKUP(F182,'AM (2011)'!$A$10:$N$444,'AM (2011)'!$N$445,FALSE)</f>
        <v>4236.3175338848314</v>
      </c>
      <c r="G179" s="461">
        <f>VLOOKUP(G182,'AM (2011)'!$A$10:$N$444,'AM (2011)'!$N$445,FALSE)</f>
        <v>4315.7866939721371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3309.291531997414</v>
      </c>
      <c r="Z179" s="563">
        <f>F181</f>
        <v>3361.1061409179056</v>
      </c>
      <c r="AA179" s="563">
        <f>G181</f>
        <v>3400.2115061409177</v>
      </c>
      <c r="AB179" s="563">
        <f>H181</f>
        <v>3430.5181641887525</v>
      </c>
      <c r="AC179" s="563">
        <f>I181</f>
        <v>3322.9784098254686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3199</v>
      </c>
      <c r="E180" s="461">
        <f>VLOOKUP(E183,'AM (2011)'!$A$10:$N$444,'AM (2011)'!$N$445,FALSE)</f>
        <v>3312</v>
      </c>
      <c r="F180" s="461">
        <f>VLOOKUP(F183,'AM (2011)'!$A$10:$N$444,'AM (2011)'!$N$445,FALSE)</f>
        <v>3374</v>
      </c>
      <c r="G180" s="461">
        <f>VLOOKUP(G183,'AM (2011)'!$A$10:$N$444,'AM (2011)'!$N$445,FALSE)</f>
        <v>3439</v>
      </c>
      <c r="H180" s="461">
        <f>VLOOKUP(H183,'AM (2011)'!$A$10:$N$444,'AM (2011)'!$N$445,FALSE)</f>
        <v>3510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3309.291531997414</v>
      </c>
      <c r="F181" s="493">
        <f>VLOOKUP(F184,'AM (2011)'!$A$10:$N$444,'AM (2011)'!$N$445,FALSE)</f>
        <v>3361.1061409179056</v>
      </c>
      <c r="G181" s="493">
        <f>VLOOKUP(G184,'AM (2011)'!$A$10:$N$444,'AM (2011)'!$N$445,FALSE)</f>
        <v>3400.2115061409177</v>
      </c>
      <c r="H181" s="493">
        <f>VLOOKUP(H184,'AM (2011)'!$A$10:$N$444,'AM (2011)'!$N$445,FALSE)</f>
        <v>3430.5181641887525</v>
      </c>
      <c r="I181" s="494">
        <f>VLOOKUP(I184,'AM (2011)'!$A$10:$N$444,'AM (2011)'!$N$445,FALSE)</f>
        <v>3322.9784098254686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239</v>
      </c>
      <c r="D182" s="136">
        <f>VLOOKUP($B$2,$B$257:$Y$286,11,FALSE)</f>
        <v>240</v>
      </c>
      <c r="E182" s="136">
        <f>VLOOKUP($B$2,$B$257:$Y$286,12,FALSE)</f>
        <v>241</v>
      </c>
      <c r="F182" s="136">
        <f>VLOOKUP($B$2,$B$257:$Y$286,13,FALSE)</f>
        <v>242</v>
      </c>
      <c r="G182" s="136">
        <f>VLOOKUP($B$2,$B$257:$Y$286,14,FALSE)</f>
        <v>243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244</v>
      </c>
      <c r="E183" s="136">
        <f>VLOOKUP($B$2,$B$257:$Y$286,16,FALSE)</f>
        <v>245</v>
      </c>
      <c r="F183" s="136">
        <f>VLOOKUP($B$2,$B$257:$Y$286,17,FALSE)</f>
        <v>246</v>
      </c>
      <c r="G183" s="136">
        <f>VLOOKUP($B$2,$B$257:$Y$286,18,FALSE)</f>
        <v>247</v>
      </c>
      <c r="H183" s="136">
        <f>VLOOKUP($B$2,$B$257:$Y$286,19,FALSE)</f>
        <v>248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249</v>
      </c>
      <c r="F184" s="136">
        <f>VLOOKUP($B$2,$B$257:$Y$286,21,FALSE)</f>
        <v>250</v>
      </c>
      <c r="G184" s="136">
        <f>VLOOKUP($B$2,$B$257:$Y$286,22,FALSE)</f>
        <v>251</v>
      </c>
      <c r="H184" s="136">
        <f>VLOOKUP($B$2,$B$257:$Y$286,23,FALSE)</f>
        <v>252</v>
      </c>
      <c r="I184" s="136">
        <f>VLOOKUP($B$2,$B$257:$Y$286,24,FALSE)</f>
        <v>253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4">RANK(D186,$D$186:$D$191)</f>
        <v>1</v>
      </c>
      <c r="B186" s="483" t="s">
        <v>205</v>
      </c>
      <c r="C186" s="490"/>
      <c r="D186" s="484">
        <f>VLOOKUP($D$6,'FS (2011)'!$A$13:$AH$244,'FS (2011)'!AC245,FALSE)/1000</f>
        <v>3.2690000000000001</v>
      </c>
      <c r="E186" s="495">
        <f t="shared" ref="E186:E191" si="15">D186/$D$192</f>
        <v>0.26830269205515433</v>
      </c>
      <c r="Q186" s="559"/>
      <c r="R186" s="559"/>
      <c r="S186" s="559"/>
      <c r="T186" s="559">
        <v>1</v>
      </c>
      <c r="U186" s="559" t="str">
        <f t="shared" ref="U186:U191" si="16">VLOOKUP(T186,$A$186:$D$191,2,FALSE)</f>
        <v>System growth</v>
      </c>
      <c r="V186" s="559">
        <f t="shared" ref="V186:V191" si="17">VLOOKUP(T186,$A$186:$D$191,4,FALSE)</f>
        <v>3.2690000000000001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4"/>
        <v>4</v>
      </c>
      <c r="B187" s="162" t="s">
        <v>206</v>
      </c>
      <c r="C187" s="121"/>
      <c r="D187" s="456">
        <f>VLOOKUP($D$6,'FS (2011)'!$A$13:$AH$244,'FS (2011)'!AD245,FALSE)/1000</f>
        <v>1.5309999999999999</v>
      </c>
      <c r="E187" s="468">
        <f t="shared" si="15"/>
        <v>0.12565659881812213</v>
      </c>
      <c r="Q187" s="559"/>
      <c r="R187" s="559"/>
      <c r="S187" s="559"/>
      <c r="T187" s="559">
        <v>2</v>
      </c>
      <c r="U187" s="559" t="str">
        <f t="shared" si="16"/>
        <v>Asset replacement and renewal</v>
      </c>
      <c r="V187" s="559">
        <f t="shared" si="17"/>
        <v>3.0979999999999999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4"/>
        <v>3</v>
      </c>
      <c r="B188" s="162" t="s">
        <v>209</v>
      </c>
      <c r="C188" s="121"/>
      <c r="D188" s="456">
        <f>VLOOKUP($D$6,'FS (2011)'!$A$13:$AH$244,'FS (2011)'!AB245,FALSE)/1000</f>
        <v>2.6219999999999999</v>
      </c>
      <c r="E188" s="468">
        <f t="shared" si="15"/>
        <v>0.21520026263952724</v>
      </c>
      <c r="Q188" s="559"/>
      <c r="R188" s="559"/>
      <c r="S188" s="559"/>
      <c r="T188" s="559">
        <v>3</v>
      </c>
      <c r="U188" s="559" t="str">
        <f t="shared" si="16"/>
        <v>Customer connection</v>
      </c>
      <c r="V188" s="559">
        <f t="shared" si="17"/>
        <v>2.6219999999999999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4"/>
        <v>2</v>
      </c>
      <c r="B189" s="162" t="s">
        <v>208</v>
      </c>
      <c r="C189" s="121"/>
      <c r="D189" s="456">
        <f>VLOOKUP($D$6,'FS (2011)'!$A$13:$AH$244,'FS (2011)'!AE245,FALSE)/1000</f>
        <v>3.0979999999999999</v>
      </c>
      <c r="E189" s="468">
        <f t="shared" si="15"/>
        <v>0.25426789231779384</v>
      </c>
      <c r="Q189" s="559"/>
      <c r="R189" s="559"/>
      <c r="S189" s="559"/>
      <c r="T189" s="559">
        <v>4</v>
      </c>
      <c r="U189" s="559" t="str">
        <f t="shared" si="16"/>
        <v>Reliability, safety and environment</v>
      </c>
      <c r="V189" s="559">
        <f t="shared" si="17"/>
        <v>1.5309999999999999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4"/>
        <v>5</v>
      </c>
      <c r="B190" s="162" t="s">
        <v>312</v>
      </c>
      <c r="C190" s="121"/>
      <c r="D190" s="456">
        <f>VLOOKUP($D$6,'FS (2011)'!$A$13:$AH$244,'FS (2011)'!AH245,FALSE)/1000</f>
        <v>1.5049999999999999</v>
      </c>
      <c r="E190" s="468">
        <f t="shared" si="15"/>
        <v>0.12352265265922521</v>
      </c>
      <c r="Q190" s="559"/>
      <c r="R190" s="559"/>
      <c r="S190" s="559"/>
      <c r="T190" s="559">
        <v>5</v>
      </c>
      <c r="U190" s="559" t="str">
        <f t="shared" si="16"/>
        <v>Non-network capex</v>
      </c>
      <c r="V190" s="559">
        <f t="shared" si="17"/>
        <v>1.5049999999999999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4"/>
        <v>6</v>
      </c>
      <c r="B191" s="162" t="s">
        <v>207</v>
      </c>
      <c r="C191" s="121"/>
      <c r="D191" s="456">
        <f>VLOOKUP($D$6,'FS (2011)'!$A$13:$AH$244,'FS (2011)'!AF245,FALSE)/1000</f>
        <v>0.159</v>
      </c>
      <c r="E191" s="468">
        <f t="shared" si="15"/>
        <v>1.3049901510177283E-2</v>
      </c>
      <c r="Q191" s="559"/>
      <c r="R191" s="559"/>
      <c r="S191" s="559"/>
      <c r="T191" s="559">
        <v>6</v>
      </c>
      <c r="U191" s="559" t="str">
        <f t="shared" si="16"/>
        <v>Asset relocations</v>
      </c>
      <c r="V191" s="559">
        <f t="shared" si="17"/>
        <v>0.159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12.183999999999999</v>
      </c>
      <c r="E192" s="496">
        <f>SUM(E186:E191)</f>
        <v>1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15.154833623221464</v>
      </c>
      <c r="D196" s="484">
        <f>VLOOKUP($D$38,'FS (2011)'!$A$13:$AH$244,'FS (2011)'!$AG$245,FALSE)/1000</f>
        <v>15.751009128972472</v>
      </c>
      <c r="E196" s="484">
        <f>VLOOKUP($E$38,'FS (2011)'!$A$13:$AH$244,'FS (2011)'!$AG$245,FALSE)/1000</f>
        <v>13.514851391770632</v>
      </c>
      <c r="F196" s="486">
        <f>VLOOKUP($F$38,'FS (2011)'!$A$13:$AH$244,'FS (2011)'!$AG$245,FALSE)/1000</f>
        <v>10.679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0.28893045536197998</v>
      </c>
      <c r="D197" s="456">
        <f>VLOOKUP($D$38,'FS (2011)'!$A$13:$AH$244,'FS (2011)'!$AH$245,FALSE)/1000</f>
        <v>0.37786642871851178</v>
      </c>
      <c r="E197" s="456">
        <f>VLOOKUP($E$38,'FS (2011)'!$A$13:$AH$244,'FS (2011)'!$AH$245,FALSE)/1000</f>
        <v>0.24350165719059036</v>
      </c>
      <c r="F197" s="457">
        <f>VLOOKUP($F$38,'FS (2011)'!$A$13:$AH$244,'FS (2011)'!$AH$245,FALSE)/1000</f>
        <v>1.5049999999999999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15.443764078583444</v>
      </c>
      <c r="D198" s="488">
        <f>SUM(D196:D197)</f>
        <v>16.128875557690982</v>
      </c>
      <c r="E198" s="488">
        <f>SUM(E196:E197)</f>
        <v>13.758353048961222</v>
      </c>
      <c r="F198" s="489">
        <f>SUM(F196:F197)</f>
        <v>12.184000000000001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8">IFERROR(EXP(SLOPE(S200:V200,$C$148:$F$148))-1,(IFERROR(EXP(SLOPE(T200:V200,$D$148:$F$148))-1,F200)))</f>
        <v>-0.11336654724807593</v>
      </c>
      <c r="D200" s="498">
        <f t="shared" ref="D200:F202" si="19">D196/C196 - 1</f>
        <v>3.9338967393049984E-2</v>
      </c>
      <c r="E200" s="498">
        <f t="shared" si="19"/>
        <v>-0.14196917282516464</v>
      </c>
      <c r="F200" s="495">
        <f t="shared" si="19"/>
        <v>-0.20983222897274467</v>
      </c>
      <c r="Q200" s="559"/>
      <c r="R200" s="559" t="s">
        <v>423</v>
      </c>
      <c r="S200" s="559">
        <f t="shared" ref="S200:V202" si="20">LN(C196)</f>
        <v>2.7183195321071394</v>
      </c>
      <c r="T200" s="559">
        <f t="shared" si="20"/>
        <v>2.7569044348999316</v>
      </c>
      <c r="U200" s="559">
        <f t="shared" si="20"/>
        <v>2.6037891838685212</v>
      </c>
      <c r="V200" s="559">
        <f t="shared" si="20"/>
        <v>2.3682791961894081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8"/>
        <v>0.5701433876386488</v>
      </c>
      <c r="D201" s="467">
        <f t="shared" si="19"/>
        <v>0.30781100332642475</v>
      </c>
      <c r="E201" s="467">
        <f t="shared" si="19"/>
        <v>-0.35558801024902709</v>
      </c>
      <c r="F201" s="468">
        <f t="shared" si="19"/>
        <v>5.1806560881925598</v>
      </c>
      <c r="Q201" s="559"/>
      <c r="R201" s="559" t="s">
        <v>423</v>
      </c>
      <c r="S201" s="559">
        <f t="shared" si="20"/>
        <v>-1.2415692587137697</v>
      </c>
      <c r="T201" s="559">
        <f t="shared" si="20"/>
        <v>-0.97321450898856909</v>
      </c>
      <c r="U201" s="559">
        <f t="shared" si="20"/>
        <v>-1.412631530771808</v>
      </c>
      <c r="V201" s="559">
        <f t="shared" si="20"/>
        <v>0.40879289820083897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8"/>
        <v>-8.3342163974779004E-2</v>
      </c>
      <c r="D202" s="500">
        <f t="shared" si="19"/>
        <v>4.4361690299168366E-2</v>
      </c>
      <c r="E202" s="500">
        <f t="shared" si="19"/>
        <v>-0.14697382345413323</v>
      </c>
      <c r="F202" s="501">
        <f t="shared" si="19"/>
        <v>-0.11442888864376743</v>
      </c>
      <c r="Q202" s="559"/>
      <c r="R202" s="559" t="s">
        <v>423</v>
      </c>
      <c r="S202" s="559">
        <f t="shared" si="20"/>
        <v>2.7372053023583138</v>
      </c>
      <c r="T202" s="559">
        <f t="shared" si="20"/>
        <v>2.7806111784666911</v>
      </c>
      <c r="U202" s="559">
        <f t="shared" si="20"/>
        <v>2.6216461341324195</v>
      </c>
      <c r="V202" s="559">
        <f t="shared" si="20"/>
        <v>2.5001236155928606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Mainpower</v>
      </c>
      <c r="C206" s="456">
        <f>(C198/C102)*1000000</f>
        <v>474.53569146054519</v>
      </c>
      <c r="D206" s="456">
        <f>(D198/D102)*1000000</f>
        <v>485.10814357828986</v>
      </c>
      <c r="E206" s="456">
        <f>(E198/E102)*1000000</f>
        <v>407.13618349839385</v>
      </c>
      <c r="F206" s="457">
        <f>(F198/F102)*1000000</f>
        <v>355.76838847198297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Mainpower</v>
      </c>
      <c r="C209" s="456">
        <f>(C198/C117)*1000000000</f>
        <v>31389.764387364725</v>
      </c>
      <c r="D209" s="456">
        <f>(D198/D117)*1000000000</f>
        <v>31678.04292976722</v>
      </c>
      <c r="E209" s="456">
        <f>(E198/E117)*1000000000</f>
        <v>26663.47490108764</v>
      </c>
      <c r="F209" s="457">
        <f>(F198/F117)*1000000000</f>
        <v>22562.962962962967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Mainpower</v>
      </c>
      <c r="C212" s="456">
        <f>(C198/VLOOKUP(C$38,'AV (2011)'!$A$11:$F$213,'AV (2011)'!$F$214,FALSE)*1000)</f>
        <v>8.9032650463780852E-2</v>
      </c>
      <c r="D212" s="456">
        <f>(D198/VLOOKUP(D$38,'AV (2011)'!$A$11:$F$213,'AV (2011)'!$F$214,FALSE)*1000)</f>
        <v>8.90520947016325E-2</v>
      </c>
      <c r="E212" s="456">
        <f>(E198/VLOOKUP(E$38,'AV (2011)'!$A$11:$F$213,'AV (2011)'!$F$214,FALSE)*1000)</f>
        <v>7.4579126912809088E-2</v>
      </c>
      <c r="F212" s="457">
        <f>(F198/VLOOKUP(F$38,'AV (2011)'!$A$11:$F$213,'AV (2011)'!$F$214,FALSE)*1000)</f>
        <v>6.322923602798132E-2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1">IFERROR(EXP(SLOPE(S215:V215,$C$195:$F$195))-1,(IFERROR(EXP(SLOPE(T215:V215,$D$195:$F$195))-1,F215)))</f>
        <v>-9.8720162196629269E-2</v>
      </c>
      <c r="D215" s="464">
        <f>D206/C206 - 1</f>
        <v>2.2279572027984473E-2</v>
      </c>
      <c r="E215" s="464">
        <f>E206/D206 - 1</f>
        <v>-0.16073108875219777</v>
      </c>
      <c r="F215" s="465">
        <f>F206/E206 - 1</f>
        <v>-0.1261685821805949</v>
      </c>
      <c r="K215" s="139"/>
      <c r="P215" s="139"/>
      <c r="Q215" s="559"/>
      <c r="R215" s="559" t="s">
        <v>423</v>
      </c>
      <c r="S215" s="559">
        <f>LN(C206)</f>
        <v>6.1623368343161005</v>
      </c>
      <c r="T215" s="559">
        <f>LN(D206)</f>
        <v>6.1843718425320118</v>
      </c>
      <c r="U215" s="559">
        <f>LN(E206)</f>
        <v>6.0091477326655882</v>
      </c>
      <c r="V215" s="559">
        <f>LN(F206)</f>
        <v>5.8742799249439761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1"/>
        <v>-0.10977812277141152</v>
      </c>
      <c r="D216" s="467">
        <f>D209/C209 - 1</f>
        <v>9.1838390006691029E-3</v>
      </c>
      <c r="E216" s="467">
        <f>E209/D209 - 1</f>
        <v>-0.15829791126293002</v>
      </c>
      <c r="F216" s="468">
        <f>F209/E209 - 1</f>
        <v>-0.15378760470404429</v>
      </c>
      <c r="Q216" s="559"/>
      <c r="R216" s="559" t="s">
        <v>423</v>
      </c>
      <c r="S216" s="559">
        <f>LN(C209)</f>
        <v>10.35423714383028</v>
      </c>
      <c r="T216" s="559">
        <f>LN(D209)</f>
        <v>10.363379067813291</v>
      </c>
      <c r="U216" s="559">
        <f>LN(E209)</f>
        <v>10.191049926615131</v>
      </c>
      <c r="V216" s="559">
        <f>LN(F209)</f>
        <v>10.024065033998815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-0.11344046470967906</v>
      </c>
      <c r="D217" s="470">
        <f>D212/C212 - 1</f>
        <v>2.1839446259730444E-4</v>
      </c>
      <c r="E217" s="470">
        <f>E212/D212 - 1</f>
        <v>-0.16252248571260275</v>
      </c>
      <c r="F217" s="471">
        <f>F212/E212 - 1</f>
        <v>-0.15218589107508584</v>
      </c>
      <c r="Q217" s="559"/>
      <c r="R217" s="559" t="s">
        <v>423</v>
      </c>
      <c r="S217" s="559">
        <f>LN(C212)</f>
        <v>-2.4187521173827542</v>
      </c>
      <c r="T217" s="559">
        <f>LN(D212)</f>
        <v>-2.4185337467647559</v>
      </c>
      <c r="U217" s="559">
        <f>LN(E212)</f>
        <v>-2.5958946110201651</v>
      </c>
      <c r="V217" s="559">
        <f>LN(F212)</f>
        <v>-2.7609884894141303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Mainpower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13514.851391770631</v>
      </c>
      <c r="X220" s="563">
        <f>D222</f>
        <v>10679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Mainpower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2">C223</f>
        <v>11909.166823852764</v>
      </c>
      <c r="X221" s="563">
        <f t="shared" si="22"/>
        <v>14037.513944652526</v>
      </c>
      <c r="Y221" s="563">
        <f t="shared" si="22"/>
        <v>10028.396701786531</v>
      </c>
      <c r="Z221" s="563">
        <f t="shared" si="22"/>
        <v>11291.752580097544</v>
      </c>
      <c r="AA221" s="563">
        <f t="shared" si="22"/>
        <v>8953.5253698364359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13514.851391770631</v>
      </c>
      <c r="D222" s="461">
        <f>VLOOKUP(D226,'FS (2011)'!$A$14:$AJ$245,'FS (2011)'!$AG$245,FALSE)</f>
        <v>10679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2"/>
        <v>11636</v>
      </c>
      <c r="Y222" s="563">
        <f t="shared" si="22"/>
        <v>13866</v>
      </c>
      <c r="Z222" s="563">
        <f t="shared" si="22"/>
        <v>13871</v>
      </c>
      <c r="AA222" s="563">
        <f t="shared" si="22"/>
        <v>14202</v>
      </c>
      <c r="AB222" s="563">
        <f>H224</f>
        <v>12826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11909.166823852764</v>
      </c>
      <c r="D223" s="461">
        <f>VLOOKUP(D227,'AM (2011)'!$A$10:$N$444,'AM (2011)'!$J$445,FALSE)</f>
        <v>14037.513944652526</v>
      </c>
      <c r="E223" s="461">
        <f>VLOOKUP(E226,'AM (2011)'!$A$10:$N$444,'AM (2011)'!$J$445,FALSE)</f>
        <v>10028.396701786531</v>
      </c>
      <c r="F223" s="461">
        <f>VLOOKUP(F226,'AM (2011)'!$A$10:$N$444,'AM (2011)'!$J$445,FALSE)</f>
        <v>11291.752580097544</v>
      </c>
      <c r="G223" s="461">
        <f>VLOOKUP(G226,'AM (2011)'!$A$10:$N$444,'AM (2011)'!$J$445,FALSE)</f>
        <v>8953.5253698364359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11113.74479638009</v>
      </c>
      <c r="Z223" s="563">
        <f>F225</f>
        <v>16348.975565610859</v>
      </c>
      <c r="AA223" s="563">
        <f>G225</f>
        <v>12239.979314802844</v>
      </c>
      <c r="AB223" s="563">
        <f>H225</f>
        <v>13119.850032320621</v>
      </c>
      <c r="AC223" s="563">
        <f>I225</f>
        <v>11824.484809308338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11636</v>
      </c>
      <c r="E224" s="461">
        <f>VLOOKUP(E227,'AM (2011)'!$A$10:$N$444,'AM (2011)'!$J$445,FALSE)</f>
        <v>13866</v>
      </c>
      <c r="F224" s="461">
        <f>VLOOKUP(F227,'AM (2011)'!$A$10:$N$444,'AM (2011)'!$J$445,FALSE)</f>
        <v>13871</v>
      </c>
      <c r="G224" s="461">
        <f>VLOOKUP(G227,'AM (2011)'!$A$10:$N$444,'AM (2011)'!$J$445,FALSE)</f>
        <v>14202</v>
      </c>
      <c r="H224" s="461">
        <f>VLOOKUP(H227,'AM (2011)'!$A$10:$N$444,'AM (2011)'!$J$445,FALSE)</f>
        <v>12826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11113.74479638009</v>
      </c>
      <c r="F225" s="493">
        <f>VLOOKUP(F228,'AM (2011)'!$A$10:$N$444,'AM (2011)'!$J$445,FALSE)</f>
        <v>16348.975565610859</v>
      </c>
      <c r="G225" s="493">
        <f>VLOOKUP(G228,'AM (2011)'!$A$10:$N$444,'AM (2011)'!$J$445,FALSE)</f>
        <v>12239.979314802844</v>
      </c>
      <c r="H225" s="493">
        <f>VLOOKUP(H228,'AM (2011)'!$A$10:$N$444,'AM (2011)'!$J$445,FALSE)</f>
        <v>13119.850032320621</v>
      </c>
      <c r="I225" s="494">
        <f>VLOOKUP(I228,'AM (2011)'!$A$10:$N$444,'AM (2011)'!$J$445,FALSE)</f>
        <v>11824.484809308338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237</v>
      </c>
      <c r="D226" s="136">
        <f>VLOOKUP($B$2,$B$257:$Y$286,9,FALSE)</f>
        <v>238</v>
      </c>
      <c r="E226" s="136">
        <f>VLOOKUP($B$2,$B$257:$Y$286,12,FALSE)</f>
        <v>241</v>
      </c>
      <c r="F226" s="136">
        <f>VLOOKUP($B$2,$B$257:$Y$286,13,FALSE)</f>
        <v>242</v>
      </c>
      <c r="G226" s="136">
        <f>VLOOKUP($B$2,$B$257:$Y$286,14,FALSE)</f>
        <v>243</v>
      </c>
      <c r="H226" s="136"/>
      <c r="I226" s="136"/>
    </row>
    <row r="227" spans="2:30">
      <c r="C227" s="136">
        <f>VLOOKUP($B$2,$B$257:$Y$286,10,FALSE)</f>
        <v>239</v>
      </c>
      <c r="D227" s="136">
        <f>VLOOKUP($B$2,$B$257:$Y$286,11,FALSE)</f>
        <v>240</v>
      </c>
      <c r="E227" s="136">
        <f>VLOOKUP($B$2,$B$257:$Y$286,16,FALSE)</f>
        <v>245</v>
      </c>
      <c r="F227" s="136">
        <f>VLOOKUP($B$2,$B$257:$Y$286,17,FALSE)</f>
        <v>246</v>
      </c>
      <c r="G227" s="136">
        <f>VLOOKUP($B$2,$B$257:$Y$286,18,FALSE)</f>
        <v>247</v>
      </c>
      <c r="H227" s="136">
        <f>VLOOKUP($B$2,$B$257:$Y$286,19,FALSE)</f>
        <v>248</v>
      </c>
      <c r="I227" s="136"/>
    </row>
    <row r="228" spans="2:30">
      <c r="B228" s="517" t="s">
        <v>291</v>
      </c>
      <c r="C228" s="518"/>
      <c r="D228" s="518">
        <f>VLOOKUP($B$2,$B$257:$Y$286,15,FALSE)</f>
        <v>244</v>
      </c>
      <c r="E228" s="518">
        <f>VLOOKUP($B$2,$B$257:$Y$286,20,FALSE)</f>
        <v>249</v>
      </c>
      <c r="F228" s="519">
        <f>VLOOKUP($B$2,$B$257:$Y$286,21,FALSE)</f>
        <v>250</v>
      </c>
      <c r="G228" s="136">
        <f>VLOOKUP($B$2,$B$257:$Y$286,22,FALSE)</f>
        <v>251</v>
      </c>
      <c r="H228" s="136">
        <f>VLOOKUP($B$2,$B$257:$Y$286,23,FALSE)</f>
        <v>252</v>
      </c>
      <c r="I228" s="136">
        <f>VLOOKUP($B$2,$B$257:$Y$286,24,FALSE)</f>
        <v>253</v>
      </c>
    </row>
    <row r="229" spans="2:30">
      <c r="B229" s="474" t="str">
        <f>$B$2</f>
        <v>Mainpower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110.11</v>
      </c>
      <c r="D230" s="456">
        <f>VLOOKUP(D$38,'MP (2011)'!$A$11:$AR$245,'MP (2011)'!$S$246,FALSE)+VLOOKUP(D$38,'MP (2011)'!$A$11:$AR$245,'MP (2011)'!$T$246,FALSE)</f>
        <v>146.16000000000003</v>
      </c>
      <c r="E230" s="456">
        <f>VLOOKUP(E$38,'MP (2011)'!$A$11:$AR$245,'MP (2011)'!$S$246,FALSE)+VLOOKUP(E$38,'MP (2011)'!$A$11:$AR$245,'MP (2011)'!$T$246,FALSE)</f>
        <v>140.11000000000001</v>
      </c>
      <c r="F230" s="457">
        <f>VLOOKUP(F$38,'MP (2011)'!$A$11:$AR$245,'MP (2011)'!$S$246,FALSE)+VLOOKUP(F$38,'MP (2011)'!$A$11:$AR$245,'MP (2011)'!$T$246,FALSE)</f>
        <v>337.1</v>
      </c>
    </row>
    <row r="231" spans="2:30">
      <c r="B231" s="199" t="s">
        <v>292</v>
      </c>
      <c r="C231" s="456" t="str">
        <f>IF(ISERROR(VLOOKUP(C$38,'Compliance data'!$A$7:$E$74,'Compliance data'!$D$75,FALSE)),"",(VLOOKUP(C$38,'Compliance data'!$A$7:$E$74,'Compliance data'!$D$75,FALSE)))</f>
        <v/>
      </c>
      <c r="D231" s="456" t="str">
        <f>IF(ISERROR(VLOOKUP(D$38,'Compliance data'!$A$7:$E$74,'Compliance data'!$D$75,FALSE)),"",(VLOOKUP(D$38,'Compliance data'!$A$7:$E$74,'Compliance data'!$D$75,FALSE)))</f>
        <v/>
      </c>
      <c r="E231" s="456" t="str">
        <f>IF(ISERROR(VLOOKUP(E$38,'Compliance data'!$A$7:$E$74,'Compliance data'!$D$75,FALSE)),"",(VLOOKUP(E$38,'Compliance data'!$A$7:$E$74,'Compliance data'!$D$75,FALSE)))</f>
        <v/>
      </c>
      <c r="F231" s="457" t="str">
        <f>IF(ISERROR(VLOOKUP(F$38,'Compliance data'!$A$7:$E$74,'Compliance data'!$D$75,FALSE)),"",(VLOOKUP(F$38,'Compliance data'!$A$7:$E$74,'Compliance data'!$D$75,FALSE)))</f>
        <v/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1.2490000000000001</v>
      </c>
      <c r="D237" s="456">
        <f>VLOOKUP(D$38,'MP (2011)'!$A$11:$AR$245,'MP (2011)'!$W$246,FALSE)+VLOOKUP(D$38,'MP (2011)'!$A$11:$AR$245,'MP (2011)'!$X$246,FALSE)</f>
        <v>1.33</v>
      </c>
      <c r="E237" s="456">
        <f>VLOOKUP(E$38,'MP (2011)'!$A$11:$AR$245,'MP (2011)'!$W$246,FALSE)+VLOOKUP(E$38,'MP (2011)'!$A$11:$AR$245,'MP (2011)'!$X$246,FALSE)</f>
        <v>1.83</v>
      </c>
      <c r="F237" s="457">
        <f>VLOOKUP(F$38,'MP (2011)'!$A$11:$AR$245,'MP (2011)'!$W$246,FALSE)+VLOOKUP(F$38,'MP (2011)'!$A$11:$AR$245,'MP (2011)'!$X$246,FALSE)</f>
        <v>2.9000000000000004</v>
      </c>
    </row>
    <row r="238" spans="2:30">
      <c r="B238" s="199" t="s">
        <v>292</v>
      </c>
      <c r="C238" s="456" t="str">
        <f>IF(ISERROR(VLOOKUP(C$38,'Compliance data'!$A$7:$E$74,'Compliance data'!$E$75,FALSE)),"",(VLOOKUP(C$38,'Compliance data'!$A$7:$E$74,'Compliance data'!$E$75,FALSE)))</f>
        <v/>
      </c>
      <c r="D238" s="456" t="str">
        <f>IF(ISERROR(VLOOKUP(D$38,'Compliance data'!$A$7:$E$74,'Compliance data'!$E$75,FALSE)),"",(VLOOKUP(D$38,'Compliance data'!$A$7:$E$74,'Compliance data'!$E$75,FALSE)))</f>
        <v/>
      </c>
      <c r="E238" s="456" t="str">
        <f>IF(ISERROR(VLOOKUP(E$38,'Compliance data'!$A$7:$E$74,'Compliance data'!$E$75,FALSE)),"",(VLOOKUP(E$38,'Compliance data'!$A$7:$E$74,'Compliance data'!$E$75,FALSE)))</f>
        <v/>
      </c>
      <c r="F238" s="457" t="str">
        <f>IF(ISERROR(VLOOKUP(F$38,'Compliance data'!$A$7:$E$74,'Compliance data'!$E$75,FALSE)),"",(VLOOKUP(F$38,'Compliance data'!$A$7:$E$74,'Compliance data'!$E$75,FALSE)))</f>
        <v/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Y269" si="23">C258+1</f>
        <v>2</v>
      </c>
      <c r="E258" s="526">
        <f t="shared" si="23"/>
        <v>3</v>
      </c>
      <c r="F258" s="526">
        <f t="shared" si="23"/>
        <v>4</v>
      </c>
      <c r="G258" s="526">
        <f t="shared" si="23"/>
        <v>5</v>
      </c>
      <c r="H258" s="526">
        <f t="shared" si="23"/>
        <v>6</v>
      </c>
      <c r="I258" s="526">
        <f t="shared" si="23"/>
        <v>7</v>
      </c>
      <c r="J258" s="526">
        <f t="shared" si="23"/>
        <v>8</v>
      </c>
      <c r="K258" s="526">
        <f t="shared" si="23"/>
        <v>9</v>
      </c>
      <c r="L258" s="526">
        <f t="shared" si="23"/>
        <v>10</v>
      </c>
      <c r="M258" s="526">
        <f t="shared" si="23"/>
        <v>11</v>
      </c>
      <c r="N258" s="526">
        <f t="shared" si="23"/>
        <v>12</v>
      </c>
      <c r="O258" s="526">
        <f t="shared" si="23"/>
        <v>13</v>
      </c>
      <c r="P258" s="526">
        <f t="shared" si="23"/>
        <v>14</v>
      </c>
      <c r="Q258" s="526">
        <f t="shared" si="23"/>
        <v>15</v>
      </c>
      <c r="R258" s="526">
        <f t="shared" si="23"/>
        <v>16</v>
      </c>
      <c r="S258" s="526">
        <f t="shared" si="23"/>
        <v>17</v>
      </c>
      <c r="T258" s="526">
        <f t="shared" si="23"/>
        <v>18</v>
      </c>
      <c r="U258" s="526">
        <f t="shared" si="23"/>
        <v>19</v>
      </c>
      <c r="V258" s="526">
        <f t="shared" si="23"/>
        <v>20</v>
      </c>
      <c r="W258" s="526">
        <f t="shared" si="23"/>
        <v>21</v>
      </c>
      <c r="X258" s="526">
        <f t="shared" si="23"/>
        <v>22</v>
      </c>
      <c r="Y258" s="526">
        <f t="shared" si="23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3"/>
        <v>25</v>
      </c>
      <c r="E259" s="526">
        <f t="shared" si="23"/>
        <v>26</v>
      </c>
      <c r="F259" s="526">
        <f t="shared" si="23"/>
        <v>27</v>
      </c>
      <c r="G259" s="526">
        <f t="shared" si="23"/>
        <v>28</v>
      </c>
      <c r="H259" s="526">
        <f t="shared" si="23"/>
        <v>29</v>
      </c>
      <c r="I259" s="526">
        <f t="shared" si="23"/>
        <v>30</v>
      </c>
      <c r="J259" s="526">
        <f t="shared" si="23"/>
        <v>31</v>
      </c>
      <c r="K259" s="526">
        <f t="shared" si="23"/>
        <v>32</v>
      </c>
      <c r="L259" s="526">
        <f t="shared" si="23"/>
        <v>33</v>
      </c>
      <c r="M259" s="526">
        <f t="shared" si="23"/>
        <v>34</v>
      </c>
      <c r="N259" s="526">
        <f t="shared" si="23"/>
        <v>35</v>
      </c>
      <c r="O259" s="526">
        <f t="shared" si="23"/>
        <v>36</v>
      </c>
      <c r="P259" s="526">
        <f t="shared" si="23"/>
        <v>37</v>
      </c>
      <c r="Q259" s="526">
        <f t="shared" si="23"/>
        <v>38</v>
      </c>
      <c r="R259" s="526">
        <f t="shared" si="23"/>
        <v>39</v>
      </c>
      <c r="S259" s="526">
        <f t="shared" si="23"/>
        <v>40</v>
      </c>
      <c r="T259" s="526">
        <f t="shared" si="23"/>
        <v>41</v>
      </c>
      <c r="U259" s="526">
        <f t="shared" si="23"/>
        <v>42</v>
      </c>
      <c r="V259" s="526">
        <f t="shared" si="23"/>
        <v>43</v>
      </c>
      <c r="W259" s="526">
        <f t="shared" si="23"/>
        <v>44</v>
      </c>
      <c r="X259" s="526">
        <f t="shared" si="23"/>
        <v>45</v>
      </c>
      <c r="Y259" s="526">
        <f t="shared" si="23"/>
        <v>46</v>
      </c>
    </row>
    <row r="260" spans="2:25" s="526" customFormat="1" ht="15.75">
      <c r="B260" s="530" t="s">
        <v>31</v>
      </c>
      <c r="C260" s="526">
        <f t="shared" ref="C260:C286" si="24">Y259+1</f>
        <v>47</v>
      </c>
      <c r="D260" s="526">
        <f t="shared" si="23"/>
        <v>48</v>
      </c>
      <c r="E260" s="526">
        <f t="shared" si="23"/>
        <v>49</v>
      </c>
      <c r="F260" s="526">
        <f t="shared" si="23"/>
        <v>50</v>
      </c>
      <c r="G260" s="526">
        <f t="shared" si="23"/>
        <v>51</v>
      </c>
      <c r="H260" s="526">
        <f t="shared" si="23"/>
        <v>52</v>
      </c>
      <c r="I260" s="526">
        <f t="shared" si="23"/>
        <v>53</v>
      </c>
      <c r="J260" s="526">
        <f t="shared" si="23"/>
        <v>54</v>
      </c>
      <c r="K260" s="526">
        <f t="shared" si="23"/>
        <v>55</v>
      </c>
      <c r="L260" s="526">
        <f t="shared" si="23"/>
        <v>56</v>
      </c>
      <c r="M260" s="526">
        <f t="shared" si="23"/>
        <v>57</v>
      </c>
      <c r="N260" s="526">
        <f t="shared" si="23"/>
        <v>58</v>
      </c>
      <c r="O260" s="526">
        <f t="shared" si="23"/>
        <v>59</v>
      </c>
      <c r="P260" s="526">
        <f t="shared" si="23"/>
        <v>60</v>
      </c>
      <c r="Q260" s="526">
        <f t="shared" si="23"/>
        <v>61</v>
      </c>
      <c r="R260" s="526">
        <f t="shared" si="23"/>
        <v>62</v>
      </c>
      <c r="S260" s="526">
        <f t="shared" si="23"/>
        <v>63</v>
      </c>
      <c r="T260" s="526">
        <f t="shared" si="23"/>
        <v>64</v>
      </c>
      <c r="U260" s="526">
        <f t="shared" si="23"/>
        <v>65</v>
      </c>
      <c r="V260" s="526">
        <f t="shared" si="23"/>
        <v>66</v>
      </c>
      <c r="W260" s="526">
        <f t="shared" si="23"/>
        <v>67</v>
      </c>
      <c r="X260" s="526">
        <f t="shared" si="23"/>
        <v>68</v>
      </c>
      <c r="Y260" s="526">
        <f t="shared" si="23"/>
        <v>69</v>
      </c>
    </row>
    <row r="261" spans="2:25" s="526" customFormat="1" ht="15.75">
      <c r="B261" s="530" t="s">
        <v>32</v>
      </c>
      <c r="C261" s="526">
        <f t="shared" si="24"/>
        <v>70</v>
      </c>
      <c r="D261" s="526">
        <f t="shared" si="23"/>
        <v>71</v>
      </c>
      <c r="E261" s="526">
        <f t="shared" si="23"/>
        <v>72</v>
      </c>
      <c r="F261" s="526">
        <f t="shared" si="23"/>
        <v>73</v>
      </c>
      <c r="G261" s="526">
        <f t="shared" si="23"/>
        <v>74</v>
      </c>
      <c r="H261" s="526">
        <f t="shared" si="23"/>
        <v>75</v>
      </c>
      <c r="I261" s="526">
        <f t="shared" si="23"/>
        <v>76</v>
      </c>
      <c r="J261" s="526">
        <f t="shared" si="23"/>
        <v>77</v>
      </c>
      <c r="K261" s="526">
        <f t="shared" si="23"/>
        <v>78</v>
      </c>
      <c r="L261" s="526">
        <f t="shared" si="23"/>
        <v>79</v>
      </c>
      <c r="M261" s="526">
        <f t="shared" si="23"/>
        <v>80</v>
      </c>
      <c r="N261" s="526">
        <f t="shared" si="23"/>
        <v>81</v>
      </c>
      <c r="O261" s="526">
        <f t="shared" si="23"/>
        <v>82</v>
      </c>
      <c r="P261" s="526">
        <f t="shared" si="23"/>
        <v>83</v>
      </c>
      <c r="Q261" s="526">
        <f t="shared" si="23"/>
        <v>84</v>
      </c>
      <c r="R261" s="526">
        <f t="shared" si="23"/>
        <v>85</v>
      </c>
      <c r="S261" s="526">
        <f t="shared" si="23"/>
        <v>86</v>
      </c>
      <c r="T261" s="526">
        <f t="shared" si="23"/>
        <v>87</v>
      </c>
      <c r="U261" s="526">
        <f t="shared" si="23"/>
        <v>88</v>
      </c>
      <c r="V261" s="526">
        <f t="shared" si="23"/>
        <v>89</v>
      </c>
      <c r="W261" s="526">
        <f t="shared" si="23"/>
        <v>90</v>
      </c>
      <c r="X261" s="526">
        <f t="shared" si="23"/>
        <v>91</v>
      </c>
      <c r="Y261" s="526">
        <f t="shared" si="23"/>
        <v>92</v>
      </c>
    </row>
    <row r="262" spans="2:25" s="526" customFormat="1" ht="15.75">
      <c r="B262" s="530" t="s">
        <v>33</v>
      </c>
      <c r="C262" s="526">
        <f t="shared" si="24"/>
        <v>93</v>
      </c>
      <c r="D262" s="526">
        <f t="shared" si="23"/>
        <v>94</v>
      </c>
      <c r="E262" s="526">
        <f t="shared" si="23"/>
        <v>95</v>
      </c>
      <c r="F262" s="526">
        <f t="shared" si="23"/>
        <v>96</v>
      </c>
      <c r="G262" s="526">
        <f t="shared" si="23"/>
        <v>97</v>
      </c>
      <c r="H262" s="526">
        <f t="shared" si="23"/>
        <v>98</v>
      </c>
      <c r="I262" s="526">
        <f t="shared" si="23"/>
        <v>99</v>
      </c>
      <c r="J262" s="526">
        <f t="shared" si="23"/>
        <v>100</v>
      </c>
      <c r="K262" s="526">
        <f t="shared" si="23"/>
        <v>101</v>
      </c>
      <c r="L262" s="526">
        <f t="shared" si="23"/>
        <v>102</v>
      </c>
      <c r="M262" s="526">
        <f t="shared" si="23"/>
        <v>103</v>
      </c>
      <c r="N262" s="526">
        <f t="shared" si="23"/>
        <v>104</v>
      </c>
      <c r="O262" s="526">
        <f t="shared" si="23"/>
        <v>105</v>
      </c>
      <c r="P262" s="526">
        <f t="shared" si="23"/>
        <v>106</v>
      </c>
      <c r="Q262" s="526">
        <f t="shared" si="23"/>
        <v>107</v>
      </c>
      <c r="R262" s="526">
        <f t="shared" si="23"/>
        <v>108</v>
      </c>
      <c r="S262" s="526">
        <f t="shared" si="23"/>
        <v>109</v>
      </c>
      <c r="T262" s="526">
        <f t="shared" si="23"/>
        <v>110</v>
      </c>
      <c r="U262" s="526">
        <f t="shared" si="23"/>
        <v>111</v>
      </c>
      <c r="V262" s="526">
        <f t="shared" si="23"/>
        <v>112</v>
      </c>
      <c r="W262" s="526">
        <f t="shared" si="23"/>
        <v>113</v>
      </c>
      <c r="X262" s="526">
        <f t="shared" si="23"/>
        <v>114</v>
      </c>
      <c r="Y262" s="526">
        <f t="shared" si="23"/>
        <v>115</v>
      </c>
    </row>
    <row r="263" spans="2:25" s="526" customFormat="1" ht="15.75">
      <c r="B263" s="530" t="s">
        <v>34</v>
      </c>
      <c r="C263" s="526">
        <f t="shared" si="24"/>
        <v>116</v>
      </c>
      <c r="D263" s="526">
        <f t="shared" si="23"/>
        <v>117</v>
      </c>
      <c r="E263" s="526">
        <f t="shared" si="23"/>
        <v>118</v>
      </c>
      <c r="F263" s="526">
        <f t="shared" si="23"/>
        <v>119</v>
      </c>
      <c r="G263" s="526">
        <f t="shared" si="23"/>
        <v>120</v>
      </c>
      <c r="H263" s="526">
        <f t="shared" si="23"/>
        <v>121</v>
      </c>
      <c r="I263" s="526">
        <f t="shared" si="23"/>
        <v>122</v>
      </c>
      <c r="J263" s="526">
        <f t="shared" si="23"/>
        <v>123</v>
      </c>
      <c r="K263" s="526">
        <f t="shared" si="23"/>
        <v>124</v>
      </c>
      <c r="L263" s="526">
        <f t="shared" si="23"/>
        <v>125</v>
      </c>
      <c r="M263" s="526">
        <f t="shared" si="23"/>
        <v>126</v>
      </c>
      <c r="N263" s="526">
        <f t="shared" si="23"/>
        <v>127</v>
      </c>
      <c r="O263" s="526">
        <f t="shared" si="23"/>
        <v>128</v>
      </c>
      <c r="P263" s="526">
        <f t="shared" si="23"/>
        <v>129</v>
      </c>
      <c r="Q263" s="526">
        <f t="shared" si="23"/>
        <v>130</v>
      </c>
      <c r="R263" s="526">
        <f t="shared" si="23"/>
        <v>131</v>
      </c>
      <c r="S263" s="526">
        <f t="shared" si="23"/>
        <v>132</v>
      </c>
      <c r="T263" s="526">
        <f t="shared" si="23"/>
        <v>133</v>
      </c>
      <c r="U263" s="526">
        <f t="shared" si="23"/>
        <v>134</v>
      </c>
      <c r="V263" s="526">
        <f t="shared" si="23"/>
        <v>135</v>
      </c>
      <c r="W263" s="526">
        <f t="shared" si="23"/>
        <v>136</v>
      </c>
      <c r="X263" s="526">
        <f t="shared" si="23"/>
        <v>137</v>
      </c>
      <c r="Y263" s="526">
        <f t="shared" si="23"/>
        <v>138</v>
      </c>
    </row>
    <row r="264" spans="2:25" s="526" customFormat="1" ht="15.75">
      <c r="B264" s="530" t="s">
        <v>35</v>
      </c>
      <c r="C264" s="526">
        <f t="shared" si="24"/>
        <v>139</v>
      </c>
      <c r="D264" s="526">
        <f t="shared" si="23"/>
        <v>140</v>
      </c>
      <c r="E264" s="526">
        <f t="shared" si="23"/>
        <v>141</v>
      </c>
      <c r="F264" s="526">
        <f t="shared" si="23"/>
        <v>142</v>
      </c>
      <c r="G264" s="526">
        <f t="shared" si="23"/>
        <v>143</v>
      </c>
      <c r="H264" s="526">
        <f t="shared" si="23"/>
        <v>144</v>
      </c>
      <c r="I264" s="526">
        <f t="shared" si="23"/>
        <v>145</v>
      </c>
      <c r="J264" s="526">
        <f t="shared" si="23"/>
        <v>146</v>
      </c>
      <c r="K264" s="526">
        <f t="shared" si="23"/>
        <v>147</v>
      </c>
      <c r="L264" s="526">
        <f t="shared" si="23"/>
        <v>148</v>
      </c>
      <c r="M264" s="526">
        <f t="shared" si="23"/>
        <v>149</v>
      </c>
      <c r="N264" s="526">
        <f t="shared" si="23"/>
        <v>150</v>
      </c>
      <c r="O264" s="526">
        <f t="shared" si="23"/>
        <v>151</v>
      </c>
      <c r="P264" s="526">
        <f t="shared" si="23"/>
        <v>152</v>
      </c>
      <c r="Q264" s="526">
        <f t="shared" si="23"/>
        <v>153</v>
      </c>
      <c r="R264" s="526">
        <f t="shared" si="23"/>
        <v>154</v>
      </c>
      <c r="S264" s="526">
        <f t="shared" si="23"/>
        <v>155</v>
      </c>
      <c r="T264" s="526">
        <f t="shared" si="23"/>
        <v>156</v>
      </c>
      <c r="U264" s="526">
        <f t="shared" si="23"/>
        <v>157</v>
      </c>
      <c r="V264" s="526">
        <f t="shared" si="23"/>
        <v>158</v>
      </c>
      <c r="W264" s="526">
        <f t="shared" si="23"/>
        <v>159</v>
      </c>
      <c r="X264" s="526">
        <f t="shared" si="23"/>
        <v>160</v>
      </c>
      <c r="Y264" s="526">
        <f t="shared" si="23"/>
        <v>161</v>
      </c>
    </row>
    <row r="265" spans="2:25" s="526" customFormat="1" ht="15.75">
      <c r="B265" s="530" t="s">
        <v>115</v>
      </c>
      <c r="C265" s="526">
        <f t="shared" si="24"/>
        <v>162</v>
      </c>
      <c r="D265" s="526">
        <f t="shared" si="23"/>
        <v>163</v>
      </c>
      <c r="E265" s="526">
        <f t="shared" si="23"/>
        <v>164</v>
      </c>
      <c r="F265" s="526">
        <f t="shared" si="23"/>
        <v>165</v>
      </c>
      <c r="G265" s="526">
        <f t="shared" si="23"/>
        <v>166</v>
      </c>
      <c r="H265" s="526">
        <f t="shared" si="23"/>
        <v>167</v>
      </c>
      <c r="I265" s="526">
        <f t="shared" si="23"/>
        <v>168</v>
      </c>
      <c r="J265" s="526">
        <f t="shared" si="23"/>
        <v>169</v>
      </c>
      <c r="K265" s="526">
        <f t="shared" si="23"/>
        <v>170</v>
      </c>
      <c r="L265" s="526">
        <f t="shared" si="23"/>
        <v>171</v>
      </c>
      <c r="M265" s="526">
        <f t="shared" si="23"/>
        <v>172</v>
      </c>
      <c r="N265" s="526">
        <f t="shared" si="23"/>
        <v>173</v>
      </c>
      <c r="O265" s="526">
        <f t="shared" si="23"/>
        <v>174</v>
      </c>
      <c r="P265" s="526">
        <f t="shared" si="23"/>
        <v>175</v>
      </c>
      <c r="Q265" s="526">
        <f t="shared" si="23"/>
        <v>176</v>
      </c>
      <c r="R265" s="526">
        <f t="shared" si="23"/>
        <v>177</v>
      </c>
      <c r="S265" s="526">
        <f t="shared" si="23"/>
        <v>178</v>
      </c>
      <c r="T265" s="526">
        <f t="shared" si="23"/>
        <v>179</v>
      </c>
      <c r="U265" s="526">
        <f t="shared" si="23"/>
        <v>180</v>
      </c>
      <c r="V265" s="526">
        <f t="shared" si="23"/>
        <v>181</v>
      </c>
      <c r="W265" s="526">
        <f t="shared" si="23"/>
        <v>182</v>
      </c>
      <c r="X265" s="526">
        <f t="shared" si="23"/>
        <v>183</v>
      </c>
      <c r="Y265" s="526">
        <f t="shared" si="23"/>
        <v>184</v>
      </c>
    </row>
    <row r="266" spans="2:25" s="526" customFormat="1" ht="15.75">
      <c r="B266" s="530" t="s">
        <v>116</v>
      </c>
      <c r="C266" s="526">
        <f t="shared" si="24"/>
        <v>185</v>
      </c>
      <c r="D266" s="526">
        <f t="shared" si="23"/>
        <v>186</v>
      </c>
      <c r="E266" s="526">
        <f t="shared" si="23"/>
        <v>187</v>
      </c>
      <c r="F266" s="526">
        <f t="shared" si="23"/>
        <v>188</v>
      </c>
      <c r="G266" s="526">
        <f t="shared" si="23"/>
        <v>189</v>
      </c>
      <c r="H266" s="526">
        <f t="shared" si="23"/>
        <v>190</v>
      </c>
      <c r="I266" s="526">
        <f t="shared" si="23"/>
        <v>191</v>
      </c>
      <c r="J266" s="526">
        <f t="shared" si="23"/>
        <v>192</v>
      </c>
      <c r="K266" s="526">
        <f t="shared" si="23"/>
        <v>193</v>
      </c>
      <c r="L266" s="526">
        <f t="shared" si="23"/>
        <v>194</v>
      </c>
      <c r="M266" s="526">
        <f t="shared" si="23"/>
        <v>195</v>
      </c>
      <c r="N266" s="526">
        <f t="shared" si="23"/>
        <v>196</v>
      </c>
      <c r="O266" s="526">
        <f t="shared" si="23"/>
        <v>197</v>
      </c>
      <c r="P266" s="526">
        <f t="shared" si="23"/>
        <v>198</v>
      </c>
      <c r="Q266" s="526">
        <f t="shared" si="23"/>
        <v>199</v>
      </c>
      <c r="R266" s="526">
        <f t="shared" si="23"/>
        <v>200</v>
      </c>
      <c r="S266" s="526">
        <f t="shared" si="23"/>
        <v>201</v>
      </c>
      <c r="T266" s="526">
        <f t="shared" si="23"/>
        <v>202</v>
      </c>
      <c r="U266" s="526">
        <f t="shared" si="23"/>
        <v>203</v>
      </c>
      <c r="V266" s="526">
        <f t="shared" si="23"/>
        <v>204</v>
      </c>
      <c r="W266" s="526">
        <f t="shared" si="23"/>
        <v>205</v>
      </c>
      <c r="X266" s="526">
        <f t="shared" si="23"/>
        <v>206</v>
      </c>
      <c r="Y266" s="526">
        <f t="shared" si="23"/>
        <v>207</v>
      </c>
    </row>
    <row r="267" spans="2:25" s="526" customFormat="1" ht="15.75">
      <c r="B267" s="530" t="s">
        <v>38</v>
      </c>
      <c r="C267" s="526">
        <f t="shared" si="24"/>
        <v>208</v>
      </c>
      <c r="D267" s="526">
        <f t="shared" si="23"/>
        <v>209</v>
      </c>
      <c r="E267" s="526">
        <f t="shared" si="23"/>
        <v>210</v>
      </c>
      <c r="F267" s="526">
        <f t="shared" si="23"/>
        <v>211</v>
      </c>
      <c r="G267" s="526">
        <f t="shared" si="23"/>
        <v>212</v>
      </c>
      <c r="H267" s="526">
        <f t="shared" si="23"/>
        <v>213</v>
      </c>
      <c r="I267" s="526">
        <f t="shared" si="23"/>
        <v>214</v>
      </c>
      <c r="J267" s="526">
        <f t="shared" si="23"/>
        <v>215</v>
      </c>
      <c r="K267" s="526">
        <f t="shared" si="23"/>
        <v>216</v>
      </c>
      <c r="L267" s="526">
        <f t="shared" si="23"/>
        <v>217</v>
      </c>
      <c r="M267" s="526">
        <f t="shared" si="23"/>
        <v>218</v>
      </c>
      <c r="N267" s="526">
        <f t="shared" si="23"/>
        <v>219</v>
      </c>
      <c r="O267" s="526">
        <f t="shared" si="23"/>
        <v>220</v>
      </c>
      <c r="P267" s="526">
        <f t="shared" si="23"/>
        <v>221</v>
      </c>
      <c r="Q267" s="526">
        <f t="shared" si="23"/>
        <v>222</v>
      </c>
      <c r="R267" s="526">
        <f t="shared" si="23"/>
        <v>223</v>
      </c>
      <c r="S267" s="526">
        <f t="shared" si="23"/>
        <v>224</v>
      </c>
      <c r="T267" s="526">
        <f t="shared" si="23"/>
        <v>225</v>
      </c>
      <c r="U267" s="526">
        <f t="shared" si="23"/>
        <v>226</v>
      </c>
      <c r="V267" s="526">
        <f t="shared" si="23"/>
        <v>227</v>
      </c>
      <c r="W267" s="526">
        <f t="shared" si="23"/>
        <v>228</v>
      </c>
      <c r="X267" s="526">
        <f t="shared" si="23"/>
        <v>229</v>
      </c>
      <c r="Y267" s="526">
        <f t="shared" si="23"/>
        <v>230</v>
      </c>
    </row>
    <row r="268" spans="2:25" s="526" customFormat="1" ht="15.75">
      <c r="B268" s="530" t="s">
        <v>39</v>
      </c>
      <c r="C268" s="526">
        <f t="shared" si="24"/>
        <v>231</v>
      </c>
      <c r="D268" s="526">
        <f t="shared" si="23"/>
        <v>232</v>
      </c>
      <c r="E268" s="526">
        <f t="shared" si="23"/>
        <v>233</v>
      </c>
      <c r="F268" s="526">
        <f t="shared" si="23"/>
        <v>234</v>
      </c>
      <c r="G268" s="526">
        <f t="shared" si="23"/>
        <v>235</v>
      </c>
      <c r="H268" s="526">
        <f t="shared" si="23"/>
        <v>236</v>
      </c>
      <c r="I268" s="526">
        <f t="shared" si="23"/>
        <v>237</v>
      </c>
      <c r="J268" s="526">
        <f t="shared" si="23"/>
        <v>238</v>
      </c>
      <c r="K268" s="526">
        <f t="shared" si="23"/>
        <v>239</v>
      </c>
      <c r="L268" s="526">
        <f t="shared" si="23"/>
        <v>240</v>
      </c>
      <c r="M268" s="526">
        <f t="shared" si="23"/>
        <v>241</v>
      </c>
      <c r="N268" s="526">
        <f t="shared" si="23"/>
        <v>242</v>
      </c>
      <c r="O268" s="526">
        <f t="shared" si="23"/>
        <v>243</v>
      </c>
      <c r="P268" s="526">
        <f t="shared" si="23"/>
        <v>244</v>
      </c>
      <c r="Q268" s="526">
        <f t="shared" si="23"/>
        <v>245</v>
      </c>
      <c r="R268" s="526">
        <f t="shared" si="23"/>
        <v>246</v>
      </c>
      <c r="S268" s="526">
        <f t="shared" si="23"/>
        <v>247</v>
      </c>
      <c r="T268" s="526">
        <f t="shared" si="23"/>
        <v>248</v>
      </c>
      <c r="U268" s="526">
        <f t="shared" si="23"/>
        <v>249</v>
      </c>
      <c r="V268" s="526">
        <f t="shared" si="23"/>
        <v>250</v>
      </c>
      <c r="W268" s="526">
        <f t="shared" si="23"/>
        <v>251</v>
      </c>
      <c r="X268" s="526">
        <f t="shared" si="23"/>
        <v>252</v>
      </c>
      <c r="Y268" s="526">
        <f t="shared" si="23"/>
        <v>253</v>
      </c>
    </row>
    <row r="269" spans="2:25" s="526" customFormat="1" ht="15.75">
      <c r="B269" s="530" t="s">
        <v>40</v>
      </c>
      <c r="C269" s="526">
        <f t="shared" si="24"/>
        <v>254</v>
      </c>
      <c r="D269" s="526">
        <f t="shared" si="23"/>
        <v>255</v>
      </c>
      <c r="E269" s="526">
        <f t="shared" si="23"/>
        <v>256</v>
      </c>
      <c r="F269" s="526">
        <f t="shared" si="23"/>
        <v>257</v>
      </c>
      <c r="G269" s="526">
        <f t="shared" si="23"/>
        <v>258</v>
      </c>
      <c r="H269" s="526">
        <f t="shared" si="23"/>
        <v>259</v>
      </c>
      <c r="I269" s="526">
        <f t="shared" si="23"/>
        <v>260</v>
      </c>
      <c r="J269" s="526">
        <f t="shared" si="23"/>
        <v>261</v>
      </c>
      <c r="K269" s="526">
        <f t="shared" si="23"/>
        <v>262</v>
      </c>
      <c r="L269" s="526">
        <f t="shared" si="23"/>
        <v>263</v>
      </c>
      <c r="M269" s="526">
        <f t="shared" si="23"/>
        <v>264</v>
      </c>
      <c r="N269" s="526">
        <f t="shared" si="23"/>
        <v>265</v>
      </c>
      <c r="O269" s="526">
        <f t="shared" si="23"/>
        <v>266</v>
      </c>
      <c r="P269" s="526">
        <f t="shared" si="23"/>
        <v>267</v>
      </c>
      <c r="Q269" s="526">
        <f t="shared" ref="Q269:Y284" si="25">P269+1</f>
        <v>268</v>
      </c>
      <c r="R269" s="526">
        <f t="shared" si="25"/>
        <v>269</v>
      </c>
      <c r="S269" s="526">
        <f t="shared" si="25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4"/>
        <v>277</v>
      </c>
      <c r="D270" s="526">
        <f t="shared" ref="D270:S285" si="26">C270+1</f>
        <v>278</v>
      </c>
      <c r="E270" s="526">
        <f t="shared" si="26"/>
        <v>279</v>
      </c>
      <c r="F270" s="526">
        <f t="shared" si="26"/>
        <v>280</v>
      </c>
      <c r="G270" s="526">
        <f t="shared" si="26"/>
        <v>281</v>
      </c>
      <c r="H270" s="526">
        <f t="shared" si="26"/>
        <v>282</v>
      </c>
      <c r="I270" s="526">
        <f t="shared" si="26"/>
        <v>283</v>
      </c>
      <c r="J270" s="526">
        <f t="shared" si="26"/>
        <v>284</v>
      </c>
      <c r="K270" s="526">
        <f t="shared" si="26"/>
        <v>285</v>
      </c>
      <c r="L270" s="526">
        <f t="shared" si="26"/>
        <v>286</v>
      </c>
      <c r="M270" s="526">
        <f t="shared" si="26"/>
        <v>287</v>
      </c>
      <c r="N270" s="526">
        <f t="shared" si="26"/>
        <v>288</v>
      </c>
      <c r="O270" s="526">
        <f t="shared" si="26"/>
        <v>289</v>
      </c>
      <c r="P270" s="526">
        <f t="shared" si="26"/>
        <v>290</v>
      </c>
      <c r="Q270" s="526">
        <f t="shared" si="26"/>
        <v>291</v>
      </c>
      <c r="R270" s="526">
        <f t="shared" si="26"/>
        <v>292</v>
      </c>
      <c r="S270" s="526">
        <f t="shared" si="26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4"/>
        <v>300</v>
      </c>
      <c r="D271" s="526">
        <f t="shared" si="26"/>
        <v>301</v>
      </c>
      <c r="E271" s="526">
        <f t="shared" si="26"/>
        <v>302</v>
      </c>
      <c r="F271" s="526">
        <f t="shared" si="26"/>
        <v>303</v>
      </c>
      <c r="G271" s="526">
        <f t="shared" si="26"/>
        <v>304</v>
      </c>
      <c r="H271" s="526">
        <f t="shared" si="26"/>
        <v>305</v>
      </c>
      <c r="I271" s="526">
        <f t="shared" si="26"/>
        <v>306</v>
      </c>
      <c r="J271" s="526">
        <f t="shared" si="26"/>
        <v>307</v>
      </c>
      <c r="K271" s="526">
        <f t="shared" si="26"/>
        <v>308</v>
      </c>
      <c r="L271" s="526">
        <f t="shared" si="26"/>
        <v>309</v>
      </c>
      <c r="M271" s="526">
        <f t="shared" si="26"/>
        <v>310</v>
      </c>
      <c r="N271" s="526">
        <f t="shared" si="26"/>
        <v>311</v>
      </c>
      <c r="O271" s="526">
        <f t="shared" si="26"/>
        <v>312</v>
      </c>
      <c r="P271" s="526">
        <f t="shared" si="26"/>
        <v>313</v>
      </c>
      <c r="Q271" s="526">
        <f t="shared" si="26"/>
        <v>314</v>
      </c>
      <c r="R271" s="526">
        <f t="shared" si="26"/>
        <v>315</v>
      </c>
      <c r="S271" s="526">
        <f t="shared" si="26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4"/>
        <v>323</v>
      </c>
      <c r="D272" s="526">
        <f t="shared" si="26"/>
        <v>324</v>
      </c>
      <c r="E272" s="526">
        <f t="shared" si="26"/>
        <v>325</v>
      </c>
      <c r="F272" s="526">
        <f t="shared" si="26"/>
        <v>326</v>
      </c>
      <c r="G272" s="526">
        <f t="shared" si="26"/>
        <v>327</v>
      </c>
      <c r="H272" s="526">
        <f t="shared" si="26"/>
        <v>328</v>
      </c>
      <c r="I272" s="526">
        <f t="shared" si="26"/>
        <v>329</v>
      </c>
      <c r="J272" s="526">
        <f t="shared" si="26"/>
        <v>330</v>
      </c>
      <c r="K272" s="526">
        <f t="shared" si="26"/>
        <v>331</v>
      </c>
      <c r="L272" s="526">
        <f t="shared" si="26"/>
        <v>332</v>
      </c>
      <c r="M272" s="526">
        <f t="shared" si="26"/>
        <v>333</v>
      </c>
      <c r="N272" s="526">
        <f t="shared" si="26"/>
        <v>334</v>
      </c>
      <c r="O272" s="526">
        <f t="shared" si="26"/>
        <v>335</v>
      </c>
      <c r="P272" s="526">
        <f t="shared" si="26"/>
        <v>336</v>
      </c>
      <c r="Q272" s="526">
        <f t="shared" si="26"/>
        <v>337</v>
      </c>
      <c r="R272" s="526">
        <f t="shared" si="26"/>
        <v>338</v>
      </c>
      <c r="S272" s="526">
        <f t="shared" si="26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4"/>
        <v>346</v>
      </c>
      <c r="D273" s="526">
        <f t="shared" si="26"/>
        <v>347</v>
      </c>
      <c r="E273" s="526">
        <f t="shared" si="26"/>
        <v>348</v>
      </c>
      <c r="F273" s="526">
        <f t="shared" si="26"/>
        <v>349</v>
      </c>
      <c r="G273" s="526">
        <f t="shared" si="26"/>
        <v>350</v>
      </c>
      <c r="H273" s="526">
        <f t="shared" si="26"/>
        <v>351</v>
      </c>
      <c r="I273" s="526">
        <f t="shared" si="26"/>
        <v>352</v>
      </c>
      <c r="J273" s="526">
        <f t="shared" si="26"/>
        <v>353</v>
      </c>
      <c r="K273" s="526">
        <f t="shared" si="26"/>
        <v>354</v>
      </c>
      <c r="L273" s="526">
        <f t="shared" si="26"/>
        <v>355</v>
      </c>
      <c r="M273" s="526">
        <f t="shared" si="26"/>
        <v>356</v>
      </c>
      <c r="N273" s="526">
        <f t="shared" si="26"/>
        <v>357</v>
      </c>
      <c r="O273" s="526">
        <f t="shared" si="26"/>
        <v>358</v>
      </c>
      <c r="P273" s="526">
        <f t="shared" si="26"/>
        <v>359</v>
      </c>
      <c r="Q273" s="526">
        <f t="shared" si="26"/>
        <v>360</v>
      </c>
      <c r="R273" s="526">
        <f t="shared" si="26"/>
        <v>361</v>
      </c>
      <c r="S273" s="526">
        <f t="shared" si="26"/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4"/>
        <v>369</v>
      </c>
      <c r="D274" s="526">
        <f t="shared" si="26"/>
        <v>370</v>
      </c>
      <c r="E274" s="526">
        <f t="shared" si="26"/>
        <v>371</v>
      </c>
      <c r="F274" s="526">
        <f t="shared" si="26"/>
        <v>372</v>
      </c>
      <c r="G274" s="526">
        <f t="shared" si="26"/>
        <v>373</v>
      </c>
      <c r="H274" s="526">
        <f t="shared" si="26"/>
        <v>374</v>
      </c>
      <c r="I274" s="526">
        <f t="shared" si="26"/>
        <v>375</v>
      </c>
      <c r="J274" s="526">
        <f t="shared" si="26"/>
        <v>376</v>
      </c>
      <c r="K274" s="526">
        <f t="shared" si="26"/>
        <v>377</v>
      </c>
      <c r="L274" s="526">
        <f t="shared" si="26"/>
        <v>378</v>
      </c>
      <c r="M274" s="526">
        <f t="shared" si="26"/>
        <v>379</v>
      </c>
      <c r="N274" s="526">
        <f t="shared" si="26"/>
        <v>380</v>
      </c>
      <c r="O274" s="526">
        <f t="shared" si="26"/>
        <v>381</v>
      </c>
      <c r="P274" s="526">
        <f t="shared" si="26"/>
        <v>382</v>
      </c>
      <c r="Q274" s="526">
        <f t="shared" si="26"/>
        <v>383</v>
      </c>
      <c r="R274" s="526">
        <f t="shared" si="26"/>
        <v>384</v>
      </c>
      <c r="S274" s="526">
        <f t="shared" si="26"/>
        <v>385</v>
      </c>
      <c r="T274" s="526">
        <f t="shared" si="25"/>
        <v>386</v>
      </c>
      <c r="U274" s="526">
        <f t="shared" si="25"/>
        <v>387</v>
      </c>
      <c r="V274" s="526">
        <f t="shared" si="25"/>
        <v>388</v>
      </c>
      <c r="W274" s="526">
        <f t="shared" si="25"/>
        <v>389</v>
      </c>
      <c r="X274" s="526">
        <f t="shared" si="25"/>
        <v>390</v>
      </c>
      <c r="Y274" s="526">
        <f t="shared" si="25"/>
        <v>391</v>
      </c>
    </row>
    <row r="275" spans="2:25" s="526" customFormat="1" ht="15.75">
      <c r="B275" s="530" t="s">
        <v>295</v>
      </c>
      <c r="C275" s="526">
        <f t="shared" si="24"/>
        <v>392</v>
      </c>
      <c r="D275" s="526">
        <f t="shared" si="26"/>
        <v>393</v>
      </c>
      <c r="E275" s="526">
        <f t="shared" si="26"/>
        <v>394</v>
      </c>
      <c r="F275" s="526">
        <f t="shared" si="26"/>
        <v>395</v>
      </c>
      <c r="G275" s="526">
        <f t="shared" si="26"/>
        <v>396</v>
      </c>
      <c r="H275" s="526">
        <f t="shared" si="26"/>
        <v>397</v>
      </c>
      <c r="I275" s="526">
        <f t="shared" si="26"/>
        <v>398</v>
      </c>
      <c r="J275" s="526">
        <f t="shared" si="26"/>
        <v>399</v>
      </c>
      <c r="K275" s="526">
        <f t="shared" si="26"/>
        <v>400</v>
      </c>
      <c r="L275" s="526">
        <f t="shared" si="26"/>
        <v>401</v>
      </c>
      <c r="M275" s="526">
        <f t="shared" si="26"/>
        <v>402</v>
      </c>
      <c r="N275" s="526">
        <f t="shared" si="26"/>
        <v>403</v>
      </c>
      <c r="O275" s="526">
        <f t="shared" si="26"/>
        <v>404</v>
      </c>
      <c r="P275" s="526">
        <f t="shared" si="26"/>
        <v>405</v>
      </c>
      <c r="Q275" s="526">
        <f t="shared" si="26"/>
        <v>406</v>
      </c>
      <c r="R275" s="526">
        <f t="shared" si="26"/>
        <v>407</v>
      </c>
      <c r="S275" s="526">
        <f t="shared" si="26"/>
        <v>408</v>
      </c>
      <c r="T275" s="526">
        <f t="shared" si="25"/>
        <v>409</v>
      </c>
      <c r="U275" s="526">
        <f t="shared" si="25"/>
        <v>410</v>
      </c>
      <c r="V275" s="526">
        <f t="shared" si="25"/>
        <v>411</v>
      </c>
      <c r="W275" s="526">
        <f t="shared" si="25"/>
        <v>412</v>
      </c>
      <c r="X275" s="526">
        <f t="shared" si="25"/>
        <v>413</v>
      </c>
      <c r="Y275" s="526">
        <f t="shared" si="25"/>
        <v>414</v>
      </c>
    </row>
    <row r="276" spans="2:25" s="526" customFormat="1" ht="15.75">
      <c r="B276" s="530" t="s">
        <v>47</v>
      </c>
      <c r="C276" s="526">
        <f t="shared" si="24"/>
        <v>415</v>
      </c>
      <c r="D276" s="526">
        <f t="shared" si="26"/>
        <v>416</v>
      </c>
      <c r="E276" s="526">
        <f t="shared" si="26"/>
        <v>417</v>
      </c>
      <c r="F276" s="526">
        <f t="shared" si="26"/>
        <v>418</v>
      </c>
      <c r="G276" s="526">
        <f t="shared" si="26"/>
        <v>419</v>
      </c>
      <c r="H276" s="526">
        <f t="shared" si="26"/>
        <v>420</v>
      </c>
      <c r="I276" s="526">
        <f t="shared" si="26"/>
        <v>421</v>
      </c>
      <c r="J276" s="526">
        <f t="shared" si="26"/>
        <v>422</v>
      </c>
      <c r="K276" s="526">
        <f t="shared" si="26"/>
        <v>423</v>
      </c>
      <c r="L276" s="526">
        <f t="shared" si="26"/>
        <v>424</v>
      </c>
      <c r="M276" s="526">
        <f t="shared" si="26"/>
        <v>425</v>
      </c>
      <c r="N276" s="526">
        <f t="shared" si="26"/>
        <v>426</v>
      </c>
      <c r="O276" s="526">
        <f t="shared" si="26"/>
        <v>427</v>
      </c>
      <c r="P276" s="526">
        <f t="shared" si="26"/>
        <v>428</v>
      </c>
      <c r="Q276" s="526">
        <f t="shared" si="26"/>
        <v>429</v>
      </c>
      <c r="R276" s="526">
        <f t="shared" si="26"/>
        <v>430</v>
      </c>
      <c r="S276" s="526">
        <f t="shared" si="26"/>
        <v>431</v>
      </c>
      <c r="T276" s="526">
        <f t="shared" si="25"/>
        <v>432</v>
      </c>
      <c r="U276" s="526">
        <f t="shared" si="25"/>
        <v>433</v>
      </c>
      <c r="V276" s="526">
        <f t="shared" si="25"/>
        <v>434</v>
      </c>
      <c r="W276" s="526">
        <f t="shared" si="25"/>
        <v>435</v>
      </c>
      <c r="X276" s="526">
        <f t="shared" si="25"/>
        <v>436</v>
      </c>
      <c r="Y276" s="526">
        <f t="shared" si="25"/>
        <v>437</v>
      </c>
    </row>
    <row r="277" spans="2:25" s="526" customFormat="1" ht="15.75">
      <c r="B277" s="530" t="s">
        <v>48</v>
      </c>
      <c r="C277" s="526">
        <f t="shared" si="24"/>
        <v>438</v>
      </c>
      <c r="D277" s="526">
        <f t="shared" si="26"/>
        <v>439</v>
      </c>
      <c r="E277" s="526">
        <f t="shared" si="26"/>
        <v>440</v>
      </c>
      <c r="F277" s="526">
        <f t="shared" si="26"/>
        <v>441</v>
      </c>
      <c r="G277" s="526">
        <f t="shared" si="26"/>
        <v>442</v>
      </c>
      <c r="H277" s="526">
        <f t="shared" si="26"/>
        <v>443</v>
      </c>
      <c r="I277" s="526">
        <f t="shared" si="26"/>
        <v>444</v>
      </c>
      <c r="J277" s="526">
        <f t="shared" si="26"/>
        <v>445</v>
      </c>
      <c r="K277" s="526">
        <f t="shared" si="26"/>
        <v>446</v>
      </c>
      <c r="L277" s="526">
        <f t="shared" si="26"/>
        <v>447</v>
      </c>
      <c r="M277" s="526">
        <f t="shared" si="26"/>
        <v>448</v>
      </c>
      <c r="N277" s="526">
        <f t="shared" si="26"/>
        <v>449</v>
      </c>
      <c r="O277" s="526">
        <f t="shared" si="26"/>
        <v>450</v>
      </c>
      <c r="P277" s="526">
        <f t="shared" si="26"/>
        <v>451</v>
      </c>
      <c r="Q277" s="526">
        <f t="shared" si="26"/>
        <v>452</v>
      </c>
      <c r="R277" s="526">
        <f t="shared" si="26"/>
        <v>453</v>
      </c>
      <c r="S277" s="526">
        <f t="shared" si="26"/>
        <v>454</v>
      </c>
      <c r="T277" s="526">
        <f t="shared" si="25"/>
        <v>455</v>
      </c>
      <c r="U277" s="526">
        <f t="shared" si="25"/>
        <v>456</v>
      </c>
      <c r="V277" s="526">
        <f t="shared" si="25"/>
        <v>457</v>
      </c>
      <c r="W277" s="526">
        <f t="shared" si="25"/>
        <v>458</v>
      </c>
      <c r="X277" s="526">
        <f t="shared" si="25"/>
        <v>459</v>
      </c>
      <c r="Y277" s="526">
        <f t="shared" si="25"/>
        <v>460</v>
      </c>
    </row>
    <row r="278" spans="2:25" s="526" customFormat="1" ht="15.75">
      <c r="B278" s="530" t="s">
        <v>176</v>
      </c>
      <c r="C278" s="526">
        <f t="shared" si="24"/>
        <v>461</v>
      </c>
      <c r="D278" s="526">
        <f t="shared" si="26"/>
        <v>462</v>
      </c>
      <c r="E278" s="526">
        <f t="shared" si="26"/>
        <v>463</v>
      </c>
      <c r="F278" s="526">
        <f t="shared" si="26"/>
        <v>464</v>
      </c>
      <c r="G278" s="526">
        <f t="shared" si="26"/>
        <v>465</v>
      </c>
      <c r="H278" s="526">
        <f t="shared" si="26"/>
        <v>466</v>
      </c>
      <c r="I278" s="526">
        <f t="shared" si="26"/>
        <v>467</v>
      </c>
      <c r="J278" s="526">
        <f t="shared" si="26"/>
        <v>468</v>
      </c>
      <c r="K278" s="526">
        <f t="shared" si="26"/>
        <v>469</v>
      </c>
      <c r="L278" s="526">
        <f t="shared" si="26"/>
        <v>470</v>
      </c>
      <c r="M278" s="526">
        <f t="shared" si="26"/>
        <v>471</v>
      </c>
      <c r="N278" s="526">
        <f t="shared" si="26"/>
        <v>472</v>
      </c>
      <c r="O278" s="526">
        <f t="shared" si="26"/>
        <v>473</v>
      </c>
      <c r="P278" s="526">
        <f t="shared" si="26"/>
        <v>474</v>
      </c>
      <c r="Q278" s="526">
        <f t="shared" si="26"/>
        <v>475</v>
      </c>
      <c r="R278" s="526">
        <f t="shared" si="26"/>
        <v>476</v>
      </c>
      <c r="S278" s="526">
        <f t="shared" si="26"/>
        <v>477</v>
      </c>
      <c r="T278" s="526">
        <f t="shared" si="25"/>
        <v>478</v>
      </c>
      <c r="U278" s="526">
        <f t="shared" si="25"/>
        <v>479</v>
      </c>
      <c r="V278" s="526">
        <f t="shared" si="25"/>
        <v>480</v>
      </c>
      <c r="W278" s="526">
        <f t="shared" si="25"/>
        <v>481</v>
      </c>
      <c r="X278" s="526">
        <f t="shared" si="25"/>
        <v>482</v>
      </c>
      <c r="Y278" s="526">
        <f t="shared" si="25"/>
        <v>483</v>
      </c>
    </row>
    <row r="279" spans="2:25" s="526" customFormat="1" ht="15.75">
      <c r="B279" s="530" t="s">
        <v>124</v>
      </c>
      <c r="C279" s="526">
        <f t="shared" si="24"/>
        <v>484</v>
      </c>
      <c r="D279" s="526">
        <f t="shared" si="26"/>
        <v>485</v>
      </c>
      <c r="E279" s="526">
        <f t="shared" si="26"/>
        <v>486</v>
      </c>
      <c r="F279" s="526">
        <f t="shared" si="26"/>
        <v>487</v>
      </c>
      <c r="G279" s="526">
        <f t="shared" si="26"/>
        <v>488</v>
      </c>
      <c r="H279" s="526">
        <f t="shared" si="26"/>
        <v>489</v>
      </c>
      <c r="I279" s="526">
        <f t="shared" si="26"/>
        <v>490</v>
      </c>
      <c r="J279" s="526">
        <f t="shared" si="26"/>
        <v>491</v>
      </c>
      <c r="K279" s="526">
        <f t="shared" si="26"/>
        <v>492</v>
      </c>
      <c r="L279" s="526">
        <f t="shared" si="26"/>
        <v>493</v>
      </c>
      <c r="M279" s="526">
        <f t="shared" si="26"/>
        <v>494</v>
      </c>
      <c r="N279" s="526">
        <f t="shared" si="26"/>
        <v>495</v>
      </c>
      <c r="O279" s="526">
        <f t="shared" si="26"/>
        <v>496</v>
      </c>
      <c r="P279" s="526">
        <f t="shared" si="26"/>
        <v>497</v>
      </c>
      <c r="Q279" s="526">
        <f t="shared" si="26"/>
        <v>498</v>
      </c>
      <c r="R279" s="526">
        <f t="shared" si="26"/>
        <v>499</v>
      </c>
      <c r="S279" s="526">
        <f t="shared" si="26"/>
        <v>500</v>
      </c>
      <c r="T279" s="526">
        <f t="shared" si="25"/>
        <v>501</v>
      </c>
      <c r="U279" s="526">
        <f t="shared" si="25"/>
        <v>502</v>
      </c>
      <c r="V279" s="526">
        <f t="shared" si="25"/>
        <v>503</v>
      </c>
      <c r="W279" s="526">
        <f t="shared" si="25"/>
        <v>504</v>
      </c>
      <c r="X279" s="526">
        <f t="shared" si="25"/>
        <v>505</v>
      </c>
      <c r="Y279" s="526">
        <f t="shared" si="25"/>
        <v>506</v>
      </c>
    </row>
    <row r="280" spans="2:25" s="526" customFormat="1" ht="15.75">
      <c r="B280" s="530" t="s">
        <v>125</v>
      </c>
      <c r="C280" s="526">
        <f t="shared" si="24"/>
        <v>507</v>
      </c>
      <c r="D280" s="526">
        <f t="shared" si="26"/>
        <v>508</v>
      </c>
      <c r="E280" s="526">
        <f t="shared" si="26"/>
        <v>509</v>
      </c>
      <c r="F280" s="526">
        <f t="shared" si="26"/>
        <v>510</v>
      </c>
      <c r="G280" s="526">
        <f t="shared" si="26"/>
        <v>511</v>
      </c>
      <c r="H280" s="526">
        <f t="shared" si="26"/>
        <v>512</v>
      </c>
      <c r="I280" s="526">
        <f t="shared" si="26"/>
        <v>513</v>
      </c>
      <c r="J280" s="526">
        <f t="shared" si="26"/>
        <v>514</v>
      </c>
      <c r="K280" s="526">
        <f t="shared" si="26"/>
        <v>515</v>
      </c>
      <c r="L280" s="526">
        <f t="shared" si="26"/>
        <v>516</v>
      </c>
      <c r="M280" s="526">
        <f t="shared" si="26"/>
        <v>517</v>
      </c>
      <c r="N280" s="526">
        <f t="shared" si="26"/>
        <v>518</v>
      </c>
      <c r="O280" s="526">
        <f t="shared" si="26"/>
        <v>519</v>
      </c>
      <c r="P280" s="526">
        <f t="shared" si="26"/>
        <v>520</v>
      </c>
      <c r="Q280" s="526">
        <f t="shared" si="26"/>
        <v>521</v>
      </c>
      <c r="R280" s="526">
        <f t="shared" si="26"/>
        <v>522</v>
      </c>
      <c r="S280" s="526">
        <f t="shared" si="26"/>
        <v>523</v>
      </c>
      <c r="T280" s="526">
        <f t="shared" si="25"/>
        <v>524</v>
      </c>
      <c r="U280" s="526">
        <f t="shared" si="25"/>
        <v>525</v>
      </c>
      <c r="V280" s="526">
        <f t="shared" si="25"/>
        <v>526</v>
      </c>
      <c r="W280" s="526">
        <f t="shared" si="25"/>
        <v>527</v>
      </c>
      <c r="X280" s="526">
        <f t="shared" si="25"/>
        <v>528</v>
      </c>
      <c r="Y280" s="526">
        <f t="shared" si="25"/>
        <v>529</v>
      </c>
    </row>
    <row r="281" spans="2:25" s="526" customFormat="1" ht="15.75">
      <c r="B281" s="530" t="s">
        <v>52</v>
      </c>
      <c r="C281" s="526">
        <f t="shared" si="24"/>
        <v>530</v>
      </c>
      <c r="D281" s="526">
        <f t="shared" si="26"/>
        <v>531</v>
      </c>
      <c r="E281" s="526">
        <f t="shared" si="26"/>
        <v>532</v>
      </c>
      <c r="F281" s="526">
        <f t="shared" si="26"/>
        <v>533</v>
      </c>
      <c r="G281" s="526">
        <f t="shared" si="26"/>
        <v>534</v>
      </c>
      <c r="H281" s="526">
        <f t="shared" si="26"/>
        <v>535</v>
      </c>
      <c r="I281" s="526">
        <f t="shared" si="26"/>
        <v>536</v>
      </c>
      <c r="J281" s="526">
        <f t="shared" si="26"/>
        <v>537</v>
      </c>
      <c r="K281" s="526">
        <f t="shared" si="26"/>
        <v>538</v>
      </c>
      <c r="L281" s="526">
        <f t="shared" si="26"/>
        <v>539</v>
      </c>
      <c r="M281" s="526">
        <f t="shared" si="26"/>
        <v>540</v>
      </c>
      <c r="N281" s="526">
        <f t="shared" si="26"/>
        <v>541</v>
      </c>
      <c r="O281" s="526">
        <f t="shared" si="26"/>
        <v>542</v>
      </c>
      <c r="P281" s="526">
        <f t="shared" si="26"/>
        <v>543</v>
      </c>
      <c r="Q281" s="526">
        <f t="shared" si="26"/>
        <v>544</v>
      </c>
      <c r="R281" s="526">
        <f t="shared" si="26"/>
        <v>545</v>
      </c>
      <c r="S281" s="526">
        <f t="shared" si="26"/>
        <v>546</v>
      </c>
      <c r="T281" s="526">
        <f t="shared" si="25"/>
        <v>547</v>
      </c>
      <c r="U281" s="526">
        <f t="shared" si="25"/>
        <v>548</v>
      </c>
      <c r="V281" s="526">
        <f t="shared" si="25"/>
        <v>549</v>
      </c>
      <c r="W281" s="526">
        <f t="shared" si="25"/>
        <v>550</v>
      </c>
      <c r="X281" s="526">
        <f t="shared" si="25"/>
        <v>551</v>
      </c>
      <c r="Y281" s="526">
        <f t="shared" si="25"/>
        <v>552</v>
      </c>
    </row>
    <row r="282" spans="2:25" s="526" customFormat="1" ht="15.75">
      <c r="B282" s="530" t="s">
        <v>53</v>
      </c>
      <c r="C282" s="526">
        <f t="shared" si="24"/>
        <v>553</v>
      </c>
      <c r="D282" s="526">
        <f t="shared" si="26"/>
        <v>554</v>
      </c>
      <c r="E282" s="526">
        <f t="shared" si="26"/>
        <v>555</v>
      </c>
      <c r="F282" s="526">
        <f t="shared" si="26"/>
        <v>556</v>
      </c>
      <c r="G282" s="526">
        <f t="shared" si="26"/>
        <v>557</v>
      </c>
      <c r="H282" s="526">
        <f t="shared" si="26"/>
        <v>558</v>
      </c>
      <c r="I282" s="526">
        <f t="shared" si="26"/>
        <v>559</v>
      </c>
      <c r="J282" s="526">
        <f t="shared" si="26"/>
        <v>560</v>
      </c>
      <c r="K282" s="526">
        <f t="shared" si="26"/>
        <v>561</v>
      </c>
      <c r="L282" s="526">
        <f t="shared" si="26"/>
        <v>562</v>
      </c>
      <c r="M282" s="526">
        <f t="shared" si="26"/>
        <v>563</v>
      </c>
      <c r="N282" s="526">
        <f t="shared" si="26"/>
        <v>564</v>
      </c>
      <c r="O282" s="526">
        <f t="shared" si="26"/>
        <v>565</v>
      </c>
      <c r="P282" s="526">
        <f t="shared" si="26"/>
        <v>566</v>
      </c>
      <c r="Q282" s="526">
        <f t="shared" si="26"/>
        <v>567</v>
      </c>
      <c r="R282" s="526">
        <f t="shared" si="26"/>
        <v>568</v>
      </c>
      <c r="S282" s="526">
        <f t="shared" si="26"/>
        <v>569</v>
      </c>
      <c r="T282" s="526">
        <f t="shared" si="25"/>
        <v>570</v>
      </c>
      <c r="U282" s="526">
        <f t="shared" si="25"/>
        <v>571</v>
      </c>
      <c r="V282" s="526">
        <f t="shared" si="25"/>
        <v>572</v>
      </c>
      <c r="W282" s="526">
        <f t="shared" si="25"/>
        <v>573</v>
      </c>
      <c r="X282" s="526">
        <f t="shared" si="25"/>
        <v>574</v>
      </c>
      <c r="Y282" s="526">
        <f t="shared" si="25"/>
        <v>575</v>
      </c>
    </row>
    <row r="283" spans="2:25" s="526" customFormat="1" ht="15.75">
      <c r="B283" s="530" t="s">
        <v>54</v>
      </c>
      <c r="C283" s="526">
        <f t="shared" si="24"/>
        <v>576</v>
      </c>
      <c r="D283" s="526">
        <f t="shared" si="26"/>
        <v>577</v>
      </c>
      <c r="E283" s="526">
        <f t="shared" si="26"/>
        <v>578</v>
      </c>
      <c r="F283" s="526">
        <f t="shared" si="26"/>
        <v>579</v>
      </c>
      <c r="G283" s="526">
        <f t="shared" si="26"/>
        <v>580</v>
      </c>
      <c r="H283" s="526">
        <f t="shared" si="26"/>
        <v>581</v>
      </c>
      <c r="I283" s="526">
        <f t="shared" si="26"/>
        <v>582</v>
      </c>
      <c r="J283" s="526">
        <f t="shared" si="26"/>
        <v>583</v>
      </c>
      <c r="K283" s="526">
        <f t="shared" si="26"/>
        <v>584</v>
      </c>
      <c r="L283" s="526">
        <f t="shared" si="26"/>
        <v>585</v>
      </c>
      <c r="M283" s="526">
        <f t="shared" si="26"/>
        <v>586</v>
      </c>
      <c r="N283" s="526">
        <f t="shared" si="26"/>
        <v>587</v>
      </c>
      <c r="O283" s="526">
        <f t="shared" si="26"/>
        <v>588</v>
      </c>
      <c r="P283" s="526">
        <f t="shared" si="26"/>
        <v>589</v>
      </c>
      <c r="Q283" s="526">
        <f t="shared" si="26"/>
        <v>590</v>
      </c>
      <c r="R283" s="526">
        <f t="shared" si="26"/>
        <v>591</v>
      </c>
      <c r="S283" s="526">
        <f t="shared" si="26"/>
        <v>592</v>
      </c>
      <c r="T283" s="526">
        <f t="shared" si="25"/>
        <v>593</v>
      </c>
      <c r="U283" s="526">
        <f t="shared" si="25"/>
        <v>594</v>
      </c>
      <c r="V283" s="526">
        <f t="shared" si="25"/>
        <v>595</v>
      </c>
      <c r="W283" s="526">
        <f t="shared" si="25"/>
        <v>596</v>
      </c>
      <c r="X283" s="526">
        <f t="shared" si="25"/>
        <v>597</v>
      </c>
      <c r="Y283" s="526">
        <f t="shared" si="25"/>
        <v>598</v>
      </c>
    </row>
    <row r="284" spans="2:25" s="526" customFormat="1" ht="15.75">
      <c r="B284" s="530" t="s">
        <v>55</v>
      </c>
      <c r="C284" s="526">
        <f t="shared" si="24"/>
        <v>599</v>
      </c>
      <c r="D284" s="526">
        <f t="shared" si="26"/>
        <v>600</v>
      </c>
      <c r="E284" s="526">
        <f t="shared" si="26"/>
        <v>601</v>
      </c>
      <c r="F284" s="526">
        <f t="shared" si="26"/>
        <v>602</v>
      </c>
      <c r="G284" s="526">
        <f t="shared" si="26"/>
        <v>603</v>
      </c>
      <c r="H284" s="526">
        <f t="shared" si="26"/>
        <v>604</v>
      </c>
      <c r="I284" s="526">
        <f t="shared" si="26"/>
        <v>605</v>
      </c>
      <c r="J284" s="526">
        <f t="shared" si="26"/>
        <v>606</v>
      </c>
      <c r="K284" s="526">
        <f t="shared" si="26"/>
        <v>607</v>
      </c>
      <c r="L284" s="526">
        <f t="shared" si="26"/>
        <v>608</v>
      </c>
      <c r="M284" s="526">
        <f t="shared" si="26"/>
        <v>609</v>
      </c>
      <c r="N284" s="526">
        <f t="shared" si="26"/>
        <v>610</v>
      </c>
      <c r="O284" s="526">
        <f t="shared" si="26"/>
        <v>611</v>
      </c>
      <c r="P284" s="526">
        <f t="shared" si="26"/>
        <v>612</v>
      </c>
      <c r="Q284" s="526">
        <f t="shared" si="26"/>
        <v>613</v>
      </c>
      <c r="R284" s="526">
        <f t="shared" si="26"/>
        <v>614</v>
      </c>
      <c r="S284" s="526">
        <f t="shared" si="26"/>
        <v>615</v>
      </c>
      <c r="T284" s="526">
        <f t="shared" si="25"/>
        <v>616</v>
      </c>
      <c r="U284" s="526">
        <f t="shared" si="25"/>
        <v>617</v>
      </c>
      <c r="V284" s="526">
        <f t="shared" si="25"/>
        <v>618</v>
      </c>
      <c r="W284" s="526">
        <f t="shared" si="25"/>
        <v>619</v>
      </c>
      <c r="X284" s="526">
        <f t="shared" si="25"/>
        <v>620</v>
      </c>
      <c r="Y284" s="526">
        <f t="shared" si="25"/>
        <v>621</v>
      </c>
    </row>
    <row r="285" spans="2:25" s="526" customFormat="1" ht="15.75">
      <c r="B285" s="530" t="s">
        <v>214</v>
      </c>
      <c r="C285" s="526">
        <f t="shared" si="24"/>
        <v>622</v>
      </c>
      <c r="D285" s="526">
        <f t="shared" si="26"/>
        <v>623</v>
      </c>
      <c r="E285" s="526">
        <f t="shared" si="26"/>
        <v>624</v>
      </c>
      <c r="F285" s="526">
        <f t="shared" si="26"/>
        <v>625</v>
      </c>
      <c r="G285" s="526">
        <f t="shared" si="26"/>
        <v>626</v>
      </c>
      <c r="H285" s="526">
        <f t="shared" si="26"/>
        <v>627</v>
      </c>
      <c r="I285" s="526">
        <f t="shared" si="26"/>
        <v>628</v>
      </c>
      <c r="J285" s="526">
        <f t="shared" si="26"/>
        <v>629</v>
      </c>
      <c r="K285" s="526">
        <f t="shared" si="26"/>
        <v>630</v>
      </c>
      <c r="L285" s="526">
        <f t="shared" si="26"/>
        <v>631</v>
      </c>
      <c r="M285" s="526">
        <f t="shared" si="26"/>
        <v>632</v>
      </c>
      <c r="N285" s="526">
        <f t="shared" si="26"/>
        <v>633</v>
      </c>
      <c r="O285" s="526">
        <f t="shared" si="26"/>
        <v>634</v>
      </c>
      <c r="P285" s="526">
        <f t="shared" si="26"/>
        <v>635</v>
      </c>
      <c r="Q285" s="526">
        <f t="shared" si="26"/>
        <v>636</v>
      </c>
      <c r="R285" s="526">
        <f t="shared" si="26"/>
        <v>637</v>
      </c>
      <c r="S285" s="526">
        <f t="shared" ref="S285:Y286" si="27">R285+1</f>
        <v>638</v>
      </c>
      <c r="T285" s="526">
        <f t="shared" si="27"/>
        <v>639</v>
      </c>
      <c r="U285" s="526">
        <f t="shared" si="27"/>
        <v>640</v>
      </c>
      <c r="V285" s="526">
        <f t="shared" si="27"/>
        <v>641</v>
      </c>
      <c r="W285" s="526">
        <f t="shared" si="27"/>
        <v>642</v>
      </c>
      <c r="X285" s="526">
        <f t="shared" si="27"/>
        <v>643</v>
      </c>
      <c r="Y285" s="526">
        <f t="shared" si="27"/>
        <v>644</v>
      </c>
    </row>
    <row r="286" spans="2:25" s="526" customFormat="1" ht="15.75">
      <c r="B286" s="530" t="s">
        <v>57</v>
      </c>
      <c r="C286" s="526">
        <f t="shared" si="24"/>
        <v>645</v>
      </c>
      <c r="D286" s="526">
        <f t="shared" ref="D286:R286" si="28">C286+1</f>
        <v>646</v>
      </c>
      <c r="E286" s="526">
        <f t="shared" si="28"/>
        <v>647</v>
      </c>
      <c r="F286" s="526">
        <f t="shared" si="28"/>
        <v>648</v>
      </c>
      <c r="G286" s="526">
        <f t="shared" si="28"/>
        <v>649</v>
      </c>
      <c r="H286" s="526">
        <f t="shared" si="28"/>
        <v>650</v>
      </c>
      <c r="I286" s="526">
        <f t="shared" si="28"/>
        <v>651</v>
      </c>
      <c r="J286" s="526">
        <f t="shared" si="28"/>
        <v>652</v>
      </c>
      <c r="K286" s="526">
        <f t="shared" si="28"/>
        <v>653</v>
      </c>
      <c r="L286" s="526">
        <f t="shared" si="28"/>
        <v>654</v>
      </c>
      <c r="M286" s="526">
        <f t="shared" si="28"/>
        <v>655</v>
      </c>
      <c r="N286" s="526">
        <f t="shared" si="28"/>
        <v>656</v>
      </c>
      <c r="O286" s="526">
        <f t="shared" si="28"/>
        <v>657</v>
      </c>
      <c r="P286" s="526">
        <f t="shared" si="28"/>
        <v>658</v>
      </c>
      <c r="Q286" s="526">
        <f t="shared" si="28"/>
        <v>659</v>
      </c>
      <c r="R286" s="526">
        <f t="shared" si="28"/>
        <v>660</v>
      </c>
      <c r="S286" s="526">
        <f t="shared" si="27"/>
        <v>661</v>
      </c>
      <c r="T286" s="526">
        <f t="shared" si="27"/>
        <v>662</v>
      </c>
      <c r="U286" s="526">
        <f t="shared" si="27"/>
        <v>663</v>
      </c>
      <c r="V286" s="526">
        <f t="shared" si="27"/>
        <v>664</v>
      </c>
      <c r="W286" s="526">
        <f t="shared" si="27"/>
        <v>665</v>
      </c>
      <c r="X286" s="526">
        <f t="shared" si="27"/>
        <v>666</v>
      </c>
      <c r="Y286" s="526">
        <f t="shared" si="27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0" width="8.5703125" style="102" customWidth="1"/>
    <col min="21" max="21" width="24.140625" style="102" customWidth="1"/>
    <col min="2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40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Marlborough</v>
      </c>
      <c r="C6" s="108"/>
      <c r="D6" s="109">
        <f>VLOOKUP($B$6,$B$258:$J$286,9,FALSE)</f>
        <v>261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34.771000000000001</v>
      </c>
      <c r="E7" s="407">
        <f>D7/('Industry calcs'!D4/1000)*100</f>
        <v>1.6868114420213971</v>
      </c>
    </row>
    <row r="8" spans="2:5">
      <c r="B8" s="111" t="s">
        <v>250</v>
      </c>
      <c r="C8" s="114"/>
      <c r="D8" s="406">
        <f>VLOOKUP(D6,'AV (2011)'!A8:F214,'AV (2011)'!F214,FALSE)/1000</f>
        <v>193.34805</v>
      </c>
      <c r="E8" s="407">
        <f>D8/('Industry calcs'!D5/1000)*100</f>
        <v>2.1542619893652986</v>
      </c>
    </row>
    <row r="9" spans="2:5">
      <c r="B9" s="111" t="s">
        <v>230</v>
      </c>
      <c r="C9" s="114"/>
      <c r="D9" s="406">
        <f>VLOOKUP($D$6,'FS (2011)'!$A$13:$AH$244,'FS (2011)'!S245,FALSE)/1000</f>
        <v>16.664400000000001</v>
      </c>
      <c r="E9" s="407">
        <f>D9/('Industry calcs'!D6/1000)*100</f>
        <v>3.6705123782590867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15.244</v>
      </c>
      <c r="E10" s="407">
        <f>D10/('Industry calcs'!D7/1000)*100</f>
        <v>2.6050633171210054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363.91399999999999</v>
      </c>
      <c r="E11" s="407">
        <f>D11/'Industry calcs'!D8*100</f>
        <v>1.1759741555388745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70.247</v>
      </c>
      <c r="E12" s="407">
        <f>D12/'Industry calcs'!D9*100</f>
        <v>1.1233682619033307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3349</v>
      </c>
      <c r="E13" s="407">
        <f>D13/'Industry calcs'!D10*100</f>
        <v>2.2390883397822905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24270</v>
      </c>
      <c r="E14" s="407">
        <f>D14/'Industry calcs'!D11*100</f>
        <v>1.2082591758248595</v>
      </c>
    </row>
    <row r="15" spans="2:5">
      <c r="B15" s="115" t="s">
        <v>195</v>
      </c>
      <c r="C15" s="116" t="s">
        <v>239</v>
      </c>
      <c r="D15" s="408">
        <f>D14/D13</f>
        <v>7.2469393848910126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Marlborough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25.367662741296222</v>
      </c>
      <c r="D20" s="409">
        <f>VLOOKUP($B$2,'MED price allocation'!$B$16:$F$44,3,FALSE)</f>
        <v>26.468816665522681</v>
      </c>
      <c r="E20" s="409">
        <f>VLOOKUP($B$2,'MED price allocation'!$B$16:$F$44,4,FALSE)</f>
        <v>27.101021260542691</v>
      </c>
      <c r="F20" s="503">
        <f>VLOOKUP($B$2,'MED price allocation'!$B$16:$F$44,5,FALSE)</f>
        <v>27.682857142857145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7.8701206124718421</v>
      </c>
      <c r="D21" s="410">
        <f>VLOOKUP($B$2,'MED price allocation'!$B$47:$F$75,3,FALSE)</f>
        <v>8.875708696547461</v>
      </c>
      <c r="E21" s="410">
        <f>VLOOKUP($B$2,'MED price allocation'!$B$47:$F$75,4,FALSE)</f>
        <v>8.9453746867505579</v>
      </c>
      <c r="F21" s="504">
        <f>VLOOKUP($B$2,'MED price allocation'!$B$47:$F$75,5,FALSE)</f>
        <v>9.3900000000000023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9.4118017735450934</v>
      </c>
      <c r="D22" s="409">
        <f>VLOOKUP($B$2,'MED price allocation'!$B$78:$F$106,3,FALSE)</f>
        <v>10.6819932733887</v>
      </c>
      <c r="E22" s="409">
        <f>VLOOKUP($B$2,'MED price allocation'!$B$78:$F$106,4,FALSE)</f>
        <v>10.473627765352589</v>
      </c>
      <c r="F22" s="503">
        <f>VLOOKUP($B$2,'MED price allocation'!$B$78:$F$106,5,FALSE)</f>
        <v>11.110000000000003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1.5416811610732513</v>
      </c>
      <c r="D23" s="411">
        <f>VLOOKUP($B$2,'MED price allocation'!$B$109:$F$137,3,FALSE)</f>
        <v>1.8062845768412377</v>
      </c>
      <c r="E23" s="411">
        <f>VLOOKUP($B$2,'MED price allocation'!$B$109:$F$137,4,FALSE)</f>
        <v>1.5282530786020314</v>
      </c>
      <c r="F23" s="505">
        <f>VLOOKUP($B$2,'MED price allocation'!$B$109:$F$137,5,FALSE)</f>
        <v>1.72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Marlborough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2029.4130193036979</v>
      </c>
      <c r="D26" s="412">
        <f>(D20*8000)/100</f>
        <v>2117.5053332418147</v>
      </c>
      <c r="E26" s="412">
        <f>(E20*8000)/100</f>
        <v>2168.0817008434151</v>
      </c>
      <c r="F26" s="506">
        <f>(F20*8000)/100</f>
        <v>2214.6285714285714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752.94414188360747</v>
      </c>
      <c r="D27" s="412">
        <f>(D22*8000)/100</f>
        <v>854.559461871096</v>
      </c>
      <c r="E27" s="412">
        <f>(E22*8000)/100</f>
        <v>837.89022122820711</v>
      </c>
      <c r="F27" s="506">
        <f>(F22*8000)/100</f>
        <v>888.8000000000003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629.6096489977474</v>
      </c>
      <c r="D28" s="412">
        <f>(D21*8000)/100</f>
        <v>710.05669572379691</v>
      </c>
      <c r="E28" s="412">
        <f>(E21*8000)/100</f>
        <v>715.62997494004458</v>
      </c>
      <c r="F28" s="506">
        <f>(F21*8000)/100</f>
        <v>751.20000000000016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123.33449288586012</v>
      </c>
      <c r="D29" s="413">
        <f>(D23*8000)/100</f>
        <v>144.50276614729901</v>
      </c>
      <c r="E29" s="413">
        <f>(E23*8000)/100</f>
        <v>122.26024628816251</v>
      </c>
      <c r="F29" s="507">
        <f>(F23*8000)/100</f>
        <v>137.6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Marlborough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2132.4071562043746</v>
      </c>
      <c r="D32" s="122"/>
    </row>
    <row r="33" spans="2:13">
      <c r="B33" s="120" t="s">
        <v>241</v>
      </c>
      <c r="C33" s="412">
        <f>AVERAGE(C27:F27)</f>
        <v>833.54845624572772</v>
      </c>
      <c r="D33" s="414">
        <f>C33/$C$32</f>
        <v>0.39089554441817798</v>
      </c>
    </row>
    <row r="34" spans="2:13">
      <c r="B34" s="120" t="s">
        <v>222</v>
      </c>
      <c r="C34" s="412">
        <f>AVERAGE(C28:F28)</f>
        <v>701.62407991539726</v>
      </c>
      <c r="D34" s="414">
        <f>C34/$C$32</f>
        <v>0.32902913398783962</v>
      </c>
    </row>
    <row r="35" spans="2:13">
      <c r="B35" s="124" t="s">
        <v>223</v>
      </c>
      <c r="C35" s="413">
        <f>AVERAGE(C29:F29)</f>
        <v>131.9243763303304</v>
      </c>
      <c r="D35" s="415">
        <f>C35/$C$32</f>
        <v>6.1866410430338324E-2</v>
      </c>
    </row>
    <row r="38" spans="2:13">
      <c r="B38" s="517" t="s">
        <v>227</v>
      </c>
      <c r="C38" s="518">
        <f>VLOOKUP($B$2,$B$258:$J$286,6,FALSE)</f>
        <v>258</v>
      </c>
      <c r="D38" s="518">
        <f>VLOOKUP($B$2,$B$258:$J$286,7,FALSE)</f>
        <v>259</v>
      </c>
      <c r="E38" s="518">
        <f>VLOOKUP($B$2,$B$258:$J$286,8,FALSE)</f>
        <v>260</v>
      </c>
      <c r="F38" s="519">
        <f>VLOOKUP($B$2,$B$258:$J$286,9,FALSE)</f>
        <v>261</v>
      </c>
    </row>
    <row r="39" spans="2:13">
      <c r="B39" s="137" t="str">
        <f>B2</f>
        <v>Marlborough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22581.855664224</v>
      </c>
      <c r="D40" s="418">
        <f>VLOOKUP($D$38,'FS (2011)'!$A$13:$AH$244,'FS (2011)'!E245,FALSE)</f>
        <v>25850.901245109468</v>
      </c>
      <c r="E40" s="418">
        <f>VLOOKUP($E$38,'FS (2011)'!$A$13:$AH$244,'FS (2011)'!E245,FALSE)</f>
        <v>26204.446121096167</v>
      </c>
      <c r="F40" s="419">
        <f>VLOOKUP($F$38,'FS (2011)'!$A$13:$AH$244,'FS (2011)'!E245,FALSE)</f>
        <v>27002</v>
      </c>
    </row>
    <row r="41" spans="2:13" ht="30">
      <c r="B41" s="120" t="s">
        <v>198</v>
      </c>
      <c r="C41" s="417">
        <f>VLOOKUP($C$38,'FS (2011)'!$A$13:$AH$244,'FS (2011)'!$F$245,FALSE)</f>
        <v>5805.4289689487041</v>
      </c>
      <c r="D41" s="418">
        <f>VLOOKUP($D$38,'FS (2011)'!$A$13:$AH$244,'FS (2011)'!$F$245,FALSE)</f>
        <v>3921.2050545679172</v>
      </c>
      <c r="E41" s="418">
        <f>VLOOKUP($E$38,'FS (2011)'!$A$13:$AH$244,'FS (2011)'!$F$245,FALSE)</f>
        <v>1512.5426369540025</v>
      </c>
      <c r="F41" s="419">
        <f>VLOOKUP($F$38,'FS (2011)'!$A$13:$AH$244,'FS (2011)'!$F$245,FALSE)</f>
        <v>2500</v>
      </c>
    </row>
    <row r="42" spans="2:13">
      <c r="B42" s="120" t="s">
        <v>13</v>
      </c>
      <c r="C42" s="417">
        <f>VLOOKUP($C$38,'FS (2011)'!$A$13:$AH$244,'FS (2011)'!$H$245,FALSE)</f>
        <v>5000.2218357047132</v>
      </c>
      <c r="D42" s="418">
        <f>VLOOKUP($D$38,'FS (2011)'!$A$13:$AH$244,'FS (2011)'!$H$245,FALSE)</f>
        <v>4867.625506211818</v>
      </c>
      <c r="E42" s="418">
        <f>VLOOKUP($E$38,'FS (2011)'!$A$13:$AH$244,'FS (2011)'!$H$245,FALSE)</f>
        <v>4540.4154444773776</v>
      </c>
      <c r="F42" s="419">
        <f>VLOOKUP($F$38,'FS (2011)'!$A$13:$AH$244,'FS (2011)'!$H$245,FALSE)</f>
        <v>5269</v>
      </c>
    </row>
    <row r="43" spans="2:13">
      <c r="B43" s="124" t="s">
        <v>5</v>
      </c>
      <c r="C43" s="420">
        <f>SUM(C40:C42)</f>
        <v>33387.506468877415</v>
      </c>
      <c r="D43" s="420">
        <f>SUM(D40:D42)</f>
        <v>34639.731805889198</v>
      </c>
      <c r="E43" s="420">
        <f>SUM(E40:E42)</f>
        <v>32257.404202527548</v>
      </c>
      <c r="F43" s="421">
        <f>SUM(F40:F42)</f>
        <v>34771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Marlborough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114.47642580615974</v>
      </c>
      <c r="E46" s="422">
        <f>IF(ISERROR(E40/$C40),"",(E40/$C40))*100</f>
        <v>116.04204061321394</v>
      </c>
      <c r="F46" s="423">
        <f>IF(ISERROR(F40/$C40),"",(F40/$C40))*100</f>
        <v>119.57387559950952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67.543760771876293</v>
      </c>
      <c r="E47" s="422">
        <f t="shared" si="0"/>
        <v>26.053934085561753</v>
      </c>
      <c r="F47" s="423">
        <f t="shared" si="0"/>
        <v>43.063139922504654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97.348191063322943</v>
      </c>
      <c r="E48" s="422">
        <f t="shared" si="0"/>
        <v>90.804280163251349</v>
      </c>
      <c r="F48" s="423">
        <f t="shared" si="0"/>
        <v>105.3753247981128</v>
      </c>
      <c r="G48" s="141"/>
      <c r="H48" s="141"/>
    </row>
    <row r="49" spans="2:25">
      <c r="B49" s="124" t="s">
        <v>5</v>
      </c>
      <c r="C49" s="424">
        <f t="shared" si="0"/>
        <v>100</v>
      </c>
      <c r="D49" s="424">
        <f t="shared" si="0"/>
        <v>103.7505805897157</v>
      </c>
      <c r="E49" s="424">
        <f t="shared" si="0"/>
        <v>96.615194167305347</v>
      </c>
      <c r="F49" s="416">
        <f t="shared" si="0"/>
        <v>104.14374620162852</v>
      </c>
    </row>
    <row r="52" spans="2:25">
      <c r="B52" s="517" t="s">
        <v>247</v>
      </c>
      <c r="C52" s="510"/>
      <c r="D52" s="510"/>
      <c r="E52" s="510"/>
      <c r="F52" s="511"/>
      <c r="U52" s="533" t="s">
        <v>247</v>
      </c>
      <c r="V52" s="510"/>
      <c r="W52" s="510"/>
      <c r="X52" s="510"/>
      <c r="Y52" s="511"/>
    </row>
    <row r="53" spans="2:25">
      <c r="B53" s="107" t="str">
        <f>$B$2</f>
        <v>Marlborough</v>
      </c>
      <c r="C53" s="144">
        <v>2008</v>
      </c>
      <c r="D53" s="144">
        <v>2009</v>
      </c>
      <c r="E53" s="144">
        <v>2010</v>
      </c>
      <c r="F53" s="145">
        <v>2011</v>
      </c>
      <c r="U53" s="154" t="str">
        <f>$B$2</f>
        <v>Marlborough</v>
      </c>
      <c r="V53" s="144">
        <v>2008</v>
      </c>
      <c r="W53" s="144">
        <v>2009</v>
      </c>
      <c r="X53" s="144">
        <v>2010</v>
      </c>
      <c r="Y53" s="145">
        <v>2011</v>
      </c>
    </row>
    <row r="54" spans="2:25">
      <c r="B54" s="111" t="s">
        <v>185</v>
      </c>
      <c r="C54" s="425">
        <f>VLOOKUP($C$38,'MP (2011)'!$A$14:$AR$245,'MP (2011)'!$Z$246,FALSE)</f>
        <v>8000.9295637421219</v>
      </c>
      <c r="D54" s="426">
        <f>VLOOKUP($D$38,'MP (2011)'!$A$14:$AR$245,'MP (2011)'!$Z$246,FALSE)</f>
        <v>9655.9509671219694</v>
      </c>
      <c r="E54" s="426">
        <f>VLOOKUP($E$38,'MP (2011)'!$A$14:$AR$245,'MP (2011)'!$Z$246,FALSE)</f>
        <v>10857.616633882135</v>
      </c>
      <c r="F54" s="427">
        <f>VLOOKUP($F$38,'MP (2011)'!$A$14:$AR$245,'MP (2011)'!$Z$246,FALSE)</f>
        <v>11056</v>
      </c>
      <c r="U54" s="170" t="s">
        <v>477</v>
      </c>
      <c r="V54" s="425">
        <f>C54+C55</f>
        <v>15070.056252744431</v>
      </c>
      <c r="W54" s="426">
        <f t="shared" ref="W54:X54" si="1">D54+D55</f>
        <v>17541.846858397963</v>
      </c>
      <c r="X54" s="426">
        <f t="shared" si="1"/>
        <v>17532.058187599359</v>
      </c>
      <c r="Y54" s="427">
        <f>F54+F55</f>
        <v>17852</v>
      </c>
    </row>
    <row r="55" spans="2:25">
      <c r="B55" s="111" t="s">
        <v>180</v>
      </c>
      <c r="C55" s="425">
        <f>VLOOKUP($C$38,'MP (2011)'!$A$14:$AR$245,'MP (2011)'!$AD$246,FALSE)</f>
        <v>7069.1266890023089</v>
      </c>
      <c r="D55" s="426">
        <f>VLOOKUP($D$38,'MP (2011)'!$A$14:$AR$245,'MP (2011)'!$AD$246,FALSE)</f>
        <v>7885.8958912759945</v>
      </c>
      <c r="E55" s="426">
        <f>VLOOKUP($E$38,'MP (2011)'!$A$14:$AR$245,'MP (2011)'!$AD$246,FALSE)</f>
        <v>6674.4415537172263</v>
      </c>
      <c r="F55" s="427">
        <f>VLOOKUP($F$38,'MP (2011)'!$A$14:$AR$245,'MP (2011)'!$AD$246,FALSE)</f>
        <v>6796</v>
      </c>
      <c r="J55" s="139"/>
      <c r="U55" s="170" t="s">
        <v>478</v>
      </c>
      <c r="V55" s="425">
        <f>C56</f>
        <v>6490.5315930540901</v>
      </c>
      <c r="W55" s="426">
        <f t="shared" ref="W55:X55" si="2">D56</f>
        <v>7220.3526913309061</v>
      </c>
      <c r="X55" s="426">
        <f t="shared" si="2"/>
        <v>7718.8598959877108</v>
      </c>
      <c r="Y55" s="427">
        <f>F56</f>
        <v>7814</v>
      </c>
    </row>
    <row r="56" spans="2:25">
      <c r="B56" s="111" t="s">
        <v>184</v>
      </c>
      <c r="C56" s="425">
        <f>VLOOKUP($C$38,'MP (2011)'!$A$14:$AR$245,'MP (2011)'!$AH$246,FALSE)</f>
        <v>6490.5315930540901</v>
      </c>
      <c r="D56" s="426">
        <f>VLOOKUP($D$38,'MP (2011)'!$A$14:$AR$245,'MP (2011)'!$AH$246,FALSE)</f>
        <v>7220.3526913309061</v>
      </c>
      <c r="E56" s="426">
        <f>VLOOKUP($E$38,'MP (2011)'!$A$14:$AR$245,'MP (2011)'!$AH$246,FALSE)</f>
        <v>7718.8598959877108</v>
      </c>
      <c r="F56" s="427">
        <f>VLOOKUP($F$38,'MP (2011)'!$A$14:$AR$245,'MP (2011)'!$AH$246,FALSE)</f>
        <v>7814</v>
      </c>
      <c r="U56" s="170"/>
      <c r="V56" s="425"/>
      <c r="W56" s="426"/>
      <c r="X56" s="426"/>
      <c r="Y56" s="427"/>
    </row>
    <row r="57" spans="2:25">
      <c r="B57" s="111" t="s">
        <v>181</v>
      </c>
      <c r="C57" s="425">
        <f>VLOOKUP($C$38,'MP (2011)'!$A$14:$AR$245,'MP (2011)'!$AL$246,FALSE)</f>
        <v>1021.2678184254796</v>
      </c>
      <c r="D57" s="426">
        <f>VLOOKUP($D$38,'MP (2011)'!$A$14:$AR$245,'MP (2011)'!$AL$246,FALSE)</f>
        <v>1088.7016953806024</v>
      </c>
      <c r="E57" s="426">
        <f>VLOOKUP($E$38,'MP (2011)'!$A$14:$AR$245,'MP (2011)'!$AL$246,FALSE)</f>
        <v>953.52803750909413</v>
      </c>
      <c r="F57" s="427">
        <f>VLOOKUP($F$38,'MP (2011)'!$A$14:$AR$245,'MP (2011)'!$AL$246,FALSE)</f>
        <v>1336</v>
      </c>
      <c r="U57" s="170" t="s">
        <v>181</v>
      </c>
      <c r="V57" s="425">
        <f>C57</f>
        <v>1021.2678184254796</v>
      </c>
      <c r="W57" s="426">
        <f>D57</f>
        <v>1088.7016953806024</v>
      </c>
      <c r="X57" s="426">
        <f>E57</f>
        <v>953.52803750909413</v>
      </c>
      <c r="Y57" s="427">
        <f>F57</f>
        <v>1336</v>
      </c>
    </row>
    <row r="58" spans="2:25">
      <c r="B58" s="147" t="s">
        <v>248</v>
      </c>
      <c r="C58" s="428">
        <f>SUM(C54:C57)</f>
        <v>22581.855664224</v>
      </c>
      <c r="D58" s="428">
        <f>SUM(D54:D57)</f>
        <v>25850.901245109471</v>
      </c>
      <c r="E58" s="428">
        <f>SUM(E54:E57)</f>
        <v>26204.446121096167</v>
      </c>
      <c r="F58" s="429">
        <f>SUM(F54:F57)</f>
        <v>27002</v>
      </c>
      <c r="U58" s="208" t="s">
        <v>248</v>
      </c>
      <c r="V58" s="428">
        <f>SUM(V54:V57)</f>
        <v>22581.855664224</v>
      </c>
      <c r="W58" s="428">
        <f>SUM(W54:W57)</f>
        <v>25850.901245109471</v>
      </c>
      <c r="X58" s="428">
        <f>SUM(X54:X57)</f>
        <v>26204.446121096167</v>
      </c>
      <c r="Y58" s="429">
        <f>SUM(Y54:Y57)</f>
        <v>27002</v>
      </c>
    </row>
    <row r="59" spans="2:25">
      <c r="B59" s="103" t="s">
        <v>302</v>
      </c>
      <c r="U59" s="102" t="s">
        <v>302</v>
      </c>
    </row>
    <row r="60" spans="2:25">
      <c r="B60" s="137" t="str">
        <f>$B$2</f>
        <v>Marlborough</v>
      </c>
      <c r="C60" s="144">
        <v>2008</v>
      </c>
      <c r="D60" s="126">
        <v>2009</v>
      </c>
      <c r="E60" s="126">
        <v>2010</v>
      </c>
      <c r="F60" s="127">
        <v>2011</v>
      </c>
      <c r="U60" s="154" t="str">
        <f>$B$2</f>
        <v>Marlborough</v>
      </c>
      <c r="V60" s="144">
        <v>2008</v>
      </c>
      <c r="W60" s="126">
        <v>2009</v>
      </c>
      <c r="X60" s="126">
        <v>2010</v>
      </c>
      <c r="Y60" s="127">
        <v>2011</v>
      </c>
    </row>
    <row r="61" spans="2:25">
      <c r="B61" s="111" t="s">
        <v>185</v>
      </c>
      <c r="C61" s="422">
        <f t="shared" ref="C61:F65" si="3">IF(ISERROR(C54/$C54),"",(C54/$C54)*100)</f>
        <v>100</v>
      </c>
      <c r="D61" s="422">
        <f t="shared" si="3"/>
        <v>120.68536399670261</v>
      </c>
      <c r="E61" s="422">
        <f t="shared" si="3"/>
        <v>135.70443968267995</v>
      </c>
      <c r="F61" s="423">
        <f t="shared" si="3"/>
        <v>138.18394365202971</v>
      </c>
      <c r="G61" s="141"/>
      <c r="U61" s="170" t="s">
        <v>477</v>
      </c>
      <c r="V61" s="422">
        <f>IF(ISERROR(V54/$V54),"",(V54/$V54)*100)</f>
        <v>100</v>
      </c>
      <c r="W61" s="422">
        <f t="shared" ref="W61:X61" si="4">IF(ISERROR(W54/$V54),"",(W54/$V54)*100)</f>
        <v>116.40199986117099</v>
      </c>
      <c r="X61" s="422">
        <f t="shared" si="4"/>
        <v>116.33704542016272</v>
      </c>
      <c r="Y61" s="423">
        <f>IF(ISERROR(Y54/$V54),"",(Y54/$V54)*100)</f>
        <v>118.46007540117141</v>
      </c>
    </row>
    <row r="62" spans="2:25">
      <c r="B62" s="111" t="s">
        <v>180</v>
      </c>
      <c r="C62" s="422">
        <f t="shared" si="3"/>
        <v>100</v>
      </c>
      <c r="D62" s="422">
        <f t="shared" si="3"/>
        <v>111.55403260128811</v>
      </c>
      <c r="E62" s="422">
        <f t="shared" si="3"/>
        <v>94.416776602701034</v>
      </c>
      <c r="F62" s="423">
        <f t="shared" si="3"/>
        <v>96.136344685585811</v>
      </c>
      <c r="G62" s="141"/>
      <c r="U62" s="170" t="s">
        <v>478</v>
      </c>
      <c r="V62" s="422">
        <f t="shared" ref="V62:Y65" si="5">IF(ISERROR(V55/$V55),"",(V55/$V55)*100)</f>
        <v>100</v>
      </c>
      <c r="W62" s="422">
        <f t="shared" si="5"/>
        <v>111.24439636127559</v>
      </c>
      <c r="X62" s="422">
        <f t="shared" si="5"/>
        <v>118.924926029913</v>
      </c>
      <c r="Y62" s="423">
        <f t="shared" si="5"/>
        <v>120.3907551788552</v>
      </c>
    </row>
    <row r="63" spans="2:25">
      <c r="B63" s="111" t="s">
        <v>184</v>
      </c>
      <c r="C63" s="422">
        <f t="shared" si="3"/>
        <v>100</v>
      </c>
      <c r="D63" s="422">
        <f t="shared" si="3"/>
        <v>111.24439636127559</v>
      </c>
      <c r="E63" s="422">
        <f t="shared" si="3"/>
        <v>118.924926029913</v>
      </c>
      <c r="F63" s="423">
        <f t="shared" si="3"/>
        <v>120.3907551788552</v>
      </c>
      <c r="G63" s="141"/>
      <c r="U63" s="170"/>
      <c r="V63" s="422" t="str">
        <f t="shared" si="5"/>
        <v/>
      </c>
      <c r="W63" s="422" t="str">
        <f t="shared" si="5"/>
        <v/>
      </c>
      <c r="X63" s="422" t="str">
        <f t="shared" si="5"/>
        <v/>
      </c>
      <c r="Y63" s="423" t="str">
        <f t="shared" si="5"/>
        <v/>
      </c>
    </row>
    <row r="64" spans="2:25">
      <c r="B64" s="111" t="s">
        <v>181</v>
      </c>
      <c r="C64" s="422">
        <f t="shared" si="3"/>
        <v>100</v>
      </c>
      <c r="D64" s="422">
        <f t="shared" si="3"/>
        <v>106.60295720069664</v>
      </c>
      <c r="E64" s="422">
        <f t="shared" si="3"/>
        <v>93.367089445663538</v>
      </c>
      <c r="F64" s="423">
        <f t="shared" si="3"/>
        <v>130.81779097472716</v>
      </c>
      <c r="G64" s="141"/>
      <c r="U64" s="170" t="s">
        <v>181</v>
      </c>
      <c r="V64" s="422">
        <f t="shared" si="5"/>
        <v>100</v>
      </c>
      <c r="W64" s="422">
        <f t="shared" si="5"/>
        <v>106.60295720069664</v>
      </c>
      <c r="X64" s="422">
        <f t="shared" si="5"/>
        <v>93.367089445663538</v>
      </c>
      <c r="Y64" s="423">
        <f t="shared" si="5"/>
        <v>130.81779097472716</v>
      </c>
    </row>
    <row r="65" spans="2:40">
      <c r="B65" s="115" t="s">
        <v>248</v>
      </c>
      <c r="C65" s="424">
        <f t="shared" si="3"/>
        <v>100</v>
      </c>
      <c r="D65" s="424">
        <f t="shared" si="3"/>
        <v>114.47642580615975</v>
      </c>
      <c r="E65" s="424">
        <f t="shared" si="3"/>
        <v>116.04204061321394</v>
      </c>
      <c r="F65" s="416">
        <f t="shared" si="3"/>
        <v>119.57387559950952</v>
      </c>
      <c r="G65" s="141"/>
      <c r="U65" s="208" t="s">
        <v>248</v>
      </c>
      <c r="V65" s="424">
        <f t="shared" si="5"/>
        <v>100</v>
      </c>
      <c r="W65" s="424">
        <f t="shared" si="5"/>
        <v>114.47642580615975</v>
      </c>
      <c r="X65" s="424">
        <f t="shared" si="5"/>
        <v>116.04204061321394</v>
      </c>
      <c r="Y65" s="416">
        <f t="shared" si="5"/>
        <v>119.57387559950952</v>
      </c>
    </row>
    <row r="68" spans="2:40">
      <c r="B68" s="517" t="s">
        <v>251</v>
      </c>
      <c r="C68" s="510"/>
      <c r="D68" s="510"/>
      <c r="E68" s="510"/>
      <c r="F68" s="511"/>
      <c r="U68" s="533" t="s">
        <v>251</v>
      </c>
      <c r="V68" s="510"/>
      <c r="W68" s="510"/>
      <c r="X68" s="510"/>
      <c r="Y68" s="511"/>
    </row>
    <row r="69" spans="2:40">
      <c r="B69" s="137" t="str">
        <f>$B$2</f>
        <v>Marlborough</v>
      </c>
      <c r="C69" s="144">
        <v>2008</v>
      </c>
      <c r="D69" s="144">
        <v>2009</v>
      </c>
      <c r="E69" s="144">
        <v>2010</v>
      </c>
      <c r="F69" s="145">
        <v>2011</v>
      </c>
      <c r="U69" s="154" t="str">
        <f>$B$2</f>
        <v>Marlborough</v>
      </c>
      <c r="V69" s="144">
        <v>2008</v>
      </c>
      <c r="W69" s="144">
        <v>2009</v>
      </c>
      <c r="X69" s="144">
        <v>2010</v>
      </c>
      <c r="Y69" s="145">
        <v>2011</v>
      </c>
    </row>
    <row r="70" spans="2:40">
      <c r="B70" s="111" t="s">
        <v>185</v>
      </c>
      <c r="C70" s="426">
        <f>(C54/C98)*1000</f>
        <v>487.00039952170687</v>
      </c>
      <c r="D70" s="433">
        <f>(D54/D98)*1000</f>
        <v>579.10225303598224</v>
      </c>
      <c r="E70" s="433">
        <f>(E54/E98)*1000</f>
        <v>582.83410992979407</v>
      </c>
      <c r="F70" s="434">
        <f>(F54/F98)*1000</f>
        <v>585.68628489696459</v>
      </c>
      <c r="U70" s="170" t="s">
        <v>477</v>
      </c>
      <c r="V70" s="426">
        <f>V54*1000/V98</f>
        <v>647.31138064277434</v>
      </c>
      <c r="W70" s="433">
        <f t="shared" ref="W70:Y70" si="6">W54*1000/W98</f>
        <v>744.52896135129936</v>
      </c>
      <c r="X70" s="433">
        <f t="shared" si="6"/>
        <v>737.85018255121258</v>
      </c>
      <c r="Y70" s="434">
        <f t="shared" si="6"/>
        <v>745.32398129592514</v>
      </c>
    </row>
    <row r="71" spans="2:40">
      <c r="B71" s="111" t="s">
        <v>180</v>
      </c>
      <c r="C71" s="433">
        <f>(C55/C99)*1000</f>
        <v>1031.6880748689885</v>
      </c>
      <c r="D71" s="433">
        <f t="shared" ref="C71:F73" si="7">(D55/D99)*1000</f>
        <v>1145.0407857232458</v>
      </c>
      <c r="E71" s="433">
        <f t="shared" si="7"/>
        <v>1300.5536932418602</v>
      </c>
      <c r="F71" s="434">
        <f t="shared" si="7"/>
        <v>1339.1133004926107</v>
      </c>
      <c r="U71" s="170" t="s">
        <v>478</v>
      </c>
      <c r="V71" s="433">
        <f t="shared" ref="V71:Y71" si="8">V55*1000/V99</f>
        <v>21780.307359241913</v>
      </c>
      <c r="W71" s="433">
        <f t="shared" si="8"/>
        <v>23751.160168851664</v>
      </c>
      <c r="X71" s="433">
        <f t="shared" si="8"/>
        <v>25142.866110709158</v>
      </c>
      <c r="Y71" s="434">
        <f t="shared" si="8"/>
        <v>24964.85623003195</v>
      </c>
    </row>
    <row r="72" spans="2:40">
      <c r="B72" s="111" t="s">
        <v>184</v>
      </c>
      <c r="C72" s="433">
        <f>(C56/C100)*1000</f>
        <v>21780.307359241913</v>
      </c>
      <c r="D72" s="433">
        <f t="shared" si="7"/>
        <v>23751.160168851664</v>
      </c>
      <c r="E72" s="433">
        <f t="shared" si="7"/>
        <v>25142.866110709158</v>
      </c>
      <c r="F72" s="434">
        <f t="shared" si="7"/>
        <v>24964.85623003195</v>
      </c>
      <c r="U72" s="170"/>
      <c r="V72" s="433"/>
      <c r="W72" s="433"/>
      <c r="X72" s="433"/>
      <c r="Y72" s="434"/>
    </row>
    <row r="73" spans="2:40">
      <c r="B73" s="115" t="s">
        <v>181</v>
      </c>
      <c r="C73" s="435">
        <f t="shared" si="7"/>
        <v>204253.5636850959</v>
      </c>
      <c r="D73" s="435">
        <f t="shared" si="7"/>
        <v>217740.33907612046</v>
      </c>
      <c r="E73" s="435">
        <f t="shared" si="7"/>
        <v>190705.60750181883</v>
      </c>
      <c r="F73" s="436">
        <f t="shared" si="7"/>
        <v>267200</v>
      </c>
      <c r="U73" s="208" t="s">
        <v>181</v>
      </c>
      <c r="V73" s="435">
        <f t="shared" ref="V73:Y73" si="9">V57*1000/V101</f>
        <v>204253.56368509593</v>
      </c>
      <c r="W73" s="435">
        <f t="shared" si="9"/>
        <v>217740.33907612046</v>
      </c>
      <c r="X73" s="435">
        <f t="shared" si="9"/>
        <v>190705.60750181883</v>
      </c>
      <c r="Y73" s="436">
        <f t="shared" si="9"/>
        <v>267200</v>
      </c>
    </row>
    <row r="74" spans="2:40">
      <c r="B74" s="103" t="s">
        <v>303</v>
      </c>
      <c r="U74" s="102" t="s">
        <v>303</v>
      </c>
    </row>
    <row r="75" spans="2:40">
      <c r="B75" s="137" t="str">
        <f>$B$2</f>
        <v>Marlborough</v>
      </c>
      <c r="C75" s="140">
        <v>2008</v>
      </c>
      <c r="D75" s="144">
        <v>2009</v>
      </c>
      <c r="E75" s="144">
        <v>2010</v>
      </c>
      <c r="F75" s="145">
        <v>2011</v>
      </c>
      <c r="U75" s="154" t="str">
        <f>$B$2</f>
        <v>Marlborough</v>
      </c>
      <c r="V75" s="140">
        <v>2008</v>
      </c>
      <c r="W75" s="144">
        <v>2009</v>
      </c>
      <c r="X75" s="144">
        <v>2010</v>
      </c>
      <c r="Y75" s="145">
        <v>2011</v>
      </c>
      <c r="AN75" s="139"/>
    </row>
    <row r="76" spans="2:40">
      <c r="B76" s="111" t="s">
        <v>185</v>
      </c>
      <c r="C76" s="422">
        <f t="shared" ref="C76:F79" si="10">IF(ISERROR(C70/$C70),"",(C70/$C70)*100)</f>
        <v>100</v>
      </c>
      <c r="D76" s="422">
        <f t="shared" si="10"/>
        <v>118.91206939557554</v>
      </c>
      <c r="E76" s="422">
        <f t="shared" si="10"/>
        <v>119.67836381699225</v>
      </c>
      <c r="F76" s="423">
        <f t="shared" si="10"/>
        <v>120.26402554744908</v>
      </c>
      <c r="U76" s="170" t="s">
        <v>477</v>
      </c>
      <c r="V76" s="422">
        <f>IF(ISERROR(V70/$V70),"",(V70/$V70)*100)</f>
        <v>100</v>
      </c>
      <c r="W76" s="422">
        <f t="shared" ref="W76:X79" si="11">IF(ISERROR(W70/$V70),"",(W70/$V70)*100)</f>
        <v>115.01867317889403</v>
      </c>
      <c r="X76" s="422">
        <f t="shared" si="11"/>
        <v>113.98690099014388</v>
      </c>
      <c r="Y76" s="423">
        <f>IF(ISERROR(Y70/$V70),"",(Y70/$V70)*100)</f>
        <v>115.14149195953038</v>
      </c>
      <c r="AN76" s="139"/>
    </row>
    <row r="77" spans="2:40">
      <c r="B77" s="111" t="s">
        <v>180</v>
      </c>
      <c r="C77" s="422">
        <f t="shared" si="10"/>
        <v>100</v>
      </c>
      <c r="D77" s="422">
        <f t="shared" si="10"/>
        <v>110.98711069900189</v>
      </c>
      <c r="E77" s="422">
        <f t="shared" si="10"/>
        <v>126.06074693719944</v>
      </c>
      <c r="F77" s="423">
        <f t="shared" si="10"/>
        <v>129.79827266712002</v>
      </c>
      <c r="I77" s="139" t="s">
        <v>190</v>
      </c>
      <c r="U77" s="170" t="s">
        <v>478</v>
      </c>
      <c r="V77" s="422">
        <f>IF(ISERROR(V71/$V71),"",(V71/$V71)*100)</f>
        <v>100</v>
      </c>
      <c r="W77" s="422">
        <f t="shared" si="11"/>
        <v>109.04878327519776</v>
      </c>
      <c r="X77" s="422">
        <f t="shared" si="11"/>
        <v>115.43852754695139</v>
      </c>
      <c r="Y77" s="423">
        <f>IF(ISERROR(Y71/$V71),"",(Y71/$V71)*100)</f>
        <v>114.62123017028387</v>
      </c>
      <c r="AN77" s="139"/>
    </row>
    <row r="78" spans="2:40">
      <c r="B78" s="111" t="s">
        <v>184</v>
      </c>
      <c r="C78" s="422">
        <f t="shared" si="10"/>
        <v>100</v>
      </c>
      <c r="D78" s="422">
        <f t="shared" si="10"/>
        <v>109.04878327519776</v>
      </c>
      <c r="E78" s="422">
        <f t="shared" si="10"/>
        <v>115.43852754695139</v>
      </c>
      <c r="F78" s="423">
        <f t="shared" si="10"/>
        <v>114.62123017028387</v>
      </c>
      <c r="G78" s="141"/>
      <c r="U78" s="170"/>
      <c r="V78" s="422" t="str">
        <f>IF(ISERROR(V72/$V72),"",(V72/$V72)*100)</f>
        <v/>
      </c>
      <c r="W78" s="422" t="str">
        <f t="shared" si="11"/>
        <v/>
      </c>
      <c r="X78" s="422" t="str">
        <f t="shared" si="11"/>
        <v/>
      </c>
      <c r="Y78" s="423" t="str">
        <f>IF(ISERROR(Y72/$V72),"",(Y72/$V72)*100)</f>
        <v/>
      </c>
      <c r="AN78" s="139"/>
    </row>
    <row r="79" spans="2:40">
      <c r="B79" s="115" t="s">
        <v>181</v>
      </c>
      <c r="C79" s="424">
        <f t="shared" si="10"/>
        <v>100</v>
      </c>
      <c r="D79" s="424">
        <f t="shared" si="10"/>
        <v>106.60295720069666</v>
      </c>
      <c r="E79" s="424">
        <f t="shared" si="10"/>
        <v>93.367089445663538</v>
      </c>
      <c r="F79" s="416">
        <f t="shared" si="10"/>
        <v>130.81779097472716</v>
      </c>
      <c r="G79" s="141"/>
      <c r="U79" s="208" t="s">
        <v>181</v>
      </c>
      <c r="V79" s="424">
        <f>IF(ISERROR(V73/$V73),"",(V73/$V73)*100)</f>
        <v>100</v>
      </c>
      <c r="W79" s="424">
        <f t="shared" si="11"/>
        <v>106.60295720069664</v>
      </c>
      <c r="X79" s="424">
        <f t="shared" si="11"/>
        <v>93.367089445663524</v>
      </c>
      <c r="Y79" s="416">
        <f>IF(ISERROR(Y73/$V73),"",(Y73/$V73)*100)</f>
        <v>130.81779097472713</v>
      </c>
      <c r="AN79" s="139"/>
    </row>
    <row r="82" spans="2:25">
      <c r="B82" s="517" t="s">
        <v>252</v>
      </c>
      <c r="C82" s="510"/>
      <c r="D82" s="510"/>
      <c r="E82" s="510"/>
      <c r="F82" s="511"/>
      <c r="U82" s="533" t="s">
        <v>252</v>
      </c>
      <c r="V82" s="510"/>
      <c r="W82" s="510"/>
      <c r="X82" s="510"/>
      <c r="Y82" s="511"/>
    </row>
    <row r="83" spans="2:25">
      <c r="B83" s="137" t="str">
        <f>$B$2</f>
        <v>Marlborough</v>
      </c>
      <c r="C83" s="144">
        <v>2008</v>
      </c>
      <c r="D83" s="144">
        <v>2009</v>
      </c>
      <c r="E83" s="144">
        <v>2010</v>
      </c>
      <c r="F83" s="145">
        <v>2011</v>
      </c>
      <c r="U83" s="154" t="str">
        <f>$B$2</f>
        <v>Marlborough</v>
      </c>
      <c r="V83" s="144">
        <v>2008</v>
      </c>
      <c r="W83" s="144">
        <v>2009</v>
      </c>
      <c r="X83" s="144">
        <v>2010</v>
      </c>
      <c r="Y83" s="145">
        <v>2011</v>
      </c>
    </row>
    <row r="84" spans="2:25">
      <c r="B84" s="111" t="s">
        <v>185</v>
      </c>
      <c r="C84" s="430">
        <f>(C54/VLOOKUP($C$38,'MP (2011)'!$A$14:$AR$245,'MP (2011)'!$AA$246,FALSE)*100)</f>
        <v>7.3379972784165064</v>
      </c>
      <c r="D84" s="437">
        <f>(D54/VLOOKUP($D$38,'MP (2011)'!$A$14:$AR$245,'MP (2011)'!$AA$246,FALSE)*100)</f>
        <v>8.5177270953679489</v>
      </c>
      <c r="E84" s="437">
        <f>(E54/VLOOKUP($E$38,'MP (2011)'!$A$14:$AR$245,'MP (2011)'!$AA$246,FALSE)*100)</f>
        <v>8.2881937037748834</v>
      </c>
      <c r="F84" s="438">
        <f>(F54/VLOOKUP($F$38,'MP (2011)'!$A$14:$AR$245,'MP (2011)'!$AA$246,FALSE)*100)</f>
        <v>8.7188990970387596</v>
      </c>
      <c r="U84" s="170" t="s">
        <v>477</v>
      </c>
      <c r="V84" s="430">
        <f>V54*100/V113</f>
        <v>7.189358040307785</v>
      </c>
      <c r="W84" s="437">
        <f t="shared" ref="W84:Y84" si="12">W54*100/W113</f>
        <v>8.2579381245484296</v>
      </c>
      <c r="X84" s="437">
        <f t="shared" si="12"/>
        <v>8.0218060385712331</v>
      </c>
      <c r="Y84" s="438">
        <f t="shared" si="12"/>
        <v>8.4159909485197062</v>
      </c>
    </row>
    <row r="85" spans="2:25">
      <c r="B85" s="111" t="s">
        <v>180</v>
      </c>
      <c r="C85" s="430">
        <f>(C55/VLOOKUP($C$38,'MP (2011)'!$A$14:$AR$245,'MP (2011)'!$AE$246,FALSE)*100)</f>
        <v>7.0282280244822415</v>
      </c>
      <c r="D85" s="437">
        <f>(D55/VLOOKUP($D$38,'MP (2011)'!$A$14:$AR$245,'MP (2011)'!$AE$246,FALSE)*100)</f>
        <v>7.9606421014684692</v>
      </c>
      <c r="E85" s="437">
        <f>(E55/VLOOKUP($E$38,'MP (2011)'!$A$14:$AR$245,'MP (2011)'!$AE$246,FALSE)*100)</f>
        <v>7.6232285831797819</v>
      </c>
      <c r="F85" s="438">
        <f>(F55/VLOOKUP($F$38,'MP (2011)'!$A$14:$AR$245,'MP (2011)'!$AE$246,FALSE)*100)</f>
        <v>7.9657738967356266</v>
      </c>
      <c r="U85" s="170" t="s">
        <v>478</v>
      </c>
      <c r="V85" s="430">
        <f t="shared" ref="V85:Y85" si="13">V55*100/V114</f>
        <v>5.7185864680374738</v>
      </c>
      <c r="W85" s="437">
        <f t="shared" si="13"/>
        <v>6.219779285572562</v>
      </c>
      <c r="X85" s="437">
        <f t="shared" si="13"/>
        <v>6.2364042433103961</v>
      </c>
      <c r="Y85" s="438">
        <f t="shared" si="13"/>
        <v>6.0057336540900321</v>
      </c>
    </row>
    <row r="86" spans="2:25">
      <c r="B86" s="111" t="s">
        <v>184</v>
      </c>
      <c r="C86" s="430">
        <f>(C56/VLOOKUP($C$38,'MP (2011)'!$A$14:$AR$245,'MP (2011)'!$AI$246,FALSE)*100)</f>
        <v>5.7185864680374729</v>
      </c>
      <c r="D86" s="437">
        <f>(D56/VLOOKUP($D$38,'MP (2011)'!$A$14:$AR$245,'MP (2011)'!$AI$246,FALSE)*100)</f>
        <v>6.219779285572562</v>
      </c>
      <c r="E86" s="437">
        <f>(E56/VLOOKUP($E$38,'MP (2011)'!$A$14:$AR$245,'MP (2011)'!$AI$246,FALSE)*100)</f>
        <v>6.2364042433103961</v>
      </c>
      <c r="F86" s="438">
        <f>(F56/VLOOKUP($F$38,'MP (2011)'!$A$14:$AR$245,'MP (2011)'!$AI$246,FALSE)*100)</f>
        <v>6.0057336540900321</v>
      </c>
      <c r="U86" s="170"/>
      <c r="V86" s="430"/>
      <c r="W86" s="437"/>
      <c r="X86" s="437"/>
      <c r="Y86" s="438"/>
    </row>
    <row r="87" spans="2:25">
      <c r="B87" s="115" t="s">
        <v>181</v>
      </c>
      <c r="C87" s="431">
        <f>(C57/VLOOKUP($C$38,'MP (2011)'!$A$14:$AR$245,'MP (2011)'!$AM$246,FALSE)*100)</f>
        <v>4.0790343029335769</v>
      </c>
      <c r="D87" s="431">
        <f>(D57/VLOOKUP($D$38,'MP (2011)'!$A$14:$AR$245,'MP (2011)'!$AM$246,FALSE)*100)</f>
        <v>4.4320254287240166</v>
      </c>
      <c r="E87" s="431">
        <f>(E57/VLOOKUP($E$38,'MP (2011)'!$A$14:$AR$245,'MP (2011)'!$AM$246,FALSE)*100)</f>
        <v>3.6463787285242604</v>
      </c>
      <c r="F87" s="432">
        <f>(F57/VLOOKUP($F$38,'MP (2011)'!$A$14:$AR$245,'MP (2011)'!$AM$246,FALSE)*100)</f>
        <v>6.1609407424486973</v>
      </c>
      <c r="U87" s="208" t="s">
        <v>181</v>
      </c>
      <c r="V87" s="431">
        <f t="shared" ref="V87:Y87" si="14">V57*100/V116</f>
        <v>4.0790343029335769</v>
      </c>
      <c r="W87" s="431">
        <f t="shared" si="14"/>
        <v>4.4320254287240166</v>
      </c>
      <c r="X87" s="431">
        <f t="shared" si="14"/>
        <v>3.6463787285242604</v>
      </c>
      <c r="Y87" s="432">
        <f t="shared" si="14"/>
        <v>6.1609407424486973</v>
      </c>
    </row>
    <row r="88" spans="2:25">
      <c r="B88" s="103" t="s">
        <v>304</v>
      </c>
      <c r="U88" s="102" t="s">
        <v>304</v>
      </c>
    </row>
    <row r="89" spans="2:25">
      <c r="B89" s="137" t="str">
        <f>$B$2</f>
        <v>Marlborough</v>
      </c>
      <c r="C89" s="140">
        <v>2008</v>
      </c>
      <c r="D89" s="144">
        <v>2009</v>
      </c>
      <c r="E89" s="144">
        <v>2010</v>
      </c>
      <c r="F89" s="145">
        <v>2011</v>
      </c>
      <c r="U89" s="154" t="str">
        <f>$B$2</f>
        <v>Marlborough</v>
      </c>
      <c r="V89" s="140">
        <v>2008</v>
      </c>
      <c r="W89" s="144">
        <v>2009</v>
      </c>
      <c r="X89" s="144">
        <v>2010</v>
      </c>
      <c r="Y89" s="145">
        <v>2011</v>
      </c>
    </row>
    <row r="90" spans="2:25">
      <c r="B90" s="111" t="s">
        <v>185</v>
      </c>
      <c r="C90" s="422">
        <f>IF(ISERROR(C84/$C84),"",(C84/$C84)*100)</f>
        <v>100</v>
      </c>
      <c r="D90" s="422">
        <f>IF(ISERROR(D84/$C84),"",(D84/$C84)*100)</f>
        <v>116.0769999250534</v>
      </c>
      <c r="E90" s="422">
        <f>IF(ISERROR(E84/$C84),"",(E84/$C84)*100)</f>
        <v>112.94898852242996</v>
      </c>
      <c r="F90" s="423">
        <f>IF(ISERROR(F84/$C84),"",(F84/$C84)*100)</f>
        <v>118.81851091283376</v>
      </c>
      <c r="U90" s="170" t="s">
        <v>477</v>
      </c>
      <c r="V90" s="422">
        <f>IF(ISERROR(V84/$V84),"",(V84/$V84)*100)</f>
        <v>100</v>
      </c>
      <c r="W90" s="422">
        <f t="shared" ref="W90:Y90" si="15">IF(ISERROR(W84/$V84),"",(W84/$V84)*100)</f>
        <v>114.8633588458045</v>
      </c>
      <c r="X90" s="422">
        <f t="shared" si="15"/>
        <v>111.57889193438766</v>
      </c>
      <c r="Y90" s="423">
        <f t="shared" si="15"/>
        <v>117.06178634218372</v>
      </c>
    </row>
    <row r="91" spans="2:25">
      <c r="B91" s="111" t="s">
        <v>180</v>
      </c>
      <c r="C91" s="422">
        <f t="shared" ref="C91:F92" si="16">IF(ISERROR(C85/$C85),"",(C85/$C85)*100)</f>
        <v>100</v>
      </c>
      <c r="D91" s="422">
        <f t="shared" si="16"/>
        <v>113.26670212944488</v>
      </c>
      <c r="E91" s="422">
        <f t="shared" si="16"/>
        <v>108.46586873142002</v>
      </c>
      <c r="F91" s="423">
        <f t="shared" si="16"/>
        <v>113.33971904422455</v>
      </c>
      <c r="U91" s="170" t="s">
        <v>478</v>
      </c>
      <c r="V91" s="422">
        <f t="shared" ref="V91:Y93" si="17">IF(ISERROR(V85/$V85),"",(V85/$V85)*100)</f>
        <v>100</v>
      </c>
      <c r="W91" s="422">
        <f t="shared" si="17"/>
        <v>108.76427803157954</v>
      </c>
      <c r="X91" s="422">
        <f t="shared" si="17"/>
        <v>109.05499598838153</v>
      </c>
      <c r="Y91" s="423">
        <f t="shared" si="17"/>
        <v>105.02129656791045</v>
      </c>
    </row>
    <row r="92" spans="2:25">
      <c r="B92" s="111" t="s">
        <v>184</v>
      </c>
      <c r="C92" s="422">
        <f t="shared" si="16"/>
        <v>100</v>
      </c>
      <c r="D92" s="422">
        <f t="shared" si="16"/>
        <v>108.76427803157955</v>
      </c>
      <c r="E92" s="422">
        <f t="shared" si="16"/>
        <v>109.05499598838155</v>
      </c>
      <c r="F92" s="423">
        <f t="shared" si="16"/>
        <v>105.02129656791048</v>
      </c>
      <c r="G92" s="141"/>
      <c r="U92" s="170"/>
      <c r="V92" s="422" t="str">
        <f t="shared" si="17"/>
        <v/>
      </c>
      <c r="W92" s="422" t="str">
        <f t="shared" si="17"/>
        <v/>
      </c>
      <c r="X92" s="422" t="str">
        <f t="shared" si="17"/>
        <v/>
      </c>
      <c r="Y92" s="423" t="str">
        <f t="shared" si="17"/>
        <v/>
      </c>
    </row>
    <row r="93" spans="2:25">
      <c r="B93" s="115" t="s">
        <v>181</v>
      </c>
      <c r="C93" s="424">
        <f>IF(ISERROR(C87/$C87),"",(C87/$C87)*100)</f>
        <v>100</v>
      </c>
      <c r="D93" s="424">
        <f>IF(ISERROR(D87/$C87),"",(D87/$C87)*100)</f>
        <v>108.65379154905793</v>
      </c>
      <c r="E93" s="424">
        <f>IF(ISERROR(E87/$C87),"",(E87/$C87)*100)</f>
        <v>89.393186174037382</v>
      </c>
      <c r="F93" s="416">
        <f>IF(ISERROR(F87/$C87),"",(F87/$C87)*100)</f>
        <v>151.03919910695151</v>
      </c>
      <c r="G93" s="141"/>
      <c r="U93" s="208" t="s">
        <v>181</v>
      </c>
      <c r="V93" s="424">
        <f t="shared" si="17"/>
        <v>100</v>
      </c>
      <c r="W93" s="424">
        <f t="shared" si="17"/>
        <v>108.65379154905793</v>
      </c>
      <c r="X93" s="424">
        <f t="shared" si="17"/>
        <v>89.393186174037382</v>
      </c>
      <c r="Y93" s="416">
        <f t="shared" si="17"/>
        <v>151.03919910695151</v>
      </c>
    </row>
    <row r="96" spans="2:25">
      <c r="B96" s="517" t="s">
        <v>253</v>
      </c>
      <c r="C96" s="510"/>
      <c r="D96" s="510"/>
      <c r="E96" s="510"/>
      <c r="F96" s="511"/>
      <c r="U96" s="533" t="s">
        <v>253</v>
      </c>
      <c r="V96" s="510"/>
      <c r="W96" s="510"/>
      <c r="X96" s="510"/>
      <c r="Y96" s="511"/>
    </row>
    <row r="97" spans="2:25">
      <c r="B97" s="154"/>
      <c r="C97" s="144">
        <v>2008</v>
      </c>
      <c r="D97" s="144">
        <v>2009</v>
      </c>
      <c r="E97" s="144">
        <v>2010</v>
      </c>
      <c r="F97" s="145">
        <v>2011</v>
      </c>
      <c r="U97" s="154"/>
      <c r="V97" s="144">
        <v>2008</v>
      </c>
      <c r="W97" s="144">
        <v>2009</v>
      </c>
      <c r="X97" s="144">
        <v>2010</v>
      </c>
      <c r="Y97" s="145">
        <v>2011</v>
      </c>
    </row>
    <row r="98" spans="2:25">
      <c r="B98" s="155" t="s">
        <v>308</v>
      </c>
      <c r="C98" s="150">
        <f>VLOOKUP($C$38,'MP (2011)'!$A$14:$AR$245,'MP (2011)'!$AB$246,FALSE)</f>
        <v>16429</v>
      </c>
      <c r="D98" s="150">
        <f>VLOOKUP($D$38,'MP (2011)'!$A$14:$AR$245,'MP (2011)'!$AB$246,FALSE)</f>
        <v>16674</v>
      </c>
      <c r="E98" s="150">
        <f>VLOOKUP($E$38,'MP (2011)'!$A$14:$AR$245,'MP (2011)'!$AB$246,FALSE)</f>
        <v>18629</v>
      </c>
      <c r="F98" s="151">
        <f>VLOOKUP($F$38,'MP (2011)'!$A$14:$AR$245,'MP (2011)'!$AB$246,FALSE)</f>
        <v>18877</v>
      </c>
      <c r="U98" s="170" t="s">
        <v>477</v>
      </c>
      <c r="V98" s="150">
        <f>C98+C99</f>
        <v>23281</v>
      </c>
      <c r="W98" s="150">
        <f t="shared" ref="W98:X98" si="18">D98+D99</f>
        <v>23561</v>
      </c>
      <c r="X98" s="150">
        <f t="shared" si="18"/>
        <v>23761</v>
      </c>
      <c r="Y98" s="151">
        <f>F98+F99</f>
        <v>23952</v>
      </c>
    </row>
    <row r="99" spans="2:25">
      <c r="B99" s="155" t="s">
        <v>309</v>
      </c>
      <c r="C99" s="150">
        <f>VLOOKUP($C$38,'MP (2011)'!$A$14:$AR$245,'MP (2011)'!$AF$246,FALSE)</f>
        <v>6852</v>
      </c>
      <c r="D99" s="150">
        <f>VLOOKUP($D$38,'MP (2011)'!$A$14:$AR$245,'MP (2011)'!$AF$246,FALSE)</f>
        <v>6887</v>
      </c>
      <c r="E99" s="150">
        <f>VLOOKUP($E$38,'MP (2011)'!$A$14:$AR$245,'MP (2011)'!$AF$246,FALSE)</f>
        <v>5132</v>
      </c>
      <c r="F99" s="151">
        <f>VLOOKUP($F$38,'MP (2011)'!$A$14:$AR$245,'MP (2011)'!$AF$246,FALSE)</f>
        <v>5075</v>
      </c>
      <c r="U99" s="170" t="s">
        <v>478</v>
      </c>
      <c r="V99" s="150">
        <f>C100</f>
        <v>298</v>
      </c>
      <c r="W99" s="150">
        <f t="shared" ref="W99:X99" si="19">D100</f>
        <v>304</v>
      </c>
      <c r="X99" s="150">
        <f t="shared" si="19"/>
        <v>307</v>
      </c>
      <c r="Y99" s="151">
        <f>F100</f>
        <v>313</v>
      </c>
    </row>
    <row r="100" spans="2:25">
      <c r="B100" s="155" t="s">
        <v>310</v>
      </c>
      <c r="C100" s="150">
        <f>VLOOKUP($C$38,'MP (2011)'!$A$14:$AR$245,'MP (2011)'!$AJ$246,FALSE)</f>
        <v>298</v>
      </c>
      <c r="D100" s="150">
        <f>VLOOKUP($D$38,'MP (2011)'!$A$14:$AR$245,'MP (2011)'!$AJ$246,FALSE)</f>
        <v>304</v>
      </c>
      <c r="E100" s="150">
        <f>VLOOKUP($E$38,'MP (2011)'!$A$14:$AR$245,'MP (2011)'!$AJ$246,FALSE)</f>
        <v>307</v>
      </c>
      <c r="F100" s="151">
        <f>VLOOKUP($F$38,'MP (2011)'!$A$14:$AR$245,'MP (2011)'!$AJ$246,FALSE)</f>
        <v>313</v>
      </c>
      <c r="U100" s="170"/>
      <c r="V100" s="150"/>
      <c r="W100" s="150"/>
      <c r="X100" s="150"/>
      <c r="Y100" s="151"/>
    </row>
    <row r="101" spans="2:25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  <c r="U101" s="170" t="s">
        <v>181</v>
      </c>
      <c r="V101" s="150">
        <f>C101</f>
        <v>5</v>
      </c>
      <c r="W101" s="150">
        <f>D101</f>
        <v>5</v>
      </c>
      <c r="X101" s="150">
        <f>E101</f>
        <v>5</v>
      </c>
      <c r="Y101" s="151">
        <f>F101</f>
        <v>5</v>
      </c>
    </row>
    <row r="102" spans="2:25">
      <c r="B102" s="156" t="s">
        <v>254</v>
      </c>
      <c r="C102" s="152">
        <f>SUM(C98:C101)</f>
        <v>23584</v>
      </c>
      <c r="D102" s="152">
        <f>SUM(D98:D101)</f>
        <v>23870</v>
      </c>
      <c r="E102" s="152">
        <f>SUM(E98:E101)</f>
        <v>24073</v>
      </c>
      <c r="F102" s="157">
        <f>SUM(F98:F101)</f>
        <v>24270</v>
      </c>
      <c r="U102" s="208" t="s">
        <v>254</v>
      </c>
      <c r="V102" s="152">
        <f>SUM(V98:V101)</f>
        <v>23584</v>
      </c>
      <c r="W102" s="152">
        <f>SUM(W98:W101)</f>
        <v>23870</v>
      </c>
      <c r="X102" s="152">
        <f>SUM(X98:X101)</f>
        <v>24073</v>
      </c>
      <c r="Y102" s="157">
        <f>SUM(Y98:Y101)</f>
        <v>24270</v>
      </c>
    </row>
    <row r="103" spans="2:25">
      <c r="B103" s="103" t="s">
        <v>305</v>
      </c>
      <c r="U103" s="102" t="s">
        <v>305</v>
      </c>
    </row>
    <row r="104" spans="2:25">
      <c r="B104" s="137"/>
      <c r="C104" s="140">
        <v>2008</v>
      </c>
      <c r="D104" s="144">
        <v>2009</v>
      </c>
      <c r="E104" s="144">
        <v>2010</v>
      </c>
      <c r="F104" s="145">
        <v>2011</v>
      </c>
      <c r="U104" s="154"/>
      <c r="V104" s="536">
        <v>2008</v>
      </c>
      <c r="W104" s="534">
        <v>2009</v>
      </c>
      <c r="X104" s="534">
        <v>2010</v>
      </c>
      <c r="Y104" s="535">
        <v>2011</v>
      </c>
    </row>
    <row r="105" spans="2:25">
      <c r="B105" s="111" t="s">
        <v>185</v>
      </c>
      <c r="C105" s="422">
        <f t="shared" ref="C105:F108" si="20">IF(ISERROR(C98/$C98),"",(C98/$C98)*100)</f>
        <v>100</v>
      </c>
      <c r="D105" s="422">
        <f t="shared" si="20"/>
        <v>101.49126544524924</v>
      </c>
      <c r="E105" s="422">
        <f t="shared" si="20"/>
        <v>113.39095501856474</v>
      </c>
      <c r="F105" s="423">
        <f t="shared" si="20"/>
        <v>114.90048085702111</v>
      </c>
      <c r="U105" s="170" t="s">
        <v>477</v>
      </c>
      <c r="V105" s="422">
        <f>IF(ISERROR(V98/$V98),"",(V98/$V98)*100)</f>
        <v>100</v>
      </c>
      <c r="W105" s="422">
        <f t="shared" ref="W105:Y105" si="21">IF(ISERROR(W98/$V98),"",(W98/$V98)*100)</f>
        <v>101.20269747863064</v>
      </c>
      <c r="X105" s="422">
        <f t="shared" si="21"/>
        <v>102.06176710622397</v>
      </c>
      <c r="Y105" s="423">
        <f t="shared" si="21"/>
        <v>102.88217860057559</v>
      </c>
    </row>
    <row r="106" spans="2:25">
      <c r="B106" s="111" t="s">
        <v>180</v>
      </c>
      <c r="C106" s="422">
        <f t="shared" si="20"/>
        <v>100</v>
      </c>
      <c r="D106" s="422">
        <f t="shared" si="20"/>
        <v>100.51079976649153</v>
      </c>
      <c r="E106" s="422">
        <f t="shared" si="20"/>
        <v>74.897840046701688</v>
      </c>
      <c r="F106" s="423">
        <f t="shared" si="20"/>
        <v>74.065966141272625</v>
      </c>
      <c r="G106" s="141"/>
      <c r="U106" s="170" t="s">
        <v>478</v>
      </c>
      <c r="V106" s="422">
        <f t="shared" ref="V106:Y108" si="22">IF(ISERROR(V99/$V99),"",(V99/$V99)*100)</f>
        <v>100</v>
      </c>
      <c r="W106" s="422">
        <f t="shared" si="22"/>
        <v>102.01342281879195</v>
      </c>
      <c r="X106" s="422">
        <f t="shared" si="22"/>
        <v>103.02013422818791</v>
      </c>
      <c r="Y106" s="423">
        <f t="shared" si="22"/>
        <v>105.03355704697988</v>
      </c>
    </row>
    <row r="107" spans="2:25">
      <c r="B107" s="111" t="s">
        <v>184</v>
      </c>
      <c r="C107" s="422">
        <f t="shared" si="20"/>
        <v>100</v>
      </c>
      <c r="D107" s="422">
        <f t="shared" si="20"/>
        <v>102.01342281879195</v>
      </c>
      <c r="E107" s="422">
        <f t="shared" si="20"/>
        <v>103.02013422818791</v>
      </c>
      <c r="F107" s="423">
        <f t="shared" si="20"/>
        <v>105.03355704697988</v>
      </c>
      <c r="G107" s="141"/>
      <c r="U107" s="170"/>
      <c r="V107" s="422" t="str">
        <f t="shared" si="22"/>
        <v/>
      </c>
      <c r="W107" s="422" t="str">
        <f t="shared" si="22"/>
        <v/>
      </c>
      <c r="X107" s="422" t="str">
        <f t="shared" si="22"/>
        <v/>
      </c>
      <c r="Y107" s="423" t="str">
        <f t="shared" si="22"/>
        <v/>
      </c>
    </row>
    <row r="108" spans="2:25">
      <c r="B108" s="115" t="s">
        <v>181</v>
      </c>
      <c r="C108" s="424">
        <f t="shared" si="20"/>
        <v>100</v>
      </c>
      <c r="D108" s="424">
        <f t="shared" si="20"/>
        <v>100</v>
      </c>
      <c r="E108" s="424">
        <f t="shared" si="20"/>
        <v>100</v>
      </c>
      <c r="F108" s="416">
        <f t="shared" si="20"/>
        <v>100</v>
      </c>
      <c r="U108" s="170" t="s">
        <v>181</v>
      </c>
      <c r="V108" s="422">
        <f t="shared" si="22"/>
        <v>100</v>
      </c>
      <c r="W108" s="422">
        <f t="shared" si="22"/>
        <v>100</v>
      </c>
      <c r="X108" s="422">
        <f t="shared" si="22"/>
        <v>100</v>
      </c>
      <c r="Y108" s="423">
        <f t="shared" si="22"/>
        <v>100</v>
      </c>
    </row>
    <row r="109" spans="2:25">
      <c r="U109" s="208"/>
      <c r="V109" s="205"/>
      <c r="W109" s="205"/>
      <c r="X109" s="205"/>
      <c r="Y109" s="206"/>
    </row>
    <row r="111" spans="2:25">
      <c r="B111" s="517" t="s">
        <v>255</v>
      </c>
      <c r="C111" s="510"/>
      <c r="D111" s="510"/>
      <c r="E111" s="510"/>
      <c r="F111" s="511"/>
      <c r="U111" s="533" t="s">
        <v>255</v>
      </c>
      <c r="V111" s="510"/>
      <c r="W111" s="510"/>
      <c r="X111" s="510"/>
      <c r="Y111" s="511"/>
    </row>
    <row r="112" spans="2:25">
      <c r="B112" s="137" t="str">
        <f>$B$2</f>
        <v>Marlborough</v>
      </c>
      <c r="C112" s="144">
        <v>2008</v>
      </c>
      <c r="D112" s="144">
        <v>2009</v>
      </c>
      <c r="E112" s="144">
        <v>2010</v>
      </c>
      <c r="F112" s="145">
        <v>2011</v>
      </c>
      <c r="U112" s="154" t="str">
        <f>$B$2</f>
        <v>Marlborough</v>
      </c>
      <c r="V112" s="144">
        <v>2008</v>
      </c>
      <c r="W112" s="144">
        <v>2009</v>
      </c>
      <c r="X112" s="144">
        <v>2010</v>
      </c>
      <c r="Y112" s="145">
        <v>2011</v>
      </c>
    </row>
    <row r="113" spans="2:25">
      <c r="B113" s="155" t="s">
        <v>308</v>
      </c>
      <c r="C113" s="146">
        <f>VLOOKUP($C$38,'MP (2011)'!$A$14:$AR$245,'MP (2011)'!$AA$246,FALSE)</f>
        <v>109034.24000000001</v>
      </c>
      <c r="D113" s="150">
        <f>VLOOKUP($D$38,'MP (2011)'!$A$14:$AR$245,'MP (2011)'!$AA$246,FALSE)</f>
        <v>113363</v>
      </c>
      <c r="E113" s="150">
        <f>VLOOKUP($E$38,'MP (2011)'!$A$14:$AR$245,'MP (2011)'!$AA$246,FALSE)</f>
        <v>131001</v>
      </c>
      <c r="F113" s="151">
        <f>VLOOKUP($F$38,'MP (2011)'!$A$14:$AR$245,'MP (2011)'!$AA$246,FALSE)</f>
        <v>126805</v>
      </c>
      <c r="U113" s="170" t="s">
        <v>477</v>
      </c>
      <c r="V113" s="426">
        <f>C113+C114</f>
        <v>209616.16</v>
      </c>
      <c r="W113" s="433">
        <f t="shared" ref="W113:X113" si="23">D113+D114</f>
        <v>212424.05300000001</v>
      </c>
      <c r="X113" s="433">
        <f t="shared" si="23"/>
        <v>218555</v>
      </c>
      <c r="Y113" s="434">
        <f>F113+F114</f>
        <v>212120</v>
      </c>
    </row>
    <row r="114" spans="2:25">
      <c r="B114" s="155" t="s">
        <v>309</v>
      </c>
      <c r="C114" s="150">
        <f>VLOOKUP($C$38,'MP (2011)'!$A$14:$AR$245,'MP (2011)'!$AE$246,FALSE)</f>
        <v>100581.92</v>
      </c>
      <c r="D114" s="150">
        <f>VLOOKUP($D$38,'MP (2011)'!$A$14:$AR$245,'MP (2011)'!$AE$246,FALSE)</f>
        <v>99061.053</v>
      </c>
      <c r="E114" s="150">
        <f>VLOOKUP($E$38,'MP (2011)'!$A$14:$AR$245,'MP (2011)'!$AE$246,FALSE)</f>
        <v>87554</v>
      </c>
      <c r="F114" s="151">
        <f>VLOOKUP($F$38,'MP (2011)'!$A$14:$AR$245,'MP (2011)'!$AE$246,FALSE)</f>
        <v>85315</v>
      </c>
      <c r="U114" s="170" t="s">
        <v>478</v>
      </c>
      <c r="V114" s="433">
        <f>C115</f>
        <v>113498.88</v>
      </c>
      <c r="W114" s="433">
        <f t="shared" ref="W114:X114" si="24">D115</f>
        <v>116086.96</v>
      </c>
      <c r="X114" s="433">
        <f t="shared" si="24"/>
        <v>123771</v>
      </c>
      <c r="Y114" s="434">
        <f>F115</f>
        <v>130109</v>
      </c>
    </row>
    <row r="115" spans="2:25">
      <c r="B115" s="155" t="s">
        <v>310</v>
      </c>
      <c r="C115" s="150">
        <f>VLOOKUP($C$38,'MP (2011)'!$A$14:$AR$245,'MP (2011)'!$AI$246,FALSE)</f>
        <v>113498.88</v>
      </c>
      <c r="D115" s="150">
        <f>VLOOKUP($D$38,'MP (2011)'!$A$14:$AR$245,'MP (2011)'!$AI$246,FALSE)</f>
        <v>116086.96</v>
      </c>
      <c r="E115" s="150">
        <f>VLOOKUP($E$38,'MP (2011)'!$A$14:$AR$245,'MP (2011)'!$AI$246,FALSE)</f>
        <v>123771</v>
      </c>
      <c r="F115" s="151">
        <f>VLOOKUP($F$38,'MP (2011)'!$A$14:$AR$245,'MP (2011)'!$AI$246,FALSE)</f>
        <v>130109</v>
      </c>
      <c r="U115" s="170"/>
      <c r="V115" s="433"/>
      <c r="W115" s="433"/>
      <c r="X115" s="433"/>
      <c r="Y115" s="434"/>
    </row>
    <row r="116" spans="2:25">
      <c r="B116" s="155" t="s">
        <v>311</v>
      </c>
      <c r="C116" s="150">
        <f>VLOOKUP($C$38,'MP (2011)'!$A$14:$AR$245,'MP (2011)'!$AM$246,FALSE)</f>
        <v>25037</v>
      </c>
      <c r="D116" s="150">
        <f>VLOOKUP($D$38,'MP (2011)'!$A$14:$AR$245,'MP (2011)'!$AM$246,FALSE)</f>
        <v>24564.428</v>
      </c>
      <c r="E116" s="150">
        <f>VLOOKUP($E$38,'MP (2011)'!$A$14:$AR$245,'MP (2011)'!$AM$246,FALSE)</f>
        <v>26150</v>
      </c>
      <c r="F116" s="151">
        <f>VLOOKUP($F$38,'MP (2011)'!$A$14:$AR$245,'MP (2011)'!$AM$246,FALSE)</f>
        <v>21685</v>
      </c>
      <c r="U116" s="170" t="s">
        <v>181</v>
      </c>
      <c r="V116" s="433">
        <f>C116</f>
        <v>25037</v>
      </c>
      <c r="W116" s="433">
        <f>D116</f>
        <v>24564.428</v>
      </c>
      <c r="X116" s="433">
        <f>E116</f>
        <v>26150</v>
      </c>
      <c r="Y116" s="434">
        <f>F116</f>
        <v>21685</v>
      </c>
    </row>
    <row r="117" spans="2:25">
      <c r="B117" s="147" t="s">
        <v>254</v>
      </c>
      <c r="C117" s="158">
        <f>SUM(C113:C116)</f>
        <v>348152.04000000004</v>
      </c>
      <c r="D117" s="158">
        <f>SUM(D113:D116)</f>
        <v>353075.44100000005</v>
      </c>
      <c r="E117" s="158">
        <f>SUM(E113:E116)</f>
        <v>368476</v>
      </c>
      <c r="F117" s="159">
        <f>SUM(F113:F116)</f>
        <v>363914</v>
      </c>
      <c r="U117" s="208" t="s">
        <v>254</v>
      </c>
      <c r="V117" s="445">
        <f>SUM(V113:V116)</f>
        <v>348152.04000000004</v>
      </c>
      <c r="W117" s="445">
        <f>SUM(W113:W116)</f>
        <v>353075.44100000005</v>
      </c>
      <c r="X117" s="445">
        <f>SUM(X113:X116)</f>
        <v>368476</v>
      </c>
      <c r="Y117" s="537">
        <f>SUM(Y113:Y116)</f>
        <v>363914</v>
      </c>
    </row>
    <row r="118" spans="2:25">
      <c r="B118" s="103" t="s">
        <v>306</v>
      </c>
      <c r="U118" s="102" t="s">
        <v>306</v>
      </c>
    </row>
    <row r="119" spans="2:25">
      <c r="B119" s="137" t="str">
        <f>$B$2</f>
        <v>Marlborough</v>
      </c>
      <c r="C119" s="144">
        <v>2008</v>
      </c>
      <c r="D119" s="144">
        <v>2009</v>
      </c>
      <c r="E119" s="144">
        <v>2010</v>
      </c>
      <c r="F119" s="145">
        <v>2011</v>
      </c>
      <c r="U119" s="154"/>
      <c r="V119" s="534">
        <v>2008</v>
      </c>
      <c r="W119" s="534">
        <v>2009</v>
      </c>
      <c r="X119" s="534">
        <v>2010</v>
      </c>
      <c r="Y119" s="535">
        <v>2011</v>
      </c>
    </row>
    <row r="120" spans="2:25">
      <c r="B120" s="111" t="s">
        <v>185</v>
      </c>
      <c r="C120" s="422">
        <f t="shared" ref="C120:F123" si="25">IF(ISERROR(C113/$C113),"",(C113/$C113)*100)</f>
        <v>100</v>
      </c>
      <c r="D120" s="422">
        <f t="shared" si="25"/>
        <v>103.97009233062934</v>
      </c>
      <c r="E120" s="422">
        <f t="shared" si="25"/>
        <v>120.14666218611694</v>
      </c>
      <c r="F120" s="423">
        <f t="shared" si="25"/>
        <v>116.29832977237243</v>
      </c>
      <c r="U120" s="170" t="s">
        <v>477</v>
      </c>
      <c r="V120" s="422">
        <f>IF(ISERROR(V113/$V113),"",(V113/$V113)*100)</f>
        <v>100</v>
      </c>
      <c r="W120" s="422">
        <f t="shared" ref="W120:Y120" si="26">IF(ISERROR(W113/$V113),"",(W113/$V113)*100)</f>
        <v>101.33954032933339</v>
      </c>
      <c r="X120" s="422">
        <f t="shared" si="26"/>
        <v>104.26438495963288</v>
      </c>
      <c r="Y120" s="423">
        <f t="shared" si="26"/>
        <v>101.19448805855427</v>
      </c>
    </row>
    <row r="121" spans="2:25">
      <c r="B121" s="111" t="s">
        <v>180</v>
      </c>
      <c r="C121" s="422">
        <f t="shared" si="25"/>
        <v>100</v>
      </c>
      <c r="D121" s="422">
        <f t="shared" si="25"/>
        <v>98.487932025954578</v>
      </c>
      <c r="E121" s="422">
        <f t="shared" si="25"/>
        <v>87.047453458832365</v>
      </c>
      <c r="F121" s="423">
        <f t="shared" si="25"/>
        <v>84.82140726683285</v>
      </c>
      <c r="U121" s="170" t="s">
        <v>478</v>
      </c>
      <c r="V121" s="422">
        <f t="shared" ref="V121:Y123" si="27">IF(ISERROR(V114/$V114),"",(V114/$V114)*100)</f>
        <v>100</v>
      </c>
      <c r="W121" s="422">
        <f t="shared" si="27"/>
        <v>102.28026919737006</v>
      </c>
      <c r="X121" s="422">
        <f t="shared" si="27"/>
        <v>109.05041529925228</v>
      </c>
      <c r="Y121" s="423">
        <f t="shared" si="27"/>
        <v>114.63461137237654</v>
      </c>
    </row>
    <row r="122" spans="2:25">
      <c r="B122" s="111" t="s">
        <v>184</v>
      </c>
      <c r="C122" s="422">
        <f t="shared" si="25"/>
        <v>100</v>
      </c>
      <c r="D122" s="422">
        <f t="shared" si="25"/>
        <v>102.28026919737006</v>
      </c>
      <c r="E122" s="422">
        <f t="shared" si="25"/>
        <v>109.05041529925228</v>
      </c>
      <c r="F122" s="423">
        <f t="shared" si="25"/>
        <v>114.63461137237654</v>
      </c>
      <c r="U122" s="170"/>
      <c r="V122" s="422" t="str">
        <f t="shared" si="27"/>
        <v/>
      </c>
      <c r="W122" s="422" t="str">
        <f t="shared" si="27"/>
        <v/>
      </c>
      <c r="X122" s="422" t="str">
        <f t="shared" si="27"/>
        <v/>
      </c>
      <c r="Y122" s="423" t="str">
        <f t="shared" si="27"/>
        <v/>
      </c>
    </row>
    <row r="123" spans="2:25">
      <c r="B123" s="115" t="s">
        <v>181</v>
      </c>
      <c r="C123" s="424">
        <f t="shared" si="25"/>
        <v>100</v>
      </c>
      <c r="D123" s="424">
        <f t="shared" si="25"/>
        <v>98.112505491872028</v>
      </c>
      <c r="E123" s="424">
        <f t="shared" si="25"/>
        <v>104.44542077724968</v>
      </c>
      <c r="F123" s="416">
        <f t="shared" si="25"/>
        <v>86.611814514518514</v>
      </c>
      <c r="U123" s="170" t="s">
        <v>181</v>
      </c>
      <c r="V123" s="422">
        <f t="shared" si="27"/>
        <v>100</v>
      </c>
      <c r="W123" s="422">
        <f t="shared" si="27"/>
        <v>98.112505491872028</v>
      </c>
      <c r="X123" s="422">
        <f t="shared" si="27"/>
        <v>104.44542077724968</v>
      </c>
      <c r="Y123" s="423">
        <f t="shared" si="27"/>
        <v>86.611814514518514</v>
      </c>
    </row>
    <row r="124" spans="2:25">
      <c r="U124" s="208"/>
      <c r="V124" s="205"/>
      <c r="W124" s="205"/>
      <c r="X124" s="205"/>
      <c r="Y124" s="206"/>
    </row>
    <row r="126" spans="2:25">
      <c r="B126" s="517" t="s">
        <v>256</v>
      </c>
      <c r="C126" s="510"/>
      <c r="D126" s="510"/>
      <c r="E126" s="510"/>
      <c r="F126" s="511"/>
    </row>
    <row r="127" spans="2:25">
      <c r="B127" s="137" t="str">
        <f>$B$2</f>
        <v>Marlborough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25">
      <c r="B128" s="162" t="s">
        <v>259</v>
      </c>
      <c r="C128" s="439">
        <f>VLOOKUP($C$38,'FS (2011)'!$A$13:$AH$244,'FS (2011)'!$I$245,FALSE)</f>
        <v>33759.450525220265</v>
      </c>
      <c r="D128" s="433">
        <f>VLOOKUP($D$38,'FS (2011)'!$A$13:$AH$244,'FS (2011)'!$I$245,FALSE)</f>
        <v>36013.130941039184</v>
      </c>
      <c r="E128" s="433">
        <f>VLOOKUP($E$38,'FS (2011)'!$A$13:$AH$244,'FS (2011)'!$I$245,FALSE)</f>
        <v>32588.64796313761</v>
      </c>
      <c r="F128" s="440">
        <f>VLOOKUP($F$38,'FS (2011)'!$A$13:$AH$244,'FS (2011)'!$I$245,FALSE)</f>
        <v>35292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4660.1898247269819</v>
      </c>
      <c r="D129" s="433">
        <f>VLOOKUP($D$38,'FS (2011)'!$A$13:$AH$244,'FS (2011)'!$Y$245,FALSE)+VLOOKUP($D$38,'FS (2011)'!$A$13:$AH$244,'FS (2011)'!$Z$245,FALSE)</f>
        <v>4367.2233270368579</v>
      </c>
      <c r="E129" s="433">
        <f>VLOOKUP($E$38,'FS (2011)'!$A$13:$AH$244,'FS (2011)'!$Y$245,FALSE)+VLOOKUP($E$38,'FS (2011)'!$A$13:$AH$244,'FS (2011)'!$Z$245,FALSE)</f>
        <v>3828.6777263614558</v>
      </c>
      <c r="F129" s="440">
        <f>VLOOKUP($F$38,'FS (2011)'!$A$13:$AH$244,'FS (2011)'!$Y$245,FALSE)+VLOOKUP($F$38,'FS (2011)'!$A$13:$AH$244,'FS (2011)'!$Z$245,FALSE)</f>
        <v>7412.77</v>
      </c>
      <c r="G129" s="121"/>
    </row>
    <row r="130" spans="1:30">
      <c r="B130" s="162" t="s">
        <v>191</v>
      </c>
      <c r="C130" s="441">
        <f>VLOOKUP($C$38,'FS (2011)'!$A$13:$AH$244,'FS (2011)'!$J$245,FALSE)</f>
        <v>4310.2386587208803</v>
      </c>
      <c r="D130" s="433">
        <f>VLOOKUP($D$38,'FS (2011)'!$A$13:$AH$244,'FS (2011)'!$J$245,FALSE)</f>
        <v>4913.301667925045</v>
      </c>
      <c r="E130" s="433">
        <f>VLOOKUP($E$38,'FS (2011)'!$A$13:$AH$244,'FS (2011)'!$J$245,FALSE)</f>
        <v>4907.9368766672951</v>
      </c>
      <c r="F130" s="440">
        <f>VLOOKUP($F$38,'FS (2011)'!$A$13:$AH$244,'FS (2011)'!$J$245,FALSE)</f>
        <v>5195</v>
      </c>
    </row>
    <row r="131" spans="1:30">
      <c r="B131" s="162" t="s">
        <v>182</v>
      </c>
      <c r="C131" s="441">
        <f>VLOOKUP($C$38,'FS (2011)'!$A$13:$AH$244,'FS (2011)'!$S$245,FALSE)</f>
        <v>14695.563571041601</v>
      </c>
      <c r="D131" s="433">
        <f>VLOOKUP($D$38,'FS (2011)'!$A$13:$AH$244,'FS (2011)'!$S$245,FALSE)</f>
        <v>14552.616131237555</v>
      </c>
      <c r="E131" s="433">
        <f>VLOOKUP($E$38,'FS (2011)'!$A$13:$AH$244,'FS (2011)'!$S$245,FALSE)</f>
        <v>15936.419336584837</v>
      </c>
      <c r="F131" s="440">
        <f>VLOOKUP($F$38,'FS (2011)'!$A$13:$AH$244,'FS (2011)'!$S$245,FALSE)</f>
        <v>16664.400000000001</v>
      </c>
      <c r="I131" s="139"/>
    </row>
    <row r="132" spans="1:30">
      <c r="B132" s="162" t="s">
        <v>143</v>
      </c>
      <c r="C132" s="441">
        <f>VLOOKUP($C$38,'FS (2011)'!$A$13:$AH$244,'FS (2011)'!$U$245,FALSE)</f>
        <v>9086.842337258704</v>
      </c>
      <c r="D132" s="433">
        <f>VLOOKUP($D$38,'FS (2011)'!$A$13:$AH$244,'FS (2011)'!$U$245,FALSE)</f>
        <v>8927.9456160340414</v>
      </c>
      <c r="E132" s="433">
        <f>VLOOKUP($E$38,'FS (2011)'!$A$13:$AH$244,'FS (2011)'!$U$245,FALSE)</f>
        <v>7609.3400843146228</v>
      </c>
      <c r="F132" s="440">
        <f>VLOOKUP($F$38,'FS (2011)'!$A$13:$AH$244,'FS (2011)'!$U$245,FALSE)</f>
        <v>7168</v>
      </c>
    </row>
    <row r="133" spans="1:30">
      <c r="B133" s="162" t="s">
        <v>196</v>
      </c>
      <c r="C133" s="441">
        <f>VLOOKUP($C$38,'FS (2011)'!$A$13:$AH$244,'FS (2011)'!$X$245,FALSE)</f>
        <v>-731.28067538992332</v>
      </c>
      <c r="D133" s="433">
        <f>VLOOKUP($D$38,'FS (2011)'!$A$13:$AH$244,'FS (2011)'!$X$245,FALSE)</f>
        <v>1158.602728505731</v>
      </c>
      <c r="E133" s="433">
        <f>VLOOKUP($E$38,'FS (2011)'!$A$13:$AH$244,'FS (2011)'!$X$245,FALSE)</f>
        <v>666.07596133221955</v>
      </c>
      <c r="F133" s="440">
        <f>VLOOKUP($F$38,'FS (2011)'!$A$13:$AH$244,'FS (2011)'!$X$245,FALSE)</f>
        <v>163.36478</v>
      </c>
    </row>
    <row r="134" spans="1:30">
      <c r="B134" s="164" t="s">
        <v>258</v>
      </c>
      <c r="C134" s="442">
        <f>VLOOKUP($C$38,'FS (2011)'!$A$13:$AH$244,'FS (2011)'!$AA$245,FALSE)</f>
        <v>11058.276285820191</v>
      </c>
      <c r="D134" s="435">
        <f>VLOOKUP($D$38,'FS (2011)'!$A$13:$AH$244,'FS (2011)'!$AA$245,FALSE)</f>
        <v>10827.888124373667</v>
      </c>
      <c r="E134" s="435">
        <f>VLOOKUP($E$38,'FS (2011)'!$A$13:$AH$244,'FS (2011)'!$AA$245,FALSE)</f>
        <v>7297.5534306000909</v>
      </c>
      <c r="F134" s="443">
        <f>VLOOKUP($F$38,'FS (2011)'!$A$13:$AH$244,'FS (2011)'!$AA$245,FALSE)</f>
        <v>13514.004999999999</v>
      </c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5</v>
      </c>
      <c r="B138" s="166" t="s">
        <v>204</v>
      </c>
      <c r="C138" s="167"/>
      <c r="D138" s="444">
        <f>VLOOKUP($D$6,'FS (2011)'!$A$13:$AH$244,'FS (2011)'!$L$245,FALSE)</f>
        <v>431</v>
      </c>
      <c r="E138" s="446">
        <f t="shared" ref="E138:E144" si="28">D138/$D$145</f>
        <v>2.5863517438371616E-2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8264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29">RANK(D139,$D$138:$D$144)</f>
        <v>1</v>
      </c>
      <c r="B139" s="162" t="s">
        <v>199</v>
      </c>
      <c r="C139" s="121"/>
      <c r="D139" s="441">
        <f>VLOOKUP($D$6,'FS (2011)'!$A$13:$AH$244,'FS (2011)'!K245,FALSE)</f>
        <v>8264</v>
      </c>
      <c r="E139" s="414">
        <f t="shared" si="28"/>
        <v>0.49590744341230403</v>
      </c>
      <c r="Q139" s="559"/>
      <c r="R139" s="559"/>
      <c r="S139" s="559"/>
      <c r="T139" s="559">
        <v>2</v>
      </c>
      <c r="U139" s="559" t="str">
        <f t="shared" ref="U139:U144" si="30">VLOOKUP(T139,$A$138:$E$144,2,FALSE)</f>
        <v>Routine and preventative maintenance</v>
      </c>
      <c r="V139" s="559">
        <f t="shared" ref="V139:V144" si="31">VLOOKUP(T139,$A$138:$E$144,4,FALSE)</f>
        <v>5849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29"/>
        <v>2</v>
      </c>
      <c r="B140" s="162" t="s">
        <v>201</v>
      </c>
      <c r="C140" s="121"/>
      <c r="D140" s="441">
        <f>VLOOKUP($D$6,'FS (2011)'!$A$13:$AH$244,'FS (2011)'!M245,FALSE)</f>
        <v>5849</v>
      </c>
      <c r="E140" s="414">
        <f t="shared" si="28"/>
        <v>0.35098773433186908</v>
      </c>
      <c r="Q140" s="559"/>
      <c r="R140" s="559"/>
      <c r="S140" s="559"/>
      <c r="T140" s="559">
        <v>3</v>
      </c>
      <c r="U140" s="559" t="str">
        <f t="shared" si="30"/>
        <v>Fault and emergency maintenance</v>
      </c>
      <c r="V140" s="559">
        <f t="shared" si="31"/>
        <v>1133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29"/>
        <v>4</v>
      </c>
      <c r="B141" s="162" t="s">
        <v>202</v>
      </c>
      <c r="C141" s="121"/>
      <c r="D141" s="441">
        <f>VLOOKUP($D$6,'FS (2011)'!$A$13:$AH$244,'FS (2011)'!N245,FALSE)</f>
        <v>667.4</v>
      </c>
      <c r="E141" s="414">
        <f t="shared" si="28"/>
        <v>4.0049446724754564E-2</v>
      </c>
      <c r="Q141" s="559"/>
      <c r="R141" s="559"/>
      <c r="S141" s="559"/>
      <c r="T141" s="559">
        <v>4</v>
      </c>
      <c r="U141" s="559" t="str">
        <f t="shared" si="30"/>
        <v>Refurbishment and renewal maintenance</v>
      </c>
      <c r="V141" s="559">
        <f t="shared" si="31"/>
        <v>667.4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29"/>
        <v>3</v>
      </c>
      <c r="B142" s="162" t="s">
        <v>203</v>
      </c>
      <c r="C142" s="121"/>
      <c r="D142" s="441">
        <f>VLOOKUP($D$6,'FS (2011)'!$A$13:$AH$244,'FS (2011)'!O245,FALSE)</f>
        <v>1133</v>
      </c>
      <c r="E142" s="414">
        <f t="shared" si="28"/>
        <v>6.7989246537529094E-2</v>
      </c>
      <c r="Q142" s="559"/>
      <c r="R142" s="559"/>
      <c r="S142" s="559"/>
      <c r="T142" s="559">
        <v>5</v>
      </c>
      <c r="U142" s="559" t="str">
        <f t="shared" si="30"/>
        <v>System management and operations</v>
      </c>
      <c r="V142" s="559">
        <f t="shared" si="31"/>
        <v>431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29"/>
        <v>6</v>
      </c>
      <c r="B143" s="162" t="s">
        <v>13</v>
      </c>
      <c r="C143" s="121"/>
      <c r="D143" s="441">
        <f>VLOOKUP($D$6,'FS (2011)'!$A$13:$AH$244,'FS (2011)'!R245,FALSE)</f>
        <v>175</v>
      </c>
      <c r="E143" s="414">
        <f t="shared" si="28"/>
        <v>1.0501428194234415E-2</v>
      </c>
      <c r="Q143" s="559"/>
      <c r="R143" s="559"/>
      <c r="S143" s="559"/>
      <c r="T143" s="559">
        <v>6</v>
      </c>
      <c r="U143" s="559" t="str">
        <f t="shared" si="30"/>
        <v>Other</v>
      </c>
      <c r="V143" s="559">
        <f t="shared" si="31"/>
        <v>175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29"/>
        <v>7</v>
      </c>
      <c r="B144" s="162" t="s">
        <v>200</v>
      </c>
      <c r="C144" s="121"/>
      <c r="D144" s="441">
        <f>VLOOKUP($D$6,'FS (2011)'!$A$13:$AH$244,'FS (2011)'!P245,FALSE)</f>
        <v>145</v>
      </c>
      <c r="E144" s="414">
        <f t="shared" si="28"/>
        <v>8.701183360937087E-3</v>
      </c>
      <c r="Q144" s="559"/>
      <c r="R144" s="559"/>
      <c r="S144" s="559"/>
      <c r="T144" s="559">
        <v>7</v>
      </c>
      <c r="U144" s="559" t="str">
        <f t="shared" si="30"/>
        <v>Pass-through costs</v>
      </c>
      <c r="V144" s="559">
        <f t="shared" si="31"/>
        <v>145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16664.400000000001</v>
      </c>
      <c r="E145" s="447">
        <f>SUM(E138:E144)</f>
        <v>0.99999999999999989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7.093233839023469</v>
      </c>
      <c r="F149" s="455">
        <f>(VLOOKUP(F$38,'FS (2011)'!$A$13:$AH$244,'FS (2011)'!$M$245,FALSE)+VLOOKUP(F$38,'FS (2011)'!$A$13:$AH$244,'FS (2011)'!$N$245,FALSE)+VLOOKUP(F$38,'FS (2011)'!$A$13:$AH$244,'FS (2011)'!$O$245,FALSE))/1000</f>
        <v>7.6494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8.3701402279647539</v>
      </c>
      <c r="F150" s="457">
        <f>(VLOOKUP(F$38,'FS (2011)'!$A$13:$AH$244,'FS (2011)'!$L$245,FALSE)+VLOOKUP(F$38,'FS (2011)'!$A$13:$AH$244,'FS (2011)'!$K$245,FALSE))/1000</f>
        <v>8.6950000000000003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0.47304526959661553</v>
      </c>
      <c r="F151" s="457">
        <f>(VLOOKUP(F$38,'FS (2011)'!$A$13:$AH$244,'FS (2011)'!$R$245,FALSE)+VLOOKUP(F$38,'FS (2011)'!$A$13:$AH$244,'FS (2011)'!$P$245,FALSE)+VLOOKUP(F$38,'FS (2011)'!$A$13:$AH$244,'FS (2011)'!$Q$245,FALSE))/1000</f>
        <v>0.32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14.695563571041601</v>
      </c>
      <c r="D152" s="458">
        <f>VLOOKUP($D$38,'FS (2011)'!$A$13:$AH$244,'FS (2011)'!$S$245,FALSE)/1000</f>
        <v>14.552616131237555</v>
      </c>
      <c r="E152" s="459">
        <f>VLOOKUP($E$38,'FS (2011)'!$A$13:$AH$244,'FS (2011)'!$S$245,FALSE)/1000</f>
        <v>15.936419336584837</v>
      </c>
      <c r="F152" s="460">
        <f>VLOOKUP($F$38,'FS (2011)'!$A$13:$AH$244,'FS (2011)'!$S$245,FALSE)/1000</f>
        <v>16.664400000000001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7.8407983382245083E-2</v>
      </c>
      <c r="D154" s="464" t="str">
        <f t="shared" ref="D154:E157" si="32">IF(ISERROR(D149/C149 - 1),"",(D149/C149 - 1))</f>
        <v/>
      </c>
      <c r="E154" s="464" t="str">
        <f t="shared" si="32"/>
        <v/>
      </c>
      <c r="F154" s="465">
        <f>IF(ISERROR(F149/E149 - 1),"",(F149/E149 - 1))</f>
        <v>7.8407983382245083E-2</v>
      </c>
      <c r="Q154" s="559"/>
      <c r="R154" s="559" t="s">
        <v>423</v>
      </c>
      <c r="S154" s="559" t="e">
        <f t="shared" ref="S154:V157" si="33">LN(C149)</f>
        <v>#NUM!</v>
      </c>
      <c r="T154" s="559" t="e">
        <f t="shared" si="33"/>
        <v>#NUM!</v>
      </c>
      <c r="U154" s="559">
        <f t="shared" si="33"/>
        <v>1.9591413492535039</v>
      </c>
      <c r="V154" s="559">
        <f t="shared" si="33"/>
        <v>2.0346272133899945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34">IFERROR(EXP(SLOPE(S155:V155,$C$148:$F$148))-1,(IFERROR(EXP(SLOPE(T155:V155,$D$148:$F$148))-1,F155)))</f>
        <v>3.8811747854580192E-2</v>
      </c>
      <c r="D155" s="467" t="str">
        <f t="shared" si="32"/>
        <v/>
      </c>
      <c r="E155" s="467" t="str">
        <f t="shared" si="32"/>
        <v/>
      </c>
      <c r="F155" s="468">
        <f>IF(ISERROR(F150/E150 - 1),"",(F150/E150 - 1))</f>
        <v>3.8811747854580192E-2</v>
      </c>
      <c r="Q155" s="559"/>
      <c r="R155" s="559" t="s">
        <v>423</v>
      </c>
      <c r="S155" s="559" t="e">
        <f t="shared" si="33"/>
        <v>#NUM!</v>
      </c>
      <c r="T155" s="559" t="e">
        <f t="shared" si="33"/>
        <v>#NUM!</v>
      </c>
      <c r="U155" s="559">
        <f t="shared" si="33"/>
        <v>2.1246706380007989</v>
      </c>
      <c r="V155" s="559">
        <f t="shared" si="33"/>
        <v>2.1627481478062465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34"/>
        <v>-0.32353197343485396</v>
      </c>
      <c r="D156" s="467" t="str">
        <f t="shared" si="32"/>
        <v/>
      </c>
      <c r="E156" s="467" t="str">
        <f t="shared" si="32"/>
        <v/>
      </c>
      <c r="F156" s="468">
        <f>IF(ISERROR(F151/E151 - 1),"",(F151/E151 - 1))</f>
        <v>-0.32353197343485396</v>
      </c>
      <c r="Q156" s="559"/>
      <c r="R156" s="559" t="s">
        <v>423</v>
      </c>
      <c r="S156" s="559" t="e">
        <f t="shared" si="33"/>
        <v>#NUM!</v>
      </c>
      <c r="T156" s="559" t="e">
        <f t="shared" si="33"/>
        <v>#NUM!</v>
      </c>
      <c r="U156" s="559">
        <f t="shared" si="33"/>
        <v>-0.74856418767744248</v>
      </c>
      <c r="V156" s="559">
        <f t="shared" si="33"/>
        <v>-1.1394342831883648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34"/>
        <v>4.7914858332462895E-2</v>
      </c>
      <c r="D157" s="470">
        <f t="shared" si="32"/>
        <v>-9.7272512968289426E-3</v>
      </c>
      <c r="E157" s="470">
        <f t="shared" si="32"/>
        <v>9.5089652119450419E-2</v>
      </c>
      <c r="F157" s="471">
        <f>IF(ISERROR(F152/E152 - 1),"",(F152/E152 - 1))</f>
        <v>4.5680315511273939E-2</v>
      </c>
      <c r="N157" s="136"/>
      <c r="O157" s="136"/>
      <c r="Q157" s="559"/>
      <c r="R157" s="559" t="s">
        <v>423</v>
      </c>
      <c r="S157" s="559">
        <f t="shared" si="33"/>
        <v>2.6875456503462165</v>
      </c>
      <c r="T157" s="559">
        <f t="shared" si="33"/>
        <v>2.6777707802891055</v>
      </c>
      <c r="U157" s="559">
        <f t="shared" si="33"/>
        <v>2.7686070142877597</v>
      </c>
      <c r="V157" s="559">
        <f t="shared" si="33"/>
        <v>2.8132747075111979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Marlborough</v>
      </c>
      <c r="C162" s="456">
        <f>(C152/C102)*1000000</f>
        <v>623.11582305976935</v>
      </c>
      <c r="D162" s="456">
        <f>(D152/D102)*1000000</f>
        <v>609.66133771418333</v>
      </c>
      <c r="E162" s="456">
        <f>(E152/E102)*1000000</f>
        <v>662.00387723112351</v>
      </c>
      <c r="F162" s="457">
        <f>(F152/F102)*1000000</f>
        <v>686.62546353522873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Marlborough</v>
      </c>
      <c r="C165" s="456">
        <f>C152/VLOOKUP(C$38,'MP (2011)'!$A$14:$AR$245,'MP (2011)'!$H$246,FALSE)*1000000</f>
        <v>4242.792025716657</v>
      </c>
      <c r="D165" s="456">
        <f>D152/VLOOKUP(D$38,'MP (2011)'!$A$14:$AR$245,'MP (2011)'!$H$246,FALSE)*1000000</f>
        <v>4383.3181118185403</v>
      </c>
      <c r="E165" s="456">
        <f>E152/VLOOKUP(E$38,'MP (2011)'!$A$14:$AR$245,'MP (2011)'!$H$246,FALSE)*1000000</f>
        <v>4779.9698070140485</v>
      </c>
      <c r="F165" s="457">
        <f>F152/VLOOKUP(F$38,'MP (2011)'!$A$14:$AR$245,'MP (2011)'!$H$246,FALSE)*1000000</f>
        <v>4975.9331143624959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Marlborough</v>
      </c>
      <c r="C168" s="456">
        <f>(C152/C117)*1000000</f>
        <v>42.210189465044067</v>
      </c>
      <c r="D168" s="456">
        <f>(D152/D117)*1000000</f>
        <v>41.21673286032248</v>
      </c>
      <c r="E168" s="456">
        <f>(E152/E117)*1000000</f>
        <v>43.249544981450185</v>
      </c>
      <c r="F168" s="457">
        <f>(F152/F117)*1000000</f>
        <v>45.792137702863869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3.8060164919787587E-2</v>
      </c>
      <c r="D171" s="464">
        <f>IF(ISERROR(D162/C162 - 1),"",(D162/C162 - 1))</f>
        <v>-2.1592270405714764E-2</v>
      </c>
      <c r="E171" s="464">
        <f>IF(ISERROR(E162/D162 - 1),"",(E162/D162 - 1))</f>
        <v>8.5855107219344529E-2</v>
      </c>
      <c r="F171" s="465">
        <f>IF(ISERROR(F162/E162 - 1),"",(F162/E162 - 1))</f>
        <v>3.7192510725294614E-2</v>
      </c>
      <c r="H171" s="139"/>
      <c r="Q171" s="559"/>
      <c r="R171" s="559" t="s">
        <v>423</v>
      </c>
      <c r="S171" s="559">
        <f>LN(C162)</f>
        <v>6.4347324133214272</v>
      </c>
      <c r="T171" s="559">
        <f>LN(D162)</f>
        <v>6.4129036189205042</v>
      </c>
      <c r="U171" s="559">
        <f>LN(E162)</f>
        <v>6.4952714127644544</v>
      </c>
      <c r="V171" s="559">
        <f>LN(F162)</f>
        <v>6.5317889667548252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5.810569861731163E-2</v>
      </c>
      <c r="D172" s="467">
        <f>IF(ISERROR(D165/C165 - 1),"",(D165/C165 - 1))</f>
        <v>3.3121134679738873E-2</v>
      </c>
      <c r="E172" s="467">
        <f>IF(ISERROR(E165/D165 - 1),"",(E165/D165 - 1))</f>
        <v>9.049119527191829E-2</v>
      </c>
      <c r="F172" s="468">
        <f>IF(ISERROR(F165/E165 - 1),"",(F165/E165 - 1))</f>
        <v>4.0996766770554416E-2</v>
      </c>
      <c r="Q172" s="559"/>
      <c r="R172" s="559" t="s">
        <v>423</v>
      </c>
      <c r="S172" s="559">
        <f>LN(C165)</f>
        <v>8.3529768281435146</v>
      </c>
      <c r="T172" s="559">
        <f>LN(D165)</f>
        <v>8.3855612763428446</v>
      </c>
      <c r="U172" s="559">
        <f>LN(E165)</f>
        <v>8.4721895089412946</v>
      </c>
      <c r="V172" s="559">
        <f>LN(F165)</f>
        <v>8.5123681926812669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2.9681435793351918E-2</v>
      </c>
      <c r="D173" s="470">
        <f>IF(ISERROR(D168/C168 - 1),"",(D168/C168 - 1))</f>
        <v>-2.3535942797515919E-2</v>
      </c>
      <c r="E173" s="470">
        <f>IF(ISERROR(E168/D168 - 1),"",(E168/D168 - 1))</f>
        <v>4.9320069303324221E-2</v>
      </c>
      <c r="F173" s="471">
        <f>IF(ISERROR(F168/E168 - 1),"",(F168/E168 - 1))</f>
        <v>5.8788889513270215E-2</v>
      </c>
      <c r="Q173" s="559"/>
      <c r="R173" s="559" t="s">
        <v>423</v>
      </c>
      <c r="S173" s="559">
        <f>LN(C168)</f>
        <v>3.7426616484136646</v>
      </c>
      <c r="T173" s="559">
        <f>LN(D168)</f>
        <v>3.7188443112904839</v>
      </c>
      <c r="U173" s="559">
        <f>LN(E168)</f>
        <v>3.7669867126624346</v>
      </c>
      <c r="V173" s="559">
        <f>LN(F168)</f>
        <v>3.8241124105075315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Marlborough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7093.233839023469</v>
      </c>
      <c r="X176" s="563">
        <f>D178</f>
        <v>7649.4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Marlborough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35">C179</f>
        <v>6347.3444531271043</v>
      </c>
      <c r="X177" s="563">
        <f t="shared" si="35"/>
        <v>6591.8649457034289</v>
      </c>
      <c r="Y177" s="563">
        <f t="shared" si="35"/>
        <v>6846.573792137101</v>
      </c>
      <c r="Z177" s="563">
        <f t="shared" si="35"/>
        <v>7111.4709924281196</v>
      </c>
      <c r="AA177" s="563">
        <f t="shared" si="35"/>
        <v>7376.3681927191392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7093.233839023469</v>
      </c>
      <c r="D178" s="461">
        <f>VLOOKUP(F38,'FS (2011)'!$A$14:$T$246,'FS (2011)'!$M$245,FALSE)+VLOOKUP(F38,'FS (2011)'!$A$14:$AO$245,'FS (2011)'!$N$245,FALSE)+VLOOKUP(F38,'FS (2011)'!$A$14:$AO$245,'FS (2011)'!$O$245,FALSE)</f>
        <v>7649.4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35"/>
        <v>5950</v>
      </c>
      <c r="Y178" s="563">
        <f t="shared" si="35"/>
        <v>5990</v>
      </c>
      <c r="Z178" s="563">
        <f t="shared" si="35"/>
        <v>6030</v>
      </c>
      <c r="AA178" s="563">
        <f t="shared" si="35"/>
        <v>6070</v>
      </c>
      <c r="AB178" s="563">
        <f>H180</f>
        <v>6110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6347.3444531271043</v>
      </c>
      <c r="D179" s="461">
        <f>VLOOKUP(D182,'AM (2011)'!$A$10:$N$444,'AM (2011)'!$N$445,FALSE)</f>
        <v>6591.8649457034289</v>
      </c>
      <c r="E179" s="461">
        <f>VLOOKUP(E182,'AM (2011)'!$A$10:$N$444,'AM (2011)'!$N$445,FALSE)</f>
        <v>6846.573792137101</v>
      </c>
      <c r="F179" s="461">
        <f>VLOOKUP(F182,'AM (2011)'!$A$10:$N$444,'AM (2011)'!$N$445,FALSE)</f>
        <v>7111.4709924281196</v>
      </c>
      <c r="G179" s="461">
        <f>VLOOKUP(G182,'AM (2011)'!$A$10:$N$444,'AM (2011)'!$N$445,FALSE)</f>
        <v>7376.3681927191392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6671.3753070458952</v>
      </c>
      <c r="Z179" s="563">
        <f>F181</f>
        <v>6759.362378797673</v>
      </c>
      <c r="AA179" s="563">
        <f>G181</f>
        <v>6962.710277957337</v>
      </c>
      <c r="AB179" s="563">
        <f>H181</f>
        <v>7191.476664511958</v>
      </c>
      <c r="AC179" s="563">
        <f>I181</f>
        <v>7299.9940530058175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5950</v>
      </c>
      <c r="E180" s="461">
        <f>VLOOKUP(E183,'AM (2011)'!$A$10:$N$444,'AM (2011)'!$N$445,FALSE)</f>
        <v>5990</v>
      </c>
      <c r="F180" s="461">
        <f>VLOOKUP(F183,'AM (2011)'!$A$10:$N$444,'AM (2011)'!$N$445,FALSE)</f>
        <v>6030</v>
      </c>
      <c r="G180" s="461">
        <f>VLOOKUP(G183,'AM (2011)'!$A$10:$N$444,'AM (2011)'!$N$445,FALSE)</f>
        <v>6070</v>
      </c>
      <c r="H180" s="461">
        <f>VLOOKUP(H183,'AM (2011)'!$A$10:$N$444,'AM (2011)'!$N$445,FALSE)</f>
        <v>6110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6671.3753070458952</v>
      </c>
      <c r="F181" s="493">
        <f>VLOOKUP(F184,'AM (2011)'!$A$10:$N$444,'AM (2011)'!$N$445,FALSE)</f>
        <v>6759.362378797673</v>
      </c>
      <c r="G181" s="493">
        <f>VLOOKUP(G184,'AM (2011)'!$A$10:$N$444,'AM (2011)'!$N$445,FALSE)</f>
        <v>6962.710277957337</v>
      </c>
      <c r="H181" s="493">
        <f>VLOOKUP(H184,'AM (2011)'!$A$10:$N$444,'AM (2011)'!$N$445,FALSE)</f>
        <v>7191.476664511958</v>
      </c>
      <c r="I181" s="494">
        <f>VLOOKUP(I184,'AM (2011)'!$A$10:$N$444,'AM (2011)'!$N$445,FALSE)</f>
        <v>7299.9940530058175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262</v>
      </c>
      <c r="D182" s="136">
        <f>VLOOKUP($B$2,$B$257:$Y$286,11,FALSE)</f>
        <v>263</v>
      </c>
      <c r="E182" s="136">
        <f>VLOOKUP($B$2,$B$257:$Y$286,12,FALSE)</f>
        <v>264</v>
      </c>
      <c r="F182" s="136">
        <f>VLOOKUP($B$2,$B$257:$Y$286,13,FALSE)</f>
        <v>265</v>
      </c>
      <c r="G182" s="136">
        <f>VLOOKUP($B$2,$B$257:$Y$286,14,FALSE)</f>
        <v>266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267</v>
      </c>
      <c r="E183" s="136">
        <f>VLOOKUP($B$2,$B$257:$Y$286,16,FALSE)</f>
        <v>268</v>
      </c>
      <c r="F183" s="136">
        <f>VLOOKUP($B$2,$B$257:$Y$286,17,FALSE)</f>
        <v>269</v>
      </c>
      <c r="G183" s="136">
        <f>VLOOKUP($B$2,$B$257:$Y$286,18,FALSE)</f>
        <v>270</v>
      </c>
      <c r="H183" s="136">
        <f>VLOOKUP($B$2,$B$257:$Y$286,19,FALSE)</f>
        <v>271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272</v>
      </c>
      <c r="F184" s="136">
        <f>VLOOKUP($B$2,$B$257:$Y$286,21,FALSE)</f>
        <v>273</v>
      </c>
      <c r="G184" s="136">
        <f>VLOOKUP($B$2,$B$257:$Y$286,22,FALSE)</f>
        <v>274</v>
      </c>
      <c r="H184" s="136">
        <f>VLOOKUP($B$2,$B$257:$Y$286,23,FALSE)</f>
        <v>275</v>
      </c>
      <c r="I184" s="136">
        <f>VLOOKUP($B$2,$B$257:$Y$286,24,FALSE)</f>
        <v>276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36">RANK(D186,$D$186:$D$191)</f>
        <v>2</v>
      </c>
      <c r="B186" s="483" t="s">
        <v>205</v>
      </c>
      <c r="C186" s="490"/>
      <c r="D186" s="484">
        <f>VLOOKUP($D$6,'FS (2011)'!$A$13:$AH$244,'FS (2011)'!AC245,FALSE)/1000</f>
        <v>4.5599999999999996</v>
      </c>
      <c r="E186" s="495">
        <f t="shared" ref="E186:E191" si="37">D186/$D$192</f>
        <v>0.29913408554185256</v>
      </c>
      <c r="Q186" s="559"/>
      <c r="R186" s="559"/>
      <c r="S186" s="559"/>
      <c r="T186" s="559">
        <v>1</v>
      </c>
      <c r="U186" s="559" t="str">
        <f t="shared" ref="U186:U191" si="38">VLOOKUP(T186,$A$186:$D$191,2,FALSE)</f>
        <v>Asset replacement and renewal</v>
      </c>
      <c r="V186" s="559">
        <f t="shared" ref="V186:V191" si="39">VLOOKUP(T186,$A$186:$D$191,4,FALSE)</f>
        <v>4.7080000000000002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36"/>
        <v>3</v>
      </c>
      <c r="B187" s="162" t="s">
        <v>206</v>
      </c>
      <c r="C187" s="121"/>
      <c r="D187" s="456">
        <f>VLOOKUP($D$6,'FS (2011)'!$A$13:$AH$244,'FS (2011)'!AD245,FALSE)/1000</f>
        <v>4.1479999999999997</v>
      </c>
      <c r="E187" s="468">
        <f t="shared" si="37"/>
        <v>0.27210705851482553</v>
      </c>
      <c r="Q187" s="559"/>
      <c r="R187" s="559"/>
      <c r="S187" s="559"/>
      <c r="T187" s="559">
        <v>2</v>
      </c>
      <c r="U187" s="559" t="str">
        <f t="shared" si="38"/>
        <v>System growth</v>
      </c>
      <c r="V187" s="559">
        <f t="shared" si="39"/>
        <v>4.5599999999999996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36"/>
        <v>6</v>
      </c>
      <c r="B188" s="162" t="s">
        <v>209</v>
      </c>
      <c r="C188" s="121"/>
      <c r="D188" s="456">
        <f>VLOOKUP($D$6,'FS (2011)'!$A$13:$AH$244,'FS (2011)'!AB245,FALSE)/1000</f>
        <v>0.29899999999999999</v>
      </c>
      <c r="E188" s="468">
        <f t="shared" si="37"/>
        <v>1.9614274468643403E-2</v>
      </c>
      <c r="Q188" s="559"/>
      <c r="R188" s="559"/>
      <c r="S188" s="559"/>
      <c r="T188" s="559">
        <v>3</v>
      </c>
      <c r="U188" s="559" t="str">
        <f t="shared" si="38"/>
        <v>Reliability, safety and environment</v>
      </c>
      <c r="V188" s="559">
        <f t="shared" si="39"/>
        <v>4.1479999999999997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36"/>
        <v>1</v>
      </c>
      <c r="B189" s="162" t="s">
        <v>208</v>
      </c>
      <c r="C189" s="121"/>
      <c r="D189" s="456">
        <f>VLOOKUP($D$6,'FS (2011)'!$A$13:$AH$244,'FS (2011)'!AE245,FALSE)/1000</f>
        <v>4.7080000000000002</v>
      </c>
      <c r="E189" s="468">
        <f t="shared" si="37"/>
        <v>0.30884282340593028</v>
      </c>
      <c r="Q189" s="559"/>
      <c r="R189" s="559"/>
      <c r="S189" s="559"/>
      <c r="T189" s="559">
        <v>4</v>
      </c>
      <c r="U189" s="559" t="str">
        <f t="shared" si="38"/>
        <v>Asset relocations</v>
      </c>
      <c r="V189" s="559">
        <f t="shared" si="39"/>
        <v>0.84299999999999997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36"/>
        <v>5</v>
      </c>
      <c r="B190" s="162" t="s">
        <v>312</v>
      </c>
      <c r="C190" s="121"/>
      <c r="D190" s="456">
        <f>VLOOKUP($D$6,'FS (2011)'!$A$13:$AH$244,'FS (2011)'!AH245,FALSE)/1000</f>
        <v>0.68600000000000005</v>
      </c>
      <c r="E190" s="468">
        <f t="shared" si="37"/>
        <v>4.500131199160326E-2</v>
      </c>
      <c r="Q190" s="559"/>
      <c r="R190" s="559"/>
      <c r="S190" s="559"/>
      <c r="T190" s="559">
        <v>5</v>
      </c>
      <c r="U190" s="559" t="str">
        <f t="shared" si="38"/>
        <v>Non-network capex</v>
      </c>
      <c r="V190" s="559">
        <f t="shared" si="39"/>
        <v>0.68600000000000005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36"/>
        <v>4</v>
      </c>
      <c r="B191" s="162" t="s">
        <v>207</v>
      </c>
      <c r="C191" s="121"/>
      <c r="D191" s="456">
        <f>VLOOKUP($D$6,'FS (2011)'!$A$13:$AH$244,'FS (2011)'!AF245,FALSE)/1000</f>
        <v>0.84299999999999997</v>
      </c>
      <c r="E191" s="468">
        <f t="shared" si="37"/>
        <v>5.5300446077145113E-2</v>
      </c>
      <c r="Q191" s="559"/>
      <c r="R191" s="559"/>
      <c r="S191" s="559"/>
      <c r="T191" s="559">
        <v>6</v>
      </c>
      <c r="U191" s="559" t="str">
        <f t="shared" si="38"/>
        <v>Customer connection</v>
      </c>
      <c r="V191" s="559">
        <f t="shared" si="39"/>
        <v>0.29899999999999999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15.243999999999998</v>
      </c>
      <c r="E192" s="496">
        <f>SUM(E186:E191)</f>
        <v>1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11.311411707678708</v>
      </c>
      <c r="D196" s="484">
        <f>VLOOKUP($D$38,'FS (2011)'!$A$13:$AH$244,'FS (2011)'!$AG$245,FALSE)/1000</f>
        <v>11.564373670121487</v>
      </c>
      <c r="E196" s="484">
        <f>VLOOKUP($E$38,'FS (2011)'!$A$13:$AH$244,'FS (2011)'!$AG$245,FALSE)/1000</f>
        <v>14.094553443722884</v>
      </c>
      <c r="F196" s="486">
        <f>VLOOKUP($F$38,'FS (2011)'!$A$13:$AH$244,'FS (2011)'!$AG$245,FALSE)/1000</f>
        <v>14.558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1.7713161871631831</v>
      </c>
      <c r="D197" s="456">
        <f>VLOOKUP($D$38,'FS (2011)'!$A$13:$AH$244,'FS (2011)'!$AH$245,FALSE)/1000</f>
        <v>1.7356328975221356</v>
      </c>
      <c r="E197" s="456">
        <f>VLOOKUP($E$38,'FS (2011)'!$A$13:$AH$244,'FS (2011)'!$AH$245,FALSE)/1000</f>
        <v>0.73239287354153737</v>
      </c>
      <c r="F197" s="457">
        <f>VLOOKUP($F$38,'FS (2011)'!$A$13:$AH$244,'FS (2011)'!$AH$245,FALSE)/1000</f>
        <v>0.68600000000000005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13.082727894841891</v>
      </c>
      <c r="D198" s="488">
        <f>SUM(D196:D197)</f>
        <v>13.300006567643623</v>
      </c>
      <c r="E198" s="488">
        <f>SUM(E196:E197)</f>
        <v>14.82694631726442</v>
      </c>
      <c r="F198" s="489">
        <f>SUM(F196:F197)</f>
        <v>15.244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40">IFERROR(EXP(SLOPE(S200:V200,$C$148:$F$148))-1,(IFERROR(EXP(SLOPE(T200:V200,$D$148:$F$148))-1,F200)))</f>
        <v>0.10019177026249637</v>
      </c>
      <c r="D200" s="498">
        <f t="shared" ref="D200:F202" si="41">D196/C196 - 1</f>
        <v>2.2363429868886842E-2</v>
      </c>
      <c r="E200" s="498">
        <f t="shared" si="41"/>
        <v>0.21879090435641513</v>
      </c>
      <c r="F200" s="495">
        <f t="shared" si="41"/>
        <v>3.2881251479699447E-2</v>
      </c>
      <c r="Q200" s="559"/>
      <c r="R200" s="559" t="s">
        <v>423</v>
      </c>
      <c r="S200" s="559">
        <f t="shared" ref="S200:V202" si="42">LN(C196)</f>
        <v>2.4258121017621379</v>
      </c>
      <c r="T200" s="559">
        <f t="shared" si="42"/>
        <v>2.447929136855965</v>
      </c>
      <c r="U200" s="559">
        <f t="shared" si="42"/>
        <v>2.6457884421715288</v>
      </c>
      <c r="V200" s="559">
        <f t="shared" si="42"/>
        <v>2.6781406706960662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40"/>
        <v>-0.30986026789992516</v>
      </c>
      <c r="D201" s="467">
        <f t="shared" si="41"/>
        <v>-2.014507059758508E-2</v>
      </c>
      <c r="E201" s="467">
        <f t="shared" si="41"/>
        <v>-0.57802547152273209</v>
      </c>
      <c r="F201" s="468">
        <f t="shared" si="41"/>
        <v>-6.3344244895777502E-2</v>
      </c>
      <c r="Q201" s="559"/>
      <c r="R201" s="559" t="s">
        <v>423</v>
      </c>
      <c r="S201" s="559">
        <f t="shared" si="42"/>
        <v>0.57172287881264161</v>
      </c>
      <c r="T201" s="559">
        <f t="shared" si="42"/>
        <v>0.55137212931539381</v>
      </c>
      <c r="U201" s="559">
        <f t="shared" si="42"/>
        <v>-0.31143819651101962</v>
      </c>
      <c r="V201" s="559">
        <f t="shared" si="42"/>
        <v>-0.37687765125625172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40"/>
        <v>5.8376468582147512E-2</v>
      </c>
      <c r="D202" s="500">
        <f t="shared" si="41"/>
        <v>1.6608055640092934E-2</v>
      </c>
      <c r="E202" s="500">
        <f t="shared" si="41"/>
        <v>0.11480744327867853</v>
      </c>
      <c r="F202" s="501">
        <f t="shared" si="41"/>
        <v>2.812809015501494E-2</v>
      </c>
      <c r="Q202" s="559"/>
      <c r="R202" s="559" t="s">
        <v>423</v>
      </c>
      <c r="S202" s="559">
        <f t="shared" si="42"/>
        <v>2.5712928789360752</v>
      </c>
      <c r="T202" s="559">
        <f t="shared" si="42"/>
        <v>2.5877645290353772</v>
      </c>
      <c r="U202" s="559">
        <f t="shared" si="42"/>
        <v>2.6964462224226322</v>
      </c>
      <c r="V202" s="559">
        <f t="shared" si="42"/>
        <v>2.7241859830116137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Marlborough</v>
      </c>
      <c r="C206" s="456">
        <f>(C198/C102)*1000000</f>
        <v>554.72896433352662</v>
      </c>
      <c r="D206" s="456">
        <f>(D198/D102)*1000000</f>
        <v>557.18502587530884</v>
      </c>
      <c r="E206" s="456">
        <f>(E198/E102)*1000000</f>
        <v>615.91601866258543</v>
      </c>
      <c r="F206" s="457">
        <f>(F198/F102)*1000000</f>
        <v>628.1005356407087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Marlborough</v>
      </c>
      <c r="C209" s="456">
        <f>(C198/C117)*1000000000</f>
        <v>37577.628138677261</v>
      </c>
      <c r="D209" s="456">
        <f>(D198/D117)*1000000000</f>
        <v>37669.022036691647</v>
      </c>
      <c r="E209" s="456">
        <f>(E198/E117)*1000000000</f>
        <v>40238.567280540447</v>
      </c>
      <c r="F209" s="457">
        <f>(F198/F117)*1000000000</f>
        <v>41889.017734959358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Marlborough</v>
      </c>
      <c r="C212" s="456">
        <f>(C198/VLOOKUP(C$38,'AV (2011)'!$A$11:$F$213,'AV (2011)'!$F$214,FALSE)*1000)</f>
        <v>8.0579535188555124E-2</v>
      </c>
      <c r="D212" s="456">
        <f>(D198/VLOOKUP(D$38,'AV (2011)'!$A$11:$F$213,'AV (2011)'!$F$214,FALSE)*1000)</f>
        <v>7.7447650509036889E-2</v>
      </c>
      <c r="E212" s="456">
        <f>(E198/VLOOKUP(E$38,'AV (2011)'!$A$11:$F$213,'AV (2011)'!$F$214,FALSE)*1000)</f>
        <v>8.2787302528923398E-2</v>
      </c>
      <c r="F212" s="457">
        <f>(F198/VLOOKUP(F$38,'AV (2011)'!$A$11:$F$213,'AV (2011)'!$F$214,FALSE)*1000)</f>
        <v>7.8842274333772694E-2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43">IFERROR(EXP(SLOPE(S215:V215,$C$195:$F$195))-1,(IFERROR(EXP(SLOPE(T215:V215,$D$195:$F$195))-1,F215)))</f>
        <v>4.8423393167543294E-2</v>
      </c>
      <c r="D215" s="464">
        <f>D206/C206 - 1</f>
        <v>4.4274982914098704E-3</v>
      </c>
      <c r="E215" s="464">
        <f>E206/D206 - 1</f>
        <v>0.10540662447813132</v>
      </c>
      <c r="F215" s="465">
        <f>F206/E206 - 1</f>
        <v>1.9782757078766977E-2</v>
      </c>
      <c r="K215" s="139"/>
      <c r="P215" s="139"/>
      <c r="Q215" s="559"/>
      <c r="R215" s="559" t="s">
        <v>423</v>
      </c>
      <c r="S215" s="559">
        <f>LN(C206)</f>
        <v>6.3184796419112859</v>
      </c>
      <c r="T215" s="559">
        <f>LN(D206)</f>
        <v>6.3228973676667755</v>
      </c>
      <c r="U215" s="559">
        <f>LN(E206)</f>
        <v>6.4231106208993269</v>
      </c>
      <c r="V215" s="559">
        <f>LN(F206)</f>
        <v>6.4427002422552411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43"/>
        <v>3.9961016979696451E-2</v>
      </c>
      <c r="D216" s="467">
        <f>D209/C209 - 1</f>
        <v>2.4321358888619304E-3</v>
      </c>
      <c r="E216" s="467">
        <f>E209/D209 - 1</f>
        <v>6.8213749784794553E-2</v>
      </c>
      <c r="F216" s="468">
        <f>F209/E209 - 1</f>
        <v>4.1016630709341362E-2</v>
      </c>
      <c r="Q216" s="559"/>
      <c r="R216" s="559" t="s">
        <v>423</v>
      </c>
      <c r="S216" s="559">
        <f>LN(C209)</f>
        <v>10.53416415598566</v>
      </c>
      <c r="T216" s="559">
        <f>LN(D209)</f>
        <v>10.536593339018893</v>
      </c>
      <c r="U216" s="559">
        <f>LN(E209)</f>
        <v>10.602581199779443</v>
      </c>
      <c r="V216" s="559">
        <f>LN(F209)</f>
        <v>10.642778964990084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1.2864041622773215E-4</v>
      </c>
      <c r="D217" s="470">
        <f>D212/C212 - 1</f>
        <v>-3.8866998577115952E-2</v>
      </c>
      <c r="E217" s="470">
        <f>E212/D212 - 1</f>
        <v>6.8945306730298528E-2</v>
      </c>
      <c r="F217" s="471">
        <f>F212/E212 - 1</f>
        <v>-4.7652575632264771E-2</v>
      </c>
      <c r="Q217" s="559"/>
      <c r="R217" s="559" t="s">
        <v>423</v>
      </c>
      <c r="S217" s="559">
        <f>LN(C212)</f>
        <v>-2.5185105675582937</v>
      </c>
      <c r="T217" s="559">
        <f>LN(D212)</f>
        <v>-2.558153048163164</v>
      </c>
      <c r="U217" s="559">
        <f>LN(E212)</f>
        <v>-2.4914805804503644</v>
      </c>
      <c r="V217" s="559">
        <f>LN(F212)</f>
        <v>-2.540305949653364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Marlborough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14094.553443722883</v>
      </c>
      <c r="X220" s="563">
        <f>D222</f>
        <v>14558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Marlborough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44">C223</f>
        <v>13912.197192207161</v>
      </c>
      <c r="X221" s="563">
        <f t="shared" si="44"/>
        <v>10264.766511276979</v>
      </c>
      <c r="Y221" s="563">
        <f t="shared" si="44"/>
        <v>10865.879388860445</v>
      </c>
      <c r="Z221" s="563">
        <f t="shared" si="44"/>
        <v>11273.41354315432</v>
      </c>
      <c r="AA221" s="563">
        <f t="shared" si="44"/>
        <v>9938.7391878418784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14094.553443722883</v>
      </c>
      <c r="D222" s="461">
        <f>VLOOKUP(D226,'FS (2011)'!$A$14:$AJ$245,'FS (2011)'!$AG$245,FALSE)</f>
        <v>14558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44"/>
        <v>13724</v>
      </c>
      <c r="Y222" s="563">
        <f t="shared" si="44"/>
        <v>13231</v>
      </c>
      <c r="Z222" s="563">
        <f t="shared" si="44"/>
        <v>10925</v>
      </c>
      <c r="AA222" s="563">
        <f t="shared" si="44"/>
        <v>9395</v>
      </c>
      <c r="AB222" s="563">
        <f>H224</f>
        <v>10095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13912.197192207161</v>
      </c>
      <c r="D223" s="461">
        <f>VLOOKUP(D227,'AM (2011)'!$A$10:$N$444,'AM (2011)'!$J$445,FALSE)</f>
        <v>10264.766511276979</v>
      </c>
      <c r="E223" s="461">
        <f>VLOOKUP(E226,'AM (2011)'!$A$10:$N$444,'AM (2011)'!$J$445,FALSE)</f>
        <v>10865.879388860445</v>
      </c>
      <c r="F223" s="461">
        <f>VLOOKUP(F226,'AM (2011)'!$A$10:$N$444,'AM (2011)'!$J$445,FALSE)</f>
        <v>11273.41354315432</v>
      </c>
      <c r="G223" s="461">
        <f>VLOOKUP(G226,'AM (2011)'!$A$10:$N$444,'AM (2011)'!$J$445,FALSE)</f>
        <v>9938.7391878418784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12185.720620555914</v>
      </c>
      <c r="Z223" s="563">
        <f>F225</f>
        <v>8172.5325145442794</v>
      </c>
      <c r="AA223" s="563">
        <f>G225</f>
        <v>11042.377504848093</v>
      </c>
      <c r="AB223" s="563">
        <f>H225</f>
        <v>11291.185391079509</v>
      </c>
      <c r="AC223" s="563">
        <f>I225</f>
        <v>11775.114285714286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13724</v>
      </c>
      <c r="E224" s="461">
        <f>VLOOKUP(E227,'AM (2011)'!$A$10:$N$444,'AM (2011)'!$J$445,FALSE)</f>
        <v>13231</v>
      </c>
      <c r="F224" s="461">
        <f>VLOOKUP(F227,'AM (2011)'!$A$10:$N$444,'AM (2011)'!$J$445,FALSE)</f>
        <v>10925</v>
      </c>
      <c r="G224" s="461">
        <f>VLOOKUP(G227,'AM (2011)'!$A$10:$N$444,'AM (2011)'!$J$445,FALSE)</f>
        <v>9395</v>
      </c>
      <c r="H224" s="461">
        <f>VLOOKUP(H227,'AM (2011)'!$A$10:$N$444,'AM (2011)'!$J$445,FALSE)</f>
        <v>10095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12185.720620555914</v>
      </c>
      <c r="F225" s="493">
        <f>VLOOKUP(F228,'AM (2011)'!$A$10:$N$444,'AM (2011)'!$J$445,FALSE)</f>
        <v>8172.5325145442794</v>
      </c>
      <c r="G225" s="493">
        <f>VLOOKUP(G228,'AM (2011)'!$A$10:$N$444,'AM (2011)'!$J$445,FALSE)</f>
        <v>11042.377504848093</v>
      </c>
      <c r="H225" s="493">
        <f>VLOOKUP(H228,'AM (2011)'!$A$10:$N$444,'AM (2011)'!$J$445,FALSE)</f>
        <v>11291.185391079509</v>
      </c>
      <c r="I225" s="494">
        <f>VLOOKUP(I228,'AM (2011)'!$A$10:$N$444,'AM (2011)'!$J$445,FALSE)</f>
        <v>11775.114285714286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260</v>
      </c>
      <c r="D226" s="136">
        <f>VLOOKUP($B$2,$B$257:$Y$286,9,FALSE)</f>
        <v>261</v>
      </c>
      <c r="E226" s="136">
        <f>VLOOKUP($B$2,$B$257:$Y$286,12,FALSE)</f>
        <v>264</v>
      </c>
      <c r="F226" s="136">
        <f>VLOOKUP($B$2,$B$257:$Y$286,13,FALSE)</f>
        <v>265</v>
      </c>
      <c r="G226" s="136">
        <f>VLOOKUP($B$2,$B$257:$Y$286,14,FALSE)</f>
        <v>266</v>
      </c>
      <c r="H226" s="136"/>
      <c r="I226" s="136"/>
    </row>
    <row r="227" spans="2:30">
      <c r="C227" s="136">
        <f>VLOOKUP($B$2,$B$257:$Y$286,10,FALSE)</f>
        <v>262</v>
      </c>
      <c r="D227" s="136">
        <f>VLOOKUP($B$2,$B$257:$Y$286,11,FALSE)</f>
        <v>263</v>
      </c>
      <c r="E227" s="136">
        <f>VLOOKUP($B$2,$B$257:$Y$286,16,FALSE)</f>
        <v>268</v>
      </c>
      <c r="F227" s="136">
        <f>VLOOKUP($B$2,$B$257:$Y$286,17,FALSE)</f>
        <v>269</v>
      </c>
      <c r="G227" s="136">
        <f>VLOOKUP($B$2,$B$257:$Y$286,18,FALSE)</f>
        <v>270</v>
      </c>
      <c r="H227" s="136">
        <f>VLOOKUP($B$2,$B$257:$Y$286,19,FALSE)</f>
        <v>271</v>
      </c>
      <c r="I227" s="136"/>
    </row>
    <row r="228" spans="2:30">
      <c r="B228" s="517" t="s">
        <v>291</v>
      </c>
      <c r="C228" s="518"/>
      <c r="D228" s="518">
        <f>VLOOKUP($B$2,$B$257:$Y$286,15,FALSE)</f>
        <v>267</v>
      </c>
      <c r="E228" s="518">
        <f>VLOOKUP($B$2,$B$257:$Y$286,20,FALSE)</f>
        <v>272</v>
      </c>
      <c r="F228" s="519">
        <f>VLOOKUP($B$2,$B$257:$Y$286,21,FALSE)</f>
        <v>273</v>
      </c>
      <c r="G228" s="136">
        <f>VLOOKUP($B$2,$B$257:$Y$286,22,FALSE)</f>
        <v>274</v>
      </c>
      <c r="H228" s="136">
        <f>VLOOKUP($B$2,$B$257:$Y$286,23,FALSE)</f>
        <v>275</v>
      </c>
      <c r="I228" s="136">
        <f>VLOOKUP($B$2,$B$257:$Y$286,24,FALSE)</f>
        <v>276</v>
      </c>
    </row>
    <row r="229" spans="2:30">
      <c r="B229" s="474" t="str">
        <f>$B$2</f>
        <v>Marlborough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265.3</v>
      </c>
      <c r="D230" s="456">
        <f>VLOOKUP(D$38,'MP (2011)'!$A$11:$AR$245,'MP (2011)'!$S$246,FALSE)+VLOOKUP(D$38,'MP (2011)'!$A$11:$AR$245,'MP (2011)'!$T$246,FALSE)</f>
        <v>249.88</v>
      </c>
      <c r="E230" s="456">
        <f>VLOOKUP(E$38,'MP (2011)'!$A$11:$AR$245,'MP (2011)'!$S$246,FALSE)+VLOOKUP(E$38,'MP (2011)'!$A$11:$AR$245,'MP (2011)'!$T$246,FALSE)</f>
        <v>283.78999999999996</v>
      </c>
      <c r="F230" s="457">
        <f>VLOOKUP(F$38,'MP (2011)'!$A$11:$AR$245,'MP (2011)'!$S$246,FALSE)+VLOOKUP(F$38,'MP (2011)'!$A$11:$AR$245,'MP (2011)'!$T$246,FALSE)</f>
        <v>422.92</v>
      </c>
    </row>
    <row r="231" spans="2:30">
      <c r="B231" s="199" t="s">
        <v>292</v>
      </c>
      <c r="C231" s="456" t="str">
        <f>IF(ISERROR(VLOOKUP(C$38,'Compliance data'!$A$7:$E$74,'Compliance data'!$D$75,FALSE)),"",(VLOOKUP(C$38,'Compliance data'!$A$7:$E$74,'Compliance data'!$D$75,FALSE)))</f>
        <v/>
      </c>
      <c r="D231" s="456" t="str">
        <f>IF(ISERROR(VLOOKUP(D$38,'Compliance data'!$A$7:$E$74,'Compliance data'!$D$75,FALSE)),"",(VLOOKUP(D$38,'Compliance data'!$A$7:$E$74,'Compliance data'!$D$75,FALSE)))</f>
        <v/>
      </c>
      <c r="E231" s="456" t="str">
        <f>IF(ISERROR(VLOOKUP(E$38,'Compliance data'!$A$7:$E$74,'Compliance data'!$D$75,FALSE)),"",(VLOOKUP(E$38,'Compliance data'!$A$7:$E$74,'Compliance data'!$D$75,FALSE)))</f>
        <v/>
      </c>
      <c r="F231" s="457" t="str">
        <f>IF(ISERROR(VLOOKUP(F$38,'Compliance data'!$A$7:$E$74,'Compliance data'!$D$75,FALSE)),"",(VLOOKUP(F$38,'Compliance data'!$A$7:$E$74,'Compliance data'!$D$75,FALSE)))</f>
        <v/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2.95</v>
      </c>
      <c r="D237" s="456">
        <f>VLOOKUP(D$38,'MP (2011)'!$A$11:$AR$245,'MP (2011)'!$W$246,FALSE)+VLOOKUP(D$38,'MP (2011)'!$A$11:$AR$245,'MP (2011)'!$X$246,FALSE)</f>
        <v>1.98</v>
      </c>
      <c r="E237" s="456">
        <f>VLOOKUP(E$38,'MP (2011)'!$A$11:$AR$245,'MP (2011)'!$W$246,FALSE)+VLOOKUP(E$38,'MP (2011)'!$A$11:$AR$245,'MP (2011)'!$X$246,FALSE)</f>
        <v>2.83</v>
      </c>
      <c r="F237" s="457">
        <f>VLOOKUP(F$38,'MP (2011)'!$A$11:$AR$245,'MP (2011)'!$W$246,FALSE)+VLOOKUP(F$38,'MP (2011)'!$A$11:$AR$245,'MP (2011)'!$X$246,FALSE)</f>
        <v>2.84</v>
      </c>
    </row>
    <row r="238" spans="2:30">
      <c r="B238" s="199" t="s">
        <v>292</v>
      </c>
      <c r="C238" s="456" t="str">
        <f>IF(ISERROR(VLOOKUP(C$38,'Compliance data'!$A$7:$E$74,'Compliance data'!$E$75,FALSE)),"",(VLOOKUP(C$38,'Compliance data'!$A$7:$E$74,'Compliance data'!$E$75,FALSE)))</f>
        <v/>
      </c>
      <c r="D238" s="456" t="str">
        <f>IF(ISERROR(VLOOKUP(D$38,'Compliance data'!$A$7:$E$74,'Compliance data'!$E$75,FALSE)),"",(VLOOKUP(D$38,'Compliance data'!$A$7:$E$74,'Compliance data'!$E$75,FALSE)))</f>
        <v/>
      </c>
      <c r="E238" s="456" t="str">
        <f>IF(ISERROR(VLOOKUP(E$38,'Compliance data'!$A$7:$E$74,'Compliance data'!$E$75,FALSE)),"",(VLOOKUP(E$38,'Compliance data'!$A$7:$E$74,'Compliance data'!$E$75,FALSE)))</f>
        <v/>
      </c>
      <c r="F238" s="457" t="str">
        <f>IF(ISERROR(VLOOKUP(F$38,'Compliance data'!$A$7:$E$74,'Compliance data'!$E$75,FALSE)),"",(VLOOKUP(F$38,'Compliance data'!$A$7:$E$74,'Compliance data'!$E$75,FALSE)))</f>
        <v/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45">C258+1</f>
        <v>2</v>
      </c>
      <c r="E258" s="526">
        <f t="shared" si="45"/>
        <v>3</v>
      </c>
      <c r="F258" s="526">
        <f t="shared" si="45"/>
        <v>4</v>
      </c>
      <c r="G258" s="526">
        <f t="shared" si="45"/>
        <v>5</v>
      </c>
      <c r="H258" s="526">
        <f t="shared" si="45"/>
        <v>6</v>
      </c>
      <c r="I258" s="526">
        <f t="shared" si="45"/>
        <v>7</v>
      </c>
      <c r="J258" s="526">
        <f t="shared" si="45"/>
        <v>8</v>
      </c>
      <c r="K258" s="526">
        <f t="shared" si="45"/>
        <v>9</v>
      </c>
      <c r="L258" s="526">
        <f t="shared" si="45"/>
        <v>10</v>
      </c>
      <c r="M258" s="526">
        <f t="shared" si="45"/>
        <v>11</v>
      </c>
      <c r="N258" s="526">
        <f t="shared" si="45"/>
        <v>12</v>
      </c>
      <c r="O258" s="526">
        <f t="shared" si="45"/>
        <v>13</v>
      </c>
      <c r="P258" s="526">
        <f t="shared" si="45"/>
        <v>14</v>
      </c>
      <c r="Q258" s="526">
        <f t="shared" si="45"/>
        <v>15</v>
      </c>
      <c r="R258" s="526">
        <f t="shared" si="45"/>
        <v>16</v>
      </c>
      <c r="S258" s="526">
        <f t="shared" si="45"/>
        <v>17</v>
      </c>
      <c r="T258" s="526">
        <f t="shared" ref="T258:Y273" si="46">S258+1</f>
        <v>18</v>
      </c>
      <c r="U258" s="526">
        <f t="shared" si="46"/>
        <v>19</v>
      </c>
      <c r="V258" s="526">
        <f t="shared" si="46"/>
        <v>20</v>
      </c>
      <c r="W258" s="526">
        <f t="shared" si="46"/>
        <v>21</v>
      </c>
      <c r="X258" s="526">
        <f t="shared" si="46"/>
        <v>22</v>
      </c>
      <c r="Y258" s="526">
        <f t="shared" si="46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45"/>
        <v>25</v>
      </c>
      <c r="E259" s="526">
        <f t="shared" si="45"/>
        <v>26</v>
      </c>
      <c r="F259" s="526">
        <f t="shared" si="45"/>
        <v>27</v>
      </c>
      <c r="G259" s="526">
        <f t="shared" si="45"/>
        <v>28</v>
      </c>
      <c r="H259" s="526">
        <f t="shared" si="45"/>
        <v>29</v>
      </c>
      <c r="I259" s="526">
        <f t="shared" si="45"/>
        <v>30</v>
      </c>
      <c r="J259" s="526">
        <f t="shared" si="45"/>
        <v>31</v>
      </c>
      <c r="K259" s="526">
        <f t="shared" si="45"/>
        <v>32</v>
      </c>
      <c r="L259" s="526">
        <f t="shared" si="45"/>
        <v>33</v>
      </c>
      <c r="M259" s="526">
        <f t="shared" si="45"/>
        <v>34</v>
      </c>
      <c r="N259" s="526">
        <f t="shared" si="45"/>
        <v>35</v>
      </c>
      <c r="O259" s="526">
        <f t="shared" si="45"/>
        <v>36</v>
      </c>
      <c r="P259" s="526">
        <f t="shared" si="45"/>
        <v>37</v>
      </c>
      <c r="Q259" s="526">
        <f t="shared" si="45"/>
        <v>38</v>
      </c>
      <c r="R259" s="526">
        <f t="shared" si="45"/>
        <v>39</v>
      </c>
      <c r="S259" s="526">
        <f t="shared" si="45"/>
        <v>40</v>
      </c>
      <c r="T259" s="526">
        <f t="shared" si="46"/>
        <v>41</v>
      </c>
      <c r="U259" s="526">
        <f t="shared" si="46"/>
        <v>42</v>
      </c>
      <c r="V259" s="526">
        <f t="shared" si="46"/>
        <v>43</v>
      </c>
      <c r="W259" s="526">
        <f t="shared" si="46"/>
        <v>44</v>
      </c>
      <c r="X259" s="526">
        <f t="shared" si="46"/>
        <v>45</v>
      </c>
      <c r="Y259" s="526">
        <f t="shared" si="46"/>
        <v>46</v>
      </c>
    </row>
    <row r="260" spans="2:25" s="526" customFormat="1" ht="15.75">
      <c r="B260" s="530" t="s">
        <v>31</v>
      </c>
      <c r="C260" s="526">
        <f t="shared" ref="C260:C286" si="47">Y259+1</f>
        <v>47</v>
      </c>
      <c r="D260" s="526">
        <f t="shared" si="45"/>
        <v>48</v>
      </c>
      <c r="E260" s="526">
        <f t="shared" si="45"/>
        <v>49</v>
      </c>
      <c r="F260" s="526">
        <f t="shared" si="45"/>
        <v>50</v>
      </c>
      <c r="G260" s="526">
        <f t="shared" si="45"/>
        <v>51</v>
      </c>
      <c r="H260" s="526">
        <f t="shared" si="45"/>
        <v>52</v>
      </c>
      <c r="I260" s="526">
        <f t="shared" si="45"/>
        <v>53</v>
      </c>
      <c r="J260" s="526">
        <f t="shared" si="45"/>
        <v>54</v>
      </c>
      <c r="K260" s="526">
        <f t="shared" si="45"/>
        <v>55</v>
      </c>
      <c r="L260" s="526">
        <f t="shared" si="45"/>
        <v>56</v>
      </c>
      <c r="M260" s="526">
        <f t="shared" si="45"/>
        <v>57</v>
      </c>
      <c r="N260" s="526">
        <f t="shared" si="45"/>
        <v>58</v>
      </c>
      <c r="O260" s="526">
        <f t="shared" si="45"/>
        <v>59</v>
      </c>
      <c r="P260" s="526">
        <f t="shared" si="45"/>
        <v>60</v>
      </c>
      <c r="Q260" s="526">
        <f t="shared" si="45"/>
        <v>61</v>
      </c>
      <c r="R260" s="526">
        <f t="shared" si="45"/>
        <v>62</v>
      </c>
      <c r="S260" s="526">
        <f t="shared" si="45"/>
        <v>63</v>
      </c>
      <c r="T260" s="526">
        <f t="shared" si="46"/>
        <v>64</v>
      </c>
      <c r="U260" s="526">
        <f t="shared" si="46"/>
        <v>65</v>
      </c>
      <c r="V260" s="526">
        <f t="shared" si="46"/>
        <v>66</v>
      </c>
      <c r="W260" s="526">
        <f t="shared" si="46"/>
        <v>67</v>
      </c>
      <c r="X260" s="526">
        <f t="shared" si="46"/>
        <v>68</v>
      </c>
      <c r="Y260" s="526">
        <f t="shared" si="46"/>
        <v>69</v>
      </c>
    </row>
    <row r="261" spans="2:25" s="526" customFormat="1" ht="15.75">
      <c r="B261" s="530" t="s">
        <v>32</v>
      </c>
      <c r="C261" s="526">
        <f t="shared" si="47"/>
        <v>70</v>
      </c>
      <c r="D261" s="526">
        <f t="shared" si="45"/>
        <v>71</v>
      </c>
      <c r="E261" s="526">
        <f t="shared" si="45"/>
        <v>72</v>
      </c>
      <c r="F261" s="526">
        <f t="shared" si="45"/>
        <v>73</v>
      </c>
      <c r="G261" s="526">
        <f t="shared" si="45"/>
        <v>74</v>
      </c>
      <c r="H261" s="526">
        <f t="shared" si="45"/>
        <v>75</v>
      </c>
      <c r="I261" s="526">
        <f t="shared" si="45"/>
        <v>76</v>
      </c>
      <c r="J261" s="526">
        <f t="shared" si="45"/>
        <v>77</v>
      </c>
      <c r="K261" s="526">
        <f t="shared" si="45"/>
        <v>78</v>
      </c>
      <c r="L261" s="526">
        <f t="shared" si="45"/>
        <v>79</v>
      </c>
      <c r="M261" s="526">
        <f t="shared" si="45"/>
        <v>80</v>
      </c>
      <c r="N261" s="526">
        <f t="shared" si="45"/>
        <v>81</v>
      </c>
      <c r="O261" s="526">
        <f t="shared" si="45"/>
        <v>82</v>
      </c>
      <c r="P261" s="526">
        <f t="shared" si="45"/>
        <v>83</v>
      </c>
      <c r="Q261" s="526">
        <f t="shared" si="45"/>
        <v>84</v>
      </c>
      <c r="R261" s="526">
        <f t="shared" si="45"/>
        <v>85</v>
      </c>
      <c r="S261" s="526">
        <f t="shared" si="45"/>
        <v>86</v>
      </c>
      <c r="T261" s="526">
        <f t="shared" si="46"/>
        <v>87</v>
      </c>
      <c r="U261" s="526">
        <f t="shared" si="46"/>
        <v>88</v>
      </c>
      <c r="V261" s="526">
        <f t="shared" si="46"/>
        <v>89</v>
      </c>
      <c r="W261" s="526">
        <f t="shared" si="46"/>
        <v>90</v>
      </c>
      <c r="X261" s="526">
        <f t="shared" si="46"/>
        <v>91</v>
      </c>
      <c r="Y261" s="526">
        <f t="shared" si="46"/>
        <v>92</v>
      </c>
    </row>
    <row r="262" spans="2:25" s="526" customFormat="1" ht="15.75">
      <c r="B262" s="530" t="s">
        <v>33</v>
      </c>
      <c r="C262" s="526">
        <f t="shared" si="47"/>
        <v>93</v>
      </c>
      <c r="D262" s="526">
        <f t="shared" si="45"/>
        <v>94</v>
      </c>
      <c r="E262" s="526">
        <f t="shared" si="45"/>
        <v>95</v>
      </c>
      <c r="F262" s="526">
        <f t="shared" si="45"/>
        <v>96</v>
      </c>
      <c r="G262" s="526">
        <f t="shared" si="45"/>
        <v>97</v>
      </c>
      <c r="H262" s="526">
        <f t="shared" si="45"/>
        <v>98</v>
      </c>
      <c r="I262" s="526">
        <f t="shared" si="45"/>
        <v>99</v>
      </c>
      <c r="J262" s="526">
        <f t="shared" si="45"/>
        <v>100</v>
      </c>
      <c r="K262" s="526">
        <f t="shared" si="45"/>
        <v>101</v>
      </c>
      <c r="L262" s="526">
        <f t="shared" si="45"/>
        <v>102</v>
      </c>
      <c r="M262" s="526">
        <f t="shared" si="45"/>
        <v>103</v>
      </c>
      <c r="N262" s="526">
        <f t="shared" si="45"/>
        <v>104</v>
      </c>
      <c r="O262" s="526">
        <f t="shared" si="45"/>
        <v>105</v>
      </c>
      <c r="P262" s="526">
        <f t="shared" si="45"/>
        <v>106</v>
      </c>
      <c r="Q262" s="526">
        <f t="shared" si="45"/>
        <v>107</v>
      </c>
      <c r="R262" s="526">
        <f t="shared" si="45"/>
        <v>108</v>
      </c>
      <c r="S262" s="526">
        <f t="shared" si="45"/>
        <v>109</v>
      </c>
      <c r="T262" s="526">
        <f t="shared" si="46"/>
        <v>110</v>
      </c>
      <c r="U262" s="526">
        <f t="shared" si="46"/>
        <v>111</v>
      </c>
      <c r="V262" s="526">
        <f t="shared" si="46"/>
        <v>112</v>
      </c>
      <c r="W262" s="526">
        <f t="shared" si="46"/>
        <v>113</v>
      </c>
      <c r="X262" s="526">
        <f t="shared" si="46"/>
        <v>114</v>
      </c>
      <c r="Y262" s="526">
        <f t="shared" si="46"/>
        <v>115</v>
      </c>
    </row>
    <row r="263" spans="2:25" s="526" customFormat="1" ht="15.75">
      <c r="B263" s="530" t="s">
        <v>34</v>
      </c>
      <c r="C263" s="526">
        <f t="shared" si="47"/>
        <v>116</v>
      </c>
      <c r="D263" s="526">
        <f t="shared" si="45"/>
        <v>117</v>
      </c>
      <c r="E263" s="526">
        <f t="shared" si="45"/>
        <v>118</v>
      </c>
      <c r="F263" s="526">
        <f t="shared" si="45"/>
        <v>119</v>
      </c>
      <c r="G263" s="526">
        <f t="shared" si="45"/>
        <v>120</v>
      </c>
      <c r="H263" s="526">
        <f t="shared" si="45"/>
        <v>121</v>
      </c>
      <c r="I263" s="526">
        <f t="shared" si="45"/>
        <v>122</v>
      </c>
      <c r="J263" s="526">
        <f t="shared" si="45"/>
        <v>123</v>
      </c>
      <c r="K263" s="526">
        <f t="shared" si="45"/>
        <v>124</v>
      </c>
      <c r="L263" s="526">
        <f t="shared" si="45"/>
        <v>125</v>
      </c>
      <c r="M263" s="526">
        <f t="shared" si="45"/>
        <v>126</v>
      </c>
      <c r="N263" s="526">
        <f t="shared" si="45"/>
        <v>127</v>
      </c>
      <c r="O263" s="526">
        <f t="shared" si="45"/>
        <v>128</v>
      </c>
      <c r="P263" s="526">
        <f t="shared" si="45"/>
        <v>129</v>
      </c>
      <c r="Q263" s="526">
        <f t="shared" si="45"/>
        <v>130</v>
      </c>
      <c r="R263" s="526">
        <f t="shared" si="45"/>
        <v>131</v>
      </c>
      <c r="S263" s="526">
        <f t="shared" si="45"/>
        <v>132</v>
      </c>
      <c r="T263" s="526">
        <f t="shared" si="46"/>
        <v>133</v>
      </c>
      <c r="U263" s="526">
        <f t="shared" si="46"/>
        <v>134</v>
      </c>
      <c r="V263" s="526">
        <f t="shared" si="46"/>
        <v>135</v>
      </c>
      <c r="W263" s="526">
        <f t="shared" si="46"/>
        <v>136</v>
      </c>
      <c r="X263" s="526">
        <f t="shared" si="46"/>
        <v>137</v>
      </c>
      <c r="Y263" s="526">
        <f t="shared" si="46"/>
        <v>138</v>
      </c>
    </row>
    <row r="264" spans="2:25" s="526" customFormat="1" ht="15.75">
      <c r="B264" s="530" t="s">
        <v>35</v>
      </c>
      <c r="C264" s="526">
        <f t="shared" si="47"/>
        <v>139</v>
      </c>
      <c r="D264" s="526">
        <f t="shared" si="45"/>
        <v>140</v>
      </c>
      <c r="E264" s="526">
        <f t="shared" si="45"/>
        <v>141</v>
      </c>
      <c r="F264" s="526">
        <f t="shared" si="45"/>
        <v>142</v>
      </c>
      <c r="G264" s="526">
        <f t="shared" si="45"/>
        <v>143</v>
      </c>
      <c r="H264" s="526">
        <f t="shared" si="45"/>
        <v>144</v>
      </c>
      <c r="I264" s="526">
        <f t="shared" si="45"/>
        <v>145</v>
      </c>
      <c r="J264" s="526">
        <f t="shared" si="45"/>
        <v>146</v>
      </c>
      <c r="K264" s="526">
        <f t="shared" si="45"/>
        <v>147</v>
      </c>
      <c r="L264" s="526">
        <f t="shared" si="45"/>
        <v>148</v>
      </c>
      <c r="M264" s="526">
        <f t="shared" si="45"/>
        <v>149</v>
      </c>
      <c r="N264" s="526">
        <f t="shared" si="45"/>
        <v>150</v>
      </c>
      <c r="O264" s="526">
        <f t="shared" si="45"/>
        <v>151</v>
      </c>
      <c r="P264" s="526">
        <f t="shared" si="45"/>
        <v>152</v>
      </c>
      <c r="Q264" s="526">
        <f t="shared" si="45"/>
        <v>153</v>
      </c>
      <c r="R264" s="526">
        <f t="shared" si="45"/>
        <v>154</v>
      </c>
      <c r="S264" s="526">
        <f t="shared" si="45"/>
        <v>155</v>
      </c>
      <c r="T264" s="526">
        <f t="shared" si="46"/>
        <v>156</v>
      </c>
      <c r="U264" s="526">
        <f t="shared" si="46"/>
        <v>157</v>
      </c>
      <c r="V264" s="526">
        <f t="shared" si="46"/>
        <v>158</v>
      </c>
      <c r="W264" s="526">
        <f t="shared" si="46"/>
        <v>159</v>
      </c>
      <c r="X264" s="526">
        <f t="shared" si="46"/>
        <v>160</v>
      </c>
      <c r="Y264" s="526">
        <f t="shared" si="46"/>
        <v>161</v>
      </c>
    </row>
    <row r="265" spans="2:25" s="526" customFormat="1" ht="15.75">
      <c r="B265" s="530" t="s">
        <v>115</v>
      </c>
      <c r="C265" s="526">
        <f t="shared" si="47"/>
        <v>162</v>
      </c>
      <c r="D265" s="526">
        <f t="shared" si="45"/>
        <v>163</v>
      </c>
      <c r="E265" s="526">
        <f t="shared" si="45"/>
        <v>164</v>
      </c>
      <c r="F265" s="526">
        <f t="shared" si="45"/>
        <v>165</v>
      </c>
      <c r="G265" s="526">
        <f t="shared" si="45"/>
        <v>166</v>
      </c>
      <c r="H265" s="526">
        <f t="shared" si="45"/>
        <v>167</v>
      </c>
      <c r="I265" s="526">
        <f t="shared" si="45"/>
        <v>168</v>
      </c>
      <c r="J265" s="526">
        <f t="shared" si="45"/>
        <v>169</v>
      </c>
      <c r="K265" s="526">
        <f t="shared" si="45"/>
        <v>170</v>
      </c>
      <c r="L265" s="526">
        <f t="shared" si="45"/>
        <v>171</v>
      </c>
      <c r="M265" s="526">
        <f t="shared" si="45"/>
        <v>172</v>
      </c>
      <c r="N265" s="526">
        <f t="shared" si="45"/>
        <v>173</v>
      </c>
      <c r="O265" s="526">
        <f t="shared" si="45"/>
        <v>174</v>
      </c>
      <c r="P265" s="526">
        <f t="shared" si="45"/>
        <v>175</v>
      </c>
      <c r="Q265" s="526">
        <f t="shared" si="45"/>
        <v>176</v>
      </c>
      <c r="R265" s="526">
        <f t="shared" si="45"/>
        <v>177</v>
      </c>
      <c r="S265" s="526">
        <f t="shared" si="45"/>
        <v>178</v>
      </c>
      <c r="T265" s="526">
        <f t="shared" si="46"/>
        <v>179</v>
      </c>
      <c r="U265" s="526">
        <f t="shared" si="46"/>
        <v>180</v>
      </c>
      <c r="V265" s="526">
        <f t="shared" si="46"/>
        <v>181</v>
      </c>
      <c r="W265" s="526">
        <f t="shared" si="46"/>
        <v>182</v>
      </c>
      <c r="X265" s="526">
        <f t="shared" si="46"/>
        <v>183</v>
      </c>
      <c r="Y265" s="526">
        <f t="shared" si="46"/>
        <v>184</v>
      </c>
    </row>
    <row r="266" spans="2:25" s="526" customFormat="1" ht="15.75">
      <c r="B266" s="530" t="s">
        <v>116</v>
      </c>
      <c r="C266" s="526">
        <f t="shared" si="47"/>
        <v>185</v>
      </c>
      <c r="D266" s="526">
        <f t="shared" si="45"/>
        <v>186</v>
      </c>
      <c r="E266" s="526">
        <f t="shared" si="45"/>
        <v>187</v>
      </c>
      <c r="F266" s="526">
        <f t="shared" si="45"/>
        <v>188</v>
      </c>
      <c r="G266" s="526">
        <f t="shared" si="45"/>
        <v>189</v>
      </c>
      <c r="H266" s="526">
        <f t="shared" si="45"/>
        <v>190</v>
      </c>
      <c r="I266" s="526">
        <f t="shared" si="45"/>
        <v>191</v>
      </c>
      <c r="J266" s="526">
        <f t="shared" si="45"/>
        <v>192</v>
      </c>
      <c r="K266" s="526">
        <f t="shared" si="45"/>
        <v>193</v>
      </c>
      <c r="L266" s="526">
        <f t="shared" si="45"/>
        <v>194</v>
      </c>
      <c r="M266" s="526">
        <f t="shared" si="45"/>
        <v>195</v>
      </c>
      <c r="N266" s="526">
        <f t="shared" si="45"/>
        <v>196</v>
      </c>
      <c r="O266" s="526">
        <f t="shared" si="45"/>
        <v>197</v>
      </c>
      <c r="P266" s="526">
        <f t="shared" si="45"/>
        <v>198</v>
      </c>
      <c r="Q266" s="526">
        <f t="shared" si="45"/>
        <v>199</v>
      </c>
      <c r="R266" s="526">
        <f t="shared" si="45"/>
        <v>200</v>
      </c>
      <c r="S266" s="526">
        <f t="shared" si="45"/>
        <v>201</v>
      </c>
      <c r="T266" s="526">
        <f t="shared" si="46"/>
        <v>202</v>
      </c>
      <c r="U266" s="526">
        <f t="shared" si="46"/>
        <v>203</v>
      </c>
      <c r="V266" s="526">
        <f t="shared" si="46"/>
        <v>204</v>
      </c>
      <c r="W266" s="526">
        <f t="shared" si="46"/>
        <v>205</v>
      </c>
      <c r="X266" s="526">
        <f t="shared" si="46"/>
        <v>206</v>
      </c>
      <c r="Y266" s="526">
        <f t="shared" si="46"/>
        <v>207</v>
      </c>
    </row>
    <row r="267" spans="2:25" s="526" customFormat="1" ht="15.75">
      <c r="B267" s="530" t="s">
        <v>38</v>
      </c>
      <c r="C267" s="526">
        <f t="shared" si="47"/>
        <v>208</v>
      </c>
      <c r="D267" s="526">
        <f t="shared" si="45"/>
        <v>209</v>
      </c>
      <c r="E267" s="526">
        <f t="shared" si="45"/>
        <v>210</v>
      </c>
      <c r="F267" s="526">
        <f t="shared" si="45"/>
        <v>211</v>
      </c>
      <c r="G267" s="526">
        <f t="shared" si="45"/>
        <v>212</v>
      </c>
      <c r="H267" s="526">
        <f t="shared" si="45"/>
        <v>213</v>
      </c>
      <c r="I267" s="526">
        <f t="shared" si="45"/>
        <v>214</v>
      </c>
      <c r="J267" s="526">
        <f t="shared" si="45"/>
        <v>215</v>
      </c>
      <c r="K267" s="526">
        <f t="shared" si="45"/>
        <v>216</v>
      </c>
      <c r="L267" s="526">
        <f t="shared" si="45"/>
        <v>217</v>
      </c>
      <c r="M267" s="526">
        <f t="shared" si="45"/>
        <v>218</v>
      </c>
      <c r="N267" s="526">
        <f t="shared" si="45"/>
        <v>219</v>
      </c>
      <c r="O267" s="526">
        <f t="shared" si="45"/>
        <v>220</v>
      </c>
      <c r="P267" s="526">
        <f t="shared" si="45"/>
        <v>221</v>
      </c>
      <c r="Q267" s="526">
        <f t="shared" si="45"/>
        <v>222</v>
      </c>
      <c r="R267" s="526">
        <f t="shared" si="45"/>
        <v>223</v>
      </c>
      <c r="S267" s="526">
        <f t="shared" si="45"/>
        <v>224</v>
      </c>
      <c r="T267" s="526">
        <f t="shared" si="46"/>
        <v>225</v>
      </c>
      <c r="U267" s="526">
        <f t="shared" si="46"/>
        <v>226</v>
      </c>
      <c r="V267" s="526">
        <f t="shared" si="46"/>
        <v>227</v>
      </c>
      <c r="W267" s="526">
        <f t="shared" si="46"/>
        <v>228</v>
      </c>
      <c r="X267" s="526">
        <f t="shared" si="46"/>
        <v>229</v>
      </c>
      <c r="Y267" s="526">
        <f t="shared" si="46"/>
        <v>230</v>
      </c>
    </row>
    <row r="268" spans="2:25" s="526" customFormat="1" ht="15.75">
      <c r="B268" s="530" t="s">
        <v>39</v>
      </c>
      <c r="C268" s="526">
        <f t="shared" si="47"/>
        <v>231</v>
      </c>
      <c r="D268" s="526">
        <f t="shared" si="45"/>
        <v>232</v>
      </c>
      <c r="E268" s="526">
        <f t="shared" si="45"/>
        <v>233</v>
      </c>
      <c r="F268" s="526">
        <f t="shared" si="45"/>
        <v>234</v>
      </c>
      <c r="G268" s="526">
        <f t="shared" si="45"/>
        <v>235</v>
      </c>
      <c r="H268" s="526">
        <f t="shared" si="45"/>
        <v>236</v>
      </c>
      <c r="I268" s="526">
        <f t="shared" si="45"/>
        <v>237</v>
      </c>
      <c r="J268" s="526">
        <f t="shared" si="45"/>
        <v>238</v>
      </c>
      <c r="K268" s="526">
        <f t="shared" si="45"/>
        <v>239</v>
      </c>
      <c r="L268" s="526">
        <f t="shared" si="45"/>
        <v>240</v>
      </c>
      <c r="M268" s="526">
        <f t="shared" si="45"/>
        <v>241</v>
      </c>
      <c r="N268" s="526">
        <f t="shared" si="45"/>
        <v>242</v>
      </c>
      <c r="O268" s="526">
        <f t="shared" si="45"/>
        <v>243</v>
      </c>
      <c r="P268" s="526">
        <f t="shared" si="45"/>
        <v>244</v>
      </c>
      <c r="Q268" s="526">
        <f t="shared" si="45"/>
        <v>245</v>
      </c>
      <c r="R268" s="526">
        <f t="shared" si="45"/>
        <v>246</v>
      </c>
      <c r="S268" s="526">
        <f t="shared" si="45"/>
        <v>247</v>
      </c>
      <c r="T268" s="526">
        <f t="shared" si="46"/>
        <v>248</v>
      </c>
      <c r="U268" s="526">
        <f t="shared" si="46"/>
        <v>249</v>
      </c>
      <c r="V268" s="526">
        <f t="shared" si="46"/>
        <v>250</v>
      </c>
      <c r="W268" s="526">
        <f t="shared" si="46"/>
        <v>251</v>
      </c>
      <c r="X268" s="526">
        <f t="shared" si="46"/>
        <v>252</v>
      </c>
      <c r="Y268" s="526">
        <f t="shared" si="46"/>
        <v>253</v>
      </c>
    </row>
    <row r="269" spans="2:25" s="526" customFormat="1" ht="15.75">
      <c r="B269" s="530" t="s">
        <v>40</v>
      </c>
      <c r="C269" s="526">
        <f t="shared" si="47"/>
        <v>254</v>
      </c>
      <c r="D269" s="526">
        <f t="shared" si="45"/>
        <v>255</v>
      </c>
      <c r="E269" s="526">
        <f t="shared" si="45"/>
        <v>256</v>
      </c>
      <c r="F269" s="526">
        <f t="shared" si="45"/>
        <v>257</v>
      </c>
      <c r="G269" s="526">
        <f t="shared" si="45"/>
        <v>258</v>
      </c>
      <c r="H269" s="526">
        <f t="shared" si="45"/>
        <v>259</v>
      </c>
      <c r="I269" s="526">
        <f t="shared" si="45"/>
        <v>260</v>
      </c>
      <c r="J269" s="526">
        <f t="shared" si="45"/>
        <v>261</v>
      </c>
      <c r="K269" s="526">
        <f t="shared" si="45"/>
        <v>262</v>
      </c>
      <c r="L269" s="526">
        <f t="shared" si="45"/>
        <v>263</v>
      </c>
      <c r="M269" s="526">
        <f t="shared" si="45"/>
        <v>264</v>
      </c>
      <c r="N269" s="526">
        <f t="shared" si="45"/>
        <v>265</v>
      </c>
      <c r="O269" s="526">
        <f t="shared" si="45"/>
        <v>266</v>
      </c>
      <c r="P269" s="526">
        <f t="shared" si="45"/>
        <v>267</v>
      </c>
      <c r="Q269" s="526">
        <f t="shared" si="45"/>
        <v>268</v>
      </c>
      <c r="R269" s="526">
        <f t="shared" si="45"/>
        <v>269</v>
      </c>
      <c r="S269" s="526">
        <f t="shared" si="45"/>
        <v>270</v>
      </c>
      <c r="T269" s="526">
        <f t="shared" si="46"/>
        <v>271</v>
      </c>
      <c r="U269" s="526">
        <f t="shared" si="46"/>
        <v>272</v>
      </c>
      <c r="V269" s="526">
        <f t="shared" si="46"/>
        <v>273</v>
      </c>
      <c r="W269" s="526">
        <f t="shared" si="46"/>
        <v>274</v>
      </c>
      <c r="X269" s="526">
        <f t="shared" si="46"/>
        <v>275</v>
      </c>
      <c r="Y269" s="526">
        <f t="shared" si="46"/>
        <v>276</v>
      </c>
    </row>
    <row r="270" spans="2:25" s="526" customFormat="1" ht="15.75">
      <c r="B270" s="530" t="s">
        <v>41</v>
      </c>
      <c r="C270" s="526">
        <f t="shared" si="47"/>
        <v>277</v>
      </c>
      <c r="D270" s="526">
        <f t="shared" si="45"/>
        <v>278</v>
      </c>
      <c r="E270" s="526">
        <f t="shared" si="45"/>
        <v>279</v>
      </c>
      <c r="F270" s="526">
        <f t="shared" si="45"/>
        <v>280</v>
      </c>
      <c r="G270" s="526">
        <f t="shared" si="45"/>
        <v>281</v>
      </c>
      <c r="H270" s="526">
        <f t="shared" si="45"/>
        <v>282</v>
      </c>
      <c r="I270" s="526">
        <f t="shared" si="45"/>
        <v>283</v>
      </c>
      <c r="J270" s="526">
        <f t="shared" si="45"/>
        <v>284</v>
      </c>
      <c r="K270" s="526">
        <f t="shared" si="45"/>
        <v>285</v>
      </c>
      <c r="L270" s="526">
        <f t="shared" si="45"/>
        <v>286</v>
      </c>
      <c r="M270" s="526">
        <f t="shared" si="45"/>
        <v>287</v>
      </c>
      <c r="N270" s="526">
        <f t="shared" si="45"/>
        <v>288</v>
      </c>
      <c r="O270" s="526">
        <f t="shared" si="45"/>
        <v>289</v>
      </c>
      <c r="P270" s="526">
        <f t="shared" si="45"/>
        <v>290</v>
      </c>
      <c r="Q270" s="526">
        <f t="shared" si="45"/>
        <v>291</v>
      </c>
      <c r="R270" s="526">
        <f t="shared" si="45"/>
        <v>292</v>
      </c>
      <c r="S270" s="526">
        <f t="shared" si="45"/>
        <v>293</v>
      </c>
      <c r="T270" s="526">
        <f t="shared" si="46"/>
        <v>294</v>
      </c>
      <c r="U270" s="526">
        <f t="shared" si="46"/>
        <v>295</v>
      </c>
      <c r="V270" s="526">
        <f t="shared" si="46"/>
        <v>296</v>
      </c>
      <c r="W270" s="526">
        <f t="shared" si="46"/>
        <v>297</v>
      </c>
      <c r="X270" s="526">
        <f t="shared" si="46"/>
        <v>298</v>
      </c>
      <c r="Y270" s="526">
        <f t="shared" si="46"/>
        <v>299</v>
      </c>
    </row>
    <row r="271" spans="2:25" s="526" customFormat="1" ht="15.75">
      <c r="B271" s="530" t="s">
        <v>42</v>
      </c>
      <c r="C271" s="526">
        <f t="shared" si="47"/>
        <v>300</v>
      </c>
      <c r="D271" s="526">
        <f t="shared" si="45"/>
        <v>301</v>
      </c>
      <c r="E271" s="526">
        <f t="shared" si="45"/>
        <v>302</v>
      </c>
      <c r="F271" s="526">
        <f t="shared" si="45"/>
        <v>303</v>
      </c>
      <c r="G271" s="526">
        <f t="shared" si="45"/>
        <v>304</v>
      </c>
      <c r="H271" s="526">
        <f t="shared" si="45"/>
        <v>305</v>
      </c>
      <c r="I271" s="526">
        <f t="shared" si="45"/>
        <v>306</v>
      </c>
      <c r="J271" s="526">
        <f t="shared" si="45"/>
        <v>307</v>
      </c>
      <c r="K271" s="526">
        <f t="shared" si="45"/>
        <v>308</v>
      </c>
      <c r="L271" s="526">
        <f t="shared" si="45"/>
        <v>309</v>
      </c>
      <c r="M271" s="526">
        <f t="shared" si="45"/>
        <v>310</v>
      </c>
      <c r="N271" s="526">
        <f t="shared" si="45"/>
        <v>311</v>
      </c>
      <c r="O271" s="526">
        <f t="shared" si="45"/>
        <v>312</v>
      </c>
      <c r="P271" s="526">
        <f t="shared" si="45"/>
        <v>313</v>
      </c>
      <c r="Q271" s="526">
        <f t="shared" si="45"/>
        <v>314</v>
      </c>
      <c r="R271" s="526">
        <f t="shared" si="45"/>
        <v>315</v>
      </c>
      <c r="S271" s="526">
        <f t="shared" si="45"/>
        <v>316</v>
      </c>
      <c r="T271" s="526">
        <f t="shared" si="46"/>
        <v>317</v>
      </c>
      <c r="U271" s="526">
        <f t="shared" si="46"/>
        <v>318</v>
      </c>
      <c r="V271" s="526">
        <f t="shared" si="46"/>
        <v>319</v>
      </c>
      <c r="W271" s="526">
        <f t="shared" si="46"/>
        <v>320</v>
      </c>
      <c r="X271" s="526">
        <f t="shared" si="46"/>
        <v>321</v>
      </c>
      <c r="Y271" s="526">
        <f t="shared" si="46"/>
        <v>322</v>
      </c>
    </row>
    <row r="272" spans="2:25" s="526" customFormat="1" ht="15.75">
      <c r="B272" s="530" t="s">
        <v>43</v>
      </c>
      <c r="C272" s="526">
        <f t="shared" si="47"/>
        <v>323</v>
      </c>
      <c r="D272" s="526">
        <f t="shared" si="45"/>
        <v>324</v>
      </c>
      <c r="E272" s="526">
        <f t="shared" si="45"/>
        <v>325</v>
      </c>
      <c r="F272" s="526">
        <f t="shared" si="45"/>
        <v>326</v>
      </c>
      <c r="G272" s="526">
        <f t="shared" si="45"/>
        <v>327</v>
      </c>
      <c r="H272" s="526">
        <f t="shared" si="45"/>
        <v>328</v>
      </c>
      <c r="I272" s="526">
        <f t="shared" si="45"/>
        <v>329</v>
      </c>
      <c r="J272" s="526">
        <f t="shared" si="45"/>
        <v>330</v>
      </c>
      <c r="K272" s="526">
        <f t="shared" si="45"/>
        <v>331</v>
      </c>
      <c r="L272" s="526">
        <f t="shared" si="45"/>
        <v>332</v>
      </c>
      <c r="M272" s="526">
        <f t="shared" si="45"/>
        <v>333</v>
      </c>
      <c r="N272" s="526">
        <f t="shared" si="45"/>
        <v>334</v>
      </c>
      <c r="O272" s="526">
        <f t="shared" si="45"/>
        <v>335</v>
      </c>
      <c r="P272" s="526">
        <f t="shared" si="45"/>
        <v>336</v>
      </c>
      <c r="Q272" s="526">
        <f t="shared" si="45"/>
        <v>337</v>
      </c>
      <c r="R272" s="526">
        <f t="shared" si="45"/>
        <v>338</v>
      </c>
      <c r="S272" s="526">
        <f t="shared" si="45"/>
        <v>339</v>
      </c>
      <c r="T272" s="526">
        <f t="shared" si="46"/>
        <v>340</v>
      </c>
      <c r="U272" s="526">
        <f t="shared" si="46"/>
        <v>341</v>
      </c>
      <c r="V272" s="526">
        <f t="shared" si="46"/>
        <v>342</v>
      </c>
      <c r="W272" s="526">
        <f t="shared" si="46"/>
        <v>343</v>
      </c>
      <c r="X272" s="526">
        <f t="shared" si="46"/>
        <v>344</v>
      </c>
      <c r="Y272" s="526">
        <f t="shared" si="46"/>
        <v>345</v>
      </c>
    </row>
    <row r="273" spans="2:25" s="526" customFormat="1" ht="15.75">
      <c r="B273" s="530" t="s">
        <v>44</v>
      </c>
      <c r="C273" s="526">
        <f t="shared" si="47"/>
        <v>346</v>
      </c>
      <c r="D273" s="526">
        <f t="shared" si="45"/>
        <v>347</v>
      </c>
      <c r="E273" s="526">
        <f t="shared" si="45"/>
        <v>348</v>
      </c>
      <c r="F273" s="526">
        <f t="shared" si="45"/>
        <v>349</v>
      </c>
      <c r="G273" s="526">
        <f t="shared" si="45"/>
        <v>350</v>
      </c>
      <c r="H273" s="526">
        <f t="shared" si="45"/>
        <v>351</v>
      </c>
      <c r="I273" s="526">
        <f t="shared" si="45"/>
        <v>352</v>
      </c>
      <c r="J273" s="526">
        <f t="shared" si="45"/>
        <v>353</v>
      </c>
      <c r="K273" s="526">
        <f t="shared" si="45"/>
        <v>354</v>
      </c>
      <c r="L273" s="526">
        <f t="shared" si="45"/>
        <v>355</v>
      </c>
      <c r="M273" s="526">
        <f t="shared" si="45"/>
        <v>356</v>
      </c>
      <c r="N273" s="526">
        <f t="shared" si="45"/>
        <v>357</v>
      </c>
      <c r="O273" s="526">
        <f t="shared" si="45"/>
        <v>358</v>
      </c>
      <c r="P273" s="526">
        <f t="shared" si="45"/>
        <v>359</v>
      </c>
      <c r="Q273" s="526">
        <f t="shared" si="45"/>
        <v>360</v>
      </c>
      <c r="R273" s="526">
        <f t="shared" si="45"/>
        <v>361</v>
      </c>
      <c r="S273" s="526">
        <f t="shared" ref="D273:S286" si="48">R273+1</f>
        <v>362</v>
      </c>
      <c r="T273" s="526">
        <f t="shared" si="46"/>
        <v>363</v>
      </c>
      <c r="U273" s="526">
        <f t="shared" si="46"/>
        <v>364</v>
      </c>
      <c r="V273" s="526">
        <f t="shared" si="46"/>
        <v>365</v>
      </c>
      <c r="W273" s="526">
        <f t="shared" si="46"/>
        <v>366</v>
      </c>
      <c r="X273" s="526">
        <f t="shared" si="46"/>
        <v>367</v>
      </c>
      <c r="Y273" s="526">
        <f t="shared" si="46"/>
        <v>368</v>
      </c>
    </row>
    <row r="274" spans="2:25" s="526" customFormat="1" ht="15.75">
      <c r="B274" s="530" t="s">
        <v>45</v>
      </c>
      <c r="C274" s="526">
        <f t="shared" si="47"/>
        <v>369</v>
      </c>
      <c r="D274" s="526">
        <f t="shared" si="48"/>
        <v>370</v>
      </c>
      <c r="E274" s="526">
        <f t="shared" si="48"/>
        <v>371</v>
      </c>
      <c r="F274" s="526">
        <f t="shared" si="48"/>
        <v>372</v>
      </c>
      <c r="G274" s="526">
        <f t="shared" si="48"/>
        <v>373</v>
      </c>
      <c r="H274" s="526">
        <f t="shared" si="48"/>
        <v>374</v>
      </c>
      <c r="I274" s="526">
        <f t="shared" si="48"/>
        <v>375</v>
      </c>
      <c r="J274" s="526">
        <f t="shared" si="48"/>
        <v>376</v>
      </c>
      <c r="K274" s="526">
        <f t="shared" si="48"/>
        <v>377</v>
      </c>
      <c r="L274" s="526">
        <f t="shared" si="48"/>
        <v>378</v>
      </c>
      <c r="M274" s="526">
        <f t="shared" si="48"/>
        <v>379</v>
      </c>
      <c r="N274" s="526">
        <f t="shared" si="48"/>
        <v>380</v>
      </c>
      <c r="O274" s="526">
        <f t="shared" si="48"/>
        <v>381</v>
      </c>
      <c r="P274" s="526">
        <f t="shared" si="48"/>
        <v>382</v>
      </c>
      <c r="Q274" s="526">
        <f t="shared" si="48"/>
        <v>383</v>
      </c>
      <c r="R274" s="526">
        <f t="shared" si="48"/>
        <v>384</v>
      </c>
      <c r="S274" s="526">
        <f t="shared" si="48"/>
        <v>385</v>
      </c>
      <c r="T274" s="526">
        <f t="shared" ref="S274:Y286" si="49">S274+1</f>
        <v>386</v>
      </c>
      <c r="U274" s="526">
        <f t="shared" si="49"/>
        <v>387</v>
      </c>
      <c r="V274" s="526">
        <f t="shared" si="49"/>
        <v>388</v>
      </c>
      <c r="W274" s="526">
        <f t="shared" si="49"/>
        <v>389</v>
      </c>
      <c r="X274" s="526">
        <f t="shared" si="49"/>
        <v>390</v>
      </c>
      <c r="Y274" s="526">
        <f t="shared" si="49"/>
        <v>391</v>
      </c>
    </row>
    <row r="275" spans="2:25" s="526" customFormat="1" ht="15.75">
      <c r="B275" s="530" t="s">
        <v>295</v>
      </c>
      <c r="C275" s="526">
        <f t="shared" si="47"/>
        <v>392</v>
      </c>
      <c r="D275" s="526">
        <f t="shared" si="48"/>
        <v>393</v>
      </c>
      <c r="E275" s="526">
        <f t="shared" si="48"/>
        <v>394</v>
      </c>
      <c r="F275" s="526">
        <f t="shared" si="48"/>
        <v>395</v>
      </c>
      <c r="G275" s="526">
        <f t="shared" si="48"/>
        <v>396</v>
      </c>
      <c r="H275" s="526">
        <f t="shared" si="48"/>
        <v>397</v>
      </c>
      <c r="I275" s="526">
        <f t="shared" si="48"/>
        <v>398</v>
      </c>
      <c r="J275" s="526">
        <f t="shared" si="48"/>
        <v>399</v>
      </c>
      <c r="K275" s="526">
        <f t="shared" si="48"/>
        <v>400</v>
      </c>
      <c r="L275" s="526">
        <f t="shared" si="48"/>
        <v>401</v>
      </c>
      <c r="M275" s="526">
        <f t="shared" si="48"/>
        <v>402</v>
      </c>
      <c r="N275" s="526">
        <f t="shared" si="48"/>
        <v>403</v>
      </c>
      <c r="O275" s="526">
        <f t="shared" si="48"/>
        <v>404</v>
      </c>
      <c r="P275" s="526">
        <f t="shared" si="48"/>
        <v>405</v>
      </c>
      <c r="Q275" s="526">
        <f t="shared" si="48"/>
        <v>406</v>
      </c>
      <c r="R275" s="526">
        <f t="shared" si="48"/>
        <v>407</v>
      </c>
      <c r="S275" s="526">
        <f t="shared" si="48"/>
        <v>408</v>
      </c>
      <c r="T275" s="526">
        <f t="shared" si="49"/>
        <v>409</v>
      </c>
      <c r="U275" s="526">
        <f t="shared" si="49"/>
        <v>410</v>
      </c>
      <c r="V275" s="526">
        <f t="shared" si="49"/>
        <v>411</v>
      </c>
      <c r="W275" s="526">
        <f t="shared" si="49"/>
        <v>412</v>
      </c>
      <c r="X275" s="526">
        <f t="shared" si="49"/>
        <v>413</v>
      </c>
      <c r="Y275" s="526">
        <f t="shared" si="49"/>
        <v>414</v>
      </c>
    </row>
    <row r="276" spans="2:25" s="526" customFormat="1" ht="15.75">
      <c r="B276" s="530" t="s">
        <v>47</v>
      </c>
      <c r="C276" s="526">
        <f t="shared" si="47"/>
        <v>415</v>
      </c>
      <c r="D276" s="526">
        <f t="shared" si="48"/>
        <v>416</v>
      </c>
      <c r="E276" s="526">
        <f t="shared" si="48"/>
        <v>417</v>
      </c>
      <c r="F276" s="526">
        <f t="shared" si="48"/>
        <v>418</v>
      </c>
      <c r="G276" s="526">
        <f t="shared" si="48"/>
        <v>419</v>
      </c>
      <c r="H276" s="526">
        <f t="shared" si="48"/>
        <v>420</v>
      </c>
      <c r="I276" s="526">
        <f t="shared" si="48"/>
        <v>421</v>
      </c>
      <c r="J276" s="526">
        <f t="shared" si="48"/>
        <v>422</v>
      </c>
      <c r="K276" s="526">
        <f t="shared" si="48"/>
        <v>423</v>
      </c>
      <c r="L276" s="526">
        <f t="shared" si="48"/>
        <v>424</v>
      </c>
      <c r="M276" s="526">
        <f t="shared" si="48"/>
        <v>425</v>
      </c>
      <c r="N276" s="526">
        <f t="shared" si="48"/>
        <v>426</v>
      </c>
      <c r="O276" s="526">
        <f t="shared" si="48"/>
        <v>427</v>
      </c>
      <c r="P276" s="526">
        <f t="shared" si="48"/>
        <v>428</v>
      </c>
      <c r="Q276" s="526">
        <f t="shared" si="48"/>
        <v>429</v>
      </c>
      <c r="R276" s="526">
        <f t="shared" si="48"/>
        <v>430</v>
      </c>
      <c r="S276" s="526">
        <f t="shared" si="48"/>
        <v>431</v>
      </c>
      <c r="T276" s="526">
        <f t="shared" si="49"/>
        <v>432</v>
      </c>
      <c r="U276" s="526">
        <f t="shared" si="49"/>
        <v>433</v>
      </c>
      <c r="V276" s="526">
        <f t="shared" si="49"/>
        <v>434</v>
      </c>
      <c r="W276" s="526">
        <f t="shared" si="49"/>
        <v>435</v>
      </c>
      <c r="X276" s="526">
        <f t="shared" si="49"/>
        <v>436</v>
      </c>
      <c r="Y276" s="526">
        <f t="shared" si="49"/>
        <v>437</v>
      </c>
    </row>
    <row r="277" spans="2:25" s="526" customFormat="1" ht="15.75">
      <c r="B277" s="530" t="s">
        <v>48</v>
      </c>
      <c r="C277" s="526">
        <f t="shared" si="47"/>
        <v>438</v>
      </c>
      <c r="D277" s="526">
        <f t="shared" si="48"/>
        <v>439</v>
      </c>
      <c r="E277" s="526">
        <f t="shared" si="48"/>
        <v>440</v>
      </c>
      <c r="F277" s="526">
        <f t="shared" si="48"/>
        <v>441</v>
      </c>
      <c r="G277" s="526">
        <f t="shared" si="48"/>
        <v>442</v>
      </c>
      <c r="H277" s="526">
        <f t="shared" si="48"/>
        <v>443</v>
      </c>
      <c r="I277" s="526">
        <f t="shared" si="48"/>
        <v>444</v>
      </c>
      <c r="J277" s="526">
        <f t="shared" si="48"/>
        <v>445</v>
      </c>
      <c r="K277" s="526">
        <f t="shared" si="48"/>
        <v>446</v>
      </c>
      <c r="L277" s="526">
        <f t="shared" si="48"/>
        <v>447</v>
      </c>
      <c r="M277" s="526">
        <f t="shared" si="48"/>
        <v>448</v>
      </c>
      <c r="N277" s="526">
        <f t="shared" si="48"/>
        <v>449</v>
      </c>
      <c r="O277" s="526">
        <f t="shared" si="48"/>
        <v>450</v>
      </c>
      <c r="P277" s="526">
        <f t="shared" si="48"/>
        <v>451</v>
      </c>
      <c r="Q277" s="526">
        <f t="shared" si="48"/>
        <v>452</v>
      </c>
      <c r="R277" s="526">
        <f t="shared" si="48"/>
        <v>453</v>
      </c>
      <c r="S277" s="526">
        <f t="shared" si="48"/>
        <v>454</v>
      </c>
      <c r="T277" s="526">
        <f t="shared" si="49"/>
        <v>455</v>
      </c>
      <c r="U277" s="526">
        <f t="shared" si="49"/>
        <v>456</v>
      </c>
      <c r="V277" s="526">
        <f t="shared" si="49"/>
        <v>457</v>
      </c>
      <c r="W277" s="526">
        <f t="shared" si="49"/>
        <v>458</v>
      </c>
      <c r="X277" s="526">
        <f t="shared" si="49"/>
        <v>459</v>
      </c>
      <c r="Y277" s="526">
        <f t="shared" si="49"/>
        <v>460</v>
      </c>
    </row>
    <row r="278" spans="2:25" s="526" customFormat="1" ht="15.75">
      <c r="B278" s="530" t="s">
        <v>176</v>
      </c>
      <c r="C278" s="526">
        <f t="shared" si="47"/>
        <v>461</v>
      </c>
      <c r="D278" s="526">
        <f t="shared" si="48"/>
        <v>462</v>
      </c>
      <c r="E278" s="526">
        <f t="shared" si="48"/>
        <v>463</v>
      </c>
      <c r="F278" s="526">
        <f t="shared" si="48"/>
        <v>464</v>
      </c>
      <c r="G278" s="526">
        <f t="shared" si="48"/>
        <v>465</v>
      </c>
      <c r="H278" s="526">
        <f t="shared" si="48"/>
        <v>466</v>
      </c>
      <c r="I278" s="526">
        <f t="shared" si="48"/>
        <v>467</v>
      </c>
      <c r="J278" s="526">
        <f t="shared" si="48"/>
        <v>468</v>
      </c>
      <c r="K278" s="526">
        <f t="shared" si="48"/>
        <v>469</v>
      </c>
      <c r="L278" s="526">
        <f t="shared" si="48"/>
        <v>470</v>
      </c>
      <c r="M278" s="526">
        <f t="shared" si="48"/>
        <v>471</v>
      </c>
      <c r="N278" s="526">
        <f t="shared" si="48"/>
        <v>472</v>
      </c>
      <c r="O278" s="526">
        <f t="shared" si="48"/>
        <v>473</v>
      </c>
      <c r="P278" s="526">
        <f t="shared" si="48"/>
        <v>474</v>
      </c>
      <c r="Q278" s="526">
        <f t="shared" si="48"/>
        <v>475</v>
      </c>
      <c r="R278" s="526">
        <f t="shared" si="48"/>
        <v>476</v>
      </c>
      <c r="S278" s="526">
        <f t="shared" si="48"/>
        <v>477</v>
      </c>
      <c r="T278" s="526">
        <f t="shared" si="49"/>
        <v>478</v>
      </c>
      <c r="U278" s="526">
        <f t="shared" si="49"/>
        <v>479</v>
      </c>
      <c r="V278" s="526">
        <f t="shared" si="49"/>
        <v>480</v>
      </c>
      <c r="W278" s="526">
        <f t="shared" si="49"/>
        <v>481</v>
      </c>
      <c r="X278" s="526">
        <f t="shared" si="49"/>
        <v>482</v>
      </c>
      <c r="Y278" s="526">
        <f t="shared" si="49"/>
        <v>483</v>
      </c>
    </row>
    <row r="279" spans="2:25" s="526" customFormat="1" ht="15.75">
      <c r="B279" s="530" t="s">
        <v>124</v>
      </c>
      <c r="C279" s="526">
        <f t="shared" si="47"/>
        <v>484</v>
      </c>
      <c r="D279" s="526">
        <f t="shared" si="48"/>
        <v>485</v>
      </c>
      <c r="E279" s="526">
        <f t="shared" si="48"/>
        <v>486</v>
      </c>
      <c r="F279" s="526">
        <f t="shared" si="48"/>
        <v>487</v>
      </c>
      <c r="G279" s="526">
        <f t="shared" si="48"/>
        <v>488</v>
      </c>
      <c r="H279" s="526">
        <f t="shared" si="48"/>
        <v>489</v>
      </c>
      <c r="I279" s="526">
        <f t="shared" si="48"/>
        <v>490</v>
      </c>
      <c r="J279" s="526">
        <f t="shared" si="48"/>
        <v>491</v>
      </c>
      <c r="K279" s="526">
        <f t="shared" si="48"/>
        <v>492</v>
      </c>
      <c r="L279" s="526">
        <f t="shared" si="48"/>
        <v>493</v>
      </c>
      <c r="M279" s="526">
        <f t="shared" si="48"/>
        <v>494</v>
      </c>
      <c r="N279" s="526">
        <f t="shared" si="48"/>
        <v>495</v>
      </c>
      <c r="O279" s="526">
        <f t="shared" si="48"/>
        <v>496</v>
      </c>
      <c r="P279" s="526">
        <f t="shared" si="48"/>
        <v>497</v>
      </c>
      <c r="Q279" s="526">
        <f t="shared" si="48"/>
        <v>498</v>
      </c>
      <c r="R279" s="526">
        <f t="shared" si="48"/>
        <v>499</v>
      </c>
      <c r="S279" s="526">
        <f t="shared" si="48"/>
        <v>500</v>
      </c>
      <c r="T279" s="526">
        <f t="shared" si="49"/>
        <v>501</v>
      </c>
      <c r="U279" s="526">
        <f t="shared" si="49"/>
        <v>502</v>
      </c>
      <c r="V279" s="526">
        <f t="shared" si="49"/>
        <v>503</v>
      </c>
      <c r="W279" s="526">
        <f t="shared" si="49"/>
        <v>504</v>
      </c>
      <c r="X279" s="526">
        <f t="shared" si="49"/>
        <v>505</v>
      </c>
      <c r="Y279" s="526">
        <f t="shared" si="49"/>
        <v>506</v>
      </c>
    </row>
    <row r="280" spans="2:25" s="526" customFormat="1" ht="15.75">
      <c r="B280" s="530" t="s">
        <v>125</v>
      </c>
      <c r="C280" s="526">
        <f t="shared" si="47"/>
        <v>507</v>
      </c>
      <c r="D280" s="526">
        <f t="shared" si="48"/>
        <v>508</v>
      </c>
      <c r="E280" s="526">
        <f t="shared" si="48"/>
        <v>509</v>
      </c>
      <c r="F280" s="526">
        <f t="shared" si="48"/>
        <v>510</v>
      </c>
      <c r="G280" s="526">
        <f t="shared" si="48"/>
        <v>511</v>
      </c>
      <c r="H280" s="526">
        <f t="shared" si="48"/>
        <v>512</v>
      </c>
      <c r="I280" s="526">
        <f t="shared" si="48"/>
        <v>513</v>
      </c>
      <c r="J280" s="526">
        <f t="shared" si="48"/>
        <v>514</v>
      </c>
      <c r="K280" s="526">
        <f t="shared" si="48"/>
        <v>515</v>
      </c>
      <c r="L280" s="526">
        <f t="shared" si="48"/>
        <v>516</v>
      </c>
      <c r="M280" s="526">
        <f t="shared" si="48"/>
        <v>517</v>
      </c>
      <c r="N280" s="526">
        <f t="shared" si="48"/>
        <v>518</v>
      </c>
      <c r="O280" s="526">
        <f t="shared" si="48"/>
        <v>519</v>
      </c>
      <c r="P280" s="526">
        <f t="shared" si="48"/>
        <v>520</v>
      </c>
      <c r="Q280" s="526">
        <f t="shared" si="48"/>
        <v>521</v>
      </c>
      <c r="R280" s="526">
        <f t="shared" si="48"/>
        <v>522</v>
      </c>
      <c r="S280" s="526">
        <f t="shared" si="48"/>
        <v>523</v>
      </c>
      <c r="T280" s="526">
        <f t="shared" si="49"/>
        <v>524</v>
      </c>
      <c r="U280" s="526">
        <f t="shared" si="49"/>
        <v>525</v>
      </c>
      <c r="V280" s="526">
        <f t="shared" si="49"/>
        <v>526</v>
      </c>
      <c r="W280" s="526">
        <f t="shared" si="49"/>
        <v>527</v>
      </c>
      <c r="X280" s="526">
        <f t="shared" si="49"/>
        <v>528</v>
      </c>
      <c r="Y280" s="526">
        <f t="shared" si="49"/>
        <v>529</v>
      </c>
    </row>
    <row r="281" spans="2:25" s="526" customFormat="1" ht="15.75">
      <c r="B281" s="530" t="s">
        <v>52</v>
      </c>
      <c r="C281" s="526">
        <f t="shared" si="47"/>
        <v>530</v>
      </c>
      <c r="D281" s="526">
        <f t="shared" si="48"/>
        <v>531</v>
      </c>
      <c r="E281" s="526">
        <f t="shared" si="48"/>
        <v>532</v>
      </c>
      <c r="F281" s="526">
        <f t="shared" si="48"/>
        <v>533</v>
      </c>
      <c r="G281" s="526">
        <f t="shared" si="48"/>
        <v>534</v>
      </c>
      <c r="H281" s="526">
        <f t="shared" si="48"/>
        <v>535</v>
      </c>
      <c r="I281" s="526">
        <f t="shared" si="48"/>
        <v>536</v>
      </c>
      <c r="J281" s="526">
        <f t="shared" si="48"/>
        <v>537</v>
      </c>
      <c r="K281" s="526">
        <f t="shared" si="48"/>
        <v>538</v>
      </c>
      <c r="L281" s="526">
        <f t="shared" si="48"/>
        <v>539</v>
      </c>
      <c r="M281" s="526">
        <f t="shared" si="48"/>
        <v>540</v>
      </c>
      <c r="N281" s="526">
        <f t="shared" si="48"/>
        <v>541</v>
      </c>
      <c r="O281" s="526">
        <f t="shared" si="48"/>
        <v>542</v>
      </c>
      <c r="P281" s="526">
        <f t="shared" si="48"/>
        <v>543</v>
      </c>
      <c r="Q281" s="526">
        <f t="shared" si="48"/>
        <v>544</v>
      </c>
      <c r="R281" s="526">
        <f t="shared" si="48"/>
        <v>545</v>
      </c>
      <c r="S281" s="526">
        <f t="shared" si="48"/>
        <v>546</v>
      </c>
      <c r="T281" s="526">
        <f t="shared" si="49"/>
        <v>547</v>
      </c>
      <c r="U281" s="526">
        <f t="shared" si="49"/>
        <v>548</v>
      </c>
      <c r="V281" s="526">
        <f t="shared" si="49"/>
        <v>549</v>
      </c>
      <c r="W281" s="526">
        <f t="shared" si="49"/>
        <v>550</v>
      </c>
      <c r="X281" s="526">
        <f t="shared" si="49"/>
        <v>551</v>
      </c>
      <c r="Y281" s="526">
        <f t="shared" si="49"/>
        <v>552</v>
      </c>
    </row>
    <row r="282" spans="2:25" s="526" customFormat="1" ht="15.75">
      <c r="B282" s="530" t="s">
        <v>53</v>
      </c>
      <c r="C282" s="526">
        <f t="shared" si="47"/>
        <v>553</v>
      </c>
      <c r="D282" s="526">
        <f t="shared" si="48"/>
        <v>554</v>
      </c>
      <c r="E282" s="526">
        <f t="shared" si="48"/>
        <v>555</v>
      </c>
      <c r="F282" s="526">
        <f t="shared" si="48"/>
        <v>556</v>
      </c>
      <c r="G282" s="526">
        <f t="shared" si="48"/>
        <v>557</v>
      </c>
      <c r="H282" s="526">
        <f t="shared" si="48"/>
        <v>558</v>
      </c>
      <c r="I282" s="526">
        <f t="shared" si="48"/>
        <v>559</v>
      </c>
      <c r="J282" s="526">
        <f t="shared" si="48"/>
        <v>560</v>
      </c>
      <c r="K282" s="526">
        <f t="shared" si="48"/>
        <v>561</v>
      </c>
      <c r="L282" s="526">
        <f t="shared" si="48"/>
        <v>562</v>
      </c>
      <c r="M282" s="526">
        <f t="shared" si="48"/>
        <v>563</v>
      </c>
      <c r="N282" s="526">
        <f t="shared" si="48"/>
        <v>564</v>
      </c>
      <c r="O282" s="526">
        <f t="shared" si="48"/>
        <v>565</v>
      </c>
      <c r="P282" s="526">
        <f t="shared" si="48"/>
        <v>566</v>
      </c>
      <c r="Q282" s="526">
        <f t="shared" si="48"/>
        <v>567</v>
      </c>
      <c r="R282" s="526">
        <f t="shared" si="48"/>
        <v>568</v>
      </c>
      <c r="S282" s="526">
        <f t="shared" si="48"/>
        <v>569</v>
      </c>
      <c r="T282" s="526">
        <f t="shared" si="49"/>
        <v>570</v>
      </c>
      <c r="U282" s="526">
        <f t="shared" si="49"/>
        <v>571</v>
      </c>
      <c r="V282" s="526">
        <f t="shared" si="49"/>
        <v>572</v>
      </c>
      <c r="W282" s="526">
        <f t="shared" si="49"/>
        <v>573</v>
      </c>
      <c r="X282" s="526">
        <f t="shared" si="49"/>
        <v>574</v>
      </c>
      <c r="Y282" s="526">
        <f t="shared" si="49"/>
        <v>575</v>
      </c>
    </row>
    <row r="283" spans="2:25" s="526" customFormat="1" ht="15.75">
      <c r="B283" s="530" t="s">
        <v>54</v>
      </c>
      <c r="C283" s="526">
        <f t="shared" si="47"/>
        <v>576</v>
      </c>
      <c r="D283" s="526">
        <f t="shared" si="48"/>
        <v>577</v>
      </c>
      <c r="E283" s="526">
        <f t="shared" si="48"/>
        <v>578</v>
      </c>
      <c r="F283" s="526">
        <f t="shared" si="48"/>
        <v>579</v>
      </c>
      <c r="G283" s="526">
        <f t="shared" si="48"/>
        <v>580</v>
      </c>
      <c r="H283" s="526">
        <f t="shared" si="48"/>
        <v>581</v>
      </c>
      <c r="I283" s="526">
        <f t="shared" si="48"/>
        <v>582</v>
      </c>
      <c r="J283" s="526">
        <f t="shared" si="48"/>
        <v>583</v>
      </c>
      <c r="K283" s="526">
        <f t="shared" si="48"/>
        <v>584</v>
      </c>
      <c r="L283" s="526">
        <f t="shared" si="48"/>
        <v>585</v>
      </c>
      <c r="M283" s="526">
        <f t="shared" si="48"/>
        <v>586</v>
      </c>
      <c r="N283" s="526">
        <f t="shared" si="48"/>
        <v>587</v>
      </c>
      <c r="O283" s="526">
        <f t="shared" si="48"/>
        <v>588</v>
      </c>
      <c r="P283" s="526">
        <f t="shared" si="48"/>
        <v>589</v>
      </c>
      <c r="Q283" s="526">
        <f t="shared" si="48"/>
        <v>590</v>
      </c>
      <c r="R283" s="526">
        <f t="shared" si="48"/>
        <v>591</v>
      </c>
      <c r="S283" s="526">
        <f t="shared" si="48"/>
        <v>592</v>
      </c>
      <c r="T283" s="526">
        <f t="shared" si="49"/>
        <v>593</v>
      </c>
      <c r="U283" s="526">
        <f t="shared" si="49"/>
        <v>594</v>
      </c>
      <c r="V283" s="526">
        <f t="shared" si="49"/>
        <v>595</v>
      </c>
      <c r="W283" s="526">
        <f t="shared" si="49"/>
        <v>596</v>
      </c>
      <c r="X283" s="526">
        <f t="shared" si="49"/>
        <v>597</v>
      </c>
      <c r="Y283" s="526">
        <f t="shared" si="49"/>
        <v>598</v>
      </c>
    </row>
    <row r="284" spans="2:25" s="526" customFormat="1" ht="15.75">
      <c r="B284" s="530" t="s">
        <v>55</v>
      </c>
      <c r="C284" s="526">
        <f t="shared" si="47"/>
        <v>599</v>
      </c>
      <c r="D284" s="526">
        <f t="shared" si="48"/>
        <v>600</v>
      </c>
      <c r="E284" s="526">
        <f t="shared" si="48"/>
        <v>601</v>
      </c>
      <c r="F284" s="526">
        <f t="shared" si="48"/>
        <v>602</v>
      </c>
      <c r="G284" s="526">
        <f t="shared" si="48"/>
        <v>603</v>
      </c>
      <c r="H284" s="526">
        <f t="shared" si="48"/>
        <v>604</v>
      </c>
      <c r="I284" s="526">
        <f t="shared" si="48"/>
        <v>605</v>
      </c>
      <c r="J284" s="526">
        <f t="shared" si="48"/>
        <v>606</v>
      </c>
      <c r="K284" s="526">
        <f t="shared" si="48"/>
        <v>607</v>
      </c>
      <c r="L284" s="526">
        <f t="shared" si="48"/>
        <v>608</v>
      </c>
      <c r="M284" s="526">
        <f t="shared" si="48"/>
        <v>609</v>
      </c>
      <c r="N284" s="526">
        <f t="shared" si="48"/>
        <v>610</v>
      </c>
      <c r="O284" s="526">
        <f t="shared" si="48"/>
        <v>611</v>
      </c>
      <c r="P284" s="526">
        <f t="shared" si="48"/>
        <v>612</v>
      </c>
      <c r="Q284" s="526">
        <f t="shared" si="48"/>
        <v>613</v>
      </c>
      <c r="R284" s="526">
        <f t="shared" si="48"/>
        <v>614</v>
      </c>
      <c r="S284" s="526">
        <f t="shared" si="48"/>
        <v>615</v>
      </c>
      <c r="T284" s="526">
        <f t="shared" si="49"/>
        <v>616</v>
      </c>
      <c r="U284" s="526">
        <f t="shared" si="49"/>
        <v>617</v>
      </c>
      <c r="V284" s="526">
        <f t="shared" si="49"/>
        <v>618</v>
      </c>
      <c r="W284" s="526">
        <f t="shared" si="49"/>
        <v>619</v>
      </c>
      <c r="X284" s="526">
        <f t="shared" si="49"/>
        <v>620</v>
      </c>
      <c r="Y284" s="526">
        <f t="shared" si="49"/>
        <v>621</v>
      </c>
    </row>
    <row r="285" spans="2:25" s="526" customFormat="1" ht="15.75">
      <c r="B285" s="530" t="s">
        <v>214</v>
      </c>
      <c r="C285" s="526">
        <f t="shared" si="47"/>
        <v>622</v>
      </c>
      <c r="D285" s="526">
        <f t="shared" si="48"/>
        <v>623</v>
      </c>
      <c r="E285" s="526">
        <f t="shared" si="48"/>
        <v>624</v>
      </c>
      <c r="F285" s="526">
        <f t="shared" si="48"/>
        <v>625</v>
      </c>
      <c r="G285" s="526">
        <f t="shared" si="48"/>
        <v>626</v>
      </c>
      <c r="H285" s="526">
        <f t="shared" si="48"/>
        <v>627</v>
      </c>
      <c r="I285" s="526">
        <f t="shared" si="48"/>
        <v>628</v>
      </c>
      <c r="J285" s="526">
        <f t="shared" si="48"/>
        <v>629</v>
      </c>
      <c r="K285" s="526">
        <f t="shared" si="48"/>
        <v>630</v>
      </c>
      <c r="L285" s="526">
        <f t="shared" si="48"/>
        <v>631</v>
      </c>
      <c r="M285" s="526">
        <f t="shared" si="48"/>
        <v>632</v>
      </c>
      <c r="N285" s="526">
        <f t="shared" si="48"/>
        <v>633</v>
      </c>
      <c r="O285" s="526">
        <f t="shared" si="48"/>
        <v>634</v>
      </c>
      <c r="P285" s="526">
        <f t="shared" si="48"/>
        <v>635</v>
      </c>
      <c r="Q285" s="526">
        <f t="shared" si="48"/>
        <v>636</v>
      </c>
      <c r="R285" s="526">
        <f t="shared" si="48"/>
        <v>637</v>
      </c>
      <c r="S285" s="526">
        <f t="shared" si="48"/>
        <v>638</v>
      </c>
      <c r="T285" s="526">
        <f t="shared" si="49"/>
        <v>639</v>
      </c>
      <c r="U285" s="526">
        <f t="shared" si="49"/>
        <v>640</v>
      </c>
      <c r="V285" s="526">
        <f t="shared" si="49"/>
        <v>641</v>
      </c>
      <c r="W285" s="526">
        <f t="shared" si="49"/>
        <v>642</v>
      </c>
      <c r="X285" s="526">
        <f t="shared" si="49"/>
        <v>643</v>
      </c>
      <c r="Y285" s="526">
        <f t="shared" si="49"/>
        <v>644</v>
      </c>
    </row>
    <row r="286" spans="2:25" s="526" customFormat="1" ht="15.75">
      <c r="B286" s="530" t="s">
        <v>57</v>
      </c>
      <c r="C286" s="526">
        <f t="shared" si="47"/>
        <v>645</v>
      </c>
      <c r="D286" s="526">
        <f t="shared" si="48"/>
        <v>646</v>
      </c>
      <c r="E286" s="526">
        <f t="shared" si="48"/>
        <v>647</v>
      </c>
      <c r="F286" s="526">
        <f t="shared" si="48"/>
        <v>648</v>
      </c>
      <c r="G286" s="526">
        <f t="shared" si="48"/>
        <v>649</v>
      </c>
      <c r="H286" s="526">
        <f t="shared" si="48"/>
        <v>650</v>
      </c>
      <c r="I286" s="526">
        <f t="shared" si="48"/>
        <v>651</v>
      </c>
      <c r="J286" s="526">
        <f t="shared" si="48"/>
        <v>652</v>
      </c>
      <c r="K286" s="526">
        <f t="shared" si="48"/>
        <v>653</v>
      </c>
      <c r="L286" s="526">
        <f t="shared" si="48"/>
        <v>654</v>
      </c>
      <c r="M286" s="526">
        <f t="shared" si="48"/>
        <v>655</v>
      </c>
      <c r="N286" s="526">
        <f t="shared" si="48"/>
        <v>656</v>
      </c>
      <c r="O286" s="526">
        <f t="shared" si="48"/>
        <v>657</v>
      </c>
      <c r="P286" s="526">
        <f t="shared" si="48"/>
        <v>658</v>
      </c>
      <c r="Q286" s="526">
        <f t="shared" si="48"/>
        <v>659</v>
      </c>
      <c r="R286" s="526">
        <f t="shared" si="48"/>
        <v>660</v>
      </c>
      <c r="S286" s="526">
        <f t="shared" si="49"/>
        <v>661</v>
      </c>
      <c r="T286" s="526">
        <f t="shared" si="49"/>
        <v>662</v>
      </c>
      <c r="U286" s="526">
        <f t="shared" si="49"/>
        <v>663</v>
      </c>
      <c r="V286" s="526">
        <f t="shared" si="49"/>
        <v>664</v>
      </c>
      <c r="W286" s="526">
        <f t="shared" si="49"/>
        <v>665</v>
      </c>
      <c r="X286" s="526">
        <f t="shared" si="49"/>
        <v>666</v>
      </c>
      <c r="Y286" s="526">
        <f t="shared" si="49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0" width="8.5703125" style="102" customWidth="1"/>
    <col min="21" max="21" width="24.85546875" style="102" customWidth="1"/>
    <col min="2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41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Nelson</v>
      </c>
      <c r="C6" s="108"/>
      <c r="D6" s="109">
        <f>VLOOKUP($B$6,$B$258:$J$286,9,FALSE)</f>
        <v>284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8.8989999999999991</v>
      </c>
      <c r="E7" s="407">
        <f>D7/('Industry calcs'!D4/1000)*100</f>
        <v>0.43170846459832646</v>
      </c>
    </row>
    <row r="8" spans="2:5">
      <c r="B8" s="111" t="s">
        <v>250</v>
      </c>
      <c r="C8" s="114"/>
      <c r="D8" s="406">
        <f>VLOOKUP(D6,'AV (2011)'!A8:F214,'AV (2011)'!F214,FALSE)/1000</f>
        <v>28.604892</v>
      </c>
      <c r="E8" s="407">
        <f>D8/('Industry calcs'!D5/1000)*100</f>
        <v>0.31871245427869338</v>
      </c>
    </row>
    <row r="9" spans="2:5">
      <c r="B9" s="111" t="s">
        <v>230</v>
      </c>
      <c r="C9" s="114"/>
      <c r="D9" s="406">
        <f>VLOOKUP($D$6,'FS (2011)'!$A$13:$AH$244,'FS (2011)'!S245,FALSE)/1000</f>
        <v>1.7490000000000001</v>
      </c>
      <c r="E9" s="407">
        <f>D9/('Industry calcs'!D6/1000)*100</f>
        <v>0.38523596106521346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1.8963050000000001</v>
      </c>
      <c r="E10" s="407">
        <f>D10/('Industry calcs'!D7/1000)*100</f>
        <v>0.32406157134434194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145.751</v>
      </c>
      <c r="E11" s="407">
        <f>D11/'Industry calcs'!D8*100</f>
        <v>0.47098877521597549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32.75</v>
      </c>
      <c r="E12" s="407">
        <f>D12/'Industry calcs'!D9*100</f>
        <v>0.52372785424764157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254.721</v>
      </c>
      <c r="E13" s="407">
        <f>D13/'Industry calcs'!D10*100</f>
        <v>0.17030242490226477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9048</v>
      </c>
      <c r="E14" s="407">
        <f>D14/'Industry calcs'!D11*100</f>
        <v>0.45044618965238276</v>
      </c>
    </row>
    <row r="15" spans="2:5">
      <c r="B15" s="115" t="s">
        <v>195</v>
      </c>
      <c r="C15" s="116" t="s">
        <v>239</v>
      </c>
      <c r="D15" s="408">
        <f>D14/D13</f>
        <v>35.521217331904317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Nelson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23.258182924163364</v>
      </c>
      <c r="D20" s="409">
        <f>VLOOKUP($B$2,'MED price allocation'!$B$16:$F$44,3,FALSE)</f>
        <v>24.859770059715824</v>
      </c>
      <c r="E20" s="409">
        <f>VLOOKUP($B$2,'MED price allocation'!$B$16:$F$44,4,FALSE)</f>
        <v>25.114292258360049</v>
      </c>
      <c r="F20" s="503">
        <f>VLOOKUP($B$2,'MED price allocation'!$B$16:$F$44,5,FALSE)</f>
        <v>25.3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6.0265718114681643</v>
      </c>
      <c r="D21" s="410">
        <f>VLOOKUP($B$2,'MED price allocation'!$B$47:$F$75,3,FALSE)</f>
        <v>6.1559008854416888</v>
      </c>
      <c r="E21" s="410">
        <f>VLOOKUP($B$2,'MED price allocation'!$B$47:$F$75,4,FALSE)</f>
        <v>5.705478160114251</v>
      </c>
      <c r="F21" s="504">
        <f>VLOOKUP($B$2,'MED price allocation'!$B$47:$F$75,5,FALSE)</f>
        <v>6.31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7.5035670496991811</v>
      </c>
      <c r="D22" s="409">
        <f>VLOOKUP($B$2,'MED price allocation'!$B$78:$F$106,3,FALSE)</f>
        <v>7.9206616789072664</v>
      </c>
      <c r="E22" s="409">
        <f>VLOOKUP($B$2,'MED price allocation'!$B$78:$F$106,4,FALSE)</f>
        <v>7.386556546576486</v>
      </c>
      <c r="F22" s="503">
        <f>VLOOKUP($B$2,'MED price allocation'!$B$78:$F$106,5,FALSE)</f>
        <v>7.96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1.4769952382310172</v>
      </c>
      <c r="D23" s="411">
        <f>VLOOKUP($B$2,'MED price allocation'!$B$109:$F$137,3,FALSE)</f>
        <v>1.7647607934655769</v>
      </c>
      <c r="E23" s="411">
        <f>VLOOKUP($B$2,'MED price allocation'!$B$109:$F$137,4,FALSE)</f>
        <v>1.6810783864622345</v>
      </c>
      <c r="F23" s="505">
        <f>VLOOKUP($B$2,'MED price allocation'!$B$109:$F$137,5,FALSE)</f>
        <v>1.6500000000000001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Nelson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1860.6546339330691</v>
      </c>
      <c r="D26" s="412">
        <f>(D20*8000)/100</f>
        <v>1988.781604777266</v>
      </c>
      <c r="E26" s="412">
        <f>(E20*8000)/100</f>
        <v>2009.143380668804</v>
      </c>
      <c r="F26" s="506">
        <f>(F20*8000)/100</f>
        <v>2024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600.2853639759345</v>
      </c>
      <c r="D27" s="412">
        <f>(D22*8000)/100</f>
        <v>633.65293431258124</v>
      </c>
      <c r="E27" s="412">
        <f>(E22*8000)/100</f>
        <v>590.92452372611888</v>
      </c>
      <c r="F27" s="506">
        <f>(F22*8000)/100</f>
        <v>636.79999999999995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482.12574491745312</v>
      </c>
      <c r="D28" s="412">
        <f>(D21*8000)/100</f>
        <v>492.4720708353351</v>
      </c>
      <c r="E28" s="412">
        <f>(E21*8000)/100</f>
        <v>456.43825280914012</v>
      </c>
      <c r="F28" s="506">
        <f>(F21*8000)/100</f>
        <v>504.8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118.15961905848137</v>
      </c>
      <c r="D29" s="413">
        <f>(D23*8000)/100</f>
        <v>141.18086347724613</v>
      </c>
      <c r="E29" s="413">
        <f>(E23*8000)/100</f>
        <v>134.48627091697875</v>
      </c>
      <c r="F29" s="507">
        <f>(F23*8000)/100</f>
        <v>132.00000000000003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Nelson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1970.6449048447848</v>
      </c>
      <c r="D32" s="122"/>
    </row>
    <row r="33" spans="2:13">
      <c r="B33" s="120" t="s">
        <v>241</v>
      </c>
      <c r="C33" s="412">
        <f>AVERAGE(C27:F27)</f>
        <v>615.41570550365873</v>
      </c>
      <c r="D33" s="414">
        <f>C33/$C$32</f>
        <v>0.31229152648996961</v>
      </c>
    </row>
    <row r="34" spans="2:13">
      <c r="B34" s="120" t="s">
        <v>222</v>
      </c>
      <c r="C34" s="412">
        <f>AVERAGE(C28:F28)</f>
        <v>483.95901714048205</v>
      </c>
      <c r="D34" s="414">
        <f>C34/$C$32</f>
        <v>0.24558408059751405</v>
      </c>
    </row>
    <row r="35" spans="2:13">
      <c r="B35" s="124" t="s">
        <v>223</v>
      </c>
      <c r="C35" s="413">
        <f>AVERAGE(C29:F29)</f>
        <v>131.45668836317657</v>
      </c>
      <c r="D35" s="415">
        <f>C35/$C$32</f>
        <v>6.6707445892455489E-2</v>
      </c>
    </row>
    <row r="38" spans="2:13">
      <c r="B38" s="517" t="s">
        <v>227</v>
      </c>
      <c r="C38" s="518">
        <f>VLOOKUP($B$2,$B$258:$J$286,6,FALSE)</f>
        <v>281</v>
      </c>
      <c r="D38" s="518">
        <f>VLOOKUP($B$2,$B$258:$J$286,7,FALSE)</f>
        <v>282</v>
      </c>
      <c r="E38" s="518">
        <f>VLOOKUP($B$2,$B$258:$J$286,8,FALSE)</f>
        <v>283</v>
      </c>
      <c r="F38" s="519">
        <f>VLOOKUP($B$2,$B$258:$J$286,9,FALSE)</f>
        <v>284</v>
      </c>
    </row>
    <row r="39" spans="2:13">
      <c r="B39" s="137" t="str">
        <f>B2</f>
        <v>Nelson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8063.640409740241</v>
      </c>
      <c r="D40" s="418">
        <f>VLOOKUP($D$38,'FS (2011)'!$A$13:$AH$244,'FS (2011)'!E245,FALSE)</f>
        <v>8606.1249796417032</v>
      </c>
      <c r="E40" s="418">
        <f>VLOOKUP($E$38,'FS (2011)'!$A$13:$AH$244,'FS (2011)'!E245,FALSE)</f>
        <v>8482.8234216270102</v>
      </c>
      <c r="F40" s="419">
        <f>VLOOKUP($F$38,'FS (2011)'!$A$13:$AH$244,'FS (2011)'!E245,FALSE)</f>
        <v>8833</v>
      </c>
    </row>
    <row r="41" spans="2:13" ht="30">
      <c r="B41" s="120" t="s">
        <v>198</v>
      </c>
      <c r="C41" s="417">
        <f>VLOOKUP($C$38,'FS (2011)'!$A$13:$AH$244,'FS (2011)'!$F$245,FALSE)</f>
        <v>125.97260043910921</v>
      </c>
      <c r="D41" s="418">
        <f>VLOOKUP($D$38,'FS (2011)'!$A$13:$AH$244,'FS (2011)'!$F$245,FALSE)</f>
        <v>111.07612052989221</v>
      </c>
      <c r="E41" s="418">
        <f>VLOOKUP($E$38,'FS (2011)'!$A$13:$AH$244,'FS (2011)'!$F$245,FALSE)</f>
        <v>137.54277707418285</v>
      </c>
      <c r="F41" s="419">
        <f>VLOOKUP($F$38,'FS (2011)'!$A$13:$AH$244,'FS (2011)'!$F$245,FALSE)</f>
        <v>66</v>
      </c>
    </row>
    <row r="42" spans="2:13">
      <c r="B42" s="120" t="s">
        <v>13</v>
      </c>
      <c r="C42" s="417">
        <f>VLOOKUP($C$38,'FS (2011)'!$A$13:$AH$244,'FS (2011)'!$H$245,FALSE)</f>
        <v>0</v>
      </c>
      <c r="D42" s="418">
        <f>VLOOKUP($D$38,'FS (2011)'!$A$13:$AH$244,'FS (2011)'!$H$245,FALSE)</f>
        <v>0</v>
      </c>
      <c r="E42" s="418">
        <f>VLOOKUP($E$38,'FS (2011)'!$A$13:$AH$244,'FS (2011)'!$H$245,FALSE)</f>
        <v>0</v>
      </c>
      <c r="F42" s="419">
        <f>VLOOKUP($F$38,'FS (2011)'!$A$13:$AH$244,'FS (2011)'!$H$245,FALSE)</f>
        <v>0</v>
      </c>
    </row>
    <row r="43" spans="2:13">
      <c r="B43" s="124" t="s">
        <v>5</v>
      </c>
      <c r="C43" s="420">
        <f>SUM(C40:C42)</f>
        <v>8189.6130101793506</v>
      </c>
      <c r="D43" s="420">
        <f>SUM(D40:D42)</f>
        <v>8717.2011001715946</v>
      </c>
      <c r="E43" s="420">
        <f>SUM(E40:E42)</f>
        <v>8620.3661987011928</v>
      </c>
      <c r="F43" s="421">
        <f>SUM(F40:F42)</f>
        <v>8899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Nelson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106.72753920482594</v>
      </c>
      <c r="E46" s="422">
        <f>IF(ISERROR(E40/$C40),"",(E40/$C40))*100</f>
        <v>105.1984338411275</v>
      </c>
      <c r="F46" s="423">
        <f>IF(ISERROR(F40/$C40),"",(F40/$C40))*100</f>
        <v>109.54109497901759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88.174825432441992</v>
      </c>
      <c r="E47" s="422">
        <f t="shared" si="0"/>
        <v>109.18467713990414</v>
      </c>
      <c r="F47" s="423">
        <f t="shared" si="0"/>
        <v>52.392345454440395</v>
      </c>
      <c r="G47" s="141"/>
    </row>
    <row r="48" spans="2:13">
      <c r="B48" s="120" t="s">
        <v>13</v>
      </c>
      <c r="C48" s="422" t="str">
        <f t="shared" si="0"/>
        <v/>
      </c>
      <c r="D48" s="422" t="str">
        <f t="shared" si="0"/>
        <v/>
      </c>
      <c r="E48" s="422" t="str">
        <f t="shared" si="0"/>
        <v/>
      </c>
      <c r="F48" s="423" t="str">
        <f t="shared" si="0"/>
        <v/>
      </c>
      <c r="G48" s="141"/>
      <c r="H48" s="141"/>
    </row>
    <row r="49" spans="2:25">
      <c r="B49" s="124" t="s">
        <v>5</v>
      </c>
      <c r="C49" s="424">
        <f t="shared" si="0"/>
        <v>100</v>
      </c>
      <c r="D49" s="424">
        <f t="shared" si="0"/>
        <v>106.44216142248082</v>
      </c>
      <c r="E49" s="424">
        <f t="shared" si="0"/>
        <v>105.25975022246392</v>
      </c>
      <c r="F49" s="416">
        <f t="shared" si="0"/>
        <v>108.66203310142872</v>
      </c>
    </row>
    <row r="52" spans="2:25">
      <c r="B52" s="517" t="s">
        <v>247</v>
      </c>
      <c r="C52" s="510"/>
      <c r="D52" s="510"/>
      <c r="E52" s="510"/>
      <c r="F52" s="511"/>
      <c r="U52" s="533" t="s">
        <v>247</v>
      </c>
      <c r="V52" s="510"/>
      <c r="W52" s="510"/>
      <c r="X52" s="510"/>
      <c r="Y52" s="511"/>
    </row>
    <row r="53" spans="2:25">
      <c r="B53" s="107" t="str">
        <f>$B$2</f>
        <v>Nelson</v>
      </c>
      <c r="C53" s="144">
        <v>2008</v>
      </c>
      <c r="D53" s="144">
        <v>2009</v>
      </c>
      <c r="E53" s="144">
        <v>2010</v>
      </c>
      <c r="F53" s="145">
        <v>2011</v>
      </c>
      <c r="U53" s="154" t="str">
        <f>$B$2</f>
        <v>Nelson</v>
      </c>
      <c r="V53" s="144">
        <v>2008</v>
      </c>
      <c r="W53" s="144">
        <v>2009</v>
      </c>
      <c r="X53" s="144">
        <v>2010</v>
      </c>
      <c r="Y53" s="145">
        <v>2011</v>
      </c>
    </row>
    <row r="54" spans="2:25">
      <c r="B54" s="111" t="s">
        <v>185</v>
      </c>
      <c r="C54" s="425">
        <f>VLOOKUP($C$38,'MP (2011)'!$A$14:$AR$245,'MP (2011)'!$Z$246,FALSE)</f>
        <v>3786.822811154515</v>
      </c>
      <c r="D54" s="426">
        <f>VLOOKUP($D$38,'MP (2011)'!$A$14:$AR$245,'MP (2011)'!$Z$246,FALSE)</f>
        <v>4004.3148031848436</v>
      </c>
      <c r="E54" s="426">
        <f>VLOOKUP($E$38,'MP (2011)'!$A$14:$AR$245,'MP (2011)'!$Z$246,FALSE)</f>
        <v>695.86456845679163</v>
      </c>
      <c r="F54" s="427">
        <f>VLOOKUP($F$38,'MP (2011)'!$A$14:$AR$245,'MP (2011)'!$Z$246,FALSE)</f>
        <v>767</v>
      </c>
      <c r="U54" s="170" t="s">
        <v>477</v>
      </c>
      <c r="V54" s="425">
        <f>C54+C55</f>
        <v>5531.1865304667672</v>
      </c>
      <c r="W54" s="426">
        <f t="shared" ref="W54:X54" si="1">D54+D55</f>
        <v>5893.8476104605652</v>
      </c>
      <c r="X54" s="426">
        <f t="shared" si="1"/>
        <v>5890.9062003179642</v>
      </c>
      <c r="Y54" s="427">
        <f>F54+F55</f>
        <v>6092</v>
      </c>
    </row>
    <row r="55" spans="2:25">
      <c r="B55" s="111" t="s">
        <v>180</v>
      </c>
      <c r="C55" s="425">
        <f>VLOOKUP($C$38,'MP (2011)'!$A$14:$AR$245,'MP (2011)'!$AD$246,FALSE)</f>
        <v>1744.3637193122522</v>
      </c>
      <c r="D55" s="426">
        <f>VLOOKUP($D$38,'MP (2011)'!$A$14:$AR$245,'MP (2011)'!$AD$246,FALSE)</f>
        <v>1889.5328072757218</v>
      </c>
      <c r="E55" s="426">
        <f>VLOOKUP($E$38,'MP (2011)'!$A$14:$AR$245,'MP (2011)'!$AD$246,FALSE)</f>
        <v>5195.0416318611724</v>
      </c>
      <c r="F55" s="427">
        <f>VLOOKUP($F$38,'MP (2011)'!$A$14:$AR$245,'MP (2011)'!$AD$246,FALSE)</f>
        <v>5325</v>
      </c>
      <c r="J55" s="139"/>
      <c r="U55" s="170" t="s">
        <v>478</v>
      </c>
      <c r="V55" s="425">
        <f>C56</f>
        <v>1812.2839382965983</v>
      </c>
      <c r="W55" s="426">
        <f t="shared" ref="W55:X55" si="2">D56</f>
        <v>1936.0644627359457</v>
      </c>
      <c r="X55" s="426">
        <f t="shared" si="2"/>
        <v>1864.4687558944784</v>
      </c>
      <c r="Y55" s="427">
        <f>F56</f>
        <v>1769</v>
      </c>
    </row>
    <row r="56" spans="2:25">
      <c r="B56" s="111" t="s">
        <v>184</v>
      </c>
      <c r="C56" s="425">
        <f>VLOOKUP($C$38,'MP (2011)'!$A$14:$AR$245,'MP (2011)'!$AH$246,FALSE)</f>
        <v>1812.2839382965983</v>
      </c>
      <c r="D56" s="426">
        <f>VLOOKUP($D$38,'MP (2011)'!$A$14:$AR$245,'MP (2011)'!$AH$246,FALSE)</f>
        <v>1936.0644627359457</v>
      </c>
      <c r="E56" s="426">
        <f>VLOOKUP($E$38,'MP (2011)'!$A$14:$AR$245,'MP (2011)'!$AH$246,FALSE)</f>
        <v>1864.4687558944784</v>
      </c>
      <c r="F56" s="427">
        <f>VLOOKUP($F$38,'MP (2011)'!$A$14:$AR$245,'MP (2011)'!$AH$246,FALSE)</f>
        <v>1769</v>
      </c>
      <c r="U56" s="170"/>
      <c r="V56" s="425"/>
      <c r="W56" s="426"/>
      <c r="X56" s="426"/>
      <c r="Y56" s="427"/>
    </row>
    <row r="57" spans="2:25">
      <c r="B57" s="111" t="s">
        <v>181</v>
      </c>
      <c r="C57" s="425">
        <f>VLOOKUP($C$38,'MP (2011)'!$A$14:$AR$245,'MP (2011)'!$AL$246,FALSE)</f>
        <v>720.16994097687541</v>
      </c>
      <c r="D57" s="426">
        <f>VLOOKUP($D$38,'MP (2011)'!$A$14:$AR$245,'MP (2011)'!$AL$246,FALSE)</f>
        <v>776.21298949275831</v>
      </c>
      <c r="E57" s="426">
        <f>VLOOKUP($E$38,'MP (2011)'!$A$14:$AR$245,'MP (2011)'!$AL$246,FALSE)</f>
        <v>727.44846541456695</v>
      </c>
      <c r="F57" s="427">
        <f>VLOOKUP($F$38,'MP (2011)'!$A$14:$AR$245,'MP (2011)'!$AL$246,FALSE)</f>
        <v>972</v>
      </c>
      <c r="U57" s="170" t="s">
        <v>181</v>
      </c>
      <c r="V57" s="425">
        <f>C57</f>
        <v>720.16994097687541</v>
      </c>
      <c r="W57" s="426">
        <f>D57</f>
        <v>776.21298949275831</v>
      </c>
      <c r="X57" s="426">
        <f>E57</f>
        <v>727.44846541456695</v>
      </c>
      <c r="Y57" s="427">
        <f>F57</f>
        <v>972</v>
      </c>
    </row>
    <row r="58" spans="2:25">
      <c r="B58" s="147" t="s">
        <v>248</v>
      </c>
      <c r="C58" s="428">
        <f>SUM(C54:C57)</f>
        <v>8063.640409740241</v>
      </c>
      <c r="D58" s="428">
        <f>SUM(D54:D57)</f>
        <v>8606.1250626892688</v>
      </c>
      <c r="E58" s="428">
        <f>SUM(E54:E57)</f>
        <v>8482.8234216270102</v>
      </c>
      <c r="F58" s="429">
        <f>SUM(F54:F57)</f>
        <v>8833</v>
      </c>
      <c r="U58" s="208" t="s">
        <v>248</v>
      </c>
      <c r="V58" s="428">
        <f>SUM(V54:V57)</f>
        <v>8063.640409740241</v>
      </c>
      <c r="W58" s="428">
        <f>SUM(W54:W57)</f>
        <v>8606.1250626892688</v>
      </c>
      <c r="X58" s="428">
        <f>SUM(X54:X57)</f>
        <v>8482.8234216270102</v>
      </c>
      <c r="Y58" s="429">
        <f>SUM(Y54:Y57)</f>
        <v>8833</v>
      </c>
    </row>
    <row r="59" spans="2:25">
      <c r="B59" s="103" t="s">
        <v>302</v>
      </c>
      <c r="U59" s="102" t="s">
        <v>302</v>
      </c>
    </row>
    <row r="60" spans="2:25">
      <c r="B60" s="137" t="str">
        <f>$B$2</f>
        <v>Nelson</v>
      </c>
      <c r="C60" s="144">
        <v>2008</v>
      </c>
      <c r="D60" s="126">
        <v>2009</v>
      </c>
      <c r="E60" s="126">
        <v>2010</v>
      </c>
      <c r="F60" s="127">
        <v>2011</v>
      </c>
      <c r="U60" s="154" t="str">
        <f>$B$2</f>
        <v>Nelson</v>
      </c>
      <c r="V60" s="144">
        <v>2008</v>
      </c>
      <c r="W60" s="126">
        <v>2009</v>
      </c>
      <c r="X60" s="126">
        <v>2010</v>
      </c>
      <c r="Y60" s="127">
        <v>2011</v>
      </c>
    </row>
    <row r="61" spans="2:25">
      <c r="B61" s="111" t="s">
        <v>185</v>
      </c>
      <c r="C61" s="422">
        <f t="shared" ref="C61:F65" si="3">IF(ISERROR(C54/$C54),"",(C54/$C54)*100)</f>
        <v>100</v>
      </c>
      <c r="D61" s="422">
        <f t="shared" si="3"/>
        <v>105.74338971946828</v>
      </c>
      <c r="E61" s="422">
        <f t="shared" si="3"/>
        <v>18.375947414466921</v>
      </c>
      <c r="F61" s="423">
        <f t="shared" si="3"/>
        <v>20.254446491151228</v>
      </c>
      <c r="G61" s="141"/>
      <c r="U61" s="170" t="s">
        <v>477</v>
      </c>
      <c r="V61" s="422">
        <f>IF(ISERROR(V54/$V54),"",(V54/$V54)*100)</f>
        <v>100</v>
      </c>
      <c r="W61" s="422">
        <f t="shared" ref="W61:X61" si="4">IF(ISERROR(W54/$V54),"",(W54/$V54)*100)</f>
        <v>106.55665973288365</v>
      </c>
      <c r="X61" s="422">
        <f t="shared" si="4"/>
        <v>106.50348108619727</v>
      </c>
      <c r="Y61" s="423">
        <f>IF(ISERROR(Y54/$V54),"",(Y54/$V54)*100)</f>
        <v>110.13911692263805</v>
      </c>
    </row>
    <row r="62" spans="2:25">
      <c r="B62" s="111" t="s">
        <v>180</v>
      </c>
      <c r="C62" s="422">
        <f t="shared" si="3"/>
        <v>100</v>
      </c>
      <c r="D62" s="422">
        <f t="shared" si="3"/>
        <v>108.32217996489317</v>
      </c>
      <c r="E62" s="422">
        <f t="shared" si="3"/>
        <v>297.81871603643617</v>
      </c>
      <c r="F62" s="423">
        <f t="shared" si="3"/>
        <v>305.26890355753784</v>
      </c>
      <c r="G62" s="141"/>
      <c r="U62" s="170" t="s">
        <v>478</v>
      </c>
      <c r="V62" s="422">
        <f t="shared" ref="V62:Y65" si="5">IF(ISERROR(V55/$V55),"",(V55/$V55)*100)</f>
        <v>100</v>
      </c>
      <c r="W62" s="422">
        <f t="shared" si="5"/>
        <v>106.8300845040701</v>
      </c>
      <c r="X62" s="422">
        <f t="shared" si="5"/>
        <v>102.87950560588919</v>
      </c>
      <c r="Y62" s="423">
        <f t="shared" si="5"/>
        <v>97.611635937286849</v>
      </c>
    </row>
    <row r="63" spans="2:25">
      <c r="B63" s="111" t="s">
        <v>184</v>
      </c>
      <c r="C63" s="422">
        <f t="shared" si="3"/>
        <v>100</v>
      </c>
      <c r="D63" s="422">
        <f t="shared" si="3"/>
        <v>106.8300845040701</v>
      </c>
      <c r="E63" s="422">
        <f t="shared" si="3"/>
        <v>102.87950560588919</v>
      </c>
      <c r="F63" s="423">
        <f t="shared" si="3"/>
        <v>97.611635937286849</v>
      </c>
      <c r="G63" s="141"/>
      <c r="U63" s="170"/>
      <c r="V63" s="422" t="str">
        <f t="shared" si="5"/>
        <v/>
      </c>
      <c r="W63" s="422" t="str">
        <f t="shared" si="5"/>
        <v/>
      </c>
      <c r="X63" s="422" t="str">
        <f t="shared" si="5"/>
        <v/>
      </c>
      <c r="Y63" s="423" t="str">
        <f t="shared" si="5"/>
        <v/>
      </c>
    </row>
    <row r="64" spans="2:25">
      <c r="B64" s="111" t="s">
        <v>181</v>
      </c>
      <c r="C64" s="422">
        <f t="shared" si="3"/>
        <v>100</v>
      </c>
      <c r="D64" s="422">
        <f t="shared" si="3"/>
        <v>107.78191997847941</v>
      </c>
      <c r="E64" s="422">
        <f t="shared" si="3"/>
        <v>101.01066762489678</v>
      </c>
      <c r="F64" s="423">
        <f t="shared" si="3"/>
        <v>134.96814358587773</v>
      </c>
      <c r="G64" s="141"/>
      <c r="U64" s="170" t="s">
        <v>181</v>
      </c>
      <c r="V64" s="422">
        <f t="shared" si="5"/>
        <v>100</v>
      </c>
      <c r="W64" s="422">
        <f t="shared" si="5"/>
        <v>107.78191997847941</v>
      </c>
      <c r="X64" s="422">
        <f t="shared" si="5"/>
        <v>101.01066762489678</v>
      </c>
      <c r="Y64" s="423">
        <f t="shared" si="5"/>
        <v>134.96814358587773</v>
      </c>
    </row>
    <row r="65" spans="2:40">
      <c r="B65" s="115" t="s">
        <v>248</v>
      </c>
      <c r="C65" s="424">
        <f t="shared" si="3"/>
        <v>100</v>
      </c>
      <c r="D65" s="424">
        <f t="shared" si="3"/>
        <v>106.7275402347276</v>
      </c>
      <c r="E65" s="424">
        <f t="shared" si="3"/>
        <v>105.1984338411275</v>
      </c>
      <c r="F65" s="416">
        <f t="shared" si="3"/>
        <v>109.54109497901759</v>
      </c>
      <c r="G65" s="141"/>
      <c r="U65" s="208" t="s">
        <v>248</v>
      </c>
      <c r="V65" s="424">
        <f t="shared" si="5"/>
        <v>100</v>
      </c>
      <c r="W65" s="424">
        <f t="shared" si="5"/>
        <v>106.7275402347276</v>
      </c>
      <c r="X65" s="424">
        <f t="shared" si="5"/>
        <v>105.1984338411275</v>
      </c>
      <c r="Y65" s="416">
        <f t="shared" si="5"/>
        <v>109.54109497901759</v>
      </c>
    </row>
    <row r="68" spans="2:40">
      <c r="B68" s="517" t="s">
        <v>251</v>
      </c>
      <c r="C68" s="510"/>
      <c r="D68" s="510"/>
      <c r="E68" s="510"/>
      <c r="F68" s="511"/>
      <c r="U68" s="533" t="s">
        <v>251</v>
      </c>
      <c r="V68" s="510"/>
      <c r="W68" s="510"/>
      <c r="X68" s="510"/>
      <c r="Y68" s="511"/>
    </row>
    <row r="69" spans="2:40">
      <c r="B69" s="137" t="str">
        <f>$B$2</f>
        <v>Nelson</v>
      </c>
      <c r="C69" s="144">
        <v>2008</v>
      </c>
      <c r="D69" s="144">
        <v>2009</v>
      </c>
      <c r="E69" s="144">
        <v>2010</v>
      </c>
      <c r="F69" s="145">
        <v>2011</v>
      </c>
      <c r="U69" s="154" t="str">
        <f>$B$2</f>
        <v>Nelson</v>
      </c>
      <c r="V69" s="144">
        <v>2008</v>
      </c>
      <c r="W69" s="144">
        <v>2009</v>
      </c>
      <c r="X69" s="144">
        <v>2010</v>
      </c>
      <c r="Y69" s="145">
        <v>2011</v>
      </c>
    </row>
    <row r="70" spans="2:40">
      <c r="B70" s="111" t="s">
        <v>185</v>
      </c>
      <c r="C70" s="426">
        <f>(C54/C98)*1000</f>
        <v>509.18687792853501</v>
      </c>
      <c r="D70" s="433">
        <f>(D54/D98)*1000</f>
        <v>535.69428805148414</v>
      </c>
      <c r="E70" s="433">
        <f>(E54/E98)*1000</f>
        <v>398.77625699529608</v>
      </c>
      <c r="F70" s="434">
        <f>(F54/F98)*1000</f>
        <v>381.40228741919441</v>
      </c>
      <c r="U70" s="170" t="s">
        <v>477</v>
      </c>
      <c r="V70" s="426">
        <f>V54*1000/V98</f>
        <v>629.54547353366343</v>
      </c>
      <c r="W70" s="433">
        <f t="shared" ref="W70:Y70" si="6">W54*1000/W98</f>
        <v>666.27262157591736</v>
      </c>
      <c r="X70" s="433">
        <f t="shared" si="6"/>
        <v>661.23091259602245</v>
      </c>
      <c r="Y70" s="434">
        <f t="shared" si="6"/>
        <v>680.44230984027695</v>
      </c>
    </row>
    <row r="71" spans="2:40">
      <c r="B71" s="111" t="s">
        <v>180</v>
      </c>
      <c r="C71" s="433">
        <f>(C55/C99)*1000</f>
        <v>1293.0791099423664</v>
      </c>
      <c r="D71" s="433">
        <f t="shared" ref="C71:F73" si="7">(D55/D99)*1000</f>
        <v>1378.2150308356834</v>
      </c>
      <c r="E71" s="433">
        <f t="shared" si="7"/>
        <v>725.15935676454114</v>
      </c>
      <c r="F71" s="434">
        <f t="shared" si="7"/>
        <v>767.07000864304234</v>
      </c>
      <c r="U71" s="170" t="s">
        <v>478</v>
      </c>
      <c r="V71" s="433">
        <f t="shared" ref="V71:Y71" si="8">V55*1000/V99</f>
        <v>20136.488203295539</v>
      </c>
      <c r="W71" s="433">
        <f t="shared" si="8"/>
        <v>21044.178942782019</v>
      </c>
      <c r="X71" s="433">
        <f t="shared" si="8"/>
        <v>19834.77399887743</v>
      </c>
      <c r="Y71" s="434">
        <f t="shared" si="8"/>
        <v>19655.555555555555</v>
      </c>
    </row>
    <row r="72" spans="2:40">
      <c r="B72" s="111" t="s">
        <v>184</v>
      </c>
      <c r="C72" s="433">
        <f>(C56/C100)*1000</f>
        <v>20136.488203295536</v>
      </c>
      <c r="D72" s="433">
        <f t="shared" si="7"/>
        <v>21044.178942782019</v>
      </c>
      <c r="E72" s="433">
        <f t="shared" si="7"/>
        <v>19834.77399887743</v>
      </c>
      <c r="F72" s="434">
        <f t="shared" si="7"/>
        <v>19655.555555555555</v>
      </c>
      <c r="U72" s="170"/>
      <c r="V72" s="433"/>
      <c r="W72" s="433"/>
      <c r="X72" s="433"/>
      <c r="Y72" s="434"/>
    </row>
    <row r="73" spans="2:40">
      <c r="B73" s="115" t="s">
        <v>181</v>
      </c>
      <c r="C73" s="435">
        <f t="shared" si="7"/>
        <v>144033.98819537507</v>
      </c>
      <c r="D73" s="435">
        <f t="shared" si="7"/>
        <v>155242.59789855164</v>
      </c>
      <c r="E73" s="435">
        <f t="shared" si="7"/>
        <v>145489.69308291338</v>
      </c>
      <c r="F73" s="436">
        <f t="shared" si="7"/>
        <v>194400</v>
      </c>
      <c r="U73" s="208" t="s">
        <v>181</v>
      </c>
      <c r="V73" s="435">
        <f t="shared" ref="V73:Y73" si="9">V57*1000/V101</f>
        <v>144033.98819537507</v>
      </c>
      <c r="W73" s="435">
        <f t="shared" si="9"/>
        <v>155242.59789855167</v>
      </c>
      <c r="X73" s="435">
        <f t="shared" si="9"/>
        <v>145489.69308291338</v>
      </c>
      <c r="Y73" s="436">
        <f t="shared" si="9"/>
        <v>194400</v>
      </c>
    </row>
    <row r="74" spans="2:40">
      <c r="B74" s="103" t="s">
        <v>303</v>
      </c>
      <c r="U74" s="102" t="s">
        <v>303</v>
      </c>
    </row>
    <row r="75" spans="2:40">
      <c r="B75" s="137" t="str">
        <f>$B$2</f>
        <v>Nelson</v>
      </c>
      <c r="C75" s="140">
        <v>2008</v>
      </c>
      <c r="D75" s="144">
        <v>2009</v>
      </c>
      <c r="E75" s="144">
        <v>2010</v>
      </c>
      <c r="F75" s="145">
        <v>2011</v>
      </c>
      <c r="U75" s="154" t="str">
        <f>$B$2</f>
        <v>Nelson</v>
      </c>
      <c r="V75" s="140">
        <v>2008</v>
      </c>
      <c r="W75" s="144">
        <v>2009</v>
      </c>
      <c r="X75" s="144">
        <v>2010</v>
      </c>
      <c r="Y75" s="145">
        <v>2011</v>
      </c>
      <c r="AN75" s="139"/>
    </row>
    <row r="76" spans="2:40">
      <c r="B76" s="111" t="s">
        <v>185</v>
      </c>
      <c r="C76" s="422">
        <f t="shared" ref="C76:F79" si="10">IF(ISERROR(C70/$C70),"",(C70/$C70)*100)</f>
        <v>100</v>
      </c>
      <c r="D76" s="422">
        <f t="shared" si="10"/>
        <v>105.20583135032587</v>
      </c>
      <c r="E76" s="422">
        <f t="shared" si="10"/>
        <v>78.316287060968762</v>
      </c>
      <c r="F76" s="423">
        <f t="shared" si="10"/>
        <v>74.904186252954602</v>
      </c>
      <c r="U76" s="170" t="s">
        <v>477</v>
      </c>
      <c r="V76" s="422">
        <f>IF(ISERROR(V70/$V70),"",(V70/$V70)*100)</f>
        <v>100</v>
      </c>
      <c r="W76" s="422">
        <f t="shared" ref="W76:X79" si="11">IF(ISERROR(W70/$V70),"",(W70/$V70)*100)</f>
        <v>105.83391503652675</v>
      </c>
      <c r="X76" s="422">
        <f t="shared" si="11"/>
        <v>105.03306598084288</v>
      </c>
      <c r="Y76" s="423">
        <f>IF(ISERROR(Y70/$V70),"",(Y70/$V70)*100)</f>
        <v>108.08469577597431</v>
      </c>
      <c r="AN76" s="139"/>
    </row>
    <row r="77" spans="2:40">
      <c r="B77" s="111" t="s">
        <v>180</v>
      </c>
      <c r="C77" s="422">
        <f t="shared" si="10"/>
        <v>100</v>
      </c>
      <c r="D77" s="422">
        <f t="shared" si="10"/>
        <v>106.5839684701976</v>
      </c>
      <c r="E77" s="422">
        <f t="shared" si="10"/>
        <v>56.0800457751469</v>
      </c>
      <c r="F77" s="423">
        <f t="shared" si="10"/>
        <v>59.32119719088427</v>
      </c>
      <c r="I77" s="139" t="s">
        <v>190</v>
      </c>
      <c r="U77" s="170" t="s">
        <v>478</v>
      </c>
      <c r="V77" s="422">
        <f>IF(ISERROR(V71/$V71),"",(V71/$V71)*100)</f>
        <v>100</v>
      </c>
      <c r="W77" s="422">
        <f t="shared" si="11"/>
        <v>104.50769136267726</v>
      </c>
      <c r="X77" s="422">
        <f t="shared" si="11"/>
        <v>98.501654303510918</v>
      </c>
      <c r="Y77" s="423">
        <f>IF(ISERROR(Y71/$V71),"",(Y71/$V71)*100)</f>
        <v>97.611635937286849</v>
      </c>
      <c r="AN77" s="139"/>
    </row>
    <row r="78" spans="2:40">
      <c r="B78" s="111" t="s">
        <v>184</v>
      </c>
      <c r="C78" s="422">
        <f t="shared" si="10"/>
        <v>100</v>
      </c>
      <c r="D78" s="422">
        <f t="shared" si="10"/>
        <v>104.50769136267728</v>
      </c>
      <c r="E78" s="422">
        <f t="shared" si="10"/>
        <v>98.501654303510946</v>
      </c>
      <c r="F78" s="423">
        <f t="shared" si="10"/>
        <v>97.611635937286863</v>
      </c>
      <c r="G78" s="141"/>
      <c r="U78" s="170"/>
      <c r="V78" s="422" t="str">
        <f>IF(ISERROR(V72/$V72),"",(V72/$V72)*100)</f>
        <v/>
      </c>
      <c r="W78" s="422" t="str">
        <f t="shared" si="11"/>
        <v/>
      </c>
      <c r="X78" s="422" t="str">
        <f t="shared" si="11"/>
        <v/>
      </c>
      <c r="Y78" s="423" t="str">
        <f>IF(ISERROR(Y72/$V72),"",(Y72/$V72)*100)</f>
        <v/>
      </c>
      <c r="AN78" s="139"/>
    </row>
    <row r="79" spans="2:40">
      <c r="B79" s="115" t="s">
        <v>181</v>
      </c>
      <c r="C79" s="424">
        <f t="shared" si="10"/>
        <v>100</v>
      </c>
      <c r="D79" s="424">
        <f t="shared" si="10"/>
        <v>107.78191997847941</v>
      </c>
      <c r="E79" s="424">
        <f t="shared" si="10"/>
        <v>101.01066762489678</v>
      </c>
      <c r="F79" s="416">
        <f t="shared" si="10"/>
        <v>134.96814358587773</v>
      </c>
      <c r="G79" s="141"/>
      <c r="U79" s="208" t="s">
        <v>181</v>
      </c>
      <c r="V79" s="424">
        <f>IF(ISERROR(V73/$V73),"",(V73/$V73)*100)</f>
        <v>100</v>
      </c>
      <c r="W79" s="424">
        <f t="shared" si="11"/>
        <v>107.78191997847944</v>
      </c>
      <c r="X79" s="424">
        <f t="shared" si="11"/>
        <v>101.01066762489678</v>
      </c>
      <c r="Y79" s="416">
        <f>IF(ISERROR(Y73/$V73),"",(Y73/$V73)*100)</f>
        <v>134.96814358587773</v>
      </c>
      <c r="AN79" s="139"/>
    </row>
    <row r="82" spans="2:25">
      <c r="B82" s="517" t="s">
        <v>252</v>
      </c>
      <c r="C82" s="510"/>
      <c r="D82" s="510"/>
      <c r="E82" s="510"/>
      <c r="F82" s="511"/>
      <c r="U82" s="533" t="s">
        <v>252</v>
      </c>
      <c r="V82" s="510"/>
      <c r="W82" s="510"/>
      <c r="X82" s="510"/>
      <c r="Y82" s="511"/>
    </row>
    <row r="83" spans="2:25">
      <c r="B83" s="137" t="str">
        <f>$B$2</f>
        <v>Nelson</v>
      </c>
      <c r="C83" s="144">
        <v>2008</v>
      </c>
      <c r="D83" s="144">
        <v>2009</v>
      </c>
      <c r="E83" s="144">
        <v>2010</v>
      </c>
      <c r="F83" s="145">
        <v>2011</v>
      </c>
      <c r="U83" s="154" t="str">
        <f>$B$2</f>
        <v>Nelson</v>
      </c>
      <c r="V83" s="144">
        <v>2008</v>
      </c>
      <c r="W83" s="144">
        <v>2009</v>
      </c>
      <c r="X83" s="144">
        <v>2010</v>
      </c>
      <c r="Y83" s="145">
        <v>2011</v>
      </c>
    </row>
    <row r="84" spans="2:25">
      <c r="B84" s="111" t="s">
        <v>185</v>
      </c>
      <c r="C84" s="430">
        <f>(C54/VLOOKUP($C$38,'MP (2011)'!$A$14:$AR$245,'MP (2011)'!$AA$246,FALSE)*100)</f>
        <v>6.8300533435613637</v>
      </c>
      <c r="D84" s="437">
        <f>(D54/VLOOKUP($D$38,'MP (2011)'!$A$14:$AR$245,'MP (2011)'!$AA$246,FALSE)*100)</f>
        <v>7.1809590198439519</v>
      </c>
      <c r="E84" s="437">
        <f>(E54/VLOOKUP($E$38,'MP (2011)'!$A$14:$AR$245,'MP (2011)'!$AA$246,FALSE)*100)</f>
        <v>6.8258628569970377</v>
      </c>
      <c r="F84" s="438">
        <f>(F54/VLOOKUP($F$38,'MP (2011)'!$A$14:$AR$245,'MP (2011)'!$AA$246,FALSE)*100)</f>
        <v>7.226985772166211</v>
      </c>
      <c r="U84" s="170" t="s">
        <v>477</v>
      </c>
      <c r="V84" s="430">
        <f>V54*100/V113</f>
        <v>6.4908911382793981</v>
      </c>
      <c r="W84" s="437">
        <f t="shared" ref="W84:Y84" si="12">W54*100/W113</f>
        <v>6.8587425813031517</v>
      </c>
      <c r="X84" s="437">
        <f t="shared" si="12"/>
        <v>6.7855654272919521</v>
      </c>
      <c r="Y84" s="438">
        <f t="shared" si="12"/>
        <v>7.2760280435224001</v>
      </c>
    </row>
    <row r="85" spans="2:25">
      <c r="B85" s="111" t="s">
        <v>180</v>
      </c>
      <c r="C85" s="430">
        <f>(C55/VLOOKUP($C$38,'MP (2011)'!$A$14:$AR$245,'MP (2011)'!$AE$246,FALSE)*100)</f>
        <v>5.8592593012377323</v>
      </c>
      <c r="D85" s="437">
        <f>(D55/VLOOKUP($D$38,'MP (2011)'!$A$14:$AR$245,'MP (2011)'!$AE$246,FALSE)*100)</f>
        <v>6.263171847432651</v>
      </c>
      <c r="E85" s="437">
        <f>(E55/VLOOKUP($E$38,'MP (2011)'!$A$14:$AR$245,'MP (2011)'!$AE$246,FALSE)*100)</f>
        <v>6.7802037801795585</v>
      </c>
      <c r="F85" s="438">
        <f>(F55/VLOOKUP($F$38,'MP (2011)'!$A$14:$AR$245,'MP (2011)'!$AE$246,FALSE)*100)</f>
        <v>7.2831468665371881</v>
      </c>
      <c r="U85" s="170" t="s">
        <v>478</v>
      </c>
      <c r="V85" s="430">
        <f t="shared" ref="V85:Y85" si="13">V55*100/V114</f>
        <v>4.7827219893486532</v>
      </c>
      <c r="W85" s="437">
        <f t="shared" si="13"/>
        <v>5.1750482310890709</v>
      </c>
      <c r="X85" s="437">
        <f t="shared" si="13"/>
        <v>4.8917149931634958</v>
      </c>
      <c r="Y85" s="438">
        <f t="shared" si="13"/>
        <v>5.1150821188989131</v>
      </c>
    </row>
    <row r="86" spans="2:25">
      <c r="B86" s="111" t="s">
        <v>184</v>
      </c>
      <c r="C86" s="430">
        <f>(C56/VLOOKUP($C$38,'MP (2011)'!$A$14:$AR$245,'MP (2011)'!$AI$246,FALSE)*100)</f>
        <v>4.7827219893486532</v>
      </c>
      <c r="D86" s="437">
        <f>(D56/VLOOKUP($D$38,'MP (2011)'!$A$14:$AR$245,'MP (2011)'!$AI$246,FALSE)*100)</f>
        <v>5.1750482310890709</v>
      </c>
      <c r="E86" s="437">
        <f>(E56/VLOOKUP($E$38,'MP (2011)'!$A$14:$AR$245,'MP (2011)'!$AI$246,FALSE)*100)</f>
        <v>4.8917149931634967</v>
      </c>
      <c r="F86" s="438">
        <f>(F56/VLOOKUP($F$38,'MP (2011)'!$A$14:$AR$245,'MP (2011)'!$AI$246,FALSE)*100)</f>
        <v>5.1150821188989131</v>
      </c>
      <c r="U86" s="170"/>
      <c r="V86" s="430"/>
      <c r="W86" s="437"/>
      <c r="X86" s="437"/>
      <c r="Y86" s="438"/>
    </row>
    <row r="87" spans="2:25">
      <c r="B87" s="115" t="s">
        <v>181</v>
      </c>
      <c r="C87" s="431">
        <f>(C57/VLOOKUP($C$38,'MP (2011)'!$A$14:$AR$245,'MP (2011)'!$AM$246,FALSE)*100)</f>
        <v>2.6673948700947272</v>
      </c>
      <c r="D87" s="431">
        <f>(D57/VLOOKUP($D$38,'MP (2011)'!$A$14:$AR$245,'MP (2011)'!$AM$246,FALSE)*100)</f>
        <v>3.0958457711213487</v>
      </c>
      <c r="E87" s="431">
        <f>(E57/VLOOKUP($E$38,'MP (2011)'!$A$14:$AR$245,'MP (2011)'!$AM$246,FALSE)*100)</f>
        <v>3.2233177250837923</v>
      </c>
      <c r="F87" s="432">
        <f>(F57/VLOOKUP($F$38,'MP (2011)'!$A$14:$AR$245,'MP (2011)'!$AM$246,FALSE)*100)</f>
        <v>3.5422740524781346</v>
      </c>
      <c r="U87" s="208" t="s">
        <v>181</v>
      </c>
      <c r="V87" s="431">
        <f t="shared" ref="V87:Y87" si="14">V57*100/V116</f>
        <v>2.6673948700947272</v>
      </c>
      <c r="W87" s="431">
        <f t="shared" si="14"/>
        <v>3.0958457711213492</v>
      </c>
      <c r="X87" s="431">
        <f t="shared" si="14"/>
        <v>3.2233177250837919</v>
      </c>
      <c r="Y87" s="432">
        <f t="shared" si="14"/>
        <v>3.5422740524781342</v>
      </c>
    </row>
    <row r="88" spans="2:25">
      <c r="B88" s="103" t="s">
        <v>304</v>
      </c>
      <c r="U88" s="102" t="s">
        <v>304</v>
      </c>
    </row>
    <row r="89" spans="2:25">
      <c r="B89" s="137" t="str">
        <f>$B$2</f>
        <v>Nelson</v>
      </c>
      <c r="C89" s="140">
        <v>2008</v>
      </c>
      <c r="D89" s="144">
        <v>2009</v>
      </c>
      <c r="E89" s="144">
        <v>2010</v>
      </c>
      <c r="F89" s="145">
        <v>2011</v>
      </c>
      <c r="U89" s="154" t="str">
        <f>$B$2</f>
        <v>Nelson</v>
      </c>
      <c r="V89" s="140">
        <v>2008</v>
      </c>
      <c r="W89" s="144">
        <v>2009</v>
      </c>
      <c r="X89" s="144">
        <v>2010</v>
      </c>
      <c r="Y89" s="145">
        <v>2011</v>
      </c>
    </row>
    <row r="90" spans="2:25">
      <c r="B90" s="111" t="s">
        <v>185</v>
      </c>
      <c r="C90" s="422">
        <f>IF(ISERROR(C84/$C84),"",(C84/$C84)*100)</f>
        <v>100</v>
      </c>
      <c r="D90" s="422">
        <f>IF(ISERROR(D84/$C84),"",(D84/$C84)*100)</f>
        <v>105.13767109320433</v>
      </c>
      <c r="E90" s="422">
        <f>IF(ISERROR(E84/$C84),"",(E84/$C84)*100)</f>
        <v>99.938646356718777</v>
      </c>
      <c r="F90" s="423">
        <f>IF(ISERROR(F84/$C84),"",(F84/$C84)*100)</f>
        <v>105.81155678643466</v>
      </c>
      <c r="U90" s="170" t="s">
        <v>477</v>
      </c>
      <c r="V90" s="422">
        <f>IF(ISERROR(V84/$V84),"",(V84/$V84)*100)</f>
        <v>100</v>
      </c>
      <c r="W90" s="422">
        <f t="shared" ref="W90:Y90" si="15">IF(ISERROR(W84/$V84),"",(W84/$V84)*100)</f>
        <v>105.66719476859481</v>
      </c>
      <c r="X90" s="422">
        <f t="shared" si="15"/>
        <v>104.53981252704642</v>
      </c>
      <c r="Y90" s="423">
        <f t="shared" si="15"/>
        <v>112.09598017462864</v>
      </c>
    </row>
    <row r="91" spans="2:25">
      <c r="B91" s="111" t="s">
        <v>180</v>
      </c>
      <c r="C91" s="422">
        <f t="shared" ref="C91:F92" si="16">IF(ISERROR(C85/$C85),"",(C85/$C85)*100)</f>
        <v>100</v>
      </c>
      <c r="D91" s="422">
        <f t="shared" si="16"/>
        <v>106.89357690842587</v>
      </c>
      <c r="E91" s="422">
        <f t="shared" si="16"/>
        <v>115.71776280232694</v>
      </c>
      <c r="F91" s="423">
        <f t="shared" si="16"/>
        <v>124.30149430319064</v>
      </c>
      <c r="U91" s="170" t="s">
        <v>478</v>
      </c>
      <c r="V91" s="422">
        <f t="shared" ref="V91:Y93" si="17">IF(ISERROR(V85/$V85),"",(V85/$V85)*100)</f>
        <v>100</v>
      </c>
      <c r="W91" s="422">
        <f t="shared" si="17"/>
        <v>108.20299073653344</v>
      </c>
      <c r="X91" s="422">
        <f t="shared" si="17"/>
        <v>102.27889064130373</v>
      </c>
      <c r="Y91" s="423">
        <f t="shared" si="17"/>
        <v>106.94918354632448</v>
      </c>
    </row>
    <row r="92" spans="2:25">
      <c r="B92" s="111" t="s">
        <v>184</v>
      </c>
      <c r="C92" s="422">
        <f t="shared" si="16"/>
        <v>100</v>
      </c>
      <c r="D92" s="422">
        <f t="shared" si="16"/>
        <v>108.20299073653344</v>
      </c>
      <c r="E92" s="422">
        <f t="shared" si="16"/>
        <v>102.27889064130376</v>
      </c>
      <c r="F92" s="423">
        <f t="shared" si="16"/>
        <v>106.94918354632448</v>
      </c>
      <c r="G92" s="141"/>
      <c r="U92" s="170"/>
      <c r="V92" s="422" t="str">
        <f t="shared" si="17"/>
        <v/>
      </c>
      <c r="W92" s="422" t="str">
        <f t="shared" si="17"/>
        <v/>
      </c>
      <c r="X92" s="422" t="str">
        <f t="shared" si="17"/>
        <v/>
      </c>
      <c r="Y92" s="423" t="str">
        <f t="shared" si="17"/>
        <v/>
      </c>
    </row>
    <row r="93" spans="2:25">
      <c r="B93" s="115" t="s">
        <v>181</v>
      </c>
      <c r="C93" s="424">
        <f>IF(ISERROR(C87/$C87),"",(C87/$C87)*100)</f>
        <v>100</v>
      </c>
      <c r="D93" s="424">
        <f>IF(ISERROR(D87/$C87),"",(D87/$C87)*100)</f>
        <v>116.06252249451938</v>
      </c>
      <c r="E93" s="424">
        <f>IF(ISERROR(E87/$C87),"",(E87/$C87)*100)</f>
        <v>120.84141576568761</v>
      </c>
      <c r="F93" s="416">
        <f>IF(ISERROR(F87/$C87),"",(F87/$C87)*100)</f>
        <v>132.79901270681898</v>
      </c>
      <c r="G93" s="141"/>
      <c r="U93" s="208" t="s">
        <v>181</v>
      </c>
      <c r="V93" s="424">
        <f t="shared" si="17"/>
        <v>100</v>
      </c>
      <c r="W93" s="424">
        <f t="shared" si="17"/>
        <v>116.0625224945194</v>
      </c>
      <c r="X93" s="424">
        <f t="shared" si="17"/>
        <v>120.84141576568759</v>
      </c>
      <c r="Y93" s="416">
        <f t="shared" si="17"/>
        <v>132.79901270681898</v>
      </c>
    </row>
    <row r="96" spans="2:25">
      <c r="B96" s="517" t="s">
        <v>253</v>
      </c>
      <c r="C96" s="510"/>
      <c r="D96" s="510"/>
      <c r="E96" s="510"/>
      <c r="F96" s="511"/>
      <c r="U96" s="533" t="s">
        <v>253</v>
      </c>
      <c r="V96" s="510"/>
      <c r="W96" s="510"/>
      <c r="X96" s="510"/>
      <c r="Y96" s="511"/>
    </row>
    <row r="97" spans="2:25">
      <c r="B97" s="154"/>
      <c r="C97" s="144">
        <v>2008</v>
      </c>
      <c r="D97" s="144">
        <v>2009</v>
      </c>
      <c r="E97" s="144">
        <v>2010</v>
      </c>
      <c r="F97" s="145">
        <v>2011</v>
      </c>
      <c r="U97" s="154"/>
      <c r="V97" s="144">
        <v>2008</v>
      </c>
      <c r="W97" s="144">
        <v>2009</v>
      </c>
      <c r="X97" s="144">
        <v>2010</v>
      </c>
      <c r="Y97" s="145">
        <v>2011</v>
      </c>
    </row>
    <row r="98" spans="2:25">
      <c r="B98" s="155" t="s">
        <v>308</v>
      </c>
      <c r="C98" s="150">
        <f>VLOOKUP($C$38,'MP (2011)'!$A$14:$AR$245,'MP (2011)'!$AB$246,FALSE)</f>
        <v>7437</v>
      </c>
      <c r="D98" s="150">
        <f>VLOOKUP($D$38,'MP (2011)'!$A$14:$AR$245,'MP (2011)'!$AB$246,FALSE)</f>
        <v>7475</v>
      </c>
      <c r="E98" s="150">
        <f>VLOOKUP($E$38,'MP (2011)'!$A$14:$AR$245,'MP (2011)'!$AB$246,FALSE)</f>
        <v>1745</v>
      </c>
      <c r="F98" s="151">
        <f>VLOOKUP($F$38,'MP (2011)'!$A$14:$AR$245,'MP (2011)'!$AB$246,FALSE)</f>
        <v>2011</v>
      </c>
      <c r="U98" s="170" t="s">
        <v>477</v>
      </c>
      <c r="V98" s="150">
        <f>C98+C99</f>
        <v>8786</v>
      </c>
      <c r="W98" s="150">
        <f t="shared" ref="W98:X98" si="18">D98+D99</f>
        <v>8846</v>
      </c>
      <c r="X98" s="150">
        <f t="shared" si="18"/>
        <v>8909</v>
      </c>
      <c r="Y98" s="151">
        <f>F98+F99</f>
        <v>8953</v>
      </c>
    </row>
    <row r="99" spans="2:25">
      <c r="B99" s="155" t="s">
        <v>309</v>
      </c>
      <c r="C99" s="150">
        <f>VLOOKUP($C$38,'MP (2011)'!$A$14:$AR$245,'MP (2011)'!$AF$246,FALSE)</f>
        <v>1349</v>
      </c>
      <c r="D99" s="150">
        <f>VLOOKUP($D$38,'MP (2011)'!$A$14:$AR$245,'MP (2011)'!$AF$246,FALSE)</f>
        <v>1371</v>
      </c>
      <c r="E99" s="150">
        <f>VLOOKUP($E$38,'MP (2011)'!$A$14:$AR$245,'MP (2011)'!$AF$246,FALSE)</f>
        <v>7164</v>
      </c>
      <c r="F99" s="151">
        <f>VLOOKUP($F$38,'MP (2011)'!$A$14:$AR$245,'MP (2011)'!$AF$246,FALSE)</f>
        <v>6942</v>
      </c>
      <c r="U99" s="170" t="s">
        <v>478</v>
      </c>
      <c r="V99" s="150">
        <f>C100</f>
        <v>90</v>
      </c>
      <c r="W99" s="150">
        <f t="shared" ref="W99:X99" si="19">D100</f>
        <v>92</v>
      </c>
      <c r="X99" s="150">
        <f t="shared" si="19"/>
        <v>94</v>
      </c>
      <c r="Y99" s="151">
        <f>F100</f>
        <v>90</v>
      </c>
    </row>
    <row r="100" spans="2:25">
      <c r="B100" s="155" t="s">
        <v>310</v>
      </c>
      <c r="C100" s="150">
        <f>VLOOKUP($C$38,'MP (2011)'!$A$14:$AR$245,'MP (2011)'!$AJ$246,FALSE)</f>
        <v>90</v>
      </c>
      <c r="D100" s="150">
        <f>VLOOKUP($D$38,'MP (2011)'!$A$14:$AR$245,'MP (2011)'!$AJ$246,FALSE)</f>
        <v>92</v>
      </c>
      <c r="E100" s="150">
        <f>VLOOKUP($E$38,'MP (2011)'!$A$14:$AR$245,'MP (2011)'!$AJ$246,FALSE)</f>
        <v>94</v>
      </c>
      <c r="F100" s="151">
        <f>VLOOKUP($F$38,'MP (2011)'!$A$14:$AR$245,'MP (2011)'!$AJ$246,FALSE)</f>
        <v>90</v>
      </c>
      <c r="U100" s="170"/>
      <c r="V100" s="150"/>
      <c r="W100" s="150"/>
      <c r="X100" s="150"/>
      <c r="Y100" s="151"/>
    </row>
    <row r="101" spans="2:25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  <c r="U101" s="170" t="s">
        <v>181</v>
      </c>
      <c r="V101" s="150">
        <f>C101</f>
        <v>5</v>
      </c>
      <c r="W101" s="150">
        <f>D101</f>
        <v>5</v>
      </c>
      <c r="X101" s="150">
        <f>E101</f>
        <v>5</v>
      </c>
      <c r="Y101" s="151">
        <f>F101</f>
        <v>5</v>
      </c>
    </row>
    <row r="102" spans="2:25">
      <c r="B102" s="156" t="s">
        <v>254</v>
      </c>
      <c r="C102" s="152">
        <f>SUM(C98:C101)</f>
        <v>8881</v>
      </c>
      <c r="D102" s="152">
        <f>SUM(D98:D101)</f>
        <v>8943</v>
      </c>
      <c r="E102" s="152">
        <f>SUM(E98:E101)</f>
        <v>9008</v>
      </c>
      <c r="F102" s="157">
        <f>SUM(F98:F101)</f>
        <v>9048</v>
      </c>
      <c r="U102" s="208" t="s">
        <v>254</v>
      </c>
      <c r="V102" s="152">
        <f>SUM(V98:V101)</f>
        <v>8881</v>
      </c>
      <c r="W102" s="152">
        <f>SUM(W98:W101)</f>
        <v>8943</v>
      </c>
      <c r="X102" s="152">
        <f>SUM(X98:X101)</f>
        <v>9008</v>
      </c>
      <c r="Y102" s="157">
        <f>SUM(Y98:Y101)</f>
        <v>9048</v>
      </c>
    </row>
    <row r="103" spans="2:25">
      <c r="B103" s="103" t="s">
        <v>305</v>
      </c>
      <c r="U103" s="102" t="s">
        <v>305</v>
      </c>
    </row>
    <row r="104" spans="2:25">
      <c r="B104" s="137"/>
      <c r="C104" s="140">
        <v>2008</v>
      </c>
      <c r="D104" s="144">
        <v>2009</v>
      </c>
      <c r="E104" s="144">
        <v>2010</v>
      </c>
      <c r="F104" s="145">
        <v>2011</v>
      </c>
      <c r="U104" s="154"/>
      <c r="V104" s="536">
        <v>2008</v>
      </c>
      <c r="W104" s="534">
        <v>2009</v>
      </c>
      <c r="X104" s="534">
        <v>2010</v>
      </c>
      <c r="Y104" s="535">
        <v>2011</v>
      </c>
    </row>
    <row r="105" spans="2:25">
      <c r="B105" s="111" t="s">
        <v>185</v>
      </c>
      <c r="C105" s="422">
        <f t="shared" ref="C105:F108" si="20">IF(ISERROR(C98/$C98),"",(C98/$C98)*100)</f>
        <v>100</v>
      </c>
      <c r="D105" s="422">
        <f t="shared" si="20"/>
        <v>100.51095871991393</v>
      </c>
      <c r="E105" s="422">
        <f t="shared" si="20"/>
        <v>23.46376226973242</v>
      </c>
      <c r="F105" s="423">
        <f t="shared" si="20"/>
        <v>27.040473309130025</v>
      </c>
      <c r="U105" s="170" t="s">
        <v>477</v>
      </c>
      <c r="V105" s="422">
        <f>IF(ISERROR(V98/$V98),"",(V98/$V98)*100)</f>
        <v>100</v>
      </c>
      <c r="W105" s="422">
        <f t="shared" ref="W105:Y105" si="21">IF(ISERROR(W98/$V98),"",(W98/$V98)*100)</f>
        <v>100.68290462098794</v>
      </c>
      <c r="X105" s="422">
        <f t="shared" si="21"/>
        <v>101.39995447302528</v>
      </c>
      <c r="Y105" s="423">
        <f t="shared" si="21"/>
        <v>101.90075119508309</v>
      </c>
    </row>
    <row r="106" spans="2:25">
      <c r="B106" s="111" t="s">
        <v>180</v>
      </c>
      <c r="C106" s="422">
        <f t="shared" si="20"/>
        <v>100</v>
      </c>
      <c r="D106" s="422">
        <f t="shared" si="20"/>
        <v>101.6308376575241</v>
      </c>
      <c r="E106" s="422">
        <f t="shared" si="20"/>
        <v>531.06004447739065</v>
      </c>
      <c r="F106" s="423">
        <f t="shared" si="20"/>
        <v>514.60340993328396</v>
      </c>
      <c r="G106" s="141"/>
      <c r="U106" s="170" t="s">
        <v>478</v>
      </c>
      <c r="V106" s="422">
        <f t="shared" ref="V106:Y108" si="22">IF(ISERROR(V99/$V99),"",(V99/$V99)*100)</f>
        <v>100</v>
      </c>
      <c r="W106" s="422">
        <f t="shared" si="22"/>
        <v>102.22222222222221</v>
      </c>
      <c r="X106" s="422">
        <f t="shared" si="22"/>
        <v>104.44444444444446</v>
      </c>
      <c r="Y106" s="423">
        <f t="shared" si="22"/>
        <v>100</v>
      </c>
    </row>
    <row r="107" spans="2:25">
      <c r="B107" s="111" t="s">
        <v>184</v>
      </c>
      <c r="C107" s="422">
        <f t="shared" si="20"/>
        <v>100</v>
      </c>
      <c r="D107" s="422">
        <f t="shared" si="20"/>
        <v>102.22222222222221</v>
      </c>
      <c r="E107" s="422">
        <f t="shared" si="20"/>
        <v>104.44444444444446</v>
      </c>
      <c r="F107" s="423">
        <f t="shared" si="20"/>
        <v>100</v>
      </c>
      <c r="G107" s="141"/>
      <c r="U107" s="170"/>
      <c r="V107" s="422" t="str">
        <f t="shared" si="22"/>
        <v/>
      </c>
      <c r="W107" s="422" t="str">
        <f t="shared" si="22"/>
        <v/>
      </c>
      <c r="X107" s="422" t="str">
        <f t="shared" si="22"/>
        <v/>
      </c>
      <c r="Y107" s="423" t="str">
        <f t="shared" si="22"/>
        <v/>
      </c>
    </row>
    <row r="108" spans="2:25">
      <c r="B108" s="115" t="s">
        <v>181</v>
      </c>
      <c r="C108" s="424">
        <f t="shared" si="20"/>
        <v>100</v>
      </c>
      <c r="D108" s="424">
        <f t="shared" si="20"/>
        <v>100</v>
      </c>
      <c r="E108" s="424">
        <f t="shared" si="20"/>
        <v>100</v>
      </c>
      <c r="F108" s="416">
        <f t="shared" si="20"/>
        <v>100</v>
      </c>
      <c r="U108" s="170" t="s">
        <v>181</v>
      </c>
      <c r="V108" s="422">
        <f t="shared" si="22"/>
        <v>100</v>
      </c>
      <c r="W108" s="422">
        <f t="shared" si="22"/>
        <v>100</v>
      </c>
      <c r="X108" s="422">
        <f t="shared" si="22"/>
        <v>100</v>
      </c>
      <c r="Y108" s="423">
        <f t="shared" si="22"/>
        <v>100</v>
      </c>
    </row>
    <row r="109" spans="2:25">
      <c r="U109" s="208"/>
      <c r="V109" s="205"/>
      <c r="W109" s="205"/>
      <c r="X109" s="205"/>
      <c r="Y109" s="206"/>
    </row>
    <row r="111" spans="2:25">
      <c r="B111" s="517" t="s">
        <v>255</v>
      </c>
      <c r="C111" s="510"/>
      <c r="D111" s="510"/>
      <c r="E111" s="510"/>
      <c r="F111" s="511"/>
      <c r="U111" s="533" t="s">
        <v>255</v>
      </c>
      <c r="V111" s="510"/>
      <c r="W111" s="510"/>
      <c r="X111" s="510"/>
      <c r="Y111" s="511"/>
    </row>
    <row r="112" spans="2:25">
      <c r="B112" s="137" t="str">
        <f>$B$2</f>
        <v>Nelson</v>
      </c>
      <c r="C112" s="144">
        <v>2008</v>
      </c>
      <c r="D112" s="144">
        <v>2009</v>
      </c>
      <c r="E112" s="144">
        <v>2010</v>
      </c>
      <c r="F112" s="145">
        <v>2011</v>
      </c>
      <c r="U112" s="154" t="str">
        <f>$B$2</f>
        <v>Nelson</v>
      </c>
      <c r="V112" s="144">
        <v>2008</v>
      </c>
      <c r="W112" s="144">
        <v>2009</v>
      </c>
      <c r="X112" s="144">
        <v>2010</v>
      </c>
      <c r="Y112" s="145">
        <v>2011</v>
      </c>
    </row>
    <row r="113" spans="2:25">
      <c r="B113" s="155" t="s">
        <v>308</v>
      </c>
      <c r="C113" s="146">
        <f>VLOOKUP($C$38,'MP (2011)'!$A$14:$AR$245,'MP (2011)'!$AA$246,FALSE)</f>
        <v>55443.531999999999</v>
      </c>
      <c r="D113" s="150">
        <f>VLOOKUP($D$38,'MP (2011)'!$A$14:$AR$245,'MP (2011)'!$AA$246,FALSE)</f>
        <v>55762.953000000001</v>
      </c>
      <c r="E113" s="150">
        <f>VLOOKUP($E$38,'MP (2011)'!$A$14:$AR$245,'MP (2011)'!$AA$246,FALSE)</f>
        <v>10194.529</v>
      </c>
      <c r="F113" s="151">
        <f>VLOOKUP($F$38,'MP (2011)'!$A$14:$AR$245,'MP (2011)'!$AA$246,FALSE)</f>
        <v>10613</v>
      </c>
      <c r="U113" s="170" t="s">
        <v>477</v>
      </c>
      <c r="V113" s="426">
        <f>C113+C114</f>
        <v>85214.593999999997</v>
      </c>
      <c r="W113" s="433">
        <f t="shared" ref="W113:X113" si="23">D113+D114</f>
        <v>85931.896999999997</v>
      </c>
      <c r="X113" s="433">
        <f t="shared" si="23"/>
        <v>86815.258999999991</v>
      </c>
      <c r="Y113" s="434">
        <f>F113+F114</f>
        <v>83727</v>
      </c>
    </row>
    <row r="114" spans="2:25">
      <c r="B114" s="155" t="s">
        <v>309</v>
      </c>
      <c r="C114" s="150">
        <f>VLOOKUP($C$38,'MP (2011)'!$A$14:$AR$245,'MP (2011)'!$AE$246,FALSE)</f>
        <v>29771.062000000002</v>
      </c>
      <c r="D114" s="150">
        <f>VLOOKUP($D$38,'MP (2011)'!$A$14:$AR$245,'MP (2011)'!$AE$246,FALSE)</f>
        <v>30168.944</v>
      </c>
      <c r="E114" s="150">
        <f>VLOOKUP($E$38,'MP (2011)'!$A$14:$AR$245,'MP (2011)'!$AE$246,FALSE)</f>
        <v>76620.73</v>
      </c>
      <c r="F114" s="151">
        <f>VLOOKUP($F$38,'MP (2011)'!$A$14:$AR$245,'MP (2011)'!$AE$246,FALSE)</f>
        <v>73114</v>
      </c>
      <c r="U114" s="170" t="s">
        <v>478</v>
      </c>
      <c r="V114" s="433">
        <f>C115</f>
        <v>37892.311999999998</v>
      </c>
      <c r="W114" s="433">
        <f t="shared" ref="W114:X114" si="24">D115</f>
        <v>37411.525000000001</v>
      </c>
      <c r="X114" s="433">
        <f t="shared" si="24"/>
        <v>38114.828000000001</v>
      </c>
      <c r="Y114" s="434">
        <f>F115</f>
        <v>34584</v>
      </c>
    </row>
    <row r="115" spans="2:25">
      <c r="B115" s="155" t="s">
        <v>310</v>
      </c>
      <c r="C115" s="150">
        <f>VLOOKUP($C$38,'MP (2011)'!$A$14:$AR$245,'MP (2011)'!$AI$246,FALSE)</f>
        <v>37892.311999999998</v>
      </c>
      <c r="D115" s="150">
        <f>VLOOKUP($D$38,'MP (2011)'!$A$14:$AR$245,'MP (2011)'!$AI$246,FALSE)</f>
        <v>37411.525000000001</v>
      </c>
      <c r="E115" s="150">
        <f>VLOOKUP($E$38,'MP (2011)'!$A$14:$AR$245,'MP (2011)'!$AI$246,FALSE)</f>
        <v>38114.828000000001</v>
      </c>
      <c r="F115" s="151">
        <f>VLOOKUP($F$38,'MP (2011)'!$A$14:$AR$245,'MP (2011)'!$AI$246,FALSE)</f>
        <v>34584</v>
      </c>
      <c r="U115" s="170"/>
      <c r="V115" s="433"/>
      <c r="W115" s="433"/>
      <c r="X115" s="433"/>
      <c r="Y115" s="434"/>
    </row>
    <row r="116" spans="2:25">
      <c r="B116" s="155" t="s">
        <v>311</v>
      </c>
      <c r="C116" s="150">
        <f>VLOOKUP($C$38,'MP (2011)'!$A$14:$AR$245,'MP (2011)'!$AM$246,FALSE)</f>
        <v>26999</v>
      </c>
      <c r="D116" s="150">
        <f>VLOOKUP($D$38,'MP (2011)'!$A$14:$AR$245,'MP (2011)'!$AM$246,FALSE)</f>
        <v>25072.727999999999</v>
      </c>
      <c r="E116" s="150">
        <f>VLOOKUP($E$38,'MP (2011)'!$A$14:$AR$245,'MP (2011)'!$AM$246,FALSE)</f>
        <v>22568.313999999998</v>
      </c>
      <c r="F116" s="151">
        <f>VLOOKUP($F$38,'MP (2011)'!$A$14:$AR$245,'MP (2011)'!$AM$246,FALSE)</f>
        <v>27440</v>
      </c>
      <c r="U116" s="170" t="s">
        <v>181</v>
      </c>
      <c r="V116" s="433">
        <f>C116</f>
        <v>26999</v>
      </c>
      <c r="W116" s="433">
        <f>D116</f>
        <v>25072.727999999999</v>
      </c>
      <c r="X116" s="433">
        <f>E116</f>
        <v>22568.313999999998</v>
      </c>
      <c r="Y116" s="434">
        <f>F116</f>
        <v>27440</v>
      </c>
    </row>
    <row r="117" spans="2:25">
      <c r="B117" s="147" t="s">
        <v>254</v>
      </c>
      <c r="C117" s="158">
        <f>SUM(C113:C116)</f>
        <v>150105.90599999999</v>
      </c>
      <c r="D117" s="158">
        <f>SUM(D113:D116)</f>
        <v>148416.15</v>
      </c>
      <c r="E117" s="158">
        <f>SUM(E113:E116)</f>
        <v>147498.40100000001</v>
      </c>
      <c r="F117" s="159">
        <f>SUM(F113:F116)</f>
        <v>145751</v>
      </c>
      <c r="U117" s="208" t="s">
        <v>254</v>
      </c>
      <c r="V117" s="445">
        <f>SUM(V113:V116)</f>
        <v>150105.90599999999</v>
      </c>
      <c r="W117" s="445">
        <f>SUM(W113:W116)</f>
        <v>148416.15</v>
      </c>
      <c r="X117" s="445">
        <f>SUM(X113:X116)</f>
        <v>147498.40100000001</v>
      </c>
      <c r="Y117" s="537">
        <f>SUM(Y113:Y116)</f>
        <v>145751</v>
      </c>
    </row>
    <row r="118" spans="2:25">
      <c r="B118" s="103" t="s">
        <v>306</v>
      </c>
      <c r="U118" s="102" t="s">
        <v>306</v>
      </c>
    </row>
    <row r="119" spans="2:25">
      <c r="B119" s="137" t="str">
        <f>$B$2</f>
        <v>Nelson</v>
      </c>
      <c r="C119" s="144">
        <v>2008</v>
      </c>
      <c r="D119" s="144">
        <v>2009</v>
      </c>
      <c r="E119" s="144">
        <v>2010</v>
      </c>
      <c r="F119" s="145">
        <v>2011</v>
      </c>
      <c r="U119" s="154"/>
      <c r="V119" s="534">
        <v>2008</v>
      </c>
      <c r="W119" s="534">
        <v>2009</v>
      </c>
      <c r="X119" s="534">
        <v>2010</v>
      </c>
      <c r="Y119" s="535">
        <v>2011</v>
      </c>
    </row>
    <row r="120" spans="2:25">
      <c r="B120" s="111" t="s">
        <v>185</v>
      </c>
      <c r="C120" s="422">
        <f t="shared" ref="C120:F123" si="25">IF(ISERROR(C113/$C113),"",(C113/$C113)*100)</f>
        <v>100</v>
      </c>
      <c r="D120" s="422">
        <f t="shared" si="25"/>
        <v>100.57611950118908</v>
      </c>
      <c r="E120" s="422">
        <f t="shared" si="25"/>
        <v>18.387228649141619</v>
      </c>
      <c r="F120" s="423">
        <f t="shared" si="25"/>
        <v>19.141998384951378</v>
      </c>
      <c r="U120" s="170" t="s">
        <v>477</v>
      </c>
      <c r="V120" s="422">
        <f>IF(ISERROR(V113/$V113),"",(V113/$V113)*100)</f>
        <v>100</v>
      </c>
      <c r="W120" s="422">
        <f t="shared" ref="W120:Y120" si="26">IF(ISERROR(W113/$V113),"",(W113/$V113)*100)</f>
        <v>100.84176074347077</v>
      </c>
      <c r="X120" s="422">
        <f t="shared" si="26"/>
        <v>101.87839303676081</v>
      </c>
      <c r="Y120" s="423">
        <f t="shared" si="26"/>
        <v>98.254296675989565</v>
      </c>
    </row>
    <row r="121" spans="2:25">
      <c r="B121" s="111" t="s">
        <v>180</v>
      </c>
      <c r="C121" s="422">
        <f t="shared" si="25"/>
        <v>100</v>
      </c>
      <c r="D121" s="422">
        <f t="shared" si="25"/>
        <v>101.33647230992295</v>
      </c>
      <c r="E121" s="422">
        <f t="shared" si="25"/>
        <v>257.36646546233379</v>
      </c>
      <c r="F121" s="423">
        <f t="shared" si="25"/>
        <v>245.58747685924001</v>
      </c>
      <c r="U121" s="170" t="s">
        <v>478</v>
      </c>
      <c r="V121" s="422">
        <f t="shared" ref="V121:Y123" si="27">IF(ISERROR(V114/$V114),"",(V114/$V114)*100)</f>
        <v>100</v>
      </c>
      <c r="W121" s="422">
        <f t="shared" si="27"/>
        <v>98.731175337097412</v>
      </c>
      <c r="X121" s="422">
        <f t="shared" si="27"/>
        <v>100.58723257636008</v>
      </c>
      <c r="Y121" s="423">
        <f t="shared" si="27"/>
        <v>91.269173546338379</v>
      </c>
    </row>
    <row r="122" spans="2:25">
      <c r="B122" s="111" t="s">
        <v>184</v>
      </c>
      <c r="C122" s="422">
        <f t="shared" si="25"/>
        <v>100</v>
      </c>
      <c r="D122" s="422">
        <f t="shared" si="25"/>
        <v>98.731175337097412</v>
      </c>
      <c r="E122" s="422">
        <f t="shared" si="25"/>
        <v>100.58723257636008</v>
      </c>
      <c r="F122" s="423">
        <f t="shared" si="25"/>
        <v>91.269173546338379</v>
      </c>
      <c r="U122" s="170"/>
      <c r="V122" s="422" t="str">
        <f t="shared" si="27"/>
        <v/>
      </c>
      <c r="W122" s="422" t="str">
        <f t="shared" si="27"/>
        <v/>
      </c>
      <c r="X122" s="422" t="str">
        <f t="shared" si="27"/>
        <v/>
      </c>
      <c r="Y122" s="423" t="str">
        <f t="shared" si="27"/>
        <v/>
      </c>
    </row>
    <row r="123" spans="2:25">
      <c r="B123" s="115" t="s">
        <v>181</v>
      </c>
      <c r="C123" s="424">
        <f t="shared" si="25"/>
        <v>100</v>
      </c>
      <c r="D123" s="424">
        <f t="shared" si="25"/>
        <v>92.865395014630167</v>
      </c>
      <c r="E123" s="424">
        <f t="shared" si="25"/>
        <v>83.589444053483447</v>
      </c>
      <c r="F123" s="416">
        <f t="shared" si="25"/>
        <v>101.63339382940109</v>
      </c>
      <c r="U123" s="170" t="s">
        <v>181</v>
      </c>
      <c r="V123" s="422">
        <f t="shared" si="27"/>
        <v>100</v>
      </c>
      <c r="W123" s="422">
        <f t="shared" si="27"/>
        <v>92.865395014630167</v>
      </c>
      <c r="X123" s="422">
        <f t="shared" si="27"/>
        <v>83.589444053483447</v>
      </c>
      <c r="Y123" s="423">
        <f t="shared" si="27"/>
        <v>101.63339382940109</v>
      </c>
    </row>
    <row r="124" spans="2:25">
      <c r="U124" s="208"/>
      <c r="V124" s="205"/>
      <c r="W124" s="205"/>
      <c r="X124" s="205"/>
      <c r="Y124" s="206"/>
    </row>
    <row r="126" spans="2:25">
      <c r="B126" s="517" t="s">
        <v>256</v>
      </c>
      <c r="C126" s="510"/>
      <c r="D126" s="510"/>
      <c r="E126" s="510"/>
      <c r="F126" s="511"/>
    </row>
    <row r="127" spans="2:25">
      <c r="B127" s="137" t="str">
        <f>$B$2</f>
        <v>Nelson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25">
      <c r="B128" s="162" t="s">
        <v>259</v>
      </c>
      <c r="C128" s="439">
        <f>VLOOKUP($C$38,'FS (2011)'!$A$13:$AH$244,'FS (2011)'!$I$245,FALSE)</f>
        <v>8365.5145182629512</v>
      </c>
      <c r="D128" s="433">
        <f>VLOOKUP($D$38,'FS (2011)'!$A$13:$AH$244,'FS (2011)'!$I$245,FALSE)</f>
        <v>9342.134039975288</v>
      </c>
      <c r="E128" s="433">
        <f>VLOOKUP($E$38,'FS (2011)'!$A$13:$AH$244,'FS (2011)'!$I$245,FALSE)</f>
        <v>8776.2480127185991</v>
      </c>
      <c r="F128" s="440">
        <f>VLOOKUP($F$38,'FS (2011)'!$A$13:$AH$244,'FS (2011)'!$I$245,FALSE)</f>
        <v>9119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806.21512319865406</v>
      </c>
      <c r="D129" s="433">
        <f>VLOOKUP($D$38,'FS (2011)'!$A$13:$AH$244,'FS (2011)'!$Y$245,FALSE)+VLOOKUP($D$38,'FS (2011)'!$A$13:$AH$244,'FS (2011)'!$Z$245,FALSE)</f>
        <v>700.67905791475027</v>
      </c>
      <c r="E129" s="433">
        <f>VLOOKUP($E$38,'FS (2011)'!$A$13:$AH$244,'FS (2011)'!$Y$245,FALSE)+VLOOKUP($E$38,'FS (2011)'!$A$13:$AH$244,'FS (2011)'!$Z$245,FALSE)</f>
        <v>484.9559239201314</v>
      </c>
      <c r="F129" s="440">
        <f>VLOOKUP($F$38,'FS (2011)'!$A$13:$AH$244,'FS (2011)'!$Y$245,FALSE)+VLOOKUP($F$38,'FS (2011)'!$A$13:$AH$244,'FS (2011)'!$Z$245,FALSE)</f>
        <v>1058.9313</v>
      </c>
      <c r="G129" s="121"/>
    </row>
    <row r="130" spans="1:30">
      <c r="B130" s="162" t="s">
        <v>191</v>
      </c>
      <c r="C130" s="441">
        <f>VLOOKUP($C$38,'FS (2011)'!$A$13:$AH$244,'FS (2011)'!$J$245,FALSE)</f>
        <v>2233.4938715748053</v>
      </c>
      <c r="D130" s="433">
        <f>VLOOKUP($D$38,'FS (2011)'!$A$13:$AH$244,'FS (2011)'!$J$245,FALSE)</f>
        <v>2543.3317317592141</v>
      </c>
      <c r="E130" s="433">
        <f>VLOOKUP($E$38,'FS (2011)'!$A$13:$AH$244,'FS (2011)'!$J$245,FALSE)</f>
        <v>2525.6929212362907</v>
      </c>
      <c r="F130" s="440">
        <f>VLOOKUP($F$38,'FS (2011)'!$A$13:$AH$244,'FS (2011)'!$J$245,FALSE)</f>
        <v>2455</v>
      </c>
    </row>
    <row r="131" spans="1:30">
      <c r="B131" s="162" t="s">
        <v>182</v>
      </c>
      <c r="C131" s="441">
        <f>VLOOKUP($C$38,'FS (2011)'!$A$13:$AH$244,'FS (2011)'!$S$245,FALSE)</f>
        <v>1907.787312879587</v>
      </c>
      <c r="D131" s="433">
        <f>VLOOKUP($D$38,'FS (2011)'!$A$13:$AH$244,'FS (2011)'!$S$245,FALSE)</f>
        <v>1944.3511565653093</v>
      </c>
      <c r="E131" s="433">
        <f>VLOOKUP($E$38,'FS (2011)'!$A$13:$AH$244,'FS (2011)'!$S$245,FALSE)</f>
        <v>2193.5525854867824</v>
      </c>
      <c r="F131" s="440">
        <f>VLOOKUP($F$38,'FS (2011)'!$A$13:$AH$244,'FS (2011)'!$S$245,FALSE)</f>
        <v>1749</v>
      </c>
      <c r="I131" s="139"/>
    </row>
    <row r="132" spans="1:30">
      <c r="B132" s="162" t="s">
        <v>143</v>
      </c>
      <c r="C132" s="441">
        <f>VLOOKUP($C$38,'FS (2011)'!$A$13:$AH$244,'FS (2011)'!$U$245,FALSE)</f>
        <v>1089.2719134897777</v>
      </c>
      <c r="D132" s="433">
        <f>VLOOKUP($D$38,'FS (2011)'!$A$13:$AH$244,'FS (2011)'!$U$245,FALSE)</f>
        <v>1154.0560818450131</v>
      </c>
      <c r="E132" s="433">
        <f>VLOOKUP($E$38,'FS (2011)'!$A$13:$AH$244,'FS (2011)'!$U$245,FALSE)</f>
        <v>1380.9744124653066</v>
      </c>
      <c r="F132" s="440">
        <f>VLOOKUP($F$38,'FS (2011)'!$A$13:$AH$244,'FS (2011)'!$U$245,FALSE)</f>
        <v>1479.3735999999999</v>
      </c>
    </row>
    <row r="133" spans="1:30">
      <c r="B133" s="162" t="s">
        <v>196</v>
      </c>
      <c r="C133" s="441">
        <f>VLOOKUP($C$38,'FS (2011)'!$A$13:$AH$244,'FS (2011)'!$X$245,FALSE)</f>
        <v>919.77713638618798</v>
      </c>
      <c r="D133" s="433">
        <f>VLOOKUP($D$38,'FS (2011)'!$A$13:$AH$244,'FS (2011)'!$X$245,FALSE)</f>
        <v>1019.9963499787217</v>
      </c>
      <c r="E133" s="433">
        <f>VLOOKUP($E$38,'FS (2011)'!$A$13:$AH$244,'FS (2011)'!$X$245,FALSE)</f>
        <v>822.8126495567351</v>
      </c>
      <c r="F133" s="440">
        <f>VLOOKUP($F$38,'FS (2011)'!$A$13:$AH$244,'FS (2011)'!$X$245,FALSE)</f>
        <v>1042.9096999999999</v>
      </c>
      <c r="Q133" s="559"/>
      <c r="R133" s="559"/>
      <c r="S133" s="559"/>
      <c r="T133" s="559"/>
      <c r="U133" s="559"/>
      <c r="V133" s="559"/>
      <c r="W133" s="559"/>
      <c r="X133" s="559"/>
      <c r="Y133" s="559"/>
      <c r="Z133" s="559"/>
      <c r="AA133" s="559"/>
      <c r="AB133" s="559"/>
      <c r="AC133" s="559"/>
      <c r="AD133" s="559"/>
    </row>
    <row r="134" spans="1:30">
      <c r="B134" s="164" t="s">
        <v>258</v>
      </c>
      <c r="C134" s="442">
        <f>VLOOKUP($C$38,'FS (2011)'!$A$13:$AH$244,'FS (2011)'!$AA$245,FALSE)</f>
        <v>3021.3993532263121</v>
      </c>
      <c r="D134" s="435">
        <f>VLOOKUP($D$38,'FS (2011)'!$A$13:$AH$244,'FS (2011)'!$AA$245,FALSE)</f>
        <v>3381.0777985036711</v>
      </c>
      <c r="E134" s="435">
        <f>VLOOKUP($E$38,'FS (2011)'!$A$13:$AH$244,'FS (2011)'!$AA$245,FALSE)</f>
        <v>2338.17137808197</v>
      </c>
      <c r="F134" s="443">
        <f>VLOOKUP($F$38,'FS (2011)'!$A$13:$AH$244,'FS (2011)'!$AA$245,FALSE)</f>
        <v>3451.6480000000001</v>
      </c>
      <c r="Q134" s="559"/>
      <c r="R134" s="559"/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2</v>
      </c>
      <c r="B138" s="166" t="s">
        <v>204</v>
      </c>
      <c r="C138" s="167"/>
      <c r="D138" s="444">
        <f>VLOOKUP($D$6,'FS (2011)'!$A$13:$AH$244,'FS (2011)'!$L$245,FALSE)</f>
        <v>345</v>
      </c>
      <c r="E138" s="446">
        <f t="shared" ref="E138:E144" si="28">D138/$D$145</f>
        <v>0.19725557461406518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1078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29">RANK(D139,$D$138:$D$144)</f>
        <v>1</v>
      </c>
      <c r="B139" s="162" t="s">
        <v>199</v>
      </c>
      <c r="C139" s="121"/>
      <c r="D139" s="441">
        <f>VLOOKUP($D$6,'FS (2011)'!$A$13:$AH$244,'FS (2011)'!K245,FALSE)</f>
        <v>1078</v>
      </c>
      <c r="E139" s="414">
        <f t="shared" si="28"/>
        <v>0.61635220125786161</v>
      </c>
      <c r="Q139" s="559"/>
      <c r="R139" s="559"/>
      <c r="S139" s="559"/>
      <c r="T139" s="559">
        <v>2</v>
      </c>
      <c r="U139" s="559" t="str">
        <f t="shared" ref="U139:U144" si="30">VLOOKUP(T139,$A$138:$E$144,2,FALSE)</f>
        <v>System management and operations</v>
      </c>
      <c r="V139" s="559">
        <f t="shared" ref="V139:V144" si="31">VLOOKUP(T139,$A$138:$E$144,4,FALSE)</f>
        <v>345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29"/>
        <v>3</v>
      </c>
      <c r="B140" s="162" t="s">
        <v>201</v>
      </c>
      <c r="C140" s="121"/>
      <c r="D140" s="441">
        <f>VLOOKUP($D$6,'FS (2011)'!$A$13:$AH$244,'FS (2011)'!M245,FALSE)</f>
        <v>180</v>
      </c>
      <c r="E140" s="414">
        <f t="shared" si="28"/>
        <v>0.10291595197255575</v>
      </c>
      <c r="Q140" s="559"/>
      <c r="R140" s="559"/>
      <c r="S140" s="559"/>
      <c r="T140" s="559">
        <v>3</v>
      </c>
      <c r="U140" s="559" t="str">
        <f t="shared" si="30"/>
        <v>Routine and preventative maintenance</v>
      </c>
      <c r="V140" s="559">
        <f t="shared" si="31"/>
        <v>180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29"/>
        <v>4</v>
      </c>
      <c r="B141" s="162" t="s">
        <v>202</v>
      </c>
      <c r="C141" s="121"/>
      <c r="D141" s="441">
        <f>VLOOKUP($D$6,'FS (2011)'!$A$13:$AH$244,'FS (2011)'!N245,FALSE)</f>
        <v>77</v>
      </c>
      <c r="E141" s="414">
        <f t="shared" si="28"/>
        <v>4.40251572327044E-2</v>
      </c>
      <c r="Q141" s="559"/>
      <c r="R141" s="559"/>
      <c r="S141" s="559"/>
      <c r="T141" s="559">
        <v>4</v>
      </c>
      <c r="U141" s="559" t="str">
        <f t="shared" si="30"/>
        <v>Refurbishment and renewal maintenance</v>
      </c>
      <c r="V141" s="559">
        <f t="shared" si="31"/>
        <v>77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29"/>
        <v>5</v>
      </c>
      <c r="B142" s="162" t="s">
        <v>203</v>
      </c>
      <c r="C142" s="121"/>
      <c r="D142" s="441">
        <f>VLOOKUP($D$6,'FS (2011)'!$A$13:$AH$244,'FS (2011)'!O245,FALSE)</f>
        <v>71</v>
      </c>
      <c r="E142" s="414">
        <f t="shared" si="28"/>
        <v>4.0594625500285877E-2</v>
      </c>
      <c r="Q142" s="559"/>
      <c r="R142" s="559"/>
      <c r="S142" s="559"/>
      <c r="T142" s="559">
        <v>5</v>
      </c>
      <c r="U142" s="559" t="str">
        <f t="shared" si="30"/>
        <v>Fault and emergency maintenance</v>
      </c>
      <c r="V142" s="559">
        <f t="shared" si="31"/>
        <v>71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29"/>
        <v>6</v>
      </c>
      <c r="B143" s="162" t="s">
        <v>13</v>
      </c>
      <c r="C143" s="121"/>
      <c r="D143" s="441">
        <f>VLOOKUP($D$6,'FS (2011)'!$A$13:$AH$244,'FS (2011)'!R245,FALSE)</f>
        <v>0</v>
      </c>
      <c r="E143" s="414">
        <f t="shared" si="28"/>
        <v>0</v>
      </c>
      <c r="Q143" s="559"/>
      <c r="R143" s="559"/>
      <c r="S143" s="559"/>
      <c r="T143" s="559">
        <v>6</v>
      </c>
      <c r="U143" s="559" t="str">
        <f t="shared" si="30"/>
        <v>Other</v>
      </c>
      <c r="V143" s="559">
        <f t="shared" si="31"/>
        <v>0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29"/>
        <v>7</v>
      </c>
      <c r="B144" s="162" t="s">
        <v>200</v>
      </c>
      <c r="C144" s="121"/>
      <c r="D144" s="441">
        <f>VLOOKUP($D$6,'FS (2011)'!$A$13:$AH$244,'FS (2011)'!P245,FALSE)</f>
        <v>-2</v>
      </c>
      <c r="E144" s="414">
        <f t="shared" si="28"/>
        <v>-1.1435105774728416E-3</v>
      </c>
      <c r="Q144" s="559"/>
      <c r="R144" s="559"/>
      <c r="S144" s="559"/>
      <c r="T144" s="559">
        <v>7</v>
      </c>
      <c r="U144" s="559" t="str">
        <f t="shared" si="30"/>
        <v>Pass-through costs</v>
      </c>
      <c r="V144" s="559">
        <f t="shared" si="31"/>
        <v>-2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1749</v>
      </c>
      <c r="E145" s="447">
        <f>SUM(E138:E144)</f>
        <v>1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0.50839885748160918</v>
      </c>
      <c r="F149" s="455">
        <f>(VLOOKUP(F$38,'FS (2011)'!$A$13:$AH$244,'FS (2011)'!$M$245,FALSE)+VLOOKUP(F$38,'FS (2011)'!$A$13:$AH$244,'FS (2011)'!$N$245,FALSE)+VLOOKUP(F$38,'FS (2011)'!$A$13:$AH$244,'FS (2011)'!$O$245,FALSE))/1000</f>
        <v>0.32800000000000001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1.6240236048610923</v>
      </c>
      <c r="F150" s="457">
        <f>(VLOOKUP(F$38,'FS (2011)'!$A$13:$AH$244,'FS (2011)'!$L$245,FALSE)+VLOOKUP(F$38,'FS (2011)'!$A$13:$AH$244,'FS (2011)'!$K$245,FALSE))/1000</f>
        <v>1.423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6.1130123144081262E-2</v>
      </c>
      <c r="F151" s="457">
        <f>(VLOOKUP(F$38,'FS (2011)'!$A$13:$AH$244,'FS (2011)'!$R$245,FALSE)+VLOOKUP(F$38,'FS (2011)'!$A$13:$AH$244,'FS (2011)'!$P$245,FALSE)+VLOOKUP(F$38,'FS (2011)'!$A$13:$AH$244,'FS (2011)'!$Q$245,FALSE))/1000</f>
        <v>-2E-3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1.907787312879587</v>
      </c>
      <c r="D152" s="458">
        <f>VLOOKUP($D$38,'FS (2011)'!$A$13:$AH$244,'FS (2011)'!$S$245,FALSE)/1000</f>
        <v>1.9443511565653093</v>
      </c>
      <c r="E152" s="459">
        <f>VLOOKUP($E$38,'FS (2011)'!$A$13:$AH$244,'FS (2011)'!$S$245,FALSE)/1000</f>
        <v>2.1935525854867826</v>
      </c>
      <c r="F152" s="460">
        <f>VLOOKUP($F$38,'FS (2011)'!$A$13:$AH$244,'FS (2011)'!$S$245,FALSE)/1000</f>
        <v>1.7490000000000001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-0.35483725981452452</v>
      </c>
      <c r="D154" s="464" t="str">
        <f t="shared" ref="D154:E157" si="32">IF(ISERROR(D149/C149 - 1),"",(D149/C149 - 1))</f>
        <v/>
      </c>
      <c r="E154" s="464" t="str">
        <f t="shared" si="32"/>
        <v/>
      </c>
      <c r="F154" s="465">
        <f>IF(ISERROR(F149/E149 - 1),"",(F149/E149 - 1))</f>
        <v>-0.35483725981452452</v>
      </c>
      <c r="Q154" s="559"/>
      <c r="R154" s="559" t="s">
        <v>423</v>
      </c>
      <c r="S154" s="559" t="e">
        <f t="shared" ref="S154:V157" si="33">LN(C149)</f>
        <v>#NUM!</v>
      </c>
      <c r="T154" s="559" t="e">
        <f t="shared" si="33"/>
        <v>#NUM!</v>
      </c>
      <c r="U154" s="559">
        <f t="shared" si="33"/>
        <v>-0.67648898695179993</v>
      </c>
      <c r="V154" s="559">
        <f t="shared" si="33"/>
        <v>-1.1147416705979933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34">IFERROR(EXP(SLOPE(S155:V155,$C$148:$F$148))-1,(IFERROR(EXP(SLOPE(T155:V155,$D$148:$F$148))-1,F155)))</f>
        <v>-0.12378120875791487</v>
      </c>
      <c r="D155" s="467" t="str">
        <f t="shared" si="32"/>
        <v/>
      </c>
      <c r="E155" s="467" t="str">
        <f t="shared" si="32"/>
        <v/>
      </c>
      <c r="F155" s="468">
        <f>IF(ISERROR(F150/E150 - 1),"",(F150/E150 - 1))</f>
        <v>-0.12378120875791487</v>
      </c>
      <c r="Q155" s="559"/>
      <c r="R155" s="559" t="s">
        <v>423</v>
      </c>
      <c r="S155" s="559" t="e">
        <f t="shared" si="33"/>
        <v>#NUM!</v>
      </c>
      <c r="T155" s="559" t="e">
        <f t="shared" si="33"/>
        <v>#NUM!</v>
      </c>
      <c r="U155" s="559">
        <f t="shared" si="33"/>
        <v>0.48490677664684179</v>
      </c>
      <c r="V155" s="559">
        <f t="shared" si="33"/>
        <v>0.35276731910771536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34"/>
        <v>-1.0327170942431456</v>
      </c>
      <c r="D156" s="467" t="str">
        <f t="shared" si="32"/>
        <v/>
      </c>
      <c r="E156" s="467" t="str">
        <f t="shared" si="32"/>
        <v/>
      </c>
      <c r="F156" s="468">
        <f>IF(ISERROR(F151/E151 - 1),"",(F151/E151 - 1))</f>
        <v>-1.0327170942431456</v>
      </c>
      <c r="Q156" s="559"/>
      <c r="R156" s="559" t="s">
        <v>423</v>
      </c>
      <c r="S156" s="559" t="e">
        <f t="shared" si="33"/>
        <v>#NUM!</v>
      </c>
      <c r="T156" s="559" t="e">
        <f t="shared" si="33"/>
        <v>#NUM!</v>
      </c>
      <c r="U156" s="559">
        <f t="shared" si="33"/>
        <v>-2.7947505204812177</v>
      </c>
      <c r="V156" s="559" t="e">
        <f t="shared" si="33"/>
        <v>#NUM!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34"/>
        <v>-1.3912869836138264E-2</v>
      </c>
      <c r="D157" s="470">
        <f t="shared" si="32"/>
        <v>1.91655764973786E-2</v>
      </c>
      <c r="E157" s="470">
        <f t="shared" si="32"/>
        <v>0.12816688388824105</v>
      </c>
      <c r="F157" s="471">
        <f>IF(ISERROR(F152/E152 - 1),"",(F152/E152 - 1))</f>
        <v>-0.20266329078595102</v>
      </c>
      <c r="N157" s="136"/>
      <c r="O157" s="136"/>
      <c r="Q157" s="559"/>
      <c r="R157" s="559" t="s">
        <v>423</v>
      </c>
      <c r="S157" s="559">
        <f t="shared" si="33"/>
        <v>0.64594409557560095</v>
      </c>
      <c r="T157" s="559">
        <f t="shared" si="33"/>
        <v>0.66492832581877881</v>
      </c>
      <c r="U157" s="559">
        <f t="shared" si="33"/>
        <v>0.78552241466104444</v>
      </c>
      <c r="V157" s="559">
        <f t="shared" si="33"/>
        <v>0.55904419603646505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Nelson</v>
      </c>
      <c r="C162" s="456">
        <f>(C152/C102)*1000000</f>
        <v>214.81672254020796</v>
      </c>
      <c r="D162" s="456">
        <f>(D152/D102)*1000000</f>
        <v>217.4159853030649</v>
      </c>
      <c r="E162" s="456">
        <f>(E152/E102)*1000000</f>
        <v>243.51161028938526</v>
      </c>
      <c r="F162" s="457">
        <f>(F152/F102)*1000000</f>
        <v>193.30238726790452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Nelson</v>
      </c>
      <c r="C165" s="456">
        <f>C152/VLOOKUP(C$38,'MP (2011)'!$A$14:$AR$245,'MP (2011)'!$H$246,FALSE)*1000000</f>
        <v>7741.7007380578134</v>
      </c>
      <c r="D165" s="456">
        <f>D152/VLOOKUP(D$38,'MP (2011)'!$A$14:$AR$245,'MP (2011)'!$H$246,FALSE)*1000000</f>
        <v>7871.8670306287822</v>
      </c>
      <c r="E165" s="456">
        <f>E152/VLOOKUP(E$38,'MP (2011)'!$A$14:$AR$245,'MP (2011)'!$H$246,FALSE)*1000000</f>
        <v>8831.7936364568286</v>
      </c>
      <c r="F165" s="457">
        <f>F152/VLOOKUP(F$38,'MP (2011)'!$A$14:$AR$245,'MP (2011)'!$H$246,FALSE)*1000000</f>
        <v>6866.3361089191703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Nelson</v>
      </c>
      <c r="C168" s="456">
        <f>(C152/C117)*1000000</f>
        <v>12.709608593812339</v>
      </c>
      <c r="D168" s="456">
        <f>(D152/D117)*1000000</f>
        <v>13.100671029165689</v>
      </c>
      <c r="E168" s="456">
        <f>(E152/E117)*1000000</f>
        <v>14.871704171808496</v>
      </c>
      <c r="F168" s="457">
        <f>(F152/F117)*1000000</f>
        <v>11.999917667803309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-2.011849749738015E-2</v>
      </c>
      <c r="D171" s="464">
        <f>IF(ISERROR(D162/C162 - 1),"",(D162/C162 - 1))</f>
        <v>1.2099908853094199E-2</v>
      </c>
      <c r="E171" s="464">
        <f>IF(ISERROR(E162/D162 - 1),"",(E162/D162 - 1))</f>
        <v>0.12002624806977558</v>
      </c>
      <c r="F171" s="465">
        <f>IF(ISERROR(F162/E162 - 1),"",(F162/E162 - 1))</f>
        <v>-0.20618820992482823</v>
      </c>
      <c r="H171" s="139"/>
      <c r="Q171" s="559"/>
      <c r="R171" s="559" t="s">
        <v>423</v>
      </c>
      <c r="S171" s="559">
        <f>LN(C162)</f>
        <v>5.3697852112813713</v>
      </c>
      <c r="T171" s="559">
        <f>LN(D162)</f>
        <v>5.3818125014368716</v>
      </c>
      <c r="U171" s="559">
        <f>LN(E162)</f>
        <v>5.4951646222458468</v>
      </c>
      <c r="V171" s="559">
        <f>LN(F162)</f>
        <v>5.2642557362047828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-2.4193469930476885E-2</v>
      </c>
      <c r="D172" s="467">
        <f>IF(ISERROR(D165/C165 - 1),"",(D165/C165 - 1))</f>
        <v>1.6813655936230854E-2</v>
      </c>
      <c r="E172" s="467">
        <f>IF(ISERROR(E165/D165 - 1),"",(E165/D165 - 1))</f>
        <v>0.12194395587387996</v>
      </c>
      <c r="F172" s="468">
        <f>IF(ISERROR(F165/E165 - 1),"",(F165/E165 - 1))</f>
        <v>-0.22254341625742147</v>
      </c>
      <c r="Q172" s="559"/>
      <c r="R172" s="559" t="s">
        <v>423</v>
      </c>
      <c r="S172" s="559">
        <f>LN(C165)</f>
        <v>8.9543766760450829</v>
      </c>
      <c r="T172" s="559">
        <f>LN(D165)</f>
        <v>8.971050547155075</v>
      </c>
      <c r="U172" s="559">
        <f>LN(E165)</f>
        <v>9.0861134028064949</v>
      </c>
      <c r="V172" s="559">
        <f>LN(F165)</f>
        <v>8.8343859254730308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-4.5474883629493812E-3</v>
      </c>
      <c r="D173" s="470">
        <f>IF(ISERROR(D168/C168 - 1),"",(D168/C168 - 1))</f>
        <v>3.0769038437874263E-2</v>
      </c>
      <c r="E173" s="470">
        <f>IF(ISERROR(E168/D168 - 1),"",(E168/D168 - 1))</f>
        <v>0.13518644493095056</v>
      </c>
      <c r="F173" s="471">
        <f>IF(ISERROR(F168/E168 - 1),"",(F168/E168 - 1))</f>
        <v>-0.19310406331569452</v>
      </c>
      <c r="Q173" s="559"/>
      <c r="R173" s="559" t="s">
        <v>423</v>
      </c>
      <c r="S173" s="559">
        <f>LN(C168)</f>
        <v>2.5423582895904668</v>
      </c>
      <c r="T173" s="559">
        <f>LN(D168)</f>
        <v>2.5726634524956564</v>
      </c>
      <c r="U173" s="559">
        <f>LN(E168)</f>
        <v>2.6994603586000334</v>
      </c>
      <c r="V173" s="559">
        <f>LN(F168)</f>
        <v>2.4848997887480726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Nelson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508.39885748160918</v>
      </c>
      <c r="X176" s="563">
        <f>D178</f>
        <v>328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Nelson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35">C179</f>
        <v>601.11389641885148</v>
      </c>
      <c r="X177" s="563">
        <f t="shared" si="35"/>
        <v>612.3200668265473</v>
      </c>
      <c r="Y177" s="563">
        <f t="shared" si="35"/>
        <v>624.54609145536358</v>
      </c>
      <c r="Z177" s="563">
        <f t="shared" si="35"/>
        <v>637.79095146991449</v>
      </c>
      <c r="AA177" s="563">
        <f t="shared" si="35"/>
        <v>651.0358114844654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508.39885748160918</v>
      </c>
      <c r="D178" s="461">
        <f>VLOOKUP(F38,'FS (2011)'!$A$14:$T$246,'FS (2011)'!$M$245,FALSE)+VLOOKUP(F38,'FS (2011)'!$A$14:$AO$245,'FS (2011)'!$N$245,FALSE)+VLOOKUP(F38,'FS (2011)'!$A$14:$AO$245,'FS (2011)'!$O$245,FALSE)</f>
        <v>328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35"/>
        <v>601</v>
      </c>
      <c r="Y178" s="563">
        <f t="shared" si="35"/>
        <v>612.99999999999989</v>
      </c>
      <c r="Z178" s="563">
        <f t="shared" si="35"/>
        <v>626</v>
      </c>
      <c r="AA178" s="563">
        <f t="shared" si="35"/>
        <v>639</v>
      </c>
      <c r="AB178" s="563">
        <f>H180</f>
        <v>651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601.11389641885148</v>
      </c>
      <c r="D179" s="461">
        <f>VLOOKUP(D182,'AM (2011)'!$A$10:$N$444,'AM (2011)'!$N$445,FALSE)</f>
        <v>612.3200668265473</v>
      </c>
      <c r="E179" s="461">
        <f>VLOOKUP(E182,'AM (2011)'!$A$10:$N$444,'AM (2011)'!$N$445,FALSE)</f>
        <v>624.54609145536358</v>
      </c>
      <c r="F179" s="461">
        <f>VLOOKUP(F182,'AM (2011)'!$A$10:$N$444,'AM (2011)'!$N$445,FALSE)</f>
        <v>637.79095146991449</v>
      </c>
      <c r="G179" s="461">
        <f>VLOOKUP(G182,'AM (2011)'!$A$10:$N$444,'AM (2011)'!$N$445,FALSE)</f>
        <v>651.0358114844654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587.55811247575957</v>
      </c>
      <c r="Z179" s="563">
        <f>F181</f>
        <v>599.28972204266324</v>
      </c>
      <c r="AA179" s="563">
        <f>G181</f>
        <v>611.99896574014224</v>
      </c>
      <c r="AB179" s="563">
        <f>H181</f>
        <v>624.70820943762124</v>
      </c>
      <c r="AC179" s="563">
        <f>I181</f>
        <v>636.43981900452491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601</v>
      </c>
      <c r="E180" s="461">
        <f>VLOOKUP(E183,'AM (2011)'!$A$10:$N$444,'AM (2011)'!$N$445,FALSE)</f>
        <v>612.99999999999989</v>
      </c>
      <c r="F180" s="461">
        <f>VLOOKUP(F183,'AM (2011)'!$A$10:$N$444,'AM (2011)'!$N$445,FALSE)</f>
        <v>626</v>
      </c>
      <c r="G180" s="461">
        <f>VLOOKUP(G183,'AM (2011)'!$A$10:$N$444,'AM (2011)'!$N$445,FALSE)</f>
        <v>639</v>
      </c>
      <c r="H180" s="461">
        <f>VLOOKUP(H183,'AM (2011)'!$A$10:$N$444,'AM (2011)'!$N$445,FALSE)</f>
        <v>651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587.55811247575957</v>
      </c>
      <c r="F181" s="493">
        <f>VLOOKUP(F184,'AM (2011)'!$A$10:$N$444,'AM (2011)'!$N$445,FALSE)</f>
        <v>599.28972204266324</v>
      </c>
      <c r="G181" s="493">
        <f>VLOOKUP(G184,'AM (2011)'!$A$10:$N$444,'AM (2011)'!$N$445,FALSE)</f>
        <v>611.99896574014224</v>
      </c>
      <c r="H181" s="493">
        <f>VLOOKUP(H184,'AM (2011)'!$A$10:$N$444,'AM (2011)'!$N$445,FALSE)</f>
        <v>624.70820943762124</v>
      </c>
      <c r="I181" s="494">
        <f>VLOOKUP(I184,'AM (2011)'!$A$10:$N$444,'AM (2011)'!$N$445,FALSE)</f>
        <v>636.43981900452491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285</v>
      </c>
      <c r="D182" s="136">
        <f>VLOOKUP($B$2,$B$257:$Y$286,11,FALSE)</f>
        <v>286</v>
      </c>
      <c r="E182" s="136">
        <f>VLOOKUP($B$2,$B$257:$Y$286,12,FALSE)</f>
        <v>287</v>
      </c>
      <c r="F182" s="136">
        <f>VLOOKUP($B$2,$B$257:$Y$286,13,FALSE)</f>
        <v>288</v>
      </c>
      <c r="G182" s="136">
        <f>VLOOKUP($B$2,$B$257:$Y$286,14,FALSE)</f>
        <v>289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290</v>
      </c>
      <c r="E183" s="136">
        <f>VLOOKUP($B$2,$B$257:$Y$286,16,FALSE)</f>
        <v>291</v>
      </c>
      <c r="F183" s="136">
        <f>VLOOKUP($B$2,$B$257:$Y$286,17,FALSE)</f>
        <v>292</v>
      </c>
      <c r="G183" s="136">
        <f>VLOOKUP($B$2,$B$257:$Y$286,18,FALSE)</f>
        <v>293</v>
      </c>
      <c r="H183" s="136">
        <f>VLOOKUP($B$2,$B$257:$Y$286,19,FALSE)</f>
        <v>294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295</v>
      </c>
      <c r="F184" s="136">
        <f>VLOOKUP($B$2,$B$257:$Y$286,21,FALSE)</f>
        <v>296</v>
      </c>
      <c r="G184" s="136">
        <f>VLOOKUP($B$2,$B$257:$Y$286,22,FALSE)</f>
        <v>297</v>
      </c>
      <c r="H184" s="136">
        <f>VLOOKUP($B$2,$B$257:$Y$286,23,FALSE)</f>
        <v>298</v>
      </c>
      <c r="I184" s="136">
        <f>VLOOKUP($B$2,$B$257:$Y$286,24,FALSE)</f>
        <v>299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>RANK(D186,$D$186:$D$191)</f>
        <v>3</v>
      </c>
      <c r="B186" s="483" t="s">
        <v>205</v>
      </c>
      <c r="C186" s="490"/>
      <c r="D186" s="484">
        <f>VLOOKUP($D$6,'FS (2011)'!$A$13:$AH$244,'FS (2011)'!AC245,FALSE)/1000</f>
        <v>0.23499999999999999</v>
      </c>
      <c r="E186" s="495">
        <f t="shared" ref="E186:E191" si="36">D186/$D$192</f>
        <v>0.12392521245263814</v>
      </c>
      <c r="Q186" s="559"/>
      <c r="R186" s="559"/>
      <c r="S186" s="559"/>
      <c r="T186" s="559">
        <v>1</v>
      </c>
      <c r="U186" s="559" t="str">
        <f t="shared" ref="U186:U191" si="37">VLOOKUP(T186,$A$186:$D$191,2,FALSE)</f>
        <v>Asset replacement and renewal</v>
      </c>
      <c r="V186" s="559">
        <f t="shared" ref="V186:V191" si="38">VLOOKUP(T186,$A$186:$D$191,4,FALSE)</f>
        <v>1.1870000000000001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>RANK(D187,$D$186:$D$191)</f>
        <v>2</v>
      </c>
      <c r="B187" s="162" t="s">
        <v>206</v>
      </c>
      <c r="C187" s="121"/>
      <c r="D187" s="456">
        <f>VLOOKUP($D$6,'FS (2011)'!$A$13:$AH$244,'FS (2011)'!AD245,FALSE)/1000</f>
        <v>0.45600000000000002</v>
      </c>
      <c r="E187" s="468">
        <f t="shared" si="36"/>
        <v>0.24046764629107659</v>
      </c>
      <c r="Q187" s="559"/>
      <c r="R187" s="559"/>
      <c r="S187" s="559"/>
      <c r="T187" s="559">
        <v>2</v>
      </c>
      <c r="U187" s="559" t="str">
        <f t="shared" si="37"/>
        <v>Reliability, safety and environment</v>
      </c>
      <c r="V187" s="559">
        <f t="shared" si="38"/>
        <v>0.45600000000000002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>RANK(D188,$D$186:$D$191)</f>
        <v>5</v>
      </c>
      <c r="B188" s="162" t="s">
        <v>209</v>
      </c>
      <c r="C188" s="121"/>
      <c r="D188" s="456">
        <f>VLOOKUP($D$6,'FS (2011)'!$A$13:$AH$244,'FS (2011)'!AB245,FALSE)/1000</f>
        <v>0</v>
      </c>
      <c r="E188" s="468">
        <f t="shared" si="36"/>
        <v>0</v>
      </c>
      <c r="Q188" s="559"/>
      <c r="R188" s="559"/>
      <c r="S188" s="559"/>
      <c r="T188" s="559">
        <v>3</v>
      </c>
      <c r="U188" s="559" t="str">
        <f t="shared" si="37"/>
        <v>System growth</v>
      </c>
      <c r="V188" s="559">
        <f t="shared" si="38"/>
        <v>0.23499999999999999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>RANK(D189,$D$186:$D$191)</f>
        <v>1</v>
      </c>
      <c r="B189" s="162" t="s">
        <v>208</v>
      </c>
      <c r="C189" s="121"/>
      <c r="D189" s="456">
        <f>VLOOKUP($D$6,'FS (2011)'!$A$13:$AH$244,'FS (2011)'!AE245,FALSE)/1000</f>
        <v>1.1870000000000001</v>
      </c>
      <c r="E189" s="468">
        <f t="shared" si="36"/>
        <v>0.62595415821821909</v>
      </c>
      <c r="Q189" s="559"/>
      <c r="R189" s="559"/>
      <c r="S189" s="559"/>
      <c r="T189" s="559">
        <v>4</v>
      </c>
      <c r="U189" s="559" t="str">
        <f t="shared" si="37"/>
        <v>Non-network capex</v>
      </c>
      <c r="V189" s="559">
        <f t="shared" si="38"/>
        <v>1.8304999999999998E-2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>RANK(D190,$D$186:$D$191)</f>
        <v>4</v>
      </c>
      <c r="B190" s="162" t="s">
        <v>312</v>
      </c>
      <c r="C190" s="121"/>
      <c r="D190" s="456">
        <f>VLOOKUP($D$6,'FS (2011)'!$A$13:$AH$244,'FS (2011)'!AH245,FALSE)/1000</f>
        <v>1.8304999999999998E-2</v>
      </c>
      <c r="E190" s="468">
        <f t="shared" si="36"/>
        <v>9.6529830380661322E-3</v>
      </c>
      <c r="Q190" s="559"/>
      <c r="R190" s="559"/>
      <c r="S190" s="559"/>
      <c r="T190" s="559">
        <v>5</v>
      </c>
      <c r="U190" s="559" t="str">
        <f t="shared" si="37"/>
        <v>Customer connection</v>
      </c>
      <c r="V190" s="559">
        <f t="shared" si="38"/>
        <v>0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v>6</v>
      </c>
      <c r="B191" s="162" t="s">
        <v>207</v>
      </c>
      <c r="C191" s="121"/>
      <c r="D191" s="456">
        <f>VLOOKUP($D$6,'FS (2011)'!$A$13:$AH$244,'FS (2011)'!AF245,FALSE)/1000</f>
        <v>0</v>
      </c>
      <c r="E191" s="468">
        <f t="shared" si="36"/>
        <v>0</v>
      </c>
      <c r="Q191" s="559"/>
      <c r="R191" s="559"/>
      <c r="S191" s="559"/>
      <c r="T191" s="559">
        <v>6</v>
      </c>
      <c r="U191" s="559" t="str">
        <f t="shared" si="37"/>
        <v>Asset relocations</v>
      </c>
      <c r="V191" s="559">
        <f t="shared" si="38"/>
        <v>0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1.8963050000000001</v>
      </c>
      <c r="E192" s="496">
        <f>SUM(E186:E191)</f>
        <v>1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0.87651905078269798</v>
      </c>
      <c r="D196" s="484">
        <f>VLOOKUP($D$38,'FS (2011)'!$A$13:$AH$244,'FS (2011)'!$AG$245,FALSE)/1000</f>
        <v>1.199053225890589</v>
      </c>
      <c r="E196" s="484">
        <f>VLOOKUP($E$38,'FS (2011)'!$A$13:$AH$244,'FS (2011)'!$AG$245,FALSE)/1000</f>
        <v>1.4538780954433994</v>
      </c>
      <c r="F196" s="486">
        <f>VLOOKUP($F$38,'FS (2011)'!$A$13:$AH$244,'FS (2011)'!$AG$245,FALSE)/1000</f>
        <v>1.8779999999999999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1.8242842550825464E-2</v>
      </c>
      <c r="D197" s="456">
        <f>VLOOKUP($D$38,'FS (2011)'!$A$13:$AH$244,'FS (2011)'!$AH$245,FALSE)/1000</f>
        <v>0.20435203322122308</v>
      </c>
      <c r="E197" s="456">
        <f>VLOOKUP($E$38,'FS (2011)'!$A$13:$AH$244,'FS (2011)'!$AH$245,FALSE)/1000</f>
        <v>9.9204001508986547E-2</v>
      </c>
      <c r="F197" s="457">
        <f>VLOOKUP($F$38,'FS (2011)'!$A$13:$AH$244,'FS (2011)'!$AH$245,FALSE)/1000</f>
        <v>1.8304999999999998E-2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0.89476189333352341</v>
      </c>
      <c r="D198" s="488">
        <f>SUM(D196:D197)</f>
        <v>1.4034052591118122</v>
      </c>
      <c r="E198" s="488">
        <f>SUM(E196:E197)</f>
        <v>1.553082096952386</v>
      </c>
      <c r="F198" s="489">
        <f>SUM(F196:F197)</f>
        <v>1.8963049999999999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39">IFERROR(EXP(SLOPE(S200:V200,$C$148:$F$148))-1,(IFERROR(EXP(SLOPE(T200:V200,$D$148:$F$148))-1,F200)))</f>
        <v>0.28129526614567935</v>
      </c>
      <c r="D200" s="498">
        <f t="shared" ref="D200:F202" si="40">D196/C196 - 1</f>
        <v>0.36797166566987949</v>
      </c>
      <c r="E200" s="498">
        <f t="shared" si="40"/>
        <v>0.21252173302276955</v>
      </c>
      <c r="F200" s="495">
        <f t="shared" si="40"/>
        <v>0.29171765217857071</v>
      </c>
      <c r="Q200" s="559"/>
      <c r="R200" s="559" t="s">
        <v>423</v>
      </c>
      <c r="S200" s="559">
        <f t="shared" ref="S200:V202" si="41">LN(C196)</f>
        <v>-0.13179683979407547</v>
      </c>
      <c r="T200" s="559">
        <f t="shared" si="41"/>
        <v>0.18153226696216179</v>
      </c>
      <c r="U200" s="559">
        <f t="shared" si="41"/>
        <v>0.37423453477351787</v>
      </c>
      <c r="V200" s="559">
        <f t="shared" si="41"/>
        <v>0.63020738078607108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39"/>
        <v>-6.8767360024720947E-2</v>
      </c>
      <c r="D201" s="467">
        <f t="shared" si="40"/>
        <v>10.201764892279709</v>
      </c>
      <c r="E201" s="467">
        <f t="shared" si="40"/>
        <v>-0.51454360426356804</v>
      </c>
      <c r="F201" s="468">
        <f t="shared" si="40"/>
        <v>-0.81548123340224521</v>
      </c>
      <c r="Q201" s="559"/>
      <c r="R201" s="559" t="s">
        <v>423</v>
      </c>
      <c r="S201" s="559">
        <f t="shared" si="41"/>
        <v>-4.0039824648757198</v>
      </c>
      <c r="T201" s="559">
        <f t="shared" si="41"/>
        <v>-1.5879111193212112</v>
      </c>
      <c r="U201" s="559">
        <f t="shared" si="41"/>
        <v>-2.3105769277126535</v>
      </c>
      <c r="V201" s="559">
        <f t="shared" si="41"/>
        <v>-4.0005810324099373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39"/>
        <v>0.26549765424561644</v>
      </c>
      <c r="D202" s="500">
        <f t="shared" si="40"/>
        <v>0.56846784554412344</v>
      </c>
      <c r="E202" s="500">
        <f t="shared" si="40"/>
        <v>0.10665261289907191</v>
      </c>
      <c r="F202" s="501">
        <f t="shared" si="40"/>
        <v>0.22099469417690187</v>
      </c>
      <c r="Q202" s="559"/>
      <c r="R202" s="559" t="s">
        <v>423</v>
      </c>
      <c r="S202" s="559">
        <f t="shared" si="41"/>
        <v>-0.11119763707058816</v>
      </c>
      <c r="T202" s="559">
        <f t="shared" si="41"/>
        <v>0.3389016112366201</v>
      </c>
      <c r="U202" s="559">
        <f t="shared" si="41"/>
        <v>0.44024140622868652</v>
      </c>
      <c r="V202" s="559">
        <f t="shared" si="41"/>
        <v>0.63990725587434971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Nelson</v>
      </c>
      <c r="C206" s="456">
        <f>(C198/C102)*1000000</f>
        <v>100.7501287392775</v>
      </c>
      <c r="D206" s="456">
        <f>(D198/D102)*1000000</f>
        <v>156.92779370589426</v>
      </c>
      <c r="E206" s="456">
        <f>(E198/E102)*1000000</f>
        <v>172.41142284107306</v>
      </c>
      <c r="F206" s="457">
        <f>(F198/F102)*1000000</f>
        <v>209.5827807250221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Nelson</v>
      </c>
      <c r="C209" s="456">
        <f>(C198/C117)*1000000000</f>
        <v>5960.870675758244</v>
      </c>
      <c r="D209" s="456">
        <f>(D198/D117)*1000000000</f>
        <v>9455.8796944389978</v>
      </c>
      <c r="E209" s="456">
        <f>(E198/E117)*1000000000</f>
        <v>10529.484295578131</v>
      </c>
      <c r="F209" s="457">
        <f>(F198/F117)*1000000000</f>
        <v>13010.579687274872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Nelson</v>
      </c>
      <c r="C212" s="456">
        <f>(C198/VLOOKUP(C$38,'AV (2011)'!$A$11:$F$213,'AV (2011)'!$F$214,FALSE)*1000)</f>
        <v>3.6428107707146648E-2</v>
      </c>
      <c r="D212" s="456">
        <f>(D198/VLOOKUP(D$38,'AV (2011)'!$A$11:$F$213,'AV (2011)'!$F$214,FALSE)*1000)</f>
        <v>5.7597901584854568E-2</v>
      </c>
      <c r="E212" s="456">
        <f>(E198/VLOOKUP(E$38,'AV (2011)'!$A$11:$F$213,'AV (2011)'!$F$214,FALSE)*1000)</f>
        <v>6.3606546295598934E-2</v>
      </c>
      <c r="F212" s="457">
        <f>(F198/VLOOKUP(F$38,'AV (2011)'!$A$11:$F$213,'AV (2011)'!$F$214,FALSE)*1000)</f>
        <v>6.629303127590902E-2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42">IFERROR(EXP(SLOPE(S215:V215,$C$195:$F$195))-1,(IFERROR(EXP(SLOPE(T215:V215,$D$195:$F$195))-1,F215)))</f>
        <v>0.25753364476998519</v>
      </c>
      <c r="D215" s="464">
        <f>D206/C206 - 1</f>
        <v>0.55759397699623836</v>
      </c>
      <c r="E215" s="464">
        <f>E206/D206 - 1</f>
        <v>9.8667219932992767E-2</v>
      </c>
      <c r="F215" s="465">
        <f>F206/E206 - 1</f>
        <v>0.21559683964915233</v>
      </c>
      <c r="K215" s="139"/>
      <c r="P215" s="139"/>
      <c r="Q215" s="559"/>
      <c r="R215" s="559" t="s">
        <v>423</v>
      </c>
      <c r="S215" s="559">
        <f>LN(C206)</f>
        <v>4.6126434786351815</v>
      </c>
      <c r="T215" s="559">
        <f>LN(D206)</f>
        <v>5.0557857868547131</v>
      </c>
      <c r="U215" s="559">
        <f>LN(E206)</f>
        <v>5.1498836138134889</v>
      </c>
      <c r="V215" s="559">
        <f>LN(F206)</f>
        <v>5.3451187960426676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42"/>
        <v>0.27751674254206993</v>
      </c>
      <c r="D216" s="467">
        <f>D209/C209 - 1</f>
        <v>0.58632525494879584</v>
      </c>
      <c r="E216" s="467">
        <f>E209/D209 - 1</f>
        <v>0.11353831011307403</v>
      </c>
      <c r="F216" s="468">
        <f>F209/E209 - 1</f>
        <v>0.23563313473373815</v>
      </c>
      <c r="Q216" s="559"/>
      <c r="R216" s="559" t="s">
        <v>423</v>
      </c>
      <c r="S216" s="559">
        <f>LN(C209)</f>
        <v>8.6929718359264143</v>
      </c>
      <c r="T216" s="559">
        <f>LN(D209)</f>
        <v>9.1543920168956348</v>
      </c>
      <c r="U216" s="559">
        <f>LN(E209)</f>
        <v>9.2619346291498132</v>
      </c>
      <c r="V216" s="559">
        <f>LN(F209)</f>
        <v>9.4735181275680933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0.20870103803808471</v>
      </c>
      <c r="D217" s="470">
        <f>D212/C212 - 1</f>
        <v>0.58113899431440208</v>
      </c>
      <c r="E217" s="470">
        <f>E212/D212 - 1</f>
        <v>0.1043205489334067</v>
      </c>
      <c r="F217" s="471">
        <f>F212/E212 - 1</f>
        <v>4.2235982564202912E-2</v>
      </c>
      <c r="Q217" s="559"/>
      <c r="R217" s="559" t="s">
        <v>423</v>
      </c>
      <c r="S217" s="559">
        <f>LN(C212)</f>
        <v>-3.3124146125677854</v>
      </c>
      <c r="T217" s="559">
        <f>LN(D212)</f>
        <v>-2.8542691427624072</v>
      </c>
      <c r="U217" s="559">
        <f>LN(E212)</f>
        <v>-2.755038884756821</v>
      </c>
      <c r="V217" s="559">
        <f>LN(F212)</f>
        <v>-2.7136704962753022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Nelson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1453.8780954433994</v>
      </c>
      <c r="X220" s="563">
        <f>D222</f>
        <v>1878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Nelson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43">C223</f>
        <v>2536.9001104793724</v>
      </c>
      <c r="X221" s="563">
        <f t="shared" si="43"/>
        <v>4775.2814529384814</v>
      </c>
      <c r="Y221" s="563">
        <f t="shared" si="43"/>
        <v>2989.2630217455735</v>
      </c>
      <c r="Z221" s="563">
        <f t="shared" si="43"/>
        <v>978.08197030530016</v>
      </c>
      <c r="AA221" s="563">
        <f t="shared" si="43"/>
        <v>733.56147772897509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1453.8780954433994</v>
      </c>
      <c r="D222" s="461">
        <f>VLOOKUP(D226,'FS (2011)'!$A$14:$AJ$245,'FS (2011)'!$AG$245,FALSE)</f>
        <v>1878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43"/>
        <v>6117</v>
      </c>
      <c r="Y222" s="563">
        <f t="shared" si="43"/>
        <v>6234</v>
      </c>
      <c r="Z222" s="563">
        <f t="shared" si="43"/>
        <v>1771</v>
      </c>
      <c r="AA222" s="563">
        <f t="shared" si="43"/>
        <v>1405</v>
      </c>
      <c r="AB222" s="563">
        <f>H224</f>
        <v>1537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2536.9001104793724</v>
      </c>
      <c r="D223" s="461">
        <f>VLOOKUP(D227,'AM (2011)'!$A$10:$N$444,'AM (2011)'!$J$445,FALSE)</f>
        <v>4775.2814529384814</v>
      </c>
      <c r="E223" s="461">
        <f>VLOOKUP(E226,'AM (2011)'!$A$10:$N$444,'AM (2011)'!$J$445,FALSE)</f>
        <v>2989.2630217455735</v>
      </c>
      <c r="F223" s="461">
        <f>VLOOKUP(F226,'AM (2011)'!$A$10:$N$444,'AM (2011)'!$J$445,FALSE)</f>
        <v>978.08197030530016</v>
      </c>
      <c r="G223" s="461">
        <f>VLOOKUP(G226,'AM (2011)'!$A$10:$N$444,'AM (2011)'!$J$445,FALSE)</f>
        <v>733.56147772897509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5823.7665158371037</v>
      </c>
      <c r="Z223" s="563">
        <f>F225</f>
        <v>6081.8619263089849</v>
      </c>
      <c r="AA223" s="563">
        <f>G225</f>
        <v>1830.1310924369748</v>
      </c>
      <c r="AB223" s="563">
        <f>H225</f>
        <v>1394.1062702003878</v>
      </c>
      <c r="AC223" s="563">
        <f>I225</f>
        <v>1605.2752424046541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6117</v>
      </c>
      <c r="E224" s="461">
        <f>VLOOKUP(E227,'AM (2011)'!$A$10:$N$444,'AM (2011)'!$J$445,FALSE)</f>
        <v>6234</v>
      </c>
      <c r="F224" s="461">
        <f>VLOOKUP(F227,'AM (2011)'!$A$10:$N$444,'AM (2011)'!$J$445,FALSE)</f>
        <v>1771</v>
      </c>
      <c r="G224" s="461">
        <f>VLOOKUP(G227,'AM (2011)'!$A$10:$N$444,'AM (2011)'!$J$445,FALSE)</f>
        <v>1405</v>
      </c>
      <c r="H224" s="461">
        <f>VLOOKUP(H227,'AM (2011)'!$A$10:$N$444,'AM (2011)'!$J$445,FALSE)</f>
        <v>1537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5823.7665158371037</v>
      </c>
      <c r="F225" s="493">
        <f>VLOOKUP(F228,'AM (2011)'!$A$10:$N$444,'AM (2011)'!$J$445,FALSE)</f>
        <v>6081.8619263089849</v>
      </c>
      <c r="G225" s="493">
        <f>VLOOKUP(G228,'AM (2011)'!$A$10:$N$444,'AM (2011)'!$J$445,FALSE)</f>
        <v>1830.1310924369748</v>
      </c>
      <c r="H225" s="493">
        <f>VLOOKUP(H228,'AM (2011)'!$A$10:$N$444,'AM (2011)'!$J$445,FALSE)</f>
        <v>1394.1062702003878</v>
      </c>
      <c r="I225" s="494">
        <f>VLOOKUP(I228,'AM (2011)'!$A$10:$N$444,'AM (2011)'!$J$445,FALSE)</f>
        <v>1605.2752424046541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283</v>
      </c>
      <c r="D226" s="136">
        <f>VLOOKUP($B$2,$B$257:$Y$286,9,FALSE)</f>
        <v>284</v>
      </c>
      <c r="E226" s="136">
        <f>VLOOKUP($B$2,$B$257:$Y$286,12,FALSE)</f>
        <v>287</v>
      </c>
      <c r="F226" s="136">
        <f>VLOOKUP($B$2,$B$257:$Y$286,13,FALSE)</f>
        <v>288</v>
      </c>
      <c r="G226" s="136">
        <f>VLOOKUP($B$2,$B$257:$Y$286,14,FALSE)</f>
        <v>289</v>
      </c>
      <c r="H226" s="136"/>
      <c r="I226" s="136"/>
      <c r="Q226" s="559"/>
      <c r="R226" s="559"/>
      <c r="S226" s="559"/>
      <c r="T226" s="559"/>
      <c r="U226" s="559"/>
      <c r="V226" s="559"/>
      <c r="W226" s="559"/>
      <c r="X226" s="559"/>
      <c r="Y226" s="559"/>
      <c r="Z226" s="559"/>
      <c r="AA226" s="559"/>
      <c r="AB226" s="559"/>
      <c r="AC226" s="559"/>
      <c r="AD226" s="559"/>
    </row>
    <row r="227" spans="2:30">
      <c r="C227" s="136">
        <f>VLOOKUP($B$2,$B$257:$Y$286,10,FALSE)</f>
        <v>285</v>
      </c>
      <c r="D227" s="136">
        <f>VLOOKUP($B$2,$B$257:$Y$286,11,FALSE)</f>
        <v>286</v>
      </c>
      <c r="E227" s="136">
        <f>VLOOKUP($B$2,$B$257:$Y$286,16,FALSE)</f>
        <v>291</v>
      </c>
      <c r="F227" s="136">
        <f>VLOOKUP($B$2,$B$257:$Y$286,17,FALSE)</f>
        <v>292</v>
      </c>
      <c r="G227" s="136">
        <f>VLOOKUP($B$2,$B$257:$Y$286,18,FALSE)</f>
        <v>293</v>
      </c>
      <c r="H227" s="136">
        <f>VLOOKUP($B$2,$B$257:$Y$286,19,FALSE)</f>
        <v>294</v>
      </c>
      <c r="I227" s="136"/>
    </row>
    <row r="228" spans="2:30">
      <c r="B228" s="517" t="s">
        <v>291</v>
      </c>
      <c r="C228" s="518"/>
      <c r="D228" s="518">
        <f>VLOOKUP($B$2,$B$257:$Y$286,15,FALSE)</f>
        <v>290</v>
      </c>
      <c r="E228" s="518">
        <f>VLOOKUP($B$2,$B$257:$Y$286,20,FALSE)</f>
        <v>295</v>
      </c>
      <c r="F228" s="519">
        <f>VLOOKUP($B$2,$B$257:$Y$286,21,FALSE)</f>
        <v>296</v>
      </c>
      <c r="G228" s="136">
        <f>VLOOKUP($B$2,$B$257:$Y$286,22,FALSE)</f>
        <v>297</v>
      </c>
      <c r="H228" s="136">
        <f>VLOOKUP($B$2,$B$257:$Y$286,23,FALSE)</f>
        <v>298</v>
      </c>
      <c r="I228" s="136">
        <f>VLOOKUP($B$2,$B$257:$Y$286,24,FALSE)</f>
        <v>299</v>
      </c>
    </row>
    <row r="229" spans="2:30">
      <c r="B229" s="474" t="str">
        <f>$B$2</f>
        <v>Nelson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16.935000000000002</v>
      </c>
      <c r="D230" s="456">
        <f>VLOOKUP(D$38,'MP (2011)'!$A$11:$AR$245,'MP (2011)'!$S$246,FALSE)+VLOOKUP(D$38,'MP (2011)'!$A$11:$AR$245,'MP (2011)'!$T$246,FALSE)</f>
        <v>115.81</v>
      </c>
      <c r="E230" s="456">
        <f>VLOOKUP(E$38,'MP (2011)'!$A$11:$AR$245,'MP (2011)'!$S$246,FALSE)+VLOOKUP(E$38,'MP (2011)'!$A$11:$AR$245,'MP (2011)'!$T$246,FALSE)</f>
        <v>79.296000000000006</v>
      </c>
      <c r="F230" s="457">
        <f>VLOOKUP(F$38,'MP (2011)'!$A$11:$AR$245,'MP (2011)'!$S$246,FALSE)+VLOOKUP(F$38,'MP (2011)'!$A$11:$AR$245,'MP (2011)'!$T$246,FALSE)</f>
        <v>114.66</v>
      </c>
    </row>
    <row r="231" spans="2:30">
      <c r="B231" s="199" t="s">
        <v>292</v>
      </c>
      <c r="C231" s="456">
        <f>IF(ISERROR(VLOOKUP(C$38,'Compliance data'!$A$7:$E$74,'Compliance data'!$D$75,FALSE)),"",(VLOOKUP(C$38,'Compliance data'!$A$7:$E$74,'Compliance data'!$D$75,FALSE)))</f>
        <v>61.4</v>
      </c>
      <c r="D231" s="456">
        <f>IF(ISERROR(VLOOKUP(D$38,'Compliance data'!$A$7:$E$74,'Compliance data'!$D$75,FALSE)),"",(VLOOKUP(D$38,'Compliance data'!$A$7:$E$74,'Compliance data'!$D$75,FALSE)))</f>
        <v>61.4</v>
      </c>
      <c r="E231" s="456">
        <f>IF(ISERROR(VLOOKUP(E$38,'Compliance data'!$A$7:$E$74,'Compliance data'!$D$75,FALSE)),"",(VLOOKUP(E$38,'Compliance data'!$A$7:$E$74,'Compliance data'!$D$75,FALSE)))</f>
        <v>61.4</v>
      </c>
      <c r="F231" s="457">
        <f>IF(ISERROR(VLOOKUP(F$38,'Compliance data'!$A$7:$E$74,'Compliance data'!$D$75,FALSE)),"",(VLOOKUP(F$38,'Compliance data'!$A$7:$E$74,'Compliance data'!$D$75,FALSE)))</f>
        <v>71.536000000000001</v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0.184</v>
      </c>
      <c r="D237" s="456">
        <f>VLOOKUP(D$38,'MP (2011)'!$A$11:$AR$245,'MP (2011)'!$W$246,FALSE)+VLOOKUP(D$38,'MP (2011)'!$A$11:$AR$245,'MP (2011)'!$X$246,FALSE)</f>
        <v>1.89</v>
      </c>
      <c r="E237" s="456">
        <f>VLOOKUP(E$38,'MP (2011)'!$A$11:$AR$245,'MP (2011)'!$W$246,FALSE)+VLOOKUP(E$38,'MP (2011)'!$A$11:$AR$245,'MP (2011)'!$X$246,FALSE)</f>
        <v>0.7569999999999999</v>
      </c>
      <c r="F237" s="457">
        <f>VLOOKUP(F$38,'MP (2011)'!$A$11:$AR$245,'MP (2011)'!$W$246,FALSE)+VLOOKUP(F$38,'MP (2011)'!$A$11:$AR$245,'MP (2011)'!$X$246,FALSE)</f>
        <v>0.58000000000000007</v>
      </c>
    </row>
    <row r="238" spans="2:30">
      <c r="B238" s="199" t="s">
        <v>292</v>
      </c>
      <c r="C238" s="456">
        <f>IF(ISERROR(VLOOKUP(C$38,'Compliance data'!$A$7:$E$74,'Compliance data'!$E$75,FALSE)),"",(VLOOKUP(C$38,'Compliance data'!$A$7:$E$74,'Compliance data'!$E$75,FALSE)))</f>
        <v>1.28</v>
      </c>
      <c r="D238" s="456">
        <f>IF(ISERROR(VLOOKUP(D$38,'Compliance data'!$A$7:$E$74,'Compliance data'!$E$75,FALSE)),"",(VLOOKUP(D$38,'Compliance data'!$A$7:$E$74,'Compliance data'!$E$75,FALSE)))</f>
        <v>1.28</v>
      </c>
      <c r="E238" s="456">
        <f>IF(ISERROR(VLOOKUP(E$38,'Compliance data'!$A$7:$E$74,'Compliance data'!$E$75,FALSE)),"",(VLOOKUP(E$38,'Compliance data'!$A$7:$E$74,'Compliance data'!$E$75,FALSE)))</f>
        <v>1.28</v>
      </c>
      <c r="F238" s="457">
        <f>IF(ISERROR(VLOOKUP(F$38,'Compliance data'!$A$7:$E$74,'Compliance data'!$E$75,FALSE)),"",(VLOOKUP(F$38,'Compliance data'!$A$7:$E$74,'Compliance data'!$E$75,FALSE)))</f>
        <v>1.1259999999999999</v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44">C258+1</f>
        <v>2</v>
      </c>
      <c r="E258" s="526">
        <f t="shared" si="44"/>
        <v>3</v>
      </c>
      <c r="F258" s="526">
        <f t="shared" si="44"/>
        <v>4</v>
      </c>
      <c r="G258" s="526">
        <f t="shared" si="44"/>
        <v>5</v>
      </c>
      <c r="H258" s="526">
        <f t="shared" si="44"/>
        <v>6</v>
      </c>
      <c r="I258" s="526">
        <f t="shared" si="44"/>
        <v>7</v>
      </c>
      <c r="J258" s="526">
        <f t="shared" si="44"/>
        <v>8</v>
      </c>
      <c r="K258" s="526">
        <f t="shared" si="44"/>
        <v>9</v>
      </c>
      <c r="L258" s="526">
        <f t="shared" si="44"/>
        <v>10</v>
      </c>
      <c r="M258" s="526">
        <f t="shared" si="44"/>
        <v>11</v>
      </c>
      <c r="N258" s="526">
        <f t="shared" si="44"/>
        <v>12</v>
      </c>
      <c r="O258" s="526">
        <f t="shared" si="44"/>
        <v>13</v>
      </c>
      <c r="P258" s="526">
        <f t="shared" si="44"/>
        <v>14</v>
      </c>
      <c r="Q258" s="526">
        <f t="shared" si="44"/>
        <v>15</v>
      </c>
      <c r="R258" s="526">
        <f t="shared" si="44"/>
        <v>16</v>
      </c>
      <c r="S258" s="526">
        <f t="shared" si="44"/>
        <v>17</v>
      </c>
      <c r="T258" s="526">
        <f t="shared" ref="T258:Y273" si="45">S258+1</f>
        <v>18</v>
      </c>
      <c r="U258" s="526">
        <f t="shared" si="45"/>
        <v>19</v>
      </c>
      <c r="V258" s="526">
        <f t="shared" si="45"/>
        <v>20</v>
      </c>
      <c r="W258" s="526">
        <f t="shared" si="45"/>
        <v>21</v>
      </c>
      <c r="X258" s="526">
        <f t="shared" si="45"/>
        <v>22</v>
      </c>
      <c r="Y258" s="526">
        <f t="shared" si="4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44"/>
        <v>25</v>
      </c>
      <c r="E259" s="526">
        <f t="shared" si="44"/>
        <v>26</v>
      </c>
      <c r="F259" s="526">
        <f t="shared" si="44"/>
        <v>27</v>
      </c>
      <c r="G259" s="526">
        <f t="shared" si="44"/>
        <v>28</v>
      </c>
      <c r="H259" s="526">
        <f t="shared" si="44"/>
        <v>29</v>
      </c>
      <c r="I259" s="526">
        <f t="shared" si="44"/>
        <v>30</v>
      </c>
      <c r="J259" s="526">
        <f t="shared" si="44"/>
        <v>31</v>
      </c>
      <c r="K259" s="526">
        <f t="shared" si="44"/>
        <v>32</v>
      </c>
      <c r="L259" s="526">
        <f t="shared" si="44"/>
        <v>33</v>
      </c>
      <c r="M259" s="526">
        <f t="shared" si="44"/>
        <v>34</v>
      </c>
      <c r="N259" s="526">
        <f t="shared" si="44"/>
        <v>35</v>
      </c>
      <c r="O259" s="526">
        <f t="shared" si="44"/>
        <v>36</v>
      </c>
      <c r="P259" s="526">
        <f t="shared" si="44"/>
        <v>37</v>
      </c>
      <c r="Q259" s="526">
        <f t="shared" si="44"/>
        <v>38</v>
      </c>
      <c r="R259" s="526">
        <f t="shared" si="44"/>
        <v>39</v>
      </c>
      <c r="S259" s="526">
        <f t="shared" si="44"/>
        <v>40</v>
      </c>
      <c r="T259" s="526">
        <f t="shared" si="45"/>
        <v>41</v>
      </c>
      <c r="U259" s="526">
        <f t="shared" si="45"/>
        <v>42</v>
      </c>
      <c r="V259" s="526">
        <f t="shared" si="45"/>
        <v>43</v>
      </c>
      <c r="W259" s="526">
        <f t="shared" si="45"/>
        <v>44</v>
      </c>
      <c r="X259" s="526">
        <f t="shared" si="45"/>
        <v>45</v>
      </c>
      <c r="Y259" s="526">
        <f t="shared" si="45"/>
        <v>46</v>
      </c>
    </row>
    <row r="260" spans="2:25" s="526" customFormat="1" ht="15.75">
      <c r="B260" s="530" t="s">
        <v>31</v>
      </c>
      <c r="C260" s="526">
        <f t="shared" ref="C260:C286" si="46">Y259+1</f>
        <v>47</v>
      </c>
      <c r="D260" s="526">
        <f t="shared" si="44"/>
        <v>48</v>
      </c>
      <c r="E260" s="526">
        <f t="shared" si="44"/>
        <v>49</v>
      </c>
      <c r="F260" s="526">
        <f t="shared" si="44"/>
        <v>50</v>
      </c>
      <c r="G260" s="526">
        <f t="shared" si="44"/>
        <v>51</v>
      </c>
      <c r="H260" s="526">
        <f t="shared" si="44"/>
        <v>52</v>
      </c>
      <c r="I260" s="526">
        <f t="shared" si="44"/>
        <v>53</v>
      </c>
      <c r="J260" s="526">
        <f t="shared" si="44"/>
        <v>54</v>
      </c>
      <c r="K260" s="526">
        <f t="shared" si="44"/>
        <v>55</v>
      </c>
      <c r="L260" s="526">
        <f t="shared" si="44"/>
        <v>56</v>
      </c>
      <c r="M260" s="526">
        <f t="shared" si="44"/>
        <v>57</v>
      </c>
      <c r="N260" s="526">
        <f t="shared" si="44"/>
        <v>58</v>
      </c>
      <c r="O260" s="526">
        <f t="shared" si="44"/>
        <v>59</v>
      </c>
      <c r="P260" s="526">
        <f t="shared" si="44"/>
        <v>60</v>
      </c>
      <c r="Q260" s="526">
        <f t="shared" si="44"/>
        <v>61</v>
      </c>
      <c r="R260" s="526">
        <f t="shared" si="44"/>
        <v>62</v>
      </c>
      <c r="S260" s="526">
        <f t="shared" si="44"/>
        <v>63</v>
      </c>
      <c r="T260" s="526">
        <f t="shared" si="45"/>
        <v>64</v>
      </c>
      <c r="U260" s="526">
        <f t="shared" si="45"/>
        <v>65</v>
      </c>
      <c r="V260" s="526">
        <f t="shared" si="45"/>
        <v>66</v>
      </c>
      <c r="W260" s="526">
        <f t="shared" si="45"/>
        <v>67</v>
      </c>
      <c r="X260" s="526">
        <f t="shared" si="45"/>
        <v>68</v>
      </c>
      <c r="Y260" s="526">
        <f t="shared" si="45"/>
        <v>69</v>
      </c>
    </row>
    <row r="261" spans="2:25" s="526" customFormat="1" ht="15.75">
      <c r="B261" s="530" t="s">
        <v>32</v>
      </c>
      <c r="C261" s="526">
        <f t="shared" si="46"/>
        <v>70</v>
      </c>
      <c r="D261" s="526">
        <f t="shared" si="44"/>
        <v>71</v>
      </c>
      <c r="E261" s="526">
        <f t="shared" si="44"/>
        <v>72</v>
      </c>
      <c r="F261" s="526">
        <f t="shared" si="44"/>
        <v>73</v>
      </c>
      <c r="G261" s="526">
        <f t="shared" si="44"/>
        <v>74</v>
      </c>
      <c r="H261" s="526">
        <f t="shared" si="44"/>
        <v>75</v>
      </c>
      <c r="I261" s="526">
        <f t="shared" si="44"/>
        <v>76</v>
      </c>
      <c r="J261" s="526">
        <f t="shared" si="44"/>
        <v>77</v>
      </c>
      <c r="K261" s="526">
        <f t="shared" si="44"/>
        <v>78</v>
      </c>
      <c r="L261" s="526">
        <f t="shared" si="44"/>
        <v>79</v>
      </c>
      <c r="M261" s="526">
        <f t="shared" si="44"/>
        <v>80</v>
      </c>
      <c r="N261" s="526">
        <f t="shared" si="44"/>
        <v>81</v>
      </c>
      <c r="O261" s="526">
        <f t="shared" si="44"/>
        <v>82</v>
      </c>
      <c r="P261" s="526">
        <f t="shared" si="44"/>
        <v>83</v>
      </c>
      <c r="Q261" s="526">
        <f t="shared" si="44"/>
        <v>84</v>
      </c>
      <c r="R261" s="526">
        <f t="shared" si="44"/>
        <v>85</v>
      </c>
      <c r="S261" s="526">
        <f t="shared" si="44"/>
        <v>86</v>
      </c>
      <c r="T261" s="526">
        <f t="shared" si="45"/>
        <v>87</v>
      </c>
      <c r="U261" s="526">
        <f t="shared" si="45"/>
        <v>88</v>
      </c>
      <c r="V261" s="526">
        <f t="shared" si="45"/>
        <v>89</v>
      </c>
      <c r="W261" s="526">
        <f t="shared" si="45"/>
        <v>90</v>
      </c>
      <c r="X261" s="526">
        <f t="shared" si="45"/>
        <v>91</v>
      </c>
      <c r="Y261" s="526">
        <f t="shared" si="45"/>
        <v>92</v>
      </c>
    </row>
    <row r="262" spans="2:25" s="526" customFormat="1" ht="15.75">
      <c r="B262" s="530" t="s">
        <v>33</v>
      </c>
      <c r="C262" s="526">
        <f t="shared" si="46"/>
        <v>93</v>
      </c>
      <c r="D262" s="526">
        <f t="shared" si="44"/>
        <v>94</v>
      </c>
      <c r="E262" s="526">
        <f t="shared" si="44"/>
        <v>95</v>
      </c>
      <c r="F262" s="526">
        <f t="shared" si="44"/>
        <v>96</v>
      </c>
      <c r="G262" s="526">
        <f t="shared" si="44"/>
        <v>97</v>
      </c>
      <c r="H262" s="526">
        <f t="shared" si="44"/>
        <v>98</v>
      </c>
      <c r="I262" s="526">
        <f t="shared" si="44"/>
        <v>99</v>
      </c>
      <c r="J262" s="526">
        <f t="shared" si="44"/>
        <v>100</v>
      </c>
      <c r="K262" s="526">
        <f t="shared" si="44"/>
        <v>101</v>
      </c>
      <c r="L262" s="526">
        <f t="shared" si="44"/>
        <v>102</v>
      </c>
      <c r="M262" s="526">
        <f t="shared" si="44"/>
        <v>103</v>
      </c>
      <c r="N262" s="526">
        <f t="shared" si="44"/>
        <v>104</v>
      </c>
      <c r="O262" s="526">
        <f t="shared" si="44"/>
        <v>105</v>
      </c>
      <c r="P262" s="526">
        <f t="shared" si="44"/>
        <v>106</v>
      </c>
      <c r="Q262" s="526">
        <f t="shared" si="44"/>
        <v>107</v>
      </c>
      <c r="R262" s="526">
        <f t="shared" si="44"/>
        <v>108</v>
      </c>
      <c r="S262" s="526">
        <f t="shared" si="44"/>
        <v>109</v>
      </c>
      <c r="T262" s="526">
        <f t="shared" si="45"/>
        <v>110</v>
      </c>
      <c r="U262" s="526">
        <f t="shared" si="45"/>
        <v>111</v>
      </c>
      <c r="V262" s="526">
        <f t="shared" si="45"/>
        <v>112</v>
      </c>
      <c r="W262" s="526">
        <f t="shared" si="45"/>
        <v>113</v>
      </c>
      <c r="X262" s="526">
        <f t="shared" si="45"/>
        <v>114</v>
      </c>
      <c r="Y262" s="526">
        <f t="shared" si="45"/>
        <v>115</v>
      </c>
    </row>
    <row r="263" spans="2:25" s="526" customFormat="1" ht="15.75">
      <c r="B263" s="530" t="s">
        <v>34</v>
      </c>
      <c r="C263" s="526">
        <f t="shared" si="46"/>
        <v>116</v>
      </c>
      <c r="D263" s="526">
        <f t="shared" si="44"/>
        <v>117</v>
      </c>
      <c r="E263" s="526">
        <f t="shared" si="44"/>
        <v>118</v>
      </c>
      <c r="F263" s="526">
        <f t="shared" si="44"/>
        <v>119</v>
      </c>
      <c r="G263" s="526">
        <f t="shared" si="44"/>
        <v>120</v>
      </c>
      <c r="H263" s="526">
        <f t="shared" si="44"/>
        <v>121</v>
      </c>
      <c r="I263" s="526">
        <f t="shared" si="44"/>
        <v>122</v>
      </c>
      <c r="J263" s="526">
        <f t="shared" si="44"/>
        <v>123</v>
      </c>
      <c r="K263" s="526">
        <f t="shared" si="44"/>
        <v>124</v>
      </c>
      <c r="L263" s="526">
        <f t="shared" si="44"/>
        <v>125</v>
      </c>
      <c r="M263" s="526">
        <f t="shared" si="44"/>
        <v>126</v>
      </c>
      <c r="N263" s="526">
        <f t="shared" si="44"/>
        <v>127</v>
      </c>
      <c r="O263" s="526">
        <f t="shared" si="44"/>
        <v>128</v>
      </c>
      <c r="P263" s="526">
        <f t="shared" si="44"/>
        <v>129</v>
      </c>
      <c r="Q263" s="526">
        <f t="shared" si="44"/>
        <v>130</v>
      </c>
      <c r="R263" s="526">
        <f t="shared" si="44"/>
        <v>131</v>
      </c>
      <c r="S263" s="526">
        <f t="shared" si="44"/>
        <v>132</v>
      </c>
      <c r="T263" s="526">
        <f t="shared" si="45"/>
        <v>133</v>
      </c>
      <c r="U263" s="526">
        <f t="shared" si="45"/>
        <v>134</v>
      </c>
      <c r="V263" s="526">
        <f t="shared" si="45"/>
        <v>135</v>
      </c>
      <c r="W263" s="526">
        <f t="shared" si="45"/>
        <v>136</v>
      </c>
      <c r="X263" s="526">
        <f t="shared" si="45"/>
        <v>137</v>
      </c>
      <c r="Y263" s="526">
        <f t="shared" si="45"/>
        <v>138</v>
      </c>
    </row>
    <row r="264" spans="2:25" s="526" customFormat="1" ht="15.75">
      <c r="B264" s="530" t="s">
        <v>35</v>
      </c>
      <c r="C264" s="526">
        <f t="shared" si="46"/>
        <v>139</v>
      </c>
      <c r="D264" s="526">
        <f t="shared" si="44"/>
        <v>140</v>
      </c>
      <c r="E264" s="526">
        <f t="shared" si="44"/>
        <v>141</v>
      </c>
      <c r="F264" s="526">
        <f t="shared" si="44"/>
        <v>142</v>
      </c>
      <c r="G264" s="526">
        <f t="shared" si="44"/>
        <v>143</v>
      </c>
      <c r="H264" s="526">
        <f t="shared" si="44"/>
        <v>144</v>
      </c>
      <c r="I264" s="526">
        <f t="shared" si="44"/>
        <v>145</v>
      </c>
      <c r="J264" s="526">
        <f t="shared" si="44"/>
        <v>146</v>
      </c>
      <c r="K264" s="526">
        <f t="shared" si="44"/>
        <v>147</v>
      </c>
      <c r="L264" s="526">
        <f t="shared" si="44"/>
        <v>148</v>
      </c>
      <c r="M264" s="526">
        <f t="shared" si="44"/>
        <v>149</v>
      </c>
      <c r="N264" s="526">
        <f t="shared" si="44"/>
        <v>150</v>
      </c>
      <c r="O264" s="526">
        <f t="shared" si="44"/>
        <v>151</v>
      </c>
      <c r="P264" s="526">
        <f t="shared" si="44"/>
        <v>152</v>
      </c>
      <c r="Q264" s="526">
        <f t="shared" si="44"/>
        <v>153</v>
      </c>
      <c r="R264" s="526">
        <f t="shared" si="44"/>
        <v>154</v>
      </c>
      <c r="S264" s="526">
        <f t="shared" si="44"/>
        <v>155</v>
      </c>
      <c r="T264" s="526">
        <f t="shared" si="45"/>
        <v>156</v>
      </c>
      <c r="U264" s="526">
        <f t="shared" si="45"/>
        <v>157</v>
      </c>
      <c r="V264" s="526">
        <f t="shared" si="45"/>
        <v>158</v>
      </c>
      <c r="W264" s="526">
        <f t="shared" si="45"/>
        <v>159</v>
      </c>
      <c r="X264" s="526">
        <f t="shared" si="45"/>
        <v>160</v>
      </c>
      <c r="Y264" s="526">
        <f t="shared" si="45"/>
        <v>161</v>
      </c>
    </row>
    <row r="265" spans="2:25" s="526" customFormat="1" ht="15.75">
      <c r="B265" s="530" t="s">
        <v>115</v>
      </c>
      <c r="C265" s="526">
        <f t="shared" si="46"/>
        <v>162</v>
      </c>
      <c r="D265" s="526">
        <f t="shared" si="44"/>
        <v>163</v>
      </c>
      <c r="E265" s="526">
        <f t="shared" si="44"/>
        <v>164</v>
      </c>
      <c r="F265" s="526">
        <f t="shared" si="44"/>
        <v>165</v>
      </c>
      <c r="G265" s="526">
        <f t="shared" si="44"/>
        <v>166</v>
      </c>
      <c r="H265" s="526">
        <f t="shared" si="44"/>
        <v>167</v>
      </c>
      <c r="I265" s="526">
        <f t="shared" si="44"/>
        <v>168</v>
      </c>
      <c r="J265" s="526">
        <f t="shared" si="44"/>
        <v>169</v>
      </c>
      <c r="K265" s="526">
        <f t="shared" si="44"/>
        <v>170</v>
      </c>
      <c r="L265" s="526">
        <f t="shared" si="44"/>
        <v>171</v>
      </c>
      <c r="M265" s="526">
        <f t="shared" si="44"/>
        <v>172</v>
      </c>
      <c r="N265" s="526">
        <f t="shared" si="44"/>
        <v>173</v>
      </c>
      <c r="O265" s="526">
        <f t="shared" si="44"/>
        <v>174</v>
      </c>
      <c r="P265" s="526">
        <f t="shared" si="44"/>
        <v>175</v>
      </c>
      <c r="Q265" s="526">
        <f t="shared" si="44"/>
        <v>176</v>
      </c>
      <c r="R265" s="526">
        <f t="shared" si="44"/>
        <v>177</v>
      </c>
      <c r="S265" s="526">
        <f t="shared" si="44"/>
        <v>178</v>
      </c>
      <c r="T265" s="526">
        <f t="shared" si="45"/>
        <v>179</v>
      </c>
      <c r="U265" s="526">
        <f t="shared" si="45"/>
        <v>180</v>
      </c>
      <c r="V265" s="526">
        <f t="shared" si="45"/>
        <v>181</v>
      </c>
      <c r="W265" s="526">
        <f t="shared" si="45"/>
        <v>182</v>
      </c>
      <c r="X265" s="526">
        <f t="shared" si="45"/>
        <v>183</v>
      </c>
      <c r="Y265" s="526">
        <f t="shared" si="45"/>
        <v>184</v>
      </c>
    </row>
    <row r="266" spans="2:25" s="526" customFormat="1" ht="15.75">
      <c r="B266" s="530" t="s">
        <v>116</v>
      </c>
      <c r="C266" s="526">
        <f t="shared" si="46"/>
        <v>185</v>
      </c>
      <c r="D266" s="526">
        <f t="shared" si="44"/>
        <v>186</v>
      </c>
      <c r="E266" s="526">
        <f t="shared" si="44"/>
        <v>187</v>
      </c>
      <c r="F266" s="526">
        <f t="shared" si="44"/>
        <v>188</v>
      </c>
      <c r="G266" s="526">
        <f t="shared" si="44"/>
        <v>189</v>
      </c>
      <c r="H266" s="526">
        <f t="shared" si="44"/>
        <v>190</v>
      </c>
      <c r="I266" s="526">
        <f t="shared" si="44"/>
        <v>191</v>
      </c>
      <c r="J266" s="526">
        <f t="shared" si="44"/>
        <v>192</v>
      </c>
      <c r="K266" s="526">
        <f t="shared" si="44"/>
        <v>193</v>
      </c>
      <c r="L266" s="526">
        <f t="shared" si="44"/>
        <v>194</v>
      </c>
      <c r="M266" s="526">
        <f t="shared" si="44"/>
        <v>195</v>
      </c>
      <c r="N266" s="526">
        <f t="shared" si="44"/>
        <v>196</v>
      </c>
      <c r="O266" s="526">
        <f t="shared" si="44"/>
        <v>197</v>
      </c>
      <c r="P266" s="526">
        <f t="shared" si="44"/>
        <v>198</v>
      </c>
      <c r="Q266" s="526">
        <f t="shared" si="44"/>
        <v>199</v>
      </c>
      <c r="R266" s="526">
        <f t="shared" si="44"/>
        <v>200</v>
      </c>
      <c r="S266" s="526">
        <f t="shared" si="44"/>
        <v>201</v>
      </c>
      <c r="T266" s="526">
        <f t="shared" si="45"/>
        <v>202</v>
      </c>
      <c r="U266" s="526">
        <f t="shared" si="45"/>
        <v>203</v>
      </c>
      <c r="V266" s="526">
        <f t="shared" si="45"/>
        <v>204</v>
      </c>
      <c r="W266" s="526">
        <f t="shared" si="45"/>
        <v>205</v>
      </c>
      <c r="X266" s="526">
        <f t="shared" si="45"/>
        <v>206</v>
      </c>
      <c r="Y266" s="526">
        <f t="shared" si="45"/>
        <v>207</v>
      </c>
    </row>
    <row r="267" spans="2:25" s="526" customFormat="1" ht="15.75">
      <c r="B267" s="530" t="s">
        <v>38</v>
      </c>
      <c r="C267" s="526">
        <f t="shared" si="46"/>
        <v>208</v>
      </c>
      <c r="D267" s="526">
        <f t="shared" si="44"/>
        <v>209</v>
      </c>
      <c r="E267" s="526">
        <f t="shared" si="44"/>
        <v>210</v>
      </c>
      <c r="F267" s="526">
        <f t="shared" si="44"/>
        <v>211</v>
      </c>
      <c r="G267" s="526">
        <f t="shared" si="44"/>
        <v>212</v>
      </c>
      <c r="H267" s="526">
        <f t="shared" si="44"/>
        <v>213</v>
      </c>
      <c r="I267" s="526">
        <f t="shared" si="44"/>
        <v>214</v>
      </c>
      <c r="J267" s="526">
        <f t="shared" si="44"/>
        <v>215</v>
      </c>
      <c r="K267" s="526">
        <f t="shared" si="44"/>
        <v>216</v>
      </c>
      <c r="L267" s="526">
        <f t="shared" si="44"/>
        <v>217</v>
      </c>
      <c r="M267" s="526">
        <f t="shared" si="44"/>
        <v>218</v>
      </c>
      <c r="N267" s="526">
        <f t="shared" si="44"/>
        <v>219</v>
      </c>
      <c r="O267" s="526">
        <f t="shared" si="44"/>
        <v>220</v>
      </c>
      <c r="P267" s="526">
        <f t="shared" si="44"/>
        <v>221</v>
      </c>
      <c r="Q267" s="526">
        <f t="shared" si="44"/>
        <v>222</v>
      </c>
      <c r="R267" s="526">
        <f t="shared" si="44"/>
        <v>223</v>
      </c>
      <c r="S267" s="526">
        <f t="shared" si="44"/>
        <v>224</v>
      </c>
      <c r="T267" s="526">
        <f t="shared" si="45"/>
        <v>225</v>
      </c>
      <c r="U267" s="526">
        <f t="shared" si="45"/>
        <v>226</v>
      </c>
      <c r="V267" s="526">
        <f t="shared" si="45"/>
        <v>227</v>
      </c>
      <c r="W267" s="526">
        <f t="shared" si="45"/>
        <v>228</v>
      </c>
      <c r="X267" s="526">
        <f t="shared" si="45"/>
        <v>229</v>
      </c>
      <c r="Y267" s="526">
        <f t="shared" si="45"/>
        <v>230</v>
      </c>
    </row>
    <row r="268" spans="2:25" s="526" customFormat="1" ht="15.75">
      <c r="B268" s="530" t="s">
        <v>39</v>
      </c>
      <c r="C268" s="526">
        <f t="shared" si="46"/>
        <v>231</v>
      </c>
      <c r="D268" s="526">
        <f t="shared" si="44"/>
        <v>232</v>
      </c>
      <c r="E268" s="526">
        <f t="shared" si="44"/>
        <v>233</v>
      </c>
      <c r="F268" s="526">
        <f t="shared" si="44"/>
        <v>234</v>
      </c>
      <c r="G268" s="526">
        <f t="shared" si="44"/>
        <v>235</v>
      </c>
      <c r="H268" s="526">
        <f t="shared" si="44"/>
        <v>236</v>
      </c>
      <c r="I268" s="526">
        <f t="shared" si="44"/>
        <v>237</v>
      </c>
      <c r="J268" s="526">
        <f t="shared" si="44"/>
        <v>238</v>
      </c>
      <c r="K268" s="526">
        <f t="shared" si="44"/>
        <v>239</v>
      </c>
      <c r="L268" s="526">
        <f t="shared" si="44"/>
        <v>240</v>
      </c>
      <c r="M268" s="526">
        <f t="shared" si="44"/>
        <v>241</v>
      </c>
      <c r="N268" s="526">
        <f t="shared" si="44"/>
        <v>242</v>
      </c>
      <c r="O268" s="526">
        <f t="shared" si="44"/>
        <v>243</v>
      </c>
      <c r="P268" s="526">
        <f t="shared" si="44"/>
        <v>244</v>
      </c>
      <c r="Q268" s="526">
        <f t="shared" si="44"/>
        <v>245</v>
      </c>
      <c r="R268" s="526">
        <f t="shared" si="44"/>
        <v>246</v>
      </c>
      <c r="S268" s="526">
        <f t="shared" si="44"/>
        <v>247</v>
      </c>
      <c r="T268" s="526">
        <f t="shared" si="45"/>
        <v>248</v>
      </c>
      <c r="U268" s="526">
        <f t="shared" si="45"/>
        <v>249</v>
      </c>
      <c r="V268" s="526">
        <f t="shared" si="45"/>
        <v>250</v>
      </c>
      <c r="W268" s="526">
        <f t="shared" si="45"/>
        <v>251</v>
      </c>
      <c r="X268" s="526">
        <f t="shared" si="45"/>
        <v>252</v>
      </c>
      <c r="Y268" s="526">
        <f t="shared" si="45"/>
        <v>253</v>
      </c>
    </row>
    <row r="269" spans="2:25" s="526" customFormat="1" ht="15.75">
      <c r="B269" s="530" t="s">
        <v>40</v>
      </c>
      <c r="C269" s="526">
        <f t="shared" si="46"/>
        <v>254</v>
      </c>
      <c r="D269" s="526">
        <f t="shared" si="44"/>
        <v>255</v>
      </c>
      <c r="E269" s="526">
        <f t="shared" si="44"/>
        <v>256</v>
      </c>
      <c r="F269" s="526">
        <f t="shared" si="44"/>
        <v>257</v>
      </c>
      <c r="G269" s="526">
        <f t="shared" si="44"/>
        <v>258</v>
      </c>
      <c r="H269" s="526">
        <f t="shared" si="44"/>
        <v>259</v>
      </c>
      <c r="I269" s="526">
        <f t="shared" si="44"/>
        <v>260</v>
      </c>
      <c r="J269" s="526">
        <f t="shared" si="44"/>
        <v>261</v>
      </c>
      <c r="K269" s="526">
        <f t="shared" si="44"/>
        <v>262</v>
      </c>
      <c r="L269" s="526">
        <f t="shared" si="44"/>
        <v>263</v>
      </c>
      <c r="M269" s="526">
        <f t="shared" si="44"/>
        <v>264</v>
      </c>
      <c r="N269" s="526">
        <f t="shared" si="44"/>
        <v>265</v>
      </c>
      <c r="O269" s="526">
        <f t="shared" si="44"/>
        <v>266</v>
      </c>
      <c r="P269" s="526">
        <f t="shared" si="44"/>
        <v>267</v>
      </c>
      <c r="Q269" s="526">
        <f t="shared" si="44"/>
        <v>268</v>
      </c>
      <c r="R269" s="526">
        <f t="shared" si="44"/>
        <v>269</v>
      </c>
      <c r="S269" s="526">
        <f t="shared" si="44"/>
        <v>270</v>
      </c>
      <c r="T269" s="526">
        <f t="shared" si="45"/>
        <v>271</v>
      </c>
      <c r="U269" s="526">
        <f t="shared" si="45"/>
        <v>272</v>
      </c>
      <c r="V269" s="526">
        <f t="shared" si="45"/>
        <v>273</v>
      </c>
      <c r="W269" s="526">
        <f t="shared" si="45"/>
        <v>274</v>
      </c>
      <c r="X269" s="526">
        <f t="shared" si="45"/>
        <v>275</v>
      </c>
      <c r="Y269" s="526">
        <f t="shared" si="45"/>
        <v>276</v>
      </c>
    </row>
    <row r="270" spans="2:25" s="526" customFormat="1" ht="15.75">
      <c r="B270" s="530" t="s">
        <v>41</v>
      </c>
      <c r="C270" s="526">
        <f t="shared" si="46"/>
        <v>277</v>
      </c>
      <c r="D270" s="526">
        <f t="shared" si="44"/>
        <v>278</v>
      </c>
      <c r="E270" s="526">
        <f t="shared" si="44"/>
        <v>279</v>
      </c>
      <c r="F270" s="526">
        <f t="shared" si="44"/>
        <v>280</v>
      </c>
      <c r="G270" s="526">
        <f t="shared" si="44"/>
        <v>281</v>
      </c>
      <c r="H270" s="526">
        <f t="shared" si="44"/>
        <v>282</v>
      </c>
      <c r="I270" s="526">
        <f t="shared" si="44"/>
        <v>283</v>
      </c>
      <c r="J270" s="526">
        <f t="shared" si="44"/>
        <v>284</v>
      </c>
      <c r="K270" s="526">
        <f t="shared" si="44"/>
        <v>285</v>
      </c>
      <c r="L270" s="526">
        <f t="shared" si="44"/>
        <v>286</v>
      </c>
      <c r="M270" s="526">
        <f t="shared" si="44"/>
        <v>287</v>
      </c>
      <c r="N270" s="526">
        <f t="shared" si="44"/>
        <v>288</v>
      </c>
      <c r="O270" s="526">
        <f t="shared" si="44"/>
        <v>289</v>
      </c>
      <c r="P270" s="526">
        <f t="shared" si="44"/>
        <v>290</v>
      </c>
      <c r="Q270" s="526">
        <f t="shared" si="44"/>
        <v>291</v>
      </c>
      <c r="R270" s="526">
        <f t="shared" si="44"/>
        <v>292</v>
      </c>
      <c r="S270" s="526">
        <f t="shared" si="44"/>
        <v>293</v>
      </c>
      <c r="T270" s="526">
        <f t="shared" si="45"/>
        <v>294</v>
      </c>
      <c r="U270" s="526">
        <f t="shared" si="45"/>
        <v>295</v>
      </c>
      <c r="V270" s="526">
        <f t="shared" si="45"/>
        <v>296</v>
      </c>
      <c r="W270" s="526">
        <f t="shared" si="45"/>
        <v>297</v>
      </c>
      <c r="X270" s="526">
        <f t="shared" si="45"/>
        <v>298</v>
      </c>
      <c r="Y270" s="526">
        <f t="shared" si="45"/>
        <v>299</v>
      </c>
    </row>
    <row r="271" spans="2:25" s="526" customFormat="1" ht="15.75">
      <c r="B271" s="530" t="s">
        <v>42</v>
      </c>
      <c r="C271" s="526">
        <f t="shared" si="46"/>
        <v>300</v>
      </c>
      <c r="D271" s="526">
        <f t="shared" si="44"/>
        <v>301</v>
      </c>
      <c r="E271" s="526">
        <f t="shared" si="44"/>
        <v>302</v>
      </c>
      <c r="F271" s="526">
        <f t="shared" si="44"/>
        <v>303</v>
      </c>
      <c r="G271" s="526">
        <f t="shared" si="44"/>
        <v>304</v>
      </c>
      <c r="H271" s="526">
        <f t="shared" si="44"/>
        <v>305</v>
      </c>
      <c r="I271" s="526">
        <f t="shared" si="44"/>
        <v>306</v>
      </c>
      <c r="J271" s="526">
        <f t="shared" si="44"/>
        <v>307</v>
      </c>
      <c r="K271" s="526">
        <f t="shared" si="44"/>
        <v>308</v>
      </c>
      <c r="L271" s="526">
        <f t="shared" si="44"/>
        <v>309</v>
      </c>
      <c r="M271" s="526">
        <f t="shared" si="44"/>
        <v>310</v>
      </c>
      <c r="N271" s="526">
        <f t="shared" si="44"/>
        <v>311</v>
      </c>
      <c r="O271" s="526">
        <f t="shared" si="44"/>
        <v>312</v>
      </c>
      <c r="P271" s="526">
        <f t="shared" si="44"/>
        <v>313</v>
      </c>
      <c r="Q271" s="526">
        <f t="shared" si="44"/>
        <v>314</v>
      </c>
      <c r="R271" s="526">
        <f t="shared" si="44"/>
        <v>315</v>
      </c>
      <c r="S271" s="526">
        <f t="shared" si="44"/>
        <v>316</v>
      </c>
      <c r="T271" s="526">
        <f t="shared" si="45"/>
        <v>317</v>
      </c>
      <c r="U271" s="526">
        <f t="shared" si="45"/>
        <v>318</v>
      </c>
      <c r="V271" s="526">
        <f t="shared" si="45"/>
        <v>319</v>
      </c>
      <c r="W271" s="526">
        <f t="shared" si="45"/>
        <v>320</v>
      </c>
      <c r="X271" s="526">
        <f t="shared" si="45"/>
        <v>321</v>
      </c>
      <c r="Y271" s="526">
        <f t="shared" si="45"/>
        <v>322</v>
      </c>
    </row>
    <row r="272" spans="2:25" s="526" customFormat="1" ht="15.75">
      <c r="B272" s="530" t="s">
        <v>43</v>
      </c>
      <c r="C272" s="526">
        <f t="shared" si="46"/>
        <v>323</v>
      </c>
      <c r="D272" s="526">
        <f t="shared" si="44"/>
        <v>324</v>
      </c>
      <c r="E272" s="526">
        <f t="shared" si="44"/>
        <v>325</v>
      </c>
      <c r="F272" s="526">
        <f t="shared" si="44"/>
        <v>326</v>
      </c>
      <c r="G272" s="526">
        <f t="shared" si="44"/>
        <v>327</v>
      </c>
      <c r="H272" s="526">
        <f t="shared" si="44"/>
        <v>328</v>
      </c>
      <c r="I272" s="526">
        <f t="shared" si="44"/>
        <v>329</v>
      </c>
      <c r="J272" s="526">
        <f t="shared" si="44"/>
        <v>330</v>
      </c>
      <c r="K272" s="526">
        <f t="shared" si="44"/>
        <v>331</v>
      </c>
      <c r="L272" s="526">
        <f t="shared" si="44"/>
        <v>332</v>
      </c>
      <c r="M272" s="526">
        <f t="shared" si="44"/>
        <v>333</v>
      </c>
      <c r="N272" s="526">
        <f t="shared" si="44"/>
        <v>334</v>
      </c>
      <c r="O272" s="526">
        <f t="shared" si="44"/>
        <v>335</v>
      </c>
      <c r="P272" s="526">
        <f t="shared" si="44"/>
        <v>336</v>
      </c>
      <c r="Q272" s="526">
        <f t="shared" si="44"/>
        <v>337</v>
      </c>
      <c r="R272" s="526">
        <f t="shared" si="44"/>
        <v>338</v>
      </c>
      <c r="S272" s="526">
        <f t="shared" si="44"/>
        <v>339</v>
      </c>
      <c r="T272" s="526">
        <f t="shared" si="45"/>
        <v>340</v>
      </c>
      <c r="U272" s="526">
        <f t="shared" si="45"/>
        <v>341</v>
      </c>
      <c r="V272" s="526">
        <f t="shared" si="45"/>
        <v>342</v>
      </c>
      <c r="W272" s="526">
        <f t="shared" si="45"/>
        <v>343</v>
      </c>
      <c r="X272" s="526">
        <f t="shared" si="45"/>
        <v>344</v>
      </c>
      <c r="Y272" s="526">
        <f t="shared" si="45"/>
        <v>345</v>
      </c>
    </row>
    <row r="273" spans="2:25" s="526" customFormat="1" ht="15.75">
      <c r="B273" s="530" t="s">
        <v>44</v>
      </c>
      <c r="C273" s="526">
        <f t="shared" si="46"/>
        <v>346</v>
      </c>
      <c r="D273" s="526">
        <f t="shared" si="44"/>
        <v>347</v>
      </c>
      <c r="E273" s="526">
        <f t="shared" si="44"/>
        <v>348</v>
      </c>
      <c r="F273" s="526">
        <f t="shared" si="44"/>
        <v>349</v>
      </c>
      <c r="G273" s="526">
        <f t="shared" si="44"/>
        <v>350</v>
      </c>
      <c r="H273" s="526">
        <f t="shared" si="44"/>
        <v>351</v>
      </c>
      <c r="I273" s="526">
        <f t="shared" si="44"/>
        <v>352</v>
      </c>
      <c r="J273" s="526">
        <f t="shared" si="44"/>
        <v>353</v>
      </c>
      <c r="K273" s="526">
        <f t="shared" si="44"/>
        <v>354</v>
      </c>
      <c r="L273" s="526">
        <f t="shared" si="44"/>
        <v>355</v>
      </c>
      <c r="M273" s="526">
        <f t="shared" si="44"/>
        <v>356</v>
      </c>
      <c r="N273" s="526">
        <f t="shared" si="44"/>
        <v>357</v>
      </c>
      <c r="O273" s="526">
        <f t="shared" si="44"/>
        <v>358</v>
      </c>
      <c r="P273" s="526">
        <f t="shared" si="44"/>
        <v>359</v>
      </c>
      <c r="Q273" s="526">
        <f t="shared" si="44"/>
        <v>360</v>
      </c>
      <c r="R273" s="526">
        <f t="shared" si="44"/>
        <v>361</v>
      </c>
      <c r="S273" s="526">
        <f t="shared" ref="D273:S286" si="47">R273+1</f>
        <v>362</v>
      </c>
      <c r="T273" s="526">
        <f t="shared" si="45"/>
        <v>363</v>
      </c>
      <c r="U273" s="526">
        <f t="shared" si="45"/>
        <v>364</v>
      </c>
      <c r="V273" s="526">
        <f t="shared" si="45"/>
        <v>365</v>
      </c>
      <c r="W273" s="526">
        <f t="shared" si="45"/>
        <v>366</v>
      </c>
      <c r="X273" s="526">
        <f t="shared" si="45"/>
        <v>367</v>
      </c>
      <c r="Y273" s="526">
        <f t="shared" si="45"/>
        <v>368</v>
      </c>
    </row>
    <row r="274" spans="2:25" s="526" customFormat="1" ht="15.75">
      <c r="B274" s="530" t="s">
        <v>45</v>
      </c>
      <c r="C274" s="526">
        <f t="shared" si="46"/>
        <v>369</v>
      </c>
      <c r="D274" s="526">
        <f t="shared" si="47"/>
        <v>370</v>
      </c>
      <c r="E274" s="526">
        <f t="shared" si="47"/>
        <v>371</v>
      </c>
      <c r="F274" s="526">
        <f t="shared" si="47"/>
        <v>372</v>
      </c>
      <c r="G274" s="526">
        <f t="shared" si="47"/>
        <v>373</v>
      </c>
      <c r="H274" s="526">
        <f t="shared" si="47"/>
        <v>374</v>
      </c>
      <c r="I274" s="526">
        <f t="shared" si="47"/>
        <v>375</v>
      </c>
      <c r="J274" s="526">
        <f t="shared" si="47"/>
        <v>376</v>
      </c>
      <c r="K274" s="526">
        <f t="shared" si="47"/>
        <v>377</v>
      </c>
      <c r="L274" s="526">
        <f t="shared" si="47"/>
        <v>378</v>
      </c>
      <c r="M274" s="526">
        <f t="shared" si="47"/>
        <v>379</v>
      </c>
      <c r="N274" s="526">
        <f t="shared" si="47"/>
        <v>380</v>
      </c>
      <c r="O274" s="526">
        <f t="shared" si="47"/>
        <v>381</v>
      </c>
      <c r="P274" s="526">
        <f t="shared" si="47"/>
        <v>382</v>
      </c>
      <c r="Q274" s="526">
        <f t="shared" si="47"/>
        <v>383</v>
      </c>
      <c r="R274" s="526">
        <f t="shared" si="47"/>
        <v>384</v>
      </c>
      <c r="S274" s="526">
        <f t="shared" si="47"/>
        <v>385</v>
      </c>
      <c r="T274" s="526">
        <f t="shared" ref="S274:Y286" si="48">S274+1</f>
        <v>386</v>
      </c>
      <c r="U274" s="526">
        <f t="shared" si="48"/>
        <v>387</v>
      </c>
      <c r="V274" s="526">
        <f t="shared" si="48"/>
        <v>388</v>
      </c>
      <c r="W274" s="526">
        <f t="shared" si="48"/>
        <v>389</v>
      </c>
      <c r="X274" s="526">
        <f t="shared" si="48"/>
        <v>390</v>
      </c>
      <c r="Y274" s="526">
        <f t="shared" si="48"/>
        <v>391</v>
      </c>
    </row>
    <row r="275" spans="2:25" s="526" customFormat="1" ht="15.75">
      <c r="B275" s="530" t="s">
        <v>295</v>
      </c>
      <c r="C275" s="526">
        <f t="shared" si="46"/>
        <v>392</v>
      </c>
      <c r="D275" s="526">
        <f t="shared" si="47"/>
        <v>393</v>
      </c>
      <c r="E275" s="526">
        <f t="shared" si="47"/>
        <v>394</v>
      </c>
      <c r="F275" s="526">
        <f t="shared" si="47"/>
        <v>395</v>
      </c>
      <c r="G275" s="526">
        <f t="shared" si="47"/>
        <v>396</v>
      </c>
      <c r="H275" s="526">
        <f t="shared" si="47"/>
        <v>397</v>
      </c>
      <c r="I275" s="526">
        <f t="shared" si="47"/>
        <v>398</v>
      </c>
      <c r="J275" s="526">
        <f t="shared" si="47"/>
        <v>399</v>
      </c>
      <c r="K275" s="526">
        <f t="shared" si="47"/>
        <v>400</v>
      </c>
      <c r="L275" s="526">
        <f t="shared" si="47"/>
        <v>401</v>
      </c>
      <c r="M275" s="526">
        <f t="shared" si="47"/>
        <v>402</v>
      </c>
      <c r="N275" s="526">
        <f t="shared" si="47"/>
        <v>403</v>
      </c>
      <c r="O275" s="526">
        <f t="shared" si="47"/>
        <v>404</v>
      </c>
      <c r="P275" s="526">
        <f t="shared" si="47"/>
        <v>405</v>
      </c>
      <c r="Q275" s="526">
        <f t="shared" si="47"/>
        <v>406</v>
      </c>
      <c r="R275" s="526">
        <f t="shared" si="47"/>
        <v>407</v>
      </c>
      <c r="S275" s="526">
        <f t="shared" si="47"/>
        <v>408</v>
      </c>
      <c r="T275" s="526">
        <f t="shared" si="48"/>
        <v>409</v>
      </c>
      <c r="U275" s="526">
        <f t="shared" si="48"/>
        <v>410</v>
      </c>
      <c r="V275" s="526">
        <f t="shared" si="48"/>
        <v>411</v>
      </c>
      <c r="W275" s="526">
        <f t="shared" si="48"/>
        <v>412</v>
      </c>
      <c r="X275" s="526">
        <f t="shared" si="48"/>
        <v>413</v>
      </c>
      <c r="Y275" s="526">
        <f t="shared" si="48"/>
        <v>414</v>
      </c>
    </row>
    <row r="276" spans="2:25" s="526" customFormat="1" ht="15.75">
      <c r="B276" s="530" t="s">
        <v>47</v>
      </c>
      <c r="C276" s="526">
        <f t="shared" si="46"/>
        <v>415</v>
      </c>
      <c r="D276" s="526">
        <f t="shared" si="47"/>
        <v>416</v>
      </c>
      <c r="E276" s="526">
        <f t="shared" si="47"/>
        <v>417</v>
      </c>
      <c r="F276" s="526">
        <f t="shared" si="47"/>
        <v>418</v>
      </c>
      <c r="G276" s="526">
        <f t="shared" si="47"/>
        <v>419</v>
      </c>
      <c r="H276" s="526">
        <f t="shared" si="47"/>
        <v>420</v>
      </c>
      <c r="I276" s="526">
        <f t="shared" si="47"/>
        <v>421</v>
      </c>
      <c r="J276" s="526">
        <f t="shared" si="47"/>
        <v>422</v>
      </c>
      <c r="K276" s="526">
        <f t="shared" si="47"/>
        <v>423</v>
      </c>
      <c r="L276" s="526">
        <f t="shared" si="47"/>
        <v>424</v>
      </c>
      <c r="M276" s="526">
        <f t="shared" si="47"/>
        <v>425</v>
      </c>
      <c r="N276" s="526">
        <f t="shared" si="47"/>
        <v>426</v>
      </c>
      <c r="O276" s="526">
        <f t="shared" si="47"/>
        <v>427</v>
      </c>
      <c r="P276" s="526">
        <f t="shared" si="47"/>
        <v>428</v>
      </c>
      <c r="Q276" s="526">
        <f t="shared" si="47"/>
        <v>429</v>
      </c>
      <c r="R276" s="526">
        <f t="shared" si="47"/>
        <v>430</v>
      </c>
      <c r="S276" s="526">
        <f t="shared" si="47"/>
        <v>431</v>
      </c>
      <c r="T276" s="526">
        <f t="shared" si="48"/>
        <v>432</v>
      </c>
      <c r="U276" s="526">
        <f t="shared" si="48"/>
        <v>433</v>
      </c>
      <c r="V276" s="526">
        <f t="shared" si="48"/>
        <v>434</v>
      </c>
      <c r="W276" s="526">
        <f t="shared" si="48"/>
        <v>435</v>
      </c>
      <c r="X276" s="526">
        <f t="shared" si="48"/>
        <v>436</v>
      </c>
      <c r="Y276" s="526">
        <f t="shared" si="48"/>
        <v>437</v>
      </c>
    </row>
    <row r="277" spans="2:25" s="526" customFormat="1" ht="15.75">
      <c r="B277" s="530" t="s">
        <v>48</v>
      </c>
      <c r="C277" s="526">
        <f t="shared" si="46"/>
        <v>438</v>
      </c>
      <c r="D277" s="526">
        <f t="shared" si="47"/>
        <v>439</v>
      </c>
      <c r="E277" s="526">
        <f t="shared" si="47"/>
        <v>440</v>
      </c>
      <c r="F277" s="526">
        <f t="shared" si="47"/>
        <v>441</v>
      </c>
      <c r="G277" s="526">
        <f t="shared" si="47"/>
        <v>442</v>
      </c>
      <c r="H277" s="526">
        <f t="shared" si="47"/>
        <v>443</v>
      </c>
      <c r="I277" s="526">
        <f t="shared" si="47"/>
        <v>444</v>
      </c>
      <c r="J277" s="526">
        <f t="shared" si="47"/>
        <v>445</v>
      </c>
      <c r="K277" s="526">
        <f t="shared" si="47"/>
        <v>446</v>
      </c>
      <c r="L277" s="526">
        <f t="shared" si="47"/>
        <v>447</v>
      </c>
      <c r="M277" s="526">
        <f t="shared" si="47"/>
        <v>448</v>
      </c>
      <c r="N277" s="526">
        <f t="shared" si="47"/>
        <v>449</v>
      </c>
      <c r="O277" s="526">
        <f t="shared" si="47"/>
        <v>450</v>
      </c>
      <c r="P277" s="526">
        <f t="shared" si="47"/>
        <v>451</v>
      </c>
      <c r="Q277" s="526">
        <f t="shared" si="47"/>
        <v>452</v>
      </c>
      <c r="R277" s="526">
        <f t="shared" si="47"/>
        <v>453</v>
      </c>
      <c r="S277" s="526">
        <f t="shared" si="47"/>
        <v>454</v>
      </c>
      <c r="T277" s="526">
        <f t="shared" si="48"/>
        <v>455</v>
      </c>
      <c r="U277" s="526">
        <f t="shared" si="48"/>
        <v>456</v>
      </c>
      <c r="V277" s="526">
        <f t="shared" si="48"/>
        <v>457</v>
      </c>
      <c r="W277" s="526">
        <f t="shared" si="48"/>
        <v>458</v>
      </c>
      <c r="X277" s="526">
        <f t="shared" si="48"/>
        <v>459</v>
      </c>
      <c r="Y277" s="526">
        <f t="shared" si="48"/>
        <v>460</v>
      </c>
    </row>
    <row r="278" spans="2:25" s="526" customFormat="1" ht="15.75">
      <c r="B278" s="530" t="s">
        <v>176</v>
      </c>
      <c r="C278" s="526">
        <f t="shared" si="46"/>
        <v>461</v>
      </c>
      <c r="D278" s="526">
        <f t="shared" si="47"/>
        <v>462</v>
      </c>
      <c r="E278" s="526">
        <f t="shared" si="47"/>
        <v>463</v>
      </c>
      <c r="F278" s="526">
        <f t="shared" si="47"/>
        <v>464</v>
      </c>
      <c r="G278" s="526">
        <f t="shared" si="47"/>
        <v>465</v>
      </c>
      <c r="H278" s="526">
        <f t="shared" si="47"/>
        <v>466</v>
      </c>
      <c r="I278" s="526">
        <f t="shared" si="47"/>
        <v>467</v>
      </c>
      <c r="J278" s="526">
        <f t="shared" si="47"/>
        <v>468</v>
      </c>
      <c r="K278" s="526">
        <f t="shared" si="47"/>
        <v>469</v>
      </c>
      <c r="L278" s="526">
        <f t="shared" si="47"/>
        <v>470</v>
      </c>
      <c r="M278" s="526">
        <f t="shared" si="47"/>
        <v>471</v>
      </c>
      <c r="N278" s="526">
        <f t="shared" si="47"/>
        <v>472</v>
      </c>
      <c r="O278" s="526">
        <f t="shared" si="47"/>
        <v>473</v>
      </c>
      <c r="P278" s="526">
        <f t="shared" si="47"/>
        <v>474</v>
      </c>
      <c r="Q278" s="526">
        <f t="shared" si="47"/>
        <v>475</v>
      </c>
      <c r="R278" s="526">
        <f t="shared" si="47"/>
        <v>476</v>
      </c>
      <c r="S278" s="526">
        <f t="shared" si="47"/>
        <v>477</v>
      </c>
      <c r="T278" s="526">
        <f t="shared" si="48"/>
        <v>478</v>
      </c>
      <c r="U278" s="526">
        <f t="shared" si="48"/>
        <v>479</v>
      </c>
      <c r="V278" s="526">
        <f t="shared" si="48"/>
        <v>480</v>
      </c>
      <c r="W278" s="526">
        <f t="shared" si="48"/>
        <v>481</v>
      </c>
      <c r="X278" s="526">
        <f t="shared" si="48"/>
        <v>482</v>
      </c>
      <c r="Y278" s="526">
        <f t="shared" si="48"/>
        <v>483</v>
      </c>
    </row>
    <row r="279" spans="2:25" s="526" customFormat="1" ht="15.75">
      <c r="B279" s="530" t="s">
        <v>124</v>
      </c>
      <c r="C279" s="526">
        <f t="shared" si="46"/>
        <v>484</v>
      </c>
      <c r="D279" s="526">
        <f t="shared" si="47"/>
        <v>485</v>
      </c>
      <c r="E279" s="526">
        <f t="shared" si="47"/>
        <v>486</v>
      </c>
      <c r="F279" s="526">
        <f t="shared" si="47"/>
        <v>487</v>
      </c>
      <c r="G279" s="526">
        <f t="shared" si="47"/>
        <v>488</v>
      </c>
      <c r="H279" s="526">
        <f t="shared" si="47"/>
        <v>489</v>
      </c>
      <c r="I279" s="526">
        <f t="shared" si="47"/>
        <v>490</v>
      </c>
      <c r="J279" s="526">
        <f t="shared" si="47"/>
        <v>491</v>
      </c>
      <c r="K279" s="526">
        <f t="shared" si="47"/>
        <v>492</v>
      </c>
      <c r="L279" s="526">
        <f t="shared" si="47"/>
        <v>493</v>
      </c>
      <c r="M279" s="526">
        <f t="shared" si="47"/>
        <v>494</v>
      </c>
      <c r="N279" s="526">
        <f t="shared" si="47"/>
        <v>495</v>
      </c>
      <c r="O279" s="526">
        <f t="shared" si="47"/>
        <v>496</v>
      </c>
      <c r="P279" s="526">
        <f t="shared" si="47"/>
        <v>497</v>
      </c>
      <c r="Q279" s="526">
        <f t="shared" si="47"/>
        <v>498</v>
      </c>
      <c r="R279" s="526">
        <f t="shared" si="47"/>
        <v>499</v>
      </c>
      <c r="S279" s="526">
        <f t="shared" si="47"/>
        <v>500</v>
      </c>
      <c r="T279" s="526">
        <f t="shared" si="48"/>
        <v>501</v>
      </c>
      <c r="U279" s="526">
        <f t="shared" si="48"/>
        <v>502</v>
      </c>
      <c r="V279" s="526">
        <f t="shared" si="48"/>
        <v>503</v>
      </c>
      <c r="W279" s="526">
        <f t="shared" si="48"/>
        <v>504</v>
      </c>
      <c r="X279" s="526">
        <f t="shared" si="48"/>
        <v>505</v>
      </c>
      <c r="Y279" s="526">
        <f t="shared" si="48"/>
        <v>506</v>
      </c>
    </row>
    <row r="280" spans="2:25" s="526" customFormat="1" ht="15.75">
      <c r="B280" s="530" t="s">
        <v>125</v>
      </c>
      <c r="C280" s="526">
        <f t="shared" si="46"/>
        <v>507</v>
      </c>
      <c r="D280" s="526">
        <f t="shared" si="47"/>
        <v>508</v>
      </c>
      <c r="E280" s="526">
        <f t="shared" si="47"/>
        <v>509</v>
      </c>
      <c r="F280" s="526">
        <f t="shared" si="47"/>
        <v>510</v>
      </c>
      <c r="G280" s="526">
        <f t="shared" si="47"/>
        <v>511</v>
      </c>
      <c r="H280" s="526">
        <f t="shared" si="47"/>
        <v>512</v>
      </c>
      <c r="I280" s="526">
        <f t="shared" si="47"/>
        <v>513</v>
      </c>
      <c r="J280" s="526">
        <f t="shared" si="47"/>
        <v>514</v>
      </c>
      <c r="K280" s="526">
        <f t="shared" si="47"/>
        <v>515</v>
      </c>
      <c r="L280" s="526">
        <f t="shared" si="47"/>
        <v>516</v>
      </c>
      <c r="M280" s="526">
        <f t="shared" si="47"/>
        <v>517</v>
      </c>
      <c r="N280" s="526">
        <f t="shared" si="47"/>
        <v>518</v>
      </c>
      <c r="O280" s="526">
        <f t="shared" si="47"/>
        <v>519</v>
      </c>
      <c r="P280" s="526">
        <f t="shared" si="47"/>
        <v>520</v>
      </c>
      <c r="Q280" s="526">
        <f t="shared" si="47"/>
        <v>521</v>
      </c>
      <c r="R280" s="526">
        <f t="shared" si="47"/>
        <v>522</v>
      </c>
      <c r="S280" s="526">
        <f t="shared" si="47"/>
        <v>523</v>
      </c>
      <c r="T280" s="526">
        <f t="shared" si="48"/>
        <v>524</v>
      </c>
      <c r="U280" s="526">
        <f t="shared" si="48"/>
        <v>525</v>
      </c>
      <c r="V280" s="526">
        <f t="shared" si="48"/>
        <v>526</v>
      </c>
      <c r="W280" s="526">
        <f t="shared" si="48"/>
        <v>527</v>
      </c>
      <c r="X280" s="526">
        <f t="shared" si="48"/>
        <v>528</v>
      </c>
      <c r="Y280" s="526">
        <f t="shared" si="48"/>
        <v>529</v>
      </c>
    </row>
    <row r="281" spans="2:25" s="526" customFormat="1" ht="15.75">
      <c r="B281" s="530" t="s">
        <v>52</v>
      </c>
      <c r="C281" s="526">
        <f t="shared" si="46"/>
        <v>530</v>
      </c>
      <c r="D281" s="526">
        <f t="shared" si="47"/>
        <v>531</v>
      </c>
      <c r="E281" s="526">
        <f t="shared" si="47"/>
        <v>532</v>
      </c>
      <c r="F281" s="526">
        <f t="shared" si="47"/>
        <v>533</v>
      </c>
      <c r="G281" s="526">
        <f t="shared" si="47"/>
        <v>534</v>
      </c>
      <c r="H281" s="526">
        <f t="shared" si="47"/>
        <v>535</v>
      </c>
      <c r="I281" s="526">
        <f t="shared" si="47"/>
        <v>536</v>
      </c>
      <c r="J281" s="526">
        <f t="shared" si="47"/>
        <v>537</v>
      </c>
      <c r="K281" s="526">
        <f t="shared" si="47"/>
        <v>538</v>
      </c>
      <c r="L281" s="526">
        <f t="shared" si="47"/>
        <v>539</v>
      </c>
      <c r="M281" s="526">
        <f t="shared" si="47"/>
        <v>540</v>
      </c>
      <c r="N281" s="526">
        <f t="shared" si="47"/>
        <v>541</v>
      </c>
      <c r="O281" s="526">
        <f t="shared" si="47"/>
        <v>542</v>
      </c>
      <c r="P281" s="526">
        <f t="shared" si="47"/>
        <v>543</v>
      </c>
      <c r="Q281" s="526">
        <f t="shared" si="47"/>
        <v>544</v>
      </c>
      <c r="R281" s="526">
        <f t="shared" si="47"/>
        <v>545</v>
      </c>
      <c r="S281" s="526">
        <f t="shared" si="47"/>
        <v>546</v>
      </c>
      <c r="T281" s="526">
        <f t="shared" si="48"/>
        <v>547</v>
      </c>
      <c r="U281" s="526">
        <f t="shared" si="48"/>
        <v>548</v>
      </c>
      <c r="V281" s="526">
        <f t="shared" si="48"/>
        <v>549</v>
      </c>
      <c r="W281" s="526">
        <f t="shared" si="48"/>
        <v>550</v>
      </c>
      <c r="X281" s="526">
        <f t="shared" si="48"/>
        <v>551</v>
      </c>
      <c r="Y281" s="526">
        <f t="shared" si="48"/>
        <v>552</v>
      </c>
    </row>
    <row r="282" spans="2:25" s="526" customFormat="1" ht="15.75">
      <c r="B282" s="530" t="s">
        <v>53</v>
      </c>
      <c r="C282" s="526">
        <f t="shared" si="46"/>
        <v>553</v>
      </c>
      <c r="D282" s="526">
        <f t="shared" si="47"/>
        <v>554</v>
      </c>
      <c r="E282" s="526">
        <f t="shared" si="47"/>
        <v>555</v>
      </c>
      <c r="F282" s="526">
        <f t="shared" si="47"/>
        <v>556</v>
      </c>
      <c r="G282" s="526">
        <f t="shared" si="47"/>
        <v>557</v>
      </c>
      <c r="H282" s="526">
        <f t="shared" si="47"/>
        <v>558</v>
      </c>
      <c r="I282" s="526">
        <f t="shared" si="47"/>
        <v>559</v>
      </c>
      <c r="J282" s="526">
        <f t="shared" si="47"/>
        <v>560</v>
      </c>
      <c r="K282" s="526">
        <f t="shared" si="47"/>
        <v>561</v>
      </c>
      <c r="L282" s="526">
        <f t="shared" si="47"/>
        <v>562</v>
      </c>
      <c r="M282" s="526">
        <f t="shared" si="47"/>
        <v>563</v>
      </c>
      <c r="N282" s="526">
        <f t="shared" si="47"/>
        <v>564</v>
      </c>
      <c r="O282" s="526">
        <f t="shared" si="47"/>
        <v>565</v>
      </c>
      <c r="P282" s="526">
        <f t="shared" si="47"/>
        <v>566</v>
      </c>
      <c r="Q282" s="526">
        <f t="shared" si="47"/>
        <v>567</v>
      </c>
      <c r="R282" s="526">
        <f t="shared" si="47"/>
        <v>568</v>
      </c>
      <c r="S282" s="526">
        <f t="shared" si="47"/>
        <v>569</v>
      </c>
      <c r="T282" s="526">
        <f t="shared" si="48"/>
        <v>570</v>
      </c>
      <c r="U282" s="526">
        <f t="shared" si="48"/>
        <v>571</v>
      </c>
      <c r="V282" s="526">
        <f t="shared" si="48"/>
        <v>572</v>
      </c>
      <c r="W282" s="526">
        <f t="shared" si="48"/>
        <v>573</v>
      </c>
      <c r="X282" s="526">
        <f t="shared" si="48"/>
        <v>574</v>
      </c>
      <c r="Y282" s="526">
        <f t="shared" si="48"/>
        <v>575</v>
      </c>
    </row>
    <row r="283" spans="2:25" s="526" customFormat="1" ht="15.75">
      <c r="B283" s="530" t="s">
        <v>54</v>
      </c>
      <c r="C283" s="526">
        <f t="shared" si="46"/>
        <v>576</v>
      </c>
      <c r="D283" s="526">
        <f t="shared" si="47"/>
        <v>577</v>
      </c>
      <c r="E283" s="526">
        <f t="shared" si="47"/>
        <v>578</v>
      </c>
      <c r="F283" s="526">
        <f t="shared" si="47"/>
        <v>579</v>
      </c>
      <c r="G283" s="526">
        <f t="shared" si="47"/>
        <v>580</v>
      </c>
      <c r="H283" s="526">
        <f t="shared" si="47"/>
        <v>581</v>
      </c>
      <c r="I283" s="526">
        <f t="shared" si="47"/>
        <v>582</v>
      </c>
      <c r="J283" s="526">
        <f t="shared" si="47"/>
        <v>583</v>
      </c>
      <c r="K283" s="526">
        <f t="shared" si="47"/>
        <v>584</v>
      </c>
      <c r="L283" s="526">
        <f t="shared" si="47"/>
        <v>585</v>
      </c>
      <c r="M283" s="526">
        <f t="shared" si="47"/>
        <v>586</v>
      </c>
      <c r="N283" s="526">
        <f t="shared" si="47"/>
        <v>587</v>
      </c>
      <c r="O283" s="526">
        <f t="shared" si="47"/>
        <v>588</v>
      </c>
      <c r="P283" s="526">
        <f t="shared" si="47"/>
        <v>589</v>
      </c>
      <c r="Q283" s="526">
        <f t="shared" si="47"/>
        <v>590</v>
      </c>
      <c r="R283" s="526">
        <f t="shared" si="47"/>
        <v>591</v>
      </c>
      <c r="S283" s="526">
        <f t="shared" si="47"/>
        <v>592</v>
      </c>
      <c r="T283" s="526">
        <f t="shared" si="48"/>
        <v>593</v>
      </c>
      <c r="U283" s="526">
        <f t="shared" si="48"/>
        <v>594</v>
      </c>
      <c r="V283" s="526">
        <f t="shared" si="48"/>
        <v>595</v>
      </c>
      <c r="W283" s="526">
        <f t="shared" si="48"/>
        <v>596</v>
      </c>
      <c r="X283" s="526">
        <f t="shared" si="48"/>
        <v>597</v>
      </c>
      <c r="Y283" s="526">
        <f t="shared" si="48"/>
        <v>598</v>
      </c>
    </row>
    <row r="284" spans="2:25" s="526" customFormat="1" ht="15.75">
      <c r="B284" s="530" t="s">
        <v>55</v>
      </c>
      <c r="C284" s="526">
        <f t="shared" si="46"/>
        <v>599</v>
      </c>
      <c r="D284" s="526">
        <f t="shared" si="47"/>
        <v>600</v>
      </c>
      <c r="E284" s="526">
        <f t="shared" si="47"/>
        <v>601</v>
      </c>
      <c r="F284" s="526">
        <f t="shared" si="47"/>
        <v>602</v>
      </c>
      <c r="G284" s="526">
        <f t="shared" si="47"/>
        <v>603</v>
      </c>
      <c r="H284" s="526">
        <f t="shared" si="47"/>
        <v>604</v>
      </c>
      <c r="I284" s="526">
        <f t="shared" si="47"/>
        <v>605</v>
      </c>
      <c r="J284" s="526">
        <f t="shared" si="47"/>
        <v>606</v>
      </c>
      <c r="K284" s="526">
        <f t="shared" si="47"/>
        <v>607</v>
      </c>
      <c r="L284" s="526">
        <f t="shared" si="47"/>
        <v>608</v>
      </c>
      <c r="M284" s="526">
        <f t="shared" si="47"/>
        <v>609</v>
      </c>
      <c r="N284" s="526">
        <f t="shared" si="47"/>
        <v>610</v>
      </c>
      <c r="O284" s="526">
        <f t="shared" si="47"/>
        <v>611</v>
      </c>
      <c r="P284" s="526">
        <f t="shared" si="47"/>
        <v>612</v>
      </c>
      <c r="Q284" s="526">
        <f t="shared" si="47"/>
        <v>613</v>
      </c>
      <c r="R284" s="526">
        <f t="shared" si="47"/>
        <v>614</v>
      </c>
      <c r="S284" s="526">
        <f t="shared" si="47"/>
        <v>615</v>
      </c>
      <c r="T284" s="526">
        <f t="shared" si="48"/>
        <v>616</v>
      </c>
      <c r="U284" s="526">
        <f t="shared" si="48"/>
        <v>617</v>
      </c>
      <c r="V284" s="526">
        <f t="shared" si="48"/>
        <v>618</v>
      </c>
      <c r="W284" s="526">
        <f t="shared" si="48"/>
        <v>619</v>
      </c>
      <c r="X284" s="526">
        <f t="shared" si="48"/>
        <v>620</v>
      </c>
      <c r="Y284" s="526">
        <f t="shared" si="48"/>
        <v>621</v>
      </c>
    </row>
    <row r="285" spans="2:25" s="526" customFormat="1" ht="15.75">
      <c r="B285" s="530" t="s">
        <v>214</v>
      </c>
      <c r="C285" s="526">
        <f t="shared" si="46"/>
        <v>622</v>
      </c>
      <c r="D285" s="526">
        <f t="shared" si="47"/>
        <v>623</v>
      </c>
      <c r="E285" s="526">
        <f t="shared" si="47"/>
        <v>624</v>
      </c>
      <c r="F285" s="526">
        <f t="shared" si="47"/>
        <v>625</v>
      </c>
      <c r="G285" s="526">
        <f t="shared" si="47"/>
        <v>626</v>
      </c>
      <c r="H285" s="526">
        <f t="shared" si="47"/>
        <v>627</v>
      </c>
      <c r="I285" s="526">
        <f t="shared" si="47"/>
        <v>628</v>
      </c>
      <c r="J285" s="526">
        <f t="shared" si="47"/>
        <v>629</v>
      </c>
      <c r="K285" s="526">
        <f t="shared" si="47"/>
        <v>630</v>
      </c>
      <c r="L285" s="526">
        <f t="shared" si="47"/>
        <v>631</v>
      </c>
      <c r="M285" s="526">
        <f t="shared" si="47"/>
        <v>632</v>
      </c>
      <c r="N285" s="526">
        <f t="shared" si="47"/>
        <v>633</v>
      </c>
      <c r="O285" s="526">
        <f t="shared" si="47"/>
        <v>634</v>
      </c>
      <c r="P285" s="526">
        <f t="shared" si="47"/>
        <v>635</v>
      </c>
      <c r="Q285" s="526">
        <f t="shared" si="47"/>
        <v>636</v>
      </c>
      <c r="R285" s="526">
        <f t="shared" si="47"/>
        <v>637</v>
      </c>
      <c r="S285" s="526">
        <f t="shared" si="47"/>
        <v>638</v>
      </c>
      <c r="T285" s="526">
        <f t="shared" si="48"/>
        <v>639</v>
      </c>
      <c r="U285" s="526">
        <f t="shared" si="48"/>
        <v>640</v>
      </c>
      <c r="V285" s="526">
        <f t="shared" si="48"/>
        <v>641</v>
      </c>
      <c r="W285" s="526">
        <f t="shared" si="48"/>
        <v>642</v>
      </c>
      <c r="X285" s="526">
        <f t="shared" si="48"/>
        <v>643</v>
      </c>
      <c r="Y285" s="526">
        <f t="shared" si="48"/>
        <v>644</v>
      </c>
    </row>
    <row r="286" spans="2:25" s="526" customFormat="1" ht="15.75">
      <c r="B286" s="530" t="s">
        <v>57</v>
      </c>
      <c r="C286" s="526">
        <f t="shared" si="46"/>
        <v>645</v>
      </c>
      <c r="D286" s="526">
        <f t="shared" si="47"/>
        <v>646</v>
      </c>
      <c r="E286" s="526">
        <f t="shared" si="47"/>
        <v>647</v>
      </c>
      <c r="F286" s="526">
        <f t="shared" si="47"/>
        <v>648</v>
      </c>
      <c r="G286" s="526">
        <f t="shared" si="47"/>
        <v>649</v>
      </c>
      <c r="H286" s="526">
        <f t="shared" si="47"/>
        <v>650</v>
      </c>
      <c r="I286" s="526">
        <f t="shared" si="47"/>
        <v>651</v>
      </c>
      <c r="J286" s="526">
        <f t="shared" si="47"/>
        <v>652</v>
      </c>
      <c r="K286" s="526">
        <f t="shared" si="47"/>
        <v>653</v>
      </c>
      <c r="L286" s="526">
        <f t="shared" si="47"/>
        <v>654</v>
      </c>
      <c r="M286" s="526">
        <f t="shared" si="47"/>
        <v>655</v>
      </c>
      <c r="N286" s="526">
        <f t="shared" si="47"/>
        <v>656</v>
      </c>
      <c r="O286" s="526">
        <f t="shared" si="47"/>
        <v>657</v>
      </c>
      <c r="P286" s="526">
        <f t="shared" si="47"/>
        <v>658</v>
      </c>
      <c r="Q286" s="526">
        <f t="shared" si="47"/>
        <v>659</v>
      </c>
      <c r="R286" s="526">
        <f t="shared" si="47"/>
        <v>660</v>
      </c>
      <c r="S286" s="526">
        <f t="shared" si="48"/>
        <v>661</v>
      </c>
      <c r="T286" s="526">
        <f t="shared" si="48"/>
        <v>662</v>
      </c>
      <c r="U286" s="526">
        <f t="shared" si="48"/>
        <v>663</v>
      </c>
      <c r="V286" s="526">
        <f t="shared" si="48"/>
        <v>664</v>
      </c>
      <c r="W286" s="526">
        <f t="shared" si="48"/>
        <v>665</v>
      </c>
      <c r="X286" s="526">
        <f t="shared" si="48"/>
        <v>666</v>
      </c>
      <c r="Y286" s="526">
        <f t="shared" si="4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42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Tasman</v>
      </c>
      <c r="C6" s="108"/>
      <c r="D6" s="109">
        <f>VLOOKUP($B$6,$B$258:$J$286,9,FALSE)</f>
        <v>307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29.02077478</v>
      </c>
      <c r="E7" s="407">
        <f>D7/('Industry calcs'!D4/1000)*100</f>
        <v>1.4078564020370423</v>
      </c>
    </row>
    <row r="8" spans="2:5">
      <c r="B8" s="111" t="s">
        <v>250</v>
      </c>
      <c r="C8" s="114"/>
      <c r="D8" s="406">
        <f>VLOOKUP(D6,'AV (2011)'!A8:F214,'AV (2011)'!F214,FALSE)/1000</f>
        <v>153.18576999999999</v>
      </c>
      <c r="E8" s="407">
        <f>D8/('Industry calcs'!D5/1000)*100</f>
        <v>1.7067784320692918</v>
      </c>
    </row>
    <row r="9" spans="2:5">
      <c r="B9" s="111" t="s">
        <v>230</v>
      </c>
      <c r="C9" s="114"/>
      <c r="D9" s="406">
        <f>VLOOKUP($D$6,'FS (2011)'!$A$13:$AH$244,'FS (2011)'!S245,FALSE)/1000</f>
        <v>8.0027159000000001</v>
      </c>
      <c r="E9" s="407">
        <f>D9/('Industry calcs'!D6/1000)*100</f>
        <v>1.7626837912340561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6.1068960399999996</v>
      </c>
      <c r="E10" s="407">
        <f>D10/('Industry calcs'!D7/1000)*100</f>
        <v>1.0436139369768782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579.91179999999997</v>
      </c>
      <c r="E11" s="407">
        <f>D11/'Industry calcs'!D8*100</f>
        <v>1.8739627749743859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146.07594</v>
      </c>
      <c r="E12" s="407">
        <f>D12/'Industry calcs'!D9*100</f>
        <v>2.3360011790353354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3356</v>
      </c>
      <c r="E13" s="407">
        <f>D13/'Industry calcs'!D10*100</f>
        <v>2.2437684288770874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36679</v>
      </c>
      <c r="E14" s="407">
        <f>D14/'Industry calcs'!D11*100</f>
        <v>1.8260295966246405</v>
      </c>
    </row>
    <row r="15" spans="2:5">
      <c r="B15" s="115" t="s">
        <v>195</v>
      </c>
      <c r="C15" s="116" t="s">
        <v>239</v>
      </c>
      <c r="D15" s="408">
        <f>D14/D13</f>
        <v>10.929380214541121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Tasman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21.630253865967131</v>
      </c>
      <c r="D20" s="409">
        <f>VLOOKUP($B$2,'MED price allocation'!$B$16:$F$44,3,FALSE)</f>
        <v>22.736866634635177</v>
      </c>
      <c r="E20" s="409">
        <f>VLOOKUP($B$2,'MED price allocation'!$B$16:$F$44,4,FALSE)</f>
        <v>23.18359920239282</v>
      </c>
      <c r="F20" s="503">
        <f>VLOOKUP($B$2,'MED price allocation'!$B$16:$F$44,5,FALSE)</f>
        <v>23.436666666666667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5.6492372615551307</v>
      </c>
      <c r="D21" s="410">
        <f>VLOOKUP($B$2,'MED price allocation'!$B$47:$F$75,3,FALSE)</f>
        <v>5.5538060264946099</v>
      </c>
      <c r="E21" s="410">
        <f>VLOOKUP($B$2,'MED price allocation'!$B$47:$F$75,4,FALSE)</f>
        <v>5.4507693136805786</v>
      </c>
      <c r="F21" s="504">
        <f>VLOOKUP($B$2,'MED price allocation'!$B$47:$F$75,5,FALSE)</f>
        <v>5.68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7.1477944740668926</v>
      </c>
      <c r="D22" s="409">
        <f>VLOOKUP($B$2,'MED price allocation'!$B$78:$F$106,3,FALSE)</f>
        <v>7.4431381700871695</v>
      </c>
      <c r="E22" s="409">
        <f>VLOOKUP($B$2,'MED price allocation'!$B$78:$F$106,4,FALSE)</f>
        <v>7.5291935005793418</v>
      </c>
      <c r="F22" s="503">
        <f>VLOOKUP($B$2,'MED price allocation'!$B$78:$F$106,5,FALSE)</f>
        <v>7.76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1.4985572125117617</v>
      </c>
      <c r="D23" s="411">
        <f>VLOOKUP($B$2,'MED price allocation'!$B$109:$F$137,3,FALSE)</f>
        <v>1.889332143592559</v>
      </c>
      <c r="E23" s="411">
        <f>VLOOKUP($B$2,'MED price allocation'!$B$109:$F$137,4,FALSE)</f>
        <v>2.0784241868987627</v>
      </c>
      <c r="F23" s="505">
        <f>VLOOKUP($B$2,'MED price allocation'!$B$109:$F$137,5,FALSE)</f>
        <v>2.08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Tasman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1730.4203092773705</v>
      </c>
      <c r="D26" s="412">
        <f>(D20*8000)/100</f>
        <v>1818.9493307708142</v>
      </c>
      <c r="E26" s="412">
        <f>(E20*8000)/100</f>
        <v>1854.6879361914255</v>
      </c>
      <c r="F26" s="506">
        <f>(F20*8000)/100</f>
        <v>1874.9333333333334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571.82355792535145</v>
      </c>
      <c r="D27" s="412">
        <f>(D22*8000)/100</f>
        <v>595.45105360697357</v>
      </c>
      <c r="E27" s="412">
        <f>(E22*8000)/100</f>
        <v>602.33548004634736</v>
      </c>
      <c r="F27" s="506">
        <f>(F22*8000)/100</f>
        <v>620.79999999999995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451.93898092441043</v>
      </c>
      <c r="D28" s="412">
        <f>(D21*8000)/100</f>
        <v>444.30448211956877</v>
      </c>
      <c r="E28" s="412">
        <f>(E21*8000)/100</f>
        <v>436.06154509444627</v>
      </c>
      <c r="F28" s="506">
        <f>(F21*8000)/100</f>
        <v>454.4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119.88457700094094</v>
      </c>
      <c r="D29" s="413">
        <f>(D23*8000)/100</f>
        <v>151.14657148740471</v>
      </c>
      <c r="E29" s="413">
        <f>(E23*8000)/100</f>
        <v>166.27393495190103</v>
      </c>
      <c r="F29" s="507">
        <f>(F23*8000)/100</f>
        <v>166.4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Tasman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1819.7477273932359</v>
      </c>
      <c r="D32" s="122"/>
    </row>
    <row r="33" spans="2:13">
      <c r="B33" s="120" t="s">
        <v>241</v>
      </c>
      <c r="C33" s="412">
        <f>AVERAGE(C27:F27)</f>
        <v>597.60252289466803</v>
      </c>
      <c r="D33" s="414">
        <f>C33/$C$32</f>
        <v>0.32839855431539711</v>
      </c>
    </row>
    <row r="34" spans="2:13">
      <c r="B34" s="120" t="s">
        <v>222</v>
      </c>
      <c r="C34" s="412">
        <f>AVERAGE(C28:F28)</f>
        <v>446.67625203460636</v>
      </c>
      <c r="D34" s="414">
        <f>C34/$C$32</f>
        <v>0.24546053571637871</v>
      </c>
    </row>
    <row r="35" spans="2:13">
      <c r="B35" s="124" t="s">
        <v>223</v>
      </c>
      <c r="C35" s="413">
        <f>AVERAGE(C29:F29)</f>
        <v>150.92627086006166</v>
      </c>
      <c r="D35" s="415">
        <f>C35/$C$32</f>
        <v>8.2938018599018407E-2</v>
      </c>
    </row>
    <row r="38" spans="2:13">
      <c r="B38" s="517" t="s">
        <v>227</v>
      </c>
      <c r="C38" s="518">
        <f>VLOOKUP($B$2,$B$258:$J$286,6,FALSE)</f>
        <v>304</v>
      </c>
      <c r="D38" s="518">
        <f>VLOOKUP($B$2,$B$258:$J$286,7,FALSE)</f>
        <v>305</v>
      </c>
      <c r="E38" s="518">
        <f>VLOOKUP($B$2,$B$258:$J$286,8,FALSE)</f>
        <v>306</v>
      </c>
      <c r="F38" s="519">
        <f>VLOOKUP($B$2,$B$258:$J$286,9,FALSE)</f>
        <v>307</v>
      </c>
    </row>
    <row r="39" spans="2:13">
      <c r="B39" s="137" t="str">
        <f>B2</f>
        <v>Tasman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31178.770056171765</v>
      </c>
      <c r="D40" s="418">
        <f>VLOOKUP($D$38,'FS (2011)'!$A$13:$AH$244,'FS (2011)'!E245,FALSE)</f>
        <v>34170.487101379629</v>
      </c>
      <c r="E40" s="418">
        <f>VLOOKUP($E$38,'FS (2011)'!$A$13:$AH$244,'FS (2011)'!E245,FALSE)</f>
        <v>36138.517005200607</v>
      </c>
      <c r="F40" s="419">
        <f>VLOOKUP($F$38,'FS (2011)'!$A$13:$AH$244,'FS (2011)'!E245,FALSE)</f>
        <v>35977.963000000003</v>
      </c>
    </row>
    <row r="41" spans="2:13" ht="30">
      <c r="B41" s="120" t="s">
        <v>198</v>
      </c>
      <c r="C41" s="417">
        <f>VLOOKUP($C$38,'FS (2011)'!$A$13:$AH$244,'FS (2011)'!$F$245,FALSE)</f>
        <v>1917.8648406090499</v>
      </c>
      <c r="D41" s="418">
        <f>VLOOKUP($D$38,'FS (2011)'!$A$13:$AH$244,'FS (2011)'!$F$245,FALSE)</f>
        <v>2297.0184621044677</v>
      </c>
      <c r="E41" s="418">
        <f>VLOOKUP($E$38,'FS (2011)'!$A$13:$AH$244,'FS (2011)'!$F$245,FALSE)</f>
        <v>1584.4769999461075</v>
      </c>
      <c r="F41" s="419">
        <f>VLOOKUP($F$38,'FS (2011)'!$A$13:$AH$244,'FS (2011)'!$F$245,FALSE)</f>
        <v>1949.9745</v>
      </c>
    </row>
    <row r="42" spans="2:13">
      <c r="B42" s="120" t="s">
        <v>13</v>
      </c>
      <c r="C42" s="417">
        <f>VLOOKUP($C$38,'FS (2011)'!$A$13:$AH$244,'FS (2011)'!$H$245,FALSE)</f>
        <v>227.23881154515124</v>
      </c>
      <c r="D42" s="418">
        <f>VLOOKUP($D$38,'FS (2011)'!$A$13:$AH$244,'FS (2011)'!$H$245,FALSE)</f>
        <v>393.49753792298702</v>
      </c>
      <c r="E42" s="418">
        <f>VLOOKUP($E$38,'FS (2011)'!$A$13:$AH$244,'FS (2011)'!$H$245,FALSE)</f>
        <v>283.61858577780168</v>
      </c>
      <c r="F42" s="419">
        <f>VLOOKUP($F$38,'FS (2011)'!$A$13:$AH$244,'FS (2011)'!$H$245,FALSE)</f>
        <v>270.76427999999999</v>
      </c>
    </row>
    <row r="43" spans="2:13">
      <c r="B43" s="124" t="s">
        <v>5</v>
      </c>
      <c r="C43" s="420">
        <f>SUM(C40:C42)</f>
        <v>33323.873708325969</v>
      </c>
      <c r="D43" s="420">
        <f>SUM(D40:D42)</f>
        <v>36861.003101407085</v>
      </c>
      <c r="E43" s="420">
        <f>SUM(E40:E42)</f>
        <v>38006.612590924517</v>
      </c>
      <c r="F43" s="421">
        <f>SUM(F40:F42)</f>
        <v>38198.701780000003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Tasman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109.59536582045403</v>
      </c>
      <c r="E46" s="422">
        <f>IF(ISERROR(E40/$C40),"",(E40/$C40))*100</f>
        <v>115.90744901127705</v>
      </c>
      <c r="F46" s="423">
        <f>IF(ISERROR(F40/$C40),"",(F40/$C40))*100</f>
        <v>115.3925024469599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119.76956944343435</v>
      </c>
      <c r="E47" s="422">
        <f t="shared" si="0"/>
        <v>82.616718675698252</v>
      </c>
      <c r="F47" s="423">
        <f t="shared" si="0"/>
        <v>101.67423995221444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173.16475792463868</v>
      </c>
      <c r="E48" s="422">
        <f t="shared" si="0"/>
        <v>124.81080315870602</v>
      </c>
      <c r="F48" s="423">
        <f t="shared" si="0"/>
        <v>119.15406446587599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110.61440042667479</v>
      </c>
      <c r="E49" s="424">
        <f t="shared" si="0"/>
        <v>114.05220450535008</v>
      </c>
      <c r="F49" s="416">
        <f t="shared" si="0"/>
        <v>114.62863565725272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Tasman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17045.197782783496</v>
      </c>
      <c r="D54" s="426">
        <f>VLOOKUP($D$38,'MP (2011)'!$A$14:$AR$245,'MP (2011)'!$Z$246,FALSE)</f>
        <v>17934.859087102745</v>
      </c>
      <c r="E54" s="426">
        <f>VLOOKUP($E$38,'MP (2011)'!$A$14:$AR$245,'MP (2011)'!$Z$246,FALSE)</f>
        <v>18771.763840101314</v>
      </c>
      <c r="F54" s="427">
        <f>VLOOKUP($F$38,'MP (2011)'!$A$14:$AR$245,'MP (2011)'!$Z$246,FALSE)</f>
        <v>18508.471000000001</v>
      </c>
    </row>
    <row r="55" spans="2:23">
      <c r="B55" s="111" t="s">
        <v>180</v>
      </c>
      <c r="C55" s="425">
        <f>VLOOKUP($C$38,'MP (2011)'!$A$14:$AR$245,'MP (2011)'!$AD$246,FALSE)</f>
        <v>4616.4058641327583</v>
      </c>
      <c r="D55" s="426">
        <f>VLOOKUP($D$38,'MP (2011)'!$A$14:$AR$245,'MP (2011)'!$AD$246,FALSE)</f>
        <v>4662.7714504495834</v>
      </c>
      <c r="E55" s="426">
        <f>VLOOKUP($E$38,'MP (2011)'!$A$14:$AR$245,'MP (2011)'!$AD$246,FALSE)</f>
        <v>4857.479869257093</v>
      </c>
      <c r="F55" s="427">
        <f>VLOOKUP($F$38,'MP (2011)'!$A$14:$AR$245,'MP (2011)'!$AD$246,FALSE)</f>
        <v>5047.0137999999997</v>
      </c>
      <c r="J55" s="139"/>
    </row>
    <row r="56" spans="2:23">
      <c r="B56" s="111" t="s">
        <v>184</v>
      </c>
      <c r="C56" s="425">
        <f>VLOOKUP($C$38,'MP (2011)'!$A$14:$AR$245,'MP (2011)'!$AH$246,FALSE)</f>
        <v>7022.3432421658918</v>
      </c>
      <c r="D56" s="426">
        <f>VLOOKUP($D$38,'MP (2011)'!$A$14:$AR$245,'MP (2011)'!$AH$246,FALSE)</f>
        <v>7260.1189805751919</v>
      </c>
      <c r="E56" s="426">
        <f>VLOOKUP($E$38,'MP (2011)'!$A$14:$AR$245,'MP (2011)'!$AH$246,FALSE)</f>
        <v>7518.6794250491757</v>
      </c>
      <c r="F56" s="427">
        <f>VLOOKUP($F$38,'MP (2011)'!$A$14:$AR$245,'MP (2011)'!$AH$246,FALSE)</f>
        <v>7566.6130000000003</v>
      </c>
    </row>
    <row r="57" spans="2:23">
      <c r="B57" s="111" t="s">
        <v>181</v>
      </c>
      <c r="C57" s="425">
        <f>VLOOKUP($C$38,'MP (2011)'!$A$14:$AR$245,'MP (2011)'!$AL$246,FALSE)</f>
        <v>2494.3951619001455</v>
      </c>
      <c r="D57" s="426">
        <f>VLOOKUP($D$38,'MP (2011)'!$A$14:$AR$245,'MP (2011)'!$AL$246,FALSE)</f>
        <v>2396.8977982565711</v>
      </c>
      <c r="E57" s="426">
        <f>VLOOKUP($E$38,'MP (2011)'!$A$14:$AR$245,'MP (2011)'!$AL$246,FALSE)</f>
        <v>2466.6317471100206</v>
      </c>
      <c r="F57" s="427">
        <f>VLOOKUP($F$38,'MP (2011)'!$A$14:$AR$245,'MP (2011)'!$AL$246,FALSE)</f>
        <v>2441.4474</v>
      </c>
      <c r="W57" s="139"/>
    </row>
    <row r="58" spans="2:23">
      <c r="B58" s="147" t="s">
        <v>248</v>
      </c>
      <c r="C58" s="428">
        <f>SUM(C54:C57)</f>
        <v>31178.34205098229</v>
      </c>
      <c r="D58" s="428">
        <f>SUM(D54:D57)</f>
        <v>32254.647316384093</v>
      </c>
      <c r="E58" s="428">
        <f>SUM(E54:E57)</f>
        <v>33614.554881517608</v>
      </c>
      <c r="F58" s="429">
        <f>SUM(F54:F57)</f>
        <v>33563.5452</v>
      </c>
    </row>
    <row r="59" spans="2:23">
      <c r="B59" s="103" t="s">
        <v>302</v>
      </c>
    </row>
    <row r="60" spans="2:23">
      <c r="B60" s="137" t="str">
        <f>$B$2</f>
        <v>Tasman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105.21942494101096</v>
      </c>
      <c r="E61" s="422">
        <f t="shared" si="1"/>
        <v>110.12934011866813</v>
      </c>
      <c r="F61" s="423">
        <f t="shared" si="1"/>
        <v>108.58466552200694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101.00436546701977</v>
      </c>
      <c r="E62" s="422">
        <f t="shared" si="1"/>
        <v>105.22211461079198</v>
      </c>
      <c r="F62" s="423">
        <f t="shared" si="1"/>
        <v>109.32777464851731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103.38598855409926</v>
      </c>
      <c r="E63" s="422">
        <f t="shared" si="1"/>
        <v>107.06795674559196</v>
      </c>
      <c r="F63" s="423">
        <f t="shared" si="1"/>
        <v>107.75054335945904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96.091342497260783</v>
      </c>
      <c r="E64" s="422">
        <f t="shared" si="1"/>
        <v>98.886968062871972</v>
      </c>
      <c r="F64" s="423">
        <f t="shared" si="1"/>
        <v>97.877330636745967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103.45209268549895</v>
      </c>
      <c r="E65" s="424">
        <f t="shared" si="1"/>
        <v>107.81379852255024</v>
      </c>
      <c r="F65" s="416">
        <f t="shared" si="1"/>
        <v>107.650192383923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Tasman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508.44761313636491</v>
      </c>
      <c r="D70" s="433">
        <f>(D54/D98)*1000</f>
        <v>528.84908699032064</v>
      </c>
      <c r="E70" s="433">
        <f>(E54/E98)*1000</f>
        <v>547.63299609374269</v>
      </c>
      <c r="F70" s="434">
        <f>(F54/F98)*1000</f>
        <v>533.38533141210371</v>
      </c>
    </row>
    <row r="71" spans="2:40">
      <c r="B71" s="111" t="s">
        <v>180</v>
      </c>
      <c r="C71" s="433">
        <f>(C55/C99)*1000</f>
        <v>3067.3793117161185</v>
      </c>
      <c r="D71" s="433">
        <f t="shared" ref="C71:F73" si="2">(D55/D99)*1000</f>
        <v>3067.6127963484105</v>
      </c>
      <c r="E71" s="433">
        <f t="shared" si="2"/>
        <v>3150.1166467296321</v>
      </c>
      <c r="F71" s="434">
        <f t="shared" si="2"/>
        <v>3212.6122215149585</v>
      </c>
    </row>
    <row r="72" spans="2:40">
      <c r="B72" s="111" t="s">
        <v>184</v>
      </c>
      <c r="C72" s="433">
        <f>(C56/C100)*1000</f>
        <v>18383.09749258087</v>
      </c>
      <c r="D72" s="433">
        <f t="shared" si="2"/>
        <v>18568.079234207653</v>
      </c>
      <c r="E72" s="433">
        <f t="shared" si="2"/>
        <v>19082.942703170494</v>
      </c>
      <c r="F72" s="434">
        <f t="shared" si="2"/>
        <v>18775.714640198512</v>
      </c>
    </row>
    <row r="73" spans="2:40">
      <c r="B73" s="115" t="s">
        <v>181</v>
      </c>
      <c r="C73" s="435">
        <f t="shared" si="2"/>
        <v>498879.03238002909</v>
      </c>
      <c r="D73" s="435">
        <f t="shared" si="2"/>
        <v>479379.55965131428</v>
      </c>
      <c r="E73" s="435">
        <f t="shared" si="2"/>
        <v>493326.34942200413</v>
      </c>
      <c r="F73" s="436">
        <f t="shared" si="2"/>
        <v>488289.48000000004</v>
      </c>
    </row>
    <row r="74" spans="2:40">
      <c r="B74" s="103" t="s">
        <v>303</v>
      </c>
    </row>
    <row r="75" spans="2:40">
      <c r="B75" s="137" t="str">
        <f>$B$2</f>
        <v>Tasman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104.01250263092182</v>
      </c>
      <c r="E76" s="422">
        <f t="shared" si="3"/>
        <v>107.70686732417964</v>
      </c>
      <c r="F76" s="423">
        <f t="shared" si="3"/>
        <v>104.90467801036772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100.00761186043734</v>
      </c>
      <c r="E77" s="422">
        <f t="shared" si="3"/>
        <v>102.69732975956025</v>
      </c>
      <c r="F77" s="423">
        <f t="shared" si="3"/>
        <v>104.73475547168589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101.00625991730413</v>
      </c>
      <c r="E78" s="422">
        <f t="shared" si="3"/>
        <v>103.80700374826426</v>
      </c>
      <c r="F78" s="423">
        <f t="shared" si="3"/>
        <v>102.13575077745247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96.091342497260783</v>
      </c>
      <c r="E79" s="424">
        <f t="shared" si="3"/>
        <v>98.886968062871986</v>
      </c>
      <c r="F79" s="416">
        <f t="shared" si="3"/>
        <v>97.877330636745967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Tasman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6.993831296050633</v>
      </c>
      <c r="D84" s="437">
        <f>(D54/VLOOKUP($D$38,'MP (2011)'!$A$14:$AR$245,'MP (2011)'!$AA$246,FALSE)*100)</f>
        <v>7.3110593358182623</v>
      </c>
      <c r="E84" s="437">
        <f>(E54/VLOOKUP($E$38,'MP (2011)'!$A$14:$AR$245,'MP (2011)'!$AA$246,FALSE)*100)</f>
        <v>7.3876950904588092</v>
      </c>
      <c r="F84" s="438">
        <f>(F54/VLOOKUP($F$38,'MP (2011)'!$A$14:$AR$245,'MP (2011)'!$AA$246,FALSE)*100)</f>
        <v>7.5298822902025302</v>
      </c>
    </row>
    <row r="85" spans="2:7">
      <c r="B85" s="111" t="s">
        <v>180</v>
      </c>
      <c r="C85" s="430">
        <f>(C55/VLOOKUP($C$38,'MP (2011)'!$A$14:$AR$245,'MP (2011)'!$AE$246,FALSE)*100)</f>
        <v>8.6736398606732301</v>
      </c>
      <c r="D85" s="437">
        <f>(D55/VLOOKUP($D$38,'MP (2011)'!$A$14:$AR$245,'MP (2011)'!$AE$246,FALSE)*100)</f>
        <v>8.9331486301066096</v>
      </c>
      <c r="E85" s="437">
        <f>(E55/VLOOKUP($E$38,'MP (2011)'!$A$14:$AR$245,'MP (2011)'!$AE$246,FALSE)*100)</f>
        <v>9.0076769448078711</v>
      </c>
      <c r="F85" s="438">
        <f>(F55/VLOOKUP($F$38,'MP (2011)'!$A$14:$AR$245,'MP (2011)'!$AE$246,FALSE)*100)</f>
        <v>9.0907867388857788</v>
      </c>
    </row>
    <row r="86" spans="2:7">
      <c r="B86" s="111" t="s">
        <v>184</v>
      </c>
      <c r="C86" s="430">
        <f>(C56/VLOOKUP($C$38,'MP (2011)'!$A$14:$AR$245,'MP (2011)'!$AI$246,FALSE)*100)</f>
        <v>5.4394847336772632</v>
      </c>
      <c r="D86" s="437">
        <f>(D56/VLOOKUP($D$38,'MP (2011)'!$A$14:$AR$245,'MP (2011)'!$AI$246,FALSE)*100)</f>
        <v>5.784159407366964</v>
      </c>
      <c r="E86" s="437">
        <f>(E56/VLOOKUP($E$38,'MP (2011)'!$A$14:$AR$245,'MP (2011)'!$AI$246,FALSE)*100)</f>
        <v>5.8631123818002413</v>
      </c>
      <c r="F86" s="438">
        <f>(F56/VLOOKUP($F$38,'MP (2011)'!$A$14:$AR$245,'MP (2011)'!$AI$246,FALSE)*100)</f>
        <v>5.6975688426815294</v>
      </c>
    </row>
    <row r="87" spans="2:7">
      <c r="B87" s="115" t="s">
        <v>181</v>
      </c>
      <c r="C87" s="431">
        <f>(C57/VLOOKUP($C$38,'MP (2011)'!$A$14:$AR$245,'MP (2011)'!$AM$246,FALSE)*100)</f>
        <v>1.4829239066061377</v>
      </c>
      <c r="D87" s="431">
        <f>(D57/VLOOKUP($D$38,'MP (2011)'!$A$14:$AR$245,'MP (2011)'!$AM$246,FALSE)*100)</f>
        <v>1.5747464535365745</v>
      </c>
      <c r="E87" s="431">
        <f>(E57/VLOOKUP($E$38,'MP (2011)'!$A$14:$AR$245,'MP (2011)'!$AM$246,FALSE)*100)</f>
        <v>1.7312490767703002</v>
      </c>
      <c r="F87" s="432">
        <f>(F57/VLOOKUP($F$38,'MP (2011)'!$A$14:$AR$245,'MP (2011)'!$AM$246,FALSE)*100)</f>
        <v>1.6746408910228054</v>
      </c>
    </row>
    <row r="88" spans="2:7">
      <c r="B88" s="103" t="s">
        <v>304</v>
      </c>
    </row>
    <row r="89" spans="2:7">
      <c r="B89" s="137" t="str">
        <f>$B$2</f>
        <v>Tasman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104.53582630663061</v>
      </c>
      <c r="E90" s="422">
        <f>IF(ISERROR(E84/$C84),"",(E84/$C84)*100)</f>
        <v>105.63158843466225</v>
      </c>
      <c r="F90" s="423">
        <f>IF(ISERROR(F84/$C84),"",(F84/$C84)*100)</f>
        <v>107.66462574604283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102.99192465449261</v>
      </c>
      <c r="E91" s="422">
        <f t="shared" si="4"/>
        <v>103.85117539464814</v>
      </c>
      <c r="F91" s="423">
        <f t="shared" si="4"/>
        <v>104.80936359951853</v>
      </c>
    </row>
    <row r="92" spans="2:7">
      <c r="B92" s="111" t="s">
        <v>184</v>
      </c>
      <c r="C92" s="422">
        <f t="shared" si="4"/>
        <v>100</v>
      </c>
      <c r="D92" s="422">
        <f t="shared" si="4"/>
        <v>106.33653168572623</v>
      </c>
      <c r="E92" s="422">
        <f t="shared" si="4"/>
        <v>107.78801060880249</v>
      </c>
      <c r="F92" s="423">
        <f t="shared" si="4"/>
        <v>104.74464258363298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106.19199316440886</v>
      </c>
      <c r="E93" s="424">
        <f>IF(ISERROR(E87/$C87),"",(E87/$C87)*100)</f>
        <v>116.7456448073918</v>
      </c>
      <c r="F93" s="416">
        <f>IF(ISERROR(F87/$C87),"",(F87/$C87)*100)</f>
        <v>112.92830896869393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33524</v>
      </c>
      <c r="D98" s="150">
        <f>VLOOKUP($D$38,'MP (2011)'!$A$14:$AR$245,'MP (2011)'!$AB$246,FALSE)</f>
        <v>33913</v>
      </c>
      <c r="E98" s="150">
        <f>VLOOKUP($E$38,'MP (2011)'!$A$14:$AR$245,'MP (2011)'!$AB$246,FALSE)</f>
        <v>34278</v>
      </c>
      <c r="F98" s="151">
        <f>VLOOKUP($F$38,'MP (2011)'!$A$14:$AR$245,'MP (2011)'!$AB$246,FALSE)</f>
        <v>34700</v>
      </c>
    </row>
    <row r="99" spans="2:7">
      <c r="B99" s="155" t="s">
        <v>309</v>
      </c>
      <c r="C99" s="150">
        <f>VLOOKUP($C$38,'MP (2011)'!$A$14:$AR$245,'MP (2011)'!$AF$246,FALSE)</f>
        <v>1505</v>
      </c>
      <c r="D99" s="150">
        <f>VLOOKUP($D$38,'MP (2011)'!$A$14:$AR$245,'MP (2011)'!$AF$246,FALSE)</f>
        <v>1520</v>
      </c>
      <c r="E99" s="150">
        <f>VLOOKUP($E$38,'MP (2011)'!$A$14:$AR$245,'MP (2011)'!$AF$246,FALSE)</f>
        <v>1542</v>
      </c>
      <c r="F99" s="151">
        <f>VLOOKUP($F$38,'MP (2011)'!$A$14:$AR$245,'MP (2011)'!$AF$246,FALSE)</f>
        <v>1571</v>
      </c>
    </row>
    <row r="100" spans="2:7">
      <c r="B100" s="155" t="s">
        <v>310</v>
      </c>
      <c r="C100" s="150">
        <f>VLOOKUP($C$38,'MP (2011)'!$A$14:$AR$245,'MP (2011)'!$AJ$246,FALSE)</f>
        <v>382</v>
      </c>
      <c r="D100" s="150">
        <f>VLOOKUP($D$38,'MP (2011)'!$A$14:$AR$245,'MP (2011)'!$AJ$246,FALSE)</f>
        <v>391</v>
      </c>
      <c r="E100" s="150">
        <f>VLOOKUP($E$38,'MP (2011)'!$A$14:$AR$245,'MP (2011)'!$AJ$246,FALSE)</f>
        <v>394</v>
      </c>
      <c r="F100" s="151">
        <f>VLOOKUP($F$38,'MP (2011)'!$A$14:$AR$245,'MP (2011)'!$AJ$246,FALSE)</f>
        <v>403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35416</v>
      </c>
      <c r="D102" s="152">
        <f>SUM(D98:D101)</f>
        <v>35829</v>
      </c>
      <c r="E102" s="152">
        <f>SUM(E98:E101)</f>
        <v>36219</v>
      </c>
      <c r="F102" s="157">
        <f>SUM(F98:F101)</f>
        <v>36679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101.16036272521178</v>
      </c>
      <c r="E105" s="422">
        <f t="shared" si="5"/>
        <v>102.24913494809688</v>
      </c>
      <c r="F105" s="423">
        <f t="shared" si="5"/>
        <v>103.50793461400787</v>
      </c>
    </row>
    <row r="106" spans="2:7">
      <c r="B106" s="111" t="s">
        <v>180</v>
      </c>
      <c r="C106" s="422">
        <f t="shared" si="5"/>
        <v>100</v>
      </c>
      <c r="D106" s="422">
        <f t="shared" si="5"/>
        <v>100.99667774086379</v>
      </c>
      <c r="E106" s="422">
        <f t="shared" si="5"/>
        <v>102.45847176079734</v>
      </c>
      <c r="F106" s="423">
        <f t="shared" si="5"/>
        <v>104.38538205980066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102.35602094240839</v>
      </c>
      <c r="E107" s="422">
        <f t="shared" si="5"/>
        <v>103.1413612565445</v>
      </c>
      <c r="F107" s="423">
        <f t="shared" si="5"/>
        <v>105.49738219895288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Tasman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243717.6</v>
      </c>
      <c r="D113" s="150">
        <f>VLOOKUP($D$38,'MP (2011)'!$A$14:$AR$245,'MP (2011)'!$AA$246,FALSE)</f>
        <v>245311.35999999999</v>
      </c>
      <c r="E113" s="150">
        <f>VLOOKUP($E$38,'MP (2011)'!$A$14:$AR$245,'MP (2011)'!$AA$246,FALSE)</f>
        <v>254095</v>
      </c>
      <c r="F113" s="151">
        <f>VLOOKUP($F$38,'MP (2011)'!$A$14:$AR$245,'MP (2011)'!$AA$246,FALSE)</f>
        <v>245800.27</v>
      </c>
    </row>
    <row r="114" spans="2:7">
      <c r="B114" s="155" t="s">
        <v>309</v>
      </c>
      <c r="C114" s="150">
        <f>VLOOKUP($C$38,'MP (2011)'!$A$14:$AR$245,'MP (2011)'!$AE$246,FALSE)</f>
        <v>53223.398000000001</v>
      </c>
      <c r="D114" s="150">
        <f>VLOOKUP($D$38,'MP (2011)'!$A$14:$AR$245,'MP (2011)'!$AE$246,FALSE)</f>
        <v>52196.281999999999</v>
      </c>
      <c r="E114" s="150">
        <f>VLOOKUP($E$38,'MP (2011)'!$A$14:$AR$245,'MP (2011)'!$AE$246,FALSE)</f>
        <v>53926</v>
      </c>
      <c r="F114" s="151">
        <f>VLOOKUP($F$38,'MP (2011)'!$A$14:$AR$245,'MP (2011)'!$AE$246,FALSE)</f>
        <v>55517.898999999998</v>
      </c>
    </row>
    <row r="115" spans="2:7">
      <c r="B115" s="155" t="s">
        <v>310</v>
      </c>
      <c r="C115" s="150">
        <f>VLOOKUP($C$38,'MP (2011)'!$A$14:$AR$245,'MP (2011)'!$AI$246,FALSE)</f>
        <v>129099.42</v>
      </c>
      <c r="D115" s="150">
        <f>VLOOKUP($D$38,'MP (2011)'!$A$14:$AR$245,'MP (2011)'!$AI$246,FALSE)</f>
        <v>125517.27</v>
      </c>
      <c r="E115" s="150">
        <f>VLOOKUP($E$38,'MP (2011)'!$A$14:$AR$245,'MP (2011)'!$AI$246,FALSE)</f>
        <v>128237</v>
      </c>
      <c r="F115" s="151">
        <f>VLOOKUP($F$38,'MP (2011)'!$A$14:$AR$245,'MP (2011)'!$AI$246,FALSE)</f>
        <v>132804.24</v>
      </c>
    </row>
    <row r="116" spans="2:7">
      <c r="B116" s="155" t="s">
        <v>311</v>
      </c>
      <c r="C116" s="150">
        <f>VLOOKUP($C$38,'MP (2011)'!$A$14:$AR$245,'MP (2011)'!$AM$246,FALSE)</f>
        <v>168207.9</v>
      </c>
      <c r="D116" s="150">
        <f>VLOOKUP($D$38,'MP (2011)'!$A$14:$AR$245,'MP (2011)'!$AM$246,FALSE)</f>
        <v>152208.49</v>
      </c>
      <c r="E116" s="150">
        <f>VLOOKUP($E$38,'MP (2011)'!$A$14:$AR$245,'MP (2011)'!$AM$246,FALSE)</f>
        <v>142477</v>
      </c>
      <c r="F116" s="151">
        <f>VLOOKUP($F$38,'MP (2011)'!$A$14:$AR$245,'MP (2011)'!$AM$246,FALSE)</f>
        <v>145789.31</v>
      </c>
    </row>
    <row r="117" spans="2:7">
      <c r="B117" s="147" t="s">
        <v>254</v>
      </c>
      <c r="C117" s="158">
        <f>SUM(C113:C116)</f>
        <v>594248.31799999997</v>
      </c>
      <c r="D117" s="158">
        <f>SUM(D113:D116)</f>
        <v>575233.402</v>
      </c>
      <c r="E117" s="158">
        <f>SUM(E113:E116)</f>
        <v>578735</v>
      </c>
      <c r="F117" s="159">
        <f>SUM(F113:F116)</f>
        <v>579911.71900000004</v>
      </c>
    </row>
    <row r="118" spans="2:7">
      <c r="B118" s="103" t="s">
        <v>306</v>
      </c>
    </row>
    <row r="119" spans="2:7">
      <c r="B119" s="137" t="str">
        <f>$B$2</f>
        <v>Tasman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100.6539371797523</v>
      </c>
      <c r="E120" s="422">
        <f t="shared" si="6"/>
        <v>104.25796085305288</v>
      </c>
      <c r="F120" s="423">
        <f t="shared" si="6"/>
        <v>100.85454230634143</v>
      </c>
    </row>
    <row r="121" spans="2:7">
      <c r="B121" s="111" t="s">
        <v>180</v>
      </c>
      <c r="C121" s="422">
        <f t="shared" si="6"/>
        <v>100</v>
      </c>
      <c r="D121" s="422">
        <f t="shared" si="6"/>
        <v>98.070179585301929</v>
      </c>
      <c r="E121" s="422">
        <f t="shared" si="6"/>
        <v>101.32009985533055</v>
      </c>
      <c r="F121" s="423">
        <f t="shared" si="6"/>
        <v>104.31107574153758</v>
      </c>
    </row>
    <row r="122" spans="2:7">
      <c r="B122" s="111" t="s">
        <v>184</v>
      </c>
      <c r="C122" s="422">
        <f t="shared" si="6"/>
        <v>100</v>
      </c>
      <c r="D122" s="422">
        <f t="shared" si="6"/>
        <v>97.225278006671147</v>
      </c>
      <c r="E122" s="422">
        <f t="shared" si="6"/>
        <v>99.331972211803901</v>
      </c>
      <c r="F122" s="423">
        <f t="shared" si="6"/>
        <v>102.86974178505217</v>
      </c>
    </row>
    <row r="123" spans="2:7">
      <c r="B123" s="115" t="s">
        <v>181</v>
      </c>
      <c r="C123" s="424">
        <f t="shared" si="6"/>
        <v>100</v>
      </c>
      <c r="D123" s="424">
        <f t="shared" si="6"/>
        <v>90.488312380096289</v>
      </c>
      <c r="E123" s="424">
        <f t="shared" si="6"/>
        <v>84.702918233923612</v>
      </c>
      <c r="F123" s="416">
        <f t="shared" si="6"/>
        <v>86.672094473565153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Tasman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34228.345842719056</v>
      </c>
      <c r="D128" s="433">
        <f>VLOOKUP($D$38,'FS (2011)'!$A$13:$AH$244,'FS (2011)'!$I$245,FALSE)</f>
        <v>38766.029055117018</v>
      </c>
      <c r="E128" s="433">
        <f>VLOOKUP($E$38,'FS (2011)'!$A$13:$AH$244,'FS (2011)'!$I$245,FALSE)</f>
        <v>38521.188871493621</v>
      </c>
      <c r="F128" s="440">
        <f>VLOOKUP($F$38,'FS (2011)'!$A$13:$AH$244,'FS (2011)'!$I$245,FALSE)</f>
        <v>38926.156999999999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4737.9882309885652</v>
      </c>
      <c r="D129" s="433">
        <f>VLOOKUP($D$38,'FS (2011)'!$A$13:$AH$244,'FS (2011)'!$Y$245,FALSE)+VLOOKUP($D$38,'FS (2011)'!$A$13:$AH$244,'FS (2011)'!$Z$245,FALSE)</f>
        <v>4198.1355744663315</v>
      </c>
      <c r="E129" s="433">
        <f>VLOOKUP($E$38,'FS (2011)'!$A$13:$AH$244,'FS (2011)'!$Y$245,FALSE)+VLOOKUP($E$38,'FS (2011)'!$A$13:$AH$244,'FS (2011)'!$Z$245,FALSE)</f>
        <v>2935.4610758804665</v>
      </c>
      <c r="F129" s="440">
        <f>VLOOKUP($F$38,'FS (2011)'!$A$13:$AH$244,'FS (2011)'!$Y$245,FALSE)+VLOOKUP($F$38,'FS (2011)'!$A$13:$AH$244,'FS (2011)'!$Z$245,FALSE)</f>
        <v>6419.2906000000003</v>
      </c>
      <c r="G129" s="121"/>
    </row>
    <row r="130" spans="1:30">
      <c r="B130" s="162" t="s">
        <v>191</v>
      </c>
      <c r="C130" s="441">
        <f>VLOOKUP($C$38,'FS (2011)'!$A$13:$AH$244,'FS (2011)'!$J$245,FALSE)</f>
        <v>10248.472570899034</v>
      </c>
      <c r="D130" s="433">
        <f>VLOOKUP($D$38,'FS (2011)'!$A$13:$AH$244,'FS (2011)'!$J$245,FALSE)</f>
        <v>12466.592054361998</v>
      </c>
      <c r="E130" s="433">
        <f>VLOOKUP($E$38,'FS (2011)'!$A$13:$AH$244,'FS (2011)'!$J$245,FALSE)</f>
        <v>12602.385476812804</v>
      </c>
      <c r="F130" s="440">
        <f>VLOOKUP($F$38,'FS (2011)'!$A$13:$AH$244,'FS (2011)'!$J$245,FALSE)</f>
        <v>12061.383</v>
      </c>
    </row>
    <row r="131" spans="1:30">
      <c r="B131" s="162" t="s">
        <v>182</v>
      </c>
      <c r="C131" s="441">
        <f>VLOOKUP($C$38,'FS (2011)'!$A$13:$AH$244,'FS (2011)'!$S$245,FALSE)</f>
        <v>7055.0779846596897</v>
      </c>
      <c r="D131" s="433">
        <f>VLOOKUP($D$38,'FS (2011)'!$A$13:$AH$244,'FS (2011)'!$S$245,FALSE)</f>
        <v>8791.4270429542157</v>
      </c>
      <c r="E131" s="433">
        <f>VLOOKUP($E$38,'FS (2011)'!$A$13:$AH$244,'FS (2011)'!$S$245,FALSE)</f>
        <v>7569.4944512139245</v>
      </c>
      <c r="F131" s="440">
        <f>VLOOKUP($F$38,'FS (2011)'!$A$13:$AH$244,'FS (2011)'!$S$245,FALSE)</f>
        <v>8002.7159000000001</v>
      </c>
      <c r="I131" s="139"/>
      <c r="Q131" s="559"/>
      <c r="R131" s="559"/>
      <c r="S131" s="559"/>
      <c r="T131" s="559"/>
      <c r="U131" s="559"/>
      <c r="V131" s="559"/>
      <c r="W131" s="559"/>
      <c r="X131" s="559"/>
      <c r="Y131" s="559"/>
      <c r="Z131" s="559"/>
      <c r="AA131" s="559"/>
      <c r="AB131" s="559"/>
      <c r="AC131" s="559"/>
      <c r="AD131" s="559"/>
    </row>
    <row r="132" spans="1:30">
      <c r="B132" s="162" t="s">
        <v>143</v>
      </c>
      <c r="C132" s="441">
        <f>VLOOKUP($C$38,'FS (2011)'!$A$13:$AH$244,'FS (2011)'!$U$245,FALSE)</f>
        <v>6008.8159568874562</v>
      </c>
      <c r="D132" s="433">
        <f>VLOOKUP($D$38,'FS (2011)'!$A$13:$AH$244,'FS (2011)'!$U$245,FALSE)</f>
        <v>6135.9297103987901</v>
      </c>
      <c r="E132" s="433">
        <f>VLOOKUP($E$38,'FS (2011)'!$A$13:$AH$244,'FS (2011)'!$U$245,FALSE)</f>
        <v>6176.5887631968953</v>
      </c>
      <c r="F132" s="440">
        <f>VLOOKUP($F$38,'FS (2011)'!$A$13:$AH$244,'FS (2011)'!$U$245,FALSE)</f>
        <v>7557.9479000000001</v>
      </c>
      <c r="Q132" s="559"/>
      <c r="R132" s="559"/>
      <c r="S132" s="559"/>
      <c r="T132" s="559"/>
      <c r="U132" s="559"/>
      <c r="V132" s="559"/>
      <c r="W132" s="559"/>
      <c r="X132" s="559"/>
      <c r="Y132" s="559"/>
      <c r="Z132" s="559"/>
      <c r="AA132" s="559"/>
      <c r="AB132" s="559"/>
      <c r="AC132" s="559"/>
      <c r="AD132" s="559"/>
    </row>
    <row r="133" spans="1:30">
      <c r="B133" s="162" t="s">
        <v>196</v>
      </c>
      <c r="C133" s="441">
        <f>VLOOKUP($C$38,'FS (2011)'!$A$13:$AH$244,'FS (2011)'!$X$245,FALSE)</f>
        <v>169.63208375580962</v>
      </c>
      <c r="D133" s="433">
        <f>VLOOKUP($D$38,'FS (2011)'!$A$13:$AH$244,'FS (2011)'!$X$245,FALSE)</f>
        <v>-136.11035276546085</v>
      </c>
      <c r="E133" s="433">
        <f>VLOOKUP($E$38,'FS (2011)'!$A$13:$AH$244,'FS (2011)'!$X$245,FALSE)</f>
        <v>943.6008111611111</v>
      </c>
      <c r="F133" s="440">
        <f>VLOOKUP($F$38,'FS (2011)'!$A$13:$AH$244,'FS (2011)'!$X$245,FALSE)</f>
        <v>-173.98889</v>
      </c>
      <c r="Q133" s="559"/>
      <c r="R133" s="559"/>
      <c r="S133" s="559"/>
      <c r="T133" s="559"/>
      <c r="U133" s="559"/>
      <c r="V133" s="559"/>
      <c r="W133" s="559"/>
      <c r="X133" s="559"/>
      <c r="Y133" s="559"/>
      <c r="Z133" s="559"/>
      <c r="AA133" s="559"/>
      <c r="AB133" s="559"/>
      <c r="AC133" s="559"/>
      <c r="AD133" s="559"/>
    </row>
    <row r="134" spans="1:30">
      <c r="B134" s="164" t="s">
        <v>258</v>
      </c>
      <c r="C134" s="442">
        <f>VLOOKUP($C$38,'FS (2011)'!$A$13:$AH$244,'FS (2011)'!$AA$245,FALSE)</f>
        <v>15484.335089390093</v>
      </c>
      <c r="D134" s="435">
        <f>VLOOKUP($D$38,'FS (2011)'!$A$13:$AH$244,'FS (2011)'!$AA$245,FALSE)</f>
        <v>15706.326423776507</v>
      </c>
      <c r="E134" s="435">
        <f>VLOOKUP($E$38,'FS (2011)'!$A$13:$AH$244,'FS (2011)'!$AA$245,FALSE)</f>
        <v>14164.581056290586</v>
      </c>
      <c r="F134" s="443">
        <f>VLOOKUP($F$38,'FS (2011)'!$A$13:$AH$244,'FS (2011)'!$AA$245,FALSE)</f>
        <v>17897.39</v>
      </c>
      <c r="Q134" s="559"/>
      <c r="R134" s="559"/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4</v>
      </c>
      <c r="B138" s="166" t="s">
        <v>204</v>
      </c>
      <c r="C138" s="167"/>
      <c r="D138" s="444">
        <f>VLOOKUP($D$6,'FS (2011)'!$A$13:$AH$244,'FS (2011)'!$L$245,FALSE)</f>
        <v>1463.8773000000001</v>
      </c>
      <c r="E138" s="446">
        <f t="shared" ref="E138:E144" si="7">D138/$D$145</f>
        <v>0.18292256257653727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2519.7357000000002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1</v>
      </c>
      <c r="B139" s="162" t="s">
        <v>199</v>
      </c>
      <c r="C139" s="121"/>
      <c r="D139" s="441">
        <f>VLOOKUP($D$6,'FS (2011)'!$A$13:$AH$244,'FS (2011)'!K245,FALSE)</f>
        <v>2519.7357000000002</v>
      </c>
      <c r="E139" s="414">
        <f t="shared" si="7"/>
        <v>0.31486007144149647</v>
      </c>
      <c r="Q139" s="559"/>
      <c r="R139" s="559"/>
      <c r="S139" s="559"/>
      <c r="T139" s="559">
        <v>2</v>
      </c>
      <c r="U139" s="559" t="str">
        <f t="shared" ref="U139:U144" si="9">VLOOKUP(T139,$A$138:$E$144,2,FALSE)</f>
        <v>Refurbishment and renewal maintenance</v>
      </c>
      <c r="V139" s="559">
        <f t="shared" ref="V139:V144" si="10">VLOOKUP(T139,$A$138:$E$144,4,FALSE)</f>
        <v>1724.4665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3</v>
      </c>
      <c r="B140" s="162" t="s">
        <v>201</v>
      </c>
      <c r="C140" s="121"/>
      <c r="D140" s="441">
        <f>VLOOKUP($D$6,'FS (2011)'!$A$13:$AH$244,'FS (2011)'!M245,FALSE)</f>
        <v>1535.4165</v>
      </c>
      <c r="E140" s="414">
        <f t="shared" si="7"/>
        <v>0.19186192777379488</v>
      </c>
      <c r="Q140" s="559"/>
      <c r="R140" s="559"/>
      <c r="S140" s="559"/>
      <c r="T140" s="559">
        <v>3</v>
      </c>
      <c r="U140" s="559" t="str">
        <f t="shared" si="9"/>
        <v>Routine and preventative maintenance</v>
      </c>
      <c r="V140" s="559">
        <f t="shared" si="10"/>
        <v>1535.4165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2</v>
      </c>
      <c r="B141" s="162" t="s">
        <v>202</v>
      </c>
      <c r="C141" s="121"/>
      <c r="D141" s="441">
        <f>VLOOKUP($D$6,'FS (2011)'!$A$13:$AH$244,'FS (2011)'!N245,FALSE)</f>
        <v>1724.4665</v>
      </c>
      <c r="E141" s="414">
        <f t="shared" si="7"/>
        <v>0.2154851579824294</v>
      </c>
      <c r="Q141" s="559"/>
      <c r="R141" s="559"/>
      <c r="S141" s="559"/>
      <c r="T141" s="559">
        <v>4</v>
      </c>
      <c r="U141" s="559" t="str">
        <f t="shared" si="9"/>
        <v>System management and operations</v>
      </c>
      <c r="V141" s="559">
        <f t="shared" si="10"/>
        <v>1463.8773000000001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5</v>
      </c>
      <c r="B142" s="162" t="s">
        <v>203</v>
      </c>
      <c r="C142" s="121"/>
      <c r="D142" s="441">
        <f>VLOOKUP($D$6,'FS (2011)'!$A$13:$AH$244,'FS (2011)'!O245,FALSE)</f>
        <v>568.13851</v>
      </c>
      <c r="E142" s="414">
        <f t="shared" si="7"/>
        <v>7.0993212441791159E-2</v>
      </c>
      <c r="Q142" s="559"/>
      <c r="R142" s="559"/>
      <c r="S142" s="559"/>
      <c r="T142" s="559">
        <v>5</v>
      </c>
      <c r="U142" s="559" t="str">
        <f t="shared" si="9"/>
        <v>Fault and emergency maintenance</v>
      </c>
      <c r="V142" s="559">
        <f t="shared" si="10"/>
        <v>568.13851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8"/>
        <v>7</v>
      </c>
      <c r="B143" s="162" t="s">
        <v>13</v>
      </c>
      <c r="C143" s="121"/>
      <c r="D143" s="441">
        <f>VLOOKUP($D$6,'FS (2011)'!$A$13:$AH$244,'FS (2011)'!R245,FALSE)</f>
        <v>0</v>
      </c>
      <c r="E143" s="414">
        <f t="shared" si="7"/>
        <v>0</v>
      </c>
      <c r="Q143" s="559"/>
      <c r="R143" s="559"/>
      <c r="S143" s="559"/>
      <c r="T143" s="559">
        <v>6</v>
      </c>
      <c r="U143" s="559" t="str">
        <f t="shared" si="9"/>
        <v>Pass-through costs</v>
      </c>
      <c r="V143" s="559">
        <f t="shared" si="10"/>
        <v>191.08139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6</v>
      </c>
      <c r="B144" s="162" t="s">
        <v>200</v>
      </c>
      <c r="C144" s="121"/>
      <c r="D144" s="441">
        <f>VLOOKUP($D$6,'FS (2011)'!$A$13:$AH$244,'FS (2011)'!P245,FALSE)</f>
        <v>191.08139</v>
      </c>
      <c r="E144" s="414">
        <f t="shared" si="7"/>
        <v>2.3877067783950694E-2</v>
      </c>
      <c r="Q144" s="559"/>
      <c r="R144" s="559"/>
      <c r="S144" s="559"/>
      <c r="T144" s="559">
        <v>7</v>
      </c>
      <c r="U144" s="559" t="str">
        <f t="shared" si="9"/>
        <v>Other</v>
      </c>
      <c r="V144" s="559">
        <f t="shared" si="10"/>
        <v>0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8002.7159000000011</v>
      </c>
      <c r="E145" s="447">
        <f>SUM(E138:E144)</f>
        <v>0.99999999999999989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3.4303191627980918</v>
      </c>
      <c r="F149" s="455">
        <f>(VLOOKUP(F$38,'FS (2011)'!$A$13:$AH$244,'FS (2011)'!$M$245,FALSE)+VLOOKUP(F$38,'FS (2011)'!$A$13:$AH$244,'FS (2011)'!$N$245,FALSE)+VLOOKUP(F$38,'FS (2011)'!$A$13:$AH$244,'FS (2011)'!$O$245,FALSE))/1000</f>
        <v>3.8280215099999997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3.9649543967017862</v>
      </c>
      <c r="F150" s="457">
        <f>(VLOOKUP(F$38,'FS (2011)'!$A$13:$AH$244,'FS (2011)'!$L$245,FALSE)+VLOOKUP(F$38,'FS (2011)'!$A$13:$AH$244,'FS (2011)'!$K$245,FALSE))/1000</f>
        <v>3.9836130000000001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0.17422085096063158</v>
      </c>
      <c r="F151" s="457">
        <f>(VLOOKUP(F$38,'FS (2011)'!$A$13:$AH$244,'FS (2011)'!$R$245,FALSE)+VLOOKUP(F$38,'FS (2011)'!$A$13:$AH$244,'FS (2011)'!$P$245,FALSE)+VLOOKUP(F$38,'FS (2011)'!$A$13:$AH$244,'FS (2011)'!$Q$245,FALSE))/1000</f>
        <v>0.19108138999999999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7.0550779846596896</v>
      </c>
      <c r="D152" s="458">
        <f>VLOOKUP($D$38,'FS (2011)'!$A$13:$AH$244,'FS (2011)'!$S$245,FALSE)/1000</f>
        <v>8.791427042954215</v>
      </c>
      <c r="E152" s="459">
        <f>VLOOKUP($E$38,'FS (2011)'!$A$13:$AH$244,'FS (2011)'!$S$245,FALSE)/1000</f>
        <v>7.5694944512139246</v>
      </c>
      <c r="F152" s="460">
        <f>VLOOKUP($F$38,'FS (2011)'!$A$13:$AH$244,'FS (2011)'!$S$245,FALSE)/1000</f>
        <v>8.0027159000000001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0.1159374181606776</v>
      </c>
      <c r="D154" s="464" t="str">
        <f t="shared" ref="D154:E157" si="11">IF(ISERROR(D149/C149 - 1),"",(D149/C149 - 1))</f>
        <v/>
      </c>
      <c r="E154" s="464" t="str">
        <f t="shared" si="11"/>
        <v/>
      </c>
      <c r="F154" s="465">
        <f>IF(ISERROR(F149/E149 - 1),"",(F149/E149 - 1))</f>
        <v>0.1159374181606776</v>
      </c>
      <c r="Q154" s="559"/>
      <c r="R154" s="559" t="s">
        <v>423</v>
      </c>
      <c r="S154" s="559" t="e">
        <f t="shared" ref="S154:V157" si="12">LN(C149)</f>
        <v>#NUM!</v>
      </c>
      <c r="T154" s="559" t="e">
        <f t="shared" si="12"/>
        <v>#NUM!</v>
      </c>
      <c r="U154" s="559">
        <f t="shared" si="12"/>
        <v>1.2326533072273831</v>
      </c>
      <c r="V154" s="559">
        <f t="shared" si="12"/>
        <v>1.3423480926971776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4.7058809336457674E-3</v>
      </c>
      <c r="D155" s="467" t="str">
        <f t="shared" si="11"/>
        <v/>
      </c>
      <c r="E155" s="467" t="str">
        <f t="shared" si="11"/>
        <v/>
      </c>
      <c r="F155" s="468">
        <f>IF(ISERROR(F150/E150 - 1),"",(F150/E150 - 1))</f>
        <v>4.7058809336457674E-3</v>
      </c>
      <c r="Q155" s="559"/>
      <c r="R155" s="559" t="s">
        <v>423</v>
      </c>
      <c r="S155" s="559" t="e">
        <f t="shared" si="12"/>
        <v>#NUM!</v>
      </c>
      <c r="T155" s="559" t="e">
        <f t="shared" si="12"/>
        <v>#NUM!</v>
      </c>
      <c r="U155" s="559">
        <f t="shared" si="12"/>
        <v>1.37749435355832</v>
      </c>
      <c r="V155" s="559">
        <f t="shared" si="12"/>
        <v>1.38218919644988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9.6776814866886163E-2</v>
      </c>
      <c r="D156" s="467" t="str">
        <f t="shared" si="11"/>
        <v/>
      </c>
      <c r="E156" s="467" t="str">
        <f t="shared" si="11"/>
        <v/>
      </c>
      <c r="F156" s="468">
        <f>IF(ISERROR(F151/E151 - 1),"",(F151/E151 - 1))</f>
        <v>9.6776814866886163E-2</v>
      </c>
      <c r="Q156" s="559"/>
      <c r="R156" s="559" t="s">
        <v>423</v>
      </c>
      <c r="S156" s="559" t="e">
        <f t="shared" si="12"/>
        <v>#NUM!</v>
      </c>
      <c r="T156" s="559" t="e">
        <f t="shared" si="12"/>
        <v>#NUM!</v>
      </c>
      <c r="U156" s="559">
        <f t="shared" si="12"/>
        <v>-1.7474315262006588</v>
      </c>
      <c r="V156" s="559">
        <f t="shared" si="12"/>
        <v>-1.6550558160468094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2.310786700882006E-2</v>
      </c>
      <c r="D157" s="470">
        <f t="shared" si="11"/>
        <v>0.24611337565225799</v>
      </c>
      <c r="E157" s="470">
        <f t="shared" si="11"/>
        <v>-0.13899138169150749</v>
      </c>
      <c r="F157" s="471">
        <f>IF(ISERROR(F152/E152 - 1),"",(F152/E152 - 1))</f>
        <v>5.7232547243178056E-2</v>
      </c>
      <c r="N157" s="136"/>
      <c r="O157" s="136"/>
      <c r="Q157" s="559"/>
      <c r="R157" s="559" t="s">
        <v>423</v>
      </c>
      <c r="S157" s="559">
        <f t="shared" si="12"/>
        <v>1.9537476390579565</v>
      </c>
      <c r="T157" s="559">
        <f t="shared" si="12"/>
        <v>2.1737770469789557</v>
      </c>
      <c r="U157" s="559">
        <f t="shared" si="12"/>
        <v>2.0241262820242705</v>
      </c>
      <c r="V157" s="559">
        <f t="shared" si="12"/>
        <v>2.0797809715669935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Tasman</v>
      </c>
      <c r="C162" s="456">
        <f>(C152/C102)*1000000</f>
        <v>199.20595167889343</v>
      </c>
      <c r="D162" s="456">
        <f>(D152/D102)*1000000</f>
        <v>245.37182290753901</v>
      </c>
      <c r="E162" s="456">
        <f>(E152/E102)*1000000</f>
        <v>208.99236453833416</v>
      </c>
      <c r="F162" s="457">
        <f>(F152/F102)*1000000</f>
        <v>218.18249952288778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Tasman</v>
      </c>
      <c r="C165" s="456">
        <f>C152/VLOOKUP(C$38,'MP (2011)'!$A$14:$AR$245,'MP (2011)'!$H$246,FALSE)*1000000</f>
        <v>2130.0277714690205</v>
      </c>
      <c r="D165" s="456">
        <f>D152/VLOOKUP(D$38,'MP (2011)'!$A$14:$AR$245,'MP (2011)'!$H$246,FALSE)*1000000</f>
        <v>2639.9889021213221</v>
      </c>
      <c r="E165" s="456">
        <f>E152/VLOOKUP(E$38,'MP (2011)'!$A$14:$AR$245,'MP (2011)'!$H$246,FALSE)*1000000</f>
        <v>2261.0894731978556</v>
      </c>
      <c r="F165" s="457">
        <f>F152/VLOOKUP(F$38,'MP (2011)'!$A$14:$AR$245,'MP (2011)'!$H$246,FALSE)*1000000</f>
        <v>2384.5994934445766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Tasman</v>
      </c>
      <c r="C168" s="456">
        <f>(C152/C117)*1000000</f>
        <v>11.872272534828934</v>
      </c>
      <c r="D168" s="456">
        <f>(D152/D117)*1000000</f>
        <v>15.283234618135431</v>
      </c>
      <c r="E168" s="456">
        <f>(E152/E117)*1000000</f>
        <v>13.079379078877077</v>
      </c>
      <c r="F168" s="457">
        <f>(F152/F117)*1000000</f>
        <v>13.799886496172014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1.1313614751145229E-2</v>
      </c>
      <c r="D171" s="464">
        <f>IF(ISERROR(D162/C162 - 1),"",(D162/C162 - 1))</f>
        <v>0.23174945748138009</v>
      </c>
      <c r="E171" s="464">
        <f>IF(ISERROR(E162/D162 - 1),"",(E162/D162 - 1))</f>
        <v>-0.14826257529542564</v>
      </c>
      <c r="F171" s="465">
        <f>IF(ISERROR(F162/E162 - 1),"",(F162/E162 - 1))</f>
        <v>4.3973544224233718E-2</v>
      </c>
      <c r="H171" s="139"/>
      <c r="Q171" s="559"/>
      <c r="R171" s="559" t="s">
        <v>423</v>
      </c>
      <c r="S171" s="559">
        <f>LN(C162)</f>
        <v>5.2943392226102537</v>
      </c>
      <c r="T171" s="559">
        <f>LN(D162)</f>
        <v>5.5027747046066935</v>
      </c>
      <c r="U171" s="559">
        <f>LN(E162)</f>
        <v>5.3422977179880471</v>
      </c>
      <c r="V171" s="559">
        <f>LN(F162)</f>
        <v>5.3853318663460259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1.8545933337620779E-2</v>
      </c>
      <c r="D172" s="467">
        <f>IF(ISERROR(D165/C165 - 1),"",(D165/C165 - 1))</f>
        <v>0.23941524964277616</v>
      </c>
      <c r="E172" s="467">
        <f>IF(ISERROR(E165/D165 - 1),"",(E165/D165 - 1))</f>
        <v>-0.14352311428999109</v>
      </c>
      <c r="F172" s="468">
        <f>IF(ISERROR(F165/E165 - 1),"",(F165/E165 - 1))</f>
        <v>5.4624118908501718E-2</v>
      </c>
      <c r="Q172" s="559"/>
      <c r="R172" s="559" t="s">
        <v>423</v>
      </c>
      <c r="S172" s="559">
        <f>LN(C165)</f>
        <v>7.6638902968668399</v>
      </c>
      <c r="T172" s="559">
        <f>LN(D165)</f>
        <v>7.8785299923896028</v>
      </c>
      <c r="U172" s="559">
        <f>LN(E165)</f>
        <v>7.7236020438956468</v>
      </c>
      <c r="V172" s="559">
        <f>LN(F165)</f>
        <v>7.7767864619441704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3.000582727288359E-2</v>
      </c>
      <c r="D173" s="470">
        <f>IF(ISERROR(D168/C168 - 1),"",(D168/C168 - 1))</f>
        <v>0.28730490083511584</v>
      </c>
      <c r="E173" s="470">
        <f>IF(ISERROR(E168/D168 - 1),"",(E168/D168 - 1))</f>
        <v>-0.14420085762756074</v>
      </c>
      <c r="F173" s="471">
        <f>IF(ISERROR(F168/E168 - 1),"",(F168/E168 - 1))</f>
        <v>5.5087279980938986E-2</v>
      </c>
      <c r="Q173" s="559"/>
      <c r="R173" s="559" t="s">
        <v>423</v>
      </c>
      <c r="S173" s="559">
        <f>LN(C168)</f>
        <v>2.4742056422623571</v>
      </c>
      <c r="T173" s="559">
        <f>LN(D168)</f>
        <v>2.7267564510038271</v>
      </c>
      <c r="U173" s="559">
        <f>LN(E168)</f>
        <v>2.5710368738684046</v>
      </c>
      <c r="V173" s="559">
        <f>LN(F168)</f>
        <v>2.624660367214263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Tasman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3430.3191627980918</v>
      </c>
      <c r="X176" s="563">
        <f>D178</f>
        <v>3828.0215099999996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Tasman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3580.5838724367436</v>
      </c>
      <c r="X177" s="563">
        <f t="shared" si="14"/>
        <v>3580.5838724367436</v>
      </c>
      <c r="Y177" s="563">
        <f t="shared" si="14"/>
        <v>3580.1946773193922</v>
      </c>
      <c r="Z177" s="563">
        <f t="shared" si="14"/>
        <v>3427.7585645765403</v>
      </c>
      <c r="AA177" s="563">
        <f t="shared" si="14"/>
        <v>3325.8750260030715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3430.3191627980918</v>
      </c>
      <c r="D178" s="461">
        <f>VLOOKUP(F38,'FS (2011)'!$A$14:$T$246,'FS (2011)'!$M$245,FALSE)+VLOOKUP(F38,'FS (2011)'!$A$14:$AO$245,'FS (2011)'!$N$245,FALSE)+VLOOKUP(F38,'FS (2011)'!$A$14:$AO$245,'FS (2011)'!$O$245,FALSE)</f>
        <v>3828.0215099999996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3920.1259999999997</v>
      </c>
      <c r="Y178" s="563">
        <f t="shared" si="14"/>
        <v>4085.2444999999998</v>
      </c>
      <c r="Z178" s="563">
        <f t="shared" si="14"/>
        <v>3842.7437727272727</v>
      </c>
      <c r="AA178" s="563">
        <f t="shared" si="14"/>
        <v>3842.7439999999997</v>
      </c>
      <c r="AB178" s="563">
        <f>H180</f>
        <v>3842.7439999999997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3580.5838724367436</v>
      </c>
      <c r="D179" s="461">
        <f>VLOOKUP(D182,'AM (2011)'!$A$10:$N$444,'AM (2011)'!$N$445,FALSE)</f>
        <v>3580.5838724367436</v>
      </c>
      <c r="E179" s="461">
        <f>VLOOKUP(E182,'AM (2011)'!$A$10:$N$444,'AM (2011)'!$N$445,FALSE)</f>
        <v>3580.1946773193922</v>
      </c>
      <c r="F179" s="461">
        <f>VLOOKUP(F182,'AM (2011)'!$A$10:$N$444,'AM (2011)'!$N$445,FALSE)</f>
        <v>3427.7585645765403</v>
      </c>
      <c r="G179" s="461">
        <f>VLOOKUP(G182,'AM (2011)'!$A$10:$N$444,'AM (2011)'!$N$445,FALSE)</f>
        <v>3325.8750260030715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3917.9309558112473</v>
      </c>
      <c r="Z179" s="563">
        <f>F181</f>
        <v>3917.9309558112473</v>
      </c>
      <c r="AA179" s="563">
        <f>G181</f>
        <v>3896.0808329928896</v>
      </c>
      <c r="AB179" s="563">
        <f>H181</f>
        <v>3903.5597340917907</v>
      </c>
      <c r="AC179" s="563">
        <f>I181</f>
        <v>3911.0386351906918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3920.1259999999997</v>
      </c>
      <c r="E180" s="461">
        <f>VLOOKUP(E183,'AM (2011)'!$A$10:$N$444,'AM (2011)'!$N$445,FALSE)</f>
        <v>4085.2444999999998</v>
      </c>
      <c r="F180" s="461">
        <f>VLOOKUP(F183,'AM (2011)'!$A$10:$N$444,'AM (2011)'!$N$445,FALSE)</f>
        <v>3842.7437727272727</v>
      </c>
      <c r="G180" s="461">
        <f>VLOOKUP(G183,'AM (2011)'!$A$10:$N$444,'AM (2011)'!$N$445,FALSE)</f>
        <v>3842.7439999999997</v>
      </c>
      <c r="H180" s="461">
        <f>VLOOKUP(H183,'AM (2011)'!$A$10:$N$444,'AM (2011)'!$N$445,FALSE)</f>
        <v>3842.7439999999997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3917.9309558112473</v>
      </c>
      <c r="F181" s="493">
        <f>VLOOKUP(F184,'AM (2011)'!$A$10:$N$444,'AM (2011)'!$N$445,FALSE)</f>
        <v>3917.9309558112473</v>
      </c>
      <c r="G181" s="493">
        <f>VLOOKUP(G184,'AM (2011)'!$A$10:$N$444,'AM (2011)'!$N$445,FALSE)</f>
        <v>3896.0808329928896</v>
      </c>
      <c r="H181" s="493">
        <f>VLOOKUP(H184,'AM (2011)'!$A$10:$N$444,'AM (2011)'!$N$445,FALSE)</f>
        <v>3903.5597340917907</v>
      </c>
      <c r="I181" s="494">
        <f>VLOOKUP(I184,'AM (2011)'!$A$10:$N$444,'AM (2011)'!$N$445,FALSE)</f>
        <v>3911.0386351906918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308</v>
      </c>
      <c r="D182" s="136">
        <f>VLOOKUP($B$2,$B$257:$Y$286,11,FALSE)</f>
        <v>309</v>
      </c>
      <c r="E182" s="136">
        <f>VLOOKUP($B$2,$B$257:$Y$286,12,FALSE)</f>
        <v>310</v>
      </c>
      <c r="F182" s="136">
        <f>VLOOKUP($B$2,$B$257:$Y$286,13,FALSE)</f>
        <v>311</v>
      </c>
      <c r="G182" s="136">
        <f>VLOOKUP($B$2,$B$257:$Y$286,14,FALSE)</f>
        <v>312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313</v>
      </c>
      <c r="E183" s="136">
        <f>VLOOKUP($B$2,$B$257:$Y$286,16,FALSE)</f>
        <v>314</v>
      </c>
      <c r="F183" s="136">
        <f>VLOOKUP($B$2,$B$257:$Y$286,17,FALSE)</f>
        <v>315</v>
      </c>
      <c r="G183" s="136">
        <f>VLOOKUP($B$2,$B$257:$Y$286,18,FALSE)</f>
        <v>316</v>
      </c>
      <c r="H183" s="136">
        <f>VLOOKUP($B$2,$B$257:$Y$286,19,FALSE)</f>
        <v>317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318</v>
      </c>
      <c r="F184" s="136">
        <f>VLOOKUP($B$2,$B$257:$Y$286,21,FALSE)</f>
        <v>319</v>
      </c>
      <c r="G184" s="136">
        <f>VLOOKUP($B$2,$B$257:$Y$286,22,FALSE)</f>
        <v>320</v>
      </c>
      <c r="H184" s="136">
        <f>VLOOKUP($B$2,$B$257:$Y$286,23,FALSE)</f>
        <v>321</v>
      </c>
      <c r="I184" s="136">
        <f>VLOOKUP($B$2,$B$257:$Y$286,24,FALSE)</f>
        <v>322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3</v>
      </c>
      <c r="B186" s="483" t="s">
        <v>205</v>
      </c>
      <c r="C186" s="490"/>
      <c r="D186" s="484">
        <f>VLOOKUP($D$6,'FS (2011)'!$A$13:$AH$244,'FS (2011)'!AC245,FALSE)/1000</f>
        <v>1.3016771</v>
      </c>
      <c r="E186" s="495">
        <f t="shared" ref="E186:E191" si="16">D186/$D$192</f>
        <v>0.21314872493931866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Asset replacement and renewal</v>
      </c>
      <c r="V186" s="559">
        <f t="shared" ref="V186:V191" si="18">VLOOKUP(T186,$A$186:$D$191,4,FALSE)</f>
        <v>1.8319212999999999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5</v>
      </c>
      <c r="B187" s="162" t="s">
        <v>206</v>
      </c>
      <c r="C187" s="121"/>
      <c r="D187" s="456">
        <f>VLOOKUP($D$6,'FS (2011)'!$A$13:$AH$244,'FS (2011)'!AD245,FALSE)/1000</f>
        <v>0.32283125000000001</v>
      </c>
      <c r="E187" s="468">
        <f t="shared" si="16"/>
        <v>5.2863393930849996E-2</v>
      </c>
      <c r="Q187" s="559"/>
      <c r="R187" s="559"/>
      <c r="S187" s="559"/>
      <c r="T187" s="559">
        <v>2</v>
      </c>
      <c r="U187" s="559" t="str">
        <f t="shared" si="17"/>
        <v>Asset relocations</v>
      </c>
      <c r="V187" s="559">
        <f t="shared" si="18"/>
        <v>1.5426911000000001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4</v>
      </c>
      <c r="B188" s="162" t="s">
        <v>209</v>
      </c>
      <c r="C188" s="121"/>
      <c r="D188" s="456">
        <f>VLOOKUP($D$6,'FS (2011)'!$A$13:$AH$244,'FS (2011)'!AB245,FALSE)/1000</f>
        <v>0.82609402999999992</v>
      </c>
      <c r="E188" s="468">
        <f t="shared" si="16"/>
        <v>0.13527232612026688</v>
      </c>
      <c r="Q188" s="559"/>
      <c r="R188" s="559"/>
      <c r="S188" s="559"/>
      <c r="T188" s="559">
        <v>3</v>
      </c>
      <c r="U188" s="559" t="str">
        <f t="shared" si="17"/>
        <v>System growth</v>
      </c>
      <c r="V188" s="559">
        <f t="shared" si="18"/>
        <v>1.3016771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1</v>
      </c>
      <c r="B189" s="162" t="s">
        <v>208</v>
      </c>
      <c r="C189" s="121"/>
      <c r="D189" s="456">
        <f>VLOOKUP($D$6,'FS (2011)'!$A$13:$AH$244,'FS (2011)'!AE245,FALSE)/1000</f>
        <v>1.8319212999999999</v>
      </c>
      <c r="E189" s="468">
        <f t="shared" si="16"/>
        <v>0.29997584599450894</v>
      </c>
      <c r="Q189" s="559"/>
      <c r="R189" s="559"/>
      <c r="S189" s="559"/>
      <c r="T189" s="559">
        <v>4</v>
      </c>
      <c r="U189" s="559" t="str">
        <f t="shared" si="17"/>
        <v>Customer connection</v>
      </c>
      <c r="V189" s="559">
        <f t="shared" si="18"/>
        <v>0.82609402999999992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6</v>
      </c>
      <c r="B190" s="162" t="s">
        <v>312</v>
      </c>
      <c r="C190" s="121"/>
      <c r="D190" s="456">
        <f>VLOOKUP($D$6,'FS (2011)'!$A$13:$AH$244,'FS (2011)'!AH245,FALSE)/1000</f>
        <v>0.28168124</v>
      </c>
      <c r="E190" s="468">
        <f t="shared" si="16"/>
        <v>4.6125108250983447E-2</v>
      </c>
      <c r="Q190" s="559"/>
      <c r="R190" s="559"/>
      <c r="S190" s="559"/>
      <c r="T190" s="559">
        <v>5</v>
      </c>
      <c r="U190" s="559" t="str">
        <f t="shared" si="17"/>
        <v>Reliability, safety and environment</v>
      </c>
      <c r="V190" s="559">
        <f t="shared" si="18"/>
        <v>0.32283125000000001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2</v>
      </c>
      <c r="B191" s="162" t="s">
        <v>207</v>
      </c>
      <c r="C191" s="121"/>
      <c r="D191" s="456">
        <f>VLOOKUP($D$6,'FS (2011)'!$A$13:$AH$244,'FS (2011)'!AF245,FALSE)/1000</f>
        <v>1.5426911000000001</v>
      </c>
      <c r="E191" s="468">
        <f t="shared" si="16"/>
        <v>0.25261460076407194</v>
      </c>
      <c r="Q191" s="559"/>
      <c r="R191" s="559"/>
      <c r="S191" s="559"/>
      <c r="T191" s="559">
        <v>6</v>
      </c>
      <c r="U191" s="559" t="str">
        <f t="shared" si="17"/>
        <v>Non-network capex</v>
      </c>
      <c r="V191" s="559">
        <f t="shared" si="18"/>
        <v>0.28168124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6.1068960200000006</v>
      </c>
      <c r="E192" s="496">
        <f>SUM(E186:E191)</f>
        <v>1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4.4800445966753157</v>
      </c>
      <c r="D196" s="484">
        <f>VLOOKUP($D$38,'FS (2011)'!$A$13:$AH$244,'FS (2011)'!$AG$245,FALSE)/1000</f>
        <v>3.5988003861623983</v>
      </c>
      <c r="E196" s="484">
        <f>VLOOKUP($E$38,'FS (2011)'!$A$13:$AH$244,'FS (2011)'!$AG$245,FALSE)/1000</f>
        <v>3.9699276378701729</v>
      </c>
      <c r="F196" s="486">
        <f>VLOOKUP($F$38,'FS (2011)'!$A$13:$AH$244,'FS (2011)'!$AG$245,FALSE)/1000</f>
        <v>5.8252147999999995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0.47335733089447118</v>
      </c>
      <c r="D197" s="456">
        <f>VLOOKUP($D$38,'FS (2011)'!$A$13:$AH$244,'FS (2011)'!$AH$245,FALSE)/1000</f>
        <v>0.22893282574232954</v>
      </c>
      <c r="E197" s="456">
        <f>VLOOKUP($E$38,'FS (2011)'!$A$13:$AH$244,'FS (2011)'!$AH$245,FALSE)/1000</f>
        <v>0.19809222517851849</v>
      </c>
      <c r="F197" s="457">
        <f>VLOOKUP($F$38,'FS (2011)'!$A$13:$AH$244,'FS (2011)'!$AH$245,FALSE)/1000</f>
        <v>0.28168124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4.9534019275697867</v>
      </c>
      <c r="D198" s="488">
        <f>SUM(D196:D197)</f>
        <v>3.8277332119047278</v>
      </c>
      <c r="E198" s="488">
        <f>SUM(E196:E197)</f>
        <v>4.1680198630486913</v>
      </c>
      <c r="F198" s="489">
        <f>SUM(F196:F197)</f>
        <v>6.1068960399999996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9.2625583920277199E-2</v>
      </c>
      <c r="D200" s="498">
        <f t="shared" ref="D200:F202" si="20">D196/C196 - 1</f>
        <v>-0.19670433887352312</v>
      </c>
      <c r="E200" s="498">
        <f t="shared" si="20"/>
        <v>0.1031252672792804</v>
      </c>
      <c r="F200" s="495">
        <f t="shared" si="20"/>
        <v>0.46733525932104136</v>
      </c>
      <c r="Q200" s="559"/>
      <c r="R200" s="559" t="s">
        <v>423</v>
      </c>
      <c r="S200" s="559">
        <f t="shared" ref="S200:V202" si="21">LN(C196)</f>
        <v>1.4996330009923728</v>
      </c>
      <c r="T200" s="559">
        <f t="shared" si="21"/>
        <v>1.2806005638639215</v>
      </c>
      <c r="U200" s="559">
        <f t="shared" si="21"/>
        <v>1.3787478672962488</v>
      </c>
      <c r="V200" s="559">
        <f t="shared" si="21"/>
        <v>1.762195874308359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-0.1564970979643433</v>
      </c>
      <c r="D201" s="467">
        <f t="shared" si="20"/>
        <v>-0.51636362046040207</v>
      </c>
      <c r="E201" s="467">
        <f t="shared" si="20"/>
        <v>-0.13471462846714266</v>
      </c>
      <c r="F201" s="468">
        <f t="shared" si="20"/>
        <v>0.42197019467145691</v>
      </c>
      <c r="Q201" s="559"/>
      <c r="R201" s="559" t="s">
        <v>423</v>
      </c>
      <c r="S201" s="559">
        <f t="shared" si="21"/>
        <v>-0.74790471926726843</v>
      </c>
      <c r="T201" s="559">
        <f t="shared" si="21"/>
        <v>-1.474326655829459</v>
      </c>
      <c r="U201" s="559">
        <f t="shared" si="21"/>
        <v>-1.6190225730012791</v>
      </c>
      <c r="V201" s="559">
        <f t="shared" si="21"/>
        <v>-1.2669792019865518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7.3924868706436886E-2</v>
      </c>
      <c r="D202" s="500">
        <f t="shared" si="20"/>
        <v>-0.22725164081674443</v>
      </c>
      <c r="E202" s="500">
        <f t="shared" si="20"/>
        <v>8.8900305299655979E-2</v>
      </c>
      <c r="F202" s="501">
        <f t="shared" si="20"/>
        <v>0.46517920755135767</v>
      </c>
      <c r="Q202" s="559"/>
      <c r="R202" s="559" t="s">
        <v>423</v>
      </c>
      <c r="S202" s="559">
        <f t="shared" si="21"/>
        <v>1.6000745986218079</v>
      </c>
      <c r="T202" s="559">
        <f t="shared" si="21"/>
        <v>1.342272777302189</v>
      </c>
      <c r="U202" s="559">
        <f t="shared" si="21"/>
        <v>1.4274410700464022</v>
      </c>
      <c r="V202" s="559">
        <f t="shared" si="21"/>
        <v>1.8094186310078439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Tasman</v>
      </c>
      <c r="C206" s="456">
        <f>(C198/C102)*1000000</f>
        <v>139.86339303054515</v>
      </c>
      <c r="D206" s="456">
        <f>(D198/D102)*1000000</f>
        <v>106.83338111319678</v>
      </c>
      <c r="E206" s="456">
        <f>(E198/E102)*1000000</f>
        <v>115.07827005297472</v>
      </c>
      <c r="F206" s="457">
        <f>(F198/F102)*1000000</f>
        <v>166.49570708034571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Tasman</v>
      </c>
      <c r="C209" s="456">
        <f>(C198/C117)*1000000000</f>
        <v>8335.5758485626648</v>
      </c>
      <c r="D209" s="456">
        <f>(D198/D117)*1000000000</f>
        <v>6654.2262646714798</v>
      </c>
      <c r="E209" s="456">
        <f>(E198/E117)*1000000000</f>
        <v>7201.9488419547652</v>
      </c>
      <c r="F209" s="457">
        <f>(F198/F117)*1000000000</f>
        <v>10530.733971940994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Tasman</v>
      </c>
      <c r="C212" s="456">
        <f>(C198/VLOOKUP(C$38,'AV (2011)'!$A$11:$F$213,'AV (2011)'!$F$214,FALSE)*1000)</f>
        <v>3.299335719704248E-2</v>
      </c>
      <c r="D212" s="456">
        <f>(D198/VLOOKUP(D$38,'AV (2011)'!$A$11:$F$213,'AV (2011)'!$F$214,FALSE)*1000)</f>
        <v>2.5650770583663187E-2</v>
      </c>
      <c r="E212" s="456">
        <f>(E198/VLOOKUP(E$38,'AV (2011)'!$A$11:$F$213,'AV (2011)'!$F$214,FALSE)*1000)</f>
        <v>2.7914550039664792E-2</v>
      </c>
      <c r="F212" s="457">
        <f>(F198/VLOOKUP(F$38,'AV (2011)'!$A$11:$F$213,'AV (2011)'!$F$214,FALSE)*1000)</f>
        <v>3.9865948645229909E-2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6.1544804770123696E-2</v>
      </c>
      <c r="D215" s="464">
        <f>D206/C206 - 1</f>
        <v>-0.23615909210878971</v>
      </c>
      <c r="E215" s="464">
        <f>E206/D206 - 1</f>
        <v>7.7175212970578499E-2</v>
      </c>
      <c r="F215" s="465">
        <f>F206/E206 - 1</f>
        <v>0.44680404913718008</v>
      </c>
      <c r="K215" s="139"/>
      <c r="P215" s="139"/>
      <c r="Q215" s="559"/>
      <c r="R215" s="559" t="s">
        <v>423</v>
      </c>
      <c r="S215" s="559">
        <f>LN(C206)</f>
        <v>4.9406661821741054</v>
      </c>
      <c r="T215" s="559">
        <f>LN(D206)</f>
        <v>4.6712704349299266</v>
      </c>
      <c r="U215" s="559">
        <f>LN(E206)</f>
        <v>4.745612506010179</v>
      </c>
      <c r="V215" s="559">
        <f>LN(F206)</f>
        <v>5.1149695257868766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8.1165445491936827E-2</v>
      </c>
      <c r="D216" s="467">
        <f>D209/C209 - 1</f>
        <v>-0.20170767016427626</v>
      </c>
      <c r="E216" s="467">
        <f>E209/D209 - 1</f>
        <v>8.2311985721201797E-2</v>
      </c>
      <c r="F216" s="468">
        <f>F209/E209 - 1</f>
        <v>0.46220616155928207</v>
      </c>
      <c r="Q216" s="559"/>
      <c r="R216" s="559" t="s">
        <v>423</v>
      </c>
      <c r="S216" s="559">
        <f>LN(C209)</f>
        <v>9.028287880808346</v>
      </c>
      <c r="T216" s="559">
        <f>LN(D209)</f>
        <v>8.8030074603091979</v>
      </c>
      <c r="U216" s="559">
        <f>LN(E209)</f>
        <v>8.8821069408726743</v>
      </c>
      <c r="V216" s="559">
        <f>LN(F209)</f>
        <v>9.2620533056372505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6.7396316516753707E-2</v>
      </c>
      <c r="D217" s="470">
        <f>D212/C212 - 1</f>
        <v>-0.22254742278962392</v>
      </c>
      <c r="E217" s="470">
        <f>E212/D212 - 1</f>
        <v>8.8253857661624968E-2</v>
      </c>
      <c r="F217" s="471">
        <f>F212/E212 - 1</f>
        <v>0.42814226231778574</v>
      </c>
      <c r="Q217" s="559"/>
      <c r="R217" s="559" t="s">
        <v>423</v>
      </c>
      <c r="S217" s="559">
        <f>LN(C212)</f>
        <v>-3.4114490348379478</v>
      </c>
      <c r="T217" s="559">
        <f>LN(D212)</f>
        <v>-3.6631816655685405</v>
      </c>
      <c r="U217" s="559">
        <f>LN(E212)</f>
        <v>-3.5786072192942067</v>
      </c>
      <c r="V217" s="559">
        <f>LN(F212)</f>
        <v>-3.2222327368670638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Tasman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3969.9276378701729</v>
      </c>
      <c r="X220" s="563">
        <f>D222</f>
        <v>5825.2147999999997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Tasman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7568.469604699414</v>
      </c>
      <c r="X221" s="563">
        <f t="shared" si="23"/>
        <v>7147.3502993721531</v>
      </c>
      <c r="Y221" s="563">
        <f t="shared" si="23"/>
        <v>5246.0852846864809</v>
      </c>
      <c r="Z221" s="563">
        <f t="shared" si="23"/>
        <v>3374.4846810918589</v>
      </c>
      <c r="AA221" s="563">
        <f t="shared" si="23"/>
        <v>4215.0238743229766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3969.9276378701729</v>
      </c>
      <c r="D222" s="461">
        <f>VLOOKUP(D226,'FS (2011)'!$A$14:$AJ$245,'FS (2011)'!$AG$245,FALSE)</f>
        <v>5825.2147999999997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8413.2659999999996</v>
      </c>
      <c r="Y222" s="563">
        <f t="shared" si="23"/>
        <v>7302.1</v>
      </c>
      <c r="Z222" s="563">
        <f t="shared" si="23"/>
        <v>5997.1</v>
      </c>
      <c r="AA222" s="563">
        <f t="shared" si="23"/>
        <v>5162.1000000000004</v>
      </c>
      <c r="AB222" s="563">
        <f>H224</f>
        <v>5787.1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7568.469604699414</v>
      </c>
      <c r="D223" s="461">
        <f>VLOOKUP(D227,'AM (2011)'!$A$10:$N$444,'AM (2011)'!$J$445,FALSE)</f>
        <v>7147.3502993721531</v>
      </c>
      <c r="E223" s="461">
        <f>VLOOKUP(E226,'AM (2011)'!$A$10:$N$444,'AM (2011)'!$J$445,FALSE)</f>
        <v>5246.0852846864809</v>
      </c>
      <c r="F223" s="461">
        <f>VLOOKUP(F226,'AM (2011)'!$A$10:$N$444,'AM (2011)'!$J$445,FALSE)</f>
        <v>3374.4846810918589</v>
      </c>
      <c r="G223" s="461">
        <f>VLOOKUP(G226,'AM (2011)'!$A$10:$N$444,'AM (2011)'!$J$445,FALSE)</f>
        <v>4215.0238743229766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7000.838009049774</v>
      </c>
      <c r="Z223" s="563">
        <f>F225</f>
        <v>6534.5065287653524</v>
      </c>
      <c r="AA223" s="563">
        <f>G225</f>
        <v>6853.2152553329024</v>
      </c>
      <c r="AB223" s="563">
        <f>H225</f>
        <v>4574.3500969618617</v>
      </c>
      <c r="AC223" s="563">
        <f>I225</f>
        <v>4854.9310924369747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8413.2659999999996</v>
      </c>
      <c r="E224" s="461">
        <f>VLOOKUP(E227,'AM (2011)'!$A$10:$N$444,'AM (2011)'!$J$445,FALSE)</f>
        <v>7302.1</v>
      </c>
      <c r="F224" s="461">
        <f>VLOOKUP(F227,'AM (2011)'!$A$10:$N$444,'AM (2011)'!$J$445,FALSE)</f>
        <v>5997.1</v>
      </c>
      <c r="G224" s="461">
        <f>VLOOKUP(G227,'AM (2011)'!$A$10:$N$444,'AM (2011)'!$J$445,FALSE)</f>
        <v>5162.1000000000004</v>
      </c>
      <c r="H224" s="461">
        <f>VLOOKUP(H227,'AM (2011)'!$A$10:$N$444,'AM (2011)'!$J$445,FALSE)</f>
        <v>5787.1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7000.838009049774</v>
      </c>
      <c r="F225" s="493">
        <f>VLOOKUP(F228,'AM (2011)'!$A$10:$N$444,'AM (2011)'!$J$445,FALSE)</f>
        <v>6534.5065287653524</v>
      </c>
      <c r="G225" s="493">
        <f>VLOOKUP(G228,'AM (2011)'!$A$10:$N$444,'AM (2011)'!$J$445,FALSE)</f>
        <v>6853.2152553329024</v>
      </c>
      <c r="H225" s="493">
        <f>VLOOKUP(H228,'AM (2011)'!$A$10:$N$444,'AM (2011)'!$J$445,FALSE)</f>
        <v>4574.3500969618617</v>
      </c>
      <c r="I225" s="494">
        <f>VLOOKUP(I228,'AM (2011)'!$A$10:$N$444,'AM (2011)'!$J$445,FALSE)</f>
        <v>4854.9310924369747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306</v>
      </c>
      <c r="D226" s="136">
        <f>VLOOKUP($B$2,$B$257:$Y$286,9,FALSE)</f>
        <v>307</v>
      </c>
      <c r="E226" s="136">
        <f>VLOOKUP($B$2,$B$257:$Y$286,12,FALSE)</f>
        <v>310</v>
      </c>
      <c r="F226" s="136">
        <f>VLOOKUP($B$2,$B$257:$Y$286,13,FALSE)</f>
        <v>311</v>
      </c>
      <c r="G226" s="136">
        <f>VLOOKUP($B$2,$B$257:$Y$286,14,FALSE)</f>
        <v>312</v>
      </c>
      <c r="H226" s="136"/>
      <c r="I226" s="136"/>
      <c r="Q226" s="559"/>
      <c r="R226" s="559"/>
      <c r="S226" s="559"/>
      <c r="T226" s="559"/>
      <c r="U226" s="559"/>
      <c r="V226" s="559"/>
      <c r="W226" s="559"/>
      <c r="X226" s="559"/>
      <c r="Y226" s="559"/>
      <c r="Z226" s="559"/>
      <c r="AA226" s="559"/>
      <c r="AB226" s="559"/>
      <c r="AC226" s="559"/>
      <c r="AD226" s="559"/>
    </row>
    <row r="227" spans="2:30">
      <c r="C227" s="136">
        <f>VLOOKUP($B$2,$B$257:$Y$286,10,FALSE)</f>
        <v>308</v>
      </c>
      <c r="D227" s="136">
        <f>VLOOKUP($B$2,$B$257:$Y$286,11,FALSE)</f>
        <v>309</v>
      </c>
      <c r="E227" s="136">
        <f>VLOOKUP($B$2,$B$257:$Y$286,16,FALSE)</f>
        <v>314</v>
      </c>
      <c r="F227" s="136">
        <f>VLOOKUP($B$2,$B$257:$Y$286,17,FALSE)</f>
        <v>315</v>
      </c>
      <c r="G227" s="136">
        <f>VLOOKUP($B$2,$B$257:$Y$286,18,FALSE)</f>
        <v>316</v>
      </c>
      <c r="H227" s="136">
        <f>VLOOKUP($B$2,$B$257:$Y$286,19,FALSE)</f>
        <v>317</v>
      </c>
      <c r="I227" s="136"/>
      <c r="Q227" s="559"/>
      <c r="R227" s="559"/>
      <c r="S227" s="559"/>
      <c r="T227" s="559"/>
      <c r="U227" s="559"/>
      <c r="V227" s="559"/>
      <c r="W227" s="559"/>
      <c r="X227" s="559"/>
      <c r="Y227" s="559"/>
      <c r="Z227" s="559"/>
      <c r="AA227" s="559"/>
      <c r="AB227" s="559"/>
      <c r="AC227" s="559"/>
      <c r="AD227" s="559"/>
    </row>
    <row r="228" spans="2:30">
      <c r="B228" s="517" t="s">
        <v>291</v>
      </c>
      <c r="C228" s="518"/>
      <c r="D228" s="518">
        <f>VLOOKUP($B$2,$B$257:$Y$286,15,FALSE)</f>
        <v>313</v>
      </c>
      <c r="E228" s="518">
        <f>VLOOKUP($B$2,$B$257:$Y$286,20,FALSE)</f>
        <v>318</v>
      </c>
      <c r="F228" s="519">
        <f>VLOOKUP($B$2,$B$257:$Y$286,21,FALSE)</f>
        <v>319</v>
      </c>
      <c r="G228" s="136">
        <f>VLOOKUP($B$2,$B$257:$Y$286,22,FALSE)</f>
        <v>320</v>
      </c>
      <c r="H228" s="136">
        <f>VLOOKUP($B$2,$B$257:$Y$286,23,FALSE)</f>
        <v>321</v>
      </c>
      <c r="I228" s="136">
        <f>VLOOKUP($B$2,$B$257:$Y$286,24,FALSE)</f>
        <v>322</v>
      </c>
      <c r="Q228" s="559"/>
      <c r="R228" s="559"/>
      <c r="S228" s="559"/>
      <c r="T228" s="559"/>
      <c r="U228" s="559"/>
      <c r="V228" s="559"/>
      <c r="W228" s="559"/>
      <c r="X228" s="559"/>
      <c r="Y228" s="559"/>
      <c r="Z228" s="559"/>
      <c r="AA228" s="559"/>
      <c r="AB228" s="559"/>
      <c r="AC228" s="559"/>
      <c r="AD228" s="559"/>
    </row>
    <row r="229" spans="2:30">
      <c r="B229" s="474" t="str">
        <f>$B$2</f>
        <v>Tasman</v>
      </c>
      <c r="C229" s="475">
        <v>2008</v>
      </c>
      <c r="D229" s="475">
        <v>2009</v>
      </c>
      <c r="E229" s="475">
        <v>2010</v>
      </c>
      <c r="F229" s="476">
        <v>2011</v>
      </c>
      <c r="Q229" s="559"/>
      <c r="R229" s="559"/>
      <c r="S229" s="559"/>
      <c r="T229" s="559"/>
      <c r="U229" s="559"/>
      <c r="V229" s="559"/>
      <c r="W229" s="559"/>
      <c r="X229" s="559"/>
      <c r="Y229" s="559"/>
      <c r="Z229" s="559"/>
      <c r="AA229" s="559"/>
      <c r="AB229" s="559"/>
      <c r="AC229" s="559"/>
      <c r="AD229" s="559"/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157.54</v>
      </c>
      <c r="D230" s="456">
        <f>VLOOKUP(D$38,'MP (2011)'!$A$11:$AR$245,'MP (2011)'!$S$246,FALSE)+VLOOKUP(D$38,'MP (2011)'!$A$11:$AR$245,'MP (2011)'!$T$246,FALSE)</f>
        <v>245.03</v>
      </c>
      <c r="E230" s="456">
        <f>VLOOKUP(E$38,'MP (2011)'!$A$11:$AR$245,'MP (2011)'!$S$246,FALSE)+VLOOKUP(E$38,'MP (2011)'!$A$11:$AR$245,'MP (2011)'!$T$246,FALSE)</f>
        <v>148.30000000000001</v>
      </c>
      <c r="F230" s="457">
        <f>VLOOKUP(F$38,'MP (2011)'!$A$11:$AR$245,'MP (2011)'!$S$246,FALSE)+VLOOKUP(F$38,'MP (2011)'!$A$11:$AR$245,'MP (2011)'!$T$246,FALSE)</f>
        <v>178.04000000000002</v>
      </c>
      <c r="Q230" s="559"/>
      <c r="R230" s="559"/>
      <c r="S230" s="559"/>
      <c r="T230" s="559"/>
      <c r="U230" s="559"/>
      <c r="V230" s="559"/>
      <c r="W230" s="559"/>
      <c r="X230" s="559"/>
      <c r="Y230" s="559"/>
      <c r="Z230" s="559"/>
      <c r="AA230" s="559"/>
      <c r="AB230" s="559"/>
      <c r="AC230" s="559"/>
      <c r="AD230" s="559"/>
    </row>
    <row r="231" spans="2:30">
      <c r="B231" s="199" t="s">
        <v>292</v>
      </c>
      <c r="C231" s="456">
        <f>IF(ISERROR(VLOOKUP(C$38,'Compliance data'!$A$7:$E$74,'Compliance data'!$D$75,FALSE)),"",(VLOOKUP(C$38,'Compliance data'!$A$7:$E$74,'Compliance data'!$D$75,FALSE)))</f>
        <v>147.4</v>
      </c>
      <c r="D231" s="456">
        <f>IF(ISERROR(VLOOKUP(D$38,'Compliance data'!$A$7:$E$74,'Compliance data'!$D$75,FALSE)),"",(VLOOKUP(D$38,'Compliance data'!$A$7:$E$74,'Compliance data'!$D$75,FALSE)))</f>
        <v>147.4</v>
      </c>
      <c r="E231" s="456">
        <f>IF(ISERROR(VLOOKUP(E$38,'Compliance data'!$A$7:$E$74,'Compliance data'!$D$75,FALSE)),"",(VLOOKUP(E$38,'Compliance data'!$A$7:$E$74,'Compliance data'!$D$75,FALSE)))</f>
        <v>147.44999999999999</v>
      </c>
      <c r="F231" s="457">
        <f>IF(ISERROR(VLOOKUP(F$38,'Compliance data'!$A$7:$E$74,'Compliance data'!$D$75,FALSE)),"",(VLOOKUP(F$38,'Compliance data'!$A$7:$E$74,'Compliance data'!$D$75,FALSE)))</f>
        <v>162.53479999999999</v>
      </c>
      <c r="Q231" s="559"/>
      <c r="R231" s="559"/>
      <c r="S231" s="559"/>
      <c r="T231" s="559"/>
      <c r="U231" s="559"/>
      <c r="V231" s="559"/>
      <c r="W231" s="559"/>
      <c r="X231" s="559"/>
      <c r="Y231" s="559"/>
      <c r="Z231" s="559"/>
      <c r="AA231" s="559"/>
      <c r="AB231" s="559"/>
      <c r="AC231" s="559"/>
      <c r="AD231" s="559"/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1.53</v>
      </c>
      <c r="D237" s="456">
        <f>VLOOKUP(D$38,'MP (2011)'!$A$11:$AR$245,'MP (2011)'!$W$246,FALSE)+VLOOKUP(D$38,'MP (2011)'!$A$11:$AR$245,'MP (2011)'!$X$246,FALSE)</f>
        <v>1.6600000000000001</v>
      </c>
      <c r="E237" s="456">
        <f>VLOOKUP(E$38,'MP (2011)'!$A$11:$AR$245,'MP (2011)'!$W$246,FALSE)+VLOOKUP(E$38,'MP (2011)'!$A$11:$AR$245,'MP (2011)'!$X$246,FALSE)</f>
        <v>1.76</v>
      </c>
      <c r="F237" s="457">
        <f>VLOOKUP(F$38,'MP (2011)'!$A$11:$AR$245,'MP (2011)'!$W$246,FALSE)+VLOOKUP(F$38,'MP (2011)'!$A$11:$AR$245,'MP (2011)'!$X$246,FALSE)</f>
        <v>1.6400000000000001</v>
      </c>
    </row>
    <row r="238" spans="2:30">
      <c r="B238" s="199" t="s">
        <v>292</v>
      </c>
      <c r="C238" s="456">
        <f>IF(ISERROR(VLOOKUP(C$38,'Compliance data'!$A$7:$E$74,'Compliance data'!$E$75,FALSE)),"",(VLOOKUP(C$38,'Compliance data'!$A$7:$E$74,'Compliance data'!$E$75,FALSE)))</f>
        <v>2.12</v>
      </c>
      <c r="D238" s="456">
        <f>IF(ISERROR(VLOOKUP(D$38,'Compliance data'!$A$7:$E$74,'Compliance data'!$E$75,FALSE)),"",(VLOOKUP(D$38,'Compliance data'!$A$7:$E$74,'Compliance data'!$E$75,FALSE)))</f>
        <v>2.12</v>
      </c>
      <c r="E238" s="456">
        <f>IF(ISERROR(VLOOKUP(E$38,'Compliance data'!$A$7:$E$74,'Compliance data'!$E$75,FALSE)),"",(VLOOKUP(E$38,'Compliance data'!$A$7:$E$74,'Compliance data'!$E$75,FALSE)))</f>
        <v>2.12</v>
      </c>
      <c r="F238" s="457">
        <f>IF(ISERROR(VLOOKUP(F$38,'Compliance data'!$A$7:$E$74,'Compliance data'!$E$75,FALSE)),"",(VLOOKUP(F$38,'Compliance data'!$A$7:$E$74,'Compliance data'!$E$75,FALSE)))</f>
        <v>1.744</v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ref="T258:Y273" si="25">S258+1</f>
        <v>18</v>
      </c>
      <c r="U258" s="526">
        <f t="shared" si="25"/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4"/>
        <v>25</v>
      </c>
      <c r="E259" s="526">
        <f t="shared" si="24"/>
        <v>26</v>
      </c>
      <c r="F259" s="526">
        <f t="shared" si="24"/>
        <v>27</v>
      </c>
      <c r="G259" s="526">
        <f t="shared" si="24"/>
        <v>28</v>
      </c>
      <c r="H259" s="526">
        <f t="shared" si="24"/>
        <v>29</v>
      </c>
      <c r="I259" s="526">
        <f t="shared" si="24"/>
        <v>30</v>
      </c>
      <c r="J259" s="526">
        <f t="shared" si="24"/>
        <v>31</v>
      </c>
      <c r="K259" s="526">
        <f t="shared" si="24"/>
        <v>32</v>
      </c>
      <c r="L259" s="526">
        <f t="shared" si="24"/>
        <v>33</v>
      </c>
      <c r="M259" s="526">
        <f t="shared" si="24"/>
        <v>34</v>
      </c>
      <c r="N259" s="526">
        <f t="shared" si="24"/>
        <v>35</v>
      </c>
      <c r="O259" s="526">
        <f t="shared" si="24"/>
        <v>36</v>
      </c>
      <c r="P259" s="526">
        <f t="shared" si="24"/>
        <v>37</v>
      </c>
      <c r="Q259" s="526">
        <f t="shared" si="24"/>
        <v>38</v>
      </c>
      <c r="R259" s="526">
        <f t="shared" si="24"/>
        <v>39</v>
      </c>
      <c r="S259" s="526">
        <f t="shared" si="24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6">Y259+1</f>
        <v>47</v>
      </c>
      <c r="D260" s="526">
        <f t="shared" si="24"/>
        <v>48</v>
      </c>
      <c r="E260" s="526">
        <f t="shared" si="24"/>
        <v>49</v>
      </c>
      <c r="F260" s="526">
        <f t="shared" si="24"/>
        <v>50</v>
      </c>
      <c r="G260" s="526">
        <f t="shared" si="24"/>
        <v>51</v>
      </c>
      <c r="H260" s="526">
        <f t="shared" si="24"/>
        <v>52</v>
      </c>
      <c r="I260" s="526">
        <f t="shared" si="24"/>
        <v>53</v>
      </c>
      <c r="J260" s="526">
        <f t="shared" si="24"/>
        <v>54</v>
      </c>
      <c r="K260" s="526">
        <f t="shared" si="24"/>
        <v>55</v>
      </c>
      <c r="L260" s="526">
        <f t="shared" si="24"/>
        <v>56</v>
      </c>
      <c r="M260" s="526">
        <f t="shared" si="24"/>
        <v>57</v>
      </c>
      <c r="N260" s="526">
        <f t="shared" si="24"/>
        <v>58</v>
      </c>
      <c r="O260" s="526">
        <f t="shared" si="24"/>
        <v>59</v>
      </c>
      <c r="P260" s="526">
        <f t="shared" si="24"/>
        <v>60</v>
      </c>
      <c r="Q260" s="526">
        <f t="shared" si="24"/>
        <v>61</v>
      </c>
      <c r="R260" s="526">
        <f t="shared" si="24"/>
        <v>62</v>
      </c>
      <c r="S260" s="526">
        <f t="shared" si="24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6"/>
        <v>70</v>
      </c>
      <c r="D261" s="526">
        <f t="shared" si="24"/>
        <v>71</v>
      </c>
      <c r="E261" s="526">
        <f t="shared" si="24"/>
        <v>72</v>
      </c>
      <c r="F261" s="526">
        <f t="shared" si="24"/>
        <v>73</v>
      </c>
      <c r="G261" s="526">
        <f t="shared" si="24"/>
        <v>74</v>
      </c>
      <c r="H261" s="526">
        <f t="shared" si="24"/>
        <v>75</v>
      </c>
      <c r="I261" s="526">
        <f t="shared" si="24"/>
        <v>76</v>
      </c>
      <c r="J261" s="526">
        <f t="shared" si="24"/>
        <v>77</v>
      </c>
      <c r="K261" s="526">
        <f t="shared" si="24"/>
        <v>78</v>
      </c>
      <c r="L261" s="526">
        <f t="shared" si="24"/>
        <v>79</v>
      </c>
      <c r="M261" s="526">
        <f t="shared" si="24"/>
        <v>80</v>
      </c>
      <c r="N261" s="526">
        <f t="shared" si="24"/>
        <v>81</v>
      </c>
      <c r="O261" s="526">
        <f t="shared" si="24"/>
        <v>82</v>
      </c>
      <c r="P261" s="526">
        <f t="shared" si="24"/>
        <v>83</v>
      </c>
      <c r="Q261" s="526">
        <f t="shared" si="24"/>
        <v>84</v>
      </c>
      <c r="R261" s="526">
        <f t="shared" si="24"/>
        <v>85</v>
      </c>
      <c r="S261" s="526">
        <f t="shared" si="24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6"/>
        <v>93</v>
      </c>
      <c r="D262" s="526">
        <f t="shared" si="24"/>
        <v>94</v>
      </c>
      <c r="E262" s="526">
        <f t="shared" si="24"/>
        <v>95</v>
      </c>
      <c r="F262" s="526">
        <f t="shared" si="24"/>
        <v>96</v>
      </c>
      <c r="G262" s="526">
        <f t="shared" si="24"/>
        <v>97</v>
      </c>
      <c r="H262" s="526">
        <f t="shared" si="24"/>
        <v>98</v>
      </c>
      <c r="I262" s="526">
        <f t="shared" si="24"/>
        <v>99</v>
      </c>
      <c r="J262" s="526">
        <f t="shared" si="24"/>
        <v>100</v>
      </c>
      <c r="K262" s="526">
        <f t="shared" si="24"/>
        <v>101</v>
      </c>
      <c r="L262" s="526">
        <f t="shared" si="24"/>
        <v>102</v>
      </c>
      <c r="M262" s="526">
        <f t="shared" si="24"/>
        <v>103</v>
      </c>
      <c r="N262" s="526">
        <f t="shared" si="24"/>
        <v>104</v>
      </c>
      <c r="O262" s="526">
        <f t="shared" si="24"/>
        <v>105</v>
      </c>
      <c r="P262" s="526">
        <f t="shared" si="24"/>
        <v>106</v>
      </c>
      <c r="Q262" s="526">
        <f t="shared" si="24"/>
        <v>107</v>
      </c>
      <c r="R262" s="526">
        <f t="shared" si="24"/>
        <v>108</v>
      </c>
      <c r="S262" s="526">
        <f t="shared" si="24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6"/>
        <v>116</v>
      </c>
      <c r="D263" s="526">
        <f t="shared" si="24"/>
        <v>117</v>
      </c>
      <c r="E263" s="526">
        <f t="shared" si="24"/>
        <v>118</v>
      </c>
      <c r="F263" s="526">
        <f t="shared" si="24"/>
        <v>119</v>
      </c>
      <c r="G263" s="526">
        <f t="shared" si="24"/>
        <v>120</v>
      </c>
      <c r="H263" s="526">
        <f t="shared" si="24"/>
        <v>121</v>
      </c>
      <c r="I263" s="526">
        <f t="shared" si="24"/>
        <v>122</v>
      </c>
      <c r="J263" s="526">
        <f t="shared" si="24"/>
        <v>123</v>
      </c>
      <c r="K263" s="526">
        <f t="shared" si="24"/>
        <v>124</v>
      </c>
      <c r="L263" s="526">
        <f t="shared" si="24"/>
        <v>125</v>
      </c>
      <c r="M263" s="526">
        <f t="shared" si="24"/>
        <v>126</v>
      </c>
      <c r="N263" s="526">
        <f t="shared" si="24"/>
        <v>127</v>
      </c>
      <c r="O263" s="526">
        <f t="shared" si="24"/>
        <v>128</v>
      </c>
      <c r="P263" s="526">
        <f t="shared" si="24"/>
        <v>129</v>
      </c>
      <c r="Q263" s="526">
        <f t="shared" si="24"/>
        <v>130</v>
      </c>
      <c r="R263" s="526">
        <f t="shared" si="24"/>
        <v>131</v>
      </c>
      <c r="S263" s="526">
        <f t="shared" si="24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6"/>
        <v>139</v>
      </c>
      <c r="D264" s="526">
        <f t="shared" si="24"/>
        <v>140</v>
      </c>
      <c r="E264" s="526">
        <f t="shared" si="24"/>
        <v>141</v>
      </c>
      <c r="F264" s="526">
        <f t="shared" si="24"/>
        <v>142</v>
      </c>
      <c r="G264" s="526">
        <f t="shared" si="24"/>
        <v>143</v>
      </c>
      <c r="H264" s="526">
        <f t="shared" si="24"/>
        <v>144</v>
      </c>
      <c r="I264" s="526">
        <f t="shared" si="24"/>
        <v>145</v>
      </c>
      <c r="J264" s="526">
        <f t="shared" si="24"/>
        <v>146</v>
      </c>
      <c r="K264" s="526">
        <f t="shared" si="24"/>
        <v>147</v>
      </c>
      <c r="L264" s="526">
        <f t="shared" si="24"/>
        <v>148</v>
      </c>
      <c r="M264" s="526">
        <f t="shared" si="24"/>
        <v>149</v>
      </c>
      <c r="N264" s="526">
        <f t="shared" si="24"/>
        <v>150</v>
      </c>
      <c r="O264" s="526">
        <f t="shared" si="24"/>
        <v>151</v>
      </c>
      <c r="P264" s="526">
        <f t="shared" si="24"/>
        <v>152</v>
      </c>
      <c r="Q264" s="526">
        <f t="shared" si="24"/>
        <v>153</v>
      </c>
      <c r="R264" s="526">
        <f t="shared" si="24"/>
        <v>154</v>
      </c>
      <c r="S264" s="526">
        <f t="shared" si="24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6"/>
        <v>162</v>
      </c>
      <c r="D265" s="526">
        <f t="shared" si="24"/>
        <v>163</v>
      </c>
      <c r="E265" s="526">
        <f t="shared" si="24"/>
        <v>164</v>
      </c>
      <c r="F265" s="526">
        <f t="shared" si="24"/>
        <v>165</v>
      </c>
      <c r="G265" s="526">
        <f t="shared" si="24"/>
        <v>166</v>
      </c>
      <c r="H265" s="526">
        <f t="shared" si="24"/>
        <v>167</v>
      </c>
      <c r="I265" s="526">
        <f t="shared" si="24"/>
        <v>168</v>
      </c>
      <c r="J265" s="526">
        <f t="shared" si="24"/>
        <v>169</v>
      </c>
      <c r="K265" s="526">
        <f t="shared" si="24"/>
        <v>170</v>
      </c>
      <c r="L265" s="526">
        <f t="shared" si="24"/>
        <v>171</v>
      </c>
      <c r="M265" s="526">
        <f t="shared" si="24"/>
        <v>172</v>
      </c>
      <c r="N265" s="526">
        <f t="shared" si="24"/>
        <v>173</v>
      </c>
      <c r="O265" s="526">
        <f t="shared" si="24"/>
        <v>174</v>
      </c>
      <c r="P265" s="526">
        <f t="shared" si="24"/>
        <v>175</v>
      </c>
      <c r="Q265" s="526">
        <f t="shared" si="24"/>
        <v>176</v>
      </c>
      <c r="R265" s="526">
        <f t="shared" si="24"/>
        <v>177</v>
      </c>
      <c r="S265" s="526">
        <f t="shared" si="24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6"/>
        <v>185</v>
      </c>
      <c r="D266" s="526">
        <f t="shared" si="24"/>
        <v>186</v>
      </c>
      <c r="E266" s="526">
        <f t="shared" si="24"/>
        <v>187</v>
      </c>
      <c r="F266" s="526">
        <f t="shared" si="24"/>
        <v>188</v>
      </c>
      <c r="G266" s="526">
        <f t="shared" si="24"/>
        <v>189</v>
      </c>
      <c r="H266" s="526">
        <f t="shared" si="24"/>
        <v>190</v>
      </c>
      <c r="I266" s="526">
        <f t="shared" si="24"/>
        <v>191</v>
      </c>
      <c r="J266" s="526">
        <f t="shared" si="24"/>
        <v>192</v>
      </c>
      <c r="K266" s="526">
        <f t="shared" si="24"/>
        <v>193</v>
      </c>
      <c r="L266" s="526">
        <f t="shared" si="24"/>
        <v>194</v>
      </c>
      <c r="M266" s="526">
        <f t="shared" si="24"/>
        <v>195</v>
      </c>
      <c r="N266" s="526">
        <f t="shared" si="24"/>
        <v>196</v>
      </c>
      <c r="O266" s="526">
        <f t="shared" si="24"/>
        <v>197</v>
      </c>
      <c r="P266" s="526">
        <f t="shared" si="24"/>
        <v>198</v>
      </c>
      <c r="Q266" s="526">
        <f t="shared" si="24"/>
        <v>199</v>
      </c>
      <c r="R266" s="526">
        <f t="shared" si="24"/>
        <v>200</v>
      </c>
      <c r="S266" s="526">
        <f t="shared" si="24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6"/>
        <v>208</v>
      </c>
      <c r="D267" s="526">
        <f t="shared" si="24"/>
        <v>209</v>
      </c>
      <c r="E267" s="526">
        <f t="shared" si="24"/>
        <v>210</v>
      </c>
      <c r="F267" s="526">
        <f t="shared" si="24"/>
        <v>211</v>
      </c>
      <c r="G267" s="526">
        <f t="shared" si="24"/>
        <v>212</v>
      </c>
      <c r="H267" s="526">
        <f t="shared" si="24"/>
        <v>213</v>
      </c>
      <c r="I267" s="526">
        <f t="shared" si="24"/>
        <v>214</v>
      </c>
      <c r="J267" s="526">
        <f t="shared" si="24"/>
        <v>215</v>
      </c>
      <c r="K267" s="526">
        <f t="shared" si="24"/>
        <v>216</v>
      </c>
      <c r="L267" s="526">
        <f t="shared" si="24"/>
        <v>217</v>
      </c>
      <c r="M267" s="526">
        <f t="shared" si="24"/>
        <v>218</v>
      </c>
      <c r="N267" s="526">
        <f t="shared" si="24"/>
        <v>219</v>
      </c>
      <c r="O267" s="526">
        <f t="shared" si="24"/>
        <v>220</v>
      </c>
      <c r="P267" s="526">
        <f t="shared" si="24"/>
        <v>221</v>
      </c>
      <c r="Q267" s="526">
        <f t="shared" si="24"/>
        <v>222</v>
      </c>
      <c r="R267" s="526">
        <f t="shared" si="24"/>
        <v>223</v>
      </c>
      <c r="S267" s="526">
        <f t="shared" si="24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6"/>
        <v>231</v>
      </c>
      <c r="D268" s="526">
        <f t="shared" si="24"/>
        <v>232</v>
      </c>
      <c r="E268" s="526">
        <f t="shared" si="24"/>
        <v>233</v>
      </c>
      <c r="F268" s="526">
        <f t="shared" si="24"/>
        <v>234</v>
      </c>
      <c r="G268" s="526">
        <f t="shared" si="24"/>
        <v>235</v>
      </c>
      <c r="H268" s="526">
        <f t="shared" si="24"/>
        <v>236</v>
      </c>
      <c r="I268" s="526">
        <f t="shared" si="24"/>
        <v>237</v>
      </c>
      <c r="J268" s="526">
        <f t="shared" si="24"/>
        <v>238</v>
      </c>
      <c r="K268" s="526">
        <f t="shared" si="24"/>
        <v>239</v>
      </c>
      <c r="L268" s="526">
        <f t="shared" si="24"/>
        <v>240</v>
      </c>
      <c r="M268" s="526">
        <f t="shared" si="24"/>
        <v>241</v>
      </c>
      <c r="N268" s="526">
        <f t="shared" si="24"/>
        <v>242</v>
      </c>
      <c r="O268" s="526">
        <f t="shared" si="24"/>
        <v>243</v>
      </c>
      <c r="P268" s="526">
        <f t="shared" si="24"/>
        <v>244</v>
      </c>
      <c r="Q268" s="526">
        <f t="shared" si="24"/>
        <v>245</v>
      </c>
      <c r="R268" s="526">
        <f t="shared" si="24"/>
        <v>246</v>
      </c>
      <c r="S268" s="526">
        <f t="shared" si="24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6"/>
        <v>254</v>
      </c>
      <c r="D269" s="526">
        <f t="shared" si="24"/>
        <v>255</v>
      </c>
      <c r="E269" s="526">
        <f t="shared" si="24"/>
        <v>256</v>
      </c>
      <c r="F269" s="526">
        <f t="shared" si="24"/>
        <v>257</v>
      </c>
      <c r="G269" s="526">
        <f t="shared" si="24"/>
        <v>258</v>
      </c>
      <c r="H269" s="526">
        <f t="shared" si="24"/>
        <v>259</v>
      </c>
      <c r="I269" s="526">
        <f t="shared" si="24"/>
        <v>260</v>
      </c>
      <c r="J269" s="526">
        <f t="shared" si="24"/>
        <v>261</v>
      </c>
      <c r="K269" s="526">
        <f t="shared" si="24"/>
        <v>262</v>
      </c>
      <c r="L269" s="526">
        <f t="shared" si="24"/>
        <v>263</v>
      </c>
      <c r="M269" s="526">
        <f t="shared" si="24"/>
        <v>264</v>
      </c>
      <c r="N269" s="526">
        <f t="shared" si="24"/>
        <v>265</v>
      </c>
      <c r="O269" s="526">
        <f t="shared" si="24"/>
        <v>266</v>
      </c>
      <c r="P269" s="526">
        <f t="shared" si="24"/>
        <v>267</v>
      </c>
      <c r="Q269" s="526">
        <f t="shared" si="24"/>
        <v>268</v>
      </c>
      <c r="R269" s="526">
        <f t="shared" si="24"/>
        <v>269</v>
      </c>
      <c r="S269" s="526">
        <f t="shared" si="24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6"/>
        <v>277</v>
      </c>
      <c r="D270" s="526">
        <f t="shared" si="24"/>
        <v>278</v>
      </c>
      <c r="E270" s="526">
        <f t="shared" si="24"/>
        <v>279</v>
      </c>
      <c r="F270" s="526">
        <f t="shared" si="24"/>
        <v>280</v>
      </c>
      <c r="G270" s="526">
        <f t="shared" si="24"/>
        <v>281</v>
      </c>
      <c r="H270" s="526">
        <f t="shared" si="24"/>
        <v>282</v>
      </c>
      <c r="I270" s="526">
        <f t="shared" si="24"/>
        <v>283</v>
      </c>
      <c r="J270" s="526">
        <f t="shared" si="24"/>
        <v>284</v>
      </c>
      <c r="K270" s="526">
        <f t="shared" si="24"/>
        <v>285</v>
      </c>
      <c r="L270" s="526">
        <f t="shared" si="24"/>
        <v>286</v>
      </c>
      <c r="M270" s="526">
        <f t="shared" si="24"/>
        <v>287</v>
      </c>
      <c r="N270" s="526">
        <f t="shared" si="24"/>
        <v>288</v>
      </c>
      <c r="O270" s="526">
        <f t="shared" si="24"/>
        <v>289</v>
      </c>
      <c r="P270" s="526">
        <f t="shared" si="24"/>
        <v>290</v>
      </c>
      <c r="Q270" s="526">
        <f t="shared" si="24"/>
        <v>291</v>
      </c>
      <c r="R270" s="526">
        <f t="shared" si="24"/>
        <v>292</v>
      </c>
      <c r="S270" s="526">
        <f t="shared" si="24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6"/>
        <v>300</v>
      </c>
      <c r="D271" s="526">
        <f t="shared" si="24"/>
        <v>301</v>
      </c>
      <c r="E271" s="526">
        <f t="shared" si="24"/>
        <v>302</v>
      </c>
      <c r="F271" s="526">
        <f t="shared" si="24"/>
        <v>303</v>
      </c>
      <c r="G271" s="526">
        <f t="shared" si="24"/>
        <v>304</v>
      </c>
      <c r="H271" s="526">
        <f t="shared" si="24"/>
        <v>305</v>
      </c>
      <c r="I271" s="526">
        <f t="shared" si="24"/>
        <v>306</v>
      </c>
      <c r="J271" s="526">
        <f t="shared" si="24"/>
        <v>307</v>
      </c>
      <c r="K271" s="526">
        <f t="shared" si="24"/>
        <v>308</v>
      </c>
      <c r="L271" s="526">
        <f t="shared" si="24"/>
        <v>309</v>
      </c>
      <c r="M271" s="526">
        <f t="shared" si="24"/>
        <v>310</v>
      </c>
      <c r="N271" s="526">
        <f t="shared" si="24"/>
        <v>311</v>
      </c>
      <c r="O271" s="526">
        <f t="shared" si="24"/>
        <v>312</v>
      </c>
      <c r="P271" s="526">
        <f t="shared" si="24"/>
        <v>313</v>
      </c>
      <c r="Q271" s="526">
        <f t="shared" si="24"/>
        <v>314</v>
      </c>
      <c r="R271" s="526">
        <f t="shared" si="24"/>
        <v>315</v>
      </c>
      <c r="S271" s="526">
        <f t="shared" si="24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6"/>
        <v>323</v>
      </c>
      <c r="D272" s="526">
        <f t="shared" si="24"/>
        <v>324</v>
      </c>
      <c r="E272" s="526">
        <f t="shared" si="24"/>
        <v>325</v>
      </c>
      <c r="F272" s="526">
        <f t="shared" si="24"/>
        <v>326</v>
      </c>
      <c r="G272" s="526">
        <f t="shared" si="24"/>
        <v>327</v>
      </c>
      <c r="H272" s="526">
        <f t="shared" si="24"/>
        <v>328</v>
      </c>
      <c r="I272" s="526">
        <f t="shared" si="24"/>
        <v>329</v>
      </c>
      <c r="J272" s="526">
        <f t="shared" si="24"/>
        <v>330</v>
      </c>
      <c r="K272" s="526">
        <f t="shared" si="24"/>
        <v>331</v>
      </c>
      <c r="L272" s="526">
        <f t="shared" si="24"/>
        <v>332</v>
      </c>
      <c r="M272" s="526">
        <f t="shared" si="24"/>
        <v>333</v>
      </c>
      <c r="N272" s="526">
        <f t="shared" si="24"/>
        <v>334</v>
      </c>
      <c r="O272" s="526">
        <f t="shared" si="24"/>
        <v>335</v>
      </c>
      <c r="P272" s="526">
        <f t="shared" si="24"/>
        <v>336</v>
      </c>
      <c r="Q272" s="526">
        <f t="shared" si="24"/>
        <v>337</v>
      </c>
      <c r="R272" s="526">
        <f t="shared" si="24"/>
        <v>338</v>
      </c>
      <c r="S272" s="526">
        <f t="shared" si="24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6"/>
        <v>346</v>
      </c>
      <c r="D273" s="526">
        <f t="shared" si="24"/>
        <v>347</v>
      </c>
      <c r="E273" s="526">
        <f t="shared" si="24"/>
        <v>348</v>
      </c>
      <c r="F273" s="526">
        <f t="shared" si="24"/>
        <v>349</v>
      </c>
      <c r="G273" s="526">
        <f t="shared" si="24"/>
        <v>350</v>
      </c>
      <c r="H273" s="526">
        <f t="shared" si="24"/>
        <v>351</v>
      </c>
      <c r="I273" s="526">
        <f t="shared" si="24"/>
        <v>352</v>
      </c>
      <c r="J273" s="526">
        <f t="shared" si="24"/>
        <v>353</v>
      </c>
      <c r="K273" s="526">
        <f t="shared" si="24"/>
        <v>354</v>
      </c>
      <c r="L273" s="526">
        <f t="shared" si="24"/>
        <v>355</v>
      </c>
      <c r="M273" s="526">
        <f t="shared" si="24"/>
        <v>356</v>
      </c>
      <c r="N273" s="526">
        <f t="shared" si="24"/>
        <v>357</v>
      </c>
      <c r="O273" s="526">
        <f t="shared" si="24"/>
        <v>358</v>
      </c>
      <c r="P273" s="526">
        <f t="shared" si="24"/>
        <v>359</v>
      </c>
      <c r="Q273" s="526">
        <f t="shared" si="24"/>
        <v>360</v>
      </c>
      <c r="R273" s="526">
        <f t="shared" si="24"/>
        <v>361</v>
      </c>
      <c r="S273" s="526">
        <f t="shared" ref="D273:S286" si="27">R273+1</f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6"/>
        <v>369</v>
      </c>
      <c r="D274" s="526">
        <f t="shared" si="27"/>
        <v>370</v>
      </c>
      <c r="E274" s="526">
        <f t="shared" si="27"/>
        <v>371</v>
      </c>
      <c r="F274" s="526">
        <f t="shared" si="27"/>
        <v>372</v>
      </c>
      <c r="G274" s="526">
        <f t="shared" si="27"/>
        <v>373</v>
      </c>
      <c r="H274" s="526">
        <f t="shared" si="27"/>
        <v>374</v>
      </c>
      <c r="I274" s="526">
        <f t="shared" si="27"/>
        <v>375</v>
      </c>
      <c r="J274" s="526">
        <f t="shared" si="27"/>
        <v>376</v>
      </c>
      <c r="K274" s="526">
        <f t="shared" si="27"/>
        <v>377</v>
      </c>
      <c r="L274" s="526">
        <f t="shared" si="27"/>
        <v>378</v>
      </c>
      <c r="M274" s="526">
        <f t="shared" si="27"/>
        <v>379</v>
      </c>
      <c r="N274" s="526">
        <f t="shared" si="27"/>
        <v>380</v>
      </c>
      <c r="O274" s="526">
        <f t="shared" si="27"/>
        <v>381</v>
      </c>
      <c r="P274" s="526">
        <f t="shared" si="27"/>
        <v>382</v>
      </c>
      <c r="Q274" s="526">
        <f t="shared" si="27"/>
        <v>383</v>
      </c>
      <c r="R274" s="526">
        <f t="shared" si="27"/>
        <v>384</v>
      </c>
      <c r="S274" s="526">
        <f t="shared" si="27"/>
        <v>385</v>
      </c>
      <c r="T274" s="526">
        <f t="shared" ref="S274:Y286" si="28">S274+1</f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6"/>
        <v>392</v>
      </c>
      <c r="D275" s="526">
        <f t="shared" si="27"/>
        <v>393</v>
      </c>
      <c r="E275" s="526">
        <f t="shared" si="27"/>
        <v>394</v>
      </c>
      <c r="F275" s="526">
        <f t="shared" si="27"/>
        <v>395</v>
      </c>
      <c r="G275" s="526">
        <f t="shared" si="27"/>
        <v>396</v>
      </c>
      <c r="H275" s="526">
        <f t="shared" si="27"/>
        <v>397</v>
      </c>
      <c r="I275" s="526">
        <f t="shared" si="27"/>
        <v>398</v>
      </c>
      <c r="J275" s="526">
        <f t="shared" si="27"/>
        <v>399</v>
      </c>
      <c r="K275" s="526">
        <f t="shared" si="27"/>
        <v>400</v>
      </c>
      <c r="L275" s="526">
        <f t="shared" si="27"/>
        <v>401</v>
      </c>
      <c r="M275" s="526">
        <f t="shared" si="27"/>
        <v>402</v>
      </c>
      <c r="N275" s="526">
        <f t="shared" si="27"/>
        <v>403</v>
      </c>
      <c r="O275" s="526">
        <f t="shared" si="27"/>
        <v>404</v>
      </c>
      <c r="P275" s="526">
        <f t="shared" si="27"/>
        <v>405</v>
      </c>
      <c r="Q275" s="526">
        <f t="shared" si="27"/>
        <v>406</v>
      </c>
      <c r="R275" s="526">
        <f t="shared" si="27"/>
        <v>407</v>
      </c>
      <c r="S275" s="526">
        <f t="shared" si="27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6"/>
        <v>415</v>
      </c>
      <c r="D276" s="526">
        <f t="shared" si="27"/>
        <v>416</v>
      </c>
      <c r="E276" s="526">
        <f t="shared" si="27"/>
        <v>417</v>
      </c>
      <c r="F276" s="526">
        <f t="shared" si="27"/>
        <v>418</v>
      </c>
      <c r="G276" s="526">
        <f t="shared" si="27"/>
        <v>419</v>
      </c>
      <c r="H276" s="526">
        <f t="shared" si="27"/>
        <v>420</v>
      </c>
      <c r="I276" s="526">
        <f t="shared" si="27"/>
        <v>421</v>
      </c>
      <c r="J276" s="526">
        <f t="shared" si="27"/>
        <v>422</v>
      </c>
      <c r="K276" s="526">
        <f t="shared" si="27"/>
        <v>423</v>
      </c>
      <c r="L276" s="526">
        <f t="shared" si="27"/>
        <v>424</v>
      </c>
      <c r="M276" s="526">
        <f t="shared" si="27"/>
        <v>425</v>
      </c>
      <c r="N276" s="526">
        <f t="shared" si="27"/>
        <v>426</v>
      </c>
      <c r="O276" s="526">
        <f t="shared" si="27"/>
        <v>427</v>
      </c>
      <c r="P276" s="526">
        <f t="shared" si="27"/>
        <v>428</v>
      </c>
      <c r="Q276" s="526">
        <f t="shared" si="27"/>
        <v>429</v>
      </c>
      <c r="R276" s="526">
        <f t="shared" si="27"/>
        <v>430</v>
      </c>
      <c r="S276" s="526">
        <f t="shared" si="27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6"/>
        <v>438</v>
      </c>
      <c r="D277" s="526">
        <f t="shared" si="27"/>
        <v>439</v>
      </c>
      <c r="E277" s="526">
        <f t="shared" si="27"/>
        <v>440</v>
      </c>
      <c r="F277" s="526">
        <f t="shared" si="27"/>
        <v>441</v>
      </c>
      <c r="G277" s="526">
        <f t="shared" si="27"/>
        <v>442</v>
      </c>
      <c r="H277" s="526">
        <f t="shared" si="27"/>
        <v>443</v>
      </c>
      <c r="I277" s="526">
        <f t="shared" si="27"/>
        <v>444</v>
      </c>
      <c r="J277" s="526">
        <f t="shared" si="27"/>
        <v>445</v>
      </c>
      <c r="K277" s="526">
        <f t="shared" si="27"/>
        <v>446</v>
      </c>
      <c r="L277" s="526">
        <f t="shared" si="27"/>
        <v>447</v>
      </c>
      <c r="M277" s="526">
        <f t="shared" si="27"/>
        <v>448</v>
      </c>
      <c r="N277" s="526">
        <f t="shared" si="27"/>
        <v>449</v>
      </c>
      <c r="O277" s="526">
        <f t="shared" si="27"/>
        <v>450</v>
      </c>
      <c r="P277" s="526">
        <f t="shared" si="27"/>
        <v>451</v>
      </c>
      <c r="Q277" s="526">
        <f t="shared" si="27"/>
        <v>452</v>
      </c>
      <c r="R277" s="526">
        <f t="shared" si="27"/>
        <v>453</v>
      </c>
      <c r="S277" s="526">
        <f t="shared" si="27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6"/>
        <v>461</v>
      </c>
      <c r="D278" s="526">
        <f t="shared" si="27"/>
        <v>462</v>
      </c>
      <c r="E278" s="526">
        <f t="shared" si="27"/>
        <v>463</v>
      </c>
      <c r="F278" s="526">
        <f t="shared" si="27"/>
        <v>464</v>
      </c>
      <c r="G278" s="526">
        <f t="shared" si="27"/>
        <v>465</v>
      </c>
      <c r="H278" s="526">
        <f t="shared" si="27"/>
        <v>466</v>
      </c>
      <c r="I278" s="526">
        <f t="shared" si="27"/>
        <v>467</v>
      </c>
      <c r="J278" s="526">
        <f t="shared" si="27"/>
        <v>468</v>
      </c>
      <c r="K278" s="526">
        <f t="shared" si="27"/>
        <v>469</v>
      </c>
      <c r="L278" s="526">
        <f t="shared" si="27"/>
        <v>470</v>
      </c>
      <c r="M278" s="526">
        <f t="shared" si="27"/>
        <v>471</v>
      </c>
      <c r="N278" s="526">
        <f t="shared" si="27"/>
        <v>472</v>
      </c>
      <c r="O278" s="526">
        <f t="shared" si="27"/>
        <v>473</v>
      </c>
      <c r="P278" s="526">
        <f t="shared" si="27"/>
        <v>474</v>
      </c>
      <c r="Q278" s="526">
        <f t="shared" si="27"/>
        <v>475</v>
      </c>
      <c r="R278" s="526">
        <f t="shared" si="27"/>
        <v>476</v>
      </c>
      <c r="S278" s="526">
        <f t="shared" si="27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6"/>
        <v>484</v>
      </c>
      <c r="D279" s="526">
        <f t="shared" si="27"/>
        <v>485</v>
      </c>
      <c r="E279" s="526">
        <f t="shared" si="27"/>
        <v>486</v>
      </c>
      <c r="F279" s="526">
        <f t="shared" si="27"/>
        <v>487</v>
      </c>
      <c r="G279" s="526">
        <f t="shared" si="27"/>
        <v>488</v>
      </c>
      <c r="H279" s="526">
        <f t="shared" si="27"/>
        <v>489</v>
      </c>
      <c r="I279" s="526">
        <f t="shared" si="27"/>
        <v>490</v>
      </c>
      <c r="J279" s="526">
        <f t="shared" si="27"/>
        <v>491</v>
      </c>
      <c r="K279" s="526">
        <f t="shared" si="27"/>
        <v>492</v>
      </c>
      <c r="L279" s="526">
        <f t="shared" si="27"/>
        <v>493</v>
      </c>
      <c r="M279" s="526">
        <f t="shared" si="27"/>
        <v>494</v>
      </c>
      <c r="N279" s="526">
        <f t="shared" si="27"/>
        <v>495</v>
      </c>
      <c r="O279" s="526">
        <f t="shared" si="27"/>
        <v>496</v>
      </c>
      <c r="P279" s="526">
        <f t="shared" si="27"/>
        <v>497</v>
      </c>
      <c r="Q279" s="526">
        <f t="shared" si="27"/>
        <v>498</v>
      </c>
      <c r="R279" s="526">
        <f t="shared" si="27"/>
        <v>499</v>
      </c>
      <c r="S279" s="526">
        <f t="shared" si="27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6"/>
        <v>507</v>
      </c>
      <c r="D280" s="526">
        <f t="shared" si="27"/>
        <v>508</v>
      </c>
      <c r="E280" s="526">
        <f t="shared" si="27"/>
        <v>509</v>
      </c>
      <c r="F280" s="526">
        <f t="shared" si="27"/>
        <v>510</v>
      </c>
      <c r="G280" s="526">
        <f t="shared" si="27"/>
        <v>511</v>
      </c>
      <c r="H280" s="526">
        <f t="shared" si="27"/>
        <v>512</v>
      </c>
      <c r="I280" s="526">
        <f t="shared" si="27"/>
        <v>513</v>
      </c>
      <c r="J280" s="526">
        <f t="shared" si="27"/>
        <v>514</v>
      </c>
      <c r="K280" s="526">
        <f t="shared" si="27"/>
        <v>515</v>
      </c>
      <c r="L280" s="526">
        <f t="shared" si="27"/>
        <v>516</v>
      </c>
      <c r="M280" s="526">
        <f t="shared" si="27"/>
        <v>517</v>
      </c>
      <c r="N280" s="526">
        <f t="shared" si="27"/>
        <v>518</v>
      </c>
      <c r="O280" s="526">
        <f t="shared" si="27"/>
        <v>519</v>
      </c>
      <c r="P280" s="526">
        <f t="shared" si="27"/>
        <v>520</v>
      </c>
      <c r="Q280" s="526">
        <f t="shared" si="27"/>
        <v>521</v>
      </c>
      <c r="R280" s="526">
        <f t="shared" si="27"/>
        <v>522</v>
      </c>
      <c r="S280" s="526">
        <f t="shared" si="27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6"/>
        <v>530</v>
      </c>
      <c r="D281" s="526">
        <f t="shared" si="27"/>
        <v>531</v>
      </c>
      <c r="E281" s="526">
        <f t="shared" si="27"/>
        <v>532</v>
      </c>
      <c r="F281" s="526">
        <f t="shared" si="27"/>
        <v>533</v>
      </c>
      <c r="G281" s="526">
        <f t="shared" si="27"/>
        <v>534</v>
      </c>
      <c r="H281" s="526">
        <f t="shared" si="27"/>
        <v>535</v>
      </c>
      <c r="I281" s="526">
        <f t="shared" si="27"/>
        <v>536</v>
      </c>
      <c r="J281" s="526">
        <f t="shared" si="27"/>
        <v>537</v>
      </c>
      <c r="K281" s="526">
        <f t="shared" si="27"/>
        <v>538</v>
      </c>
      <c r="L281" s="526">
        <f t="shared" si="27"/>
        <v>539</v>
      </c>
      <c r="M281" s="526">
        <f t="shared" si="27"/>
        <v>540</v>
      </c>
      <c r="N281" s="526">
        <f t="shared" si="27"/>
        <v>541</v>
      </c>
      <c r="O281" s="526">
        <f t="shared" si="27"/>
        <v>542</v>
      </c>
      <c r="P281" s="526">
        <f t="shared" si="27"/>
        <v>543</v>
      </c>
      <c r="Q281" s="526">
        <f t="shared" si="27"/>
        <v>544</v>
      </c>
      <c r="R281" s="526">
        <f t="shared" si="27"/>
        <v>545</v>
      </c>
      <c r="S281" s="526">
        <f t="shared" si="27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6"/>
        <v>553</v>
      </c>
      <c r="D282" s="526">
        <f t="shared" si="27"/>
        <v>554</v>
      </c>
      <c r="E282" s="526">
        <f t="shared" si="27"/>
        <v>555</v>
      </c>
      <c r="F282" s="526">
        <f t="shared" si="27"/>
        <v>556</v>
      </c>
      <c r="G282" s="526">
        <f t="shared" si="27"/>
        <v>557</v>
      </c>
      <c r="H282" s="526">
        <f t="shared" si="27"/>
        <v>558</v>
      </c>
      <c r="I282" s="526">
        <f t="shared" si="27"/>
        <v>559</v>
      </c>
      <c r="J282" s="526">
        <f t="shared" si="27"/>
        <v>560</v>
      </c>
      <c r="K282" s="526">
        <f t="shared" si="27"/>
        <v>561</v>
      </c>
      <c r="L282" s="526">
        <f t="shared" si="27"/>
        <v>562</v>
      </c>
      <c r="M282" s="526">
        <f t="shared" si="27"/>
        <v>563</v>
      </c>
      <c r="N282" s="526">
        <f t="shared" si="27"/>
        <v>564</v>
      </c>
      <c r="O282" s="526">
        <f t="shared" si="27"/>
        <v>565</v>
      </c>
      <c r="P282" s="526">
        <f t="shared" si="27"/>
        <v>566</v>
      </c>
      <c r="Q282" s="526">
        <f t="shared" si="27"/>
        <v>567</v>
      </c>
      <c r="R282" s="526">
        <f t="shared" si="27"/>
        <v>568</v>
      </c>
      <c r="S282" s="526">
        <f t="shared" si="27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6"/>
        <v>576</v>
      </c>
      <c r="D283" s="526">
        <f t="shared" si="27"/>
        <v>577</v>
      </c>
      <c r="E283" s="526">
        <f t="shared" si="27"/>
        <v>578</v>
      </c>
      <c r="F283" s="526">
        <f t="shared" si="27"/>
        <v>579</v>
      </c>
      <c r="G283" s="526">
        <f t="shared" si="27"/>
        <v>580</v>
      </c>
      <c r="H283" s="526">
        <f t="shared" si="27"/>
        <v>581</v>
      </c>
      <c r="I283" s="526">
        <f t="shared" si="27"/>
        <v>582</v>
      </c>
      <c r="J283" s="526">
        <f t="shared" si="27"/>
        <v>583</v>
      </c>
      <c r="K283" s="526">
        <f t="shared" si="27"/>
        <v>584</v>
      </c>
      <c r="L283" s="526">
        <f t="shared" si="27"/>
        <v>585</v>
      </c>
      <c r="M283" s="526">
        <f t="shared" si="27"/>
        <v>586</v>
      </c>
      <c r="N283" s="526">
        <f t="shared" si="27"/>
        <v>587</v>
      </c>
      <c r="O283" s="526">
        <f t="shared" si="27"/>
        <v>588</v>
      </c>
      <c r="P283" s="526">
        <f t="shared" si="27"/>
        <v>589</v>
      </c>
      <c r="Q283" s="526">
        <f t="shared" si="27"/>
        <v>590</v>
      </c>
      <c r="R283" s="526">
        <f t="shared" si="27"/>
        <v>591</v>
      </c>
      <c r="S283" s="526">
        <f t="shared" si="27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6"/>
        <v>599</v>
      </c>
      <c r="D284" s="526">
        <f t="shared" si="27"/>
        <v>600</v>
      </c>
      <c r="E284" s="526">
        <f t="shared" si="27"/>
        <v>601</v>
      </c>
      <c r="F284" s="526">
        <f t="shared" si="27"/>
        <v>602</v>
      </c>
      <c r="G284" s="526">
        <f t="shared" si="27"/>
        <v>603</v>
      </c>
      <c r="H284" s="526">
        <f t="shared" si="27"/>
        <v>604</v>
      </c>
      <c r="I284" s="526">
        <f t="shared" si="27"/>
        <v>605</v>
      </c>
      <c r="J284" s="526">
        <f t="shared" si="27"/>
        <v>606</v>
      </c>
      <c r="K284" s="526">
        <f t="shared" si="27"/>
        <v>607</v>
      </c>
      <c r="L284" s="526">
        <f t="shared" si="27"/>
        <v>608</v>
      </c>
      <c r="M284" s="526">
        <f t="shared" si="27"/>
        <v>609</v>
      </c>
      <c r="N284" s="526">
        <f t="shared" si="27"/>
        <v>610</v>
      </c>
      <c r="O284" s="526">
        <f t="shared" si="27"/>
        <v>611</v>
      </c>
      <c r="P284" s="526">
        <f t="shared" si="27"/>
        <v>612</v>
      </c>
      <c r="Q284" s="526">
        <f t="shared" si="27"/>
        <v>613</v>
      </c>
      <c r="R284" s="526">
        <f t="shared" si="27"/>
        <v>614</v>
      </c>
      <c r="S284" s="526">
        <f t="shared" si="27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6"/>
        <v>622</v>
      </c>
      <c r="D285" s="526">
        <f t="shared" si="27"/>
        <v>623</v>
      </c>
      <c r="E285" s="526">
        <f t="shared" si="27"/>
        <v>624</v>
      </c>
      <c r="F285" s="526">
        <f t="shared" si="27"/>
        <v>625</v>
      </c>
      <c r="G285" s="526">
        <f t="shared" si="27"/>
        <v>626</v>
      </c>
      <c r="H285" s="526">
        <f t="shared" si="27"/>
        <v>627</v>
      </c>
      <c r="I285" s="526">
        <f t="shared" si="27"/>
        <v>628</v>
      </c>
      <c r="J285" s="526">
        <f t="shared" si="27"/>
        <v>629</v>
      </c>
      <c r="K285" s="526">
        <f t="shared" si="27"/>
        <v>630</v>
      </c>
      <c r="L285" s="526">
        <f t="shared" si="27"/>
        <v>631</v>
      </c>
      <c r="M285" s="526">
        <f t="shared" si="27"/>
        <v>632</v>
      </c>
      <c r="N285" s="526">
        <f t="shared" si="27"/>
        <v>633</v>
      </c>
      <c r="O285" s="526">
        <f t="shared" si="27"/>
        <v>634</v>
      </c>
      <c r="P285" s="526">
        <f t="shared" si="27"/>
        <v>635</v>
      </c>
      <c r="Q285" s="526">
        <f t="shared" si="27"/>
        <v>636</v>
      </c>
      <c r="R285" s="526">
        <f t="shared" si="27"/>
        <v>637</v>
      </c>
      <c r="S285" s="526">
        <f t="shared" si="27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6"/>
        <v>645</v>
      </c>
      <c r="D286" s="526">
        <f t="shared" si="27"/>
        <v>646</v>
      </c>
      <c r="E286" s="526">
        <f t="shared" si="27"/>
        <v>647</v>
      </c>
      <c r="F286" s="526">
        <f t="shared" si="27"/>
        <v>648</v>
      </c>
      <c r="G286" s="526">
        <f t="shared" si="27"/>
        <v>649</v>
      </c>
      <c r="H286" s="526">
        <f t="shared" si="27"/>
        <v>650</v>
      </c>
      <c r="I286" s="526">
        <f t="shared" si="27"/>
        <v>651</v>
      </c>
      <c r="J286" s="526">
        <f t="shared" si="27"/>
        <v>652</v>
      </c>
      <c r="K286" s="526">
        <f t="shared" si="27"/>
        <v>653</v>
      </c>
      <c r="L286" s="526">
        <f t="shared" si="27"/>
        <v>654</v>
      </c>
      <c r="M286" s="526">
        <f t="shared" si="27"/>
        <v>655</v>
      </c>
      <c r="N286" s="526">
        <f t="shared" si="27"/>
        <v>656</v>
      </c>
      <c r="O286" s="526">
        <f t="shared" si="27"/>
        <v>657</v>
      </c>
      <c r="P286" s="526">
        <f t="shared" si="27"/>
        <v>658</v>
      </c>
      <c r="Q286" s="526">
        <f t="shared" si="27"/>
        <v>659</v>
      </c>
      <c r="R286" s="526">
        <f t="shared" si="27"/>
        <v>660</v>
      </c>
      <c r="S286" s="526">
        <f t="shared" si="28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43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Waitaki</v>
      </c>
      <c r="C6" s="108"/>
      <c r="D6" s="109">
        <f>VLOOKUP($B$6,$B$258:$J$286,9,FALSE)</f>
        <v>330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11.621258800000001</v>
      </c>
      <c r="E7" s="407">
        <f>D7/('Industry calcs'!D4/1000)*100</f>
        <v>0.56377073752644025</v>
      </c>
    </row>
    <row r="8" spans="2:5">
      <c r="B8" s="111" t="s">
        <v>250</v>
      </c>
      <c r="C8" s="114"/>
      <c r="D8" s="406">
        <f>VLOOKUP(D6,'AV (2011)'!A8:F214,'AV (2011)'!F214,FALSE)/1000</f>
        <v>74.560563999999999</v>
      </c>
      <c r="E8" s="407">
        <f>D8/('Industry calcs'!D5/1000)*100</f>
        <v>0.83074532652818933</v>
      </c>
    </row>
    <row r="9" spans="2:5">
      <c r="B9" s="111" t="s">
        <v>230</v>
      </c>
      <c r="C9" s="114"/>
      <c r="D9" s="406">
        <f>VLOOKUP($D$6,'FS (2011)'!$A$13:$AH$244,'FS (2011)'!S245,FALSE)/1000</f>
        <v>2.9889999999999999</v>
      </c>
      <c r="E9" s="407">
        <f>D9/('Industry calcs'!D6/1000)*100</f>
        <v>0.65835922677182546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4.7881986999999997</v>
      </c>
      <c r="E10" s="407">
        <f>D10/('Industry calcs'!D7/1000)*100</f>
        <v>0.81826035085649995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222.94704999999999</v>
      </c>
      <c r="E11" s="407">
        <f>D11/'Industry calcs'!D8*100</f>
        <v>0.72044485470092723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48</v>
      </c>
      <c r="E12" s="407">
        <f>D12/'Industry calcs'!D9*100</f>
        <v>0.76760112988967322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1730</v>
      </c>
      <c r="E13" s="407">
        <f>D13/'Industry calcs'!D10*100</f>
        <v>1.1566505905713236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12318</v>
      </c>
      <c r="E14" s="407">
        <f>D14/'Industry calcs'!D11*100</f>
        <v>0.61324007119120805</v>
      </c>
    </row>
    <row r="15" spans="2:5">
      <c r="B15" s="115" t="s">
        <v>195</v>
      </c>
      <c r="C15" s="116" t="s">
        <v>239</v>
      </c>
      <c r="D15" s="408">
        <f>D14/D13</f>
        <v>7.1202312138728328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Waitaki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21.305925836160927</v>
      </c>
      <c r="D20" s="409">
        <f>VLOOKUP($B$2,'MED price allocation'!$B$16:$F$44,3,FALSE)</f>
        <v>22.280105017502908</v>
      </c>
      <c r="E20" s="409">
        <f>VLOOKUP($B$2,'MED price allocation'!$B$16:$F$44,4,FALSE)</f>
        <v>22.549374174772971</v>
      </c>
      <c r="F20" s="503">
        <f>VLOOKUP($B$2,'MED price allocation'!$B$16:$F$44,5,FALSE)</f>
        <v>23.11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5.3581506087650759</v>
      </c>
      <c r="D21" s="410">
        <f>VLOOKUP($B$2,'MED price allocation'!$B$47:$F$75,3,FALSE)</f>
        <v>5.6057107557141865</v>
      </c>
      <c r="E21" s="410">
        <f>VLOOKUP($B$2,'MED price allocation'!$B$47:$F$75,4,FALSE)</f>
        <v>5.9907520681199626</v>
      </c>
      <c r="F21" s="504">
        <f>VLOOKUP($B$2,'MED price allocation'!$B$47:$F$75,5,FALSE)</f>
        <v>6.16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7.1801374354880094</v>
      </c>
      <c r="D22" s="409">
        <f>VLOOKUP($B$2,'MED price allocation'!$B$78:$F$106,3,FALSE)</f>
        <v>7.422376278399339</v>
      </c>
      <c r="E22" s="409">
        <f>VLOOKUP($B$2,'MED price allocation'!$B$78:$F$106,4,FALSE)</f>
        <v>7.8857858855864817</v>
      </c>
      <c r="F22" s="503">
        <f>VLOOKUP($B$2,'MED price allocation'!$B$78:$F$106,5,FALSE)</f>
        <v>8.6999999999999993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1.8219868267229333</v>
      </c>
      <c r="D23" s="411">
        <f>VLOOKUP($B$2,'MED price allocation'!$B$109:$F$137,3,FALSE)</f>
        <v>1.8166655226851529</v>
      </c>
      <c r="E23" s="411">
        <f>VLOOKUP($B$2,'MED price allocation'!$B$109:$F$137,4,FALSE)</f>
        <v>1.8950338174665191</v>
      </c>
      <c r="F23" s="505">
        <f>VLOOKUP($B$2,'MED price allocation'!$B$109:$F$137,5,FALSE)</f>
        <v>2.54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Waitaki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1704.4740668928744</v>
      </c>
      <c r="D26" s="412">
        <f>(D20*8000)/100</f>
        <v>1782.4084014002326</v>
      </c>
      <c r="E26" s="412">
        <f>(E20*8000)/100</f>
        <v>1803.9499339818378</v>
      </c>
      <c r="F26" s="506">
        <f>(F20*8000)/100</f>
        <v>1848.8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574.41099483904077</v>
      </c>
      <c r="D27" s="412">
        <f>(D22*8000)/100</f>
        <v>593.79010227194715</v>
      </c>
      <c r="E27" s="412">
        <f>(E22*8000)/100</f>
        <v>630.86287084691855</v>
      </c>
      <c r="F27" s="506">
        <f>(F22*8000)/100</f>
        <v>696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428.65204870120607</v>
      </c>
      <c r="D28" s="412">
        <f>(D21*8000)/100</f>
        <v>448.45686045713489</v>
      </c>
      <c r="E28" s="412">
        <f>(E21*8000)/100</f>
        <v>479.26016544959703</v>
      </c>
      <c r="F28" s="506">
        <f>(F21*8000)/100</f>
        <v>492.8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145.75894613783467</v>
      </c>
      <c r="D29" s="413">
        <f>(D23*8000)/100</f>
        <v>145.33324181481223</v>
      </c>
      <c r="E29" s="413">
        <f>(E23*8000)/100</f>
        <v>151.60270539732153</v>
      </c>
      <c r="F29" s="507">
        <f>(F23*8000)/100</f>
        <v>203.2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Waitaki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1784.9081005687362</v>
      </c>
      <c r="D32" s="122"/>
    </row>
    <row r="33" spans="2:13">
      <c r="B33" s="120" t="s">
        <v>241</v>
      </c>
      <c r="C33" s="412">
        <f>AVERAGE(C27:F27)</f>
        <v>623.76599198947667</v>
      </c>
      <c r="D33" s="414">
        <f>C33/$C$32</f>
        <v>0.34946672704926507</v>
      </c>
    </row>
    <row r="34" spans="2:13">
      <c r="B34" s="120" t="s">
        <v>222</v>
      </c>
      <c r="C34" s="412">
        <f>AVERAGE(C28:F28)</f>
        <v>462.2922686519845</v>
      </c>
      <c r="D34" s="414">
        <f>C34/$C$32</f>
        <v>0.25900059980941398</v>
      </c>
    </row>
    <row r="35" spans="2:13">
      <c r="B35" s="124" t="s">
        <v>223</v>
      </c>
      <c r="C35" s="413">
        <f>AVERAGE(C29:F29)</f>
        <v>161.47372333749212</v>
      </c>
      <c r="D35" s="415">
        <f>C35/$C$32</f>
        <v>9.0466127239851035E-2</v>
      </c>
    </row>
    <row r="38" spans="2:13">
      <c r="B38" s="517" t="s">
        <v>227</v>
      </c>
      <c r="C38" s="518">
        <f>VLOOKUP($B$2,$B$258:$J$286,6,FALSE)</f>
        <v>327</v>
      </c>
      <c r="D38" s="518">
        <f>VLOOKUP($B$2,$B$258:$J$286,7,FALSE)</f>
        <v>328</v>
      </c>
      <c r="E38" s="518">
        <f>VLOOKUP($B$2,$B$258:$J$286,8,FALSE)</f>
        <v>329</v>
      </c>
      <c r="F38" s="519">
        <f>VLOOKUP($B$2,$B$258:$J$286,9,FALSE)</f>
        <v>330</v>
      </c>
    </row>
    <row r="39" spans="2:13">
      <c r="B39" s="137" t="str">
        <f>B2</f>
        <v>Waitaki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10840.754776881184</v>
      </c>
      <c r="D40" s="418">
        <f>VLOOKUP($D$38,'FS (2011)'!$A$13:$AH$244,'FS (2011)'!E245,FALSE)</f>
        <v>11451.221360422813</v>
      </c>
      <c r="E40" s="418">
        <f>VLOOKUP($E$38,'FS (2011)'!$A$13:$AH$244,'FS (2011)'!E245,FALSE)</f>
        <v>12656.991996982026</v>
      </c>
      <c r="F40" s="419">
        <f>VLOOKUP($F$38,'FS (2011)'!$A$13:$AH$244,'FS (2011)'!E245,FALSE)</f>
        <v>12501</v>
      </c>
    </row>
    <row r="41" spans="2:13" ht="30">
      <c r="B41" s="120" t="s">
        <v>198</v>
      </c>
      <c r="C41" s="417">
        <f>VLOOKUP($C$38,'FS (2011)'!$A$13:$AH$244,'FS (2011)'!$F$245,FALSE)</f>
        <v>2049.4656553847908</v>
      </c>
      <c r="D41" s="418">
        <f>VLOOKUP($D$38,'FS (2011)'!$A$13:$AH$244,'FS (2011)'!$F$245,FALSE)</f>
        <v>1809.3988605944123</v>
      </c>
      <c r="E41" s="418">
        <f>VLOOKUP($E$38,'FS (2011)'!$A$13:$AH$244,'FS (2011)'!$F$245,FALSE)</f>
        <v>1701.4550941769285</v>
      </c>
      <c r="F41" s="419">
        <f>VLOOKUP($F$38,'FS (2011)'!$A$13:$AH$244,'FS (2011)'!$F$245,FALSE)</f>
        <v>1485.1207999999999</v>
      </c>
    </row>
    <row r="42" spans="2:13">
      <c r="B42" s="120" t="s">
        <v>13</v>
      </c>
      <c r="C42" s="417">
        <f>VLOOKUP($C$38,'FS (2011)'!$A$13:$AH$244,'FS (2011)'!$H$245,FALSE)</f>
        <v>11.859085854409626</v>
      </c>
      <c r="D42" s="418">
        <f>VLOOKUP($D$38,'FS (2011)'!$A$13:$AH$244,'FS (2011)'!$H$245,FALSE)</f>
        <v>7.2666620907406116</v>
      </c>
      <c r="E42" s="418">
        <f>VLOOKUP($E$38,'FS (2011)'!$A$13:$AH$244,'FS (2011)'!$H$245,FALSE)</f>
        <v>5.0941769286734386</v>
      </c>
      <c r="F42" s="419">
        <f>VLOOKUP($F$38,'FS (2011)'!$A$13:$AH$244,'FS (2011)'!$H$245,FALSE)</f>
        <v>2.1379999999999999</v>
      </c>
    </row>
    <row r="43" spans="2:13">
      <c r="B43" s="124" t="s">
        <v>5</v>
      </c>
      <c r="C43" s="420">
        <f>SUM(C40:C42)</f>
        <v>12902.079518120385</v>
      </c>
      <c r="D43" s="420">
        <f>SUM(D40:D42)</f>
        <v>13267.886883107965</v>
      </c>
      <c r="E43" s="420">
        <f>SUM(E40:E42)</f>
        <v>14363.541268087627</v>
      </c>
      <c r="F43" s="421">
        <f>SUM(F40:F42)</f>
        <v>13988.258800000001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Waitaki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105.6312184539355</v>
      </c>
      <c r="E46" s="422">
        <f>IF(ISERROR(E40/$C40),"",(E40/$C40))*100</f>
        <v>116.75378935767573</v>
      </c>
      <c r="F46" s="423">
        <f>IF(ISERROR(F40/$C40),"",(F40/$C40))*100</f>
        <v>115.31484898689368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88.28637141785596</v>
      </c>
      <c r="E47" s="422">
        <f t="shared" si="0"/>
        <v>83.019448982055636</v>
      </c>
      <c r="F47" s="423">
        <f t="shared" si="0"/>
        <v>72.463805192244891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61.275060995014307</v>
      </c>
      <c r="E48" s="422">
        <f t="shared" si="0"/>
        <v>42.955898888102276</v>
      </c>
      <c r="F48" s="423">
        <f t="shared" si="0"/>
        <v>18.02837104181193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102.83525895553365</v>
      </c>
      <c r="E49" s="424">
        <f t="shared" si="0"/>
        <v>111.32733485260795</v>
      </c>
      <c r="F49" s="416">
        <f t="shared" si="0"/>
        <v>108.41863732396104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Waitaki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4313.4729548629921</v>
      </c>
      <c r="D54" s="426">
        <f>VLOOKUP($D$38,'MP (2011)'!$A$14:$AR$245,'MP (2011)'!$Z$246,FALSE)</f>
        <v>3274.1503191708412</v>
      </c>
      <c r="E54" s="426">
        <f>VLOOKUP($E$38,'MP (2011)'!$A$14:$AR$245,'MP (2011)'!$Z$246,FALSE)</f>
        <v>4832.3362345396235</v>
      </c>
      <c r="F54" s="427">
        <f>VLOOKUP($F$38,'MP (2011)'!$A$14:$AR$245,'MP (2011)'!$Z$246,FALSE)</f>
        <v>4236</v>
      </c>
    </row>
    <row r="55" spans="2:23">
      <c r="B55" s="111" t="s">
        <v>180</v>
      </c>
      <c r="C55" s="425">
        <f>VLOOKUP($C$38,'MP (2011)'!$A$14:$AR$245,'MP (2011)'!$AD$246,FALSE)</f>
        <v>4182.7240536910831</v>
      </c>
      <c r="D55" s="426">
        <f>VLOOKUP($D$38,'MP (2011)'!$A$14:$AR$245,'MP (2011)'!$AD$246,FALSE)</f>
        <v>5694.9868899718567</v>
      </c>
      <c r="E55" s="426">
        <f>VLOOKUP($E$38,'MP (2011)'!$A$14:$AR$245,'MP (2011)'!$AD$246,FALSE)</f>
        <v>4927.0879254129495</v>
      </c>
      <c r="F55" s="427">
        <f>VLOOKUP($F$38,'MP (2011)'!$A$14:$AR$245,'MP (2011)'!$AD$246,FALSE)</f>
        <v>5270</v>
      </c>
      <c r="J55" s="139"/>
    </row>
    <row r="56" spans="2:23">
      <c r="B56" s="111" t="s">
        <v>184</v>
      </c>
      <c r="C56" s="425">
        <f>VLOOKUP($C$38,'MP (2011)'!$A$14:$AR$245,'MP (2011)'!$AH$246,FALSE)</f>
        <v>1137.0873164152717</v>
      </c>
      <c r="D56" s="426">
        <f>VLOOKUP($D$38,'MP (2011)'!$A$14:$AR$245,'MP (2011)'!$AH$246,FALSE)</f>
        <v>1282.0468117235221</v>
      </c>
      <c r="E56" s="426">
        <f>VLOOKUP($E$38,'MP (2011)'!$A$14:$AR$245,'MP (2011)'!$AH$246,FALSE)</f>
        <v>1612.8164156180105</v>
      </c>
      <c r="F56" s="427">
        <f>VLOOKUP($F$38,'MP (2011)'!$A$14:$AR$245,'MP (2011)'!$AH$246,FALSE)</f>
        <v>1711</v>
      </c>
    </row>
    <row r="57" spans="2:23">
      <c r="B57" s="111" t="s">
        <v>181</v>
      </c>
      <c r="C57" s="425">
        <f>VLOOKUP($C$38,'MP (2011)'!$A$14:$AR$245,'MP (2011)'!$AL$246,FALSE)</f>
        <v>1207.4705597217073</v>
      </c>
      <c r="D57" s="426">
        <f>VLOOKUP($D$38,'MP (2011)'!$A$14:$AR$245,'MP (2011)'!$AL$246,FALSE)</f>
        <v>1200.0373395565923</v>
      </c>
      <c r="E57" s="426">
        <f>VLOOKUP($E$38,'MP (2011)'!$A$14:$AR$245,'MP (2011)'!$AL$246,FALSE)</f>
        <v>1284.7514214114412</v>
      </c>
      <c r="F57" s="427">
        <f>VLOOKUP($F$38,'MP (2011)'!$A$14:$AR$245,'MP (2011)'!$AL$246,FALSE)</f>
        <v>1284</v>
      </c>
      <c r="W57" s="139"/>
    </row>
    <row r="58" spans="2:23">
      <c r="B58" s="147" t="s">
        <v>248</v>
      </c>
      <c r="C58" s="428">
        <f>SUM(C54:C57)</f>
        <v>10840.754884691054</v>
      </c>
      <c r="D58" s="428">
        <f>SUM(D54:D57)</f>
        <v>11451.221360422813</v>
      </c>
      <c r="E58" s="428">
        <f>SUM(E54:E57)</f>
        <v>12656.991996982026</v>
      </c>
      <c r="F58" s="429">
        <f>SUM(F54:F57)</f>
        <v>12501</v>
      </c>
    </row>
    <row r="59" spans="2:23">
      <c r="B59" s="103" t="s">
        <v>302</v>
      </c>
    </row>
    <row r="60" spans="2:23">
      <c r="B60" s="137" t="str">
        <f>$B$2</f>
        <v>Waitaki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75.905201062628137</v>
      </c>
      <c r="E61" s="422">
        <f t="shared" si="1"/>
        <v>112.02889840984554</v>
      </c>
      <c r="F61" s="423">
        <f t="shared" si="1"/>
        <v>98.203930900374615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136.15497500836241</v>
      </c>
      <c r="E62" s="422">
        <f t="shared" si="1"/>
        <v>117.79615059867494</v>
      </c>
      <c r="F62" s="423">
        <f t="shared" si="1"/>
        <v>125.99444602015856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112.74831696876568</v>
      </c>
      <c r="E63" s="422">
        <f t="shared" si="1"/>
        <v>141.83751699055972</v>
      </c>
      <c r="F63" s="423">
        <f t="shared" si="1"/>
        <v>150.47217353492417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99.384397399566566</v>
      </c>
      <c r="E64" s="422">
        <f t="shared" si="1"/>
        <v>106.40022740658333</v>
      </c>
      <c r="F64" s="423">
        <f t="shared" si="1"/>
        <v>106.33799637284164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105.63121740344705</v>
      </c>
      <c r="E65" s="424">
        <f t="shared" si="1"/>
        <v>116.75378819657476</v>
      </c>
      <c r="F65" s="416">
        <f t="shared" si="1"/>
        <v>115.3148478401028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Waitaki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 t="shared" ref="C70:F73" si="2">(C54/C98)*1000</f>
        <v>425.51770295580474</v>
      </c>
      <c r="D70" s="433">
        <f t="shared" si="2"/>
        <v>326.69630005695882</v>
      </c>
      <c r="E70" s="433">
        <f t="shared" si="2"/>
        <v>470.11734940554754</v>
      </c>
      <c r="F70" s="434">
        <f t="shared" si="2"/>
        <v>403.04471931493811</v>
      </c>
    </row>
    <row r="71" spans="2:40">
      <c r="B71" s="111" t="s">
        <v>180</v>
      </c>
      <c r="C71" s="433">
        <f t="shared" si="2"/>
        <v>2353.8120729831644</v>
      </c>
      <c r="D71" s="433">
        <f t="shared" si="2"/>
        <v>2618.3847769985546</v>
      </c>
      <c r="E71" s="433">
        <f t="shared" si="2"/>
        <v>2574.2361156807469</v>
      </c>
      <c r="F71" s="434">
        <f t="shared" si="2"/>
        <v>3025.2583237657868</v>
      </c>
    </row>
    <row r="72" spans="2:40">
      <c r="B72" s="111" t="s">
        <v>184</v>
      </c>
      <c r="C72" s="433">
        <f t="shared" si="2"/>
        <v>22295.829733632778</v>
      </c>
      <c r="D72" s="433">
        <f t="shared" si="2"/>
        <v>23741.60762450967</v>
      </c>
      <c r="E72" s="433">
        <f t="shared" si="2"/>
        <v>27335.871451152721</v>
      </c>
      <c r="F72" s="434">
        <f t="shared" si="2"/>
        <v>28049.180327868853</v>
      </c>
    </row>
    <row r="73" spans="2:40">
      <c r="B73" s="115" t="s">
        <v>181</v>
      </c>
      <c r="C73" s="435">
        <f t="shared" si="2"/>
        <v>241494.11194434145</v>
      </c>
      <c r="D73" s="435">
        <f t="shared" si="2"/>
        <v>240007.46791131847</v>
      </c>
      <c r="E73" s="435">
        <f t="shared" si="2"/>
        <v>256950.28428228822</v>
      </c>
      <c r="F73" s="436">
        <f t="shared" si="2"/>
        <v>256800</v>
      </c>
    </row>
    <row r="74" spans="2:40">
      <c r="B74" s="103" t="s">
        <v>303</v>
      </c>
    </row>
    <row r="75" spans="2:40">
      <c r="B75" s="137" t="str">
        <f>$B$2</f>
        <v>Waitaki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76.776194688870618</v>
      </c>
      <c r="E76" s="422">
        <f t="shared" si="3"/>
        <v>110.48126696960831</v>
      </c>
      <c r="F76" s="423">
        <f t="shared" si="3"/>
        <v>94.718672458334666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111.24017958154479</v>
      </c>
      <c r="E77" s="422">
        <f t="shared" si="3"/>
        <v>109.36455570211356</v>
      </c>
      <c r="F77" s="423">
        <f t="shared" si="3"/>
        <v>128.52590733514455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106.48452158161203</v>
      </c>
      <c r="E78" s="422">
        <f t="shared" si="3"/>
        <v>122.60531129692451</v>
      </c>
      <c r="F78" s="423">
        <f t="shared" si="3"/>
        <v>125.80460410296941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99.384397399566566</v>
      </c>
      <c r="E79" s="424">
        <f t="shared" si="3"/>
        <v>106.40022740658333</v>
      </c>
      <c r="F79" s="416">
        <f t="shared" si="3"/>
        <v>106.33799637284167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Waitaki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5.9583293572160567</v>
      </c>
      <c r="D84" s="437">
        <f>(D54/VLOOKUP($D$38,'MP (2011)'!$A$14:$AR$245,'MP (2011)'!$AA$246,FALSE)*100)</f>
        <v>4.3626721368175119</v>
      </c>
      <c r="E84" s="437">
        <f>(E54/VLOOKUP($E$38,'MP (2011)'!$A$14:$AR$245,'MP (2011)'!$AA$246,FALSE)*100)</f>
        <v>6.2836771446362611</v>
      </c>
      <c r="F84" s="438">
        <f>(F54/VLOOKUP($F$38,'MP (2011)'!$A$14:$AR$245,'MP (2011)'!$AA$246,FALSE)*100)</f>
        <v>5.7837009708630216</v>
      </c>
    </row>
    <row r="85" spans="2:7">
      <c r="B85" s="111" t="s">
        <v>180</v>
      </c>
      <c r="C85" s="430">
        <f>(C55/VLOOKUP($C$38,'MP (2011)'!$A$14:$AR$245,'MP (2011)'!$AE$246,FALSE)*100)</f>
        <v>5.9274768705322511</v>
      </c>
      <c r="D85" s="437">
        <f>(D55/VLOOKUP($D$38,'MP (2011)'!$A$14:$AR$245,'MP (2011)'!$AE$246,FALSE)*100)</f>
        <v>7.9369410601565313</v>
      </c>
      <c r="E85" s="437">
        <f>(E55/VLOOKUP($E$38,'MP (2011)'!$A$14:$AR$245,'MP (2011)'!$AE$246,FALSE)*100)</f>
        <v>6.7364240650427938</v>
      </c>
      <c r="F85" s="438">
        <f>(F55/VLOOKUP($F$38,'MP (2011)'!$A$14:$AR$245,'MP (2011)'!$AE$246,FALSE)*100)</f>
        <v>7.5413345987129938</v>
      </c>
    </row>
    <row r="86" spans="2:7">
      <c r="B86" s="111" t="s">
        <v>184</v>
      </c>
      <c r="C86" s="430">
        <f>(C56/VLOOKUP($C$38,'MP (2011)'!$A$14:$AR$245,'MP (2011)'!$AI$246,FALSE)*100)</f>
        <v>4.0303665558971815</v>
      </c>
      <c r="D86" s="437">
        <f>(D56/VLOOKUP($D$38,'MP (2011)'!$A$14:$AR$245,'MP (2011)'!$AI$246,FALSE)*100)</f>
        <v>4.3641851406403376</v>
      </c>
      <c r="E86" s="437">
        <f>(E56/VLOOKUP($E$38,'MP (2011)'!$A$14:$AR$245,'MP (2011)'!$AI$246,FALSE)*100)</f>
        <v>4.8732932939054558</v>
      </c>
      <c r="F86" s="438">
        <f>(F56/VLOOKUP($F$38,'MP (2011)'!$A$14:$AR$245,'MP (2011)'!$AI$246,FALSE)*100)</f>
        <v>5.7099084832821152</v>
      </c>
    </row>
    <row r="87" spans="2:7">
      <c r="B87" s="115" t="s">
        <v>181</v>
      </c>
      <c r="C87" s="431">
        <f>(C57/VLOOKUP($C$38,'MP (2011)'!$A$14:$AR$245,'MP (2011)'!$AM$246,FALSE)*100)</f>
        <v>2.0525439581860803</v>
      </c>
      <c r="D87" s="431">
        <f>(D57/VLOOKUP($D$38,'MP (2011)'!$A$14:$AR$245,'MP (2011)'!$AM$246,FALSE)*100)</f>
        <v>2.0851596120149423</v>
      </c>
      <c r="E87" s="431">
        <f>(E57/VLOOKUP($E$38,'MP (2011)'!$A$14:$AR$245,'MP (2011)'!$AM$246,FALSE)*100)</f>
        <v>2.2204099849837391</v>
      </c>
      <c r="F87" s="432">
        <f>(F57/VLOOKUP($F$38,'MP (2011)'!$A$14:$AR$245,'MP (2011)'!$AM$246,FALSE)*100)</f>
        <v>2.5752228821308853</v>
      </c>
    </row>
    <row r="88" spans="2:7">
      <c r="B88" s="103" t="s">
        <v>304</v>
      </c>
    </row>
    <row r="89" spans="2:7">
      <c r="B89" s="137" t="str">
        <f>$B$2</f>
        <v>Waitaki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73.219721087320139</v>
      </c>
      <c r="E90" s="422">
        <f>IF(ISERROR(E84/$C84),"",(E84/$C84)*100)</f>
        <v>105.46038609004016</v>
      </c>
      <c r="F90" s="423">
        <f>IF(ISERROR(F84/$C84),"",(F84/$C84)*100)</f>
        <v>97.069171979532399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133.90083560872407</v>
      </c>
      <c r="E91" s="422">
        <f t="shared" si="4"/>
        <v>113.64741208071393</v>
      </c>
      <c r="F91" s="423">
        <f t="shared" si="4"/>
        <v>127.22672333322539</v>
      </c>
    </row>
    <row r="92" spans="2:7">
      <c r="B92" s="111" t="s">
        <v>184</v>
      </c>
      <c r="C92" s="422">
        <f t="shared" si="4"/>
        <v>100</v>
      </c>
      <c r="D92" s="422">
        <f t="shared" si="4"/>
        <v>108.28258621426671</v>
      </c>
      <c r="E92" s="422">
        <f t="shared" si="4"/>
        <v>120.91439392218344</v>
      </c>
      <c r="F92" s="423">
        <f t="shared" si="4"/>
        <v>141.67218797822369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101.58903558185841</v>
      </c>
      <c r="E93" s="424">
        <f>IF(ISERROR(E87/$C87),"",(E87/$C87)*100)</f>
        <v>108.178437598287</v>
      </c>
      <c r="F93" s="416">
        <f>IF(ISERROR(F87/$C87),"",(F87/$C87)*100)</f>
        <v>125.46493203520563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10137</v>
      </c>
      <c r="D98" s="150">
        <f>VLOOKUP($D$38,'MP (2011)'!$A$14:$AR$245,'MP (2011)'!$AB$246,FALSE)</f>
        <v>10022</v>
      </c>
      <c r="E98" s="150">
        <f>VLOOKUP($E$38,'MP (2011)'!$A$14:$AR$245,'MP (2011)'!$AB$246,FALSE)</f>
        <v>10279</v>
      </c>
      <c r="F98" s="151">
        <f>VLOOKUP($F$38,'MP (2011)'!$A$14:$AR$245,'MP (2011)'!$AB$246,FALSE)</f>
        <v>10510</v>
      </c>
    </row>
    <row r="99" spans="2:7">
      <c r="B99" s="155" t="s">
        <v>309</v>
      </c>
      <c r="C99" s="150">
        <f>VLOOKUP($C$38,'MP (2011)'!$A$14:$AR$245,'MP (2011)'!$AF$246,FALSE)</f>
        <v>1777</v>
      </c>
      <c r="D99" s="150">
        <f>VLOOKUP($D$38,'MP (2011)'!$A$14:$AR$245,'MP (2011)'!$AF$246,FALSE)</f>
        <v>2175</v>
      </c>
      <c r="E99" s="150">
        <f>VLOOKUP($E$38,'MP (2011)'!$A$14:$AR$245,'MP (2011)'!$AF$246,FALSE)</f>
        <v>1914</v>
      </c>
      <c r="F99" s="151">
        <f>VLOOKUP($F$38,'MP (2011)'!$A$14:$AR$245,'MP (2011)'!$AF$246,FALSE)</f>
        <v>1742</v>
      </c>
    </row>
    <row r="100" spans="2:7">
      <c r="B100" s="155" t="s">
        <v>310</v>
      </c>
      <c r="C100" s="150">
        <f>VLOOKUP($C$38,'MP (2011)'!$A$14:$AR$245,'MP (2011)'!$AJ$246,FALSE)</f>
        <v>51</v>
      </c>
      <c r="D100" s="150">
        <f>VLOOKUP($D$38,'MP (2011)'!$A$14:$AR$245,'MP (2011)'!$AJ$246,FALSE)</f>
        <v>54</v>
      </c>
      <c r="E100" s="150">
        <f>VLOOKUP($E$38,'MP (2011)'!$A$14:$AR$245,'MP (2011)'!$AJ$246,FALSE)</f>
        <v>59</v>
      </c>
      <c r="F100" s="151">
        <f>VLOOKUP($F$38,'MP (2011)'!$A$14:$AR$245,'MP (2011)'!$AJ$246,FALSE)</f>
        <v>61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11970</v>
      </c>
      <c r="D102" s="152">
        <f>SUM(D98:D101)</f>
        <v>12256</v>
      </c>
      <c r="E102" s="152">
        <f>SUM(E98:E101)</f>
        <v>12257</v>
      </c>
      <c r="F102" s="157">
        <f>SUM(F98:F101)</f>
        <v>12318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98.865542073591797</v>
      </c>
      <c r="E105" s="422">
        <f t="shared" si="5"/>
        <v>101.40080891782578</v>
      </c>
      <c r="F105" s="423">
        <f t="shared" si="5"/>
        <v>103.67958962217618</v>
      </c>
    </row>
    <row r="106" spans="2:7">
      <c r="B106" s="111" t="s">
        <v>180</v>
      </c>
      <c r="C106" s="422">
        <f t="shared" si="5"/>
        <v>100</v>
      </c>
      <c r="D106" s="422">
        <f t="shared" si="5"/>
        <v>122.39729881823298</v>
      </c>
      <c r="E106" s="422">
        <f t="shared" si="5"/>
        <v>107.70962296004502</v>
      </c>
      <c r="F106" s="423">
        <f t="shared" si="5"/>
        <v>98.030388294879018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105.88235294117648</v>
      </c>
      <c r="E107" s="422">
        <f t="shared" si="5"/>
        <v>115.68627450980394</v>
      </c>
      <c r="F107" s="423">
        <f t="shared" si="5"/>
        <v>119.6078431372549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Waitaki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72394</v>
      </c>
      <c r="D113" s="150">
        <f>VLOOKUP($D$38,'MP (2011)'!$A$14:$AR$245,'MP (2011)'!$AA$246,FALSE)</f>
        <v>75049.195000000007</v>
      </c>
      <c r="E113" s="150">
        <f>VLOOKUP($E$38,'MP (2011)'!$A$14:$AR$245,'MP (2011)'!$AA$246,FALSE)</f>
        <v>76903</v>
      </c>
      <c r="F113" s="151">
        <f>VLOOKUP($F$38,'MP (2011)'!$A$14:$AR$245,'MP (2011)'!$AA$246,FALSE)</f>
        <v>73240.301000000007</v>
      </c>
    </row>
    <row r="114" spans="2:7">
      <c r="B114" s="155" t="s">
        <v>309</v>
      </c>
      <c r="C114" s="150">
        <f>VLOOKUP($C$38,'MP (2011)'!$A$14:$AR$245,'MP (2011)'!$AE$246,FALSE)</f>
        <v>70565</v>
      </c>
      <c r="D114" s="150">
        <f>VLOOKUP($D$38,'MP (2011)'!$A$14:$AR$245,'MP (2011)'!$AE$246,FALSE)</f>
        <v>71752.918999999994</v>
      </c>
      <c r="E114" s="150">
        <f>VLOOKUP($E$38,'MP (2011)'!$A$14:$AR$245,'MP (2011)'!$AE$246,FALSE)</f>
        <v>73141</v>
      </c>
      <c r="F114" s="151">
        <f>VLOOKUP($F$38,'MP (2011)'!$A$14:$AR$245,'MP (2011)'!$AE$246,FALSE)</f>
        <v>69881.53</v>
      </c>
    </row>
    <row r="115" spans="2:7">
      <c r="B115" s="155" t="s">
        <v>310</v>
      </c>
      <c r="C115" s="150">
        <f>VLOOKUP($C$38,'MP (2011)'!$A$14:$AR$245,'MP (2011)'!$AI$246,FALSE)</f>
        <v>28213</v>
      </c>
      <c r="D115" s="150">
        <f>VLOOKUP($D$38,'MP (2011)'!$A$14:$AR$245,'MP (2011)'!$AI$246,FALSE)</f>
        <v>29376.544999999998</v>
      </c>
      <c r="E115" s="150">
        <f>VLOOKUP($E$38,'MP (2011)'!$A$14:$AR$245,'MP (2011)'!$AI$246,FALSE)</f>
        <v>33095</v>
      </c>
      <c r="F115" s="151">
        <f>VLOOKUP($F$38,'MP (2011)'!$A$14:$AR$245,'MP (2011)'!$AI$246,FALSE)</f>
        <v>29965.454000000002</v>
      </c>
    </row>
    <row r="116" spans="2:7">
      <c r="B116" s="155" t="s">
        <v>311</v>
      </c>
      <c r="C116" s="150">
        <f>VLOOKUP($C$38,'MP (2011)'!$A$14:$AR$245,'MP (2011)'!$AM$246,FALSE)</f>
        <v>58828</v>
      </c>
      <c r="D116" s="150">
        <f>VLOOKUP($D$38,'MP (2011)'!$A$14:$AR$245,'MP (2011)'!$AM$246,FALSE)</f>
        <v>57551.341999999997</v>
      </c>
      <c r="E116" s="150">
        <f>VLOOKUP($E$38,'MP (2011)'!$A$14:$AR$245,'MP (2011)'!$AM$246,FALSE)</f>
        <v>57861</v>
      </c>
      <c r="F116" s="151">
        <f>VLOOKUP($F$38,'MP (2011)'!$A$14:$AR$245,'MP (2011)'!$AM$246,FALSE)</f>
        <v>49859.762000000002</v>
      </c>
    </row>
    <row r="117" spans="2:7">
      <c r="B117" s="147" t="s">
        <v>254</v>
      </c>
      <c r="C117" s="158">
        <f>SUM(C113:C116)</f>
        <v>230000</v>
      </c>
      <c r="D117" s="158">
        <f>SUM(D113:D116)</f>
        <v>233730.00099999999</v>
      </c>
      <c r="E117" s="158">
        <f>SUM(E113:E116)</f>
        <v>241000</v>
      </c>
      <c r="F117" s="159">
        <f>SUM(F113:F116)</f>
        <v>222947.04700000002</v>
      </c>
    </row>
    <row r="118" spans="2:7">
      <c r="B118" s="103" t="s">
        <v>306</v>
      </c>
    </row>
    <row r="119" spans="2:7">
      <c r="B119" s="137" t="str">
        <f>$B$2</f>
        <v>Waitaki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103.66770036190846</v>
      </c>
      <c r="E120" s="422">
        <f t="shared" si="6"/>
        <v>106.22841671961764</v>
      </c>
      <c r="F120" s="423">
        <f t="shared" si="6"/>
        <v>101.16902091333537</v>
      </c>
    </row>
    <row r="121" spans="2:7">
      <c r="B121" s="111" t="s">
        <v>180</v>
      </c>
      <c r="C121" s="422">
        <f t="shared" si="6"/>
        <v>100</v>
      </c>
      <c r="D121" s="422">
        <f t="shared" si="6"/>
        <v>101.68343938212993</v>
      </c>
      <c r="E121" s="422">
        <f t="shared" si="6"/>
        <v>103.65053496776022</v>
      </c>
      <c r="F121" s="423">
        <f t="shared" si="6"/>
        <v>99.03143201303763</v>
      </c>
    </row>
    <row r="122" spans="2:7">
      <c r="B122" s="111" t="s">
        <v>184</v>
      </c>
      <c r="C122" s="422">
        <f t="shared" si="6"/>
        <v>100</v>
      </c>
      <c r="D122" s="422">
        <f t="shared" si="6"/>
        <v>104.12414489774218</v>
      </c>
      <c r="E122" s="422">
        <f t="shared" si="6"/>
        <v>117.30407967958034</v>
      </c>
      <c r="F122" s="423">
        <f t="shared" si="6"/>
        <v>106.21151242335094</v>
      </c>
    </row>
    <row r="123" spans="2:7">
      <c r="B123" s="115" t="s">
        <v>181</v>
      </c>
      <c r="C123" s="424">
        <f t="shared" si="6"/>
        <v>100</v>
      </c>
      <c r="D123" s="424">
        <f t="shared" si="6"/>
        <v>97.82984633167878</v>
      </c>
      <c r="E123" s="424">
        <f t="shared" si="6"/>
        <v>98.356224926905554</v>
      </c>
      <c r="F123" s="416">
        <f t="shared" si="6"/>
        <v>84.755154008295378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Waitaki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13156.510814633171</v>
      </c>
      <c r="D128" s="433">
        <f>VLOOKUP($D$38,'FS (2011)'!$A$13:$AH$244,'FS (2011)'!$I$245,FALSE)</f>
        <v>13912.543620015096</v>
      </c>
      <c r="E128" s="433">
        <f>VLOOKUP($E$38,'FS (2011)'!$A$13:$AH$244,'FS (2011)'!$I$245,FALSE)</f>
        <v>14519.423082105033</v>
      </c>
      <c r="F128" s="440">
        <f>VLOOKUP($F$38,'FS (2011)'!$A$13:$AH$244,'FS (2011)'!$I$245,FALSE)</f>
        <v>14236.406000000001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2072.1407665877791</v>
      </c>
      <c r="D129" s="433">
        <f>VLOOKUP($D$38,'FS (2011)'!$A$13:$AH$244,'FS (2011)'!$Y$245,FALSE)+VLOOKUP($D$38,'FS (2011)'!$A$13:$AH$244,'FS (2011)'!$Z$245,FALSE)</f>
        <v>1868.3960596334678</v>
      </c>
      <c r="E129" s="433">
        <f>VLOOKUP($E$38,'FS (2011)'!$A$13:$AH$244,'FS (2011)'!$Y$245,FALSE)+VLOOKUP($E$38,'FS (2011)'!$A$13:$AH$244,'FS (2011)'!$Z$245,FALSE)</f>
        <v>1316.4128517420709</v>
      </c>
      <c r="F129" s="440">
        <f>VLOOKUP($F$38,'FS (2011)'!$A$13:$AH$244,'FS (2011)'!$Y$245,FALSE)+VLOOKUP($F$38,'FS (2011)'!$A$13:$AH$244,'FS (2011)'!$Z$245,FALSE)</f>
        <v>3000.9535000000001</v>
      </c>
      <c r="G129" s="121"/>
    </row>
    <row r="130" spans="1:30">
      <c r="B130" s="162" t="s">
        <v>191</v>
      </c>
      <c r="C130" s="441">
        <f>VLOOKUP($C$38,'FS (2011)'!$A$13:$AH$244,'FS (2011)'!$J$245,FALSE)</f>
        <v>3281.7324855293546</v>
      </c>
      <c r="D130" s="433">
        <f>VLOOKUP($D$38,'FS (2011)'!$A$13:$AH$244,'FS (2011)'!$J$245,FALSE)</f>
        <v>4022.616514517124</v>
      </c>
      <c r="E130" s="433">
        <f>VLOOKUP($E$38,'FS (2011)'!$A$13:$AH$244,'FS (2011)'!$J$245,FALSE)</f>
        <v>3868.5179596346093</v>
      </c>
      <c r="F130" s="440">
        <f>VLOOKUP($F$38,'FS (2011)'!$A$13:$AH$244,'FS (2011)'!$J$245,FALSE)</f>
        <v>4095.3090000000002</v>
      </c>
    </row>
    <row r="131" spans="1:30">
      <c r="B131" s="162" t="s">
        <v>182</v>
      </c>
      <c r="C131" s="441">
        <f>VLOOKUP($C$38,'FS (2011)'!$A$13:$AH$244,'FS (2011)'!$S$245,FALSE)</f>
        <v>2820.3062359214164</v>
      </c>
      <c r="D131" s="433">
        <f>VLOOKUP($D$38,'FS (2011)'!$A$13:$AH$244,'FS (2011)'!$S$245,FALSE)</f>
        <v>3122.5885098496797</v>
      </c>
      <c r="E131" s="433">
        <f>VLOOKUP($E$38,'FS (2011)'!$A$13:$AH$244,'FS (2011)'!$S$245,FALSE)</f>
        <v>3188.9547573495724</v>
      </c>
      <c r="F131" s="440">
        <f>VLOOKUP($F$38,'FS (2011)'!$A$13:$AH$244,'FS (2011)'!$S$245,FALSE)</f>
        <v>2989</v>
      </c>
      <c r="I131" s="139"/>
    </row>
    <row r="132" spans="1:30">
      <c r="B132" s="162" t="s">
        <v>143</v>
      </c>
      <c r="C132" s="441">
        <f>VLOOKUP($C$38,'FS (2011)'!$A$13:$AH$244,'FS (2011)'!$U$245,FALSE)</f>
        <v>2791.1975706424109</v>
      </c>
      <c r="D132" s="433">
        <f>VLOOKUP($D$38,'FS (2011)'!$A$13:$AH$244,'FS (2011)'!$U$245,FALSE)</f>
        <v>2776.9030132473049</v>
      </c>
      <c r="E132" s="433">
        <f>VLOOKUP($E$38,'FS (2011)'!$A$13:$AH$244,'FS (2011)'!$U$245,FALSE)</f>
        <v>2902.662013958125</v>
      </c>
      <c r="F132" s="440">
        <f>VLOOKUP($F$38,'FS (2011)'!$A$13:$AH$244,'FS (2011)'!$U$245,FALSE)</f>
        <v>3270</v>
      </c>
    </row>
    <row r="133" spans="1:30">
      <c r="B133" s="162" t="s">
        <v>196</v>
      </c>
      <c r="C133" s="441">
        <f>VLOOKUP($C$38,'FS (2011)'!$A$13:$AH$244,'FS (2011)'!$X$245,FALSE)</f>
        <v>-382.90897790482165</v>
      </c>
      <c r="D133" s="433">
        <f>VLOOKUP($D$38,'FS (2011)'!$A$13:$AH$244,'FS (2011)'!$X$245,FALSE)</f>
        <v>-491.00672766284561</v>
      </c>
      <c r="E133" s="433">
        <f>VLOOKUP($E$38,'FS (2011)'!$A$13:$AH$244,'FS (2011)'!$X$245,FALSE)</f>
        <v>-126.63310814044351</v>
      </c>
      <c r="F133" s="440">
        <f>VLOOKUP($F$38,'FS (2011)'!$A$13:$AH$244,'FS (2011)'!$X$245,FALSE)</f>
        <v>-4.7213899999999998E-3</v>
      </c>
      <c r="Q133" s="559"/>
      <c r="R133" s="559"/>
      <c r="S133" s="559"/>
      <c r="T133" s="559"/>
      <c r="U133" s="559"/>
      <c r="V133" s="559"/>
      <c r="W133" s="559"/>
      <c r="X133" s="559"/>
      <c r="Y133" s="559"/>
      <c r="Z133" s="559"/>
      <c r="AA133" s="559"/>
      <c r="AB133" s="559"/>
      <c r="AC133" s="559"/>
      <c r="AD133" s="559"/>
    </row>
    <row r="134" spans="1:30">
      <c r="B134" s="164" t="s">
        <v>258</v>
      </c>
      <c r="C134" s="442">
        <f>VLOOKUP($C$38,'FS (2011)'!$A$13:$AH$244,'FS (2011)'!$AA$245,FALSE)</f>
        <v>6718.3243640614746</v>
      </c>
      <c r="D134" s="435">
        <f>VLOOKUP($D$38,'FS (2011)'!$A$13:$AH$244,'FS (2011)'!$AA$245,FALSE)</f>
        <v>6349.838338554463</v>
      </c>
      <c r="E134" s="435">
        <f>VLOOKUP($E$38,'FS (2011)'!$A$13:$AH$244,'FS (2011)'!$AA$245,FALSE)</f>
        <v>6002.3342906685339</v>
      </c>
      <c r="F134" s="443">
        <f>VLOOKUP($F$38,'FS (2011)'!$A$13:$AH$244,'FS (2011)'!$AA$245,FALSE)</f>
        <v>6883.0550000000003</v>
      </c>
      <c r="Q134" s="559"/>
      <c r="R134" s="559"/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1</v>
      </c>
      <c r="B138" s="166" t="s">
        <v>204</v>
      </c>
      <c r="C138" s="167"/>
      <c r="D138" s="444">
        <f>VLOOKUP($D$6,'FS (2011)'!$A$13:$AH$244,'FS (2011)'!$L$245,FALSE)</f>
        <v>1096</v>
      </c>
      <c r="E138" s="446">
        <f t="shared" ref="E138:E144" si="7">D138/$D$145</f>
        <v>0.36667781866845101</v>
      </c>
      <c r="Q138" s="559"/>
      <c r="R138" s="559"/>
      <c r="S138" s="559"/>
      <c r="T138" s="559">
        <v>1</v>
      </c>
      <c r="U138" s="559" t="str">
        <f>VLOOKUP(T138,$A$138:$E$144,2,FALSE)</f>
        <v>System management and operations</v>
      </c>
      <c r="V138" s="559">
        <f>VLOOKUP(T138,$A$138:$E$144,4,FALSE)</f>
        <v>1096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4</v>
      </c>
      <c r="B139" s="162" t="s">
        <v>199</v>
      </c>
      <c r="C139" s="121"/>
      <c r="D139" s="441">
        <f>VLOOKUP($D$6,'FS (2011)'!$A$13:$AH$244,'FS (2011)'!K245,FALSE)</f>
        <v>420</v>
      </c>
      <c r="E139" s="414">
        <f t="shared" si="7"/>
        <v>0.14051522248243559</v>
      </c>
      <c r="Q139" s="559"/>
      <c r="R139" s="559"/>
      <c r="S139" s="559"/>
      <c r="T139" s="559">
        <v>2</v>
      </c>
      <c r="U139" s="559" t="str">
        <f t="shared" ref="U139:U144" si="9">VLOOKUP(T139,$A$138:$E$144,2,FALSE)</f>
        <v>Refurbishment and renewal maintenance</v>
      </c>
      <c r="V139" s="559">
        <f t="shared" ref="V139:V144" si="10">VLOOKUP(T139,$A$138:$E$144,4,FALSE)</f>
        <v>577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3</v>
      </c>
      <c r="B140" s="162" t="s">
        <v>201</v>
      </c>
      <c r="C140" s="121"/>
      <c r="D140" s="441">
        <f>VLOOKUP($D$6,'FS (2011)'!$A$13:$AH$244,'FS (2011)'!M245,FALSE)</f>
        <v>543</v>
      </c>
      <c r="E140" s="414">
        <f t="shared" si="7"/>
        <v>0.18166610906657746</v>
      </c>
      <c r="Q140" s="559"/>
      <c r="R140" s="559"/>
      <c r="S140" s="559"/>
      <c r="T140" s="559">
        <v>3</v>
      </c>
      <c r="U140" s="559" t="str">
        <f t="shared" si="9"/>
        <v>Routine and preventative maintenance</v>
      </c>
      <c r="V140" s="559">
        <f t="shared" si="10"/>
        <v>543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2</v>
      </c>
      <c r="B141" s="162" t="s">
        <v>202</v>
      </c>
      <c r="C141" s="121"/>
      <c r="D141" s="441">
        <f>VLOOKUP($D$6,'FS (2011)'!$A$13:$AH$244,'FS (2011)'!N245,FALSE)</f>
        <v>577</v>
      </c>
      <c r="E141" s="414">
        <f t="shared" si="7"/>
        <v>0.19304115088658413</v>
      </c>
      <c r="Q141" s="559"/>
      <c r="R141" s="559"/>
      <c r="S141" s="559"/>
      <c r="T141" s="559">
        <v>4</v>
      </c>
      <c r="U141" s="559" t="str">
        <f t="shared" si="9"/>
        <v>General management, admin and overheads</v>
      </c>
      <c r="V141" s="559">
        <f t="shared" si="10"/>
        <v>420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5</v>
      </c>
      <c r="B142" s="162" t="s">
        <v>203</v>
      </c>
      <c r="C142" s="121"/>
      <c r="D142" s="441">
        <f>VLOOKUP($D$6,'FS (2011)'!$A$13:$AH$244,'FS (2011)'!O245,FALSE)</f>
        <v>228</v>
      </c>
      <c r="E142" s="414">
        <f t="shared" si="7"/>
        <v>7.6279692204750754E-2</v>
      </c>
      <c r="Q142" s="559"/>
      <c r="R142" s="559"/>
      <c r="S142" s="559"/>
      <c r="T142" s="559">
        <v>5</v>
      </c>
      <c r="U142" s="559" t="str">
        <f t="shared" si="9"/>
        <v>Fault and emergency maintenance</v>
      </c>
      <c r="V142" s="559">
        <f t="shared" si="10"/>
        <v>228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8"/>
        <v>7</v>
      </c>
      <c r="B143" s="162" t="s">
        <v>13</v>
      </c>
      <c r="C143" s="121"/>
      <c r="D143" s="441">
        <f>VLOOKUP($D$6,'FS (2011)'!$A$13:$AH$244,'FS (2011)'!R245,FALSE)</f>
        <v>0</v>
      </c>
      <c r="E143" s="414">
        <f t="shared" si="7"/>
        <v>0</v>
      </c>
      <c r="Q143" s="559"/>
      <c r="R143" s="559"/>
      <c r="S143" s="559"/>
      <c r="T143" s="559">
        <v>6</v>
      </c>
      <c r="U143" s="559" t="str">
        <f t="shared" si="9"/>
        <v>Pass-through costs</v>
      </c>
      <c r="V143" s="559">
        <f t="shared" si="10"/>
        <v>125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6</v>
      </c>
      <c r="B144" s="162" t="s">
        <v>200</v>
      </c>
      <c r="C144" s="121"/>
      <c r="D144" s="441">
        <f>VLOOKUP($D$6,'FS (2011)'!$A$13:$AH$244,'FS (2011)'!P245,FALSE)</f>
        <v>125</v>
      </c>
      <c r="E144" s="414">
        <f t="shared" si="7"/>
        <v>4.1820006691201068E-2</v>
      </c>
      <c r="Q144" s="559"/>
      <c r="R144" s="559"/>
      <c r="S144" s="559"/>
      <c r="T144" s="559">
        <v>7</v>
      </c>
      <c r="U144" s="559" t="str">
        <f t="shared" si="9"/>
        <v>Other</v>
      </c>
      <c r="V144" s="559">
        <f t="shared" si="10"/>
        <v>0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2989</v>
      </c>
      <c r="E145" s="447">
        <f>SUM(E138:E144)</f>
        <v>1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1.3260614182658037</v>
      </c>
      <c r="D149" s="454">
        <f>(VLOOKUP(D$38,'FS (2011)'!$A$13:$AH$244,'FS (2011)'!$M$245,FALSE)+VLOOKUP(D$38,'FS (2011)'!$A$13:$AH$244,'FS (2011)'!$N$245,FALSE)+VLOOKUP(D$38,'FS (2011)'!$A$13:$AH$244,'FS (2011)'!$O$245,FALSE))/1000</f>
        <v>1.5685609170155805</v>
      </c>
      <c r="E149" s="454">
        <f>(VLOOKUP(E$38,'FS (2011)'!$A$13:$AH$244,'FS (2011)'!$M$245,FALSE)+VLOOKUP(E$38,'FS (2011)'!$A$13:$AH$244,'FS (2011)'!$N$245,FALSE)+VLOOKUP(E$38,'FS (2011)'!$A$13:$AH$244,'FS (2011)'!$O$245,FALSE))/1000</f>
        <v>1.6301366171755003</v>
      </c>
      <c r="F149" s="455">
        <f>(VLOOKUP(F$38,'FS (2011)'!$A$13:$AH$244,'FS (2011)'!$M$245,FALSE)+VLOOKUP(F$38,'FS (2011)'!$A$13:$AH$244,'FS (2011)'!$N$245,FALSE)+VLOOKUP(F$38,'FS (2011)'!$A$13:$AH$244,'FS (2011)'!$O$245,FALSE))/1000</f>
        <v>1.3480000000000001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1.4036845256764847</v>
      </c>
      <c r="D150" s="456">
        <f>(VLOOKUP(D$38,'FS (2011)'!$A$13:$AH$244,'FS (2011)'!$L$245,FALSE)+VLOOKUP(D$38,'FS (2011)'!$A$13:$AH$244,'FS (2011)'!$K$245,FALSE))/1000</f>
        <v>1.4740943098359525</v>
      </c>
      <c r="E150" s="456">
        <f>(VLOOKUP(E$38,'FS (2011)'!$A$13:$AH$244,'FS (2011)'!$L$245,FALSE)+VLOOKUP(E$38,'FS (2011)'!$A$13:$AH$244,'FS (2011)'!$K$245,FALSE))/1000</f>
        <v>1.471198297000889</v>
      </c>
      <c r="F150" s="457">
        <f>(VLOOKUP(F$38,'FS (2011)'!$A$13:$AH$244,'FS (2011)'!$L$245,FALSE)+VLOOKUP(F$38,'FS (2011)'!$A$13:$AH$244,'FS (2011)'!$K$245,FALSE))/1000</f>
        <v>1.516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9.0560291979128058E-2</v>
      </c>
      <c r="D151" s="456">
        <f>(VLOOKUP(D$38,'FS (2011)'!$A$13:$AH$244,'FS (2011)'!$R$245,FALSE)+VLOOKUP(D$38,'FS (2011)'!$A$13:$AH$244,'FS (2011)'!$P$245,FALSE)+VLOOKUP(D$38,'FS (2011)'!$A$13:$AH$244,'FS (2011)'!$Q$245,FALSE))/1000</f>
        <v>7.9933282998146726E-2</v>
      </c>
      <c r="E151" s="456">
        <f>(VLOOKUP(E$38,'FS (2011)'!$A$13:$AH$244,'FS (2011)'!$R$245,FALSE)+VLOOKUP(E$38,'FS (2011)'!$A$13:$AH$244,'FS (2011)'!$P$245,FALSE)+VLOOKUP(E$38,'FS (2011)'!$A$13:$AH$244,'FS (2011)'!$Q$245,FALSE))/1000</f>
        <v>8.7619843173183137E-2</v>
      </c>
      <c r="F151" s="457">
        <f>(VLOOKUP(F$38,'FS (2011)'!$A$13:$AH$244,'FS (2011)'!$R$245,FALSE)+VLOOKUP(F$38,'FS (2011)'!$A$13:$AH$244,'FS (2011)'!$P$245,FALSE)+VLOOKUP(F$38,'FS (2011)'!$A$13:$AH$244,'FS (2011)'!$Q$245,FALSE))/1000</f>
        <v>0.125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2.8203062359214162</v>
      </c>
      <c r="D152" s="458">
        <f>VLOOKUP($D$38,'FS (2011)'!$A$13:$AH$244,'FS (2011)'!$S$245,FALSE)/1000</f>
        <v>3.1225885098496797</v>
      </c>
      <c r="E152" s="459">
        <f>VLOOKUP($E$38,'FS (2011)'!$A$13:$AH$244,'FS (2011)'!$S$245,FALSE)/1000</f>
        <v>3.1889547573495722</v>
      </c>
      <c r="F152" s="460">
        <f>VLOOKUP($F$38,'FS (2011)'!$A$13:$AH$244,'FS (2011)'!$S$245,FALSE)/1000</f>
        <v>2.9889999999999999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8.8117619942393866E-3</v>
      </c>
      <c r="D154" s="464">
        <f t="shared" ref="D154:E157" si="11">IF(ISERROR(D149/C149 - 1),"",(D149/C149 - 1))</f>
        <v>0.18287199628122264</v>
      </c>
      <c r="E154" s="464">
        <f t="shared" si="11"/>
        <v>3.9256173918368775E-2</v>
      </c>
      <c r="F154" s="465">
        <f>IF(ISERROR(F149/E149 - 1),"",(F149/E149 - 1))</f>
        <v>-0.17307544300449595</v>
      </c>
      <c r="Q154" s="559"/>
      <c r="R154" s="559" t="s">
        <v>423</v>
      </c>
      <c r="S154" s="559">
        <f t="shared" ref="S154:V157" si="12">LN(C149)</f>
        <v>0.28221320914183678</v>
      </c>
      <c r="T154" s="559">
        <f t="shared" si="12"/>
        <v>0.45015858564742983</v>
      </c>
      <c r="U154" s="559">
        <f t="shared" si="12"/>
        <v>0.48866382552455395</v>
      </c>
      <c r="V154" s="559">
        <f t="shared" si="12"/>
        <v>0.29862201249011533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2.3159877122511219E-2</v>
      </c>
      <c r="D155" s="467">
        <f t="shared" si="11"/>
        <v>5.0160689864080954E-2</v>
      </c>
      <c r="E155" s="467">
        <f t="shared" si="11"/>
        <v>-1.9646048531221094E-3</v>
      </c>
      <c r="F155" s="468">
        <f>IF(ISERROR(F150/E150 - 1),"",(F150/E150 - 1))</f>
        <v>3.0452525054196711E-2</v>
      </c>
      <c r="Q155" s="559"/>
      <c r="R155" s="559" t="s">
        <v>423</v>
      </c>
      <c r="S155" s="559">
        <f t="shared" si="12"/>
        <v>0.33910058354388806</v>
      </c>
      <c r="T155" s="559">
        <f t="shared" si="12"/>
        <v>0.38804377396999656</v>
      </c>
      <c r="U155" s="559">
        <f t="shared" si="12"/>
        <v>0.38607723674945288</v>
      </c>
      <c r="V155" s="559">
        <f t="shared" si="12"/>
        <v>0.41607528722017995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0.11167833449569664</v>
      </c>
      <c r="D156" s="467">
        <f t="shared" si="11"/>
        <v>-0.11734733566705591</v>
      </c>
      <c r="E156" s="467">
        <f t="shared" si="11"/>
        <v>9.6162197857113219E-2</v>
      </c>
      <c r="F156" s="468">
        <f>IF(ISERROR(F151/E151 - 1),"",(F151/E151 - 1))</f>
        <v>0.42661748153250989</v>
      </c>
      <c r="Q156" s="559"/>
      <c r="R156" s="559" t="s">
        <v>423</v>
      </c>
      <c r="S156" s="559">
        <f t="shared" si="12"/>
        <v>-2.4017394403813128</v>
      </c>
      <c r="T156" s="559">
        <f t="shared" si="12"/>
        <v>-2.526562954771626</v>
      </c>
      <c r="U156" s="559">
        <f t="shared" si="12"/>
        <v>-2.4347477864498108</v>
      </c>
      <c r="V156" s="559">
        <f t="shared" si="12"/>
        <v>-2.0794415416798357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1.972309221983215E-2</v>
      </c>
      <c r="D157" s="470">
        <f t="shared" si="11"/>
        <v>0.10718065651104935</v>
      </c>
      <c r="E157" s="470">
        <f t="shared" si="11"/>
        <v>2.1253600111110105E-2</v>
      </c>
      <c r="F157" s="471">
        <f>IF(ISERROR(F152/E152 - 1),"",(F152/E152 - 1))</f>
        <v>-6.2702287289820413E-2</v>
      </c>
      <c r="N157" s="136"/>
      <c r="O157" s="136"/>
      <c r="Q157" s="559"/>
      <c r="R157" s="559" t="s">
        <v>423</v>
      </c>
      <c r="S157" s="559">
        <f t="shared" si="12"/>
        <v>1.0368454733524628</v>
      </c>
      <c r="T157" s="559">
        <f t="shared" si="12"/>
        <v>1.1386623084444207</v>
      </c>
      <c r="U157" s="559">
        <f t="shared" si="12"/>
        <v>1.1596932008308802</v>
      </c>
      <c r="V157" s="559">
        <f t="shared" si="12"/>
        <v>1.0949388833018008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Waitaki</v>
      </c>
      <c r="C162" s="456">
        <f>(C152/C102)*1000000</f>
        <v>235.61455605024364</v>
      </c>
      <c r="D162" s="456">
        <f>(D152/D102)*1000000</f>
        <v>254.78039408042423</v>
      </c>
      <c r="E162" s="456">
        <f>(E152/E102)*1000000</f>
        <v>260.17416638244043</v>
      </c>
      <c r="F162" s="457">
        <f>(F152/F102)*1000000</f>
        <v>242.65302808897547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Waitaki</v>
      </c>
      <c r="C165" s="456">
        <f>C152/VLOOKUP(C$38,'MP (2011)'!$A$14:$AR$245,'MP (2011)'!$H$246,FALSE)*1000000</f>
        <v>1437.7895905759638</v>
      </c>
      <c r="D165" s="456">
        <f>D152/VLOOKUP(D$38,'MP (2011)'!$A$14:$AR$245,'MP (2011)'!$H$246,FALSE)*1000000</f>
        <v>1671.6212579495073</v>
      </c>
      <c r="E165" s="456">
        <f>E152/VLOOKUP(E$38,'MP (2011)'!$A$14:$AR$245,'MP (2011)'!$H$246,FALSE)*1000000</f>
        <v>1860.5336974034842</v>
      </c>
      <c r="F165" s="457">
        <f>F152/VLOOKUP(F$38,'MP (2011)'!$A$14:$AR$245,'MP (2011)'!$H$246,FALSE)*1000000</f>
        <v>1727.7456647398844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Waitaki</v>
      </c>
      <c r="C168" s="456">
        <f>(C152/C117)*1000000</f>
        <v>12.262201025745288</v>
      </c>
      <c r="D168" s="456">
        <f>(D152/D117)*1000000</f>
        <v>13.359810450048643</v>
      </c>
      <c r="E168" s="456">
        <f>(E152/E117)*1000000</f>
        <v>13.232177416388266</v>
      </c>
      <c r="F168" s="457">
        <f>(F152/F117)*1000000</f>
        <v>13.406770980913686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1.0985428501898653E-2</v>
      </c>
      <c r="D171" s="464">
        <f>IF(ISERROR(D162/C162 - 1),"",(D162/C162 - 1))</f>
        <v>8.1344032183196635E-2</v>
      </c>
      <c r="E171" s="464">
        <f>IF(ISERROR(E162/D162 - 1),"",(E162/D162 - 1))</f>
        <v>2.1170280081730386E-2</v>
      </c>
      <c r="F171" s="465">
        <f>IF(ISERROR(F162/E162 - 1),"",(F162/E162 - 1))</f>
        <v>-6.7343881743085698E-2</v>
      </c>
      <c r="H171" s="139"/>
      <c r="Q171" s="559"/>
      <c r="R171" s="559" t="s">
        <v>423</v>
      </c>
      <c r="S171" s="559">
        <f>LN(C162)</f>
        <v>5.4621972327647184</v>
      </c>
      <c r="T171" s="559">
        <f>LN(D162)</f>
        <v>5.5404019744283222</v>
      </c>
      <c r="U171" s="559">
        <f>LN(E162)</f>
        <v>5.5613512774539888</v>
      </c>
      <c r="V171" s="559">
        <f>LN(F162)</f>
        <v>5.4916325550190859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6.8034566152107789E-2</v>
      </c>
      <c r="D172" s="467">
        <f>IF(ISERROR(D165/C165 - 1),"",(D165/C165 - 1))</f>
        <v>0.16263274467015232</v>
      </c>
      <c r="E172" s="467">
        <f>IF(ISERROR(E165/D165 - 1),"",(E165/D165 - 1))</f>
        <v>0.11301150817243499</v>
      </c>
      <c r="F172" s="468">
        <f>IF(ISERROR(F165/E165 - 1),"",(F165/E165 - 1))</f>
        <v>-7.1370936655925976E-2</v>
      </c>
      <c r="Q172" s="559"/>
      <c r="R172" s="559" t="s">
        <v>423</v>
      </c>
      <c r="S172" s="559">
        <f>LN(C165)</f>
        <v>7.270862206696024</v>
      </c>
      <c r="T172" s="559">
        <f>LN(D165)</f>
        <v>7.4215492476199065</v>
      </c>
      <c r="U172" s="559">
        <f>LN(E165)</f>
        <v>7.5286186596374289</v>
      </c>
      <c r="V172" s="559">
        <f>LN(F165)</f>
        <v>7.4545727537742499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2.6147590221137218E-2</v>
      </c>
      <c r="D173" s="470">
        <f>IF(ISERROR(D168/C168 - 1),"",(D168/C168 - 1))</f>
        <v>8.951161557365217E-2</v>
      </c>
      <c r="E173" s="470">
        <f>IF(ISERROR(E168/D168 - 1),"",(E168/D168 - 1))</f>
        <v>-9.5535063268740172E-3</v>
      </c>
      <c r="F173" s="471">
        <f>IF(ISERROR(F168/E168 - 1),"",(F168/E168 - 1))</f>
        <v>1.3194620887502895E-2</v>
      </c>
      <c r="Q173" s="559"/>
      <c r="R173" s="559" t="s">
        <v>423</v>
      </c>
      <c r="S173" s="559">
        <f>LN(C168)</f>
        <v>2.5065214434114043</v>
      </c>
      <c r="T173" s="559">
        <f>LN(D168)</f>
        <v>2.5922509801372402</v>
      </c>
      <c r="U173" s="559">
        <f>LN(E168)</f>
        <v>2.5826515463223623</v>
      </c>
      <c r="V173" s="559">
        <f>LN(F168)</f>
        <v>2.5957598764203942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Waitaki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1630.1366171755003</v>
      </c>
      <c r="X176" s="563">
        <f>D178</f>
        <v>1348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Waitaki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1735.0766619061731</v>
      </c>
      <c r="X177" s="563">
        <f t="shared" si="14"/>
        <v>1735.0766619061731</v>
      </c>
      <c r="Y177" s="563">
        <f t="shared" si="14"/>
        <v>1735.0766619061731</v>
      </c>
      <c r="Z177" s="563">
        <f t="shared" si="14"/>
        <v>1735.0766619061731</v>
      </c>
      <c r="AA177" s="563">
        <f t="shared" si="14"/>
        <v>1735.0766619061731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1630.1366171755003</v>
      </c>
      <c r="D178" s="461">
        <f>VLOOKUP(F38,'FS (2011)'!$A$14:$T$246,'FS (2011)'!$M$245,FALSE)+VLOOKUP(F38,'FS (2011)'!$A$14:$AO$245,'FS (2011)'!$N$245,FALSE)+VLOOKUP(F38,'FS (2011)'!$A$14:$AO$245,'FS (2011)'!$O$245,FALSE)</f>
        <v>1348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1720</v>
      </c>
      <c r="Y178" s="563">
        <f t="shared" si="14"/>
        <v>1721</v>
      </c>
      <c r="Z178" s="563">
        <f t="shared" si="14"/>
        <v>1720</v>
      </c>
      <c r="AA178" s="563">
        <f t="shared" si="14"/>
        <v>1720</v>
      </c>
      <c r="AB178" s="563">
        <f>H180</f>
        <v>1720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1735.0766619061731</v>
      </c>
      <c r="D179" s="461">
        <f>VLOOKUP(D182,'AM (2011)'!$A$10:$N$444,'AM (2011)'!$N$445,FALSE)</f>
        <v>1735.0766619061731</v>
      </c>
      <c r="E179" s="461">
        <f>VLOOKUP(E182,'AM (2011)'!$A$10:$N$444,'AM (2011)'!$N$445,FALSE)</f>
        <v>1735.0766619061731</v>
      </c>
      <c r="F179" s="461">
        <f>VLOOKUP(F182,'AM (2011)'!$A$10:$N$444,'AM (2011)'!$N$445,FALSE)</f>
        <v>1735.0766619061731</v>
      </c>
      <c r="G179" s="461">
        <f>VLOOKUP(G182,'AM (2011)'!$A$10:$N$444,'AM (2011)'!$N$445,FALSE)</f>
        <v>1735.0766619061731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1681.9237242639947</v>
      </c>
      <c r="Z179" s="563">
        <f>F181</f>
        <v>1681.9237242639947</v>
      </c>
      <c r="AA179" s="563">
        <f>G181</f>
        <v>1681.9237242639947</v>
      </c>
      <c r="AB179" s="563">
        <f>H181</f>
        <v>1681.9237242639947</v>
      </c>
      <c r="AC179" s="563">
        <f>I181</f>
        <v>1681.9237242639947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1720</v>
      </c>
      <c r="E180" s="461">
        <f>VLOOKUP(E183,'AM (2011)'!$A$10:$N$444,'AM (2011)'!$N$445,FALSE)</f>
        <v>1721</v>
      </c>
      <c r="F180" s="461">
        <f>VLOOKUP(F183,'AM (2011)'!$A$10:$N$444,'AM (2011)'!$N$445,FALSE)</f>
        <v>1720</v>
      </c>
      <c r="G180" s="461">
        <f>VLOOKUP(G183,'AM (2011)'!$A$10:$N$444,'AM (2011)'!$N$445,FALSE)</f>
        <v>1720</v>
      </c>
      <c r="H180" s="461">
        <f>VLOOKUP(H183,'AM (2011)'!$A$10:$N$444,'AM (2011)'!$N$445,FALSE)</f>
        <v>1720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1681.9237242639947</v>
      </c>
      <c r="F181" s="493">
        <f>VLOOKUP(F184,'AM (2011)'!$A$10:$N$444,'AM (2011)'!$N$445,FALSE)</f>
        <v>1681.9237242639947</v>
      </c>
      <c r="G181" s="493">
        <f>VLOOKUP(G184,'AM (2011)'!$A$10:$N$444,'AM (2011)'!$N$445,FALSE)</f>
        <v>1681.9237242639947</v>
      </c>
      <c r="H181" s="493">
        <f>VLOOKUP(H184,'AM (2011)'!$A$10:$N$444,'AM (2011)'!$N$445,FALSE)</f>
        <v>1681.9237242639947</v>
      </c>
      <c r="I181" s="494">
        <f>VLOOKUP(I184,'AM (2011)'!$A$10:$N$444,'AM (2011)'!$N$445,FALSE)</f>
        <v>1681.9237242639947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331</v>
      </c>
      <c r="D182" s="136">
        <f>VLOOKUP($B$2,$B$257:$Y$286,11,FALSE)</f>
        <v>332</v>
      </c>
      <c r="E182" s="136">
        <f>VLOOKUP($B$2,$B$257:$Y$286,12,FALSE)</f>
        <v>333</v>
      </c>
      <c r="F182" s="136">
        <f>VLOOKUP($B$2,$B$257:$Y$286,13,FALSE)</f>
        <v>334</v>
      </c>
      <c r="G182" s="136">
        <f>VLOOKUP($B$2,$B$257:$Y$286,14,FALSE)</f>
        <v>335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336</v>
      </c>
      <c r="E183" s="136">
        <f>VLOOKUP($B$2,$B$257:$Y$286,16,FALSE)</f>
        <v>337</v>
      </c>
      <c r="F183" s="136">
        <f>VLOOKUP($B$2,$B$257:$Y$286,17,FALSE)</f>
        <v>338</v>
      </c>
      <c r="G183" s="136">
        <f>VLOOKUP($B$2,$B$257:$Y$286,18,FALSE)</f>
        <v>339</v>
      </c>
      <c r="H183" s="136">
        <f>VLOOKUP($B$2,$B$257:$Y$286,19,FALSE)</f>
        <v>340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341</v>
      </c>
      <c r="F184" s="136">
        <f>VLOOKUP($B$2,$B$257:$Y$286,21,FALSE)</f>
        <v>342</v>
      </c>
      <c r="G184" s="136">
        <f>VLOOKUP($B$2,$B$257:$Y$286,22,FALSE)</f>
        <v>343</v>
      </c>
      <c r="H184" s="136">
        <f>VLOOKUP($B$2,$B$257:$Y$286,23,FALSE)</f>
        <v>344</v>
      </c>
      <c r="I184" s="136">
        <f>VLOOKUP($B$2,$B$257:$Y$286,24,FALSE)</f>
        <v>345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1</v>
      </c>
      <c r="B186" s="483" t="s">
        <v>205</v>
      </c>
      <c r="C186" s="490"/>
      <c r="D186" s="484">
        <f>VLOOKUP($D$6,'FS (2011)'!$A$13:$AH$244,'FS (2011)'!AC245,FALSE)/1000</f>
        <v>3.5091836999999999</v>
      </c>
      <c r="E186" s="495">
        <f t="shared" ref="E186:E191" si="16">D186/$D$192</f>
        <v>0.7328818068175903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System growth</v>
      </c>
      <c r="V186" s="559">
        <f t="shared" ref="V186:V191" si="18">VLOOKUP(T186,$A$186:$D$191,4,FALSE)</f>
        <v>3.5091836999999999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3</v>
      </c>
      <c r="B187" s="162" t="s">
        <v>206</v>
      </c>
      <c r="C187" s="121"/>
      <c r="D187" s="456">
        <f>VLOOKUP($D$6,'FS (2011)'!$A$13:$AH$244,'FS (2011)'!AD245,FALSE)/1000</f>
        <v>0.32651672000000004</v>
      </c>
      <c r="E187" s="468">
        <f t="shared" si="16"/>
        <v>6.8191974022264276E-2</v>
      </c>
      <c r="Q187" s="559"/>
      <c r="R187" s="559"/>
      <c r="S187" s="559"/>
      <c r="T187" s="559">
        <v>2</v>
      </c>
      <c r="U187" s="559" t="str">
        <f t="shared" si="17"/>
        <v>Asset replacement and renewal</v>
      </c>
      <c r="V187" s="559">
        <f t="shared" si="18"/>
        <v>0.78926205000000005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4</v>
      </c>
      <c r="B188" s="162" t="s">
        <v>209</v>
      </c>
      <c r="C188" s="121"/>
      <c r="D188" s="456">
        <f>VLOOKUP($D$6,'FS (2011)'!$A$13:$AH$244,'FS (2011)'!AB245,FALSE)/1000</f>
        <v>0.12423621</v>
      </c>
      <c r="E188" s="468">
        <f t="shared" si="16"/>
        <v>2.5946335626991991E-2</v>
      </c>
      <c r="Q188" s="559"/>
      <c r="R188" s="559"/>
      <c r="S188" s="559"/>
      <c r="T188" s="559">
        <v>3</v>
      </c>
      <c r="U188" s="559" t="str">
        <f t="shared" si="17"/>
        <v>Reliability, safety and environment</v>
      </c>
      <c r="V188" s="559">
        <f t="shared" si="18"/>
        <v>0.32651672000000004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2</v>
      </c>
      <c r="B189" s="162" t="s">
        <v>208</v>
      </c>
      <c r="C189" s="121"/>
      <c r="D189" s="456">
        <f>VLOOKUP($D$6,'FS (2011)'!$A$13:$AH$244,'FS (2011)'!AE245,FALSE)/1000</f>
        <v>0.78926205000000005</v>
      </c>
      <c r="E189" s="468">
        <f t="shared" si="16"/>
        <v>0.1648348581057627</v>
      </c>
      <c r="Q189" s="559"/>
      <c r="R189" s="559"/>
      <c r="S189" s="559"/>
      <c r="T189" s="559">
        <v>4</v>
      </c>
      <c r="U189" s="559" t="str">
        <f t="shared" si="17"/>
        <v>Customer connection</v>
      </c>
      <c r="V189" s="559">
        <f t="shared" si="18"/>
        <v>0.12423621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5</v>
      </c>
      <c r="B190" s="162" t="s">
        <v>312</v>
      </c>
      <c r="C190" s="121"/>
      <c r="D190" s="456">
        <f>VLOOKUP($D$6,'FS (2011)'!$A$13:$AH$244,'FS (2011)'!AH245,FALSE)/1000</f>
        <v>3.9E-2</v>
      </c>
      <c r="E190" s="468">
        <f t="shared" si="16"/>
        <v>8.1450254273909978E-3</v>
      </c>
      <c r="Q190" s="559"/>
      <c r="R190" s="559"/>
      <c r="S190" s="559"/>
      <c r="T190" s="559">
        <v>5</v>
      </c>
      <c r="U190" s="559" t="str">
        <f t="shared" si="17"/>
        <v>Non-network capex</v>
      </c>
      <c r="V190" s="559">
        <f t="shared" si="18"/>
        <v>3.9E-2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6</v>
      </c>
      <c r="B191" s="162" t="s">
        <v>207</v>
      </c>
      <c r="C191" s="121"/>
      <c r="D191" s="456">
        <f>VLOOKUP($D$6,'FS (2011)'!$A$13:$AH$244,'FS (2011)'!AF245,FALSE)/1000</f>
        <v>0</v>
      </c>
      <c r="E191" s="468">
        <f t="shared" si="16"/>
        <v>0</v>
      </c>
      <c r="Q191" s="559"/>
      <c r="R191" s="559"/>
      <c r="S191" s="559"/>
      <c r="T191" s="559">
        <v>6</v>
      </c>
      <c r="U191" s="559" t="str">
        <f t="shared" si="17"/>
        <v>Asset relocations</v>
      </c>
      <c r="V191" s="559">
        <f t="shared" si="18"/>
        <v>0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4.7881986799999989</v>
      </c>
      <c r="E192" s="496">
        <f>SUM(E186:E191)</f>
        <v>1.0000000000000002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4.785680191611303</v>
      </c>
      <c r="D196" s="484">
        <f>VLOOKUP($D$38,'FS (2011)'!$A$13:$AH$244,'FS (2011)'!$AG$245,FALSE)/1000</f>
        <v>3.7070357608621034</v>
      </c>
      <c r="E196" s="484">
        <f>VLOOKUP($E$38,'FS (2011)'!$A$13:$AH$244,'FS (2011)'!$AG$245,FALSE)/1000</f>
        <v>5.9347161219045557</v>
      </c>
      <c r="F196" s="486">
        <f>VLOOKUP($F$38,'FS (2011)'!$A$13:$AH$244,'FS (2011)'!$AG$245,FALSE)/1000</f>
        <v>4.7491987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8.6247897122979103E-2</v>
      </c>
      <c r="D197" s="456">
        <f>VLOOKUP($D$38,'FS (2011)'!$A$13:$AH$244,'FS (2011)'!$AH$245,FALSE)/1000</f>
        <v>4.4638067128835182E-2</v>
      </c>
      <c r="E197" s="456">
        <f>VLOOKUP($E$38,'FS (2011)'!$A$13:$AH$244,'FS (2011)'!$AH$245,FALSE)/1000</f>
        <v>5.6035946215407827E-2</v>
      </c>
      <c r="F197" s="457">
        <f>VLOOKUP($F$38,'FS (2011)'!$A$13:$AH$244,'FS (2011)'!$AH$245,FALSE)/1000</f>
        <v>3.9E-2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4.8719280887342817</v>
      </c>
      <c r="D198" s="488">
        <f>SUM(D196:D197)</f>
        <v>3.7516738279909387</v>
      </c>
      <c r="E198" s="488">
        <f>SUM(E196:E197)</f>
        <v>5.9907520681199635</v>
      </c>
      <c r="F198" s="489">
        <f>SUM(F196:F197)</f>
        <v>4.7881986999999997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4.57799655348059E-2</v>
      </c>
      <c r="D200" s="498">
        <f t="shared" ref="D200:F202" si="20">D196/C196 - 1</f>
        <v>-0.2253899942248393</v>
      </c>
      <c r="E200" s="498">
        <f t="shared" si="20"/>
        <v>0.60093306478499842</v>
      </c>
      <c r="F200" s="495">
        <f t="shared" si="20"/>
        <v>-0.19975975220262132</v>
      </c>
      <c r="Q200" s="559"/>
      <c r="R200" s="559" t="s">
        <v>423</v>
      </c>
      <c r="S200" s="559">
        <f t="shared" ref="S200:V202" si="21">LN(C196)</f>
        <v>1.5656281656094089</v>
      </c>
      <c r="T200" s="559">
        <f t="shared" si="21"/>
        <v>1.3102325709691387</v>
      </c>
      <c r="U200" s="559">
        <f t="shared" si="21"/>
        <v>1.7808191957305826</v>
      </c>
      <c r="V200" s="559">
        <f t="shared" si="21"/>
        <v>1.5579759090791503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-0.19374771127252632</v>
      </c>
      <c r="D201" s="467">
        <f t="shared" si="20"/>
        <v>-0.48244457409568287</v>
      </c>
      <c r="E201" s="467">
        <f t="shared" si="20"/>
        <v>0.2553398885681113</v>
      </c>
      <c r="F201" s="468">
        <f t="shared" si="20"/>
        <v>-0.30401817700944911</v>
      </c>
      <c r="Q201" s="559"/>
      <c r="R201" s="559" t="s">
        <v>423</v>
      </c>
      <c r="S201" s="559">
        <f t="shared" si="21"/>
        <v>-2.450529604550745</v>
      </c>
      <c r="T201" s="559">
        <f t="shared" si="21"/>
        <v>-3.1091682609317473</v>
      </c>
      <c r="U201" s="559">
        <f t="shared" si="21"/>
        <v>-2.8817618974708474</v>
      </c>
      <c r="V201" s="559">
        <f t="shared" si="21"/>
        <v>-3.2441936328524905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4.2478281348892866E-2</v>
      </c>
      <c r="D202" s="500">
        <f t="shared" si="20"/>
        <v>-0.2299406395865714</v>
      </c>
      <c r="E202" s="500">
        <f t="shared" si="20"/>
        <v>0.59682113712110074</v>
      </c>
      <c r="F202" s="501">
        <f t="shared" si="20"/>
        <v>-0.20073495855710699</v>
      </c>
      <c r="Q202" s="559"/>
      <c r="R202" s="559" t="s">
        <v>423</v>
      </c>
      <c r="S202" s="559">
        <f t="shared" si="21"/>
        <v>1.5834897701866533</v>
      </c>
      <c r="T202" s="559">
        <f t="shared" si="21"/>
        <v>1.3222020945268642</v>
      </c>
      <c r="U202" s="559">
        <f t="shared" si="21"/>
        <v>1.7902169581893539</v>
      </c>
      <c r="V202" s="559">
        <f t="shared" si="21"/>
        <v>1.5661542864169318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Waitaki</v>
      </c>
      <c r="C206" s="456">
        <f>(C198/C102)*1000000</f>
        <v>407.01153623511124</v>
      </c>
      <c r="D206" s="456">
        <f>(D198/D102)*1000000</f>
        <v>306.10915698359486</v>
      </c>
      <c r="E206" s="456">
        <f>(E198/E102)*1000000</f>
        <v>488.7616927567891</v>
      </c>
      <c r="F206" s="457">
        <f>(F198/F102)*1000000</f>
        <v>388.71559506413377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Waitaki</v>
      </c>
      <c r="C209" s="456">
        <f>(C198/C117)*1000000000</f>
        <v>21182.296037975138</v>
      </c>
      <c r="D209" s="456">
        <f>(D198/D117)*1000000000</f>
        <v>16051.314815982645</v>
      </c>
      <c r="E209" s="456">
        <f>(E198/E117)*1000000000</f>
        <v>24857.892398838023</v>
      </c>
      <c r="F209" s="457">
        <f>(F198/F117)*1000000000</f>
        <v>21476.84288457967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Waitaki</v>
      </c>
      <c r="C212" s="456">
        <f>(C198/VLOOKUP(C$38,'AV (2011)'!$A$11:$F$213,'AV (2011)'!$F$214,FALSE)*1000)</f>
        <v>7.419179174129284E-2</v>
      </c>
      <c r="D212" s="456">
        <f>(D198/VLOOKUP(D$38,'AV (2011)'!$A$11:$F$213,'AV (2011)'!$F$214,FALSE)*1000)</f>
        <v>5.7026959281977874E-2</v>
      </c>
      <c r="E212" s="456">
        <f>(E198/VLOOKUP(E$38,'AV (2011)'!$A$11:$F$213,'AV (2011)'!$F$214,FALSE)*1000)</f>
        <v>8.7230505765884495E-2</v>
      </c>
      <c r="F212" s="457">
        <f>(F198/VLOOKUP(F$38,'AV (2011)'!$A$11:$F$213,'AV (2011)'!$F$214,FALSE)*1000)</f>
        <v>6.4218917389090552E-2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3.3545636079630237E-2</v>
      </c>
      <c r="D215" s="464">
        <f>D206/C206 - 1</f>
        <v>-0.24791036682859491</v>
      </c>
      <c r="E215" s="464">
        <f>E206/D206 - 1</f>
        <v>0.59669085881995687</v>
      </c>
      <c r="F215" s="465">
        <f>F206/E206 - 1</f>
        <v>-0.20469300105816379</v>
      </c>
      <c r="K215" s="139"/>
      <c r="P215" s="139"/>
      <c r="Q215" s="559"/>
      <c r="R215" s="559" t="s">
        <v>423</v>
      </c>
      <c r="S215" s="559">
        <f>LN(C206)</f>
        <v>6.0088415295989082</v>
      </c>
      <c r="T215" s="559">
        <f>LN(D206)</f>
        <v>5.7239417605107654</v>
      </c>
      <c r="U215" s="559">
        <f>LN(E206)</f>
        <v>6.1918750348124627</v>
      </c>
      <c r="V215" s="559">
        <f>LN(F206)</f>
        <v>5.9628479581342173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4.9046142453568198E-2</v>
      </c>
      <c r="D216" s="467">
        <f>D209/C209 - 1</f>
        <v>-0.24222970034947044</v>
      </c>
      <c r="E216" s="467">
        <f>E209/D209 - 1</f>
        <v>0.54865147707940265</v>
      </c>
      <c r="F216" s="468">
        <f>F209/E209 - 1</f>
        <v>-0.13601513193517567</v>
      </c>
      <c r="Q216" s="559"/>
      <c r="R216" s="559" t="s">
        <v>423</v>
      </c>
      <c r="S216" s="559">
        <f>LN(C209)</f>
        <v>9.9609210192277313</v>
      </c>
      <c r="T216" s="559">
        <f>LN(D209)</f>
        <v>9.6835460452018207</v>
      </c>
      <c r="U216" s="559">
        <f>LN(E209)</f>
        <v>10.120930582662973</v>
      </c>
      <c r="V216" s="559">
        <f>LN(F209)</f>
        <v>9.9747305585176615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-8.033860348913846E-4</v>
      </c>
      <c r="D217" s="470">
        <f>D212/C212 - 1</f>
        <v>-0.2313575674135061</v>
      </c>
      <c r="E217" s="470">
        <f>E212/D212 - 1</f>
        <v>0.52963627842334904</v>
      </c>
      <c r="F217" s="471">
        <f>F212/E212 - 1</f>
        <v>-0.26380207445494008</v>
      </c>
      <c r="Q217" s="559"/>
      <c r="R217" s="559" t="s">
        <v>423</v>
      </c>
      <c r="S217" s="559">
        <f>LN(C212)</f>
        <v>-2.6011017583607368</v>
      </c>
      <c r="T217" s="559">
        <f>LN(D212)</f>
        <v>-2.8642311531033147</v>
      </c>
      <c r="U217" s="559">
        <f>LN(E212)</f>
        <v>-2.4392011724810856</v>
      </c>
      <c r="V217" s="559">
        <f>LN(F212)</f>
        <v>-2.7454574483094767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Waitaki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5934.7161219045556</v>
      </c>
      <c r="X220" s="563">
        <f>D222</f>
        <v>4749.1986999999999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Waitaki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7256.1456172024455</v>
      </c>
      <c r="X221" s="563">
        <f t="shared" si="23"/>
        <v>6679.4847888766126</v>
      </c>
      <c r="Y221" s="563">
        <f t="shared" si="23"/>
        <v>10680.45134865673</v>
      </c>
      <c r="Z221" s="563">
        <f t="shared" si="23"/>
        <v>9475.1690873325952</v>
      </c>
      <c r="AA221" s="563">
        <f t="shared" si="23"/>
        <v>6917.8922691385296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5934.7161219045556</v>
      </c>
      <c r="D222" s="461">
        <f>VLOOKUP(D226,'FS (2011)'!$A$14:$AJ$245,'FS (2011)'!$AG$245,FALSE)</f>
        <v>4749.1986999999999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6256</v>
      </c>
      <c r="Y222" s="563">
        <f t="shared" si="23"/>
        <v>10483</v>
      </c>
      <c r="Z222" s="563">
        <f t="shared" si="23"/>
        <v>9300</v>
      </c>
      <c r="AA222" s="563">
        <f t="shared" si="23"/>
        <v>6790</v>
      </c>
      <c r="AB222" s="563">
        <f>H224</f>
        <v>5000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7256.1456172024455</v>
      </c>
      <c r="D223" s="461">
        <f>VLOOKUP(D227,'AM (2011)'!$A$10:$N$444,'AM (2011)'!$J$445,FALSE)</f>
        <v>6679.4847888766126</v>
      </c>
      <c r="E223" s="461">
        <f>VLOOKUP(E226,'AM (2011)'!$A$10:$N$444,'AM (2011)'!$J$445,FALSE)</f>
        <v>10680.45134865673</v>
      </c>
      <c r="F223" s="461">
        <f>VLOOKUP(F226,'AM (2011)'!$A$10:$N$444,'AM (2011)'!$J$445,FALSE)</f>
        <v>9475.1690873325952</v>
      </c>
      <c r="G223" s="461">
        <f>VLOOKUP(G226,'AM (2011)'!$A$10:$N$444,'AM (2011)'!$J$445,FALSE)</f>
        <v>6917.8922691385296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3573.2527472527472</v>
      </c>
      <c r="Z223" s="563">
        <f>F225</f>
        <v>4322.2182546864906</v>
      </c>
      <c r="AA223" s="563">
        <f>G225</f>
        <v>2756.0777065287652</v>
      </c>
      <c r="AB223" s="563">
        <f>H225</f>
        <v>1918.1181641887524</v>
      </c>
      <c r="AC223" s="563">
        <f>I225</f>
        <v>1918.1181641887524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6256</v>
      </c>
      <c r="E224" s="461">
        <f>VLOOKUP(E227,'AM (2011)'!$A$10:$N$444,'AM (2011)'!$J$445,FALSE)</f>
        <v>10483</v>
      </c>
      <c r="F224" s="461">
        <f>VLOOKUP(F227,'AM (2011)'!$A$10:$N$444,'AM (2011)'!$J$445,FALSE)</f>
        <v>9300</v>
      </c>
      <c r="G224" s="461">
        <f>VLOOKUP(G227,'AM (2011)'!$A$10:$N$444,'AM (2011)'!$J$445,FALSE)</f>
        <v>6790</v>
      </c>
      <c r="H224" s="461">
        <f>VLOOKUP(H227,'AM (2011)'!$A$10:$N$444,'AM (2011)'!$J$445,FALSE)</f>
        <v>5000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3573.2527472527472</v>
      </c>
      <c r="F225" s="493">
        <f>VLOOKUP(F228,'AM (2011)'!$A$10:$N$444,'AM (2011)'!$J$445,FALSE)</f>
        <v>4322.2182546864906</v>
      </c>
      <c r="G225" s="493">
        <f>VLOOKUP(G228,'AM (2011)'!$A$10:$N$444,'AM (2011)'!$J$445,FALSE)</f>
        <v>2756.0777065287652</v>
      </c>
      <c r="H225" s="493">
        <f>VLOOKUP(H228,'AM (2011)'!$A$10:$N$444,'AM (2011)'!$J$445,FALSE)</f>
        <v>1918.1181641887524</v>
      </c>
      <c r="I225" s="494">
        <f>VLOOKUP(I228,'AM (2011)'!$A$10:$N$444,'AM (2011)'!$J$445,FALSE)</f>
        <v>1918.1181641887524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329</v>
      </c>
      <c r="D226" s="136">
        <f>VLOOKUP($B$2,$B$257:$Y$286,9,FALSE)</f>
        <v>330</v>
      </c>
      <c r="E226" s="136">
        <f>VLOOKUP($B$2,$B$257:$Y$286,12,FALSE)</f>
        <v>333</v>
      </c>
      <c r="F226" s="136">
        <f>VLOOKUP($B$2,$B$257:$Y$286,13,FALSE)</f>
        <v>334</v>
      </c>
      <c r="G226" s="136">
        <f>VLOOKUP($B$2,$B$257:$Y$286,14,FALSE)</f>
        <v>335</v>
      </c>
      <c r="H226" s="136"/>
      <c r="I226" s="136"/>
    </row>
    <row r="227" spans="2:30">
      <c r="C227" s="136">
        <f>VLOOKUP($B$2,$B$257:$Y$286,10,FALSE)</f>
        <v>331</v>
      </c>
      <c r="D227" s="136">
        <f>VLOOKUP($B$2,$B$257:$Y$286,11,FALSE)</f>
        <v>332</v>
      </c>
      <c r="E227" s="136">
        <f>VLOOKUP($B$2,$B$257:$Y$286,16,FALSE)</f>
        <v>337</v>
      </c>
      <c r="F227" s="136">
        <f>VLOOKUP($B$2,$B$257:$Y$286,17,FALSE)</f>
        <v>338</v>
      </c>
      <c r="G227" s="136">
        <f>VLOOKUP($B$2,$B$257:$Y$286,18,FALSE)</f>
        <v>339</v>
      </c>
      <c r="H227" s="136">
        <f>VLOOKUP($B$2,$B$257:$Y$286,19,FALSE)</f>
        <v>340</v>
      </c>
      <c r="I227" s="136"/>
    </row>
    <row r="228" spans="2:30">
      <c r="B228" s="517" t="s">
        <v>291</v>
      </c>
      <c r="C228" s="518"/>
      <c r="D228" s="518">
        <f>VLOOKUP($B$2,$B$257:$Y$286,15,FALSE)</f>
        <v>336</v>
      </c>
      <c r="E228" s="518">
        <f>VLOOKUP($B$2,$B$257:$Y$286,20,FALSE)</f>
        <v>341</v>
      </c>
      <c r="F228" s="519">
        <f>VLOOKUP($B$2,$B$257:$Y$286,21,FALSE)</f>
        <v>342</v>
      </c>
      <c r="G228" s="136">
        <f>VLOOKUP($B$2,$B$257:$Y$286,22,FALSE)</f>
        <v>343</v>
      </c>
      <c r="H228" s="136">
        <f>VLOOKUP($B$2,$B$257:$Y$286,23,FALSE)</f>
        <v>344</v>
      </c>
      <c r="I228" s="136">
        <f>VLOOKUP($B$2,$B$257:$Y$286,24,FALSE)</f>
        <v>345</v>
      </c>
    </row>
    <row r="229" spans="2:30">
      <c r="B229" s="474" t="str">
        <f>$B$2</f>
        <v>Waitaki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94.68</v>
      </c>
      <c r="D230" s="456">
        <f>VLOOKUP(D$38,'MP (2011)'!$A$11:$AR$245,'MP (2011)'!$S$246,FALSE)+VLOOKUP(D$38,'MP (2011)'!$A$11:$AR$245,'MP (2011)'!$T$246,FALSE)</f>
        <v>69.36</v>
      </c>
      <c r="E230" s="456">
        <f>VLOOKUP(E$38,'MP (2011)'!$A$11:$AR$245,'MP (2011)'!$S$246,FALSE)+VLOOKUP(E$38,'MP (2011)'!$A$11:$AR$245,'MP (2011)'!$T$246,FALSE)</f>
        <v>64.289999999999992</v>
      </c>
      <c r="F230" s="457">
        <f>VLOOKUP(F$38,'MP (2011)'!$A$11:$AR$245,'MP (2011)'!$S$246,FALSE)+VLOOKUP(F$38,'MP (2011)'!$A$11:$AR$245,'MP (2011)'!$T$246,FALSE)</f>
        <v>61.31</v>
      </c>
    </row>
    <row r="231" spans="2:30">
      <c r="B231" s="199" t="s">
        <v>292</v>
      </c>
      <c r="C231" s="456" t="str">
        <f>IF(ISERROR(VLOOKUP(C$38,'Compliance data'!$A$7:$E$74,'Compliance data'!$D$75,FALSE)),"",(VLOOKUP(C$38,'Compliance data'!$A$7:$E$74,'Compliance data'!$D$75,FALSE)))</f>
        <v/>
      </c>
      <c r="D231" s="456" t="str">
        <f>IF(ISERROR(VLOOKUP(D$38,'Compliance data'!$A$7:$E$74,'Compliance data'!$D$75,FALSE)),"",(VLOOKUP(D$38,'Compliance data'!$A$7:$E$74,'Compliance data'!$D$75,FALSE)))</f>
        <v/>
      </c>
      <c r="E231" s="456" t="str">
        <f>IF(ISERROR(VLOOKUP(E$38,'Compliance data'!$A$7:$E$74,'Compliance data'!$D$75,FALSE)),"",(VLOOKUP(E$38,'Compliance data'!$A$7:$E$74,'Compliance data'!$D$75,FALSE)))</f>
        <v/>
      </c>
      <c r="F231" s="457" t="str">
        <f>IF(ISERROR(VLOOKUP(F$38,'Compliance data'!$A$7:$E$74,'Compliance data'!$D$75,FALSE)),"",(VLOOKUP(F$38,'Compliance data'!$A$7:$E$74,'Compliance data'!$D$75,FALSE)))</f>
        <v/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2.1</v>
      </c>
      <c r="D237" s="456">
        <f>VLOOKUP(D$38,'MP (2011)'!$A$11:$AR$245,'MP (2011)'!$W$246,FALSE)+VLOOKUP(D$38,'MP (2011)'!$A$11:$AR$245,'MP (2011)'!$X$246,FALSE)</f>
        <v>1.07</v>
      </c>
      <c r="E237" s="456">
        <f>VLOOKUP(E$38,'MP (2011)'!$A$11:$AR$245,'MP (2011)'!$W$246,FALSE)+VLOOKUP(E$38,'MP (2011)'!$A$11:$AR$245,'MP (2011)'!$X$246,FALSE)</f>
        <v>1.46</v>
      </c>
      <c r="F237" s="457">
        <f>VLOOKUP(F$38,'MP (2011)'!$A$11:$AR$245,'MP (2011)'!$W$246,FALSE)+VLOOKUP(F$38,'MP (2011)'!$A$11:$AR$245,'MP (2011)'!$X$246,FALSE)</f>
        <v>0.81</v>
      </c>
    </row>
    <row r="238" spans="2:30">
      <c r="B238" s="199" t="s">
        <v>292</v>
      </c>
      <c r="C238" s="456" t="str">
        <f>IF(ISERROR(VLOOKUP(C$38,'Compliance data'!$A$7:$E$74,'Compliance data'!$E$75,FALSE)),"",(VLOOKUP(C$38,'Compliance data'!$A$7:$E$74,'Compliance data'!$E$75,FALSE)))</f>
        <v/>
      </c>
      <c r="D238" s="456" t="str">
        <f>IF(ISERROR(VLOOKUP(D$38,'Compliance data'!$A$7:$E$74,'Compliance data'!$E$75,FALSE)),"",(VLOOKUP(D$38,'Compliance data'!$A$7:$E$74,'Compliance data'!$E$75,FALSE)))</f>
        <v/>
      </c>
      <c r="E238" s="456" t="str">
        <f>IF(ISERROR(VLOOKUP(E$38,'Compliance data'!$A$7:$E$74,'Compliance data'!$E$75,FALSE)),"",(VLOOKUP(E$38,'Compliance data'!$A$7:$E$74,'Compliance data'!$E$75,FALSE)))</f>
        <v/>
      </c>
      <c r="F238" s="457" t="str">
        <f>IF(ISERROR(VLOOKUP(F$38,'Compliance data'!$A$7:$E$74,'Compliance data'!$E$75,FALSE)),"",(VLOOKUP(F$38,'Compliance data'!$A$7:$E$74,'Compliance data'!$E$75,FALSE)))</f>
        <v/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ref="T258:Y273" si="25">S258+1</f>
        <v>18</v>
      </c>
      <c r="U258" s="526">
        <f t="shared" si="25"/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4"/>
        <v>25</v>
      </c>
      <c r="E259" s="526">
        <f t="shared" si="24"/>
        <v>26</v>
      </c>
      <c r="F259" s="526">
        <f t="shared" si="24"/>
        <v>27</v>
      </c>
      <c r="G259" s="526">
        <f t="shared" si="24"/>
        <v>28</v>
      </c>
      <c r="H259" s="526">
        <f t="shared" si="24"/>
        <v>29</v>
      </c>
      <c r="I259" s="526">
        <f t="shared" si="24"/>
        <v>30</v>
      </c>
      <c r="J259" s="526">
        <f t="shared" si="24"/>
        <v>31</v>
      </c>
      <c r="K259" s="526">
        <f t="shared" si="24"/>
        <v>32</v>
      </c>
      <c r="L259" s="526">
        <f t="shared" si="24"/>
        <v>33</v>
      </c>
      <c r="M259" s="526">
        <f t="shared" si="24"/>
        <v>34</v>
      </c>
      <c r="N259" s="526">
        <f t="shared" si="24"/>
        <v>35</v>
      </c>
      <c r="O259" s="526">
        <f t="shared" si="24"/>
        <v>36</v>
      </c>
      <c r="P259" s="526">
        <f t="shared" si="24"/>
        <v>37</v>
      </c>
      <c r="Q259" s="526">
        <f t="shared" si="24"/>
        <v>38</v>
      </c>
      <c r="R259" s="526">
        <f t="shared" si="24"/>
        <v>39</v>
      </c>
      <c r="S259" s="526">
        <f t="shared" si="24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6">Y259+1</f>
        <v>47</v>
      </c>
      <c r="D260" s="526">
        <f t="shared" si="24"/>
        <v>48</v>
      </c>
      <c r="E260" s="526">
        <f t="shared" si="24"/>
        <v>49</v>
      </c>
      <c r="F260" s="526">
        <f t="shared" si="24"/>
        <v>50</v>
      </c>
      <c r="G260" s="526">
        <f t="shared" si="24"/>
        <v>51</v>
      </c>
      <c r="H260" s="526">
        <f t="shared" si="24"/>
        <v>52</v>
      </c>
      <c r="I260" s="526">
        <f t="shared" si="24"/>
        <v>53</v>
      </c>
      <c r="J260" s="526">
        <f t="shared" si="24"/>
        <v>54</v>
      </c>
      <c r="K260" s="526">
        <f t="shared" si="24"/>
        <v>55</v>
      </c>
      <c r="L260" s="526">
        <f t="shared" si="24"/>
        <v>56</v>
      </c>
      <c r="M260" s="526">
        <f t="shared" si="24"/>
        <v>57</v>
      </c>
      <c r="N260" s="526">
        <f t="shared" si="24"/>
        <v>58</v>
      </c>
      <c r="O260" s="526">
        <f t="shared" si="24"/>
        <v>59</v>
      </c>
      <c r="P260" s="526">
        <f t="shared" si="24"/>
        <v>60</v>
      </c>
      <c r="Q260" s="526">
        <f t="shared" si="24"/>
        <v>61</v>
      </c>
      <c r="R260" s="526">
        <f t="shared" si="24"/>
        <v>62</v>
      </c>
      <c r="S260" s="526">
        <f t="shared" si="24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6"/>
        <v>70</v>
      </c>
      <c r="D261" s="526">
        <f t="shared" si="24"/>
        <v>71</v>
      </c>
      <c r="E261" s="526">
        <f t="shared" si="24"/>
        <v>72</v>
      </c>
      <c r="F261" s="526">
        <f t="shared" si="24"/>
        <v>73</v>
      </c>
      <c r="G261" s="526">
        <f t="shared" si="24"/>
        <v>74</v>
      </c>
      <c r="H261" s="526">
        <f t="shared" si="24"/>
        <v>75</v>
      </c>
      <c r="I261" s="526">
        <f t="shared" si="24"/>
        <v>76</v>
      </c>
      <c r="J261" s="526">
        <f t="shared" si="24"/>
        <v>77</v>
      </c>
      <c r="K261" s="526">
        <f t="shared" si="24"/>
        <v>78</v>
      </c>
      <c r="L261" s="526">
        <f t="shared" si="24"/>
        <v>79</v>
      </c>
      <c r="M261" s="526">
        <f t="shared" si="24"/>
        <v>80</v>
      </c>
      <c r="N261" s="526">
        <f t="shared" si="24"/>
        <v>81</v>
      </c>
      <c r="O261" s="526">
        <f t="shared" si="24"/>
        <v>82</v>
      </c>
      <c r="P261" s="526">
        <f t="shared" si="24"/>
        <v>83</v>
      </c>
      <c r="Q261" s="526">
        <f t="shared" si="24"/>
        <v>84</v>
      </c>
      <c r="R261" s="526">
        <f t="shared" si="24"/>
        <v>85</v>
      </c>
      <c r="S261" s="526">
        <f t="shared" si="24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6"/>
        <v>93</v>
      </c>
      <c r="D262" s="526">
        <f t="shared" si="24"/>
        <v>94</v>
      </c>
      <c r="E262" s="526">
        <f t="shared" si="24"/>
        <v>95</v>
      </c>
      <c r="F262" s="526">
        <f t="shared" si="24"/>
        <v>96</v>
      </c>
      <c r="G262" s="526">
        <f t="shared" si="24"/>
        <v>97</v>
      </c>
      <c r="H262" s="526">
        <f t="shared" si="24"/>
        <v>98</v>
      </c>
      <c r="I262" s="526">
        <f t="shared" si="24"/>
        <v>99</v>
      </c>
      <c r="J262" s="526">
        <f t="shared" si="24"/>
        <v>100</v>
      </c>
      <c r="K262" s="526">
        <f t="shared" si="24"/>
        <v>101</v>
      </c>
      <c r="L262" s="526">
        <f t="shared" si="24"/>
        <v>102</v>
      </c>
      <c r="M262" s="526">
        <f t="shared" si="24"/>
        <v>103</v>
      </c>
      <c r="N262" s="526">
        <f t="shared" si="24"/>
        <v>104</v>
      </c>
      <c r="O262" s="526">
        <f t="shared" si="24"/>
        <v>105</v>
      </c>
      <c r="P262" s="526">
        <f t="shared" si="24"/>
        <v>106</v>
      </c>
      <c r="Q262" s="526">
        <f t="shared" si="24"/>
        <v>107</v>
      </c>
      <c r="R262" s="526">
        <f t="shared" si="24"/>
        <v>108</v>
      </c>
      <c r="S262" s="526">
        <f t="shared" si="24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6"/>
        <v>116</v>
      </c>
      <c r="D263" s="526">
        <f t="shared" si="24"/>
        <v>117</v>
      </c>
      <c r="E263" s="526">
        <f t="shared" si="24"/>
        <v>118</v>
      </c>
      <c r="F263" s="526">
        <f t="shared" si="24"/>
        <v>119</v>
      </c>
      <c r="G263" s="526">
        <f t="shared" si="24"/>
        <v>120</v>
      </c>
      <c r="H263" s="526">
        <f t="shared" si="24"/>
        <v>121</v>
      </c>
      <c r="I263" s="526">
        <f t="shared" si="24"/>
        <v>122</v>
      </c>
      <c r="J263" s="526">
        <f t="shared" si="24"/>
        <v>123</v>
      </c>
      <c r="K263" s="526">
        <f t="shared" si="24"/>
        <v>124</v>
      </c>
      <c r="L263" s="526">
        <f t="shared" si="24"/>
        <v>125</v>
      </c>
      <c r="M263" s="526">
        <f t="shared" si="24"/>
        <v>126</v>
      </c>
      <c r="N263" s="526">
        <f t="shared" si="24"/>
        <v>127</v>
      </c>
      <c r="O263" s="526">
        <f t="shared" si="24"/>
        <v>128</v>
      </c>
      <c r="P263" s="526">
        <f t="shared" si="24"/>
        <v>129</v>
      </c>
      <c r="Q263" s="526">
        <f t="shared" si="24"/>
        <v>130</v>
      </c>
      <c r="R263" s="526">
        <f t="shared" si="24"/>
        <v>131</v>
      </c>
      <c r="S263" s="526">
        <f t="shared" si="24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6"/>
        <v>139</v>
      </c>
      <c r="D264" s="526">
        <f t="shared" si="24"/>
        <v>140</v>
      </c>
      <c r="E264" s="526">
        <f t="shared" si="24"/>
        <v>141</v>
      </c>
      <c r="F264" s="526">
        <f t="shared" si="24"/>
        <v>142</v>
      </c>
      <c r="G264" s="526">
        <f t="shared" si="24"/>
        <v>143</v>
      </c>
      <c r="H264" s="526">
        <f t="shared" si="24"/>
        <v>144</v>
      </c>
      <c r="I264" s="526">
        <f t="shared" si="24"/>
        <v>145</v>
      </c>
      <c r="J264" s="526">
        <f t="shared" si="24"/>
        <v>146</v>
      </c>
      <c r="K264" s="526">
        <f t="shared" si="24"/>
        <v>147</v>
      </c>
      <c r="L264" s="526">
        <f t="shared" si="24"/>
        <v>148</v>
      </c>
      <c r="M264" s="526">
        <f t="shared" si="24"/>
        <v>149</v>
      </c>
      <c r="N264" s="526">
        <f t="shared" si="24"/>
        <v>150</v>
      </c>
      <c r="O264" s="526">
        <f t="shared" si="24"/>
        <v>151</v>
      </c>
      <c r="P264" s="526">
        <f t="shared" si="24"/>
        <v>152</v>
      </c>
      <c r="Q264" s="526">
        <f t="shared" si="24"/>
        <v>153</v>
      </c>
      <c r="R264" s="526">
        <f t="shared" si="24"/>
        <v>154</v>
      </c>
      <c r="S264" s="526">
        <f t="shared" si="24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6"/>
        <v>162</v>
      </c>
      <c r="D265" s="526">
        <f t="shared" si="24"/>
        <v>163</v>
      </c>
      <c r="E265" s="526">
        <f t="shared" si="24"/>
        <v>164</v>
      </c>
      <c r="F265" s="526">
        <f t="shared" si="24"/>
        <v>165</v>
      </c>
      <c r="G265" s="526">
        <f t="shared" si="24"/>
        <v>166</v>
      </c>
      <c r="H265" s="526">
        <f t="shared" si="24"/>
        <v>167</v>
      </c>
      <c r="I265" s="526">
        <f t="shared" si="24"/>
        <v>168</v>
      </c>
      <c r="J265" s="526">
        <f t="shared" si="24"/>
        <v>169</v>
      </c>
      <c r="K265" s="526">
        <f t="shared" si="24"/>
        <v>170</v>
      </c>
      <c r="L265" s="526">
        <f t="shared" si="24"/>
        <v>171</v>
      </c>
      <c r="M265" s="526">
        <f t="shared" si="24"/>
        <v>172</v>
      </c>
      <c r="N265" s="526">
        <f t="shared" si="24"/>
        <v>173</v>
      </c>
      <c r="O265" s="526">
        <f t="shared" si="24"/>
        <v>174</v>
      </c>
      <c r="P265" s="526">
        <f t="shared" si="24"/>
        <v>175</v>
      </c>
      <c r="Q265" s="526">
        <f t="shared" si="24"/>
        <v>176</v>
      </c>
      <c r="R265" s="526">
        <f t="shared" si="24"/>
        <v>177</v>
      </c>
      <c r="S265" s="526">
        <f t="shared" si="24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6"/>
        <v>185</v>
      </c>
      <c r="D266" s="526">
        <f t="shared" si="24"/>
        <v>186</v>
      </c>
      <c r="E266" s="526">
        <f t="shared" si="24"/>
        <v>187</v>
      </c>
      <c r="F266" s="526">
        <f t="shared" si="24"/>
        <v>188</v>
      </c>
      <c r="G266" s="526">
        <f t="shared" si="24"/>
        <v>189</v>
      </c>
      <c r="H266" s="526">
        <f t="shared" si="24"/>
        <v>190</v>
      </c>
      <c r="I266" s="526">
        <f t="shared" si="24"/>
        <v>191</v>
      </c>
      <c r="J266" s="526">
        <f t="shared" si="24"/>
        <v>192</v>
      </c>
      <c r="K266" s="526">
        <f t="shared" si="24"/>
        <v>193</v>
      </c>
      <c r="L266" s="526">
        <f t="shared" si="24"/>
        <v>194</v>
      </c>
      <c r="M266" s="526">
        <f t="shared" si="24"/>
        <v>195</v>
      </c>
      <c r="N266" s="526">
        <f t="shared" si="24"/>
        <v>196</v>
      </c>
      <c r="O266" s="526">
        <f t="shared" si="24"/>
        <v>197</v>
      </c>
      <c r="P266" s="526">
        <f t="shared" si="24"/>
        <v>198</v>
      </c>
      <c r="Q266" s="526">
        <f t="shared" si="24"/>
        <v>199</v>
      </c>
      <c r="R266" s="526">
        <f t="shared" si="24"/>
        <v>200</v>
      </c>
      <c r="S266" s="526">
        <f t="shared" si="24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6"/>
        <v>208</v>
      </c>
      <c r="D267" s="526">
        <f t="shared" si="24"/>
        <v>209</v>
      </c>
      <c r="E267" s="526">
        <f t="shared" si="24"/>
        <v>210</v>
      </c>
      <c r="F267" s="526">
        <f t="shared" si="24"/>
        <v>211</v>
      </c>
      <c r="G267" s="526">
        <f t="shared" si="24"/>
        <v>212</v>
      </c>
      <c r="H267" s="526">
        <f t="shared" si="24"/>
        <v>213</v>
      </c>
      <c r="I267" s="526">
        <f t="shared" si="24"/>
        <v>214</v>
      </c>
      <c r="J267" s="526">
        <f t="shared" si="24"/>
        <v>215</v>
      </c>
      <c r="K267" s="526">
        <f t="shared" si="24"/>
        <v>216</v>
      </c>
      <c r="L267" s="526">
        <f t="shared" si="24"/>
        <v>217</v>
      </c>
      <c r="M267" s="526">
        <f t="shared" si="24"/>
        <v>218</v>
      </c>
      <c r="N267" s="526">
        <f t="shared" si="24"/>
        <v>219</v>
      </c>
      <c r="O267" s="526">
        <f t="shared" si="24"/>
        <v>220</v>
      </c>
      <c r="P267" s="526">
        <f t="shared" si="24"/>
        <v>221</v>
      </c>
      <c r="Q267" s="526">
        <f t="shared" si="24"/>
        <v>222</v>
      </c>
      <c r="R267" s="526">
        <f t="shared" si="24"/>
        <v>223</v>
      </c>
      <c r="S267" s="526">
        <f t="shared" si="24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6"/>
        <v>231</v>
      </c>
      <c r="D268" s="526">
        <f t="shared" si="24"/>
        <v>232</v>
      </c>
      <c r="E268" s="526">
        <f t="shared" si="24"/>
        <v>233</v>
      </c>
      <c r="F268" s="526">
        <f t="shared" si="24"/>
        <v>234</v>
      </c>
      <c r="G268" s="526">
        <f t="shared" si="24"/>
        <v>235</v>
      </c>
      <c r="H268" s="526">
        <f t="shared" si="24"/>
        <v>236</v>
      </c>
      <c r="I268" s="526">
        <f t="shared" si="24"/>
        <v>237</v>
      </c>
      <c r="J268" s="526">
        <f t="shared" si="24"/>
        <v>238</v>
      </c>
      <c r="K268" s="526">
        <f t="shared" si="24"/>
        <v>239</v>
      </c>
      <c r="L268" s="526">
        <f t="shared" si="24"/>
        <v>240</v>
      </c>
      <c r="M268" s="526">
        <f t="shared" si="24"/>
        <v>241</v>
      </c>
      <c r="N268" s="526">
        <f t="shared" si="24"/>
        <v>242</v>
      </c>
      <c r="O268" s="526">
        <f t="shared" si="24"/>
        <v>243</v>
      </c>
      <c r="P268" s="526">
        <f t="shared" si="24"/>
        <v>244</v>
      </c>
      <c r="Q268" s="526">
        <f t="shared" si="24"/>
        <v>245</v>
      </c>
      <c r="R268" s="526">
        <f t="shared" si="24"/>
        <v>246</v>
      </c>
      <c r="S268" s="526">
        <f t="shared" si="24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6"/>
        <v>254</v>
      </c>
      <c r="D269" s="526">
        <f t="shared" si="24"/>
        <v>255</v>
      </c>
      <c r="E269" s="526">
        <f t="shared" si="24"/>
        <v>256</v>
      </c>
      <c r="F269" s="526">
        <f t="shared" si="24"/>
        <v>257</v>
      </c>
      <c r="G269" s="526">
        <f t="shared" si="24"/>
        <v>258</v>
      </c>
      <c r="H269" s="526">
        <f t="shared" si="24"/>
        <v>259</v>
      </c>
      <c r="I269" s="526">
        <f t="shared" si="24"/>
        <v>260</v>
      </c>
      <c r="J269" s="526">
        <f t="shared" si="24"/>
        <v>261</v>
      </c>
      <c r="K269" s="526">
        <f t="shared" si="24"/>
        <v>262</v>
      </c>
      <c r="L269" s="526">
        <f t="shared" si="24"/>
        <v>263</v>
      </c>
      <c r="M269" s="526">
        <f t="shared" si="24"/>
        <v>264</v>
      </c>
      <c r="N269" s="526">
        <f t="shared" si="24"/>
        <v>265</v>
      </c>
      <c r="O269" s="526">
        <f t="shared" si="24"/>
        <v>266</v>
      </c>
      <c r="P269" s="526">
        <f t="shared" si="24"/>
        <v>267</v>
      </c>
      <c r="Q269" s="526">
        <f t="shared" si="24"/>
        <v>268</v>
      </c>
      <c r="R269" s="526">
        <f t="shared" si="24"/>
        <v>269</v>
      </c>
      <c r="S269" s="526">
        <f t="shared" si="24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6"/>
        <v>277</v>
      </c>
      <c r="D270" s="526">
        <f t="shared" si="24"/>
        <v>278</v>
      </c>
      <c r="E270" s="526">
        <f t="shared" si="24"/>
        <v>279</v>
      </c>
      <c r="F270" s="526">
        <f t="shared" si="24"/>
        <v>280</v>
      </c>
      <c r="G270" s="526">
        <f t="shared" si="24"/>
        <v>281</v>
      </c>
      <c r="H270" s="526">
        <f t="shared" si="24"/>
        <v>282</v>
      </c>
      <c r="I270" s="526">
        <f t="shared" si="24"/>
        <v>283</v>
      </c>
      <c r="J270" s="526">
        <f t="shared" si="24"/>
        <v>284</v>
      </c>
      <c r="K270" s="526">
        <f t="shared" si="24"/>
        <v>285</v>
      </c>
      <c r="L270" s="526">
        <f t="shared" si="24"/>
        <v>286</v>
      </c>
      <c r="M270" s="526">
        <f t="shared" si="24"/>
        <v>287</v>
      </c>
      <c r="N270" s="526">
        <f t="shared" si="24"/>
        <v>288</v>
      </c>
      <c r="O270" s="526">
        <f t="shared" si="24"/>
        <v>289</v>
      </c>
      <c r="P270" s="526">
        <f t="shared" si="24"/>
        <v>290</v>
      </c>
      <c r="Q270" s="526">
        <f t="shared" si="24"/>
        <v>291</v>
      </c>
      <c r="R270" s="526">
        <f t="shared" si="24"/>
        <v>292</v>
      </c>
      <c r="S270" s="526">
        <f t="shared" si="24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6"/>
        <v>300</v>
      </c>
      <c r="D271" s="526">
        <f t="shared" si="24"/>
        <v>301</v>
      </c>
      <c r="E271" s="526">
        <f t="shared" si="24"/>
        <v>302</v>
      </c>
      <c r="F271" s="526">
        <f t="shared" si="24"/>
        <v>303</v>
      </c>
      <c r="G271" s="526">
        <f t="shared" si="24"/>
        <v>304</v>
      </c>
      <c r="H271" s="526">
        <f t="shared" si="24"/>
        <v>305</v>
      </c>
      <c r="I271" s="526">
        <f t="shared" si="24"/>
        <v>306</v>
      </c>
      <c r="J271" s="526">
        <f t="shared" si="24"/>
        <v>307</v>
      </c>
      <c r="K271" s="526">
        <f t="shared" si="24"/>
        <v>308</v>
      </c>
      <c r="L271" s="526">
        <f t="shared" si="24"/>
        <v>309</v>
      </c>
      <c r="M271" s="526">
        <f t="shared" si="24"/>
        <v>310</v>
      </c>
      <c r="N271" s="526">
        <f t="shared" si="24"/>
        <v>311</v>
      </c>
      <c r="O271" s="526">
        <f t="shared" si="24"/>
        <v>312</v>
      </c>
      <c r="P271" s="526">
        <f t="shared" si="24"/>
        <v>313</v>
      </c>
      <c r="Q271" s="526">
        <f t="shared" si="24"/>
        <v>314</v>
      </c>
      <c r="R271" s="526">
        <f t="shared" si="24"/>
        <v>315</v>
      </c>
      <c r="S271" s="526">
        <f t="shared" si="24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6"/>
        <v>323</v>
      </c>
      <c r="D272" s="526">
        <f t="shared" si="24"/>
        <v>324</v>
      </c>
      <c r="E272" s="526">
        <f t="shared" si="24"/>
        <v>325</v>
      </c>
      <c r="F272" s="526">
        <f t="shared" si="24"/>
        <v>326</v>
      </c>
      <c r="G272" s="526">
        <f t="shared" si="24"/>
        <v>327</v>
      </c>
      <c r="H272" s="526">
        <f t="shared" si="24"/>
        <v>328</v>
      </c>
      <c r="I272" s="526">
        <f t="shared" si="24"/>
        <v>329</v>
      </c>
      <c r="J272" s="526">
        <f t="shared" si="24"/>
        <v>330</v>
      </c>
      <c r="K272" s="526">
        <f t="shared" si="24"/>
        <v>331</v>
      </c>
      <c r="L272" s="526">
        <f t="shared" si="24"/>
        <v>332</v>
      </c>
      <c r="M272" s="526">
        <f t="shared" si="24"/>
        <v>333</v>
      </c>
      <c r="N272" s="526">
        <f t="shared" si="24"/>
        <v>334</v>
      </c>
      <c r="O272" s="526">
        <f t="shared" si="24"/>
        <v>335</v>
      </c>
      <c r="P272" s="526">
        <f t="shared" si="24"/>
        <v>336</v>
      </c>
      <c r="Q272" s="526">
        <f t="shared" si="24"/>
        <v>337</v>
      </c>
      <c r="R272" s="526">
        <f t="shared" si="24"/>
        <v>338</v>
      </c>
      <c r="S272" s="526">
        <f t="shared" si="24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6"/>
        <v>346</v>
      </c>
      <c r="D273" s="526">
        <f t="shared" si="24"/>
        <v>347</v>
      </c>
      <c r="E273" s="526">
        <f t="shared" si="24"/>
        <v>348</v>
      </c>
      <c r="F273" s="526">
        <f t="shared" si="24"/>
        <v>349</v>
      </c>
      <c r="G273" s="526">
        <f t="shared" si="24"/>
        <v>350</v>
      </c>
      <c r="H273" s="526">
        <f t="shared" si="24"/>
        <v>351</v>
      </c>
      <c r="I273" s="526">
        <f t="shared" si="24"/>
        <v>352</v>
      </c>
      <c r="J273" s="526">
        <f t="shared" si="24"/>
        <v>353</v>
      </c>
      <c r="K273" s="526">
        <f t="shared" si="24"/>
        <v>354</v>
      </c>
      <c r="L273" s="526">
        <f t="shared" si="24"/>
        <v>355</v>
      </c>
      <c r="M273" s="526">
        <f t="shared" si="24"/>
        <v>356</v>
      </c>
      <c r="N273" s="526">
        <f t="shared" si="24"/>
        <v>357</v>
      </c>
      <c r="O273" s="526">
        <f t="shared" si="24"/>
        <v>358</v>
      </c>
      <c r="P273" s="526">
        <f t="shared" si="24"/>
        <v>359</v>
      </c>
      <c r="Q273" s="526">
        <f t="shared" si="24"/>
        <v>360</v>
      </c>
      <c r="R273" s="526">
        <f t="shared" si="24"/>
        <v>361</v>
      </c>
      <c r="S273" s="526">
        <f t="shared" ref="D273:S286" si="27">R273+1</f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6"/>
        <v>369</v>
      </c>
      <c r="D274" s="526">
        <f t="shared" si="27"/>
        <v>370</v>
      </c>
      <c r="E274" s="526">
        <f t="shared" si="27"/>
        <v>371</v>
      </c>
      <c r="F274" s="526">
        <f t="shared" si="27"/>
        <v>372</v>
      </c>
      <c r="G274" s="526">
        <f t="shared" si="27"/>
        <v>373</v>
      </c>
      <c r="H274" s="526">
        <f t="shared" si="27"/>
        <v>374</v>
      </c>
      <c r="I274" s="526">
        <f t="shared" si="27"/>
        <v>375</v>
      </c>
      <c r="J274" s="526">
        <f t="shared" si="27"/>
        <v>376</v>
      </c>
      <c r="K274" s="526">
        <f t="shared" si="27"/>
        <v>377</v>
      </c>
      <c r="L274" s="526">
        <f t="shared" si="27"/>
        <v>378</v>
      </c>
      <c r="M274" s="526">
        <f t="shared" si="27"/>
        <v>379</v>
      </c>
      <c r="N274" s="526">
        <f t="shared" si="27"/>
        <v>380</v>
      </c>
      <c r="O274" s="526">
        <f t="shared" si="27"/>
        <v>381</v>
      </c>
      <c r="P274" s="526">
        <f t="shared" si="27"/>
        <v>382</v>
      </c>
      <c r="Q274" s="526">
        <f t="shared" si="27"/>
        <v>383</v>
      </c>
      <c r="R274" s="526">
        <f t="shared" si="27"/>
        <v>384</v>
      </c>
      <c r="S274" s="526">
        <f t="shared" si="27"/>
        <v>385</v>
      </c>
      <c r="T274" s="526">
        <f t="shared" ref="S274:Y286" si="28">S274+1</f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6"/>
        <v>392</v>
      </c>
      <c r="D275" s="526">
        <f t="shared" si="27"/>
        <v>393</v>
      </c>
      <c r="E275" s="526">
        <f t="shared" si="27"/>
        <v>394</v>
      </c>
      <c r="F275" s="526">
        <f t="shared" si="27"/>
        <v>395</v>
      </c>
      <c r="G275" s="526">
        <f t="shared" si="27"/>
        <v>396</v>
      </c>
      <c r="H275" s="526">
        <f t="shared" si="27"/>
        <v>397</v>
      </c>
      <c r="I275" s="526">
        <f t="shared" si="27"/>
        <v>398</v>
      </c>
      <c r="J275" s="526">
        <f t="shared" si="27"/>
        <v>399</v>
      </c>
      <c r="K275" s="526">
        <f t="shared" si="27"/>
        <v>400</v>
      </c>
      <c r="L275" s="526">
        <f t="shared" si="27"/>
        <v>401</v>
      </c>
      <c r="M275" s="526">
        <f t="shared" si="27"/>
        <v>402</v>
      </c>
      <c r="N275" s="526">
        <f t="shared" si="27"/>
        <v>403</v>
      </c>
      <c r="O275" s="526">
        <f t="shared" si="27"/>
        <v>404</v>
      </c>
      <c r="P275" s="526">
        <f t="shared" si="27"/>
        <v>405</v>
      </c>
      <c r="Q275" s="526">
        <f t="shared" si="27"/>
        <v>406</v>
      </c>
      <c r="R275" s="526">
        <f t="shared" si="27"/>
        <v>407</v>
      </c>
      <c r="S275" s="526">
        <f t="shared" si="27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6"/>
        <v>415</v>
      </c>
      <c r="D276" s="526">
        <f t="shared" si="27"/>
        <v>416</v>
      </c>
      <c r="E276" s="526">
        <f t="shared" si="27"/>
        <v>417</v>
      </c>
      <c r="F276" s="526">
        <f t="shared" si="27"/>
        <v>418</v>
      </c>
      <c r="G276" s="526">
        <f t="shared" si="27"/>
        <v>419</v>
      </c>
      <c r="H276" s="526">
        <f t="shared" si="27"/>
        <v>420</v>
      </c>
      <c r="I276" s="526">
        <f t="shared" si="27"/>
        <v>421</v>
      </c>
      <c r="J276" s="526">
        <f t="shared" si="27"/>
        <v>422</v>
      </c>
      <c r="K276" s="526">
        <f t="shared" si="27"/>
        <v>423</v>
      </c>
      <c r="L276" s="526">
        <f t="shared" si="27"/>
        <v>424</v>
      </c>
      <c r="M276" s="526">
        <f t="shared" si="27"/>
        <v>425</v>
      </c>
      <c r="N276" s="526">
        <f t="shared" si="27"/>
        <v>426</v>
      </c>
      <c r="O276" s="526">
        <f t="shared" si="27"/>
        <v>427</v>
      </c>
      <c r="P276" s="526">
        <f t="shared" si="27"/>
        <v>428</v>
      </c>
      <c r="Q276" s="526">
        <f t="shared" si="27"/>
        <v>429</v>
      </c>
      <c r="R276" s="526">
        <f t="shared" si="27"/>
        <v>430</v>
      </c>
      <c r="S276" s="526">
        <f t="shared" si="27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6"/>
        <v>438</v>
      </c>
      <c r="D277" s="526">
        <f t="shared" si="27"/>
        <v>439</v>
      </c>
      <c r="E277" s="526">
        <f t="shared" si="27"/>
        <v>440</v>
      </c>
      <c r="F277" s="526">
        <f t="shared" si="27"/>
        <v>441</v>
      </c>
      <c r="G277" s="526">
        <f t="shared" si="27"/>
        <v>442</v>
      </c>
      <c r="H277" s="526">
        <f t="shared" si="27"/>
        <v>443</v>
      </c>
      <c r="I277" s="526">
        <f t="shared" si="27"/>
        <v>444</v>
      </c>
      <c r="J277" s="526">
        <f t="shared" si="27"/>
        <v>445</v>
      </c>
      <c r="K277" s="526">
        <f t="shared" si="27"/>
        <v>446</v>
      </c>
      <c r="L277" s="526">
        <f t="shared" si="27"/>
        <v>447</v>
      </c>
      <c r="M277" s="526">
        <f t="shared" si="27"/>
        <v>448</v>
      </c>
      <c r="N277" s="526">
        <f t="shared" si="27"/>
        <v>449</v>
      </c>
      <c r="O277" s="526">
        <f t="shared" si="27"/>
        <v>450</v>
      </c>
      <c r="P277" s="526">
        <f t="shared" si="27"/>
        <v>451</v>
      </c>
      <c r="Q277" s="526">
        <f t="shared" si="27"/>
        <v>452</v>
      </c>
      <c r="R277" s="526">
        <f t="shared" si="27"/>
        <v>453</v>
      </c>
      <c r="S277" s="526">
        <f t="shared" si="27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6"/>
        <v>461</v>
      </c>
      <c r="D278" s="526">
        <f t="shared" si="27"/>
        <v>462</v>
      </c>
      <c r="E278" s="526">
        <f t="shared" si="27"/>
        <v>463</v>
      </c>
      <c r="F278" s="526">
        <f t="shared" si="27"/>
        <v>464</v>
      </c>
      <c r="G278" s="526">
        <f t="shared" si="27"/>
        <v>465</v>
      </c>
      <c r="H278" s="526">
        <f t="shared" si="27"/>
        <v>466</v>
      </c>
      <c r="I278" s="526">
        <f t="shared" si="27"/>
        <v>467</v>
      </c>
      <c r="J278" s="526">
        <f t="shared" si="27"/>
        <v>468</v>
      </c>
      <c r="K278" s="526">
        <f t="shared" si="27"/>
        <v>469</v>
      </c>
      <c r="L278" s="526">
        <f t="shared" si="27"/>
        <v>470</v>
      </c>
      <c r="M278" s="526">
        <f t="shared" si="27"/>
        <v>471</v>
      </c>
      <c r="N278" s="526">
        <f t="shared" si="27"/>
        <v>472</v>
      </c>
      <c r="O278" s="526">
        <f t="shared" si="27"/>
        <v>473</v>
      </c>
      <c r="P278" s="526">
        <f t="shared" si="27"/>
        <v>474</v>
      </c>
      <c r="Q278" s="526">
        <f t="shared" si="27"/>
        <v>475</v>
      </c>
      <c r="R278" s="526">
        <f t="shared" si="27"/>
        <v>476</v>
      </c>
      <c r="S278" s="526">
        <f t="shared" si="27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6"/>
        <v>484</v>
      </c>
      <c r="D279" s="526">
        <f t="shared" si="27"/>
        <v>485</v>
      </c>
      <c r="E279" s="526">
        <f t="shared" si="27"/>
        <v>486</v>
      </c>
      <c r="F279" s="526">
        <f t="shared" si="27"/>
        <v>487</v>
      </c>
      <c r="G279" s="526">
        <f t="shared" si="27"/>
        <v>488</v>
      </c>
      <c r="H279" s="526">
        <f t="shared" si="27"/>
        <v>489</v>
      </c>
      <c r="I279" s="526">
        <f t="shared" si="27"/>
        <v>490</v>
      </c>
      <c r="J279" s="526">
        <f t="shared" si="27"/>
        <v>491</v>
      </c>
      <c r="K279" s="526">
        <f t="shared" si="27"/>
        <v>492</v>
      </c>
      <c r="L279" s="526">
        <f t="shared" si="27"/>
        <v>493</v>
      </c>
      <c r="M279" s="526">
        <f t="shared" si="27"/>
        <v>494</v>
      </c>
      <c r="N279" s="526">
        <f t="shared" si="27"/>
        <v>495</v>
      </c>
      <c r="O279" s="526">
        <f t="shared" si="27"/>
        <v>496</v>
      </c>
      <c r="P279" s="526">
        <f t="shared" si="27"/>
        <v>497</v>
      </c>
      <c r="Q279" s="526">
        <f t="shared" si="27"/>
        <v>498</v>
      </c>
      <c r="R279" s="526">
        <f t="shared" si="27"/>
        <v>499</v>
      </c>
      <c r="S279" s="526">
        <f t="shared" si="27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6"/>
        <v>507</v>
      </c>
      <c r="D280" s="526">
        <f t="shared" si="27"/>
        <v>508</v>
      </c>
      <c r="E280" s="526">
        <f t="shared" si="27"/>
        <v>509</v>
      </c>
      <c r="F280" s="526">
        <f t="shared" si="27"/>
        <v>510</v>
      </c>
      <c r="G280" s="526">
        <f t="shared" si="27"/>
        <v>511</v>
      </c>
      <c r="H280" s="526">
        <f t="shared" si="27"/>
        <v>512</v>
      </c>
      <c r="I280" s="526">
        <f t="shared" si="27"/>
        <v>513</v>
      </c>
      <c r="J280" s="526">
        <f t="shared" si="27"/>
        <v>514</v>
      </c>
      <c r="K280" s="526">
        <f t="shared" si="27"/>
        <v>515</v>
      </c>
      <c r="L280" s="526">
        <f t="shared" si="27"/>
        <v>516</v>
      </c>
      <c r="M280" s="526">
        <f t="shared" si="27"/>
        <v>517</v>
      </c>
      <c r="N280" s="526">
        <f t="shared" si="27"/>
        <v>518</v>
      </c>
      <c r="O280" s="526">
        <f t="shared" si="27"/>
        <v>519</v>
      </c>
      <c r="P280" s="526">
        <f t="shared" si="27"/>
        <v>520</v>
      </c>
      <c r="Q280" s="526">
        <f t="shared" si="27"/>
        <v>521</v>
      </c>
      <c r="R280" s="526">
        <f t="shared" si="27"/>
        <v>522</v>
      </c>
      <c r="S280" s="526">
        <f t="shared" si="27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6"/>
        <v>530</v>
      </c>
      <c r="D281" s="526">
        <f t="shared" si="27"/>
        <v>531</v>
      </c>
      <c r="E281" s="526">
        <f t="shared" si="27"/>
        <v>532</v>
      </c>
      <c r="F281" s="526">
        <f t="shared" si="27"/>
        <v>533</v>
      </c>
      <c r="G281" s="526">
        <f t="shared" si="27"/>
        <v>534</v>
      </c>
      <c r="H281" s="526">
        <f t="shared" si="27"/>
        <v>535</v>
      </c>
      <c r="I281" s="526">
        <f t="shared" si="27"/>
        <v>536</v>
      </c>
      <c r="J281" s="526">
        <f t="shared" si="27"/>
        <v>537</v>
      </c>
      <c r="K281" s="526">
        <f t="shared" si="27"/>
        <v>538</v>
      </c>
      <c r="L281" s="526">
        <f t="shared" si="27"/>
        <v>539</v>
      </c>
      <c r="M281" s="526">
        <f t="shared" si="27"/>
        <v>540</v>
      </c>
      <c r="N281" s="526">
        <f t="shared" si="27"/>
        <v>541</v>
      </c>
      <c r="O281" s="526">
        <f t="shared" si="27"/>
        <v>542</v>
      </c>
      <c r="P281" s="526">
        <f t="shared" si="27"/>
        <v>543</v>
      </c>
      <c r="Q281" s="526">
        <f t="shared" si="27"/>
        <v>544</v>
      </c>
      <c r="R281" s="526">
        <f t="shared" si="27"/>
        <v>545</v>
      </c>
      <c r="S281" s="526">
        <f t="shared" si="27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6"/>
        <v>553</v>
      </c>
      <c r="D282" s="526">
        <f t="shared" si="27"/>
        <v>554</v>
      </c>
      <c r="E282" s="526">
        <f t="shared" si="27"/>
        <v>555</v>
      </c>
      <c r="F282" s="526">
        <f t="shared" si="27"/>
        <v>556</v>
      </c>
      <c r="G282" s="526">
        <f t="shared" si="27"/>
        <v>557</v>
      </c>
      <c r="H282" s="526">
        <f t="shared" si="27"/>
        <v>558</v>
      </c>
      <c r="I282" s="526">
        <f t="shared" si="27"/>
        <v>559</v>
      </c>
      <c r="J282" s="526">
        <f t="shared" si="27"/>
        <v>560</v>
      </c>
      <c r="K282" s="526">
        <f t="shared" si="27"/>
        <v>561</v>
      </c>
      <c r="L282" s="526">
        <f t="shared" si="27"/>
        <v>562</v>
      </c>
      <c r="M282" s="526">
        <f t="shared" si="27"/>
        <v>563</v>
      </c>
      <c r="N282" s="526">
        <f t="shared" si="27"/>
        <v>564</v>
      </c>
      <c r="O282" s="526">
        <f t="shared" si="27"/>
        <v>565</v>
      </c>
      <c r="P282" s="526">
        <f t="shared" si="27"/>
        <v>566</v>
      </c>
      <c r="Q282" s="526">
        <f t="shared" si="27"/>
        <v>567</v>
      </c>
      <c r="R282" s="526">
        <f t="shared" si="27"/>
        <v>568</v>
      </c>
      <c r="S282" s="526">
        <f t="shared" si="27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6"/>
        <v>576</v>
      </c>
      <c r="D283" s="526">
        <f t="shared" si="27"/>
        <v>577</v>
      </c>
      <c r="E283" s="526">
        <f t="shared" si="27"/>
        <v>578</v>
      </c>
      <c r="F283" s="526">
        <f t="shared" si="27"/>
        <v>579</v>
      </c>
      <c r="G283" s="526">
        <f t="shared" si="27"/>
        <v>580</v>
      </c>
      <c r="H283" s="526">
        <f t="shared" si="27"/>
        <v>581</v>
      </c>
      <c r="I283" s="526">
        <f t="shared" si="27"/>
        <v>582</v>
      </c>
      <c r="J283" s="526">
        <f t="shared" si="27"/>
        <v>583</v>
      </c>
      <c r="K283" s="526">
        <f t="shared" si="27"/>
        <v>584</v>
      </c>
      <c r="L283" s="526">
        <f t="shared" si="27"/>
        <v>585</v>
      </c>
      <c r="M283" s="526">
        <f t="shared" si="27"/>
        <v>586</v>
      </c>
      <c r="N283" s="526">
        <f t="shared" si="27"/>
        <v>587</v>
      </c>
      <c r="O283" s="526">
        <f t="shared" si="27"/>
        <v>588</v>
      </c>
      <c r="P283" s="526">
        <f t="shared" si="27"/>
        <v>589</v>
      </c>
      <c r="Q283" s="526">
        <f t="shared" si="27"/>
        <v>590</v>
      </c>
      <c r="R283" s="526">
        <f t="shared" si="27"/>
        <v>591</v>
      </c>
      <c r="S283" s="526">
        <f t="shared" si="27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6"/>
        <v>599</v>
      </c>
      <c r="D284" s="526">
        <f t="shared" si="27"/>
        <v>600</v>
      </c>
      <c r="E284" s="526">
        <f t="shared" si="27"/>
        <v>601</v>
      </c>
      <c r="F284" s="526">
        <f t="shared" si="27"/>
        <v>602</v>
      </c>
      <c r="G284" s="526">
        <f t="shared" si="27"/>
        <v>603</v>
      </c>
      <c r="H284" s="526">
        <f t="shared" si="27"/>
        <v>604</v>
      </c>
      <c r="I284" s="526">
        <f t="shared" si="27"/>
        <v>605</v>
      </c>
      <c r="J284" s="526">
        <f t="shared" si="27"/>
        <v>606</v>
      </c>
      <c r="K284" s="526">
        <f t="shared" si="27"/>
        <v>607</v>
      </c>
      <c r="L284" s="526">
        <f t="shared" si="27"/>
        <v>608</v>
      </c>
      <c r="M284" s="526">
        <f t="shared" si="27"/>
        <v>609</v>
      </c>
      <c r="N284" s="526">
        <f t="shared" si="27"/>
        <v>610</v>
      </c>
      <c r="O284" s="526">
        <f t="shared" si="27"/>
        <v>611</v>
      </c>
      <c r="P284" s="526">
        <f t="shared" si="27"/>
        <v>612</v>
      </c>
      <c r="Q284" s="526">
        <f t="shared" si="27"/>
        <v>613</v>
      </c>
      <c r="R284" s="526">
        <f t="shared" si="27"/>
        <v>614</v>
      </c>
      <c r="S284" s="526">
        <f t="shared" si="27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6"/>
        <v>622</v>
      </c>
      <c r="D285" s="526">
        <f t="shared" si="27"/>
        <v>623</v>
      </c>
      <c r="E285" s="526">
        <f t="shared" si="27"/>
        <v>624</v>
      </c>
      <c r="F285" s="526">
        <f t="shared" si="27"/>
        <v>625</v>
      </c>
      <c r="G285" s="526">
        <f t="shared" si="27"/>
        <v>626</v>
      </c>
      <c r="H285" s="526">
        <f t="shared" si="27"/>
        <v>627</v>
      </c>
      <c r="I285" s="526">
        <f t="shared" si="27"/>
        <v>628</v>
      </c>
      <c r="J285" s="526">
        <f t="shared" si="27"/>
        <v>629</v>
      </c>
      <c r="K285" s="526">
        <f t="shared" si="27"/>
        <v>630</v>
      </c>
      <c r="L285" s="526">
        <f t="shared" si="27"/>
        <v>631</v>
      </c>
      <c r="M285" s="526">
        <f t="shared" si="27"/>
        <v>632</v>
      </c>
      <c r="N285" s="526">
        <f t="shared" si="27"/>
        <v>633</v>
      </c>
      <c r="O285" s="526">
        <f t="shared" si="27"/>
        <v>634</v>
      </c>
      <c r="P285" s="526">
        <f t="shared" si="27"/>
        <v>635</v>
      </c>
      <c r="Q285" s="526">
        <f t="shared" si="27"/>
        <v>636</v>
      </c>
      <c r="R285" s="526">
        <f t="shared" si="27"/>
        <v>637</v>
      </c>
      <c r="S285" s="526">
        <f t="shared" si="27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6"/>
        <v>645</v>
      </c>
      <c r="D286" s="526">
        <f t="shared" si="27"/>
        <v>646</v>
      </c>
      <c r="E286" s="526">
        <f t="shared" si="27"/>
        <v>647</v>
      </c>
      <c r="F286" s="526">
        <f t="shared" si="27"/>
        <v>648</v>
      </c>
      <c r="G286" s="526">
        <f t="shared" si="27"/>
        <v>649</v>
      </c>
      <c r="H286" s="526">
        <f t="shared" si="27"/>
        <v>650</v>
      </c>
      <c r="I286" s="526">
        <f t="shared" si="27"/>
        <v>651</v>
      </c>
      <c r="J286" s="526">
        <f t="shared" si="27"/>
        <v>652</v>
      </c>
      <c r="K286" s="526">
        <f t="shared" si="27"/>
        <v>653</v>
      </c>
      <c r="L286" s="526">
        <f t="shared" si="27"/>
        <v>654</v>
      </c>
      <c r="M286" s="526">
        <f t="shared" si="27"/>
        <v>655</v>
      </c>
      <c r="N286" s="526">
        <f t="shared" si="27"/>
        <v>656</v>
      </c>
      <c r="O286" s="526">
        <f t="shared" si="27"/>
        <v>657</v>
      </c>
      <c r="P286" s="526">
        <f t="shared" si="27"/>
        <v>658</v>
      </c>
      <c r="Q286" s="526">
        <f t="shared" si="27"/>
        <v>659</v>
      </c>
      <c r="R286" s="526">
        <f t="shared" si="27"/>
        <v>660</v>
      </c>
      <c r="S286" s="526">
        <f t="shared" si="28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44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Northpower</v>
      </c>
      <c r="C6" s="108"/>
      <c r="D6" s="109">
        <f>VLOOKUP($B$6,$B$258:$J$286,9,FALSE)</f>
        <v>353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47.776600000000002</v>
      </c>
      <c r="E7" s="407">
        <f>D7/('Industry calcs'!D4/1000)*100</f>
        <v>2.3177393673141262</v>
      </c>
    </row>
    <row r="8" spans="2:5">
      <c r="B8" s="111" t="s">
        <v>250</v>
      </c>
      <c r="C8" s="114"/>
      <c r="D8" s="406">
        <f>VLOOKUP(D6,'AV (2011)'!A8:F214,'AV (2011)'!F214,FALSE)/1000</f>
        <v>219.26041000000001</v>
      </c>
      <c r="E8" s="407">
        <f>D8/('Industry calcs'!D5/1000)*100</f>
        <v>2.4429745582417359</v>
      </c>
    </row>
    <row r="9" spans="2:5">
      <c r="B9" s="111" t="s">
        <v>230</v>
      </c>
      <c r="C9" s="114"/>
      <c r="D9" s="406">
        <f>VLOOKUP($D$6,'FS (2011)'!$A$13:$AH$244,'FS (2011)'!S245,FALSE)/1000</f>
        <v>14.793732</v>
      </c>
      <c r="E9" s="407">
        <f>D9/('Industry calcs'!D6/1000)*100</f>
        <v>3.2584777385712993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10.558999999999999</v>
      </c>
      <c r="E10" s="407">
        <f>D10/('Industry calcs'!D7/1000)*100</f>
        <v>1.804438701487844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956.81200000000001</v>
      </c>
      <c r="E11" s="407">
        <f>D11/'Industry calcs'!D8*100</f>
        <v>3.0919013385290528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153</v>
      </c>
      <c r="E12" s="407">
        <f>D12/'Industry calcs'!D9*100</f>
        <v>2.4467286015233332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5826</v>
      </c>
      <c r="E13" s="407">
        <f>D13/'Industry calcs'!D10*100</f>
        <v>3.8951712951841215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54416</v>
      </c>
      <c r="E14" s="407">
        <f>D14/'Industry calcs'!D11*100</f>
        <v>2.7090494978032784</v>
      </c>
    </row>
    <row r="15" spans="2:5">
      <c r="B15" s="115" t="s">
        <v>195</v>
      </c>
      <c r="C15" s="116" t="s">
        <v>239</v>
      </c>
      <c r="D15" s="408">
        <f>D14/D13</f>
        <v>9.3401991074493651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Northpower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24.056694705026946</v>
      </c>
      <c r="D20" s="409">
        <f>VLOOKUP($B$2,'MED price allocation'!$B$16:$F$44,3,FALSE)</f>
        <v>23.818042144278941</v>
      </c>
      <c r="E20" s="409">
        <f>VLOOKUP($B$2,'MED price allocation'!$B$16:$F$44,4,FALSE)</f>
        <v>23.967083614022794</v>
      </c>
      <c r="F20" s="503">
        <f>VLOOKUP($B$2,'MED price allocation'!$B$16:$F$44,5,FALSE)</f>
        <v>25.521999999999998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6.0912577343103989</v>
      </c>
      <c r="D21" s="410">
        <f>VLOOKUP($B$2,'MED price allocation'!$B$47:$F$75,3,FALSE)</f>
        <v>6.4258054773834843</v>
      </c>
      <c r="E21" s="410">
        <f>VLOOKUP($B$2,'MED price allocation'!$B$47:$F$75,4,FALSE)</f>
        <v>6.9382689768532231</v>
      </c>
      <c r="F21" s="504">
        <f>VLOOKUP($B$2,'MED price allocation'!$B$47:$F$75,5,FALSE)</f>
        <v>7.3200000000000012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8.1396452909811519</v>
      </c>
      <c r="D22" s="409">
        <f>VLOOKUP($B$2,'MED price allocation'!$B$78:$F$106,3,FALSE)</f>
        <v>8.5331374836982619</v>
      </c>
      <c r="E22" s="409">
        <f>VLOOKUP($B$2,'MED price allocation'!$B$78:$F$106,4,FALSE)</f>
        <v>8.9861281021799453</v>
      </c>
      <c r="F22" s="503">
        <f>VLOOKUP($B$2,'MED price allocation'!$B$78:$F$106,5,FALSE)</f>
        <v>9.3300000000000018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2.0483875566707535</v>
      </c>
      <c r="D23" s="411">
        <f>VLOOKUP($B$2,'MED price allocation'!$B$109:$F$137,3,FALSE)</f>
        <v>2.1073320063147771</v>
      </c>
      <c r="E23" s="411">
        <f>VLOOKUP($B$2,'MED price allocation'!$B$109:$F$137,4,FALSE)</f>
        <v>2.0478591253267222</v>
      </c>
      <c r="F23" s="505">
        <f>VLOOKUP($B$2,'MED price allocation'!$B$109:$F$137,5,FALSE)</f>
        <v>2.0099999999999998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Northpower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1924.5355764021556</v>
      </c>
      <c r="D26" s="412">
        <f>(D20*8000)/100</f>
        <v>1905.4433715423154</v>
      </c>
      <c r="E26" s="412">
        <f>(E20*8000)/100</f>
        <v>1917.3666891218236</v>
      </c>
      <c r="F26" s="506">
        <f>(F20*8000)/100</f>
        <v>2041.76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651.17162327849212</v>
      </c>
      <c r="D27" s="412">
        <f>(D22*8000)/100</f>
        <v>682.65099869586095</v>
      </c>
      <c r="E27" s="412">
        <f>(E22*8000)/100</f>
        <v>718.89024817439565</v>
      </c>
      <c r="F27" s="506">
        <f>(F22*8000)/100</f>
        <v>746.40000000000009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487.30061874483187</v>
      </c>
      <c r="D28" s="412">
        <f>(D21*8000)/100</f>
        <v>514.06443819067874</v>
      </c>
      <c r="E28" s="412">
        <f>(E21*8000)/100</f>
        <v>555.06151814825785</v>
      </c>
      <c r="F28" s="506">
        <f>(F21*8000)/100</f>
        <v>585.6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163.87100453366028</v>
      </c>
      <c r="D29" s="413">
        <f>(D23*8000)/100</f>
        <v>168.58656050518218</v>
      </c>
      <c r="E29" s="413">
        <f>(E23*8000)/100</f>
        <v>163.82873002613778</v>
      </c>
      <c r="F29" s="507">
        <f>(F23*8000)/100</f>
        <v>160.79999999999998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Northpower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1947.2764092665736</v>
      </c>
      <c r="D32" s="122"/>
    </row>
    <row r="33" spans="2:13">
      <c r="B33" s="120" t="s">
        <v>241</v>
      </c>
      <c r="C33" s="412">
        <f>AVERAGE(C27:F27)</f>
        <v>699.77821753718717</v>
      </c>
      <c r="D33" s="414">
        <f>C33/$C$32</f>
        <v>0.35936255079511448</v>
      </c>
    </row>
    <row r="34" spans="2:13">
      <c r="B34" s="120" t="s">
        <v>222</v>
      </c>
      <c r="C34" s="412">
        <f>AVERAGE(C28:F28)</f>
        <v>535.50664377094211</v>
      </c>
      <c r="D34" s="414">
        <f>C34/$C$32</f>
        <v>0.27500289184555798</v>
      </c>
    </row>
    <row r="35" spans="2:13">
      <c r="B35" s="124" t="s">
        <v>223</v>
      </c>
      <c r="C35" s="413">
        <f>AVERAGE(C29:F29)</f>
        <v>164.27157376624504</v>
      </c>
      <c r="D35" s="415">
        <f>C35/$C$32</f>
        <v>8.4359658949556438E-2</v>
      </c>
    </row>
    <row r="38" spans="2:13">
      <c r="B38" s="517" t="s">
        <v>227</v>
      </c>
      <c r="C38" s="518">
        <f>VLOOKUP($B$2,$B$258:$J$286,6,FALSE)</f>
        <v>350</v>
      </c>
      <c r="D38" s="518">
        <f>VLOOKUP($B$2,$B$258:$J$286,7,FALSE)</f>
        <v>351</v>
      </c>
      <c r="E38" s="518">
        <f>VLOOKUP($B$2,$B$258:$J$286,8,FALSE)</f>
        <v>352</v>
      </c>
      <c r="F38" s="519">
        <f>VLOOKUP($B$2,$B$258:$J$286,9,FALSE)</f>
        <v>353</v>
      </c>
    </row>
    <row r="39" spans="2:13">
      <c r="B39" s="137" t="str">
        <f>B2</f>
        <v>Northpower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44582.61612158193</v>
      </c>
      <c r="D40" s="418">
        <f>VLOOKUP($D$38,'FS (2011)'!$A$13:$AH$244,'FS (2011)'!E245,FALSE)</f>
        <v>47469.366298304609</v>
      </c>
      <c r="E40" s="418">
        <f>VLOOKUP($E$38,'FS (2011)'!$A$13:$AH$244,'FS (2011)'!E245,FALSE)</f>
        <v>51091.538088437381</v>
      </c>
      <c r="F40" s="419">
        <f>VLOOKUP($F$38,'FS (2011)'!$A$13:$AH$244,'FS (2011)'!E245,FALSE)</f>
        <v>50025</v>
      </c>
    </row>
    <row r="41" spans="2:13" ht="30">
      <c r="B41" s="120" t="s">
        <v>198</v>
      </c>
      <c r="C41" s="417">
        <f>VLOOKUP($C$38,'FS (2011)'!$A$13:$AH$244,'FS (2011)'!$F$245,FALSE)</f>
        <v>7551.9391828006046</v>
      </c>
      <c r="D41" s="418">
        <f>VLOOKUP($D$38,'FS (2011)'!$A$13:$AH$244,'FS (2011)'!$F$245,FALSE)</f>
        <v>3870.0166106115712</v>
      </c>
      <c r="E41" s="418">
        <f>VLOOKUP($E$38,'FS (2011)'!$A$13:$AH$244,'FS (2011)'!$F$245,FALSE)</f>
        <v>2400.3761687909241</v>
      </c>
      <c r="F41" s="419">
        <f>VLOOKUP($F$38,'FS (2011)'!$A$13:$AH$244,'FS (2011)'!$F$245,FALSE)</f>
        <v>1534.1</v>
      </c>
    </row>
    <row r="42" spans="2:13">
      <c r="B42" s="120" t="s">
        <v>13</v>
      </c>
      <c r="C42" s="417">
        <f>VLOOKUP($C$38,'FS (2011)'!$A$13:$AH$244,'FS (2011)'!$H$245,FALSE)</f>
        <v>139.07473411080377</v>
      </c>
      <c r="D42" s="418">
        <f>VLOOKUP($D$38,'FS (2011)'!$A$13:$AH$244,'FS (2011)'!$H$245,FALSE)</f>
        <v>193.81225890589602</v>
      </c>
      <c r="E42" s="418">
        <f>VLOOKUP($E$38,'FS (2011)'!$A$13:$AH$244,'FS (2011)'!$H$245,FALSE)</f>
        <v>253.69001104793722</v>
      </c>
      <c r="F42" s="419">
        <f>VLOOKUP($F$38,'FS (2011)'!$A$13:$AH$244,'FS (2011)'!$H$245,FALSE)</f>
        <v>134.5</v>
      </c>
    </row>
    <row r="43" spans="2:13">
      <c r="B43" s="124" t="s">
        <v>5</v>
      </c>
      <c r="C43" s="420">
        <f>SUM(C40:C42)</f>
        <v>52273.630038493342</v>
      </c>
      <c r="D43" s="420">
        <f>SUM(D40:D42)</f>
        <v>51533.195167822079</v>
      </c>
      <c r="E43" s="420">
        <f>SUM(E40:E42)</f>
        <v>53745.604268276242</v>
      </c>
      <c r="F43" s="421">
        <f>SUM(F40:F42)</f>
        <v>51693.599999999999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Northpower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106.47505783162248</v>
      </c>
      <c r="E46" s="422">
        <f>IF(ISERROR(E40/$C40),"",(E40/$C40))*100</f>
        <v>114.59968600565043</v>
      </c>
      <c r="F46" s="423">
        <f>IF(ISERROR(F40/$C40),"",(F40/$C40))*100</f>
        <v>112.2074125564459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51.245336024758501</v>
      </c>
      <c r="E47" s="422">
        <f t="shared" si="0"/>
        <v>31.784898033312221</v>
      </c>
      <c r="F47" s="423">
        <f t="shared" si="0"/>
        <v>20.313987743623294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139.3583530071549</v>
      </c>
      <c r="E48" s="422">
        <f t="shared" si="0"/>
        <v>182.41272411552271</v>
      </c>
      <c r="F48" s="423">
        <f t="shared" si="0"/>
        <v>96.71059294842226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98.583540362270568</v>
      </c>
      <c r="E49" s="424">
        <f t="shared" si="0"/>
        <v>102.8159020689762</v>
      </c>
      <c r="F49" s="416">
        <f t="shared" si="0"/>
        <v>98.890396480852345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Northpower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21267.653331812606</v>
      </c>
      <c r="D54" s="426">
        <f>VLOOKUP($D$38,'MP (2011)'!$A$14:$AR$245,'MP (2011)'!$Z$246,FALSE)</f>
        <v>22666.795250188748</v>
      </c>
      <c r="E54" s="426">
        <f>VLOOKUP($E$38,'MP (2011)'!$A$14:$AR$245,'MP (2011)'!$Z$246,FALSE)</f>
        <v>24830.037185740075</v>
      </c>
      <c r="F54" s="427">
        <f>VLOOKUP($F$38,'MP (2011)'!$A$14:$AR$245,'MP (2011)'!$Z$246,FALSE)</f>
        <v>24786</v>
      </c>
    </row>
    <row r="55" spans="2:23">
      <c r="B55" s="111" t="s">
        <v>180</v>
      </c>
      <c r="C55" s="425">
        <f>VLOOKUP($C$38,'MP (2011)'!$A$14:$AR$245,'MP (2011)'!$AD$246,FALSE)</f>
        <v>10486.666191440221</v>
      </c>
      <c r="D55" s="426">
        <f>VLOOKUP($D$38,'MP (2011)'!$A$14:$AR$245,'MP (2011)'!$AD$246,FALSE)</f>
        <v>10716.25039467362</v>
      </c>
      <c r="E55" s="426">
        <f>VLOOKUP($E$38,'MP (2011)'!$A$14:$AR$245,'MP (2011)'!$AD$246,FALSE)</f>
        <v>11427.257686400257</v>
      </c>
      <c r="F55" s="427">
        <f>VLOOKUP($F$38,'MP (2011)'!$A$14:$AR$245,'MP (2011)'!$AD$246,FALSE)</f>
        <v>11094</v>
      </c>
      <c r="J55" s="139"/>
    </row>
    <row r="56" spans="2:23">
      <c r="B56" s="111" t="s">
        <v>184</v>
      </c>
      <c r="C56" s="425">
        <f>VLOOKUP($C$38,'MP (2011)'!$A$14:$AR$245,'MP (2011)'!$AH$246,FALSE)</f>
        <v>6776.9285164380826</v>
      </c>
      <c r="D56" s="426">
        <f>VLOOKUP($D$38,'MP (2011)'!$A$14:$AR$245,'MP (2011)'!$AH$246,FALSE)</f>
        <v>7249.4297206397123</v>
      </c>
      <c r="E56" s="426">
        <f>VLOOKUP($E$38,'MP (2011)'!$A$14:$AR$245,'MP (2011)'!$AH$246,FALSE)</f>
        <v>7608.6626606666478</v>
      </c>
      <c r="F56" s="427">
        <f>VLOOKUP($F$38,'MP (2011)'!$A$14:$AR$245,'MP (2011)'!$AH$246,FALSE)</f>
        <v>7948</v>
      </c>
    </row>
    <row r="57" spans="2:23">
      <c r="B57" s="111" t="s">
        <v>181</v>
      </c>
      <c r="C57" s="425">
        <f>VLOOKUP($C$38,'MP (2011)'!$A$14:$AR$245,'MP (2011)'!$AL$246,FALSE)</f>
        <v>6051.3680818910207</v>
      </c>
      <c r="D57" s="426">
        <f>VLOOKUP($D$38,'MP (2011)'!$A$14:$AR$245,'MP (2011)'!$AL$246,FALSE)</f>
        <v>6836.8909328025238</v>
      </c>
      <c r="E57" s="426">
        <f>VLOOKUP($E$38,'MP (2011)'!$A$14:$AR$245,'MP (2011)'!$AL$246,FALSE)</f>
        <v>7225.5805556304049</v>
      </c>
      <c r="F57" s="427">
        <f>VLOOKUP($F$38,'MP (2011)'!$A$14:$AR$245,'MP (2011)'!$AL$246,FALSE)</f>
        <v>6197</v>
      </c>
      <c r="W57" s="139"/>
    </row>
    <row r="58" spans="2:23">
      <c r="B58" s="147" t="s">
        <v>248</v>
      </c>
      <c r="C58" s="428">
        <f>SUM(C54:C57)</f>
        <v>44582.61612158193</v>
      </c>
      <c r="D58" s="428">
        <f>SUM(D54:D57)</f>
        <v>47469.366298304602</v>
      </c>
      <c r="E58" s="428">
        <f>SUM(E54:E57)</f>
        <v>51091.538088437381</v>
      </c>
      <c r="F58" s="429">
        <f>SUM(F54:F57)</f>
        <v>50025</v>
      </c>
    </row>
    <row r="59" spans="2:23">
      <c r="B59" s="103" t="s">
        <v>302</v>
      </c>
    </row>
    <row r="60" spans="2:23">
      <c r="B60" s="137" t="str">
        <f>$B$2</f>
        <v>Northpower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106.57873201404537</v>
      </c>
      <c r="E61" s="422">
        <f t="shared" si="1"/>
        <v>116.75024413059612</v>
      </c>
      <c r="F61" s="423">
        <f t="shared" si="1"/>
        <v>116.54318233090896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102.18929637925156</v>
      </c>
      <c r="E62" s="422">
        <f t="shared" si="1"/>
        <v>108.9694043634935</v>
      </c>
      <c r="F62" s="423">
        <f t="shared" si="1"/>
        <v>105.79148604020139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106.97220286528821</v>
      </c>
      <c r="E63" s="422">
        <f t="shared" si="1"/>
        <v>112.27302519439471</v>
      </c>
      <c r="F63" s="423">
        <f t="shared" si="1"/>
        <v>117.28026908829527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112.98091341133609</v>
      </c>
      <c r="E64" s="422">
        <f t="shared" si="1"/>
        <v>119.40408280985693</v>
      </c>
      <c r="F64" s="423">
        <f t="shared" si="1"/>
        <v>102.40659494081659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106.47505783162248</v>
      </c>
      <c r="E65" s="424">
        <f t="shared" si="1"/>
        <v>114.59968600565043</v>
      </c>
      <c r="F65" s="416">
        <f t="shared" si="1"/>
        <v>112.2074125564459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Northpower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 t="shared" ref="C70:F73" si="2">(C54/C98)*1000</f>
        <v>504.16397998797191</v>
      </c>
      <c r="D70" s="433">
        <f t="shared" si="2"/>
        <v>530.56493727327245</v>
      </c>
      <c r="E70" s="433">
        <f t="shared" si="2"/>
        <v>574.18456169040962</v>
      </c>
      <c r="F70" s="434">
        <f t="shared" si="2"/>
        <v>565.9808645217272</v>
      </c>
    </row>
    <row r="71" spans="2:40">
      <c r="B71" s="111" t="s">
        <v>180</v>
      </c>
      <c r="C71" s="433">
        <f t="shared" si="2"/>
        <v>1026.0925823327027</v>
      </c>
      <c r="D71" s="433">
        <f t="shared" si="2"/>
        <v>1057.4551405835423</v>
      </c>
      <c r="E71" s="433">
        <f t="shared" si="2"/>
        <v>1146.5092491622611</v>
      </c>
      <c r="F71" s="434">
        <f t="shared" si="2"/>
        <v>1095.8119320426708</v>
      </c>
    </row>
    <row r="72" spans="2:40">
      <c r="B72" s="111" t="s">
        <v>184</v>
      </c>
      <c r="C72" s="433">
        <f t="shared" si="2"/>
        <v>14511.62423220146</v>
      </c>
      <c r="D72" s="433">
        <f t="shared" si="2"/>
        <v>15424.318554552579</v>
      </c>
      <c r="E72" s="433">
        <f t="shared" si="2"/>
        <v>15527.882980952341</v>
      </c>
      <c r="F72" s="434">
        <f t="shared" si="2"/>
        <v>16089.068825910932</v>
      </c>
    </row>
    <row r="73" spans="2:40">
      <c r="B73" s="115" t="s">
        <v>181</v>
      </c>
      <c r="C73" s="435">
        <f t="shared" si="2"/>
        <v>1210273.6163782042</v>
      </c>
      <c r="D73" s="435">
        <f t="shared" si="2"/>
        <v>1367378.1865605046</v>
      </c>
      <c r="E73" s="435">
        <f t="shared" si="2"/>
        <v>1445116.1111260811</v>
      </c>
      <c r="F73" s="436">
        <f t="shared" si="2"/>
        <v>1239400</v>
      </c>
    </row>
    <row r="74" spans="2:40">
      <c r="B74" s="103" t="s">
        <v>303</v>
      </c>
    </row>
    <row r="75" spans="2:40">
      <c r="B75" s="137" t="str">
        <f>$B$2</f>
        <v>Northpower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105.23658141661178</v>
      </c>
      <c r="E76" s="422">
        <f t="shared" si="3"/>
        <v>113.88845385267471</v>
      </c>
      <c r="F76" s="423">
        <f t="shared" si="3"/>
        <v>112.26126557776502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103.05650374935374</v>
      </c>
      <c r="E77" s="422">
        <f t="shared" si="3"/>
        <v>111.73545827178724</v>
      </c>
      <c r="F77" s="423">
        <f t="shared" si="3"/>
        <v>106.79464513343126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106.28940157040341</v>
      </c>
      <c r="E78" s="422">
        <f t="shared" si="3"/>
        <v>107.00306686894352</v>
      </c>
      <c r="F78" s="423">
        <f t="shared" si="3"/>
        <v>110.87021389521033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112.98091341133608</v>
      </c>
      <c r="E79" s="424">
        <f t="shared" si="3"/>
        <v>119.40408280985693</v>
      </c>
      <c r="F79" s="416">
        <f t="shared" si="3"/>
        <v>102.40659494081659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Northpower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7.7749417205510705</v>
      </c>
      <c r="D84" s="437">
        <f>(D54/VLOOKUP($D$38,'MP (2011)'!$A$14:$AR$245,'MP (2011)'!$AA$246,FALSE)*100)</f>
        <v>8.2916480106335211</v>
      </c>
      <c r="E84" s="437">
        <f>(E54/VLOOKUP($E$38,'MP (2011)'!$A$14:$AR$245,'MP (2011)'!$AA$246,FALSE)*100)</f>
        <v>8.7504580277279764</v>
      </c>
      <c r="F84" s="438">
        <f>(F54/VLOOKUP($F$38,'MP (2011)'!$A$14:$AR$245,'MP (2011)'!$AA$246,FALSE)*100)</f>
        <v>8.9591405933722754</v>
      </c>
    </row>
    <row r="85" spans="2:7">
      <c r="B85" s="111" t="s">
        <v>180</v>
      </c>
      <c r="C85" s="430">
        <f>(C55/VLOOKUP($C$38,'MP (2011)'!$A$14:$AR$245,'MP (2011)'!$AE$246,FALSE)*100)</f>
        <v>8.6404592611172895</v>
      </c>
      <c r="D85" s="437">
        <f>(D55/VLOOKUP($D$38,'MP (2011)'!$A$14:$AR$245,'MP (2011)'!$AE$246,FALSE)*100)</f>
        <v>8.6408830933200171</v>
      </c>
      <c r="E85" s="437">
        <f>(E55/VLOOKUP($E$38,'MP (2011)'!$A$14:$AR$245,'MP (2011)'!$AE$246,FALSE)*100)</f>
        <v>9.2867538024691445</v>
      </c>
      <c r="F85" s="438">
        <f>(F55/VLOOKUP($F$38,'MP (2011)'!$A$14:$AR$245,'MP (2011)'!$AE$246,FALSE)*100)</f>
        <v>9.5188248618594908</v>
      </c>
    </row>
    <row r="86" spans="2:7">
      <c r="B86" s="111" t="s">
        <v>184</v>
      </c>
      <c r="C86" s="430">
        <f>(C56/VLOOKUP($C$38,'MP (2011)'!$A$14:$AR$245,'MP (2011)'!$AI$246,FALSE)*100)</f>
        <v>5.5746907165145538</v>
      </c>
      <c r="D86" s="437">
        <f>(D56/VLOOKUP($D$38,'MP (2011)'!$A$14:$AR$245,'MP (2011)'!$AI$246,FALSE)*100)</f>
        <v>5.9046945775487583</v>
      </c>
      <c r="E86" s="437">
        <f>(E56/VLOOKUP($E$38,'MP (2011)'!$A$14:$AR$245,'MP (2011)'!$AI$246,FALSE)*100)</f>
        <v>6.0670786471996809</v>
      </c>
      <c r="F86" s="438">
        <f>(F56/VLOOKUP($F$38,'MP (2011)'!$A$14:$AR$245,'MP (2011)'!$AI$246,FALSE)*100)</f>
        <v>5.9167721283406536</v>
      </c>
    </row>
    <row r="87" spans="2:7">
      <c r="B87" s="115" t="s">
        <v>181</v>
      </c>
      <c r="C87" s="431">
        <f>(C57/VLOOKUP($C$38,'MP (2011)'!$A$14:$AR$245,'MP (2011)'!$AM$246,FALSE)*100)</f>
        <v>1.33404350465289</v>
      </c>
      <c r="D87" s="431">
        <f>(D57/VLOOKUP($D$38,'MP (2011)'!$A$14:$AR$245,'MP (2011)'!$AM$246,FALSE)*100)</f>
        <v>1.5357208328116525</v>
      </c>
      <c r="E87" s="431">
        <f>(E57/VLOOKUP($E$38,'MP (2011)'!$A$14:$AR$245,'MP (2011)'!$AM$246,FALSE)*100)</f>
        <v>1.7278719960472346</v>
      </c>
      <c r="F87" s="432">
        <f>(F57/VLOOKUP($F$38,'MP (2011)'!$A$14:$AR$245,'MP (2011)'!$AM$246,FALSE)*100)</f>
        <v>1.4435866734377256</v>
      </c>
    </row>
    <row r="88" spans="2:7">
      <c r="B88" s="103" t="s">
        <v>304</v>
      </c>
    </row>
    <row r="89" spans="2:7">
      <c r="B89" s="137" t="str">
        <f>$B$2</f>
        <v>Northpower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106.64578988054238</v>
      </c>
      <c r="E90" s="422">
        <f>IF(ISERROR(E84/$C84),"",(E84/$C84)*100)</f>
        <v>112.54692758144256</v>
      </c>
      <c r="F90" s="423">
        <f>IF(ISERROR(F84/$C84),"",(F84/$C84)*100)</f>
        <v>115.23096783723894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100.0049052045721</v>
      </c>
      <c r="E91" s="422">
        <f t="shared" si="4"/>
        <v>107.47986330148247</v>
      </c>
      <c r="F91" s="423">
        <f t="shared" si="4"/>
        <v>110.1657281655723</v>
      </c>
    </row>
    <row r="92" spans="2:7">
      <c r="B92" s="111" t="s">
        <v>184</v>
      </c>
      <c r="C92" s="422">
        <f t="shared" si="4"/>
        <v>100</v>
      </c>
      <c r="D92" s="422">
        <f t="shared" si="4"/>
        <v>105.91968017268825</v>
      </c>
      <c r="E92" s="422">
        <f>IF(ISERROR(E86/$C86),"",(E86/$C86)*100)</f>
        <v>108.83256050827124</v>
      </c>
      <c r="F92" s="423">
        <f t="shared" si="4"/>
        <v>106.13632987409889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115.11774746890563</v>
      </c>
      <c r="E93" s="424">
        <f>IF(ISERROR(E87/$C87),"",(E87/$C87)*100)</f>
        <v>129.52141290900528</v>
      </c>
      <c r="F93" s="416">
        <f>IF(ISERROR(F87/$C87),"",(F87/$C87)*100)</f>
        <v>108.21136405242933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42184</v>
      </c>
      <c r="D98" s="150">
        <f>VLOOKUP($D$38,'MP (2011)'!$A$14:$AR$245,'MP (2011)'!$AB$246,FALSE)</f>
        <v>42722</v>
      </c>
      <c r="E98" s="150">
        <f>VLOOKUP($E$38,'MP (2011)'!$A$14:$AR$245,'MP (2011)'!$AB$246,FALSE)</f>
        <v>43244</v>
      </c>
      <c r="F98" s="151">
        <f>VLOOKUP($F$38,'MP (2011)'!$A$14:$AR$245,'MP (2011)'!$AB$246,FALSE)</f>
        <v>43793</v>
      </c>
    </row>
    <row r="99" spans="2:7">
      <c r="B99" s="155" t="s">
        <v>309</v>
      </c>
      <c r="C99" s="150">
        <f>VLOOKUP($C$38,'MP (2011)'!$A$14:$AR$245,'MP (2011)'!$AF$246,FALSE)</f>
        <v>10220</v>
      </c>
      <c r="D99" s="150">
        <f>VLOOKUP($D$38,'MP (2011)'!$A$14:$AR$245,'MP (2011)'!$AF$246,FALSE)</f>
        <v>10134</v>
      </c>
      <c r="E99" s="150">
        <f>VLOOKUP($E$38,'MP (2011)'!$A$14:$AR$245,'MP (2011)'!$AF$246,FALSE)</f>
        <v>9967</v>
      </c>
      <c r="F99" s="151">
        <f>VLOOKUP($F$38,'MP (2011)'!$A$14:$AR$245,'MP (2011)'!$AF$246,FALSE)</f>
        <v>10124</v>
      </c>
    </row>
    <row r="100" spans="2:7">
      <c r="B100" s="155" t="s">
        <v>310</v>
      </c>
      <c r="C100" s="150">
        <f>VLOOKUP($C$38,'MP (2011)'!$A$14:$AR$245,'MP (2011)'!$AJ$246,FALSE)</f>
        <v>467</v>
      </c>
      <c r="D100" s="150">
        <f>VLOOKUP($D$38,'MP (2011)'!$A$14:$AR$245,'MP (2011)'!$AJ$246,FALSE)</f>
        <v>470</v>
      </c>
      <c r="E100" s="150">
        <f>VLOOKUP($E$38,'MP (2011)'!$A$14:$AR$245,'MP (2011)'!$AJ$246,FALSE)</f>
        <v>490</v>
      </c>
      <c r="F100" s="151">
        <f>VLOOKUP($F$38,'MP (2011)'!$A$14:$AR$245,'MP (2011)'!$AJ$246,FALSE)</f>
        <v>494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52876</v>
      </c>
      <c r="D102" s="152">
        <f>SUM(D98:D101)</f>
        <v>53331</v>
      </c>
      <c r="E102" s="152">
        <f>SUM(E98:E101)</f>
        <v>53706</v>
      </c>
      <c r="F102" s="157">
        <f>SUM(F98:F101)</f>
        <v>54416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101.2753650673241</v>
      </c>
      <c r="E105" s="422">
        <f t="shared" si="5"/>
        <v>102.51280106201403</v>
      </c>
      <c r="F105" s="423">
        <f t="shared" si="5"/>
        <v>103.81424236677412</v>
      </c>
    </row>
    <row r="106" spans="2:7">
      <c r="B106" s="111" t="s">
        <v>180</v>
      </c>
      <c r="C106" s="422">
        <f t="shared" si="5"/>
        <v>100</v>
      </c>
      <c r="D106" s="422">
        <f t="shared" si="5"/>
        <v>99.158512720156551</v>
      </c>
      <c r="E106" s="422">
        <f t="shared" si="5"/>
        <v>97.524461839530332</v>
      </c>
      <c r="F106" s="423">
        <f t="shared" si="5"/>
        <v>99.060665362035223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100.6423982869379</v>
      </c>
      <c r="E107" s="422">
        <f t="shared" si="5"/>
        <v>104.92505353319058</v>
      </c>
      <c r="F107" s="423">
        <f t="shared" si="5"/>
        <v>105.78158458244111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Northpower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273541</v>
      </c>
      <c r="D113" s="150">
        <f>VLOOKUP($D$38,'MP (2011)'!$A$14:$AR$245,'MP (2011)'!$AA$246,FALSE)</f>
        <v>273369</v>
      </c>
      <c r="E113" s="150">
        <f>VLOOKUP($E$38,'MP (2011)'!$A$14:$AR$245,'MP (2011)'!$AA$246,FALSE)</f>
        <v>283757</v>
      </c>
      <c r="F113" s="151">
        <f>VLOOKUP($F$38,'MP (2011)'!$A$14:$AR$245,'MP (2011)'!$AA$246,FALSE)</f>
        <v>276656</v>
      </c>
    </row>
    <row r="114" spans="2:7">
      <c r="B114" s="155" t="s">
        <v>309</v>
      </c>
      <c r="C114" s="150">
        <f>VLOOKUP($C$38,'MP (2011)'!$A$14:$AR$245,'MP (2011)'!$AE$246,FALSE)</f>
        <v>121367</v>
      </c>
      <c r="D114" s="150">
        <f>VLOOKUP($D$38,'MP (2011)'!$A$14:$AR$245,'MP (2011)'!$AE$246,FALSE)</f>
        <v>124018</v>
      </c>
      <c r="E114" s="150">
        <f>VLOOKUP($E$38,'MP (2011)'!$A$14:$AR$245,'MP (2011)'!$AE$246,FALSE)</f>
        <v>123049</v>
      </c>
      <c r="F114" s="151">
        <f>VLOOKUP($F$38,'MP (2011)'!$A$14:$AR$245,'MP (2011)'!$AE$246,FALSE)</f>
        <v>116548</v>
      </c>
    </row>
    <row r="115" spans="2:7">
      <c r="B115" s="155" t="s">
        <v>310</v>
      </c>
      <c r="C115" s="150">
        <f>VLOOKUP($C$38,'MP (2011)'!$A$14:$AR$245,'MP (2011)'!$AI$246,FALSE)</f>
        <v>121566</v>
      </c>
      <c r="D115" s="150">
        <f>VLOOKUP($D$38,'MP (2011)'!$A$14:$AR$245,'MP (2011)'!$AI$246,FALSE)</f>
        <v>122774</v>
      </c>
      <c r="E115" s="150">
        <f>VLOOKUP($E$38,'MP (2011)'!$A$14:$AR$245,'MP (2011)'!$AI$246,FALSE)</f>
        <v>125409</v>
      </c>
      <c r="F115" s="151">
        <f>VLOOKUP($F$38,'MP (2011)'!$A$14:$AR$245,'MP (2011)'!$AI$246,FALSE)</f>
        <v>134330</v>
      </c>
    </row>
    <row r="116" spans="2:7">
      <c r="B116" s="155" t="s">
        <v>311</v>
      </c>
      <c r="C116" s="150">
        <f>VLOOKUP($C$38,'MP (2011)'!$A$14:$AR$245,'MP (2011)'!$AM$246,FALSE)</f>
        <v>453611</v>
      </c>
      <c r="D116" s="150">
        <f>VLOOKUP($D$38,'MP (2011)'!$A$14:$AR$245,'MP (2011)'!$AM$246,FALSE)</f>
        <v>445191</v>
      </c>
      <c r="E116" s="150">
        <f>VLOOKUP($E$38,'MP (2011)'!$A$14:$AR$245,'MP (2011)'!$AM$246,FALSE)</f>
        <v>418178</v>
      </c>
      <c r="F116" s="151">
        <f>VLOOKUP($F$38,'MP (2011)'!$A$14:$AR$245,'MP (2011)'!$AM$246,FALSE)</f>
        <v>429278</v>
      </c>
    </row>
    <row r="117" spans="2:7">
      <c r="B117" s="147" t="s">
        <v>254</v>
      </c>
      <c r="C117" s="158">
        <f>SUM(C113:C116)</f>
        <v>970085</v>
      </c>
      <c r="D117" s="158">
        <f>SUM(D113:D116)</f>
        <v>965352</v>
      </c>
      <c r="E117" s="158">
        <f>SUM(E113:E116)</f>
        <v>950393</v>
      </c>
      <c r="F117" s="159">
        <f>SUM(F113:F116)</f>
        <v>956812</v>
      </c>
    </row>
    <row r="118" spans="2:7">
      <c r="B118" s="103" t="s">
        <v>306</v>
      </c>
    </row>
    <row r="119" spans="2:7">
      <c r="B119" s="137" t="str">
        <f>$B$2</f>
        <v>Northpower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99.937120943478305</v>
      </c>
      <c r="E120" s="422">
        <f t="shared" si="6"/>
        <v>103.73472349666046</v>
      </c>
      <c r="F120" s="423">
        <f t="shared" si="6"/>
        <v>101.13876895968063</v>
      </c>
    </row>
    <row r="121" spans="2:7">
      <c r="B121" s="111" t="s">
        <v>180</v>
      </c>
      <c r="C121" s="422">
        <f t="shared" si="6"/>
        <v>100</v>
      </c>
      <c r="D121" s="422">
        <f t="shared" si="6"/>
        <v>102.18428403107929</v>
      </c>
      <c r="E121" s="422">
        <f t="shared" si="6"/>
        <v>101.38587919286132</v>
      </c>
      <c r="F121" s="423">
        <f t="shared" si="6"/>
        <v>96.029398436148213</v>
      </c>
    </row>
    <row r="122" spans="2:7">
      <c r="B122" s="111" t="s">
        <v>184</v>
      </c>
      <c r="C122" s="422">
        <f t="shared" si="6"/>
        <v>100</v>
      </c>
      <c r="D122" s="422">
        <f t="shared" si="6"/>
        <v>100.99369889607293</v>
      </c>
      <c r="E122" s="422">
        <f t="shared" si="6"/>
        <v>103.16124574305317</v>
      </c>
      <c r="F122" s="423">
        <f t="shared" si="6"/>
        <v>110.49964628267772</v>
      </c>
    </row>
    <row r="123" spans="2:7">
      <c r="B123" s="115" t="s">
        <v>181</v>
      </c>
      <c r="C123" s="424">
        <f t="shared" si="6"/>
        <v>100</v>
      </c>
      <c r="D123" s="424">
        <f t="shared" si="6"/>
        <v>98.14378399112897</v>
      </c>
      <c r="E123" s="424">
        <f t="shared" si="6"/>
        <v>92.188681491410037</v>
      </c>
      <c r="F123" s="416">
        <f t="shared" si="6"/>
        <v>94.63571209692887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Northpower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52273.630038493342</v>
      </c>
      <c r="D128" s="433">
        <f>VLOOKUP($D$38,'FS (2011)'!$A$13:$AH$244,'FS (2011)'!$I$245,FALSE)</f>
        <v>51511.395181549851</v>
      </c>
      <c r="E128" s="433">
        <f>VLOOKUP($E$38,'FS (2011)'!$A$13:$AH$244,'FS (2011)'!$I$245,FALSE)</f>
        <v>53745.604268276242</v>
      </c>
      <c r="F128" s="440">
        <f>VLOOKUP($F$38,'FS (2011)'!$A$13:$AH$244,'FS (2011)'!$I$245,FALSE)</f>
        <v>51693.599999999999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7494.6086962447598</v>
      </c>
      <c r="D129" s="433">
        <f>VLOOKUP($D$38,'FS (2011)'!$A$13:$AH$244,'FS (2011)'!$Y$245,FALSE)+VLOOKUP($D$38,'FS (2011)'!$A$13:$AH$244,'FS (2011)'!$Z$245,FALSE)</f>
        <v>5416.2676292950764</v>
      </c>
      <c r="E129" s="433">
        <f>VLOOKUP($E$38,'FS (2011)'!$A$13:$AH$244,'FS (2011)'!$Y$245,FALSE)+VLOOKUP($E$38,'FS (2011)'!$A$13:$AH$244,'FS (2011)'!$Z$245,FALSE)</f>
        <v>3887.3149630837215</v>
      </c>
      <c r="F129" s="440">
        <f>VLOOKUP($F$38,'FS (2011)'!$A$13:$AH$244,'FS (2011)'!$Y$245,FALSE)+VLOOKUP($F$38,'FS (2011)'!$A$13:$AH$244,'FS (2011)'!$Z$245,FALSE)</f>
        <v>8676.2242999999999</v>
      </c>
      <c r="G129" s="121"/>
    </row>
    <row r="130" spans="1:30">
      <c r="B130" s="162" t="s">
        <v>191</v>
      </c>
      <c r="C130" s="441">
        <f>VLOOKUP($C$38,'FS (2011)'!$A$13:$AH$244,'FS (2011)'!$J$245,FALSE)</f>
        <v>12525.350859684639</v>
      </c>
      <c r="D130" s="433">
        <f>VLOOKUP($D$38,'FS (2011)'!$A$13:$AH$244,'FS (2011)'!$J$245,FALSE)</f>
        <v>14875.376347038227</v>
      </c>
      <c r="E130" s="433">
        <f>VLOOKUP($E$38,'FS (2011)'!$A$13:$AH$244,'FS (2011)'!$J$245,FALSE)</f>
        <v>15254.003395219745</v>
      </c>
      <c r="F130" s="440">
        <f>VLOOKUP($F$38,'FS (2011)'!$A$13:$AH$244,'FS (2011)'!$J$245,FALSE)</f>
        <v>14937</v>
      </c>
    </row>
    <row r="131" spans="1:30">
      <c r="B131" s="162" t="s">
        <v>182</v>
      </c>
      <c r="C131" s="441">
        <f>VLOOKUP($C$38,'FS (2011)'!$A$13:$AH$244,'FS (2011)'!$S$245,FALSE)</f>
        <v>15690.648684097972</v>
      </c>
      <c r="D131" s="433">
        <f>VLOOKUP($D$38,'FS (2011)'!$A$13:$AH$244,'FS (2011)'!$S$245,FALSE)</f>
        <v>16584.080032946662</v>
      </c>
      <c r="E131" s="433">
        <f>VLOOKUP($E$38,'FS (2011)'!$A$13:$AH$244,'FS (2011)'!$S$245,FALSE)</f>
        <v>15833.720729702782</v>
      </c>
      <c r="F131" s="440">
        <f>VLOOKUP($F$38,'FS (2011)'!$A$13:$AH$244,'FS (2011)'!$S$245,FALSE)</f>
        <v>14793.732</v>
      </c>
      <c r="I131" s="139"/>
      <c r="Q131" s="559"/>
      <c r="R131" s="559"/>
      <c r="S131" s="559"/>
      <c r="T131" s="559"/>
      <c r="U131" s="559"/>
      <c r="V131" s="559"/>
      <c r="W131" s="559"/>
      <c r="X131" s="559"/>
      <c r="Y131" s="559"/>
      <c r="Z131" s="559"/>
      <c r="AA131" s="559"/>
      <c r="AB131" s="559"/>
      <c r="AC131" s="559"/>
      <c r="AD131" s="559"/>
    </row>
    <row r="132" spans="1:30">
      <c r="B132" s="162" t="s">
        <v>143</v>
      </c>
      <c r="C132" s="441">
        <f>VLOOKUP($C$38,'FS (2011)'!$A$13:$AH$244,'FS (2011)'!$U$245,FALSE)</f>
        <v>7193.7508035699002</v>
      </c>
      <c r="D132" s="433">
        <f>VLOOKUP($D$38,'FS (2011)'!$A$13:$AH$244,'FS (2011)'!$U$245,FALSE)</f>
        <v>7508.2267005285166</v>
      </c>
      <c r="E132" s="433">
        <f>VLOOKUP($E$38,'FS (2011)'!$A$13:$AH$244,'FS (2011)'!$U$245,FALSE)</f>
        <v>9254.0818086281688</v>
      </c>
      <c r="F132" s="440">
        <f>VLOOKUP($F$38,'FS (2011)'!$A$13:$AH$244,'FS (2011)'!$U$245,FALSE)</f>
        <v>9544</v>
      </c>
      <c r="Q132" s="559"/>
      <c r="R132" s="559"/>
      <c r="S132" s="559"/>
      <c r="T132" s="559"/>
      <c r="U132" s="559"/>
      <c r="V132" s="559"/>
      <c r="W132" s="559"/>
      <c r="X132" s="559"/>
      <c r="Y132" s="559"/>
      <c r="Z132" s="559"/>
      <c r="AA132" s="559"/>
      <c r="AB132" s="559"/>
      <c r="AC132" s="559"/>
      <c r="AD132" s="559"/>
    </row>
    <row r="133" spans="1:30">
      <c r="B133" s="162" t="s">
        <v>196</v>
      </c>
      <c r="C133" s="441">
        <f>VLOOKUP($C$38,'FS (2011)'!$A$13:$AH$244,'FS (2011)'!$X$245,FALSE)</f>
        <v>399.00268457414955</v>
      </c>
      <c r="D133" s="433">
        <f>VLOOKUP($D$38,'FS (2011)'!$A$13:$AH$244,'FS (2011)'!$X$245,FALSE)</f>
        <v>953.4168977143247</v>
      </c>
      <c r="E133" s="433">
        <f>VLOOKUP($E$38,'FS (2011)'!$A$13:$AH$244,'FS (2011)'!$X$245,FALSE)</f>
        <v>1737.3003720190777</v>
      </c>
      <c r="F133" s="440">
        <f>VLOOKUP($F$38,'FS (2011)'!$A$13:$AH$244,'FS (2011)'!$X$245,FALSE)</f>
        <v>1546.4671000000001</v>
      </c>
      <c r="Q133" s="559"/>
      <c r="R133" s="559"/>
      <c r="S133" s="559"/>
      <c r="T133" s="559"/>
      <c r="U133" s="559"/>
      <c r="V133" s="559"/>
      <c r="W133" s="559"/>
      <c r="X133" s="559"/>
      <c r="Y133" s="559"/>
      <c r="Z133" s="559"/>
      <c r="AA133" s="559"/>
      <c r="AB133" s="559"/>
      <c r="AC133" s="559"/>
      <c r="AD133" s="559"/>
    </row>
    <row r="134" spans="1:30">
      <c r="B134" s="164" t="s">
        <v>258</v>
      </c>
      <c r="C134" s="442">
        <f>VLOOKUP($C$38,'FS (2011)'!$A$13:$AH$244,'FS (2011)'!$AA$245,FALSE)</f>
        <v>23959.485778278347</v>
      </c>
      <c r="D134" s="435">
        <f>VLOOKUP($D$38,'FS (2011)'!$A$13:$AH$244,'FS (2011)'!$AA$245,FALSE)</f>
        <v>17006.562728807738</v>
      </c>
      <c r="E134" s="435">
        <f>VLOOKUP($E$38,'FS (2011)'!$A$13:$AH$244,'FS (2011)'!$AA$245,FALSE)</f>
        <v>15553.813027673734</v>
      </c>
      <c r="F134" s="443">
        <f>VLOOKUP($F$38,'FS (2011)'!$A$13:$AH$244,'FS (2011)'!$AA$245,FALSE)</f>
        <v>19548.625</v>
      </c>
      <c r="Q134" s="559"/>
      <c r="R134" s="559"/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6</v>
      </c>
      <c r="B138" s="166" t="s">
        <v>204</v>
      </c>
      <c r="C138" s="167"/>
      <c r="D138" s="444">
        <f>VLOOKUP($D$6,'FS (2011)'!$A$13:$AH$244,'FS (2011)'!$L$245,FALSE)</f>
        <v>617</v>
      </c>
      <c r="E138" s="446">
        <f t="shared" ref="E138:E144" si="7">D138/$D$145</f>
        <v>4.1706852604873466E-2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5940.732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1</v>
      </c>
      <c r="B139" s="162" t="s">
        <v>199</v>
      </c>
      <c r="C139" s="121"/>
      <c r="D139" s="441">
        <f>VLOOKUP($D$6,'FS (2011)'!$A$13:$AH$244,'FS (2011)'!K245,FALSE)</f>
        <v>5940.732</v>
      </c>
      <c r="E139" s="414">
        <f t="shared" si="7"/>
        <v>0.40157088150576203</v>
      </c>
      <c r="Q139" s="559"/>
      <c r="R139" s="559"/>
      <c r="S139" s="559"/>
      <c r="T139" s="559">
        <v>2</v>
      </c>
      <c r="U139" s="559" t="str">
        <f t="shared" ref="U139:U144" si="9">VLOOKUP(T139,$A$138:$E$144,2,FALSE)</f>
        <v>Refurbishment and renewal maintenance</v>
      </c>
      <c r="V139" s="559">
        <f t="shared" ref="V139:V144" si="10">VLOOKUP(T139,$A$138:$E$144,4,FALSE)</f>
        <v>3172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4</v>
      </c>
      <c r="B140" s="162" t="s">
        <v>201</v>
      </c>
      <c r="C140" s="121"/>
      <c r="D140" s="441">
        <f>VLOOKUP($D$6,'FS (2011)'!$A$13:$AH$244,'FS (2011)'!M245,FALSE)</f>
        <v>1659</v>
      </c>
      <c r="E140" s="414">
        <f t="shared" si="7"/>
        <v>0.11214208828441667</v>
      </c>
      <c r="Q140" s="559"/>
      <c r="R140" s="559"/>
      <c r="S140" s="559"/>
      <c r="T140" s="559">
        <v>3</v>
      </c>
      <c r="U140" s="559" t="str">
        <f t="shared" si="9"/>
        <v>Other</v>
      </c>
      <c r="V140" s="559">
        <f t="shared" si="10"/>
        <v>1912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2</v>
      </c>
      <c r="B141" s="162" t="s">
        <v>202</v>
      </c>
      <c r="C141" s="121"/>
      <c r="D141" s="441">
        <f>VLOOKUP($D$6,'FS (2011)'!$A$13:$AH$244,'FS (2011)'!N245,FALSE)</f>
        <v>3172</v>
      </c>
      <c r="E141" s="414">
        <f t="shared" si="7"/>
        <v>0.21441513203024093</v>
      </c>
      <c r="Q141" s="559"/>
      <c r="R141" s="559"/>
      <c r="S141" s="559"/>
      <c r="T141" s="559">
        <v>4</v>
      </c>
      <c r="U141" s="559" t="str">
        <f t="shared" si="9"/>
        <v>Routine and preventative maintenance</v>
      </c>
      <c r="V141" s="559">
        <f t="shared" si="10"/>
        <v>1659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5</v>
      </c>
      <c r="B142" s="162" t="s">
        <v>203</v>
      </c>
      <c r="C142" s="121"/>
      <c r="D142" s="441">
        <f>VLOOKUP($D$6,'FS (2011)'!$A$13:$AH$244,'FS (2011)'!O245,FALSE)</f>
        <v>1285</v>
      </c>
      <c r="E142" s="414">
        <f t="shared" si="7"/>
        <v>8.6861111178707304E-2</v>
      </c>
      <c r="Q142" s="559"/>
      <c r="R142" s="559"/>
      <c r="S142" s="559"/>
      <c r="T142" s="559">
        <v>5</v>
      </c>
      <c r="U142" s="559" t="str">
        <f t="shared" si="9"/>
        <v>Fault and emergency maintenance</v>
      </c>
      <c r="V142" s="559">
        <f t="shared" si="10"/>
        <v>1285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8"/>
        <v>3</v>
      </c>
      <c r="B143" s="162" t="s">
        <v>13</v>
      </c>
      <c r="C143" s="121"/>
      <c r="D143" s="441">
        <f>VLOOKUP($D$6,'FS (2011)'!$A$13:$AH$244,'FS (2011)'!R245,FALSE)</f>
        <v>1912</v>
      </c>
      <c r="E143" s="414">
        <f t="shared" si="7"/>
        <v>0.12924392573827889</v>
      </c>
      <c r="Q143" s="559"/>
      <c r="R143" s="559"/>
      <c r="S143" s="559"/>
      <c r="T143" s="559">
        <v>6</v>
      </c>
      <c r="U143" s="559" t="str">
        <f t="shared" si="9"/>
        <v>System management and operations</v>
      </c>
      <c r="V143" s="559">
        <f t="shared" si="10"/>
        <v>617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7</v>
      </c>
      <c r="B144" s="162" t="s">
        <v>200</v>
      </c>
      <c r="C144" s="121"/>
      <c r="D144" s="441">
        <f>VLOOKUP($D$6,'FS (2011)'!$A$13:$AH$244,'FS (2011)'!P245,FALSE)</f>
        <v>208</v>
      </c>
      <c r="E144" s="414">
        <f t="shared" si="7"/>
        <v>1.4060008657720715E-2</v>
      </c>
      <c r="Q144" s="559"/>
      <c r="R144" s="559"/>
      <c r="S144" s="559"/>
      <c r="T144" s="559">
        <v>7</v>
      </c>
      <c r="U144" s="559" t="str">
        <f t="shared" si="9"/>
        <v>Pass-through costs</v>
      </c>
      <c r="V144" s="559">
        <f t="shared" si="10"/>
        <v>208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14793.732</v>
      </c>
      <c r="E145" s="447">
        <f>SUM(E138:E144)</f>
        <v>1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7.8496367369051345</v>
      </c>
      <c r="D149" s="454">
        <f>(VLOOKUP(D$38,'FS (2011)'!$A$13:$AH$244,'FS (2011)'!$M$245,FALSE)+VLOOKUP(D$38,'FS (2011)'!$A$13:$AH$244,'FS (2011)'!$N$245,FALSE)+VLOOKUP(D$38,'FS (2011)'!$A$13:$AH$244,'FS (2011)'!$O$245,FALSE))/1000</f>
        <v>7.6221056764362665</v>
      </c>
      <c r="E149" s="454">
        <f>(VLOOKUP(E$38,'FS (2011)'!$A$13:$AH$244,'FS (2011)'!$M$245,FALSE)+VLOOKUP(E$38,'FS (2011)'!$A$13:$AH$244,'FS (2011)'!$N$245,FALSE)+VLOOKUP(E$38,'FS (2011)'!$A$13:$AH$244,'FS (2011)'!$O$245,FALSE))/1000</f>
        <v>6.7793306566786127</v>
      </c>
      <c r="F149" s="455">
        <f>(VLOOKUP(F$38,'FS (2011)'!$A$13:$AH$244,'FS (2011)'!$M$245,FALSE)+VLOOKUP(F$38,'FS (2011)'!$A$13:$AH$244,'FS (2011)'!$N$245,FALSE)+VLOOKUP(F$38,'FS (2011)'!$A$13:$AH$244,'FS (2011)'!$O$245,FALSE))/1000</f>
        <v>6.1159999999999997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5.8961218670696578</v>
      </c>
      <c r="D150" s="456">
        <f>(VLOOKUP(D$38,'FS (2011)'!$A$13:$AH$244,'FS (2011)'!$L$245,FALSE)+VLOOKUP(D$38,'FS (2011)'!$A$13:$AH$244,'FS (2011)'!$K$245,FALSE))/1000</f>
        <v>7.0798050655501381</v>
      </c>
      <c r="E150" s="456">
        <f>(VLOOKUP(E$38,'FS (2011)'!$A$13:$AH$244,'FS (2011)'!$L$245,FALSE)+VLOOKUP(E$38,'FS (2011)'!$A$13:$AH$244,'FS (2011)'!$K$245,FALSE))/1000</f>
        <v>7.327464094203874</v>
      </c>
      <c r="F150" s="457">
        <f>(VLOOKUP(F$38,'FS (2011)'!$A$13:$AH$244,'FS (2011)'!$L$245,FALSE)+VLOOKUP(F$38,'FS (2011)'!$A$13:$AH$244,'FS (2011)'!$K$245,FALSE))/1000</f>
        <v>6.5577319999999997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1.9448900801231785</v>
      </c>
      <c r="D151" s="456">
        <f>(VLOOKUP(D$38,'FS (2011)'!$A$13:$AH$244,'FS (2011)'!$R$245,FALSE)+VLOOKUP(D$38,'FS (2011)'!$A$13:$AH$244,'FS (2011)'!$P$245,FALSE)+VLOOKUP(D$38,'FS (2011)'!$A$13:$AH$244,'FS (2011)'!$Q$245,FALSE))/1000</f>
        <v>1.8821692909602574</v>
      </c>
      <c r="E151" s="456">
        <f>(VLOOKUP(E$38,'FS (2011)'!$A$13:$AH$244,'FS (2011)'!$R$245,FALSE)+VLOOKUP(E$38,'FS (2011)'!$A$13:$AH$244,'FS (2011)'!$P$245,FALSE)+VLOOKUP(E$38,'FS (2011)'!$A$13:$AH$244,'FS (2011)'!$Q$245,FALSE))/1000</f>
        <v>1.7269259788202955</v>
      </c>
      <c r="F151" s="457">
        <f>(VLOOKUP(F$38,'FS (2011)'!$A$13:$AH$244,'FS (2011)'!$R$245,FALSE)+VLOOKUP(F$38,'FS (2011)'!$A$13:$AH$244,'FS (2011)'!$P$245,FALSE)+VLOOKUP(F$38,'FS (2011)'!$A$13:$AH$244,'FS (2011)'!$Q$245,FALSE))/1000</f>
        <v>2.12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15.690648684097972</v>
      </c>
      <c r="D152" s="458">
        <f>VLOOKUP($D$38,'FS (2011)'!$A$13:$AH$244,'FS (2011)'!$S$245,FALSE)/1000</f>
        <v>16.584080032946662</v>
      </c>
      <c r="E152" s="459">
        <f>VLOOKUP($E$38,'FS (2011)'!$A$13:$AH$244,'FS (2011)'!$S$245,FALSE)/1000</f>
        <v>15.833720729702781</v>
      </c>
      <c r="F152" s="460">
        <f>VLOOKUP($F$38,'FS (2011)'!$A$13:$AH$244,'FS (2011)'!$S$245,FALSE)/1000</f>
        <v>14.793732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-8.2942513961817288E-2</v>
      </c>
      <c r="D154" s="464">
        <f t="shared" ref="D154:E157" si="11">IF(ISERROR(D149/C149 - 1),"",(D149/C149 - 1))</f>
        <v>-2.8986189819349084E-2</v>
      </c>
      <c r="E154" s="464">
        <f t="shared" si="11"/>
        <v>-0.11056984192217278</v>
      </c>
      <c r="F154" s="465">
        <f>IF(ISERROR(F149/E149 - 1),"",(F149/E149 - 1))</f>
        <v>-9.7846039715607791E-2</v>
      </c>
      <c r="Q154" s="559"/>
      <c r="R154" s="559" t="s">
        <v>423</v>
      </c>
      <c r="S154" s="559">
        <f t="shared" ref="S154:V157" si="12">LN(C149)</f>
        <v>2.0604672551700847</v>
      </c>
      <c r="T154" s="559">
        <f t="shared" si="12"/>
        <v>2.0310526670152593</v>
      </c>
      <c r="U154" s="559">
        <f t="shared" si="12"/>
        <v>1.9138783738751035</v>
      </c>
      <c r="V154" s="559">
        <f t="shared" si="12"/>
        <v>1.8109082880668159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3.5975306499322457E-2</v>
      </c>
      <c r="D155" s="467">
        <f t="shared" si="11"/>
        <v>0.20075623014026411</v>
      </c>
      <c r="E155" s="467">
        <f t="shared" si="11"/>
        <v>3.4981051930204732E-2</v>
      </c>
      <c r="F155" s="468">
        <f>IF(ISERROR(F150/E150 - 1),"",(F150/E150 - 1))</f>
        <v>-0.10504754227492474</v>
      </c>
      <c r="Q155" s="559"/>
      <c r="R155" s="559" t="s">
        <v>423</v>
      </c>
      <c r="S155" s="559">
        <f t="shared" si="12"/>
        <v>1.7742948241221461</v>
      </c>
      <c r="T155" s="559">
        <f t="shared" si="12"/>
        <v>1.9572463742121979</v>
      </c>
      <c r="U155" s="559">
        <f t="shared" si="12"/>
        <v>1.9916294934481376</v>
      </c>
      <c r="V155" s="559">
        <f t="shared" si="12"/>
        <v>1.8806448114696952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1.7404710074116148E-2</v>
      </c>
      <c r="D156" s="467">
        <f t="shared" si="11"/>
        <v>-3.2249014894943917E-2</v>
      </c>
      <c r="E156" s="467">
        <f t="shared" si="11"/>
        <v>-8.2481056770806638E-2</v>
      </c>
      <c r="F156" s="468">
        <f>IF(ISERROR(F151/E151 - 1),"",(F151/E151 - 1))</f>
        <v>0.22761486363661221</v>
      </c>
      <c r="Q156" s="559"/>
      <c r="R156" s="559" t="s">
        <v>423</v>
      </c>
      <c r="S156" s="559">
        <f t="shared" si="12"/>
        <v>0.66520546139794245</v>
      </c>
      <c r="T156" s="559">
        <f t="shared" si="12"/>
        <v>0.63242498980645323</v>
      </c>
      <c r="U156" s="559">
        <f t="shared" si="12"/>
        <v>0.54634293711123194</v>
      </c>
      <c r="V156" s="559">
        <f t="shared" si="12"/>
        <v>0.75141608868392118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-2.2041976692762311E-2</v>
      </c>
      <c r="D157" s="470">
        <f t="shared" si="11"/>
        <v>5.6940370461175283E-2</v>
      </c>
      <c r="E157" s="470">
        <f t="shared" si="11"/>
        <v>-4.5245759894620874E-2</v>
      </c>
      <c r="F157" s="471">
        <f>IF(ISERROR(F152/E152 - 1),"",(F152/E152 - 1))</f>
        <v>-6.5681891670088977E-2</v>
      </c>
      <c r="N157" s="136"/>
      <c r="O157" s="136"/>
      <c r="Q157" s="559"/>
      <c r="R157" s="559" t="s">
        <v>423</v>
      </c>
      <c r="S157" s="559">
        <f t="shared" si="12"/>
        <v>2.7530649096824051</v>
      </c>
      <c r="T157" s="559">
        <f t="shared" si="12"/>
        <v>2.8084432010351636</v>
      </c>
      <c r="U157" s="559">
        <f t="shared" si="12"/>
        <v>2.7621418892122933</v>
      </c>
      <c r="V157" s="559">
        <f t="shared" si="12"/>
        <v>2.6942035775493789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Northpower</v>
      </c>
      <c r="C162" s="456">
        <f>(C152/C102)*1000000</f>
        <v>296.74424472535696</v>
      </c>
      <c r="D162" s="456">
        <f>(D152/D102)*1000000</f>
        <v>310.9651053411086</v>
      </c>
      <c r="E162" s="456">
        <f>(E152/E102)*1000000</f>
        <v>294.82219360411841</v>
      </c>
      <c r="F162" s="457">
        <f>(F152/F102)*1000000</f>
        <v>271.86364304616285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Northpower</v>
      </c>
      <c r="C165" s="456">
        <f>C152/VLOOKUP(C$38,'MP (2011)'!$A$14:$AR$245,'MP (2011)'!$H$246,FALSE)*1000000</f>
        <v>2725.9639826438452</v>
      </c>
      <c r="D165" s="456">
        <f>D152/VLOOKUP(D$38,'MP (2011)'!$A$14:$AR$245,'MP (2011)'!$H$246,FALSE)*1000000</f>
        <v>2947.2329896830747</v>
      </c>
      <c r="E165" s="456">
        <f>E152/VLOOKUP(E$38,'MP (2011)'!$A$14:$AR$245,'MP (2011)'!$H$246,FALSE)*1000000</f>
        <v>2716.3699999490104</v>
      </c>
      <c r="F165" s="457">
        <f>F152/VLOOKUP(F$38,'MP (2011)'!$A$14:$AR$245,'MP (2011)'!$H$246,FALSE)*1000000</f>
        <v>2539.2605561277037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Northpower</v>
      </c>
      <c r="C168" s="456">
        <f>(C152/C117)*1000000</f>
        <v>16.174509124559158</v>
      </c>
      <c r="D168" s="456">
        <f>(D152/D117)*1000000</f>
        <v>17.179308721530241</v>
      </c>
      <c r="E168" s="456">
        <f>(E152/E117)*1000000</f>
        <v>16.660182397916213</v>
      </c>
      <c r="F168" s="457">
        <f>(F152/F117)*1000000</f>
        <v>15.461482506490306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-3.1107710423337709E-2</v>
      </c>
      <c r="D171" s="464">
        <f>IF(ISERROR(D162/C162 - 1),"",(D162/C162 - 1))</f>
        <v>4.7922953413682245E-2</v>
      </c>
      <c r="E171" s="464">
        <f>IF(ISERROR(E162/D162 - 1),"",(E162/D162 - 1))</f>
        <v>-5.1912293243585816E-2</v>
      </c>
      <c r="F171" s="465">
        <f>IF(ISERROR(F162/E162 - 1),"",(F162/E162 - 1))</f>
        <v>-7.7872531498710207E-2</v>
      </c>
      <c r="H171" s="139"/>
      <c r="Q171" s="559"/>
      <c r="R171" s="559" t="s">
        <v>423</v>
      </c>
      <c r="S171" s="559">
        <f>LN(C162)</f>
        <v>5.6928706389473893</v>
      </c>
      <c r="T171" s="559">
        <f>LN(D162)</f>
        <v>5.7396807044086424</v>
      </c>
      <c r="U171" s="559">
        <f>LN(E162)</f>
        <v>5.686372441077574</v>
      </c>
      <c r="V171" s="559">
        <f>LN(F162)</f>
        <v>5.6053006282666757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-2.901260626187252E-2</v>
      </c>
      <c r="D172" s="467">
        <f>IF(ISERROR(D165/C165 - 1),"",(D165/C165 - 1))</f>
        <v>8.1170920983565598E-2</v>
      </c>
      <c r="E172" s="467">
        <f>IF(ISERROR(E165/D165 - 1),"",(E165/D165 - 1))</f>
        <v>-7.8332113729118413E-2</v>
      </c>
      <c r="F172" s="468">
        <f>IF(ISERROR(F165/E165 - 1),"",(F165/E165 - 1))</f>
        <v>-6.5200780388765645E-2</v>
      </c>
      <c r="Q172" s="559"/>
      <c r="R172" s="559" t="s">
        <v>423</v>
      </c>
      <c r="S172" s="559">
        <f>LN(C165)</f>
        <v>7.9105773996394211</v>
      </c>
      <c r="T172" s="559">
        <f>LN(D165)</f>
        <v>7.9886220395661587</v>
      </c>
      <c r="U172" s="559">
        <f>LN(E165)</f>
        <v>7.907051709131018</v>
      </c>
      <c r="V172" s="559">
        <f>LN(F165)</f>
        <v>7.8396281979942728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-1.6456859152554126E-2</v>
      </c>
      <c r="D173" s="470">
        <f>IF(ISERROR(D168/C168 - 1),"",(D168/C168 - 1))</f>
        <v>6.2122416775258316E-2</v>
      </c>
      <c r="E173" s="470">
        <f>IF(ISERROR(E168/D168 - 1),"",(E168/D168 - 1))</f>
        <v>-3.0218114828067799E-2</v>
      </c>
      <c r="F173" s="471">
        <f>IF(ISERROR(F168/E168 - 1),"",(F168/E168 - 1))</f>
        <v>-7.1949986068329919E-2</v>
      </c>
      <c r="Q173" s="559"/>
      <c r="R173" s="559" t="s">
        <v>423</v>
      </c>
      <c r="S173" s="559">
        <f>LN(C168)</f>
        <v>2.7834364921403192</v>
      </c>
      <c r="T173" s="559">
        <f>LN(D168)</f>
        <v>2.8437056783501866</v>
      </c>
      <c r="U173" s="559">
        <f>LN(E168)</f>
        <v>2.8130215849330393</v>
      </c>
      <c r="V173" s="559">
        <f>LN(F168)</f>
        <v>2.7383519316077765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Northpower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6779.3306566786123</v>
      </c>
      <c r="X176" s="563">
        <f>D178</f>
        <v>6116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Northpower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7103.3203093422426</v>
      </c>
      <c r="X177" s="563">
        <f t="shared" si="14"/>
        <v>7295.8801972460988</v>
      </c>
      <c r="Y177" s="563">
        <f t="shared" si="14"/>
        <v>7295.8801972460988</v>
      </c>
      <c r="Z177" s="563">
        <f t="shared" si="14"/>
        <v>7295.8801972460988</v>
      </c>
      <c r="AA177" s="563">
        <f t="shared" si="14"/>
        <v>7295.8801972460988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6779.3306566786123</v>
      </c>
      <c r="D178" s="461">
        <f>VLOOKUP(F38,'FS (2011)'!$A$14:$T$246,'FS (2011)'!$M$245,FALSE)+VLOOKUP(F38,'FS (2011)'!$A$14:$AO$245,'FS (2011)'!$N$245,FALSE)+VLOOKUP(F38,'FS (2011)'!$A$14:$AO$245,'FS (2011)'!$O$245,FALSE)</f>
        <v>6116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7641</v>
      </c>
      <c r="Y178" s="563">
        <f t="shared" si="14"/>
        <v>7369</v>
      </c>
      <c r="Z178" s="563">
        <f t="shared" si="14"/>
        <v>7606</v>
      </c>
      <c r="AA178" s="563">
        <f t="shared" si="14"/>
        <v>7848</v>
      </c>
      <c r="AB178" s="563">
        <f>H180</f>
        <v>8098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7103.3203093422426</v>
      </c>
      <c r="D179" s="461">
        <f>VLOOKUP(D182,'AM (2011)'!$A$10:$N$444,'AM (2011)'!$N$445,FALSE)</f>
        <v>7295.8801972460988</v>
      </c>
      <c r="E179" s="461">
        <f>VLOOKUP(E182,'AM (2011)'!$A$10:$N$444,'AM (2011)'!$N$445,FALSE)</f>
        <v>7295.8801972460988</v>
      </c>
      <c r="F179" s="461">
        <f>VLOOKUP(F182,'AM (2011)'!$A$10:$N$444,'AM (2011)'!$N$445,FALSE)</f>
        <v>7295.8801972460988</v>
      </c>
      <c r="G179" s="461">
        <f>VLOOKUP(G182,'AM (2011)'!$A$10:$N$444,'AM (2011)'!$N$445,FALSE)</f>
        <v>7295.8801972460988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6759.362378797673</v>
      </c>
      <c r="Z179" s="563">
        <f>F181</f>
        <v>6926.5378151260502</v>
      </c>
      <c r="AA179" s="563">
        <f>G181</f>
        <v>6957.8221073044597</v>
      </c>
      <c r="AB179" s="563">
        <f>H181</f>
        <v>7121.0870071105364</v>
      </c>
      <c r="AC179" s="563">
        <f>I181</f>
        <v>7295.1058823529411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7641</v>
      </c>
      <c r="E180" s="461">
        <f>VLOOKUP(E183,'AM (2011)'!$A$10:$N$444,'AM (2011)'!$N$445,FALSE)</f>
        <v>7369</v>
      </c>
      <c r="F180" s="461">
        <f>VLOOKUP(F183,'AM (2011)'!$A$10:$N$444,'AM (2011)'!$N$445,FALSE)</f>
        <v>7606</v>
      </c>
      <c r="G180" s="461">
        <f>VLOOKUP(G183,'AM (2011)'!$A$10:$N$444,'AM (2011)'!$N$445,FALSE)</f>
        <v>7848</v>
      </c>
      <c r="H180" s="461">
        <f>VLOOKUP(H183,'AM (2011)'!$A$10:$N$444,'AM (2011)'!$N$445,FALSE)</f>
        <v>8098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6759.362378797673</v>
      </c>
      <c r="F181" s="493">
        <f>VLOOKUP(F184,'AM (2011)'!$A$10:$N$444,'AM (2011)'!$N$445,FALSE)</f>
        <v>6926.5378151260502</v>
      </c>
      <c r="G181" s="493">
        <f>VLOOKUP(G184,'AM (2011)'!$A$10:$N$444,'AM (2011)'!$N$445,FALSE)</f>
        <v>6957.8221073044597</v>
      </c>
      <c r="H181" s="493">
        <f>VLOOKUP(H184,'AM (2011)'!$A$10:$N$444,'AM (2011)'!$N$445,FALSE)</f>
        <v>7121.0870071105364</v>
      </c>
      <c r="I181" s="494">
        <f>VLOOKUP(I184,'AM (2011)'!$A$10:$N$444,'AM (2011)'!$N$445,FALSE)</f>
        <v>7295.1058823529411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354</v>
      </c>
      <c r="D182" s="136">
        <f>VLOOKUP($B$2,$B$257:$Y$286,11,FALSE)</f>
        <v>355</v>
      </c>
      <c r="E182" s="136">
        <f>VLOOKUP($B$2,$B$257:$Y$286,12,FALSE)</f>
        <v>356</v>
      </c>
      <c r="F182" s="136">
        <f>VLOOKUP($B$2,$B$257:$Y$286,13,FALSE)</f>
        <v>357</v>
      </c>
      <c r="G182" s="136">
        <f>VLOOKUP($B$2,$B$257:$Y$286,14,FALSE)</f>
        <v>358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359</v>
      </c>
      <c r="E183" s="136">
        <f>VLOOKUP($B$2,$B$257:$Y$286,16,FALSE)</f>
        <v>360</v>
      </c>
      <c r="F183" s="136">
        <f>VLOOKUP($B$2,$B$257:$Y$286,17,FALSE)</f>
        <v>361</v>
      </c>
      <c r="G183" s="136">
        <f>VLOOKUP($B$2,$B$257:$Y$286,18,FALSE)</f>
        <v>362</v>
      </c>
      <c r="H183" s="136">
        <f>VLOOKUP($B$2,$B$257:$Y$286,19,FALSE)</f>
        <v>363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364</v>
      </c>
      <c r="F184" s="136">
        <f>VLOOKUP($B$2,$B$257:$Y$286,21,FALSE)</f>
        <v>365</v>
      </c>
      <c r="G184" s="136">
        <f>VLOOKUP($B$2,$B$257:$Y$286,22,FALSE)</f>
        <v>366</v>
      </c>
      <c r="H184" s="136">
        <f>VLOOKUP($B$2,$B$257:$Y$286,23,FALSE)</f>
        <v>367</v>
      </c>
      <c r="I184" s="136">
        <f>VLOOKUP($B$2,$B$257:$Y$286,24,FALSE)</f>
        <v>368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2</v>
      </c>
      <c r="B186" s="483" t="s">
        <v>205</v>
      </c>
      <c r="C186" s="490"/>
      <c r="D186" s="484">
        <f>VLOOKUP($D$6,'FS (2011)'!$A$13:$AH$244,'FS (2011)'!AC245,FALSE)/1000</f>
        <v>1.5860000000000001</v>
      </c>
      <c r="E186" s="495">
        <f t="shared" ref="E186:E191" si="16">D186/$D$192</f>
        <v>0.150203617766834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Asset replacement and renewal</v>
      </c>
      <c r="V186" s="559">
        <f t="shared" ref="V186:V191" si="18">VLOOKUP(T186,$A$186:$D$191,4,FALSE)</f>
        <v>7.4189999999999996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5</v>
      </c>
      <c r="B187" s="162" t="s">
        <v>206</v>
      </c>
      <c r="C187" s="121"/>
      <c r="D187" s="456">
        <f>VLOOKUP($D$6,'FS (2011)'!$A$13:$AH$244,'FS (2011)'!AD245,FALSE)/1000</f>
        <v>0.20300000000000001</v>
      </c>
      <c r="E187" s="468">
        <f t="shared" si="16"/>
        <v>1.9225305426650255E-2</v>
      </c>
      <c r="Q187" s="559"/>
      <c r="R187" s="559"/>
      <c r="S187" s="559"/>
      <c r="T187" s="559">
        <v>2</v>
      </c>
      <c r="U187" s="559" t="str">
        <f t="shared" si="17"/>
        <v>System growth</v>
      </c>
      <c r="V187" s="559">
        <f t="shared" si="18"/>
        <v>1.5860000000000001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4</v>
      </c>
      <c r="B188" s="162" t="s">
        <v>209</v>
      </c>
      <c r="C188" s="121"/>
      <c r="D188" s="456">
        <f>VLOOKUP($D$6,'FS (2011)'!$A$13:$AH$244,'FS (2011)'!AB245,FALSE)/1000</f>
        <v>0.59399999999999997</v>
      </c>
      <c r="E188" s="468">
        <f t="shared" si="16"/>
        <v>5.6255327209016007E-2</v>
      </c>
      <c r="Q188" s="559"/>
      <c r="R188" s="559"/>
      <c r="S188" s="559"/>
      <c r="T188" s="559">
        <v>3</v>
      </c>
      <c r="U188" s="559" t="str">
        <f t="shared" si="17"/>
        <v>Non-network capex</v>
      </c>
      <c r="V188" s="559">
        <f t="shared" si="18"/>
        <v>0.73299999999999998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1</v>
      </c>
      <c r="B189" s="162" t="s">
        <v>208</v>
      </c>
      <c r="C189" s="121"/>
      <c r="D189" s="456">
        <f>VLOOKUP($D$6,'FS (2011)'!$A$13:$AH$244,'FS (2011)'!AE245,FALSE)/1000</f>
        <v>7.4189999999999996</v>
      </c>
      <c r="E189" s="468">
        <f t="shared" si="16"/>
        <v>0.70262335448432622</v>
      </c>
      <c r="Q189" s="559"/>
      <c r="R189" s="559"/>
      <c r="S189" s="559"/>
      <c r="T189" s="559">
        <v>4</v>
      </c>
      <c r="U189" s="559" t="str">
        <f t="shared" si="17"/>
        <v>Customer connection</v>
      </c>
      <c r="V189" s="559">
        <f t="shared" si="18"/>
        <v>0.59399999999999997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3</v>
      </c>
      <c r="B190" s="162" t="s">
        <v>312</v>
      </c>
      <c r="C190" s="121"/>
      <c r="D190" s="456">
        <f>VLOOKUP($D$6,'FS (2011)'!$A$13:$AH$244,'FS (2011)'!AH245,FALSE)/1000</f>
        <v>0.73299999999999998</v>
      </c>
      <c r="E190" s="468">
        <f t="shared" si="16"/>
        <v>6.9419452599678008E-2</v>
      </c>
      <c r="Q190" s="559"/>
      <c r="R190" s="559"/>
      <c r="S190" s="559"/>
      <c r="T190" s="559">
        <v>5</v>
      </c>
      <c r="U190" s="559" t="str">
        <f t="shared" si="17"/>
        <v>Reliability, safety and environment</v>
      </c>
      <c r="V190" s="559">
        <f t="shared" si="18"/>
        <v>0.20300000000000001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6</v>
      </c>
      <c r="B191" s="162" t="s">
        <v>207</v>
      </c>
      <c r="C191" s="121"/>
      <c r="D191" s="456">
        <f>VLOOKUP($D$6,'FS (2011)'!$A$13:$AH$244,'FS (2011)'!AF245,FALSE)/1000</f>
        <v>2.4E-2</v>
      </c>
      <c r="E191" s="468">
        <f t="shared" si="16"/>
        <v>2.2729425134955963E-3</v>
      </c>
      <c r="Q191" s="559"/>
      <c r="R191" s="559"/>
      <c r="S191" s="559"/>
      <c r="T191" s="559">
        <v>6</v>
      </c>
      <c r="U191" s="559" t="str">
        <f t="shared" si="17"/>
        <v>Asset relocations</v>
      </c>
      <c r="V191" s="559">
        <f t="shared" si="18"/>
        <v>2.4E-2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10.558999999999999</v>
      </c>
      <c r="E192" s="496">
        <f>SUM(E186:E191)</f>
        <v>1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4.8061640671780097</v>
      </c>
      <c r="D196" s="484">
        <f>VLOOKUP($D$38,'FS (2011)'!$A$13:$AH$244,'FS (2011)'!$AG$245,FALSE)/1000</f>
        <v>7.9181702519047272</v>
      </c>
      <c r="E196" s="484">
        <f>VLOOKUP($E$38,'FS (2011)'!$A$13:$AH$244,'FS (2011)'!$AG$245,FALSE)/1000</f>
        <v>11.148096790708953</v>
      </c>
      <c r="F196" s="486">
        <f>VLOOKUP($F$38,'FS (2011)'!$A$13:$AH$244,'FS (2011)'!$AG$245,FALSE)/1000</f>
        <v>9.8260000000000005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0.85924467508767921</v>
      </c>
      <c r="D197" s="456">
        <f>VLOOKUP($D$38,'FS (2011)'!$A$13:$AH$244,'FS (2011)'!$AH$245,FALSE)/1000</f>
        <v>0.64735578282654938</v>
      </c>
      <c r="E197" s="456">
        <f>VLOOKUP($E$38,'FS (2011)'!$A$13:$AH$244,'FS (2011)'!$AH$245,FALSE)/1000</f>
        <v>0.50024817439573166</v>
      </c>
      <c r="F197" s="457">
        <f>VLOOKUP($F$38,'FS (2011)'!$A$13:$AH$244,'FS (2011)'!$AH$245,FALSE)/1000</f>
        <v>0.73299999999999998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5.6654087422656891</v>
      </c>
      <c r="D198" s="488">
        <f>SUM(D196:D197)</f>
        <v>8.5655260347312758</v>
      </c>
      <c r="E198" s="488">
        <f>SUM(E196:E197)</f>
        <v>11.648344965104684</v>
      </c>
      <c r="F198" s="489">
        <f>SUM(F196:F197)</f>
        <v>10.559000000000001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0.28242223643542808</v>
      </c>
      <c r="D200" s="498">
        <f t="shared" ref="D200:F202" si="20">D196/C196 - 1</f>
        <v>0.64750311084447953</v>
      </c>
      <c r="E200" s="498">
        <f t="shared" si="20"/>
        <v>0.40791324713272781</v>
      </c>
      <c r="F200" s="495">
        <f t="shared" si="20"/>
        <v>-0.11859394617122576</v>
      </c>
      <c r="Q200" s="559"/>
      <c r="R200" s="559" t="s">
        <v>423</v>
      </c>
      <c r="S200" s="559">
        <f t="shared" ref="S200:V202" si="21">LN(C196)</f>
        <v>1.5698992747211875</v>
      </c>
      <c r="T200" s="559">
        <f t="shared" si="21"/>
        <v>2.0691601503351622</v>
      </c>
      <c r="U200" s="559">
        <f t="shared" si="21"/>
        <v>2.4112687919204525</v>
      </c>
      <c r="V200" s="559">
        <f t="shared" si="21"/>
        <v>2.2850319337464566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-7.0818861136815792E-2</v>
      </c>
      <c r="D201" s="467">
        <f t="shared" si="20"/>
        <v>-0.24659901702563147</v>
      </c>
      <c r="E201" s="467">
        <f t="shared" si="20"/>
        <v>-0.22724383149634009</v>
      </c>
      <c r="F201" s="468">
        <f t="shared" si="20"/>
        <v>0.46527271365941103</v>
      </c>
      <c r="Q201" s="559"/>
      <c r="R201" s="559" t="s">
        <v>423</v>
      </c>
      <c r="S201" s="559">
        <f t="shared" si="21"/>
        <v>-0.15170156043441146</v>
      </c>
      <c r="T201" s="559">
        <f t="shared" si="21"/>
        <v>-0.43485923944168819</v>
      </c>
      <c r="U201" s="559">
        <f t="shared" si="21"/>
        <v>-0.69265095490879802</v>
      </c>
      <c r="V201" s="559">
        <f t="shared" si="21"/>
        <v>-0.31060957709548559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0.24299242183685688</v>
      </c>
      <c r="D202" s="500">
        <f t="shared" si="20"/>
        <v>0.51189903931023029</v>
      </c>
      <c r="E202" s="500">
        <f t="shared" si="20"/>
        <v>0.3599100531448125</v>
      </c>
      <c r="F202" s="501">
        <f t="shared" si="20"/>
        <v>-9.3519291227042833E-2</v>
      </c>
      <c r="Q202" s="559"/>
      <c r="R202" s="559" t="s">
        <v>423</v>
      </c>
      <c r="S202" s="559">
        <f t="shared" si="21"/>
        <v>1.7343790440864251</v>
      </c>
      <c r="T202" s="559">
        <f t="shared" si="21"/>
        <v>2.1477455466713846</v>
      </c>
      <c r="U202" s="559">
        <f t="shared" si="21"/>
        <v>2.4551641068386512</v>
      </c>
      <c r="V202" s="559">
        <f t="shared" si="21"/>
        <v>2.3569785768243774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Northpower</v>
      </c>
      <c r="C206" s="456">
        <f>(C198/C102)*1000000</f>
        <v>107.14518386915972</v>
      </c>
      <c r="D206" s="456">
        <f>(D198/D102)*1000000</f>
        <v>160.61063986670558</v>
      </c>
      <c r="E206" s="456">
        <f>(E198/E102)*1000000</f>
        <v>216.89094263405732</v>
      </c>
      <c r="F206" s="457">
        <f>(F198/F102)*1000000</f>
        <v>194.0421934725081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Northpower</v>
      </c>
      <c r="C209" s="456">
        <f>(C198/C117)*1000000000</f>
        <v>5840.115806620749</v>
      </c>
      <c r="D209" s="456">
        <f>(D198/D117)*1000000000</f>
        <v>8872.9562219079417</v>
      </c>
      <c r="E209" s="456">
        <f>(E198/E117)*1000000000</f>
        <v>12256.345496131267</v>
      </c>
      <c r="F209" s="457">
        <f>(F198/F117)*1000000000</f>
        <v>11035.605740730676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Northpower</v>
      </c>
      <c r="C212" s="456">
        <f>(C198/VLOOKUP(C$38,'AV (2011)'!$A$11:$F$213,'AV (2011)'!$F$214,FALSE)*1000)</f>
        <v>2.8402324137051727E-2</v>
      </c>
      <c r="D212" s="456">
        <f>(D198/VLOOKUP(D$38,'AV (2011)'!$A$11:$F$213,'AV (2011)'!$F$214,FALSE)*1000)</f>
        <v>4.2045672386798169E-2</v>
      </c>
      <c r="E212" s="456">
        <f>(E198/VLOOKUP(E$38,'AV (2011)'!$A$11:$F$213,'AV (2011)'!$F$214,FALSE)*1000)</f>
        <v>5.5946707299188242E-2</v>
      </c>
      <c r="F212" s="457">
        <f>(F198/VLOOKUP(F$38,'AV (2011)'!$A$11:$F$213,'AV (2011)'!$F$214,FALSE)*1000)</f>
        <v>4.8157348606618043E-2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0.23146980219783853</v>
      </c>
      <c r="D215" s="464">
        <f>D206/C206 - 1</f>
        <v>0.49900008630192061</v>
      </c>
      <c r="E215" s="464">
        <f>E206/D206 - 1</f>
        <v>0.35041453551308965</v>
      </c>
      <c r="F215" s="465">
        <f>F206/E206 - 1</f>
        <v>-0.10534671888120328</v>
      </c>
      <c r="K215" s="139"/>
      <c r="P215" s="139"/>
      <c r="Q215" s="559"/>
      <c r="R215" s="559" t="s">
        <v>423</v>
      </c>
      <c r="S215" s="559">
        <f>LN(C206)</f>
        <v>4.674184773351409</v>
      </c>
      <c r="T215" s="559">
        <f>LN(D206)</f>
        <v>5.0789830500448634</v>
      </c>
      <c r="U215" s="559">
        <f>LN(E206)</f>
        <v>5.379394658703931</v>
      </c>
      <c r="V215" s="559">
        <f>LN(F206)</f>
        <v>5.2680756275416751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0.25009115062898801</v>
      </c>
      <c r="D216" s="467">
        <f>D209/C209 - 1</f>
        <v>0.51931169101971575</v>
      </c>
      <c r="E216" s="467">
        <f>E209/D209 - 1</f>
        <v>0.38131477149289927</v>
      </c>
      <c r="F216" s="468">
        <f>F209/E209 - 1</f>
        <v>-9.9600631834825371E-2</v>
      </c>
      <c r="Q216" s="559"/>
      <c r="R216" s="559" t="s">
        <v>423</v>
      </c>
      <c r="S216" s="559">
        <f>LN(C209)</f>
        <v>8.6725059055264762</v>
      </c>
      <c r="T216" s="559">
        <f>LN(D209)</f>
        <v>9.0907633029685453</v>
      </c>
      <c r="U216" s="559">
        <f>LN(E209)</f>
        <v>9.4137990815415336</v>
      </c>
      <c r="V216" s="559">
        <f>LN(F209)</f>
        <v>9.3088822098649118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0.20558526015135326</v>
      </c>
      <c r="D217" s="470">
        <f>D212/C212 - 1</f>
        <v>0.480360275585626</v>
      </c>
      <c r="E217" s="470">
        <f>E212/D212 - 1</f>
        <v>0.33061749576764599</v>
      </c>
      <c r="F217" s="471">
        <f>F212/E212 - 1</f>
        <v>-0.13922818819192995</v>
      </c>
      <c r="Q217" s="559"/>
      <c r="R217" s="559" t="s">
        <v>423</v>
      </c>
      <c r="S217" s="559">
        <f>LN(C212)</f>
        <v>-3.5612843013516637</v>
      </c>
      <c r="T217" s="559">
        <f>LN(D212)</f>
        <v>-3.1689988137500338</v>
      </c>
      <c r="U217" s="559">
        <f>LN(E212)</f>
        <v>-2.8833556967300931</v>
      </c>
      <c r="V217" s="559">
        <f>LN(F212)</f>
        <v>-3.0332815333463832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Northpower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11148.096790708953</v>
      </c>
      <c r="X220" s="563">
        <f>D222</f>
        <v>9826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Northpower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11472.086443372584</v>
      </c>
      <c r="X221" s="563">
        <f t="shared" si="23"/>
        <v>11602.497372746624</v>
      </c>
      <c r="Y221" s="563">
        <f t="shared" si="23"/>
        <v>9368.1913718304531</v>
      </c>
      <c r="Z221" s="563">
        <f t="shared" si="23"/>
        <v>9882.7032416264701</v>
      </c>
      <c r="AA221" s="563">
        <f t="shared" si="23"/>
        <v>8222.0015628789297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11148.096790708953</v>
      </c>
      <c r="D222" s="461">
        <f>VLOOKUP(D226,'FS (2011)'!$A$14:$AJ$245,'FS (2011)'!$AG$245,FALSE)</f>
        <v>9826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11326</v>
      </c>
      <c r="Y222" s="563">
        <f t="shared" si="23"/>
        <v>11825</v>
      </c>
      <c r="Z222" s="563">
        <f t="shared" si="23"/>
        <v>11912</v>
      </c>
      <c r="AA222" s="563">
        <f t="shared" si="23"/>
        <v>12407</v>
      </c>
      <c r="AB222" s="563">
        <f>H224</f>
        <v>11959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11472.086443372584</v>
      </c>
      <c r="D223" s="461">
        <f>VLOOKUP(D227,'AM (2011)'!$A$10:$N$444,'AM (2011)'!$J$445,FALSE)</f>
        <v>11602.497372746624</v>
      </c>
      <c r="E223" s="461">
        <f>VLOOKUP(E226,'AM (2011)'!$A$10:$N$444,'AM (2011)'!$J$445,FALSE)</f>
        <v>9368.1913718304531</v>
      </c>
      <c r="F223" s="461">
        <f>VLOOKUP(F226,'AM (2011)'!$A$10:$N$444,'AM (2011)'!$J$445,FALSE)</f>
        <v>9882.7032416264701</v>
      </c>
      <c r="G223" s="461">
        <f>VLOOKUP(G226,'AM (2011)'!$A$10:$N$444,'AM (2011)'!$J$445,FALSE)</f>
        <v>8222.0015628789297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16759.581900452489</v>
      </c>
      <c r="Z223" s="563">
        <f>F225</f>
        <v>13183.396250808015</v>
      </c>
      <c r="AA223" s="563">
        <f>G225</f>
        <v>11635.801422107304</v>
      </c>
      <c r="AB223" s="563">
        <f>H225</f>
        <v>12537.180090497737</v>
      </c>
      <c r="AC223" s="563">
        <f>I225</f>
        <v>12842.201939237233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11326</v>
      </c>
      <c r="E224" s="461">
        <f>VLOOKUP(E227,'AM (2011)'!$A$10:$N$444,'AM (2011)'!$J$445,FALSE)</f>
        <v>11825</v>
      </c>
      <c r="F224" s="461">
        <f>VLOOKUP(F227,'AM (2011)'!$A$10:$N$444,'AM (2011)'!$J$445,FALSE)</f>
        <v>11912</v>
      </c>
      <c r="G224" s="461">
        <f>VLOOKUP(G227,'AM (2011)'!$A$10:$N$444,'AM (2011)'!$J$445,FALSE)</f>
        <v>12407</v>
      </c>
      <c r="H224" s="461">
        <f>VLOOKUP(H227,'AM (2011)'!$A$10:$N$444,'AM (2011)'!$J$445,FALSE)</f>
        <v>11959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16759.581900452489</v>
      </c>
      <c r="F225" s="493">
        <f>VLOOKUP(F228,'AM (2011)'!$A$10:$N$444,'AM (2011)'!$J$445,FALSE)</f>
        <v>13183.396250808015</v>
      </c>
      <c r="G225" s="493">
        <f>VLOOKUP(G228,'AM (2011)'!$A$10:$N$444,'AM (2011)'!$J$445,FALSE)</f>
        <v>11635.801422107304</v>
      </c>
      <c r="H225" s="493">
        <f>VLOOKUP(H228,'AM (2011)'!$A$10:$N$444,'AM (2011)'!$J$445,FALSE)</f>
        <v>12537.180090497737</v>
      </c>
      <c r="I225" s="494">
        <f>VLOOKUP(I228,'AM (2011)'!$A$10:$N$444,'AM (2011)'!$J$445,FALSE)</f>
        <v>12842.201939237233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352</v>
      </c>
      <c r="D226" s="136">
        <f>VLOOKUP($B$2,$B$257:$Y$286,9,FALSE)</f>
        <v>353</v>
      </c>
      <c r="E226" s="136">
        <f>VLOOKUP($B$2,$B$257:$Y$286,12,FALSE)</f>
        <v>356</v>
      </c>
      <c r="F226" s="136">
        <f>VLOOKUP($B$2,$B$257:$Y$286,13,FALSE)</f>
        <v>357</v>
      </c>
      <c r="G226" s="136">
        <f>VLOOKUP($B$2,$B$257:$Y$286,14,FALSE)</f>
        <v>358</v>
      </c>
      <c r="H226" s="136"/>
      <c r="I226" s="136"/>
    </row>
    <row r="227" spans="2:30">
      <c r="C227" s="136">
        <f>VLOOKUP($B$2,$B$257:$Y$286,10,FALSE)</f>
        <v>354</v>
      </c>
      <c r="D227" s="136">
        <f>VLOOKUP($B$2,$B$257:$Y$286,11,FALSE)</f>
        <v>355</v>
      </c>
      <c r="E227" s="136">
        <f>VLOOKUP($B$2,$B$257:$Y$286,16,FALSE)</f>
        <v>360</v>
      </c>
      <c r="F227" s="136">
        <f>VLOOKUP($B$2,$B$257:$Y$286,17,FALSE)</f>
        <v>361</v>
      </c>
      <c r="G227" s="136">
        <f>VLOOKUP($B$2,$B$257:$Y$286,18,FALSE)</f>
        <v>362</v>
      </c>
      <c r="H227" s="136">
        <f>VLOOKUP($B$2,$B$257:$Y$286,19,FALSE)</f>
        <v>363</v>
      </c>
      <c r="I227" s="136"/>
    </row>
    <row r="228" spans="2:30">
      <c r="B228" s="517" t="s">
        <v>291</v>
      </c>
      <c r="C228" s="518"/>
      <c r="D228" s="518">
        <f>VLOOKUP($B$2,$B$257:$Y$286,15,FALSE)</f>
        <v>359</v>
      </c>
      <c r="E228" s="518">
        <f>VLOOKUP($B$2,$B$257:$Y$286,20,FALSE)</f>
        <v>364</v>
      </c>
      <c r="F228" s="519">
        <f>VLOOKUP($B$2,$B$257:$Y$286,21,FALSE)</f>
        <v>365</v>
      </c>
      <c r="G228" s="136">
        <f>VLOOKUP($B$2,$B$257:$Y$286,22,FALSE)</f>
        <v>366</v>
      </c>
      <c r="H228" s="136">
        <f>VLOOKUP($B$2,$B$257:$Y$286,23,FALSE)</f>
        <v>367</v>
      </c>
      <c r="I228" s="136">
        <f>VLOOKUP($B$2,$B$257:$Y$286,24,FALSE)</f>
        <v>368</v>
      </c>
    </row>
    <row r="229" spans="2:30">
      <c r="B229" s="474" t="str">
        <f>$B$2</f>
        <v>Northpower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783.08</v>
      </c>
      <c r="D230" s="456">
        <f>VLOOKUP(D$38,'MP (2011)'!$A$11:$AR$245,'MP (2011)'!$S$246,FALSE)+VLOOKUP(D$38,'MP (2011)'!$A$11:$AR$245,'MP (2011)'!$T$246,FALSE)</f>
        <v>254.34</v>
      </c>
      <c r="E230" s="456">
        <f>VLOOKUP(E$38,'MP (2011)'!$A$11:$AR$245,'MP (2011)'!$S$246,FALSE)+VLOOKUP(E$38,'MP (2011)'!$A$11:$AR$245,'MP (2011)'!$T$246,FALSE)</f>
        <v>132.30000000000001</v>
      </c>
      <c r="F230" s="457">
        <f>VLOOKUP(F$38,'MP (2011)'!$A$11:$AR$245,'MP (2011)'!$S$246,FALSE)+VLOOKUP(F$38,'MP (2011)'!$A$11:$AR$245,'MP (2011)'!$T$246,FALSE)</f>
        <v>134.81</v>
      </c>
    </row>
    <row r="231" spans="2:30">
      <c r="B231" s="199" t="s">
        <v>292</v>
      </c>
      <c r="C231" s="456" t="str">
        <f>IF(ISERROR(VLOOKUP(C$38,'Compliance data'!$A$7:$E$74,'Compliance data'!$D$75,FALSE)),"",(VLOOKUP(C$38,'Compliance data'!$A$7:$E$74,'Compliance data'!$D$75,FALSE)))</f>
        <v/>
      </c>
      <c r="D231" s="456" t="str">
        <f>IF(ISERROR(VLOOKUP(D$38,'Compliance data'!$A$7:$E$74,'Compliance data'!$D$75,FALSE)),"",(VLOOKUP(D$38,'Compliance data'!$A$7:$E$74,'Compliance data'!$D$75,FALSE)))</f>
        <v/>
      </c>
      <c r="E231" s="456" t="str">
        <f>IF(ISERROR(VLOOKUP(E$38,'Compliance data'!$A$7:$E$74,'Compliance data'!$D$75,FALSE)),"",(VLOOKUP(E$38,'Compliance data'!$A$7:$E$74,'Compliance data'!$D$75,FALSE)))</f>
        <v/>
      </c>
      <c r="F231" s="457" t="str">
        <f>IF(ISERROR(VLOOKUP(F$38,'Compliance data'!$A$7:$E$74,'Compliance data'!$D$75,FALSE)),"",(VLOOKUP(F$38,'Compliance data'!$A$7:$E$74,'Compliance data'!$D$75,FALSE)))</f>
        <v/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4.63</v>
      </c>
      <c r="D237" s="456">
        <f>VLOOKUP(D$38,'MP (2011)'!$A$11:$AR$245,'MP (2011)'!$W$246,FALSE)+VLOOKUP(D$38,'MP (2011)'!$A$11:$AR$245,'MP (2011)'!$X$246,FALSE)</f>
        <v>3.2530000000000001</v>
      </c>
      <c r="E237" s="456">
        <f>VLOOKUP(E$38,'MP (2011)'!$A$11:$AR$245,'MP (2011)'!$W$246,FALSE)+VLOOKUP(E$38,'MP (2011)'!$A$11:$AR$245,'MP (2011)'!$X$246,FALSE)</f>
        <v>2.37</v>
      </c>
      <c r="F237" s="457">
        <f>VLOOKUP(F$38,'MP (2011)'!$A$11:$AR$245,'MP (2011)'!$W$246,FALSE)+VLOOKUP(F$38,'MP (2011)'!$A$11:$AR$245,'MP (2011)'!$X$246,FALSE)</f>
        <v>2.3240000000000003</v>
      </c>
    </row>
    <row r="238" spans="2:30">
      <c r="B238" s="199" t="s">
        <v>292</v>
      </c>
      <c r="C238" s="456" t="str">
        <f>IF(ISERROR(VLOOKUP(C$38,'Compliance data'!$A$7:$E$74,'Compliance data'!$E$75,FALSE)),"",(VLOOKUP(C$38,'Compliance data'!$A$7:$E$74,'Compliance data'!$E$75,FALSE)))</f>
        <v/>
      </c>
      <c r="D238" s="456" t="str">
        <f>IF(ISERROR(VLOOKUP(D$38,'Compliance data'!$A$7:$E$74,'Compliance data'!$E$75,FALSE)),"",(VLOOKUP(D$38,'Compliance data'!$A$7:$E$74,'Compliance data'!$E$75,FALSE)))</f>
        <v/>
      </c>
      <c r="E238" s="456" t="str">
        <f>IF(ISERROR(VLOOKUP(E$38,'Compliance data'!$A$7:$E$74,'Compliance data'!$E$75,FALSE)),"",(VLOOKUP(E$38,'Compliance data'!$A$7:$E$74,'Compliance data'!$E$75,FALSE)))</f>
        <v/>
      </c>
      <c r="F238" s="457" t="str">
        <f>IF(ISERROR(VLOOKUP(F$38,'Compliance data'!$A$7:$E$74,'Compliance data'!$E$75,FALSE)),"",(VLOOKUP(F$38,'Compliance data'!$A$7:$E$74,'Compliance data'!$E$75,FALSE)))</f>
        <v/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ref="T258:Y273" si="25">S258+1</f>
        <v>18</v>
      </c>
      <c r="U258" s="526">
        <f t="shared" si="25"/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4"/>
        <v>25</v>
      </c>
      <c r="E259" s="526">
        <f t="shared" si="24"/>
        <v>26</v>
      </c>
      <c r="F259" s="526">
        <f t="shared" si="24"/>
        <v>27</v>
      </c>
      <c r="G259" s="526">
        <f t="shared" si="24"/>
        <v>28</v>
      </c>
      <c r="H259" s="526">
        <f t="shared" si="24"/>
        <v>29</v>
      </c>
      <c r="I259" s="526">
        <f t="shared" si="24"/>
        <v>30</v>
      </c>
      <c r="J259" s="526">
        <f t="shared" si="24"/>
        <v>31</v>
      </c>
      <c r="K259" s="526">
        <f t="shared" si="24"/>
        <v>32</v>
      </c>
      <c r="L259" s="526">
        <f t="shared" si="24"/>
        <v>33</v>
      </c>
      <c r="M259" s="526">
        <f t="shared" si="24"/>
        <v>34</v>
      </c>
      <c r="N259" s="526">
        <f t="shared" si="24"/>
        <v>35</v>
      </c>
      <c r="O259" s="526">
        <f t="shared" si="24"/>
        <v>36</v>
      </c>
      <c r="P259" s="526">
        <f t="shared" si="24"/>
        <v>37</v>
      </c>
      <c r="Q259" s="526">
        <f t="shared" si="24"/>
        <v>38</v>
      </c>
      <c r="R259" s="526">
        <f t="shared" si="24"/>
        <v>39</v>
      </c>
      <c r="S259" s="526">
        <f t="shared" si="24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6">Y259+1</f>
        <v>47</v>
      </c>
      <c r="D260" s="526">
        <f t="shared" si="24"/>
        <v>48</v>
      </c>
      <c r="E260" s="526">
        <f t="shared" si="24"/>
        <v>49</v>
      </c>
      <c r="F260" s="526">
        <f t="shared" si="24"/>
        <v>50</v>
      </c>
      <c r="G260" s="526">
        <f t="shared" si="24"/>
        <v>51</v>
      </c>
      <c r="H260" s="526">
        <f t="shared" si="24"/>
        <v>52</v>
      </c>
      <c r="I260" s="526">
        <f t="shared" si="24"/>
        <v>53</v>
      </c>
      <c r="J260" s="526">
        <f t="shared" si="24"/>
        <v>54</v>
      </c>
      <c r="K260" s="526">
        <f t="shared" si="24"/>
        <v>55</v>
      </c>
      <c r="L260" s="526">
        <f t="shared" si="24"/>
        <v>56</v>
      </c>
      <c r="M260" s="526">
        <f t="shared" si="24"/>
        <v>57</v>
      </c>
      <c r="N260" s="526">
        <f t="shared" si="24"/>
        <v>58</v>
      </c>
      <c r="O260" s="526">
        <f t="shared" si="24"/>
        <v>59</v>
      </c>
      <c r="P260" s="526">
        <f t="shared" si="24"/>
        <v>60</v>
      </c>
      <c r="Q260" s="526">
        <f t="shared" si="24"/>
        <v>61</v>
      </c>
      <c r="R260" s="526">
        <f t="shared" si="24"/>
        <v>62</v>
      </c>
      <c r="S260" s="526">
        <f t="shared" si="24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6"/>
        <v>70</v>
      </c>
      <c r="D261" s="526">
        <f t="shared" si="24"/>
        <v>71</v>
      </c>
      <c r="E261" s="526">
        <f t="shared" si="24"/>
        <v>72</v>
      </c>
      <c r="F261" s="526">
        <f t="shared" si="24"/>
        <v>73</v>
      </c>
      <c r="G261" s="526">
        <f t="shared" si="24"/>
        <v>74</v>
      </c>
      <c r="H261" s="526">
        <f t="shared" si="24"/>
        <v>75</v>
      </c>
      <c r="I261" s="526">
        <f t="shared" si="24"/>
        <v>76</v>
      </c>
      <c r="J261" s="526">
        <f t="shared" si="24"/>
        <v>77</v>
      </c>
      <c r="K261" s="526">
        <f t="shared" si="24"/>
        <v>78</v>
      </c>
      <c r="L261" s="526">
        <f t="shared" si="24"/>
        <v>79</v>
      </c>
      <c r="M261" s="526">
        <f t="shared" si="24"/>
        <v>80</v>
      </c>
      <c r="N261" s="526">
        <f t="shared" si="24"/>
        <v>81</v>
      </c>
      <c r="O261" s="526">
        <f t="shared" si="24"/>
        <v>82</v>
      </c>
      <c r="P261" s="526">
        <f t="shared" si="24"/>
        <v>83</v>
      </c>
      <c r="Q261" s="526">
        <f t="shared" si="24"/>
        <v>84</v>
      </c>
      <c r="R261" s="526">
        <f t="shared" si="24"/>
        <v>85</v>
      </c>
      <c r="S261" s="526">
        <f t="shared" si="24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6"/>
        <v>93</v>
      </c>
      <c r="D262" s="526">
        <f t="shared" si="24"/>
        <v>94</v>
      </c>
      <c r="E262" s="526">
        <f t="shared" si="24"/>
        <v>95</v>
      </c>
      <c r="F262" s="526">
        <f t="shared" si="24"/>
        <v>96</v>
      </c>
      <c r="G262" s="526">
        <f t="shared" si="24"/>
        <v>97</v>
      </c>
      <c r="H262" s="526">
        <f t="shared" si="24"/>
        <v>98</v>
      </c>
      <c r="I262" s="526">
        <f t="shared" si="24"/>
        <v>99</v>
      </c>
      <c r="J262" s="526">
        <f t="shared" si="24"/>
        <v>100</v>
      </c>
      <c r="K262" s="526">
        <f t="shared" si="24"/>
        <v>101</v>
      </c>
      <c r="L262" s="526">
        <f t="shared" si="24"/>
        <v>102</v>
      </c>
      <c r="M262" s="526">
        <f t="shared" si="24"/>
        <v>103</v>
      </c>
      <c r="N262" s="526">
        <f t="shared" si="24"/>
        <v>104</v>
      </c>
      <c r="O262" s="526">
        <f t="shared" si="24"/>
        <v>105</v>
      </c>
      <c r="P262" s="526">
        <f t="shared" si="24"/>
        <v>106</v>
      </c>
      <c r="Q262" s="526">
        <f t="shared" si="24"/>
        <v>107</v>
      </c>
      <c r="R262" s="526">
        <f t="shared" si="24"/>
        <v>108</v>
      </c>
      <c r="S262" s="526">
        <f t="shared" si="24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6"/>
        <v>116</v>
      </c>
      <c r="D263" s="526">
        <f t="shared" si="24"/>
        <v>117</v>
      </c>
      <c r="E263" s="526">
        <f t="shared" si="24"/>
        <v>118</v>
      </c>
      <c r="F263" s="526">
        <f t="shared" si="24"/>
        <v>119</v>
      </c>
      <c r="G263" s="526">
        <f t="shared" si="24"/>
        <v>120</v>
      </c>
      <c r="H263" s="526">
        <f t="shared" si="24"/>
        <v>121</v>
      </c>
      <c r="I263" s="526">
        <f t="shared" si="24"/>
        <v>122</v>
      </c>
      <c r="J263" s="526">
        <f t="shared" si="24"/>
        <v>123</v>
      </c>
      <c r="K263" s="526">
        <f t="shared" si="24"/>
        <v>124</v>
      </c>
      <c r="L263" s="526">
        <f t="shared" si="24"/>
        <v>125</v>
      </c>
      <c r="M263" s="526">
        <f t="shared" si="24"/>
        <v>126</v>
      </c>
      <c r="N263" s="526">
        <f t="shared" si="24"/>
        <v>127</v>
      </c>
      <c r="O263" s="526">
        <f t="shared" si="24"/>
        <v>128</v>
      </c>
      <c r="P263" s="526">
        <f t="shared" si="24"/>
        <v>129</v>
      </c>
      <c r="Q263" s="526">
        <f t="shared" si="24"/>
        <v>130</v>
      </c>
      <c r="R263" s="526">
        <f t="shared" si="24"/>
        <v>131</v>
      </c>
      <c r="S263" s="526">
        <f t="shared" si="24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6"/>
        <v>139</v>
      </c>
      <c r="D264" s="526">
        <f t="shared" si="24"/>
        <v>140</v>
      </c>
      <c r="E264" s="526">
        <f t="shared" si="24"/>
        <v>141</v>
      </c>
      <c r="F264" s="526">
        <f t="shared" si="24"/>
        <v>142</v>
      </c>
      <c r="G264" s="526">
        <f t="shared" si="24"/>
        <v>143</v>
      </c>
      <c r="H264" s="526">
        <f t="shared" si="24"/>
        <v>144</v>
      </c>
      <c r="I264" s="526">
        <f t="shared" si="24"/>
        <v>145</v>
      </c>
      <c r="J264" s="526">
        <f t="shared" si="24"/>
        <v>146</v>
      </c>
      <c r="K264" s="526">
        <f t="shared" si="24"/>
        <v>147</v>
      </c>
      <c r="L264" s="526">
        <f t="shared" si="24"/>
        <v>148</v>
      </c>
      <c r="M264" s="526">
        <f t="shared" si="24"/>
        <v>149</v>
      </c>
      <c r="N264" s="526">
        <f t="shared" si="24"/>
        <v>150</v>
      </c>
      <c r="O264" s="526">
        <f t="shared" si="24"/>
        <v>151</v>
      </c>
      <c r="P264" s="526">
        <f t="shared" si="24"/>
        <v>152</v>
      </c>
      <c r="Q264" s="526">
        <f t="shared" si="24"/>
        <v>153</v>
      </c>
      <c r="R264" s="526">
        <f t="shared" si="24"/>
        <v>154</v>
      </c>
      <c r="S264" s="526">
        <f t="shared" si="24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6"/>
        <v>162</v>
      </c>
      <c r="D265" s="526">
        <f t="shared" si="24"/>
        <v>163</v>
      </c>
      <c r="E265" s="526">
        <f t="shared" si="24"/>
        <v>164</v>
      </c>
      <c r="F265" s="526">
        <f t="shared" si="24"/>
        <v>165</v>
      </c>
      <c r="G265" s="526">
        <f t="shared" si="24"/>
        <v>166</v>
      </c>
      <c r="H265" s="526">
        <f t="shared" si="24"/>
        <v>167</v>
      </c>
      <c r="I265" s="526">
        <f t="shared" si="24"/>
        <v>168</v>
      </c>
      <c r="J265" s="526">
        <f t="shared" si="24"/>
        <v>169</v>
      </c>
      <c r="K265" s="526">
        <f t="shared" si="24"/>
        <v>170</v>
      </c>
      <c r="L265" s="526">
        <f t="shared" si="24"/>
        <v>171</v>
      </c>
      <c r="M265" s="526">
        <f t="shared" si="24"/>
        <v>172</v>
      </c>
      <c r="N265" s="526">
        <f t="shared" si="24"/>
        <v>173</v>
      </c>
      <c r="O265" s="526">
        <f t="shared" si="24"/>
        <v>174</v>
      </c>
      <c r="P265" s="526">
        <f t="shared" si="24"/>
        <v>175</v>
      </c>
      <c r="Q265" s="526">
        <f t="shared" si="24"/>
        <v>176</v>
      </c>
      <c r="R265" s="526">
        <f t="shared" si="24"/>
        <v>177</v>
      </c>
      <c r="S265" s="526">
        <f t="shared" si="24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6"/>
        <v>185</v>
      </c>
      <c r="D266" s="526">
        <f t="shared" si="24"/>
        <v>186</v>
      </c>
      <c r="E266" s="526">
        <f t="shared" si="24"/>
        <v>187</v>
      </c>
      <c r="F266" s="526">
        <f t="shared" si="24"/>
        <v>188</v>
      </c>
      <c r="G266" s="526">
        <f t="shared" si="24"/>
        <v>189</v>
      </c>
      <c r="H266" s="526">
        <f t="shared" si="24"/>
        <v>190</v>
      </c>
      <c r="I266" s="526">
        <f t="shared" si="24"/>
        <v>191</v>
      </c>
      <c r="J266" s="526">
        <f t="shared" si="24"/>
        <v>192</v>
      </c>
      <c r="K266" s="526">
        <f t="shared" si="24"/>
        <v>193</v>
      </c>
      <c r="L266" s="526">
        <f t="shared" si="24"/>
        <v>194</v>
      </c>
      <c r="M266" s="526">
        <f t="shared" si="24"/>
        <v>195</v>
      </c>
      <c r="N266" s="526">
        <f t="shared" si="24"/>
        <v>196</v>
      </c>
      <c r="O266" s="526">
        <f t="shared" si="24"/>
        <v>197</v>
      </c>
      <c r="P266" s="526">
        <f t="shared" si="24"/>
        <v>198</v>
      </c>
      <c r="Q266" s="526">
        <f t="shared" si="24"/>
        <v>199</v>
      </c>
      <c r="R266" s="526">
        <f t="shared" si="24"/>
        <v>200</v>
      </c>
      <c r="S266" s="526">
        <f t="shared" si="24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6"/>
        <v>208</v>
      </c>
      <c r="D267" s="526">
        <f t="shared" si="24"/>
        <v>209</v>
      </c>
      <c r="E267" s="526">
        <f t="shared" si="24"/>
        <v>210</v>
      </c>
      <c r="F267" s="526">
        <f t="shared" si="24"/>
        <v>211</v>
      </c>
      <c r="G267" s="526">
        <f t="shared" si="24"/>
        <v>212</v>
      </c>
      <c r="H267" s="526">
        <f t="shared" si="24"/>
        <v>213</v>
      </c>
      <c r="I267" s="526">
        <f t="shared" si="24"/>
        <v>214</v>
      </c>
      <c r="J267" s="526">
        <f t="shared" si="24"/>
        <v>215</v>
      </c>
      <c r="K267" s="526">
        <f t="shared" si="24"/>
        <v>216</v>
      </c>
      <c r="L267" s="526">
        <f t="shared" si="24"/>
        <v>217</v>
      </c>
      <c r="M267" s="526">
        <f t="shared" si="24"/>
        <v>218</v>
      </c>
      <c r="N267" s="526">
        <f t="shared" si="24"/>
        <v>219</v>
      </c>
      <c r="O267" s="526">
        <f t="shared" si="24"/>
        <v>220</v>
      </c>
      <c r="P267" s="526">
        <f t="shared" si="24"/>
        <v>221</v>
      </c>
      <c r="Q267" s="526">
        <f t="shared" si="24"/>
        <v>222</v>
      </c>
      <c r="R267" s="526">
        <f t="shared" si="24"/>
        <v>223</v>
      </c>
      <c r="S267" s="526">
        <f t="shared" si="24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6"/>
        <v>231</v>
      </c>
      <c r="D268" s="526">
        <f t="shared" si="24"/>
        <v>232</v>
      </c>
      <c r="E268" s="526">
        <f t="shared" si="24"/>
        <v>233</v>
      </c>
      <c r="F268" s="526">
        <f t="shared" si="24"/>
        <v>234</v>
      </c>
      <c r="G268" s="526">
        <f t="shared" si="24"/>
        <v>235</v>
      </c>
      <c r="H268" s="526">
        <f t="shared" si="24"/>
        <v>236</v>
      </c>
      <c r="I268" s="526">
        <f t="shared" si="24"/>
        <v>237</v>
      </c>
      <c r="J268" s="526">
        <f t="shared" si="24"/>
        <v>238</v>
      </c>
      <c r="K268" s="526">
        <f t="shared" si="24"/>
        <v>239</v>
      </c>
      <c r="L268" s="526">
        <f t="shared" si="24"/>
        <v>240</v>
      </c>
      <c r="M268" s="526">
        <f t="shared" si="24"/>
        <v>241</v>
      </c>
      <c r="N268" s="526">
        <f t="shared" si="24"/>
        <v>242</v>
      </c>
      <c r="O268" s="526">
        <f t="shared" si="24"/>
        <v>243</v>
      </c>
      <c r="P268" s="526">
        <f t="shared" si="24"/>
        <v>244</v>
      </c>
      <c r="Q268" s="526">
        <f t="shared" si="24"/>
        <v>245</v>
      </c>
      <c r="R268" s="526">
        <f t="shared" si="24"/>
        <v>246</v>
      </c>
      <c r="S268" s="526">
        <f t="shared" si="24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6"/>
        <v>254</v>
      </c>
      <c r="D269" s="526">
        <f t="shared" si="24"/>
        <v>255</v>
      </c>
      <c r="E269" s="526">
        <f t="shared" si="24"/>
        <v>256</v>
      </c>
      <c r="F269" s="526">
        <f t="shared" si="24"/>
        <v>257</v>
      </c>
      <c r="G269" s="526">
        <f t="shared" si="24"/>
        <v>258</v>
      </c>
      <c r="H269" s="526">
        <f t="shared" si="24"/>
        <v>259</v>
      </c>
      <c r="I269" s="526">
        <f t="shared" si="24"/>
        <v>260</v>
      </c>
      <c r="J269" s="526">
        <f t="shared" si="24"/>
        <v>261</v>
      </c>
      <c r="K269" s="526">
        <f t="shared" si="24"/>
        <v>262</v>
      </c>
      <c r="L269" s="526">
        <f t="shared" si="24"/>
        <v>263</v>
      </c>
      <c r="M269" s="526">
        <f t="shared" si="24"/>
        <v>264</v>
      </c>
      <c r="N269" s="526">
        <f t="shared" si="24"/>
        <v>265</v>
      </c>
      <c r="O269" s="526">
        <f t="shared" si="24"/>
        <v>266</v>
      </c>
      <c r="P269" s="526">
        <f t="shared" si="24"/>
        <v>267</v>
      </c>
      <c r="Q269" s="526">
        <f t="shared" si="24"/>
        <v>268</v>
      </c>
      <c r="R269" s="526">
        <f t="shared" si="24"/>
        <v>269</v>
      </c>
      <c r="S269" s="526">
        <f t="shared" si="24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6"/>
        <v>277</v>
      </c>
      <c r="D270" s="526">
        <f t="shared" si="24"/>
        <v>278</v>
      </c>
      <c r="E270" s="526">
        <f t="shared" si="24"/>
        <v>279</v>
      </c>
      <c r="F270" s="526">
        <f t="shared" si="24"/>
        <v>280</v>
      </c>
      <c r="G270" s="526">
        <f t="shared" si="24"/>
        <v>281</v>
      </c>
      <c r="H270" s="526">
        <f t="shared" si="24"/>
        <v>282</v>
      </c>
      <c r="I270" s="526">
        <f t="shared" si="24"/>
        <v>283</v>
      </c>
      <c r="J270" s="526">
        <f t="shared" si="24"/>
        <v>284</v>
      </c>
      <c r="K270" s="526">
        <f t="shared" si="24"/>
        <v>285</v>
      </c>
      <c r="L270" s="526">
        <f t="shared" si="24"/>
        <v>286</v>
      </c>
      <c r="M270" s="526">
        <f t="shared" si="24"/>
        <v>287</v>
      </c>
      <c r="N270" s="526">
        <f t="shared" si="24"/>
        <v>288</v>
      </c>
      <c r="O270" s="526">
        <f t="shared" si="24"/>
        <v>289</v>
      </c>
      <c r="P270" s="526">
        <f t="shared" si="24"/>
        <v>290</v>
      </c>
      <c r="Q270" s="526">
        <f t="shared" si="24"/>
        <v>291</v>
      </c>
      <c r="R270" s="526">
        <f t="shared" si="24"/>
        <v>292</v>
      </c>
      <c r="S270" s="526">
        <f t="shared" si="24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6"/>
        <v>300</v>
      </c>
      <c r="D271" s="526">
        <f t="shared" si="24"/>
        <v>301</v>
      </c>
      <c r="E271" s="526">
        <f t="shared" si="24"/>
        <v>302</v>
      </c>
      <c r="F271" s="526">
        <f t="shared" si="24"/>
        <v>303</v>
      </c>
      <c r="G271" s="526">
        <f t="shared" si="24"/>
        <v>304</v>
      </c>
      <c r="H271" s="526">
        <f t="shared" si="24"/>
        <v>305</v>
      </c>
      <c r="I271" s="526">
        <f t="shared" si="24"/>
        <v>306</v>
      </c>
      <c r="J271" s="526">
        <f t="shared" si="24"/>
        <v>307</v>
      </c>
      <c r="K271" s="526">
        <f t="shared" si="24"/>
        <v>308</v>
      </c>
      <c r="L271" s="526">
        <f t="shared" si="24"/>
        <v>309</v>
      </c>
      <c r="M271" s="526">
        <f t="shared" si="24"/>
        <v>310</v>
      </c>
      <c r="N271" s="526">
        <f t="shared" si="24"/>
        <v>311</v>
      </c>
      <c r="O271" s="526">
        <f t="shared" si="24"/>
        <v>312</v>
      </c>
      <c r="P271" s="526">
        <f t="shared" si="24"/>
        <v>313</v>
      </c>
      <c r="Q271" s="526">
        <f t="shared" si="24"/>
        <v>314</v>
      </c>
      <c r="R271" s="526">
        <f t="shared" si="24"/>
        <v>315</v>
      </c>
      <c r="S271" s="526">
        <f t="shared" si="24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6"/>
        <v>323</v>
      </c>
      <c r="D272" s="526">
        <f t="shared" si="24"/>
        <v>324</v>
      </c>
      <c r="E272" s="526">
        <f t="shared" si="24"/>
        <v>325</v>
      </c>
      <c r="F272" s="526">
        <f t="shared" si="24"/>
        <v>326</v>
      </c>
      <c r="G272" s="526">
        <f t="shared" si="24"/>
        <v>327</v>
      </c>
      <c r="H272" s="526">
        <f t="shared" si="24"/>
        <v>328</v>
      </c>
      <c r="I272" s="526">
        <f t="shared" si="24"/>
        <v>329</v>
      </c>
      <c r="J272" s="526">
        <f t="shared" si="24"/>
        <v>330</v>
      </c>
      <c r="K272" s="526">
        <f t="shared" si="24"/>
        <v>331</v>
      </c>
      <c r="L272" s="526">
        <f t="shared" si="24"/>
        <v>332</v>
      </c>
      <c r="M272" s="526">
        <f t="shared" si="24"/>
        <v>333</v>
      </c>
      <c r="N272" s="526">
        <f t="shared" si="24"/>
        <v>334</v>
      </c>
      <c r="O272" s="526">
        <f t="shared" si="24"/>
        <v>335</v>
      </c>
      <c r="P272" s="526">
        <f t="shared" si="24"/>
        <v>336</v>
      </c>
      <c r="Q272" s="526">
        <f t="shared" si="24"/>
        <v>337</v>
      </c>
      <c r="R272" s="526">
        <f t="shared" si="24"/>
        <v>338</v>
      </c>
      <c r="S272" s="526">
        <f t="shared" si="24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6"/>
        <v>346</v>
      </c>
      <c r="D273" s="526">
        <f t="shared" si="24"/>
        <v>347</v>
      </c>
      <c r="E273" s="526">
        <f t="shared" si="24"/>
        <v>348</v>
      </c>
      <c r="F273" s="526">
        <f t="shared" si="24"/>
        <v>349</v>
      </c>
      <c r="G273" s="526">
        <f t="shared" si="24"/>
        <v>350</v>
      </c>
      <c r="H273" s="526">
        <f t="shared" si="24"/>
        <v>351</v>
      </c>
      <c r="I273" s="526">
        <f t="shared" si="24"/>
        <v>352</v>
      </c>
      <c r="J273" s="526">
        <f t="shared" si="24"/>
        <v>353</v>
      </c>
      <c r="K273" s="526">
        <f t="shared" si="24"/>
        <v>354</v>
      </c>
      <c r="L273" s="526">
        <f t="shared" si="24"/>
        <v>355</v>
      </c>
      <c r="M273" s="526">
        <f t="shared" si="24"/>
        <v>356</v>
      </c>
      <c r="N273" s="526">
        <f t="shared" si="24"/>
        <v>357</v>
      </c>
      <c r="O273" s="526">
        <f t="shared" si="24"/>
        <v>358</v>
      </c>
      <c r="P273" s="526">
        <f t="shared" si="24"/>
        <v>359</v>
      </c>
      <c r="Q273" s="526">
        <f t="shared" si="24"/>
        <v>360</v>
      </c>
      <c r="R273" s="526">
        <f t="shared" si="24"/>
        <v>361</v>
      </c>
      <c r="S273" s="526">
        <f t="shared" ref="D273:S286" si="27">R273+1</f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6"/>
        <v>369</v>
      </c>
      <c r="D274" s="526">
        <f t="shared" si="27"/>
        <v>370</v>
      </c>
      <c r="E274" s="526">
        <f t="shared" si="27"/>
        <v>371</v>
      </c>
      <c r="F274" s="526">
        <f t="shared" si="27"/>
        <v>372</v>
      </c>
      <c r="G274" s="526">
        <f t="shared" si="27"/>
        <v>373</v>
      </c>
      <c r="H274" s="526">
        <f t="shared" si="27"/>
        <v>374</v>
      </c>
      <c r="I274" s="526">
        <f t="shared" si="27"/>
        <v>375</v>
      </c>
      <c r="J274" s="526">
        <f t="shared" si="27"/>
        <v>376</v>
      </c>
      <c r="K274" s="526">
        <f t="shared" si="27"/>
        <v>377</v>
      </c>
      <c r="L274" s="526">
        <f t="shared" si="27"/>
        <v>378</v>
      </c>
      <c r="M274" s="526">
        <f t="shared" si="27"/>
        <v>379</v>
      </c>
      <c r="N274" s="526">
        <f t="shared" si="27"/>
        <v>380</v>
      </c>
      <c r="O274" s="526">
        <f t="shared" si="27"/>
        <v>381</v>
      </c>
      <c r="P274" s="526">
        <f t="shared" si="27"/>
        <v>382</v>
      </c>
      <c r="Q274" s="526">
        <f t="shared" si="27"/>
        <v>383</v>
      </c>
      <c r="R274" s="526">
        <f t="shared" si="27"/>
        <v>384</v>
      </c>
      <c r="S274" s="526">
        <f t="shared" si="27"/>
        <v>385</v>
      </c>
      <c r="T274" s="526">
        <f t="shared" ref="S274:Y286" si="28">S274+1</f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6"/>
        <v>392</v>
      </c>
      <c r="D275" s="526">
        <f t="shared" si="27"/>
        <v>393</v>
      </c>
      <c r="E275" s="526">
        <f t="shared" si="27"/>
        <v>394</v>
      </c>
      <c r="F275" s="526">
        <f t="shared" si="27"/>
        <v>395</v>
      </c>
      <c r="G275" s="526">
        <f t="shared" si="27"/>
        <v>396</v>
      </c>
      <c r="H275" s="526">
        <f t="shared" si="27"/>
        <v>397</v>
      </c>
      <c r="I275" s="526">
        <f t="shared" si="27"/>
        <v>398</v>
      </c>
      <c r="J275" s="526">
        <f t="shared" si="27"/>
        <v>399</v>
      </c>
      <c r="K275" s="526">
        <f t="shared" si="27"/>
        <v>400</v>
      </c>
      <c r="L275" s="526">
        <f t="shared" si="27"/>
        <v>401</v>
      </c>
      <c r="M275" s="526">
        <f t="shared" si="27"/>
        <v>402</v>
      </c>
      <c r="N275" s="526">
        <f t="shared" si="27"/>
        <v>403</v>
      </c>
      <c r="O275" s="526">
        <f t="shared" si="27"/>
        <v>404</v>
      </c>
      <c r="P275" s="526">
        <f t="shared" si="27"/>
        <v>405</v>
      </c>
      <c r="Q275" s="526">
        <f t="shared" si="27"/>
        <v>406</v>
      </c>
      <c r="R275" s="526">
        <f t="shared" si="27"/>
        <v>407</v>
      </c>
      <c r="S275" s="526">
        <f t="shared" si="27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6"/>
        <v>415</v>
      </c>
      <c r="D276" s="526">
        <f t="shared" si="27"/>
        <v>416</v>
      </c>
      <c r="E276" s="526">
        <f t="shared" si="27"/>
        <v>417</v>
      </c>
      <c r="F276" s="526">
        <f t="shared" si="27"/>
        <v>418</v>
      </c>
      <c r="G276" s="526">
        <f t="shared" si="27"/>
        <v>419</v>
      </c>
      <c r="H276" s="526">
        <f t="shared" si="27"/>
        <v>420</v>
      </c>
      <c r="I276" s="526">
        <f t="shared" si="27"/>
        <v>421</v>
      </c>
      <c r="J276" s="526">
        <f t="shared" si="27"/>
        <v>422</v>
      </c>
      <c r="K276" s="526">
        <f t="shared" si="27"/>
        <v>423</v>
      </c>
      <c r="L276" s="526">
        <f t="shared" si="27"/>
        <v>424</v>
      </c>
      <c r="M276" s="526">
        <f t="shared" si="27"/>
        <v>425</v>
      </c>
      <c r="N276" s="526">
        <f t="shared" si="27"/>
        <v>426</v>
      </c>
      <c r="O276" s="526">
        <f t="shared" si="27"/>
        <v>427</v>
      </c>
      <c r="P276" s="526">
        <f t="shared" si="27"/>
        <v>428</v>
      </c>
      <c r="Q276" s="526">
        <f t="shared" si="27"/>
        <v>429</v>
      </c>
      <c r="R276" s="526">
        <f t="shared" si="27"/>
        <v>430</v>
      </c>
      <c r="S276" s="526">
        <f t="shared" si="27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6"/>
        <v>438</v>
      </c>
      <c r="D277" s="526">
        <f t="shared" si="27"/>
        <v>439</v>
      </c>
      <c r="E277" s="526">
        <f t="shared" si="27"/>
        <v>440</v>
      </c>
      <c r="F277" s="526">
        <f t="shared" si="27"/>
        <v>441</v>
      </c>
      <c r="G277" s="526">
        <f t="shared" si="27"/>
        <v>442</v>
      </c>
      <c r="H277" s="526">
        <f t="shared" si="27"/>
        <v>443</v>
      </c>
      <c r="I277" s="526">
        <f t="shared" si="27"/>
        <v>444</v>
      </c>
      <c r="J277" s="526">
        <f t="shared" si="27"/>
        <v>445</v>
      </c>
      <c r="K277" s="526">
        <f t="shared" si="27"/>
        <v>446</v>
      </c>
      <c r="L277" s="526">
        <f t="shared" si="27"/>
        <v>447</v>
      </c>
      <c r="M277" s="526">
        <f t="shared" si="27"/>
        <v>448</v>
      </c>
      <c r="N277" s="526">
        <f t="shared" si="27"/>
        <v>449</v>
      </c>
      <c r="O277" s="526">
        <f t="shared" si="27"/>
        <v>450</v>
      </c>
      <c r="P277" s="526">
        <f t="shared" si="27"/>
        <v>451</v>
      </c>
      <c r="Q277" s="526">
        <f t="shared" si="27"/>
        <v>452</v>
      </c>
      <c r="R277" s="526">
        <f t="shared" si="27"/>
        <v>453</v>
      </c>
      <c r="S277" s="526">
        <f t="shared" si="27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6"/>
        <v>461</v>
      </c>
      <c r="D278" s="526">
        <f t="shared" si="27"/>
        <v>462</v>
      </c>
      <c r="E278" s="526">
        <f t="shared" si="27"/>
        <v>463</v>
      </c>
      <c r="F278" s="526">
        <f t="shared" si="27"/>
        <v>464</v>
      </c>
      <c r="G278" s="526">
        <f t="shared" si="27"/>
        <v>465</v>
      </c>
      <c r="H278" s="526">
        <f t="shared" si="27"/>
        <v>466</v>
      </c>
      <c r="I278" s="526">
        <f t="shared" si="27"/>
        <v>467</v>
      </c>
      <c r="J278" s="526">
        <f t="shared" si="27"/>
        <v>468</v>
      </c>
      <c r="K278" s="526">
        <f t="shared" si="27"/>
        <v>469</v>
      </c>
      <c r="L278" s="526">
        <f t="shared" si="27"/>
        <v>470</v>
      </c>
      <c r="M278" s="526">
        <f t="shared" si="27"/>
        <v>471</v>
      </c>
      <c r="N278" s="526">
        <f t="shared" si="27"/>
        <v>472</v>
      </c>
      <c r="O278" s="526">
        <f t="shared" si="27"/>
        <v>473</v>
      </c>
      <c r="P278" s="526">
        <f t="shared" si="27"/>
        <v>474</v>
      </c>
      <c r="Q278" s="526">
        <f t="shared" si="27"/>
        <v>475</v>
      </c>
      <c r="R278" s="526">
        <f t="shared" si="27"/>
        <v>476</v>
      </c>
      <c r="S278" s="526">
        <f t="shared" si="27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6"/>
        <v>484</v>
      </c>
      <c r="D279" s="526">
        <f t="shared" si="27"/>
        <v>485</v>
      </c>
      <c r="E279" s="526">
        <f t="shared" si="27"/>
        <v>486</v>
      </c>
      <c r="F279" s="526">
        <f t="shared" si="27"/>
        <v>487</v>
      </c>
      <c r="G279" s="526">
        <f t="shared" si="27"/>
        <v>488</v>
      </c>
      <c r="H279" s="526">
        <f t="shared" si="27"/>
        <v>489</v>
      </c>
      <c r="I279" s="526">
        <f t="shared" si="27"/>
        <v>490</v>
      </c>
      <c r="J279" s="526">
        <f t="shared" si="27"/>
        <v>491</v>
      </c>
      <c r="K279" s="526">
        <f t="shared" si="27"/>
        <v>492</v>
      </c>
      <c r="L279" s="526">
        <f t="shared" si="27"/>
        <v>493</v>
      </c>
      <c r="M279" s="526">
        <f t="shared" si="27"/>
        <v>494</v>
      </c>
      <c r="N279" s="526">
        <f t="shared" si="27"/>
        <v>495</v>
      </c>
      <c r="O279" s="526">
        <f t="shared" si="27"/>
        <v>496</v>
      </c>
      <c r="P279" s="526">
        <f t="shared" si="27"/>
        <v>497</v>
      </c>
      <c r="Q279" s="526">
        <f t="shared" si="27"/>
        <v>498</v>
      </c>
      <c r="R279" s="526">
        <f t="shared" si="27"/>
        <v>499</v>
      </c>
      <c r="S279" s="526">
        <f t="shared" si="27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6"/>
        <v>507</v>
      </c>
      <c r="D280" s="526">
        <f t="shared" si="27"/>
        <v>508</v>
      </c>
      <c r="E280" s="526">
        <f t="shared" si="27"/>
        <v>509</v>
      </c>
      <c r="F280" s="526">
        <f t="shared" si="27"/>
        <v>510</v>
      </c>
      <c r="G280" s="526">
        <f t="shared" si="27"/>
        <v>511</v>
      </c>
      <c r="H280" s="526">
        <f t="shared" si="27"/>
        <v>512</v>
      </c>
      <c r="I280" s="526">
        <f t="shared" si="27"/>
        <v>513</v>
      </c>
      <c r="J280" s="526">
        <f t="shared" si="27"/>
        <v>514</v>
      </c>
      <c r="K280" s="526">
        <f t="shared" si="27"/>
        <v>515</v>
      </c>
      <c r="L280" s="526">
        <f t="shared" si="27"/>
        <v>516</v>
      </c>
      <c r="M280" s="526">
        <f t="shared" si="27"/>
        <v>517</v>
      </c>
      <c r="N280" s="526">
        <f t="shared" si="27"/>
        <v>518</v>
      </c>
      <c r="O280" s="526">
        <f t="shared" si="27"/>
        <v>519</v>
      </c>
      <c r="P280" s="526">
        <f t="shared" si="27"/>
        <v>520</v>
      </c>
      <c r="Q280" s="526">
        <f t="shared" si="27"/>
        <v>521</v>
      </c>
      <c r="R280" s="526">
        <f t="shared" si="27"/>
        <v>522</v>
      </c>
      <c r="S280" s="526">
        <f t="shared" si="27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6"/>
        <v>530</v>
      </c>
      <c r="D281" s="526">
        <f t="shared" si="27"/>
        <v>531</v>
      </c>
      <c r="E281" s="526">
        <f t="shared" si="27"/>
        <v>532</v>
      </c>
      <c r="F281" s="526">
        <f t="shared" si="27"/>
        <v>533</v>
      </c>
      <c r="G281" s="526">
        <f t="shared" si="27"/>
        <v>534</v>
      </c>
      <c r="H281" s="526">
        <f t="shared" si="27"/>
        <v>535</v>
      </c>
      <c r="I281" s="526">
        <f t="shared" si="27"/>
        <v>536</v>
      </c>
      <c r="J281" s="526">
        <f t="shared" si="27"/>
        <v>537</v>
      </c>
      <c r="K281" s="526">
        <f t="shared" si="27"/>
        <v>538</v>
      </c>
      <c r="L281" s="526">
        <f t="shared" si="27"/>
        <v>539</v>
      </c>
      <c r="M281" s="526">
        <f t="shared" si="27"/>
        <v>540</v>
      </c>
      <c r="N281" s="526">
        <f t="shared" si="27"/>
        <v>541</v>
      </c>
      <c r="O281" s="526">
        <f t="shared" si="27"/>
        <v>542</v>
      </c>
      <c r="P281" s="526">
        <f t="shared" si="27"/>
        <v>543</v>
      </c>
      <c r="Q281" s="526">
        <f t="shared" si="27"/>
        <v>544</v>
      </c>
      <c r="R281" s="526">
        <f t="shared" si="27"/>
        <v>545</v>
      </c>
      <c r="S281" s="526">
        <f t="shared" si="27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6"/>
        <v>553</v>
      </c>
      <c r="D282" s="526">
        <f t="shared" si="27"/>
        <v>554</v>
      </c>
      <c r="E282" s="526">
        <f t="shared" si="27"/>
        <v>555</v>
      </c>
      <c r="F282" s="526">
        <f t="shared" si="27"/>
        <v>556</v>
      </c>
      <c r="G282" s="526">
        <f t="shared" si="27"/>
        <v>557</v>
      </c>
      <c r="H282" s="526">
        <f t="shared" si="27"/>
        <v>558</v>
      </c>
      <c r="I282" s="526">
        <f t="shared" si="27"/>
        <v>559</v>
      </c>
      <c r="J282" s="526">
        <f t="shared" si="27"/>
        <v>560</v>
      </c>
      <c r="K282" s="526">
        <f t="shared" si="27"/>
        <v>561</v>
      </c>
      <c r="L282" s="526">
        <f t="shared" si="27"/>
        <v>562</v>
      </c>
      <c r="M282" s="526">
        <f t="shared" si="27"/>
        <v>563</v>
      </c>
      <c r="N282" s="526">
        <f t="shared" si="27"/>
        <v>564</v>
      </c>
      <c r="O282" s="526">
        <f t="shared" si="27"/>
        <v>565</v>
      </c>
      <c r="P282" s="526">
        <f t="shared" si="27"/>
        <v>566</v>
      </c>
      <c r="Q282" s="526">
        <f t="shared" si="27"/>
        <v>567</v>
      </c>
      <c r="R282" s="526">
        <f t="shared" si="27"/>
        <v>568</v>
      </c>
      <c r="S282" s="526">
        <f t="shared" si="27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6"/>
        <v>576</v>
      </c>
      <c r="D283" s="526">
        <f t="shared" si="27"/>
        <v>577</v>
      </c>
      <c r="E283" s="526">
        <f t="shared" si="27"/>
        <v>578</v>
      </c>
      <c r="F283" s="526">
        <f t="shared" si="27"/>
        <v>579</v>
      </c>
      <c r="G283" s="526">
        <f t="shared" si="27"/>
        <v>580</v>
      </c>
      <c r="H283" s="526">
        <f t="shared" si="27"/>
        <v>581</v>
      </c>
      <c r="I283" s="526">
        <f t="shared" si="27"/>
        <v>582</v>
      </c>
      <c r="J283" s="526">
        <f t="shared" si="27"/>
        <v>583</v>
      </c>
      <c r="K283" s="526">
        <f t="shared" si="27"/>
        <v>584</v>
      </c>
      <c r="L283" s="526">
        <f t="shared" si="27"/>
        <v>585</v>
      </c>
      <c r="M283" s="526">
        <f t="shared" si="27"/>
        <v>586</v>
      </c>
      <c r="N283" s="526">
        <f t="shared" si="27"/>
        <v>587</v>
      </c>
      <c r="O283" s="526">
        <f t="shared" si="27"/>
        <v>588</v>
      </c>
      <c r="P283" s="526">
        <f t="shared" si="27"/>
        <v>589</v>
      </c>
      <c r="Q283" s="526">
        <f t="shared" si="27"/>
        <v>590</v>
      </c>
      <c r="R283" s="526">
        <f t="shared" si="27"/>
        <v>591</v>
      </c>
      <c r="S283" s="526">
        <f t="shared" si="27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6"/>
        <v>599</v>
      </c>
      <c r="D284" s="526">
        <f t="shared" si="27"/>
        <v>600</v>
      </c>
      <c r="E284" s="526">
        <f t="shared" si="27"/>
        <v>601</v>
      </c>
      <c r="F284" s="526">
        <f t="shared" si="27"/>
        <v>602</v>
      </c>
      <c r="G284" s="526">
        <f t="shared" si="27"/>
        <v>603</v>
      </c>
      <c r="H284" s="526">
        <f t="shared" si="27"/>
        <v>604</v>
      </c>
      <c r="I284" s="526">
        <f t="shared" si="27"/>
        <v>605</v>
      </c>
      <c r="J284" s="526">
        <f t="shared" si="27"/>
        <v>606</v>
      </c>
      <c r="K284" s="526">
        <f t="shared" si="27"/>
        <v>607</v>
      </c>
      <c r="L284" s="526">
        <f t="shared" si="27"/>
        <v>608</v>
      </c>
      <c r="M284" s="526">
        <f t="shared" si="27"/>
        <v>609</v>
      </c>
      <c r="N284" s="526">
        <f t="shared" si="27"/>
        <v>610</v>
      </c>
      <c r="O284" s="526">
        <f t="shared" si="27"/>
        <v>611</v>
      </c>
      <c r="P284" s="526">
        <f t="shared" si="27"/>
        <v>612</v>
      </c>
      <c r="Q284" s="526">
        <f t="shared" si="27"/>
        <v>613</v>
      </c>
      <c r="R284" s="526">
        <f t="shared" si="27"/>
        <v>614</v>
      </c>
      <c r="S284" s="526">
        <f t="shared" si="27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6"/>
        <v>622</v>
      </c>
      <c r="D285" s="526">
        <f t="shared" si="27"/>
        <v>623</v>
      </c>
      <c r="E285" s="526">
        <f t="shared" si="27"/>
        <v>624</v>
      </c>
      <c r="F285" s="526">
        <f t="shared" si="27"/>
        <v>625</v>
      </c>
      <c r="G285" s="526">
        <f t="shared" si="27"/>
        <v>626</v>
      </c>
      <c r="H285" s="526">
        <f t="shared" si="27"/>
        <v>627</v>
      </c>
      <c r="I285" s="526">
        <f t="shared" si="27"/>
        <v>628</v>
      </c>
      <c r="J285" s="526">
        <f t="shared" si="27"/>
        <v>629</v>
      </c>
      <c r="K285" s="526">
        <f t="shared" si="27"/>
        <v>630</v>
      </c>
      <c r="L285" s="526">
        <f t="shared" si="27"/>
        <v>631</v>
      </c>
      <c r="M285" s="526">
        <f t="shared" si="27"/>
        <v>632</v>
      </c>
      <c r="N285" s="526">
        <f t="shared" si="27"/>
        <v>633</v>
      </c>
      <c r="O285" s="526">
        <f t="shared" si="27"/>
        <v>634</v>
      </c>
      <c r="P285" s="526">
        <f t="shared" si="27"/>
        <v>635</v>
      </c>
      <c r="Q285" s="526">
        <f t="shared" si="27"/>
        <v>636</v>
      </c>
      <c r="R285" s="526">
        <f t="shared" si="27"/>
        <v>637</v>
      </c>
      <c r="S285" s="526">
        <f t="shared" si="27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6"/>
        <v>645</v>
      </c>
      <c r="D286" s="526">
        <f t="shared" si="27"/>
        <v>646</v>
      </c>
      <c r="E286" s="526">
        <f t="shared" si="27"/>
        <v>647</v>
      </c>
      <c r="F286" s="526">
        <f t="shared" si="27"/>
        <v>648</v>
      </c>
      <c r="G286" s="526">
        <f t="shared" si="27"/>
        <v>649</v>
      </c>
      <c r="H286" s="526">
        <f t="shared" si="27"/>
        <v>650</v>
      </c>
      <c r="I286" s="526">
        <f t="shared" si="27"/>
        <v>651</v>
      </c>
      <c r="J286" s="526">
        <f t="shared" si="27"/>
        <v>652</v>
      </c>
      <c r="K286" s="526">
        <f t="shared" si="27"/>
        <v>653</v>
      </c>
      <c r="L286" s="526">
        <f t="shared" si="27"/>
        <v>654</v>
      </c>
      <c r="M286" s="526">
        <f t="shared" si="27"/>
        <v>655</v>
      </c>
      <c r="N286" s="526">
        <f t="shared" si="27"/>
        <v>656</v>
      </c>
      <c r="O286" s="526">
        <f t="shared" si="27"/>
        <v>657</v>
      </c>
      <c r="P286" s="526">
        <f t="shared" si="27"/>
        <v>658</v>
      </c>
      <c r="Q286" s="526">
        <f t="shared" si="27"/>
        <v>659</v>
      </c>
      <c r="R286" s="526">
        <f t="shared" si="27"/>
        <v>660</v>
      </c>
      <c r="S286" s="526">
        <f t="shared" si="28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45</v>
      </c>
    </row>
    <row r="5" spans="2:5">
      <c r="B5" s="509" t="s">
        <v>502</v>
      </c>
      <c r="C5" s="510"/>
      <c r="D5" s="510"/>
      <c r="E5" s="511"/>
    </row>
    <row r="6" spans="2:5" ht="30">
      <c r="B6" s="107" t="str">
        <f>B2</f>
        <v>Orion</v>
      </c>
      <c r="C6" s="108"/>
      <c r="D6" s="109">
        <f>VLOOKUP($B$6,$B$258:$J$286,9,FALSE)</f>
        <v>376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200.53023712645845</v>
      </c>
      <c r="E7" s="407">
        <f>D7/('Industry calcs'!D4/1000)*100</f>
        <v>9.7281268429488392</v>
      </c>
    </row>
    <row r="8" spans="2:5">
      <c r="B8" s="111" t="s">
        <v>250</v>
      </c>
      <c r="C8" s="114"/>
      <c r="D8" s="406">
        <f>VLOOKUP(D6,'AV (2011)'!A8:F214,'AV (2011)'!F214,FALSE)/1000</f>
        <v>795.79794403007179</v>
      </c>
      <c r="E8" s="407">
        <f>D8/('Industry calcs'!D5/1000)*100</f>
        <v>8.8666902099040428</v>
      </c>
    </row>
    <row r="9" spans="2:5">
      <c r="B9" s="111" t="s">
        <v>230</v>
      </c>
      <c r="C9" s="114"/>
      <c r="D9" s="406">
        <f>VLOOKUP($D$6,'FS (2011)'!$A$13:$AH$244,'FS (2011)'!S245,FALSE)/1000</f>
        <v>41.660178922691379</v>
      </c>
      <c r="E9" s="407">
        <f>D9/('Industry calcs'!D6/1000)*100</f>
        <v>9.1761000945864843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42.937798496402678</v>
      </c>
      <c r="E10" s="407">
        <f>D10/('Industry calcs'!D7/1000)*100</f>
        <v>7.3376858948381054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3278.3</v>
      </c>
      <c r="E11" s="407">
        <f>D11/'Industry calcs'!D8*100</f>
        <v>10.593700913136326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615.85</v>
      </c>
      <c r="E12" s="407">
        <f>D12/'Industry calcs'!D9*100</f>
        <v>9.8484824133865683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10707.5</v>
      </c>
      <c r="E13" s="407">
        <f>D13/'Industry calcs'!D10*100</f>
        <v>7.1588648546488125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192179</v>
      </c>
      <c r="E14" s="407">
        <f>D14/'Industry calcs'!D11*100</f>
        <v>9.5674511805045626</v>
      </c>
    </row>
    <row r="15" spans="2:5">
      <c r="B15" s="115" t="s">
        <v>195</v>
      </c>
      <c r="C15" s="116" t="s">
        <v>239</v>
      </c>
      <c r="D15" s="408">
        <f>D14/D13</f>
        <v>17.948073780060707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Orion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23.110124034102249</v>
      </c>
      <c r="D20" s="409">
        <f>VLOOKUP($B$2,'MED price allocation'!$B$16:$F$44,3,FALSE)</f>
        <v>23.674785091632913</v>
      </c>
      <c r="E20" s="409">
        <f>VLOOKUP($B$2,'MED price allocation'!$B$16:$F$44,4,FALSE)</f>
        <v>22.3430600091617</v>
      </c>
      <c r="F20" s="503">
        <f>VLOOKUP($B$2,'MED price allocation'!$B$16:$F$44,5,FALSE)</f>
        <v>22.73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5.7247041715377369</v>
      </c>
      <c r="D21" s="410">
        <f>VLOOKUP($B$2,'MED price allocation'!$B$47:$F$75,3,FALSE)</f>
        <v>5.7095202141533372</v>
      </c>
      <c r="E21" s="410">
        <f>VLOOKUP($B$2,'MED price allocation'!$B$47:$F$75,4,FALSE)</f>
        <v>5.8175500525450667</v>
      </c>
      <c r="F21" s="504">
        <f>VLOOKUP($B$2,'MED price allocation'!$B$47:$F$75,5,FALSE)</f>
        <v>6.02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7.665281856804766</v>
      </c>
      <c r="D22" s="409">
        <f>VLOOKUP($B$2,'MED price allocation'!$B$78:$F$106,3,FALSE)</f>
        <v>7.7545665454046242</v>
      </c>
      <c r="E22" s="409">
        <f>VLOOKUP($B$2,'MED price allocation'!$B$78:$F$106,4,FALSE)</f>
        <v>8.0793646088760731</v>
      </c>
      <c r="F22" s="503">
        <f>VLOOKUP($B$2,'MED price allocation'!$B$78:$F$106,5,FALSE)</f>
        <v>8.2099999999999991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1.9405776852670296</v>
      </c>
      <c r="D23" s="411">
        <f>VLOOKUP($B$2,'MED price allocation'!$B$109:$F$137,3,FALSE)</f>
        <v>2.0450463312512865</v>
      </c>
      <c r="E23" s="411">
        <f>VLOOKUP($B$2,'MED price allocation'!$B$109:$F$137,4,FALSE)</f>
        <v>2.2618145563310073</v>
      </c>
      <c r="F23" s="505">
        <f>VLOOKUP($B$2,'MED price allocation'!$B$109:$F$137,5,FALSE)</f>
        <v>2.19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Orion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1848.80992272818</v>
      </c>
      <c r="D26" s="412">
        <f>(D20*8000)/100</f>
        <v>1893.982807330633</v>
      </c>
      <c r="E26" s="412">
        <f>(E20*8000)/100</f>
        <v>1787.4448007329361</v>
      </c>
      <c r="F26" s="506">
        <f>(F20*8000)/100</f>
        <v>1818.4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613.22254854438131</v>
      </c>
      <c r="D27" s="412">
        <f>(D22*8000)/100</f>
        <v>620.36532363236995</v>
      </c>
      <c r="E27" s="412">
        <f>(E22*8000)/100</f>
        <v>646.34916871008591</v>
      </c>
      <c r="F27" s="506">
        <f>(F22*8000)/100</f>
        <v>656.79999999999984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457.97633372301897</v>
      </c>
      <c r="D28" s="412">
        <f>(D21*8000)/100</f>
        <v>456.76161713226696</v>
      </c>
      <c r="E28" s="412">
        <f>(E21*8000)/100</f>
        <v>465.40400420360538</v>
      </c>
      <c r="F28" s="506">
        <f>(F21*8000)/100</f>
        <v>481.6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155.24621482136237</v>
      </c>
      <c r="D29" s="413">
        <f>(D23*8000)/100</f>
        <v>163.60370650010293</v>
      </c>
      <c r="E29" s="413">
        <f>(E23*8000)/100</f>
        <v>180.94516450648058</v>
      </c>
      <c r="F29" s="507">
        <f>(F23*8000)/100</f>
        <v>175.2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Orion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1837.1593826979374</v>
      </c>
      <c r="D32" s="122"/>
    </row>
    <row r="33" spans="2:13">
      <c r="B33" s="120" t="s">
        <v>241</v>
      </c>
      <c r="C33" s="412">
        <f>AVERAGE(C27:F27)</f>
        <v>634.18426022170922</v>
      </c>
      <c r="D33" s="414">
        <f>C33/$C$32</f>
        <v>0.345198280668706</v>
      </c>
    </row>
    <row r="34" spans="2:13">
      <c r="B34" s="120" t="s">
        <v>222</v>
      </c>
      <c r="C34" s="412">
        <f>AVERAGE(C28:F28)</f>
        <v>465.43548876472278</v>
      </c>
      <c r="D34" s="414">
        <f>C34/$C$32</f>
        <v>0.25334518776548026</v>
      </c>
    </row>
    <row r="35" spans="2:13">
      <c r="B35" s="124" t="s">
        <v>223</v>
      </c>
      <c r="C35" s="413">
        <f>AVERAGE(C29:F29)</f>
        <v>168.74877145698647</v>
      </c>
      <c r="D35" s="415">
        <f>C35/$C$32</f>
        <v>9.1853092903225728E-2</v>
      </c>
    </row>
    <row r="38" spans="2:13">
      <c r="B38" s="517" t="s">
        <v>227</v>
      </c>
      <c r="C38" s="518">
        <f>VLOOKUP($B$2,$B$258:$J$286,6,FALSE)</f>
        <v>373</v>
      </c>
      <c r="D38" s="518">
        <f>VLOOKUP($B$2,$B$258:$J$286,7,FALSE)</f>
        <v>374</v>
      </c>
      <c r="E38" s="518">
        <f>VLOOKUP($B$2,$B$258:$J$286,8,FALSE)</f>
        <v>375</v>
      </c>
      <c r="F38" s="519">
        <f>VLOOKUP($B$2,$B$258:$J$286,9,FALSE)</f>
        <v>376</v>
      </c>
    </row>
    <row r="39" spans="2:13">
      <c r="B39" s="474" t="str">
        <f>B2</f>
        <v>Orion</v>
      </c>
      <c r="C39" s="689">
        <v>2008</v>
      </c>
      <c r="D39" s="689">
        <v>2009</v>
      </c>
      <c r="E39" s="689">
        <v>2010</v>
      </c>
      <c r="F39" s="476">
        <v>2011</v>
      </c>
    </row>
    <row r="40" spans="2:13">
      <c r="B40" s="120" t="s">
        <v>197</v>
      </c>
      <c r="C40" s="417">
        <f>VLOOKUP($C$38,'FS (2011)'!$A$13:$AH$244,'FS (2011)'!E245,FALSE)</f>
        <v>182599.73539391518</v>
      </c>
      <c r="D40" s="418">
        <f>VLOOKUP($D$38,'FS (2011)'!$A$13:$AH$244,'FS (2011)'!E245,FALSE)</f>
        <v>187287.83444299534</v>
      </c>
      <c r="E40" s="418">
        <f>VLOOKUP($E$38,'FS (2011)'!$A$13:$AH$244,'FS (2011)'!E245,FALSE)</f>
        <v>193732.5674328366</v>
      </c>
      <c r="F40" s="682">
        <f>VLOOKUP($F$38,'FS (2011)'!$A$13:$AH$244,'FS (2011)'!E245,FALSE)</f>
        <v>193732.5674328366</v>
      </c>
    </row>
    <row r="41" spans="2:13" ht="30">
      <c r="B41" s="120" t="s">
        <v>198</v>
      </c>
      <c r="C41" s="417">
        <f>VLOOKUP($C$38,'FS (2011)'!$A$13:$AH$244,'FS (2011)'!$F$245,FALSE)</f>
        <v>9196.1820307376456</v>
      </c>
      <c r="D41" s="418">
        <f>VLOOKUP($D$38,'FS (2011)'!$A$13:$AH$244,'FS (2011)'!$F$245,FALSE)</f>
        <v>9529.7082847141155</v>
      </c>
      <c r="E41" s="418">
        <f>VLOOKUP($E$38,'FS (2011)'!$A$13:$AH$244,'FS (2011)'!$F$245,FALSE)</f>
        <v>5519.0312845248036</v>
      </c>
      <c r="F41" s="682">
        <f>VLOOKUP($F$38,'FS (2011)'!$A$13:$AH$244,'FS (2011)'!$F$245,FALSE)</f>
        <v>5519.0312845248036</v>
      </c>
    </row>
    <row r="42" spans="2:13">
      <c r="B42" s="120" t="s">
        <v>13</v>
      </c>
      <c r="C42" s="417">
        <f>VLOOKUP($C$38,'FS (2011)'!$A$13:$AH$244,'FS (2011)'!$H$245,FALSE)</f>
        <v>1224.7201391463032</v>
      </c>
      <c r="D42" s="418">
        <f>VLOOKUP($D$38,'FS (2011)'!$A$13:$AH$244,'FS (2011)'!$H$245,FALSE)</f>
        <v>1508.3514311208726</v>
      </c>
      <c r="E42" s="418">
        <f>VLOOKUP($E$38,'FS (2011)'!$A$13:$AH$244,'FS (2011)'!$H$245,FALSE)</f>
        <v>1278.638409097033</v>
      </c>
      <c r="F42" s="682">
        <f>VLOOKUP($F$38,'FS (2011)'!$A$13:$AH$244,'FS (2011)'!$H$245,FALSE)</f>
        <v>1278.638409097033</v>
      </c>
    </row>
    <row r="43" spans="2:13">
      <c r="B43" s="690" t="s">
        <v>5</v>
      </c>
      <c r="C43" s="420">
        <f>SUM(C40:C42)</f>
        <v>193020.63756379913</v>
      </c>
      <c r="D43" s="420">
        <f>SUM(D40:D42)</f>
        <v>198325.89415883034</v>
      </c>
      <c r="E43" s="420">
        <f>SUM(E40:E42)</f>
        <v>200530.23712645844</v>
      </c>
      <c r="F43" s="683">
        <f>SUM(F40:F42)</f>
        <v>200530.23712645844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Orion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102.56741831469071</v>
      </c>
      <c r="E46" s="422">
        <f>IF(ISERROR(E40/$C40),"",(E40/$C40))*100</f>
        <v>106.09685003918818</v>
      </c>
      <c r="F46" s="423"/>
    </row>
    <row r="47" spans="2:13" ht="30">
      <c r="B47" s="120" t="s">
        <v>198</v>
      </c>
      <c r="C47" s="422">
        <f t="shared" ref="C47:E49" si="0">IF(ISERROR(C41/$C41),"",(C41/$C41)*100)</f>
        <v>100</v>
      </c>
      <c r="D47" s="422">
        <f t="shared" si="0"/>
        <v>103.62679047523939</v>
      </c>
      <c r="E47" s="422">
        <f t="shared" si="0"/>
        <v>60.014376249597902</v>
      </c>
      <c r="F47" s="423"/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123.15886567949114</v>
      </c>
      <c r="E48" s="422">
        <f t="shared" si="0"/>
        <v>104.4024972095514</v>
      </c>
      <c r="F48" s="423"/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102.74854371117578</v>
      </c>
      <c r="E49" s="424">
        <f t="shared" si="0"/>
        <v>103.89056820941084</v>
      </c>
      <c r="F49" s="416"/>
    </row>
    <row r="52" spans="2:23">
      <c r="B52" s="517" t="s">
        <v>247</v>
      </c>
      <c r="C52" s="510"/>
      <c r="D52" s="510"/>
      <c r="E52" s="510"/>
      <c r="F52" s="511"/>
    </row>
    <row r="53" spans="2:23">
      <c r="B53" s="691" t="str">
        <f>$B$2</f>
        <v>Orion</v>
      </c>
      <c r="C53" s="534">
        <v>2008</v>
      </c>
      <c r="D53" s="534">
        <v>2009</v>
      </c>
      <c r="E53" s="534">
        <v>2010</v>
      </c>
      <c r="F53" s="535">
        <v>2011</v>
      </c>
    </row>
    <row r="54" spans="2:23">
      <c r="B54" s="111" t="s">
        <v>185</v>
      </c>
      <c r="C54" s="425">
        <f>VLOOKUP($C$38,'MP (2011)'!$A$14:$AR$245,'MP (2011)'!$Z$246,FALSE)</f>
        <v>156243.02489236119</v>
      </c>
      <c r="D54" s="426">
        <f>VLOOKUP($D$38,'MP (2011)'!$A$14:$AR$245,'MP (2011)'!$Z$246,FALSE)</f>
        <v>159820.88983458022</v>
      </c>
      <c r="E54" s="426">
        <f>VLOOKUP($E$38,'MP (2011)'!$A$14:$AR$245,'MP (2011)'!$Z$246,FALSE)</f>
        <v>163178.71305003905</v>
      </c>
      <c r="F54" s="693">
        <f>VLOOKUP($F$38,'MP (2011)'!$A$14:$AR$245,'MP (2011)'!$Z$246,FALSE)</f>
        <v>160162</v>
      </c>
    </row>
    <row r="55" spans="2:23">
      <c r="B55" s="111" t="s">
        <v>180</v>
      </c>
      <c r="C55" s="425">
        <f>VLOOKUP($C$38,'MP (2011)'!$A$14:$AR$245,'MP (2011)'!$AD$246,FALSE)</f>
        <v>0</v>
      </c>
      <c r="D55" s="426">
        <f>VLOOKUP($D$38,'MP (2011)'!$A$14:$AR$245,'MP (2011)'!$AD$246,FALSE)</f>
        <v>0</v>
      </c>
      <c r="E55" s="426">
        <f>VLOOKUP($E$38,'MP (2011)'!$A$14:$AR$245,'MP (2011)'!$AD$246,FALSE)</f>
        <v>0</v>
      </c>
      <c r="F55" s="693">
        <f>VLOOKUP($F$38,'MP (2011)'!$A$14:$AR$245,'MP (2011)'!$AD$246,FALSE)</f>
        <v>0</v>
      </c>
      <c r="J55" s="139"/>
    </row>
    <row r="56" spans="2:23">
      <c r="B56" s="111" t="s">
        <v>184</v>
      </c>
      <c r="C56" s="425">
        <f>VLOOKUP($C$38,'MP (2011)'!$A$14:$AR$245,'MP (2011)'!$AH$246,FALSE)</f>
        <v>24012.061418265799</v>
      </c>
      <c r="D56" s="426">
        <f>VLOOKUP($D$38,'MP (2011)'!$A$14:$AR$245,'MP (2011)'!$AH$246,FALSE)</f>
        <v>25088.773725032595</v>
      </c>
      <c r="E56" s="426">
        <f>VLOOKUP($E$38,'MP (2011)'!$A$14:$AR$245,'MP (2011)'!$AH$246,FALSE)</f>
        <v>27971.106679960114</v>
      </c>
      <c r="F56" s="693">
        <f>VLOOKUP($F$38,'MP (2011)'!$A$14:$AR$245,'MP (2011)'!$AH$246,FALSE)</f>
        <v>27454</v>
      </c>
    </row>
    <row r="57" spans="2:23">
      <c r="B57" s="111" t="s">
        <v>181</v>
      </c>
      <c r="C57" s="425">
        <f>VLOOKUP($C$38,'MP (2011)'!$A$14:$AR$245,'MP (2011)'!$AL$246,FALSE)</f>
        <v>2344.6490832881868</v>
      </c>
      <c r="D57" s="426">
        <f>VLOOKUP($D$38,'MP (2011)'!$A$14:$AR$245,'MP (2011)'!$AL$246,FALSE)</f>
        <v>2378.1708833825237</v>
      </c>
      <c r="E57" s="426">
        <f>VLOOKUP($E$38,'MP (2011)'!$A$14:$AR$245,'MP (2011)'!$AL$246,FALSE)</f>
        <v>2583.766538223168</v>
      </c>
      <c r="F57" s="693">
        <f>VLOOKUP($F$38,'MP (2011)'!$A$14:$AR$245,'MP (2011)'!$AL$246,FALSE)</f>
        <v>2536</v>
      </c>
      <c r="W57" s="139"/>
    </row>
    <row r="58" spans="2:23">
      <c r="B58" s="692" t="s">
        <v>248</v>
      </c>
      <c r="C58" s="428">
        <f>SUM(C54:C57)</f>
        <v>182599.73539391518</v>
      </c>
      <c r="D58" s="428">
        <f>SUM(D54:D57)</f>
        <v>187287.83444299534</v>
      </c>
      <c r="E58" s="428">
        <f>SUM(E54:E57)</f>
        <v>193733.58626822234</v>
      </c>
      <c r="F58" s="694">
        <f>SUM(F54:F57)</f>
        <v>190152</v>
      </c>
    </row>
    <row r="59" spans="2:23">
      <c r="B59" s="103" t="s">
        <v>302</v>
      </c>
    </row>
    <row r="60" spans="2:23">
      <c r="B60" s="137" t="str">
        <f>$B$2</f>
        <v>Orion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E65" si="1">IF(ISERROR(C54/$C54),"",(C54/$C54)*100)</f>
        <v>100</v>
      </c>
      <c r="D61" s="422">
        <f t="shared" si="1"/>
        <v>102.28993578733123</v>
      </c>
      <c r="E61" s="422">
        <f t="shared" si="1"/>
        <v>104.43903858265415</v>
      </c>
      <c r="F61" s="423"/>
      <c r="G61" s="141"/>
    </row>
    <row r="62" spans="2:23">
      <c r="B62" s="111" t="s">
        <v>180</v>
      </c>
      <c r="C62" s="422" t="str">
        <f t="shared" si="1"/>
        <v/>
      </c>
      <c r="D62" s="422" t="str">
        <f t="shared" si="1"/>
        <v/>
      </c>
      <c r="E62" s="422" t="str">
        <f t="shared" si="1"/>
        <v/>
      </c>
      <c r="F62" s="423"/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104.48404777920379</v>
      </c>
      <c r="E63" s="422">
        <f t="shared" si="1"/>
        <v>116.48773586212261</v>
      </c>
      <c r="F63" s="423"/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101.42971501932925</v>
      </c>
      <c r="E64" s="422">
        <f t="shared" si="1"/>
        <v>110.19843253471593</v>
      </c>
      <c r="F64" s="423"/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102.56741831469071</v>
      </c>
      <c r="E65" s="424">
        <f t="shared" si="1"/>
        <v>106.09740800022986</v>
      </c>
      <c r="F65" s="416"/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474" t="str">
        <f>$B$2</f>
        <v>Orion</v>
      </c>
      <c r="C69" s="534">
        <v>2008</v>
      </c>
      <c r="D69" s="534">
        <v>2009</v>
      </c>
      <c r="E69" s="534">
        <v>2010</v>
      </c>
      <c r="F69" s="535">
        <v>2011</v>
      </c>
    </row>
    <row r="70" spans="2:40">
      <c r="B70" s="111" t="s">
        <v>185</v>
      </c>
      <c r="C70" s="426">
        <f t="shared" ref="C70:E73" si="2">(C54/C98)*1000</f>
        <v>841.73140373320473</v>
      </c>
      <c r="D70" s="433">
        <f t="shared" si="2"/>
        <v>841.95578905695481</v>
      </c>
      <c r="E70" s="433">
        <f t="shared" si="2"/>
        <v>851.18807894359122</v>
      </c>
      <c r="F70" s="695">
        <f t="shared" ref="F70" si="3">(F54/F98)*1000</f>
        <v>835.45201792318494</v>
      </c>
    </row>
    <row r="71" spans="2:40">
      <c r="B71" s="111" t="s">
        <v>180</v>
      </c>
      <c r="C71" s="433"/>
      <c r="D71" s="433"/>
      <c r="E71" s="433"/>
      <c r="F71" s="695"/>
    </row>
    <row r="72" spans="2:40">
      <c r="B72" s="111" t="s">
        <v>184</v>
      </c>
      <c r="C72" s="433">
        <f t="shared" si="2"/>
        <v>59583.278953513152</v>
      </c>
      <c r="D72" s="433">
        <f t="shared" si="2"/>
        <v>54540.812445723037</v>
      </c>
      <c r="E72" s="433">
        <f t="shared" si="2"/>
        <v>59895.303383212238</v>
      </c>
      <c r="F72" s="695">
        <f t="shared" ref="F72" si="4">(F56/F100)*1000</f>
        <v>58788.008565310491</v>
      </c>
    </row>
    <row r="73" spans="2:40">
      <c r="B73" s="204" t="s">
        <v>181</v>
      </c>
      <c r="C73" s="435">
        <f t="shared" si="2"/>
        <v>468929.81665763736</v>
      </c>
      <c r="D73" s="435">
        <f t="shared" si="2"/>
        <v>475634.17667650478</v>
      </c>
      <c r="E73" s="435">
        <f t="shared" si="2"/>
        <v>516753.30764463363</v>
      </c>
      <c r="F73" s="696">
        <f t="shared" ref="F73" si="5">(F57/F101)*1000</f>
        <v>507200</v>
      </c>
    </row>
    <row r="74" spans="2:40">
      <c r="B74" s="103" t="s">
        <v>303</v>
      </c>
    </row>
    <row r="75" spans="2:40">
      <c r="B75" s="137" t="str">
        <f>$B$2</f>
        <v>Orion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E79" si="6">IF(ISERROR(C70/$C70),"",(C70/$C70)*100)</f>
        <v>100</v>
      </c>
      <c r="D76" s="422">
        <f t="shared" si="6"/>
        <v>100.02665759204837</v>
      </c>
      <c r="E76" s="422">
        <f t="shared" si="6"/>
        <v>101.12347895878004</v>
      </c>
      <c r="F76" s="423"/>
      <c r="AN76" s="139"/>
    </row>
    <row r="77" spans="2:40">
      <c r="B77" s="111" t="s">
        <v>180</v>
      </c>
      <c r="C77" s="422" t="str">
        <f t="shared" si="6"/>
        <v/>
      </c>
      <c r="D77" s="422" t="str">
        <f t="shared" si="6"/>
        <v/>
      </c>
      <c r="E77" s="422" t="str">
        <f t="shared" si="6"/>
        <v/>
      </c>
      <c r="F77" s="423"/>
      <c r="I77" s="139" t="s">
        <v>190</v>
      </c>
      <c r="AN77" s="139"/>
    </row>
    <row r="78" spans="2:40">
      <c r="B78" s="111" t="s">
        <v>184</v>
      </c>
      <c r="C78" s="422">
        <f t="shared" si="6"/>
        <v>100</v>
      </c>
      <c r="D78" s="422">
        <f t="shared" si="6"/>
        <v>91.537111423954627</v>
      </c>
      <c r="E78" s="422">
        <f t="shared" si="6"/>
        <v>100.52367784247411</v>
      </c>
      <c r="F78" s="423"/>
      <c r="G78" s="141"/>
      <c r="AN78" s="139"/>
    </row>
    <row r="79" spans="2:40">
      <c r="B79" s="115" t="s">
        <v>181</v>
      </c>
      <c r="C79" s="424">
        <f t="shared" si="6"/>
        <v>100</v>
      </c>
      <c r="D79" s="424">
        <f t="shared" si="6"/>
        <v>101.42971501932927</v>
      </c>
      <c r="E79" s="424">
        <f t="shared" si="6"/>
        <v>110.19843253471593</v>
      </c>
      <c r="F79" s="416"/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474" t="str">
        <f>$B$2</f>
        <v>Orion</v>
      </c>
      <c r="C83" s="534">
        <v>2008</v>
      </c>
      <c r="D83" s="534">
        <v>2009</v>
      </c>
      <c r="E83" s="534">
        <v>2010</v>
      </c>
      <c r="F83" s="535">
        <v>2011</v>
      </c>
    </row>
    <row r="84" spans="2:7">
      <c r="B84" s="111" t="s">
        <v>185</v>
      </c>
      <c r="C84" s="430">
        <f>(C54/VLOOKUP($C$38,'MP (2011)'!$A$14:$AR$245,'MP (2011)'!$AA$246,FALSE)*100)</f>
        <v>6.7954895981684009</v>
      </c>
      <c r="D84" s="437">
        <f>(D54/VLOOKUP($D$38,'MP (2011)'!$A$14:$AR$245,'MP (2011)'!$AA$246,FALSE)*100)</f>
        <v>6.6662533059785813</v>
      </c>
      <c r="E84" s="437">
        <f>(E54/VLOOKUP($E$38,'MP (2011)'!$A$14:$AR$245,'MP (2011)'!$AA$246,FALSE)*100)</f>
        <v>6.7219811113246406</v>
      </c>
      <c r="F84" s="697">
        <f>(F54/VLOOKUP($E$38,'MP (2011)'!$A$14:$AR$245,'MP (2011)'!$AA$246,FALSE)*100)</f>
        <v>6.5977106855955761</v>
      </c>
    </row>
    <row r="85" spans="2:7">
      <c r="B85" s="111" t="s">
        <v>180</v>
      </c>
      <c r="C85" s="430"/>
      <c r="D85" s="437"/>
      <c r="E85" s="437"/>
      <c r="F85" s="697"/>
    </row>
    <row r="86" spans="2:7">
      <c r="B86" s="111" t="s">
        <v>184</v>
      </c>
      <c r="C86" s="430">
        <f>(C56/VLOOKUP($C$38,'MP (2011)'!$A$14:$AR$245,'MP (2011)'!$AI$246,FALSE)*100)</f>
        <v>3.1592099072350619</v>
      </c>
      <c r="D86" s="437">
        <f>(D56/VLOOKUP($D$38,'MP (2011)'!$A$14:$AR$245,'MP (2011)'!$AI$246,FALSE)*100)</f>
        <v>3.2568974860601605</v>
      </c>
      <c r="E86" s="437">
        <f>(E56/VLOOKUP($E$38,'MP (2011)'!$A$14:$AR$245,'MP (2011)'!$AI$246,FALSE)*100)</f>
        <v>3.7066479393549221</v>
      </c>
      <c r="F86" s="697">
        <f>(F56/VLOOKUP($E$38,'MP (2011)'!$A$14:$AR$245,'MP (2011)'!$AI$246,FALSE)*100)</f>
        <v>3.6381224987410881</v>
      </c>
    </row>
    <row r="87" spans="2:7">
      <c r="B87" s="204" t="s">
        <v>181</v>
      </c>
      <c r="C87" s="431">
        <f>(C57/VLOOKUP($C$38,'MP (2011)'!$A$14:$AR$245,'MP (2011)'!$AM$246,FALSE)*100)</f>
        <v>2.4284097938993638</v>
      </c>
      <c r="D87" s="431">
        <f>(D57/VLOOKUP($D$38,'MP (2011)'!$A$14:$AR$245,'MP (2011)'!$AM$246,FALSE)*100)</f>
        <v>2.498842485867554</v>
      </c>
      <c r="E87" s="431">
        <f>(E57/VLOOKUP($E$38,'MP (2011)'!$A$14:$AR$245,'MP (2011)'!$AM$246,FALSE)*100)</f>
        <v>2.6866379035501016</v>
      </c>
      <c r="F87" s="698">
        <f>(F57/VLOOKUP($E$38,'MP (2011)'!$A$14:$AR$245,'MP (2011)'!$AM$246,FALSE)*100)</f>
        <v>2.6369695646296702</v>
      </c>
    </row>
    <row r="88" spans="2:7">
      <c r="B88" s="103" t="s">
        <v>304</v>
      </c>
    </row>
    <row r="89" spans="2:7">
      <c r="B89" s="137" t="str">
        <f>$B$2</f>
        <v>Orion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98.098204841272178</v>
      </c>
      <c r="E90" s="422">
        <f>IF(ISERROR(E84/$C84),"",(E84/$C84)*100)</f>
        <v>98.918275338636775</v>
      </c>
      <c r="F90" s="423"/>
    </row>
    <row r="91" spans="2:7">
      <c r="B91" s="111" t="s">
        <v>180</v>
      </c>
      <c r="C91" s="422" t="str">
        <f t="shared" ref="C91:E92" si="7">IF(ISERROR(C85/$C85),"",(C85/$C85)*100)</f>
        <v/>
      </c>
      <c r="D91" s="422" t="str">
        <f t="shared" si="7"/>
        <v/>
      </c>
      <c r="E91" s="422" t="str">
        <f t="shared" si="7"/>
        <v/>
      </c>
      <c r="F91" s="423"/>
    </row>
    <row r="92" spans="2:7">
      <c r="B92" s="111" t="s">
        <v>184</v>
      </c>
      <c r="C92" s="422">
        <f t="shared" si="7"/>
        <v>100</v>
      </c>
      <c r="D92" s="422">
        <f t="shared" si="7"/>
        <v>103.09215220556823</v>
      </c>
      <c r="E92" s="422">
        <f t="shared" si="7"/>
        <v>117.32832094715029</v>
      </c>
      <c r="F92" s="423"/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102.90036270423266</v>
      </c>
      <c r="E93" s="424">
        <f>IF(ISERROR(E87/$C87),"",(E87/$C87)*100)</f>
        <v>110.63362988814561</v>
      </c>
      <c r="F93" s="416"/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699"/>
      <c r="C97" s="534">
        <v>2008</v>
      </c>
      <c r="D97" s="534">
        <v>2009</v>
      </c>
      <c r="E97" s="534">
        <v>2010</v>
      </c>
      <c r="F97" s="535">
        <v>2011</v>
      </c>
    </row>
    <row r="98" spans="2:7">
      <c r="B98" s="155" t="s">
        <v>308</v>
      </c>
      <c r="C98" s="150">
        <f>VLOOKUP($C$38,'MP (2011)'!$A$14:$AR$245,'MP (2011)'!$AB$246,FALSE)</f>
        <v>185621</v>
      </c>
      <c r="D98" s="150">
        <f>VLOOKUP($D$38,'MP (2011)'!$A$14:$AR$245,'MP (2011)'!$AB$246,FALSE)</f>
        <v>189821</v>
      </c>
      <c r="E98" s="150">
        <f>VLOOKUP($E$38,'MP (2011)'!$A$14:$AR$245,'MP (2011)'!$AB$246,FALSE)</f>
        <v>191707</v>
      </c>
      <c r="F98" s="700">
        <f>VLOOKUP($E$38,'MP (2011)'!$A$14:$AR$245,'MP (2011)'!$AB$246,FALSE)</f>
        <v>191707</v>
      </c>
    </row>
    <row r="99" spans="2:7">
      <c r="B99" s="155" t="s">
        <v>309</v>
      </c>
      <c r="C99" s="150">
        <f>VLOOKUP($C$38,'MP (2011)'!$A$14:$AR$245,'MP (2011)'!$AF$246,FALSE)</f>
        <v>0</v>
      </c>
      <c r="D99" s="150">
        <f>VLOOKUP($D$38,'MP (2011)'!$A$14:$AR$245,'MP (2011)'!$AF$246,FALSE)</f>
        <v>0</v>
      </c>
      <c r="E99" s="150">
        <f>VLOOKUP($E$38,'MP (2011)'!$A$14:$AR$245,'MP (2011)'!$AF$246,FALSE)</f>
        <v>0</v>
      </c>
      <c r="F99" s="700">
        <f>VLOOKUP($E$38,'MP (2011)'!$A$14:$AR$245,'MP (2011)'!$AF$246,FALSE)</f>
        <v>0</v>
      </c>
    </row>
    <row r="100" spans="2:7">
      <c r="B100" s="155" t="s">
        <v>310</v>
      </c>
      <c r="C100" s="150">
        <f>VLOOKUP($C$38,'MP (2011)'!$A$14:$AR$245,'MP (2011)'!$AJ$246,FALSE)</f>
        <v>403</v>
      </c>
      <c r="D100" s="150">
        <f>VLOOKUP($D$38,'MP (2011)'!$A$14:$AR$245,'MP (2011)'!$AJ$246,FALSE)</f>
        <v>460</v>
      </c>
      <c r="E100" s="150">
        <f>VLOOKUP($E$38,'MP (2011)'!$A$14:$AR$245,'MP (2011)'!$AJ$246,FALSE)</f>
        <v>467</v>
      </c>
      <c r="F100" s="700">
        <f>VLOOKUP($E$38,'MP (2011)'!$A$14:$AR$245,'MP (2011)'!$AJ$246,FALSE)</f>
        <v>467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700">
        <f>VLOOKUP($E$38,'MP (2011)'!$A$14:$AR$245,'MP (2011)'!$AN$246,FALSE)</f>
        <v>5</v>
      </c>
    </row>
    <row r="102" spans="2:7">
      <c r="B102" s="701" t="s">
        <v>254</v>
      </c>
      <c r="C102" s="152">
        <f>SUM(C98:C101)</f>
        <v>186029</v>
      </c>
      <c r="D102" s="152">
        <f>SUM(D98:D101)</f>
        <v>190286</v>
      </c>
      <c r="E102" s="152">
        <f>SUM(E98:E101)</f>
        <v>192179</v>
      </c>
      <c r="F102" s="702">
        <f>SUM(F98:F101)</f>
        <v>192179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E108" si="8">IF(ISERROR(C98/$C98),"",(C98/$C98)*100)</f>
        <v>100</v>
      </c>
      <c r="D105" s="422">
        <f t="shared" si="8"/>
        <v>102.26267502060651</v>
      </c>
      <c r="E105" s="422">
        <f t="shared" si="8"/>
        <v>103.27872385128838</v>
      </c>
      <c r="F105" s="423"/>
    </row>
    <row r="106" spans="2:7">
      <c r="B106" s="111" t="s">
        <v>180</v>
      </c>
      <c r="C106" s="422" t="str">
        <f t="shared" si="8"/>
        <v/>
      </c>
      <c r="D106" s="422" t="str">
        <f t="shared" si="8"/>
        <v/>
      </c>
      <c r="E106" s="422" t="str">
        <f t="shared" si="8"/>
        <v/>
      </c>
      <c r="F106" s="423"/>
      <c r="G106" s="141"/>
    </row>
    <row r="107" spans="2:7">
      <c r="B107" s="111" t="s">
        <v>184</v>
      </c>
      <c r="C107" s="422">
        <f t="shared" si="8"/>
        <v>100</v>
      </c>
      <c r="D107" s="422">
        <f t="shared" si="8"/>
        <v>114.14392059553349</v>
      </c>
      <c r="E107" s="422">
        <f t="shared" si="8"/>
        <v>115.88089330024813</v>
      </c>
      <c r="F107" s="423"/>
      <c r="G107" s="141"/>
    </row>
    <row r="108" spans="2:7">
      <c r="B108" s="115" t="s">
        <v>181</v>
      </c>
      <c r="C108" s="424">
        <f t="shared" si="8"/>
        <v>100</v>
      </c>
      <c r="D108" s="424">
        <f t="shared" si="8"/>
        <v>100</v>
      </c>
      <c r="E108" s="424">
        <f t="shared" si="8"/>
        <v>100</v>
      </c>
      <c r="F108" s="416"/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474" t="str">
        <f>$B$2</f>
        <v>Orion</v>
      </c>
      <c r="C112" s="534">
        <v>2008</v>
      </c>
      <c r="D112" s="534">
        <v>2009</v>
      </c>
      <c r="E112" s="534">
        <v>2010</v>
      </c>
      <c r="F112" s="535">
        <v>2011</v>
      </c>
    </row>
    <row r="113" spans="2:7">
      <c r="B113" s="155" t="s">
        <v>308</v>
      </c>
      <c r="C113" s="146">
        <f>VLOOKUP($C$38,'MP (2011)'!$A$14:$AR$245,'MP (2011)'!$AA$246,FALSE)</f>
        <v>2299216.6</v>
      </c>
      <c r="D113" s="150">
        <f>VLOOKUP($D$38,'MP (2011)'!$A$14:$AR$245,'MP (2011)'!$AA$246,FALSE)</f>
        <v>2397462</v>
      </c>
      <c r="E113" s="150">
        <f>VLOOKUP($E$38,'MP (2011)'!$A$14:$AR$245,'MP (2011)'!$AA$246,FALSE)</f>
        <v>2427539</v>
      </c>
      <c r="F113" s="700">
        <f>VLOOKUP($E$38,'MP (2011)'!$A$14:$AR$245,'MP (2011)'!$AA$246,FALSE)</f>
        <v>2427539</v>
      </c>
    </row>
    <row r="114" spans="2:7">
      <c r="B114" s="155" t="s">
        <v>309</v>
      </c>
      <c r="C114" s="150">
        <f>VLOOKUP($C$38,'MP (2011)'!$A$14:$AR$245,'MP (2011)'!$AE$246,FALSE)</f>
        <v>0</v>
      </c>
      <c r="D114" s="150">
        <f>VLOOKUP($D$38,'MP (2011)'!$A$14:$AR$245,'MP (2011)'!$AE$246,FALSE)</f>
        <v>0</v>
      </c>
      <c r="E114" s="150">
        <f>VLOOKUP($E$38,'MP (2011)'!$A$14:$AR$245,'MP (2011)'!$AE$246,FALSE)</f>
        <v>0</v>
      </c>
      <c r="F114" s="700">
        <f>VLOOKUP($E$38,'MP (2011)'!$A$14:$AR$245,'MP (2011)'!$AE$246,FALSE)</f>
        <v>0</v>
      </c>
    </row>
    <row r="115" spans="2:7">
      <c r="B115" s="155" t="s">
        <v>310</v>
      </c>
      <c r="C115" s="150">
        <f>VLOOKUP($C$38,'MP (2011)'!$A$14:$AR$245,'MP (2011)'!$AI$246,FALSE)</f>
        <v>760065.4</v>
      </c>
      <c r="D115" s="150">
        <f>VLOOKUP($D$38,'MP (2011)'!$A$14:$AR$245,'MP (2011)'!$AI$246,FALSE)</f>
        <v>770327.4</v>
      </c>
      <c r="E115" s="150">
        <f>VLOOKUP($E$38,'MP (2011)'!$A$14:$AR$245,'MP (2011)'!$AI$246,FALSE)</f>
        <v>754620</v>
      </c>
      <c r="F115" s="700">
        <f>VLOOKUP($E$38,'MP (2011)'!$A$14:$AR$245,'MP (2011)'!$AI$246,FALSE)</f>
        <v>754620</v>
      </c>
    </row>
    <row r="116" spans="2:7">
      <c r="B116" s="155" t="s">
        <v>311</v>
      </c>
      <c r="C116" s="150">
        <f>VLOOKUP($C$38,'MP (2011)'!$A$14:$AR$245,'MP (2011)'!$AM$246,FALSE)</f>
        <v>96550.8</v>
      </c>
      <c r="D116" s="150">
        <f>VLOOKUP($D$38,'MP (2011)'!$A$14:$AR$245,'MP (2011)'!$AM$246,FALSE)</f>
        <v>95170.9</v>
      </c>
      <c r="E116" s="150">
        <f>VLOOKUP($E$38,'MP (2011)'!$A$14:$AR$245,'MP (2011)'!$AM$246,FALSE)</f>
        <v>96171</v>
      </c>
      <c r="F116" s="700">
        <f>VLOOKUP($E$38,'MP (2011)'!$A$14:$AR$245,'MP (2011)'!$AM$246,FALSE)</f>
        <v>96171</v>
      </c>
    </row>
    <row r="117" spans="2:7">
      <c r="B117" s="692" t="s">
        <v>254</v>
      </c>
      <c r="C117" s="158">
        <f>SUM(C113:C116)</f>
        <v>3155832.8</v>
      </c>
      <c r="D117" s="158">
        <f>SUM(D113:D116)</f>
        <v>3262960.3</v>
      </c>
      <c r="E117" s="158">
        <f>SUM(E113:E116)</f>
        <v>3278330</v>
      </c>
      <c r="F117" s="703">
        <f>SUM(F113:F116)</f>
        <v>3278330</v>
      </c>
    </row>
    <row r="118" spans="2:7">
      <c r="B118" s="103" t="s">
        <v>306</v>
      </c>
    </row>
    <row r="119" spans="2:7">
      <c r="B119" s="137" t="str">
        <f>$B$2</f>
        <v>Orion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E123" si="9">IF(ISERROR(C113/$C113),"",(C113/$C113)*100)</f>
        <v>100</v>
      </c>
      <c r="D120" s="422">
        <f t="shared" si="9"/>
        <v>104.27299454953483</v>
      </c>
      <c r="E120" s="422">
        <f t="shared" si="9"/>
        <v>105.5811357659822</v>
      </c>
      <c r="F120" s="423"/>
    </row>
    <row r="121" spans="2:7">
      <c r="B121" s="111" t="s">
        <v>180</v>
      </c>
      <c r="C121" s="422" t="str">
        <f t="shared" si="9"/>
        <v/>
      </c>
      <c r="D121" s="422" t="str">
        <f t="shared" si="9"/>
        <v/>
      </c>
      <c r="E121" s="422" t="str">
        <f t="shared" si="9"/>
        <v/>
      </c>
      <c r="F121" s="423"/>
    </row>
    <row r="122" spans="2:7">
      <c r="B122" s="111" t="s">
        <v>184</v>
      </c>
      <c r="C122" s="422">
        <f t="shared" si="9"/>
        <v>100</v>
      </c>
      <c r="D122" s="422">
        <f t="shared" si="9"/>
        <v>101.3501469741946</v>
      </c>
      <c r="E122" s="422">
        <f t="shared" si="9"/>
        <v>99.283561651405265</v>
      </c>
      <c r="F122" s="423"/>
    </row>
    <row r="123" spans="2:7">
      <c r="B123" s="115" t="s">
        <v>181</v>
      </c>
      <c r="C123" s="424">
        <f t="shared" si="9"/>
        <v>100</v>
      </c>
      <c r="D123" s="424">
        <f t="shared" si="9"/>
        <v>98.570804177697127</v>
      </c>
      <c r="E123" s="424">
        <f t="shared" si="9"/>
        <v>99.60663194919151</v>
      </c>
      <c r="F123" s="416"/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474" t="str">
        <f>$B$2</f>
        <v>Orion</v>
      </c>
      <c r="C127" s="689">
        <v>2008</v>
      </c>
      <c r="D127" s="689">
        <v>2009</v>
      </c>
      <c r="E127" s="689">
        <v>2010</v>
      </c>
      <c r="F127" s="704">
        <v>2011</v>
      </c>
      <c r="G127" s="161"/>
    </row>
    <row r="128" spans="2:7">
      <c r="B128" s="162" t="s">
        <v>259</v>
      </c>
      <c r="C128" s="441">
        <f>VLOOKUP($C$38,'FS (2011)'!$A$13:$AH$244,'FS (2011)'!$I$245,FALSE)</f>
        <v>193020.63756379913</v>
      </c>
      <c r="D128" s="433">
        <f>VLOOKUP($D$38,'FS (2011)'!$A$13:$AH$244,'FS (2011)'!$I$245,FALSE)</f>
        <v>198325.89415883034</v>
      </c>
      <c r="E128" s="433">
        <f>VLOOKUP($E$38,'FS (2011)'!$A$13:$AH$244,'FS (2011)'!$I$245,FALSE)</f>
        <v>200530.23712645844</v>
      </c>
      <c r="F128" s="695">
        <f>VLOOKUP($F$38,'FS (2011)'!$A$13:$AH$244,'FS (2011)'!$I$245,FALSE)</f>
        <v>200530.23712645844</v>
      </c>
      <c r="G128" s="121"/>
    </row>
    <row r="129" spans="1:31">
      <c r="B129" s="162" t="s">
        <v>257</v>
      </c>
      <c r="C129" s="441">
        <f>VLOOKUP($C$38,'FS (2011)'!$A$13:$AH$244,'FS (2011)'!$Y$245,FALSE)+VLOOKUP($C$38,'FS (2011)'!$A$13:$AH$244,'FS (2011)'!$Z$245,FALSE)</f>
        <v>23467.556881754153</v>
      </c>
      <c r="D129" s="433">
        <f>VLOOKUP($D$38,'FS (2011)'!$A$13:$AH$244,'FS (2011)'!$Y$245,FALSE)+VLOOKUP($D$38,'FS (2011)'!$A$13:$AH$244,'FS (2011)'!$Z$245,FALSE)</f>
        <v>21064.676887638128</v>
      </c>
      <c r="E129" s="433">
        <f>VLOOKUP($E$38,'FS (2011)'!$A$13:$AH$244,'FS (2011)'!$Y$245,FALSE)+VLOOKUP($E$38,'FS (2011)'!$A$13:$AH$244,'FS (2011)'!$Z$245,FALSE)</f>
        <v>14165.402237611486</v>
      </c>
      <c r="F129" s="695">
        <f>VLOOKUP($F$38,'FS (2011)'!$A$13:$AH$244,'FS (2011)'!$Y$245,FALSE)+VLOOKUP($E$38,'FS (2011)'!$A$13:$AH$244,'FS (2011)'!$Z$245,FALSE)</f>
        <v>14165.402237611486</v>
      </c>
      <c r="G129" s="121"/>
    </row>
    <row r="130" spans="1:31">
      <c r="B130" s="162" t="s">
        <v>191</v>
      </c>
      <c r="C130" s="441">
        <f>VLOOKUP($C$38,'FS (2011)'!$A$13:$AH$244,'FS (2011)'!$J$245,FALSE)</f>
        <v>47618.542100310791</v>
      </c>
      <c r="D130" s="433">
        <f>VLOOKUP($D$38,'FS (2011)'!$A$13:$AH$244,'FS (2011)'!$J$245,FALSE)</f>
        <v>50993.282174480046</v>
      </c>
      <c r="E130" s="433">
        <f>VLOOKUP($E$38,'FS (2011)'!$A$13:$AH$244,'FS (2011)'!$J$245,FALSE)</f>
        <v>54753.232464767854</v>
      </c>
      <c r="F130" s="695">
        <f>VLOOKUP($F$38,'FS (2011)'!$A$13:$AH$244,'FS (2011)'!$J$245,FALSE)</f>
        <v>54753.232464767854</v>
      </c>
    </row>
    <row r="131" spans="1:31">
      <c r="B131" s="162" t="s">
        <v>182</v>
      </c>
      <c r="C131" s="441">
        <f>VLOOKUP($C$38,'FS (2011)'!$A$13:$AH$244,'FS (2011)'!$S$245,FALSE)</f>
        <v>38538.794730689173</v>
      </c>
      <c r="D131" s="433">
        <f>VLOOKUP($D$38,'FS (2011)'!$A$13:$AH$244,'FS (2011)'!$S$245,FALSE)</f>
        <v>39215.061019973902</v>
      </c>
      <c r="E131" s="433">
        <f>VLOOKUP($E$38,'FS (2011)'!$A$13:$AH$244,'FS (2011)'!$S$245,FALSE)</f>
        <v>41660.178922691382</v>
      </c>
      <c r="F131" s="695">
        <f>VLOOKUP($F$38,'FS (2011)'!$A$13:$AH$244,'FS (2011)'!$S$245,FALSE)</f>
        <v>41660.178922691382</v>
      </c>
      <c r="I131" s="139"/>
    </row>
    <row r="132" spans="1:31">
      <c r="B132" s="162" t="s">
        <v>143</v>
      </c>
      <c r="C132" s="441">
        <f>VLOOKUP($C$38,'FS (2011)'!$A$13:$AH$244,'FS (2011)'!$U$245,FALSE)</f>
        <v>27929.225285848705</v>
      </c>
      <c r="D132" s="433">
        <f>VLOOKUP($D$38,'FS (2011)'!$A$13:$AH$244,'FS (2011)'!$U$245,FALSE)</f>
        <v>28420.953531470921</v>
      </c>
      <c r="E132" s="433">
        <f>VLOOKUP($E$38,'FS (2011)'!$A$13:$AH$244,'FS (2011)'!$U$245,FALSE)</f>
        <v>29686.825469537329</v>
      </c>
      <c r="F132" s="695">
        <f>VLOOKUP($F$38,'FS (2011)'!$A$13:$AH$244,'FS (2011)'!$U$245,FALSE)</f>
        <v>29686.825469537329</v>
      </c>
    </row>
    <row r="133" spans="1:31">
      <c r="B133" s="162" t="s">
        <v>196</v>
      </c>
      <c r="C133" s="441">
        <f>VLOOKUP($C$38,'FS (2011)'!$A$13:$AH$244,'FS (2011)'!$X$245,FALSE)</f>
        <v>16300.826681873912</v>
      </c>
      <c r="D133" s="433">
        <f>VLOOKUP($D$38,'FS (2011)'!$A$13:$AH$244,'FS (2011)'!$X$245,FALSE)</f>
        <v>14325.367883862991</v>
      </c>
      <c r="E133" s="433">
        <f>VLOOKUP($E$38,'FS (2011)'!$A$13:$AH$244,'FS (2011)'!$X$245,FALSE)</f>
        <v>13745.874353156745</v>
      </c>
      <c r="F133" s="695">
        <f>VLOOKUP($F$38,'FS (2011)'!$A$13:$AH$244,'FS (2011)'!$X$245,FALSE)</f>
        <v>13745.874353156745</v>
      </c>
    </row>
    <row r="134" spans="1:31">
      <c r="B134" s="705" t="s">
        <v>258</v>
      </c>
      <c r="C134" s="442">
        <f>VLOOKUP($C$38,'FS (2011)'!$A$13:$AH$244,'FS (2011)'!$AA$245,FALSE)</f>
        <v>86100.805646830704</v>
      </c>
      <c r="D134" s="435">
        <f>VLOOKUP($D$38,'FS (2011)'!$A$13:$AH$244,'FS (2011)'!$AA$245,FALSE)</f>
        <v>86435.906436680598</v>
      </c>
      <c r="E134" s="435">
        <f>VLOOKUP($E$38,'FS (2011)'!$A$13:$AH$244,'FS (2011)'!$AA$245,FALSE)</f>
        <v>74849.528153916617</v>
      </c>
      <c r="F134" s="696">
        <f>VLOOKUP($F$38,'FS (2011)'!$A$13:$AH$244,'FS (2011)'!$AA$245,FALSE)</f>
        <v>74849.528153916617</v>
      </c>
      <c r="P134" s="559"/>
      <c r="Q134" s="559"/>
      <c r="R134" s="559"/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  <c r="AE134" s="559"/>
    </row>
    <row r="135" spans="1:31">
      <c r="P135" s="559"/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  <c r="AE135" s="559"/>
    </row>
    <row r="136" spans="1:31">
      <c r="P136" s="559"/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  <c r="AE136" s="559"/>
    </row>
    <row r="137" spans="1:31">
      <c r="B137" s="517" t="s">
        <v>500</v>
      </c>
      <c r="C137" s="510"/>
      <c r="D137" s="520" t="s">
        <v>166</v>
      </c>
      <c r="E137" s="521" t="s">
        <v>165</v>
      </c>
      <c r="P137" s="559"/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  <c r="AE137" s="559"/>
    </row>
    <row r="138" spans="1:31">
      <c r="A138" s="136">
        <f>RANK(D138,$D$138:$D$144)</f>
        <v>3</v>
      </c>
      <c r="B138" s="166" t="s">
        <v>204</v>
      </c>
      <c r="C138" s="167"/>
      <c r="D138" s="444">
        <f>VLOOKUP($D$6,'FS (2011)'!$A$13:$AH$244,'FS (2011)'!$L$245,FALSE)</f>
        <v>9954.0217186278987</v>
      </c>
      <c r="E138" s="446">
        <f t="shared" ref="E138:E144" si="10">D138/$D$145</f>
        <v>0.23893372462704815</v>
      </c>
      <c r="P138" s="559"/>
      <c r="Q138" s="559"/>
      <c r="R138" s="559"/>
      <c r="S138" s="559"/>
      <c r="T138" s="559">
        <v>1</v>
      </c>
      <c r="U138" s="559" t="str">
        <f>VLOOKUP(T138,$A$138:$E$144,2,FALSE)</f>
        <v>Routine and preventative maintenance</v>
      </c>
      <c r="V138" s="559">
        <f>VLOOKUP(T138,$A$138:$E$144,4,FALSE)</f>
        <v>13980.459163051384</v>
      </c>
      <c r="W138" s="559"/>
      <c r="X138" s="559"/>
      <c r="Y138" s="559"/>
      <c r="Z138" s="559"/>
      <c r="AA138" s="559"/>
      <c r="AB138" s="559"/>
      <c r="AC138" s="559"/>
      <c r="AD138" s="559"/>
      <c r="AE138" s="559"/>
    </row>
    <row r="139" spans="1:31">
      <c r="A139" s="136">
        <f t="shared" ref="A139:A144" si="11">RANK(D139,$D$138:$D$144)</f>
        <v>2</v>
      </c>
      <c r="B139" s="162" t="s">
        <v>199</v>
      </c>
      <c r="C139" s="121"/>
      <c r="D139" s="441">
        <f>VLOOKUP($D$6,'FS (2011)'!$A$13:$AH$244,'FS (2011)'!K245,FALSE)</f>
        <v>10096.658672630754</v>
      </c>
      <c r="E139" s="414">
        <f t="shared" si="10"/>
        <v>0.24235754463193931</v>
      </c>
      <c r="P139" s="559"/>
      <c r="Q139" s="559"/>
      <c r="R139" s="559"/>
      <c r="S139" s="559"/>
      <c r="T139" s="559">
        <v>2</v>
      </c>
      <c r="U139" s="559" t="str">
        <f t="shared" ref="U139:U144" si="12">VLOOKUP(T139,$A$138:$E$144,2,FALSE)</f>
        <v>General management, admin and overheads</v>
      </c>
      <c r="V139" s="559">
        <f t="shared" ref="V139:V144" si="13">VLOOKUP(T139,$A$138:$E$144,4,FALSE)</f>
        <v>10096.658672630754</v>
      </c>
      <c r="W139" s="559"/>
      <c r="X139" s="559"/>
      <c r="Y139" s="559"/>
      <c r="Z139" s="559"/>
      <c r="AA139" s="559"/>
      <c r="AB139" s="559"/>
      <c r="AC139" s="559"/>
      <c r="AD139" s="559"/>
      <c r="AE139" s="559"/>
    </row>
    <row r="140" spans="1:31">
      <c r="A140" s="136">
        <f t="shared" si="11"/>
        <v>1</v>
      </c>
      <c r="B140" s="162" t="s">
        <v>201</v>
      </c>
      <c r="C140" s="121"/>
      <c r="D140" s="441">
        <f>VLOOKUP($D$6,'FS (2011)'!$A$13:$AH$244,'FS (2011)'!M245,FALSE)</f>
        <v>13980.459163051384</v>
      </c>
      <c r="E140" s="414">
        <f t="shared" si="10"/>
        <v>0.33558327219369039</v>
      </c>
      <c r="P140" s="559"/>
      <c r="Q140" s="559"/>
      <c r="R140" s="559"/>
      <c r="S140" s="559"/>
      <c r="T140" s="559">
        <v>3</v>
      </c>
      <c r="U140" s="559" t="str">
        <f t="shared" si="12"/>
        <v>System management and operations</v>
      </c>
      <c r="V140" s="559">
        <f t="shared" si="13"/>
        <v>9954.0217186278987</v>
      </c>
      <c r="W140" s="559"/>
      <c r="X140" s="559"/>
      <c r="Y140" s="559"/>
      <c r="Z140" s="559"/>
      <c r="AA140" s="559"/>
      <c r="AB140" s="559"/>
      <c r="AC140" s="559"/>
      <c r="AD140" s="559"/>
      <c r="AE140" s="559"/>
    </row>
    <row r="141" spans="1:31">
      <c r="A141" s="136">
        <f t="shared" si="11"/>
        <v>5</v>
      </c>
      <c r="B141" s="162" t="s">
        <v>202</v>
      </c>
      <c r="C141" s="121"/>
      <c r="D141" s="441">
        <f>VLOOKUP($D$6,'FS (2011)'!$A$13:$AH$244,'FS (2011)'!N245,FALSE)</f>
        <v>2157.8933469860685</v>
      </c>
      <c r="E141" s="414">
        <f t="shared" si="10"/>
        <v>5.1797505502567863E-2</v>
      </c>
      <c r="P141" s="559"/>
      <c r="Q141" s="559"/>
      <c r="R141" s="559"/>
      <c r="S141" s="559"/>
      <c r="T141" s="559">
        <v>4</v>
      </c>
      <c r="U141" s="559" t="str">
        <f t="shared" si="12"/>
        <v>Fault and emergency maintenance</v>
      </c>
      <c r="V141" s="559">
        <f t="shared" si="13"/>
        <v>3319.3656867236123</v>
      </c>
      <c r="W141" s="559"/>
      <c r="X141" s="559"/>
      <c r="Y141" s="559"/>
      <c r="Z141" s="559"/>
      <c r="AA141" s="559"/>
      <c r="AB141" s="559"/>
      <c r="AC141" s="559"/>
      <c r="AD141" s="559"/>
      <c r="AE141" s="559"/>
    </row>
    <row r="142" spans="1:31">
      <c r="A142" s="136">
        <f t="shared" si="11"/>
        <v>4</v>
      </c>
      <c r="B142" s="162" t="s">
        <v>203</v>
      </c>
      <c r="C142" s="121"/>
      <c r="D142" s="441">
        <f>VLOOKUP($D$6,'FS (2011)'!$A$13:$AH$244,'FS (2011)'!O245,FALSE)</f>
        <v>3319.3656867236123</v>
      </c>
      <c r="E142" s="414">
        <f t="shared" si="10"/>
        <v>7.9677182685253103E-2</v>
      </c>
      <c r="P142" s="559"/>
      <c r="Q142" s="559"/>
      <c r="R142" s="559"/>
      <c r="S142" s="559"/>
      <c r="T142" s="559">
        <v>5</v>
      </c>
      <c r="U142" s="559" t="str">
        <f t="shared" si="12"/>
        <v>Refurbishment and renewal maintenance</v>
      </c>
      <c r="V142" s="559">
        <f t="shared" si="13"/>
        <v>2157.8933469860685</v>
      </c>
      <c r="W142" s="559"/>
      <c r="X142" s="559"/>
      <c r="Y142" s="559"/>
      <c r="Z142" s="559"/>
      <c r="AA142" s="559"/>
      <c r="AB142" s="559"/>
      <c r="AC142" s="559"/>
      <c r="AD142" s="559"/>
      <c r="AE142" s="559"/>
    </row>
    <row r="143" spans="1:31">
      <c r="A143" s="136">
        <f t="shared" si="11"/>
        <v>7</v>
      </c>
      <c r="B143" s="162" t="s">
        <v>13</v>
      </c>
      <c r="C143" s="121"/>
      <c r="D143" s="441">
        <f>VLOOKUP($D$6,'FS (2011)'!$A$13:$AH$244,'FS (2011)'!R245,FALSE)</f>
        <v>0</v>
      </c>
      <c r="E143" s="414">
        <f t="shared" si="10"/>
        <v>0</v>
      </c>
      <c r="P143" s="559"/>
      <c r="Q143" s="559"/>
      <c r="R143" s="559"/>
      <c r="S143" s="559"/>
      <c r="T143" s="559">
        <v>6</v>
      </c>
      <c r="U143" s="559" t="str">
        <f t="shared" si="12"/>
        <v>Pass-through costs</v>
      </c>
      <c r="V143" s="559">
        <f t="shared" si="13"/>
        <v>2151.7803346716605</v>
      </c>
      <c r="W143" s="559"/>
      <c r="X143" s="559"/>
      <c r="Y143" s="559"/>
      <c r="Z143" s="559"/>
      <c r="AA143" s="559"/>
      <c r="AB143" s="559"/>
      <c r="AC143" s="559"/>
      <c r="AD143" s="559"/>
      <c r="AE143" s="559"/>
    </row>
    <row r="144" spans="1:31">
      <c r="A144" s="136">
        <f t="shared" si="11"/>
        <v>6</v>
      </c>
      <c r="B144" s="162" t="s">
        <v>200</v>
      </c>
      <c r="C144" s="121"/>
      <c r="D144" s="441">
        <f>VLOOKUP($D$6,'FS (2011)'!$A$13:$AH$244,'FS (2011)'!P245,FALSE)</f>
        <v>2151.7803346716605</v>
      </c>
      <c r="E144" s="414">
        <f t="shared" si="10"/>
        <v>5.1650770359501101E-2</v>
      </c>
      <c r="P144" s="559"/>
      <c r="Q144" s="559"/>
      <c r="R144" s="559"/>
      <c r="S144" s="559"/>
      <c r="T144" s="559">
        <v>7</v>
      </c>
      <c r="U144" s="559" t="str">
        <f t="shared" si="12"/>
        <v>Other</v>
      </c>
      <c r="V144" s="559">
        <f t="shared" si="13"/>
        <v>0</v>
      </c>
      <c r="W144" s="559"/>
      <c r="X144" s="559"/>
      <c r="Y144" s="559"/>
      <c r="Z144" s="559"/>
      <c r="AA144" s="559"/>
      <c r="AB144" s="559"/>
      <c r="AC144" s="559"/>
      <c r="AD144" s="559"/>
      <c r="AE144" s="559"/>
    </row>
    <row r="145" spans="2:31">
      <c r="B145" s="172" t="s">
        <v>263</v>
      </c>
      <c r="C145" s="173"/>
      <c r="D145" s="445">
        <f>SUM(D138:D144)</f>
        <v>41660.178922691382</v>
      </c>
      <c r="E145" s="447">
        <f>SUM(E138:E144)</f>
        <v>1</v>
      </c>
      <c r="P145" s="559"/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  <c r="AE145" s="559"/>
    </row>
    <row r="146" spans="2:31">
      <c r="D146" s="174"/>
      <c r="P146" s="559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  <c r="AE146" s="559"/>
    </row>
    <row r="147" spans="2:31">
      <c r="P147" s="559"/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  <c r="AE147" s="559"/>
    </row>
    <row r="148" spans="2:31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P148" s="559"/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  <c r="AE148" s="559"/>
    </row>
    <row r="149" spans="2:31">
      <c r="B149" s="706" t="s">
        <v>320</v>
      </c>
      <c r="C149" s="707">
        <f>(VLOOKUP(C$38,'FS (2011)'!$A$13:$AH$244,'FS (2011)'!$M$245,FALSE)+VLOOKUP(C$38,'FS (2011)'!$A$13:$AH$244,'FS (2011)'!$N$245,FALSE)+VLOOKUP(C$38,'FS (2011)'!$A$13:$AH$244,'FS (2011)'!$O$245,FALSE))/1000</f>
        <v>38.538794730689176</v>
      </c>
      <c r="D149" s="707">
        <f>(VLOOKUP(D$38,'FS (2011)'!$A$13:$AH$244,'FS (2011)'!$M$245,FALSE)+VLOOKUP(D$38,'FS (2011)'!$A$13:$AH$244,'FS (2011)'!$N$245,FALSE)+VLOOKUP(D$38,'FS (2011)'!$A$13:$AH$244,'FS (2011)'!$O$245,FALSE))/1000</f>
        <v>0</v>
      </c>
      <c r="E149" s="707">
        <f>(VLOOKUP(E$38,'FS (2011)'!$A$13:$AH$244,'FS (2011)'!$M$245,FALSE)+VLOOKUP(E$38,'FS (2011)'!$A$13:$AH$244,'FS (2011)'!$N$245,FALSE)+VLOOKUP(E$38,'FS (2011)'!$A$13:$AH$244,'FS (2011)'!$O$245,FALSE))/1000</f>
        <v>19.457718196761068</v>
      </c>
      <c r="F149" s="685">
        <f>(VLOOKUP(F$38,'FS (2011)'!$A$13:$AH$244,'FS (2011)'!$M$245,FALSE)+VLOOKUP(F$38,'FS (2011)'!$A$13:$AH$244,'FS (2011)'!$N$245,FALSE)+VLOOKUP(F$38,'FS (2011)'!$A$13:$AH$244,'FS (2011)'!$O$245,FALSE))/1000</f>
        <v>19.457718196761068</v>
      </c>
      <c r="P149" s="559"/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  <c r="AE149" s="559"/>
    </row>
    <row r="150" spans="2:31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20.050680391258656</v>
      </c>
      <c r="F150" s="686">
        <f>(VLOOKUP(F$38,'FS (2011)'!$A$13:$AH$244,'FS (2011)'!$L$245,FALSE)+VLOOKUP(F$38,'FS (2011)'!$A$13:$AH$244,'FS (2011)'!$K$245,FALSE))/1000</f>
        <v>20.050680391258656</v>
      </c>
      <c r="P150" s="559"/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  <c r="AE150" s="559"/>
    </row>
    <row r="151" spans="2:31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2.1517803346716606</v>
      </c>
      <c r="F151" s="686">
        <f>(VLOOKUP(F$38,'FS (2011)'!$A$13:$AH$244,'FS (2011)'!$R$245,FALSE)+VLOOKUP(F$38,'FS (2011)'!$A$13:$AH$244,'FS (2011)'!$P$245,FALSE)+VLOOKUP(F$38,'FS (2011)'!$A$13:$AH$244,'FS (2011)'!$Q$245,FALSE))/1000</f>
        <v>2.1517803346716606</v>
      </c>
      <c r="P151" s="559"/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  <c r="AE151" s="559"/>
    </row>
    <row r="152" spans="2:31">
      <c r="B152" s="485" t="s">
        <v>268</v>
      </c>
      <c r="C152" s="458">
        <f>VLOOKUP($C$38,'FS (2011)'!$A$13:$AH$244,'FS (2011)'!$S$245,FALSE)/1000</f>
        <v>38.538794730689176</v>
      </c>
      <c r="D152" s="458">
        <f>VLOOKUP($D$38,'FS (2011)'!$A$13:$AH$244,'FS (2011)'!$S$245,FALSE)/1000</f>
        <v>39.215061019973902</v>
      </c>
      <c r="E152" s="459">
        <f>VLOOKUP($E$38,'FS (2011)'!$A$13:$AH$244,'FS (2011)'!$S$245,FALSE)/1000</f>
        <v>41.660178922691379</v>
      </c>
      <c r="F152" s="708">
        <f>VLOOKUP($E$38,'FS (2011)'!$A$13:$AH$244,'FS (2011)'!$S$245,FALSE)/1000</f>
        <v>41.660178922691379</v>
      </c>
      <c r="P152" s="559"/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  <c r="AE152" s="559"/>
    </row>
    <row r="153" spans="2:31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P153" s="559"/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  <c r="AE153" s="559"/>
    </row>
    <row r="154" spans="2:31">
      <c r="B154" s="175" t="s">
        <v>265</v>
      </c>
      <c r="C154" s="463">
        <f>IFERROR(EXP(SLOPE(S154:V154,$C$148:$F$148))-1,(IFERROR(EXP(SLOPE(T154:V154,$D$148:$F$148))-1,F154)))</f>
        <v>0</v>
      </c>
      <c r="D154" s="464"/>
      <c r="E154" s="464" t="str">
        <f t="shared" ref="D154:E157" si="14">IF(ISERROR(E149/D149 - 1),"",(E149/D149 - 1))</f>
        <v/>
      </c>
      <c r="F154" s="465"/>
      <c r="P154" s="559"/>
      <c r="Q154" s="559"/>
      <c r="R154" s="559"/>
      <c r="S154" s="559"/>
      <c r="T154" s="559"/>
      <c r="U154" s="559"/>
      <c r="V154" s="559"/>
      <c r="W154" s="559"/>
      <c r="X154" s="559"/>
      <c r="Y154" s="559"/>
      <c r="Z154" s="559"/>
      <c r="AA154" s="559"/>
      <c r="AB154" s="559"/>
      <c r="AC154" s="559"/>
      <c r="AD154" s="559"/>
      <c r="AE154" s="559"/>
    </row>
    <row r="155" spans="2:31">
      <c r="B155" s="177" t="s">
        <v>266</v>
      </c>
      <c r="C155" s="466">
        <f t="shared" ref="C155:C156" si="15">IFERROR(EXP(SLOPE(S155:V155,$C$148:$F$148))-1,(IFERROR(EXP(SLOPE(T155:V155,$D$148:$F$148))-1,F155)))</f>
        <v>0</v>
      </c>
      <c r="D155" s="467" t="str">
        <f t="shared" si="14"/>
        <v/>
      </c>
      <c r="E155" s="467" t="str">
        <f t="shared" si="14"/>
        <v/>
      </c>
      <c r="F155" s="468"/>
      <c r="P155" s="559"/>
      <c r="Q155" s="559"/>
      <c r="R155" s="559"/>
      <c r="S155" s="559"/>
      <c r="T155" s="559"/>
      <c r="U155" s="559"/>
      <c r="V155" s="559"/>
      <c r="W155" s="559"/>
      <c r="X155" s="559"/>
      <c r="Y155" s="559"/>
      <c r="Z155" s="559"/>
      <c r="AA155" s="559"/>
      <c r="AB155" s="559"/>
      <c r="AC155" s="559"/>
      <c r="AD155" s="559"/>
      <c r="AE155" s="559"/>
    </row>
    <row r="156" spans="2:31">
      <c r="B156" s="179" t="s">
        <v>267</v>
      </c>
      <c r="C156" s="466">
        <f t="shared" si="15"/>
        <v>0</v>
      </c>
      <c r="D156" s="467" t="str">
        <f t="shared" si="14"/>
        <v/>
      </c>
      <c r="E156" s="467" t="str">
        <f t="shared" si="14"/>
        <v/>
      </c>
      <c r="F156" s="468"/>
      <c r="P156" s="559"/>
      <c r="Q156" s="559"/>
      <c r="R156" s="559"/>
      <c r="S156" s="559"/>
      <c r="T156" s="559"/>
      <c r="U156" s="559"/>
      <c r="V156" s="559"/>
      <c r="W156" s="559"/>
      <c r="X156" s="559"/>
      <c r="Y156" s="559"/>
      <c r="Z156" s="559"/>
      <c r="AA156" s="559"/>
      <c r="AB156" s="559"/>
      <c r="AC156" s="559"/>
      <c r="AD156" s="559"/>
      <c r="AE156" s="559"/>
    </row>
    <row r="157" spans="2:31">
      <c r="B157" s="180" t="s">
        <v>268</v>
      </c>
      <c r="C157" s="469">
        <f>EXP(SLOPE(S157:U157,$C$148:$E$148))-1</f>
        <v>3.9708276751594607E-2</v>
      </c>
      <c r="D157" s="470">
        <f t="shared" si="14"/>
        <v>1.7547676153613745E-2</v>
      </c>
      <c r="E157" s="470">
        <f t="shared" si="14"/>
        <v>6.2351500651040004E-2</v>
      </c>
      <c r="F157" s="471"/>
      <c r="N157" s="136"/>
      <c r="O157" s="136"/>
      <c r="P157" s="559"/>
      <c r="Q157" s="559"/>
      <c r="R157" s="559" t="s">
        <v>423</v>
      </c>
      <c r="S157" s="559">
        <f>LN(C152)</f>
        <v>3.6516653892924595</v>
      </c>
      <c r="T157" s="559">
        <f>LN(D152)</f>
        <v>3.6690608826999842</v>
      </c>
      <c r="U157" s="559">
        <f>LN(E152)</f>
        <v>3.7295457306553694</v>
      </c>
      <c r="V157" s="559">
        <f>LN(F152)</f>
        <v>3.7295457306553694</v>
      </c>
      <c r="W157" s="559"/>
      <c r="X157" s="559"/>
      <c r="Y157" s="559"/>
      <c r="Z157" s="559"/>
      <c r="AA157" s="559"/>
      <c r="AB157" s="559"/>
      <c r="AC157" s="559"/>
      <c r="AD157" s="559"/>
      <c r="AE157" s="559"/>
    </row>
    <row r="158" spans="2:31">
      <c r="P158" s="559"/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  <c r="AE158" s="559"/>
    </row>
    <row r="159" spans="2:31">
      <c r="P159" s="559"/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  <c r="AE159" s="559"/>
    </row>
    <row r="160" spans="2:31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P160" s="559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  <c r="AE160" s="559"/>
    </row>
    <row r="161" spans="2:31">
      <c r="B161" s="479" t="s">
        <v>271</v>
      </c>
      <c r="C161" s="709"/>
      <c r="D161" s="709"/>
      <c r="E161" s="709"/>
      <c r="F161" s="481"/>
      <c r="G161" s="186"/>
      <c r="P161" s="559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  <c r="AE161" s="559"/>
    </row>
    <row r="162" spans="2:31">
      <c r="B162" s="177" t="str">
        <f>$B$2</f>
        <v>Orion</v>
      </c>
      <c r="C162" s="456">
        <f>(C152/C102)*1000000</f>
        <v>207.16552113213086</v>
      </c>
      <c r="D162" s="456">
        <f>(D152/D102)*1000000</f>
        <v>206.08484607366753</v>
      </c>
      <c r="E162" s="456">
        <f>(E152/E102)*1000000</f>
        <v>216.77799823441364</v>
      </c>
      <c r="F162" s="686">
        <f>(F152/F102)*1000000</f>
        <v>216.77799823441364</v>
      </c>
      <c r="G162" s="181"/>
      <c r="P162" s="559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  <c r="AE162" s="559"/>
    </row>
    <row r="163" spans="2:31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P163" s="559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  <c r="AE163" s="559"/>
    </row>
    <row r="164" spans="2:31">
      <c r="B164" s="187" t="s">
        <v>273</v>
      </c>
      <c r="C164" s="456"/>
      <c r="D164" s="456"/>
      <c r="E164" s="456"/>
      <c r="F164" s="457"/>
      <c r="G164" s="186"/>
      <c r="P164" s="559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  <c r="AE164" s="559"/>
    </row>
    <row r="165" spans="2:31">
      <c r="B165" s="177" t="str">
        <f>$B$2</f>
        <v>Orion</v>
      </c>
      <c r="C165" s="456">
        <f>C152/VLOOKUP(C$38,'MP (2011)'!$A$14:$AR$245,'MP (2011)'!$H$246,FALSE)*1000000</f>
        <v>3655.045023775529</v>
      </c>
      <c r="D165" s="456">
        <f>D152/VLOOKUP(D$38,'MP (2011)'!$A$14:$AR$245,'MP (2011)'!$H$246,FALSE)*1000000</f>
        <v>3688.0523859657578</v>
      </c>
      <c r="E165" s="456">
        <f>E152/VLOOKUP(E$38,'MP (2011)'!$A$14:$AR$245,'MP (2011)'!$H$246,FALSE)*1000000</f>
        <v>3890.7475062051253</v>
      </c>
      <c r="F165" s="686">
        <f>F152/VLOOKUP(F$38,'MP (2011)'!$A$14:$AR$245,'MP (2011)'!$H$246,FALSE)*1000000</f>
        <v>3890.7475062051253</v>
      </c>
      <c r="G165" s="181"/>
      <c r="P165" s="559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  <c r="AE165" s="559"/>
    </row>
    <row r="166" spans="2:31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P166" s="559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  <c r="AE166" s="559"/>
    </row>
    <row r="167" spans="2:31">
      <c r="B167" s="188" t="s">
        <v>274</v>
      </c>
      <c r="C167" s="456"/>
      <c r="D167" s="456"/>
      <c r="E167" s="456"/>
      <c r="F167" s="457"/>
      <c r="G167" s="191"/>
      <c r="P167" s="559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  <c r="AE167" s="559"/>
    </row>
    <row r="168" spans="2:31">
      <c r="B168" s="177" t="str">
        <f>$B$2</f>
        <v>Orion</v>
      </c>
      <c r="C168" s="456">
        <f>(C152/C117)*1000000</f>
        <v>12.21192540070221</v>
      </c>
      <c r="D168" s="456">
        <f>(D152/D117)*1000000</f>
        <v>12.018246443260098</v>
      </c>
      <c r="E168" s="456">
        <f>(E152/E117)*1000000</f>
        <v>12.707744163245122</v>
      </c>
      <c r="F168" s="686">
        <f>(F152/F117)*1000000</f>
        <v>12.707744163245122</v>
      </c>
      <c r="G168" s="181"/>
      <c r="P168" s="559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  <c r="AE168" s="559"/>
    </row>
    <row r="169" spans="2:31">
      <c r="B169" s="482" t="s">
        <v>272</v>
      </c>
      <c r="C169" s="458">
        <f>'Industry calcs'!C18</f>
        <v>14.04416610225651</v>
      </c>
      <c r="D169" s="458">
        <f>'Industry calcs'!D18</f>
        <v>14.476892649765206</v>
      </c>
      <c r="E169" s="458">
        <f>'Industry calcs'!E18</f>
        <v>14.463353009176652</v>
      </c>
      <c r="F169" s="658">
        <f>'Industry calcs'!F18</f>
        <v>14.671077200122745</v>
      </c>
      <c r="G169" s="181"/>
      <c r="P169" s="559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  <c r="AE169" s="559"/>
    </row>
    <row r="170" spans="2:31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P170" s="559"/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  <c r="AE170" s="559"/>
    </row>
    <row r="171" spans="2:31">
      <c r="B171" s="175" t="s">
        <v>271</v>
      </c>
      <c r="C171" s="463">
        <f>IFERROR(EXP(SLOPE(S171:U171,$C$195:$E$195))-1,(IFERROR(EXP(SLOPE(T171:U171,$D$195:$E$195))-1,F171)))</f>
        <v>2.293694094070009E-2</v>
      </c>
      <c r="D171" s="464">
        <f>IF(ISERROR(D162/C162 - 1),"",(D162/C162 - 1))</f>
        <v>-5.2164812588387788E-3</v>
      </c>
      <c r="E171" s="464">
        <f>IF(ISERROR(E162/D162 - 1),"",(E162/D162 - 1))</f>
        <v>5.188713466551409E-2</v>
      </c>
      <c r="F171" s="465"/>
      <c r="H171" s="139"/>
      <c r="P171" s="559"/>
      <c r="Q171" s="559"/>
      <c r="R171" s="559" t="s">
        <v>423</v>
      </c>
      <c r="S171" s="559">
        <f>LN(C162)</f>
        <v>5.333518092736222</v>
      </c>
      <c r="T171" s="559">
        <f>LN(D162)</f>
        <v>5.328287958136726</v>
      </c>
      <c r="U171" s="559">
        <f>LN(E162)</f>
        <v>5.3788737802570168</v>
      </c>
      <c r="V171" s="559">
        <f>LN(F162)</f>
        <v>5.3788737802570168</v>
      </c>
      <c r="W171" s="559"/>
      <c r="X171" s="559"/>
      <c r="Y171" s="559"/>
      <c r="Z171" s="559"/>
      <c r="AA171" s="559"/>
      <c r="AB171" s="559"/>
      <c r="AC171" s="559"/>
      <c r="AD171" s="559"/>
      <c r="AE171" s="559"/>
    </row>
    <row r="172" spans="2:31">
      <c r="B172" s="177" t="s">
        <v>273</v>
      </c>
      <c r="C172" s="466">
        <f>IFERROR(EXP(SLOPE(S172:U172,$C$195:$E$195))-1,(IFERROR(EXP(SLOPE(T172:U172,$D$195:$E$195))-1,F172)))</f>
        <v>3.1739738943675766E-2</v>
      </c>
      <c r="D172" s="467">
        <f>IF(ISERROR(D165/C165 - 1),"",(D165/C165 - 1))</f>
        <v>9.0306308063294871E-3</v>
      </c>
      <c r="E172" s="467">
        <f>IF(ISERROR(E165/D165 - 1),"",(E165/D165 - 1))</f>
        <v>5.4959935225076695E-2</v>
      </c>
      <c r="F172" s="468"/>
      <c r="P172" s="559"/>
      <c r="Q172" s="559"/>
      <c r="R172" s="559" t="s">
        <v>423</v>
      </c>
      <c r="S172" s="559">
        <f>LN(C165)</f>
        <v>8.2038636905144458</v>
      </c>
      <c r="T172" s="559">
        <f>LN(D165)</f>
        <v>8.2128537890131721</v>
      </c>
      <c r="U172" s="559">
        <f>LN(E165)</f>
        <v>8.2663565791301181</v>
      </c>
      <c r="V172" s="559">
        <f>LN(F165)</f>
        <v>8.2663565791301181</v>
      </c>
      <c r="W172" s="559"/>
      <c r="X172" s="559"/>
      <c r="Y172" s="559"/>
      <c r="Z172" s="559"/>
      <c r="AA172" s="559"/>
      <c r="AB172" s="559"/>
      <c r="AC172" s="559"/>
      <c r="AD172" s="559"/>
      <c r="AE172" s="559"/>
    </row>
    <row r="173" spans="2:31">
      <c r="B173" s="194" t="s">
        <v>274</v>
      </c>
      <c r="C173" s="469">
        <f>IFERROR(EXP(SLOPE(S173:U173,$C$195:$E$195))-1,(IFERROR(EXP(SLOPE(T173:U173,$D$195:$E$195))-1,F173)))</f>
        <v>2.0098620153048641E-2</v>
      </c>
      <c r="D173" s="470">
        <f>IF(ISERROR(D168/C168 - 1),"",(D168/C168 - 1))</f>
        <v>-1.5859821534037088E-2</v>
      </c>
      <c r="E173" s="470">
        <f>IF(ISERROR(E168/D168 - 1),"",(E168/D168 - 1))</f>
        <v>5.7370908746150473E-2</v>
      </c>
      <c r="F173" s="471"/>
      <c r="P173" s="559"/>
      <c r="Q173" s="559"/>
      <c r="R173" s="559" t="s">
        <v>423</v>
      </c>
      <c r="S173" s="559">
        <f>LN(C168)</f>
        <v>2.5024129661659789</v>
      </c>
      <c r="T173" s="559">
        <f>LN(D168)</f>
        <v>2.4864260318805602</v>
      </c>
      <c r="U173" s="559">
        <f>LN(E168)</f>
        <v>2.5422115842597912</v>
      </c>
      <c r="V173" s="559">
        <f>LN(F168)</f>
        <v>2.5422115842597912</v>
      </c>
      <c r="W173" s="559"/>
      <c r="X173" s="559"/>
      <c r="Y173" s="559"/>
      <c r="Z173" s="559"/>
      <c r="AA173" s="559"/>
      <c r="AB173" s="559"/>
      <c r="AC173" s="559"/>
      <c r="AD173" s="559"/>
      <c r="AE173" s="559"/>
    </row>
    <row r="174" spans="2:31">
      <c r="P174" s="559"/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  <c r="AE174" s="559"/>
    </row>
    <row r="175" spans="2:31">
      <c r="P175" s="559"/>
      <c r="Q175" s="559"/>
      <c r="R175" s="559"/>
      <c r="S175" s="559"/>
      <c r="T175" s="559"/>
      <c r="U175" s="559"/>
      <c r="V175" s="560" t="str">
        <f>$B$2</f>
        <v>Orion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  <c r="AE175" s="559"/>
    </row>
    <row r="176" spans="2:31">
      <c r="B176" s="517" t="s">
        <v>276</v>
      </c>
      <c r="C176" s="510"/>
      <c r="D176" s="510"/>
      <c r="E176" s="510"/>
      <c r="F176" s="510"/>
      <c r="G176" s="510"/>
      <c r="H176" s="510"/>
      <c r="I176" s="511"/>
      <c r="P176" s="559"/>
      <c r="Q176" s="559"/>
      <c r="R176" s="559"/>
      <c r="S176" s="559"/>
      <c r="T176" s="559"/>
      <c r="U176" s="559"/>
      <c r="V176" s="562" t="s">
        <v>280</v>
      </c>
      <c r="W176" s="563">
        <f>C178</f>
        <v>19457.718196761067</v>
      </c>
      <c r="X176" s="563">
        <f>D178</f>
        <v>19457.718196761067</v>
      </c>
      <c r="Y176" s="564"/>
      <c r="Z176" s="564"/>
      <c r="AA176" s="564"/>
      <c r="AB176" s="564"/>
      <c r="AC176" s="564"/>
      <c r="AD176" s="559"/>
      <c r="AE176" s="559"/>
    </row>
    <row r="177" spans="1:31" s="103" customFormat="1">
      <c r="B177" s="478" t="str">
        <f>$B$2</f>
        <v>Orion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P177" s="561"/>
      <c r="Q177" s="561"/>
      <c r="R177" s="561"/>
      <c r="S177" s="561"/>
      <c r="T177" s="561"/>
      <c r="U177" s="561"/>
      <c r="V177" s="565" t="s">
        <v>277</v>
      </c>
      <c r="W177" s="563">
        <f t="shared" ref="W177:AA178" si="16">C179</f>
        <v>23816.29597693406</v>
      </c>
      <c r="X177" s="563">
        <f t="shared" si="16"/>
        <v>25528.958260354069</v>
      </c>
      <c r="Y177" s="563">
        <f t="shared" si="16"/>
        <v>25618.615774298723</v>
      </c>
      <c r="Z177" s="563">
        <f t="shared" si="16"/>
        <v>25530.995931125537</v>
      </c>
      <c r="AA177" s="563">
        <f t="shared" si="16"/>
        <v>23902.896984721508</v>
      </c>
      <c r="AB177" s="564"/>
      <c r="AC177" s="564"/>
      <c r="AD177" s="561"/>
      <c r="AE177" s="561"/>
    </row>
    <row r="178" spans="1:31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19457.718196761067</v>
      </c>
      <c r="D178" s="684">
        <f>C178</f>
        <v>19457.718196761067</v>
      </c>
      <c r="E178" s="461"/>
      <c r="F178" s="461"/>
      <c r="G178" s="461"/>
      <c r="H178" s="461"/>
      <c r="I178" s="462"/>
      <c r="P178" s="559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6"/>
        <v>25781</v>
      </c>
      <c r="Y178" s="563">
        <f t="shared" si="16"/>
        <v>27249</v>
      </c>
      <c r="Z178" s="563">
        <f t="shared" si="16"/>
        <v>27470</v>
      </c>
      <c r="AA178" s="563">
        <f t="shared" si="16"/>
        <v>27389</v>
      </c>
      <c r="AB178" s="563">
        <f>H180</f>
        <v>27370</v>
      </c>
      <c r="AC178" s="564"/>
      <c r="AD178" s="559"/>
      <c r="AE178" s="559"/>
    </row>
    <row r="179" spans="1:31">
      <c r="B179" s="199" t="s">
        <v>277</v>
      </c>
      <c r="C179" s="461">
        <f>VLOOKUP(C182,'AM (2011)'!$A$10:$N$444,'AM (2011)'!$N$445,FALSE)</f>
        <v>23816.29597693406</v>
      </c>
      <c r="D179" s="461">
        <f>VLOOKUP(D182,'AM (2011)'!$A$10:$N$444,'AM (2011)'!$N$445,FALSE)</f>
        <v>25528.958260354069</v>
      </c>
      <c r="E179" s="461">
        <f>VLOOKUP(E182,'AM (2011)'!$A$10:$N$444,'AM (2011)'!$N$445,FALSE)</f>
        <v>25618.615774298723</v>
      </c>
      <c r="F179" s="461">
        <f>VLOOKUP(F182,'AM (2011)'!$A$10:$N$444,'AM (2011)'!$N$445,FALSE)</f>
        <v>25530.995931125537</v>
      </c>
      <c r="G179" s="461">
        <f>VLOOKUP(G182,'AM (2011)'!$A$10:$N$444,'AM (2011)'!$N$445,FALSE)</f>
        <v>23902.896984721508</v>
      </c>
      <c r="H179" s="461"/>
      <c r="I179" s="462"/>
      <c r="P179" s="559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0</v>
      </c>
      <c r="Z179" s="563">
        <f>F181</f>
        <v>0</v>
      </c>
      <c r="AA179" s="563">
        <f>G181</f>
        <v>0</v>
      </c>
      <c r="AB179" s="563">
        <f>H181</f>
        <v>0</v>
      </c>
      <c r="AC179" s="563">
        <f>I181</f>
        <v>0</v>
      </c>
      <c r="AD179" s="559"/>
      <c r="AE179" s="559"/>
    </row>
    <row r="180" spans="1:31">
      <c r="B180" s="199" t="s">
        <v>278</v>
      </c>
      <c r="C180" s="461"/>
      <c r="D180" s="461">
        <f>VLOOKUP(D183,'AM (2011)'!$A$10:$N$444,'AM (2011)'!$N$445,FALSE)</f>
        <v>25781</v>
      </c>
      <c r="E180" s="461">
        <f>VLOOKUP(E183,'AM (2011)'!$A$10:$N$444,'AM (2011)'!$N$445,FALSE)</f>
        <v>27249</v>
      </c>
      <c r="F180" s="461">
        <f>VLOOKUP(F183,'AM (2011)'!$A$10:$N$444,'AM (2011)'!$N$445,FALSE)</f>
        <v>27470</v>
      </c>
      <c r="G180" s="461">
        <f>VLOOKUP(G183,'AM (2011)'!$A$10:$N$444,'AM (2011)'!$N$445,FALSE)</f>
        <v>27389</v>
      </c>
      <c r="H180" s="461">
        <f>VLOOKUP(H183,'AM (2011)'!$A$10:$N$444,'AM (2011)'!$N$445,FALSE)</f>
        <v>27370</v>
      </c>
      <c r="I180" s="462"/>
      <c r="P180" s="559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  <c r="AE180" s="559"/>
    </row>
    <row r="181" spans="1:31">
      <c r="B181" s="477" t="s">
        <v>279</v>
      </c>
      <c r="C181" s="493"/>
      <c r="D181" s="493"/>
      <c r="E181" s="493">
        <f>VLOOKUP(E184,'AM (2011)'!$A$10:$N$444,'AM (2011)'!$N$445,FALSE)</f>
        <v>0</v>
      </c>
      <c r="F181" s="493">
        <f>VLOOKUP(F184,'AM (2011)'!$A$10:$N$444,'AM (2011)'!$N$445,FALSE)</f>
        <v>0</v>
      </c>
      <c r="G181" s="493">
        <f>VLOOKUP(G184,'AM (2011)'!$A$10:$N$444,'AM (2011)'!$N$445,FALSE)</f>
        <v>0</v>
      </c>
      <c r="H181" s="493">
        <f>VLOOKUP(H184,'AM (2011)'!$A$10:$N$444,'AM (2011)'!$N$445,FALSE)</f>
        <v>0</v>
      </c>
      <c r="I181" s="494">
        <f>VLOOKUP(I184,'AM (2011)'!$A$10:$N$444,'AM (2011)'!$N$445,FALSE)</f>
        <v>0</v>
      </c>
      <c r="P181" s="559"/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  <c r="AE181" s="559"/>
    </row>
    <row r="182" spans="1:31">
      <c r="C182" s="136">
        <f>VLOOKUP($B$2,$B$257:$Y$286,10,FALSE)</f>
        <v>377</v>
      </c>
      <c r="D182" s="136">
        <f>VLOOKUP($B$2,$B$257:$Y$286,11,FALSE)</f>
        <v>378</v>
      </c>
      <c r="E182" s="136">
        <f>VLOOKUP($B$2,$B$257:$Y$286,12,FALSE)</f>
        <v>379</v>
      </c>
      <c r="F182" s="136">
        <f>VLOOKUP($B$2,$B$257:$Y$286,13,FALSE)</f>
        <v>380</v>
      </c>
      <c r="G182" s="136">
        <f>VLOOKUP($B$2,$B$257:$Y$286,14,FALSE)</f>
        <v>381</v>
      </c>
      <c r="H182" s="136"/>
      <c r="I182" s="136"/>
      <c r="P182" s="559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  <c r="AE182" s="559"/>
    </row>
    <row r="183" spans="1:31">
      <c r="C183" s="136"/>
      <c r="D183" s="136">
        <f>VLOOKUP($B$2,$B$257:$Y$286,15,FALSE)</f>
        <v>382</v>
      </c>
      <c r="E183" s="136">
        <f>VLOOKUP($B$2,$B$257:$Y$286,16,FALSE)</f>
        <v>383</v>
      </c>
      <c r="F183" s="136">
        <f>VLOOKUP($B$2,$B$257:$Y$286,17,FALSE)</f>
        <v>384</v>
      </c>
      <c r="G183" s="136">
        <f>VLOOKUP($B$2,$B$257:$Y$286,18,FALSE)</f>
        <v>385</v>
      </c>
      <c r="H183" s="136">
        <f>VLOOKUP($B$2,$B$257:$Y$286,19,FALSE)</f>
        <v>386</v>
      </c>
      <c r="I183" s="136"/>
      <c r="P183" s="559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  <c r="AE183" s="559"/>
    </row>
    <row r="184" spans="1:31">
      <c r="C184" s="136"/>
      <c r="E184" s="136">
        <f>VLOOKUP($B$2,$B$257:$Y$286,20,FALSE)</f>
        <v>387</v>
      </c>
      <c r="F184" s="136">
        <f>VLOOKUP($B$2,$B$257:$Y$286,21,FALSE)</f>
        <v>388</v>
      </c>
      <c r="G184" s="136">
        <f>VLOOKUP($B$2,$B$257:$Y$286,22,FALSE)</f>
        <v>389</v>
      </c>
      <c r="H184" s="136">
        <f>VLOOKUP($B$2,$B$257:$Y$286,23,FALSE)</f>
        <v>390</v>
      </c>
      <c r="I184" s="136">
        <f>VLOOKUP($B$2,$B$257:$Y$286,24,FALSE)</f>
        <v>391</v>
      </c>
      <c r="P184" s="559"/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  <c r="AE184" s="559"/>
    </row>
    <row r="185" spans="1:31">
      <c r="B185" s="517" t="s">
        <v>501</v>
      </c>
      <c r="C185" s="510"/>
      <c r="D185" s="520" t="s">
        <v>166</v>
      </c>
      <c r="E185" s="521" t="s">
        <v>165</v>
      </c>
      <c r="P185" s="559"/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  <c r="AE185" s="559"/>
    </row>
    <row r="186" spans="1:31">
      <c r="A186" s="102">
        <f t="shared" ref="A186:A191" si="17">RANK(D186,$D$186:$D$191)</f>
        <v>1</v>
      </c>
      <c r="B186" s="483" t="s">
        <v>205</v>
      </c>
      <c r="C186" s="490"/>
      <c r="D186" s="484">
        <f>VLOOKUP($D$6,'FS (2011)'!$A$13:$AH$244,'FS (2011)'!AC245,FALSE)/1000</f>
        <v>13.807257147476488</v>
      </c>
      <c r="E186" s="495">
        <f t="shared" ref="E186:E191" si="18">D186/$D$192</f>
        <v>0.32156416097190593</v>
      </c>
      <c r="P186" s="559"/>
      <c r="Q186" s="559"/>
      <c r="R186" s="559"/>
      <c r="S186" s="559"/>
      <c r="T186" s="559">
        <v>1</v>
      </c>
      <c r="U186" s="559" t="str">
        <f t="shared" ref="U186:U191" si="19">VLOOKUP(T186,$A$186:$D$191,2,FALSE)</f>
        <v>System growth</v>
      </c>
      <c r="V186" s="559">
        <f t="shared" ref="V186:V191" si="20">VLOOKUP(T186,$A$186:$D$191,4,FALSE)</f>
        <v>13.807257147476488</v>
      </c>
      <c r="W186" s="559"/>
      <c r="X186" s="559"/>
      <c r="Y186" s="559"/>
      <c r="Z186" s="559"/>
      <c r="AA186" s="559"/>
      <c r="AB186" s="559"/>
      <c r="AC186" s="559"/>
      <c r="AD186" s="559"/>
      <c r="AE186" s="559"/>
    </row>
    <row r="187" spans="1:31">
      <c r="A187" s="102">
        <f t="shared" si="17"/>
        <v>5</v>
      </c>
      <c r="B187" s="162" t="s">
        <v>206</v>
      </c>
      <c r="C187" s="121"/>
      <c r="D187" s="456">
        <f>VLOOKUP($D$6,'FS (2011)'!$A$13:$AH$244,'FS (2011)'!AD245,FALSE)/1000</f>
        <v>3.0116774002317368</v>
      </c>
      <c r="E187" s="468">
        <f t="shared" si="18"/>
        <v>7.0140470766894475E-2</v>
      </c>
      <c r="P187" s="559"/>
      <c r="Q187" s="559"/>
      <c r="R187" s="559"/>
      <c r="S187" s="559"/>
      <c r="T187" s="559">
        <v>2</v>
      </c>
      <c r="U187" s="559" t="str">
        <f t="shared" si="19"/>
        <v>Asset replacement and renewal</v>
      </c>
      <c r="V187" s="559">
        <f t="shared" si="20"/>
        <v>12.552051952251352</v>
      </c>
      <c r="W187" s="559"/>
      <c r="X187" s="559"/>
      <c r="Y187" s="559"/>
      <c r="Z187" s="559"/>
      <c r="AA187" s="559"/>
      <c r="AB187" s="559"/>
      <c r="AC187" s="559"/>
      <c r="AD187" s="559"/>
      <c r="AE187" s="559"/>
    </row>
    <row r="188" spans="1:31">
      <c r="A188" s="102">
        <f t="shared" si="17"/>
        <v>4</v>
      </c>
      <c r="B188" s="162" t="s">
        <v>209</v>
      </c>
      <c r="C188" s="121"/>
      <c r="D188" s="456">
        <f>VLOOKUP($D$6,'FS (2011)'!$A$13:$AH$244,'FS (2011)'!AB245,FALSE)/1000</f>
        <v>5.1848532780038257</v>
      </c>
      <c r="E188" s="468">
        <f t="shared" si="18"/>
        <v>0.12075265755504938</v>
      </c>
      <c r="P188" s="559"/>
      <c r="Q188" s="559"/>
      <c r="R188" s="559"/>
      <c r="S188" s="559"/>
      <c r="T188" s="559">
        <v>3</v>
      </c>
      <c r="U188" s="559" t="str">
        <f t="shared" si="19"/>
        <v>Non-network capex</v>
      </c>
      <c r="V188" s="559">
        <f t="shared" si="20"/>
        <v>5.8053240279162504</v>
      </c>
      <c r="W188" s="559"/>
      <c r="X188" s="559"/>
      <c r="Y188" s="559"/>
      <c r="Z188" s="559"/>
      <c r="AA188" s="559"/>
      <c r="AB188" s="559"/>
      <c r="AC188" s="559"/>
      <c r="AD188" s="559"/>
      <c r="AE188" s="559"/>
    </row>
    <row r="189" spans="1:31">
      <c r="A189" s="102">
        <f t="shared" si="17"/>
        <v>2</v>
      </c>
      <c r="B189" s="162" t="s">
        <v>208</v>
      </c>
      <c r="C189" s="121"/>
      <c r="D189" s="456">
        <f>VLOOKUP($D$6,'FS (2011)'!$A$13:$AH$244,'FS (2011)'!AE245,FALSE)/1000</f>
        <v>12.552051952251352</v>
      </c>
      <c r="E189" s="468">
        <f t="shared" si="18"/>
        <v>0.29233105542900534</v>
      </c>
      <c r="P189" s="559"/>
      <c r="Q189" s="559"/>
      <c r="R189" s="559"/>
      <c r="S189" s="559"/>
      <c r="T189" s="559">
        <v>4</v>
      </c>
      <c r="U189" s="559" t="str">
        <f t="shared" si="19"/>
        <v>Customer connection</v>
      </c>
      <c r="V189" s="559">
        <f t="shared" si="20"/>
        <v>5.1848532780038257</v>
      </c>
      <c r="W189" s="559"/>
      <c r="X189" s="559"/>
      <c r="Y189" s="559"/>
      <c r="Z189" s="559"/>
      <c r="AA189" s="559"/>
      <c r="AB189" s="559"/>
      <c r="AC189" s="559"/>
      <c r="AD189" s="559"/>
      <c r="AE189" s="559"/>
    </row>
    <row r="190" spans="1:31">
      <c r="A190" s="102">
        <f t="shared" si="17"/>
        <v>3</v>
      </c>
      <c r="B190" s="162" t="s">
        <v>312</v>
      </c>
      <c r="C190" s="121"/>
      <c r="D190" s="456">
        <f>VLOOKUP($D$6,'FS (2011)'!$A$13:$AH$244,'FS (2011)'!AH245,FALSE)/1000</f>
        <v>5.8053240279162504</v>
      </c>
      <c r="E190" s="468">
        <f t="shared" si="18"/>
        <v>0.13520311313591499</v>
      </c>
      <c r="P190" s="559"/>
      <c r="Q190" s="559"/>
      <c r="R190" s="559"/>
      <c r="S190" s="559"/>
      <c r="T190" s="559">
        <v>5</v>
      </c>
      <c r="U190" s="559" t="str">
        <f t="shared" si="19"/>
        <v>Reliability, safety and environment</v>
      </c>
      <c r="V190" s="559">
        <f t="shared" si="20"/>
        <v>3.0116774002317368</v>
      </c>
      <c r="W190" s="559"/>
      <c r="X190" s="559"/>
      <c r="Y190" s="559"/>
      <c r="Z190" s="559"/>
      <c r="AA190" s="559"/>
      <c r="AB190" s="559"/>
      <c r="AC190" s="559"/>
      <c r="AD190" s="559"/>
      <c r="AE190" s="559"/>
    </row>
    <row r="191" spans="1:31">
      <c r="A191" s="102">
        <f t="shared" si="17"/>
        <v>6</v>
      </c>
      <c r="B191" s="162" t="s">
        <v>207</v>
      </c>
      <c r="C191" s="121"/>
      <c r="D191" s="456">
        <f>VLOOKUP($D$6,'FS (2011)'!$A$13:$AH$244,'FS (2011)'!AF245,FALSE)/1000</f>
        <v>2.5766346905230253</v>
      </c>
      <c r="E191" s="468">
        <f t="shared" si="18"/>
        <v>6.0008542141230081E-2</v>
      </c>
      <c r="P191" s="559"/>
      <c r="Q191" s="559"/>
      <c r="R191" s="559"/>
      <c r="S191" s="559"/>
      <c r="T191" s="559">
        <v>6</v>
      </c>
      <c r="U191" s="559" t="str">
        <f t="shared" si="19"/>
        <v>Asset relocations</v>
      </c>
      <c r="V191" s="559">
        <f t="shared" si="20"/>
        <v>2.5766346905230253</v>
      </c>
      <c r="W191" s="559"/>
      <c r="X191" s="559"/>
      <c r="Y191" s="559"/>
      <c r="Z191" s="559"/>
      <c r="AA191" s="559"/>
      <c r="AB191" s="559"/>
      <c r="AC191" s="559"/>
      <c r="AD191" s="559"/>
      <c r="AE191" s="559"/>
    </row>
    <row r="192" spans="1:31">
      <c r="B192" s="491" t="s">
        <v>262</v>
      </c>
      <c r="C192" s="492"/>
      <c r="D192" s="488">
        <f>SUM(D186:D191)</f>
        <v>42.937798496402671</v>
      </c>
      <c r="E192" s="496">
        <f>SUM(E186:E191)</f>
        <v>1.0000000000000004</v>
      </c>
      <c r="P192" s="559"/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  <c r="AE192" s="559"/>
    </row>
    <row r="193" spans="2:31">
      <c r="D193" s="174"/>
      <c r="P193" s="559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  <c r="AE193" s="559"/>
    </row>
    <row r="194" spans="2:31">
      <c r="P194" s="559"/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  <c r="AE194" s="559"/>
    </row>
    <row r="195" spans="2:31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P195" s="559"/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  <c r="AE195" s="559"/>
    </row>
    <row r="196" spans="2:31">
      <c r="B196" s="483" t="s">
        <v>282</v>
      </c>
      <c r="C196" s="484">
        <f>VLOOKUP($C$38,'FS (2011)'!$A$13:$AH$244,'FS (2011)'!$AG$245,FALSE)/1000</f>
        <v>36.3103646887742</v>
      </c>
      <c r="D196" s="484">
        <f>VLOOKUP($D$38,'FS (2011)'!$A$13:$AH$244,'FS (2011)'!$AG$245,FALSE)/1000</f>
        <v>35.774815567300422</v>
      </c>
      <c r="E196" s="484">
        <f>VLOOKUP($E$38,'FS (2011)'!$A$13:$AH$244,'FS (2011)'!$AG$245,FALSE)/1000</f>
        <v>37.132474468486429</v>
      </c>
      <c r="F196" s="685">
        <f>E196</f>
        <v>37.132474468486429</v>
      </c>
      <c r="P196" s="559"/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  <c r="AE196" s="559"/>
    </row>
    <row r="197" spans="2:31">
      <c r="B197" s="162" t="s">
        <v>283</v>
      </c>
      <c r="C197" s="456">
        <f>VLOOKUP($C$38,'FS (2011)'!$A$13:$AH$244,'FS (2011)'!$AH$245,FALSE)/1000</f>
        <v>2.809525248781044</v>
      </c>
      <c r="D197" s="456">
        <f>VLOOKUP($D$38,'FS (2011)'!$A$13:$AH$244,'FS (2011)'!$AH$245,FALSE)/1000</f>
        <v>3.0478456997734908</v>
      </c>
      <c r="E197" s="456">
        <f>VLOOKUP($E$38,'FS (2011)'!$A$13:$AH$244,'FS (2011)'!$AH$245,FALSE)/1000</f>
        <v>5.8053240279162504</v>
      </c>
      <c r="F197" s="686">
        <f>E197</f>
        <v>5.8053240279162504</v>
      </c>
      <c r="P197" s="559"/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  <c r="AE197" s="559"/>
    </row>
    <row r="198" spans="2:31">
      <c r="B198" s="487" t="s">
        <v>284</v>
      </c>
      <c r="C198" s="488">
        <f>SUM(C196:C197)</f>
        <v>39.119889937555243</v>
      </c>
      <c r="D198" s="488">
        <f>SUM(D196:D197)</f>
        <v>38.822661267073912</v>
      </c>
      <c r="E198" s="488">
        <f>SUM(E196:E197)</f>
        <v>42.937798496402678</v>
      </c>
      <c r="F198" s="687">
        <f>E198</f>
        <v>42.937798496402678</v>
      </c>
      <c r="P198" s="559"/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  <c r="AE198" s="559"/>
    </row>
    <row r="199" spans="2:31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P199" s="559"/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  <c r="AE199" s="559"/>
    </row>
    <row r="200" spans="2:31">
      <c r="B200" s="483" t="s">
        <v>282</v>
      </c>
      <c r="C200" s="497">
        <f t="shared" ref="C200:C202" si="21">IFERROR(EXP(SLOPE(S200:V200,$C$148:$F$148))-1,(IFERROR(EXP(SLOPE(T200:V200,$D$148:$F$148))-1,F200)))</f>
        <v>1.0496079397222191E-2</v>
      </c>
      <c r="D200" s="498">
        <f t="shared" ref="D200:E202" si="22">D196/C196 - 1</f>
        <v>-1.4749208003392744E-2</v>
      </c>
      <c r="E200" s="498">
        <f t="shared" si="22"/>
        <v>3.7950129991081161E-2</v>
      </c>
      <c r="F200" s="495"/>
      <c r="P200" s="559"/>
      <c r="Q200" s="559"/>
      <c r="R200" s="559" t="s">
        <v>423</v>
      </c>
      <c r="S200" s="559">
        <f t="shared" ref="S200:V202" si="23">LN(C196)</f>
        <v>3.5921032291316366</v>
      </c>
      <c r="T200" s="559">
        <f t="shared" si="23"/>
        <v>3.5772441700777349</v>
      </c>
      <c r="U200" s="559">
        <f t="shared" si="23"/>
        <v>3.6144919093426817</v>
      </c>
      <c r="V200" s="559">
        <f t="shared" si="23"/>
        <v>3.6144919093426817</v>
      </c>
      <c r="W200" s="559"/>
      <c r="X200" s="559"/>
      <c r="Y200" s="559"/>
      <c r="Z200" s="559"/>
      <c r="AA200" s="559"/>
      <c r="AB200" s="559"/>
      <c r="AC200" s="559"/>
      <c r="AD200" s="559"/>
      <c r="AE200" s="559"/>
    </row>
    <row r="201" spans="2:31">
      <c r="B201" s="162" t="s">
        <v>283</v>
      </c>
      <c r="C201" s="466">
        <f t="shared" si="21"/>
        <v>0.32599353487625948</v>
      </c>
      <c r="D201" s="467">
        <f t="shared" si="22"/>
        <v>8.4825879780167757E-2</v>
      </c>
      <c r="E201" s="467">
        <f t="shared" si="22"/>
        <v>0.90473029141458472</v>
      </c>
      <c r="F201" s="468"/>
      <c r="P201" s="559"/>
      <c r="Q201" s="559"/>
      <c r="R201" s="559" t="s">
        <v>423</v>
      </c>
      <c r="S201" s="559">
        <f t="shared" si="23"/>
        <v>1.0330155184601639</v>
      </c>
      <c r="T201" s="559">
        <f t="shared" si="23"/>
        <v>1.1144350131090965</v>
      </c>
      <c r="U201" s="559">
        <f t="shared" si="23"/>
        <v>1.758775432354535</v>
      </c>
      <c r="V201" s="559">
        <f t="shared" si="23"/>
        <v>1.758775432354535</v>
      </c>
      <c r="W201" s="559"/>
      <c r="X201" s="559"/>
      <c r="Y201" s="559"/>
      <c r="Z201" s="559"/>
      <c r="AA201" s="559"/>
      <c r="AB201" s="559"/>
      <c r="AC201" s="559"/>
      <c r="AD201" s="559"/>
      <c r="AE201" s="559"/>
    </row>
    <row r="202" spans="2:31">
      <c r="B202" s="485" t="s">
        <v>284</v>
      </c>
      <c r="C202" s="499">
        <f t="shared" si="21"/>
        <v>3.8742956359384184E-2</v>
      </c>
      <c r="D202" s="500">
        <f t="shared" si="22"/>
        <v>-7.5978912761712758E-3</v>
      </c>
      <c r="E202" s="500">
        <f t="shared" si="22"/>
        <v>0.10599832919797492</v>
      </c>
      <c r="F202" s="501"/>
      <c r="P202" s="559"/>
      <c r="Q202" s="559"/>
      <c r="R202" s="559" t="s">
        <v>423</v>
      </c>
      <c r="S202" s="559">
        <f t="shared" si="23"/>
        <v>3.666631031705482</v>
      </c>
      <c r="T202" s="559">
        <f t="shared" si="23"/>
        <v>3.659004129411596</v>
      </c>
      <c r="U202" s="559">
        <f t="shared" si="23"/>
        <v>3.759752521839689</v>
      </c>
      <c r="V202" s="559">
        <f t="shared" si="23"/>
        <v>3.759752521839689</v>
      </c>
      <c r="W202" s="559"/>
      <c r="X202" s="559"/>
      <c r="Y202" s="559"/>
      <c r="Z202" s="559"/>
      <c r="AA202" s="559"/>
      <c r="AB202" s="559"/>
      <c r="AC202" s="559"/>
      <c r="AD202" s="559"/>
      <c r="AE202" s="559"/>
    </row>
    <row r="203" spans="2:31">
      <c r="P203" s="559"/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  <c r="AE203" s="559"/>
    </row>
    <row r="204" spans="2:31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P204" s="559"/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  <c r="AE204" s="559"/>
    </row>
    <row r="205" spans="2:31">
      <c r="B205" s="479" t="s">
        <v>287</v>
      </c>
      <c r="C205" s="480"/>
      <c r="D205" s="480"/>
      <c r="E205" s="480"/>
      <c r="F205" s="481"/>
      <c r="P205" s="559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  <c r="AE205" s="559"/>
    </row>
    <row r="206" spans="2:31">
      <c r="B206" s="177" t="str">
        <f>B2</f>
        <v>Orion</v>
      </c>
      <c r="C206" s="456">
        <f>(C198/C102)*1000000</f>
        <v>210.2892018854869</v>
      </c>
      <c r="D206" s="456">
        <f>(D198/D102)*1000000</f>
        <v>204.02268830641199</v>
      </c>
      <c r="E206" s="456">
        <f>(E198/E102)*1000000</f>
        <v>223.42606890660625</v>
      </c>
      <c r="F206" s="686">
        <f>E206</f>
        <v>223.42606890660625</v>
      </c>
      <c r="P206" s="559"/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  <c r="AE206" s="559"/>
    </row>
    <row r="207" spans="2:31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P207" s="559"/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  <c r="AE207" s="559"/>
    </row>
    <row r="208" spans="2:31">
      <c r="B208" s="187" t="s">
        <v>362</v>
      </c>
      <c r="C208" s="456"/>
      <c r="D208" s="456"/>
      <c r="E208" s="456"/>
      <c r="F208" s="457"/>
      <c r="P208" s="559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  <c r="AE208" s="559"/>
    </row>
    <row r="209" spans="2:31">
      <c r="B209" s="177" t="str">
        <f>B2</f>
        <v>Orion</v>
      </c>
      <c r="C209" s="456">
        <f>(C198/C117)*1000000000</f>
        <v>12396.05911236972</v>
      </c>
      <c r="D209" s="456">
        <f>(D198/D117)*1000000000</f>
        <v>11897.987624021633</v>
      </c>
      <c r="E209" s="456">
        <f>(E198/E117)*1000000000</f>
        <v>13097.46074873569</v>
      </c>
      <c r="F209" s="686">
        <f>E209</f>
        <v>13097.46074873569</v>
      </c>
      <c r="P209" s="559"/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  <c r="AE209" s="559"/>
    </row>
    <row r="210" spans="2:31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P210" s="559"/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  <c r="AE210" s="559"/>
    </row>
    <row r="211" spans="2:31">
      <c r="B211" s="188" t="s">
        <v>289</v>
      </c>
      <c r="C211" s="456"/>
      <c r="D211" s="456"/>
      <c r="E211" s="456"/>
      <c r="F211" s="457"/>
      <c r="I211" s="135"/>
      <c r="J211" s="135"/>
      <c r="P211" s="559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  <c r="AE211" s="559"/>
    </row>
    <row r="212" spans="2:31">
      <c r="B212" s="177" t="str">
        <f>B2</f>
        <v>Orion</v>
      </c>
      <c r="C212" s="456">
        <f>(C198/VLOOKUP(C$38,'AV (2011)'!$A$11:$F$213,'AV (2011)'!$F$214,FALSE)*1000)</f>
        <v>5.0276928386441613E-2</v>
      </c>
      <c r="D212" s="456">
        <f>(D198/VLOOKUP(D$38,'AV (2011)'!$A$11:$F$213,'AV (2011)'!$F$214,FALSE)*1000)</f>
        <v>4.9403470073951704E-2</v>
      </c>
      <c r="E212" s="456">
        <f>(E198/VLOOKUP(E$38,'AV (2011)'!$A$11:$F$213,'AV (2011)'!$F$214,FALSE)*1000)</f>
        <v>5.3955653967837004E-2</v>
      </c>
      <c r="F212" s="686">
        <f>E212</f>
        <v>5.3955653967837004E-2</v>
      </c>
      <c r="J212" s="135"/>
      <c r="P212" s="559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  <c r="AE212" s="559"/>
    </row>
    <row r="213" spans="2:31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P213" s="559"/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  <c r="AE213" s="559"/>
    </row>
    <row r="214" spans="2:31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P214" s="559"/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  <c r="AE214" s="559"/>
    </row>
    <row r="215" spans="2:31">
      <c r="B215" s="175" t="s">
        <v>287</v>
      </c>
      <c r="C215" s="463">
        <f>IFERROR(EXP(SLOPE(S215:U215,$C$195:$E$195))-1,(IFERROR(EXP(SLOPE(T215:U215,$D$195:$E$195))-1,F215)))</f>
        <v>3.0762086172422931E-2</v>
      </c>
      <c r="D215" s="464">
        <f>D206/C206 - 1</f>
        <v>-2.979950241328766E-2</v>
      </c>
      <c r="E215" s="464">
        <f>E206/D206 - 1</f>
        <v>9.5104033582055436E-2</v>
      </c>
      <c r="F215" s="465"/>
      <c r="K215" s="139"/>
      <c r="P215" s="559"/>
      <c r="Q215" s="559"/>
      <c r="R215" s="559" t="s">
        <v>423</v>
      </c>
      <c r="S215" s="559">
        <f>LN(C206)</f>
        <v>5.3484837351492445</v>
      </c>
      <c r="T215" s="559">
        <f>LN(D206)</f>
        <v>5.3182312048483373</v>
      </c>
      <c r="U215" s="559">
        <f>LN(E206)</f>
        <v>5.4090805714413364</v>
      </c>
      <c r="V215" s="559">
        <f>LN(F206)</f>
        <v>5.4090805714413364</v>
      </c>
      <c r="W215" s="559"/>
      <c r="X215" s="559"/>
      <c r="Y215" s="559"/>
      <c r="Z215" s="559"/>
      <c r="AA215" s="559"/>
      <c r="AB215" s="559"/>
      <c r="AC215" s="559"/>
      <c r="AD215" s="559"/>
      <c r="AE215" s="559"/>
    </row>
    <row r="216" spans="2:31">
      <c r="B216" s="177" t="s">
        <v>288</v>
      </c>
      <c r="C216" s="466">
        <f>IFERROR(EXP(SLOPE(S216:U216,$C$195:$E$195))-1,(IFERROR(EXP(SLOPE(T216:U216,$D$195:$E$195))-1,F216)))</f>
        <v>2.7902053125208992E-2</v>
      </c>
      <c r="D216" s="467">
        <f>D209/C209 - 1</f>
        <v>-4.0179825203566E-2</v>
      </c>
      <c r="E216" s="467">
        <f>E209/D209 - 1</f>
        <v>0.10081310912547603</v>
      </c>
      <c r="F216" s="468"/>
      <c r="P216" s="559"/>
      <c r="Q216" s="559"/>
      <c r="R216" s="559" t="s">
        <v>423</v>
      </c>
      <c r="S216" s="559">
        <f>LN(C209)</f>
        <v>9.4251338875611381</v>
      </c>
      <c r="T216" s="559">
        <f>LN(D209)</f>
        <v>9.3841245575743084</v>
      </c>
      <c r="U216" s="559">
        <f>LN(E209)</f>
        <v>9.4801736544262472</v>
      </c>
      <c r="V216" s="559">
        <f>LN(F209)</f>
        <v>9.4801736544262472</v>
      </c>
      <c r="W216" s="559"/>
      <c r="X216" s="559"/>
      <c r="Y216" s="559"/>
      <c r="Z216" s="559"/>
      <c r="AA216" s="559"/>
      <c r="AB216" s="559"/>
      <c r="AC216" s="559"/>
      <c r="AD216" s="559"/>
      <c r="AE216" s="559"/>
    </row>
    <row r="217" spans="2:31">
      <c r="B217" s="192" t="s">
        <v>289</v>
      </c>
      <c r="C217" s="469">
        <f>IFERROR(EXP(SLOPE(S217:U217,$C$195:$E$195))-1,(IFERROR(EXP(SLOPE(T217:U217,$D$195:$E$195))-1,F217)))</f>
        <v>3.5938829628828994E-2</v>
      </c>
      <c r="D217" s="470">
        <f>D212/C212 - 1</f>
        <v>-1.7372945017171348E-2</v>
      </c>
      <c r="E217" s="470">
        <f>E212/D212 - 1</f>
        <v>9.2142999005356607E-2</v>
      </c>
      <c r="F217" s="471"/>
      <c r="P217" s="559"/>
      <c r="Q217" s="559"/>
      <c r="R217" s="559" t="s">
        <v>423</v>
      </c>
      <c r="S217" s="559">
        <f>LN(C212)</f>
        <v>-2.9902089872924074</v>
      </c>
      <c r="T217" s="559">
        <f>LN(D212)</f>
        <v>-3.0077346128433056</v>
      </c>
      <c r="U217" s="559">
        <f>LN(E212)</f>
        <v>-2.9195927926238809</v>
      </c>
      <c r="V217" s="559">
        <f>LN(F212)</f>
        <v>-2.9195927926238809</v>
      </c>
      <c r="W217" s="559"/>
      <c r="X217" s="559"/>
      <c r="Y217" s="559"/>
      <c r="Z217" s="559"/>
      <c r="AA217" s="559"/>
      <c r="AB217" s="559"/>
      <c r="AC217" s="559"/>
      <c r="AD217" s="559"/>
      <c r="AE217" s="559"/>
    </row>
    <row r="218" spans="2:31">
      <c r="P218" s="559"/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  <c r="AE218" s="559"/>
    </row>
    <row r="219" spans="2:31">
      <c r="P219" s="559"/>
      <c r="Q219" s="559"/>
      <c r="R219" s="559"/>
      <c r="S219" s="559"/>
      <c r="T219" s="559"/>
      <c r="U219" s="559"/>
      <c r="V219" s="560" t="str">
        <f>$B$2</f>
        <v>Orion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  <c r="AE219" s="559"/>
    </row>
    <row r="220" spans="2:31">
      <c r="B220" s="517" t="s">
        <v>290</v>
      </c>
      <c r="C220" s="510"/>
      <c r="D220" s="510"/>
      <c r="E220" s="510"/>
      <c r="F220" s="510"/>
      <c r="G220" s="510"/>
      <c r="H220" s="510"/>
      <c r="I220" s="511"/>
      <c r="P220" s="559"/>
      <c r="Q220" s="559"/>
      <c r="R220" s="559"/>
      <c r="S220" s="559"/>
      <c r="T220" s="559"/>
      <c r="U220" s="559"/>
      <c r="V220" s="562" t="s">
        <v>280</v>
      </c>
      <c r="W220" s="563">
        <f>C222</f>
        <v>37132.474468486427</v>
      </c>
      <c r="X220" s="563">
        <f>D222</f>
        <v>37132.474468486427</v>
      </c>
      <c r="Y220" s="563"/>
      <c r="Z220" s="563"/>
      <c r="AA220" s="563"/>
      <c r="AB220" s="563"/>
      <c r="AC220" s="563"/>
      <c r="AD220" s="559"/>
      <c r="AE220" s="559"/>
    </row>
    <row r="221" spans="2:31">
      <c r="B221" s="478" t="str">
        <f>$B$2</f>
        <v>Orion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P221" s="559"/>
      <c r="Q221" s="559"/>
      <c r="R221" s="559"/>
      <c r="S221" s="559"/>
      <c r="T221" s="559"/>
      <c r="U221" s="559"/>
      <c r="V221" s="565" t="s">
        <v>277</v>
      </c>
      <c r="W221" s="563">
        <f t="shared" ref="W221:AA222" si="24">C223</f>
        <v>31265.001482040359</v>
      </c>
      <c r="X221" s="563">
        <f t="shared" si="24"/>
        <v>42689.202662283416</v>
      </c>
      <c r="Y221" s="563">
        <f t="shared" si="24"/>
        <v>48592.334887230194</v>
      </c>
      <c r="Z221" s="563">
        <f t="shared" si="24"/>
        <v>43786.488372719672</v>
      </c>
      <c r="AA221" s="563">
        <f t="shared" si="24"/>
        <v>43563.363423243776</v>
      </c>
      <c r="AB221" s="563"/>
      <c r="AC221" s="563"/>
      <c r="AD221" s="559"/>
      <c r="AE221" s="559"/>
    </row>
    <row r="222" spans="2:31">
      <c r="B222" s="177" t="s">
        <v>280</v>
      </c>
      <c r="C222" s="461">
        <f>VLOOKUP(C226,'FS (2011)'!$A$14:$AJ$245,'FS (2011)'!$AG$245,FALSE)</f>
        <v>37132.474468486427</v>
      </c>
      <c r="D222" s="684">
        <f>C222</f>
        <v>37132.474468486427</v>
      </c>
      <c r="E222" s="461"/>
      <c r="F222" s="461"/>
      <c r="G222" s="461"/>
      <c r="H222" s="461"/>
      <c r="I222" s="462"/>
      <c r="P222" s="559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4"/>
        <v>43363</v>
      </c>
      <c r="Y222" s="563">
        <f t="shared" si="24"/>
        <v>64144</v>
      </c>
      <c r="Z222" s="563">
        <f t="shared" si="24"/>
        <v>56841</v>
      </c>
      <c r="AA222" s="563">
        <f t="shared" si="24"/>
        <v>37344</v>
      </c>
      <c r="AB222" s="563">
        <f>H224</f>
        <v>34159</v>
      </c>
      <c r="AC222" s="563"/>
      <c r="AD222" s="559"/>
      <c r="AE222" s="559"/>
    </row>
    <row r="223" spans="2:31">
      <c r="B223" s="199" t="s">
        <v>277</v>
      </c>
      <c r="C223" s="461">
        <f>VLOOKUP(C227,'AM (2011)'!$A$10:$N$444,'AM (2011)'!$J$445,FALSE)</f>
        <v>31265.001482040359</v>
      </c>
      <c r="D223" s="461">
        <f>VLOOKUP(D227,'AM (2011)'!$A$10:$N$444,'AM (2011)'!$J$445,FALSE)</f>
        <v>42689.202662283416</v>
      </c>
      <c r="E223" s="461">
        <f>VLOOKUP(E226,'AM (2011)'!$A$10:$N$444,'AM (2011)'!$J$445,FALSE)</f>
        <v>48592.334887230194</v>
      </c>
      <c r="F223" s="461">
        <f>VLOOKUP(F226,'AM (2011)'!$A$10:$N$444,'AM (2011)'!$J$445,FALSE)</f>
        <v>43786.488372719672</v>
      </c>
      <c r="G223" s="461">
        <f>VLOOKUP(G226,'AM (2011)'!$A$10:$N$444,'AM (2011)'!$J$445,FALSE)</f>
        <v>43563.363423243776</v>
      </c>
      <c r="H223" s="461"/>
      <c r="I223" s="462"/>
      <c r="P223" s="559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0</v>
      </c>
      <c r="Z223" s="563">
        <f>F225</f>
        <v>0</v>
      </c>
      <c r="AA223" s="563">
        <f>G225</f>
        <v>0</v>
      </c>
      <c r="AB223" s="563">
        <f>H225</f>
        <v>0</v>
      </c>
      <c r="AC223" s="563">
        <f>I225</f>
        <v>0</v>
      </c>
      <c r="AD223" s="559"/>
      <c r="AE223" s="559"/>
    </row>
    <row r="224" spans="2:31">
      <c r="B224" s="199" t="s">
        <v>278</v>
      </c>
      <c r="C224" s="461"/>
      <c r="D224" s="461">
        <f>VLOOKUP(D228,'AM (2011)'!$A$10:$N$444,'AM (2011)'!$J$445,FALSE)</f>
        <v>43363</v>
      </c>
      <c r="E224" s="461">
        <f>VLOOKUP(E227,'AM (2011)'!$A$10:$N$444,'AM (2011)'!$J$445,FALSE)</f>
        <v>64144</v>
      </c>
      <c r="F224" s="461">
        <f>VLOOKUP(F227,'AM (2011)'!$A$10:$N$444,'AM (2011)'!$J$445,FALSE)</f>
        <v>56841</v>
      </c>
      <c r="G224" s="461">
        <f>VLOOKUP(G227,'AM (2011)'!$A$10:$N$444,'AM (2011)'!$J$445,FALSE)</f>
        <v>37344</v>
      </c>
      <c r="H224" s="461">
        <f>VLOOKUP(H227,'AM (2011)'!$A$10:$N$444,'AM (2011)'!$J$445,FALSE)</f>
        <v>34159</v>
      </c>
      <c r="I224" s="462"/>
      <c r="P224" s="559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  <c r="AE224" s="559"/>
    </row>
    <row r="225" spans="2:31">
      <c r="B225" s="477" t="s">
        <v>279</v>
      </c>
      <c r="C225" s="493"/>
      <c r="D225" s="493"/>
      <c r="E225" s="493">
        <f>VLOOKUP(E228,'AM (2011)'!$A$10:$N$444,'AM (2011)'!$J$445,FALSE)</f>
        <v>0</v>
      </c>
      <c r="F225" s="493">
        <f>VLOOKUP(F228,'AM (2011)'!$A$10:$N$444,'AM (2011)'!$J$445,FALSE)</f>
        <v>0</v>
      </c>
      <c r="G225" s="493">
        <f>VLOOKUP(G228,'AM (2011)'!$A$10:$N$444,'AM (2011)'!$J$445,FALSE)</f>
        <v>0</v>
      </c>
      <c r="H225" s="493">
        <f>VLOOKUP(H228,'AM (2011)'!$A$10:$N$444,'AM (2011)'!$J$445,FALSE)</f>
        <v>0</v>
      </c>
      <c r="I225" s="494">
        <f>VLOOKUP(I228,'AM (2011)'!$A$10:$N$444,'AM (2011)'!$J$445,FALSE)</f>
        <v>0</v>
      </c>
      <c r="P225" s="559"/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  <c r="AE225" s="559"/>
    </row>
    <row r="226" spans="2:31">
      <c r="C226" s="136">
        <f>VLOOKUP($B$2,$B$257:$Y$286,8,FALSE)</f>
        <v>375</v>
      </c>
      <c r="D226" s="136">
        <f>VLOOKUP($B$2,$B$257:$Y$286,9,FALSE)</f>
        <v>376</v>
      </c>
      <c r="E226" s="136">
        <f>VLOOKUP($B$2,$B$257:$Y$286,12,FALSE)</f>
        <v>379</v>
      </c>
      <c r="F226" s="136">
        <f>VLOOKUP($B$2,$B$257:$Y$286,13,FALSE)</f>
        <v>380</v>
      </c>
      <c r="G226" s="136">
        <f>VLOOKUP($B$2,$B$257:$Y$286,14,FALSE)</f>
        <v>381</v>
      </c>
      <c r="H226" s="136"/>
      <c r="I226" s="136"/>
      <c r="P226" s="559"/>
      <c r="Q226" s="559"/>
      <c r="R226" s="559"/>
      <c r="S226" s="559"/>
      <c r="T226" s="559"/>
      <c r="U226" s="559"/>
      <c r="V226" s="559"/>
      <c r="W226" s="559"/>
      <c r="X226" s="559"/>
      <c r="Y226" s="559"/>
      <c r="Z226" s="559"/>
      <c r="AA226" s="559"/>
      <c r="AB226" s="559"/>
      <c r="AC226" s="559"/>
      <c r="AD226" s="559"/>
      <c r="AE226" s="559"/>
    </row>
    <row r="227" spans="2:31">
      <c r="C227" s="136">
        <f>VLOOKUP($B$2,$B$257:$Y$286,10,FALSE)</f>
        <v>377</v>
      </c>
      <c r="D227" s="136">
        <f>VLOOKUP($B$2,$B$257:$Y$286,11,FALSE)</f>
        <v>378</v>
      </c>
      <c r="E227" s="136">
        <f>VLOOKUP($B$2,$B$257:$Y$286,16,FALSE)</f>
        <v>383</v>
      </c>
      <c r="F227" s="136">
        <f>VLOOKUP($B$2,$B$257:$Y$286,17,FALSE)</f>
        <v>384</v>
      </c>
      <c r="G227" s="136">
        <f>VLOOKUP($B$2,$B$257:$Y$286,18,FALSE)</f>
        <v>385</v>
      </c>
      <c r="H227" s="136">
        <f>VLOOKUP($B$2,$B$257:$Y$286,19,FALSE)</f>
        <v>386</v>
      </c>
      <c r="I227" s="136"/>
      <c r="P227" s="559"/>
      <c r="Q227" s="559"/>
      <c r="R227" s="559"/>
      <c r="S227" s="559"/>
      <c r="T227" s="559"/>
      <c r="U227" s="559"/>
      <c r="V227" s="559"/>
      <c r="W227" s="559"/>
      <c r="X227" s="559"/>
      <c r="Y227" s="559"/>
      <c r="Z227" s="559"/>
      <c r="AA227" s="559"/>
      <c r="AB227" s="559"/>
      <c r="AC227" s="559"/>
      <c r="AD227" s="559"/>
      <c r="AE227" s="559"/>
    </row>
    <row r="228" spans="2:31">
      <c r="B228" s="517" t="s">
        <v>291</v>
      </c>
      <c r="C228" s="518"/>
      <c r="D228" s="518">
        <f>VLOOKUP($B$2,$B$257:$Y$286,15,FALSE)</f>
        <v>382</v>
      </c>
      <c r="E228" s="518">
        <f>VLOOKUP($B$2,$B$257:$Y$286,20,FALSE)</f>
        <v>387</v>
      </c>
      <c r="F228" s="519">
        <f>VLOOKUP($B$2,$B$257:$Y$286,21,FALSE)</f>
        <v>388</v>
      </c>
      <c r="G228" s="136">
        <f>VLOOKUP($B$2,$B$257:$Y$286,22,FALSE)</f>
        <v>389</v>
      </c>
      <c r="H228" s="136">
        <f>VLOOKUP($B$2,$B$257:$Y$286,23,FALSE)</f>
        <v>390</v>
      </c>
      <c r="I228" s="136">
        <f>VLOOKUP($B$2,$B$257:$Y$286,24,FALSE)</f>
        <v>391</v>
      </c>
    </row>
    <row r="229" spans="2:31">
      <c r="B229" s="474" t="str">
        <f>$B$2</f>
        <v>Orion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1">
      <c r="B230" s="199" t="s">
        <v>280</v>
      </c>
      <c r="C230" s="456">
        <f>VLOOKUP(C$38,'MP (2011)'!$A$11:$AR$245,'MP (2011)'!$S$246,FALSE)+VLOOKUP(C$38,'MP (2011)'!$A$11:$AR$245,'MP (2011)'!$T$246,FALSE)</f>
        <v>44.849999999999994</v>
      </c>
      <c r="D230" s="456">
        <f>VLOOKUP(D$38,'MP (2011)'!$A$11:$AR$245,'MP (2011)'!$S$246,FALSE)+VLOOKUP(D$38,'MP (2011)'!$A$11:$AR$245,'MP (2011)'!$T$246,FALSE)</f>
        <v>61.61</v>
      </c>
      <c r="E230" s="456">
        <f>VLOOKUP(E$38,'MP (2011)'!$A$11:$AR$245,'MP (2011)'!$S$246,FALSE)+VLOOKUP(E$38,'MP (2011)'!$A$11:$AR$245,'MP (2011)'!$T$246,FALSE)</f>
        <v>61.16</v>
      </c>
      <c r="F230" s="686">
        <f>E230</f>
        <v>61.16</v>
      </c>
    </row>
    <row r="231" spans="2:31">
      <c r="B231" s="199" t="s">
        <v>292</v>
      </c>
      <c r="C231" s="456">
        <f>IF(ISERROR(VLOOKUP(C$38,'Compliance data'!$A$7:$E$74,'Compliance data'!$D$75,FALSE)),"",(VLOOKUP(C$38,'Compliance data'!$A$7:$E$74,'Compliance data'!$D$75,FALSE)))</f>
        <v>63.2</v>
      </c>
      <c r="D231" s="456">
        <f>IF(ISERROR(VLOOKUP(D$38,'Compliance data'!$A$7:$E$74,'Compliance data'!$D$75,FALSE)),"",(VLOOKUP(D$38,'Compliance data'!$A$7:$E$74,'Compliance data'!$D$75,FALSE)))</f>
        <v>63.2</v>
      </c>
      <c r="E231" s="456">
        <f>IF(ISERROR(VLOOKUP(E$38,'Compliance data'!$A$7:$E$74,'Compliance data'!$D$75,FALSE)),"",(VLOOKUP(E$38,'Compliance data'!$A$7:$E$74,'Compliance data'!$D$75,FALSE)))</f>
        <v>63.2</v>
      </c>
      <c r="F231" s="457">
        <f>IF(ISERROR(VLOOKUP(F$38,'Compliance data'!$A$7:$E$74,'Compliance data'!$D$75,FALSE)),"",(VLOOKUP(F$38,'Compliance data'!$A$7:$E$74,'Compliance data'!$D$75,FALSE)))</f>
        <v>59.73</v>
      </c>
    </row>
    <row r="232" spans="2:31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688">
        <f>E232</f>
        <v>170.65483759655174</v>
      </c>
      <c r="G232" s="456"/>
    </row>
    <row r="235" spans="2:31">
      <c r="B235" s="517" t="s">
        <v>293</v>
      </c>
      <c r="C235" s="510"/>
      <c r="D235" s="510"/>
      <c r="E235" s="510"/>
      <c r="F235" s="511"/>
      <c r="G235" s="456"/>
    </row>
    <row r="236" spans="2:31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1">
      <c r="B237" s="199" t="s">
        <v>280</v>
      </c>
      <c r="C237" s="456">
        <f>VLOOKUP(C$38,'MP (2011)'!$A$11:$AR$245,'MP (2011)'!$W$246,FALSE)+VLOOKUP(C$38,'MP (2011)'!$A$11:$AR$245,'MP (2011)'!$X$246,FALSE)</f>
        <v>0.63</v>
      </c>
      <c r="D237" s="456">
        <f>VLOOKUP(D$38,'MP (2011)'!$A$11:$AR$245,'MP (2011)'!$W$246,FALSE)+VLOOKUP(D$38,'MP (2011)'!$A$11:$AR$245,'MP (2011)'!$X$246,FALSE)</f>
        <v>0.6</v>
      </c>
      <c r="E237" s="456">
        <f>VLOOKUP(E$38,'MP (2011)'!$A$11:$AR$245,'MP (2011)'!$W$246,FALSE)+VLOOKUP(E$38,'MP (2011)'!$A$11:$AR$245,'MP (2011)'!$X$246,FALSE)</f>
        <v>0.56999999999999995</v>
      </c>
      <c r="F237" s="686">
        <f>E237</f>
        <v>0.56999999999999995</v>
      </c>
    </row>
    <row r="238" spans="2:31">
      <c r="B238" s="199" t="s">
        <v>292</v>
      </c>
      <c r="C238" s="456">
        <f>IF(ISERROR(VLOOKUP(C$38,'Compliance data'!$A$7:$E$74,'Compliance data'!$E$75,FALSE)),"",(VLOOKUP(C$38,'Compliance data'!$A$7:$E$74,'Compliance data'!$E$75,FALSE)))</f>
        <v>0.76</v>
      </c>
      <c r="D238" s="456">
        <f>IF(ISERROR(VLOOKUP(D$38,'Compliance data'!$A$7:$E$74,'Compliance data'!$E$75,FALSE)),"",(VLOOKUP(D$38,'Compliance data'!$A$7:$E$74,'Compliance data'!$E$75,FALSE)))</f>
        <v>0.76</v>
      </c>
      <c r="E238" s="456">
        <f>IF(ISERROR(VLOOKUP(E$38,'Compliance data'!$A$7:$E$74,'Compliance data'!$E$75,FALSE)),"",(VLOOKUP(E$38,'Compliance data'!$A$7:$E$74,'Compliance data'!$E$75,FALSE)))</f>
        <v>0.76</v>
      </c>
      <c r="F238" s="457">
        <f>IF(ISERROR(VLOOKUP(F$38,'Compliance data'!$A$7:$E$74,'Compliance data'!$E$75,FALSE)),"",(VLOOKUP(F$38,'Compliance data'!$A$7:$E$74,'Compliance data'!$E$75,FALSE)))</f>
        <v>0.77600000000000002</v>
      </c>
    </row>
    <row r="239" spans="2:31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688">
        <f>E239</f>
        <v>1.984406743103448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25">C258+1</f>
        <v>2</v>
      </c>
      <c r="E258" s="526">
        <f t="shared" si="25"/>
        <v>3</v>
      </c>
      <c r="F258" s="526">
        <f t="shared" si="25"/>
        <v>4</v>
      </c>
      <c r="G258" s="526">
        <f t="shared" si="25"/>
        <v>5</v>
      </c>
      <c r="H258" s="526">
        <f t="shared" si="25"/>
        <v>6</v>
      </c>
      <c r="I258" s="526">
        <f t="shared" si="25"/>
        <v>7</v>
      </c>
      <c r="J258" s="526">
        <f t="shared" si="25"/>
        <v>8</v>
      </c>
      <c r="K258" s="526">
        <f t="shared" si="25"/>
        <v>9</v>
      </c>
      <c r="L258" s="526">
        <f t="shared" si="25"/>
        <v>10</v>
      </c>
      <c r="M258" s="526">
        <f t="shared" si="25"/>
        <v>11</v>
      </c>
      <c r="N258" s="526">
        <f t="shared" si="25"/>
        <v>12</v>
      </c>
      <c r="O258" s="526">
        <f t="shared" si="25"/>
        <v>13</v>
      </c>
      <c r="P258" s="526">
        <f t="shared" si="25"/>
        <v>14</v>
      </c>
      <c r="Q258" s="526">
        <f t="shared" si="25"/>
        <v>15</v>
      </c>
      <c r="R258" s="526">
        <f t="shared" si="25"/>
        <v>16</v>
      </c>
      <c r="S258" s="526">
        <f t="shared" si="25"/>
        <v>17</v>
      </c>
      <c r="T258" s="526">
        <f t="shared" ref="T258:Y273" si="26">S258+1</f>
        <v>18</v>
      </c>
      <c r="U258" s="526">
        <f t="shared" si="26"/>
        <v>19</v>
      </c>
      <c r="V258" s="526">
        <f t="shared" si="26"/>
        <v>20</v>
      </c>
      <c r="W258" s="526">
        <f t="shared" si="26"/>
        <v>21</v>
      </c>
      <c r="X258" s="526">
        <f t="shared" si="26"/>
        <v>22</v>
      </c>
      <c r="Y258" s="526">
        <f t="shared" si="26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5"/>
        <v>25</v>
      </c>
      <c r="E259" s="526">
        <f t="shared" si="25"/>
        <v>26</v>
      </c>
      <c r="F259" s="526">
        <f t="shared" si="25"/>
        <v>27</v>
      </c>
      <c r="G259" s="526">
        <f t="shared" si="25"/>
        <v>28</v>
      </c>
      <c r="H259" s="526">
        <f t="shared" si="25"/>
        <v>29</v>
      </c>
      <c r="I259" s="526">
        <f t="shared" si="25"/>
        <v>30</v>
      </c>
      <c r="J259" s="526">
        <f t="shared" si="25"/>
        <v>31</v>
      </c>
      <c r="K259" s="526">
        <f t="shared" si="25"/>
        <v>32</v>
      </c>
      <c r="L259" s="526">
        <f t="shared" si="25"/>
        <v>33</v>
      </c>
      <c r="M259" s="526">
        <f t="shared" si="25"/>
        <v>34</v>
      </c>
      <c r="N259" s="526">
        <f t="shared" si="25"/>
        <v>35</v>
      </c>
      <c r="O259" s="526">
        <f t="shared" si="25"/>
        <v>36</v>
      </c>
      <c r="P259" s="526">
        <f t="shared" si="25"/>
        <v>37</v>
      </c>
      <c r="Q259" s="526">
        <f t="shared" si="25"/>
        <v>38</v>
      </c>
      <c r="R259" s="526">
        <f t="shared" si="25"/>
        <v>39</v>
      </c>
      <c r="S259" s="526">
        <f t="shared" si="25"/>
        <v>40</v>
      </c>
      <c r="T259" s="526">
        <f t="shared" si="26"/>
        <v>41</v>
      </c>
      <c r="U259" s="526">
        <f t="shared" si="26"/>
        <v>42</v>
      </c>
      <c r="V259" s="526">
        <f t="shared" si="26"/>
        <v>43</v>
      </c>
      <c r="W259" s="526">
        <f t="shared" si="26"/>
        <v>44</v>
      </c>
      <c r="X259" s="526">
        <f t="shared" si="26"/>
        <v>45</v>
      </c>
      <c r="Y259" s="526">
        <f t="shared" si="26"/>
        <v>46</v>
      </c>
    </row>
    <row r="260" spans="2:25" s="526" customFormat="1" ht="15.75">
      <c r="B260" s="530" t="s">
        <v>31</v>
      </c>
      <c r="C260" s="526">
        <f t="shared" ref="C260:C286" si="27">Y259+1</f>
        <v>47</v>
      </c>
      <c r="D260" s="526">
        <f t="shared" si="25"/>
        <v>48</v>
      </c>
      <c r="E260" s="526">
        <f t="shared" si="25"/>
        <v>49</v>
      </c>
      <c r="F260" s="526">
        <f t="shared" si="25"/>
        <v>50</v>
      </c>
      <c r="G260" s="526">
        <f t="shared" si="25"/>
        <v>51</v>
      </c>
      <c r="H260" s="526">
        <f t="shared" si="25"/>
        <v>52</v>
      </c>
      <c r="I260" s="526">
        <f t="shared" si="25"/>
        <v>53</v>
      </c>
      <c r="J260" s="526">
        <f t="shared" si="25"/>
        <v>54</v>
      </c>
      <c r="K260" s="526">
        <f t="shared" si="25"/>
        <v>55</v>
      </c>
      <c r="L260" s="526">
        <f t="shared" si="25"/>
        <v>56</v>
      </c>
      <c r="M260" s="526">
        <f t="shared" si="25"/>
        <v>57</v>
      </c>
      <c r="N260" s="526">
        <f t="shared" si="25"/>
        <v>58</v>
      </c>
      <c r="O260" s="526">
        <f t="shared" si="25"/>
        <v>59</v>
      </c>
      <c r="P260" s="526">
        <f t="shared" si="25"/>
        <v>60</v>
      </c>
      <c r="Q260" s="526">
        <f t="shared" si="25"/>
        <v>61</v>
      </c>
      <c r="R260" s="526">
        <f t="shared" si="25"/>
        <v>62</v>
      </c>
      <c r="S260" s="526">
        <f t="shared" si="25"/>
        <v>63</v>
      </c>
      <c r="T260" s="526">
        <f t="shared" si="26"/>
        <v>64</v>
      </c>
      <c r="U260" s="526">
        <f t="shared" si="26"/>
        <v>65</v>
      </c>
      <c r="V260" s="526">
        <f t="shared" si="26"/>
        <v>66</v>
      </c>
      <c r="W260" s="526">
        <f t="shared" si="26"/>
        <v>67</v>
      </c>
      <c r="X260" s="526">
        <f t="shared" si="26"/>
        <v>68</v>
      </c>
      <c r="Y260" s="526">
        <f t="shared" si="26"/>
        <v>69</v>
      </c>
    </row>
    <row r="261" spans="2:25" s="526" customFormat="1" ht="15.75">
      <c r="B261" s="530" t="s">
        <v>32</v>
      </c>
      <c r="C261" s="526">
        <f t="shared" si="27"/>
        <v>70</v>
      </c>
      <c r="D261" s="526">
        <f t="shared" si="25"/>
        <v>71</v>
      </c>
      <c r="E261" s="526">
        <f t="shared" si="25"/>
        <v>72</v>
      </c>
      <c r="F261" s="526">
        <f t="shared" si="25"/>
        <v>73</v>
      </c>
      <c r="G261" s="526">
        <f t="shared" si="25"/>
        <v>74</v>
      </c>
      <c r="H261" s="526">
        <f t="shared" si="25"/>
        <v>75</v>
      </c>
      <c r="I261" s="526">
        <f t="shared" si="25"/>
        <v>76</v>
      </c>
      <c r="J261" s="526">
        <f t="shared" si="25"/>
        <v>77</v>
      </c>
      <c r="K261" s="526">
        <f t="shared" si="25"/>
        <v>78</v>
      </c>
      <c r="L261" s="526">
        <f t="shared" si="25"/>
        <v>79</v>
      </c>
      <c r="M261" s="526">
        <f t="shared" si="25"/>
        <v>80</v>
      </c>
      <c r="N261" s="526">
        <f t="shared" si="25"/>
        <v>81</v>
      </c>
      <c r="O261" s="526">
        <f t="shared" si="25"/>
        <v>82</v>
      </c>
      <c r="P261" s="526">
        <f t="shared" si="25"/>
        <v>83</v>
      </c>
      <c r="Q261" s="526">
        <f t="shared" si="25"/>
        <v>84</v>
      </c>
      <c r="R261" s="526">
        <f t="shared" si="25"/>
        <v>85</v>
      </c>
      <c r="S261" s="526">
        <f t="shared" si="25"/>
        <v>86</v>
      </c>
      <c r="T261" s="526">
        <f t="shared" si="26"/>
        <v>87</v>
      </c>
      <c r="U261" s="526">
        <f t="shared" si="26"/>
        <v>88</v>
      </c>
      <c r="V261" s="526">
        <f t="shared" si="26"/>
        <v>89</v>
      </c>
      <c r="W261" s="526">
        <f t="shared" si="26"/>
        <v>90</v>
      </c>
      <c r="X261" s="526">
        <f t="shared" si="26"/>
        <v>91</v>
      </c>
      <c r="Y261" s="526">
        <f t="shared" si="26"/>
        <v>92</v>
      </c>
    </row>
    <row r="262" spans="2:25" s="526" customFormat="1" ht="15.75">
      <c r="B262" s="530" t="s">
        <v>33</v>
      </c>
      <c r="C262" s="526">
        <f t="shared" si="27"/>
        <v>93</v>
      </c>
      <c r="D262" s="526">
        <f t="shared" si="25"/>
        <v>94</v>
      </c>
      <c r="E262" s="526">
        <f t="shared" si="25"/>
        <v>95</v>
      </c>
      <c r="F262" s="526">
        <f t="shared" si="25"/>
        <v>96</v>
      </c>
      <c r="G262" s="526">
        <f t="shared" si="25"/>
        <v>97</v>
      </c>
      <c r="H262" s="526">
        <f t="shared" si="25"/>
        <v>98</v>
      </c>
      <c r="I262" s="526">
        <f t="shared" si="25"/>
        <v>99</v>
      </c>
      <c r="J262" s="526">
        <f t="shared" si="25"/>
        <v>100</v>
      </c>
      <c r="K262" s="526">
        <f t="shared" si="25"/>
        <v>101</v>
      </c>
      <c r="L262" s="526">
        <f t="shared" si="25"/>
        <v>102</v>
      </c>
      <c r="M262" s="526">
        <f t="shared" si="25"/>
        <v>103</v>
      </c>
      <c r="N262" s="526">
        <f t="shared" si="25"/>
        <v>104</v>
      </c>
      <c r="O262" s="526">
        <f t="shared" si="25"/>
        <v>105</v>
      </c>
      <c r="P262" s="526">
        <f t="shared" si="25"/>
        <v>106</v>
      </c>
      <c r="Q262" s="526">
        <f t="shared" si="25"/>
        <v>107</v>
      </c>
      <c r="R262" s="526">
        <f t="shared" si="25"/>
        <v>108</v>
      </c>
      <c r="S262" s="526">
        <f t="shared" si="25"/>
        <v>109</v>
      </c>
      <c r="T262" s="526">
        <f t="shared" si="26"/>
        <v>110</v>
      </c>
      <c r="U262" s="526">
        <f t="shared" si="26"/>
        <v>111</v>
      </c>
      <c r="V262" s="526">
        <f t="shared" si="26"/>
        <v>112</v>
      </c>
      <c r="W262" s="526">
        <f t="shared" si="26"/>
        <v>113</v>
      </c>
      <c r="X262" s="526">
        <f t="shared" si="26"/>
        <v>114</v>
      </c>
      <c r="Y262" s="526">
        <f t="shared" si="26"/>
        <v>115</v>
      </c>
    </row>
    <row r="263" spans="2:25" s="526" customFormat="1" ht="15.75">
      <c r="B263" s="530" t="s">
        <v>34</v>
      </c>
      <c r="C263" s="526">
        <f t="shared" si="27"/>
        <v>116</v>
      </c>
      <c r="D263" s="526">
        <f t="shared" si="25"/>
        <v>117</v>
      </c>
      <c r="E263" s="526">
        <f t="shared" si="25"/>
        <v>118</v>
      </c>
      <c r="F263" s="526">
        <f t="shared" si="25"/>
        <v>119</v>
      </c>
      <c r="G263" s="526">
        <f t="shared" si="25"/>
        <v>120</v>
      </c>
      <c r="H263" s="526">
        <f t="shared" si="25"/>
        <v>121</v>
      </c>
      <c r="I263" s="526">
        <f t="shared" si="25"/>
        <v>122</v>
      </c>
      <c r="J263" s="526">
        <f t="shared" si="25"/>
        <v>123</v>
      </c>
      <c r="K263" s="526">
        <f t="shared" si="25"/>
        <v>124</v>
      </c>
      <c r="L263" s="526">
        <f t="shared" si="25"/>
        <v>125</v>
      </c>
      <c r="M263" s="526">
        <f t="shared" si="25"/>
        <v>126</v>
      </c>
      <c r="N263" s="526">
        <f t="shared" si="25"/>
        <v>127</v>
      </c>
      <c r="O263" s="526">
        <f t="shared" si="25"/>
        <v>128</v>
      </c>
      <c r="P263" s="526">
        <f t="shared" si="25"/>
        <v>129</v>
      </c>
      <c r="Q263" s="526">
        <f t="shared" si="25"/>
        <v>130</v>
      </c>
      <c r="R263" s="526">
        <f t="shared" si="25"/>
        <v>131</v>
      </c>
      <c r="S263" s="526">
        <f t="shared" si="25"/>
        <v>132</v>
      </c>
      <c r="T263" s="526">
        <f t="shared" si="26"/>
        <v>133</v>
      </c>
      <c r="U263" s="526">
        <f t="shared" si="26"/>
        <v>134</v>
      </c>
      <c r="V263" s="526">
        <f t="shared" si="26"/>
        <v>135</v>
      </c>
      <c r="W263" s="526">
        <f t="shared" si="26"/>
        <v>136</v>
      </c>
      <c r="X263" s="526">
        <f t="shared" si="26"/>
        <v>137</v>
      </c>
      <c r="Y263" s="526">
        <f t="shared" si="26"/>
        <v>138</v>
      </c>
    </row>
    <row r="264" spans="2:25" s="526" customFormat="1" ht="15.75">
      <c r="B264" s="530" t="s">
        <v>35</v>
      </c>
      <c r="C264" s="526">
        <f t="shared" si="27"/>
        <v>139</v>
      </c>
      <c r="D264" s="526">
        <f t="shared" si="25"/>
        <v>140</v>
      </c>
      <c r="E264" s="526">
        <f t="shared" si="25"/>
        <v>141</v>
      </c>
      <c r="F264" s="526">
        <f t="shared" si="25"/>
        <v>142</v>
      </c>
      <c r="G264" s="526">
        <f t="shared" si="25"/>
        <v>143</v>
      </c>
      <c r="H264" s="526">
        <f t="shared" si="25"/>
        <v>144</v>
      </c>
      <c r="I264" s="526">
        <f t="shared" si="25"/>
        <v>145</v>
      </c>
      <c r="J264" s="526">
        <f t="shared" si="25"/>
        <v>146</v>
      </c>
      <c r="K264" s="526">
        <f t="shared" si="25"/>
        <v>147</v>
      </c>
      <c r="L264" s="526">
        <f t="shared" si="25"/>
        <v>148</v>
      </c>
      <c r="M264" s="526">
        <f t="shared" si="25"/>
        <v>149</v>
      </c>
      <c r="N264" s="526">
        <f t="shared" si="25"/>
        <v>150</v>
      </c>
      <c r="O264" s="526">
        <f t="shared" si="25"/>
        <v>151</v>
      </c>
      <c r="P264" s="526">
        <f t="shared" si="25"/>
        <v>152</v>
      </c>
      <c r="Q264" s="526">
        <f t="shared" si="25"/>
        <v>153</v>
      </c>
      <c r="R264" s="526">
        <f t="shared" si="25"/>
        <v>154</v>
      </c>
      <c r="S264" s="526">
        <f t="shared" si="25"/>
        <v>155</v>
      </c>
      <c r="T264" s="526">
        <f t="shared" si="26"/>
        <v>156</v>
      </c>
      <c r="U264" s="526">
        <f t="shared" si="26"/>
        <v>157</v>
      </c>
      <c r="V264" s="526">
        <f t="shared" si="26"/>
        <v>158</v>
      </c>
      <c r="W264" s="526">
        <f t="shared" si="26"/>
        <v>159</v>
      </c>
      <c r="X264" s="526">
        <f t="shared" si="26"/>
        <v>160</v>
      </c>
      <c r="Y264" s="526">
        <f t="shared" si="26"/>
        <v>161</v>
      </c>
    </row>
    <row r="265" spans="2:25" s="526" customFormat="1" ht="15.75">
      <c r="B265" s="530" t="s">
        <v>115</v>
      </c>
      <c r="C265" s="526">
        <f t="shared" si="27"/>
        <v>162</v>
      </c>
      <c r="D265" s="526">
        <f t="shared" si="25"/>
        <v>163</v>
      </c>
      <c r="E265" s="526">
        <f t="shared" si="25"/>
        <v>164</v>
      </c>
      <c r="F265" s="526">
        <f t="shared" si="25"/>
        <v>165</v>
      </c>
      <c r="G265" s="526">
        <f t="shared" si="25"/>
        <v>166</v>
      </c>
      <c r="H265" s="526">
        <f t="shared" si="25"/>
        <v>167</v>
      </c>
      <c r="I265" s="526">
        <f t="shared" si="25"/>
        <v>168</v>
      </c>
      <c r="J265" s="526">
        <f t="shared" si="25"/>
        <v>169</v>
      </c>
      <c r="K265" s="526">
        <f t="shared" si="25"/>
        <v>170</v>
      </c>
      <c r="L265" s="526">
        <f t="shared" si="25"/>
        <v>171</v>
      </c>
      <c r="M265" s="526">
        <f t="shared" si="25"/>
        <v>172</v>
      </c>
      <c r="N265" s="526">
        <f t="shared" si="25"/>
        <v>173</v>
      </c>
      <c r="O265" s="526">
        <f t="shared" si="25"/>
        <v>174</v>
      </c>
      <c r="P265" s="526">
        <f t="shared" si="25"/>
        <v>175</v>
      </c>
      <c r="Q265" s="526">
        <f t="shared" si="25"/>
        <v>176</v>
      </c>
      <c r="R265" s="526">
        <f t="shared" si="25"/>
        <v>177</v>
      </c>
      <c r="S265" s="526">
        <f t="shared" si="25"/>
        <v>178</v>
      </c>
      <c r="T265" s="526">
        <f t="shared" si="26"/>
        <v>179</v>
      </c>
      <c r="U265" s="526">
        <f t="shared" si="26"/>
        <v>180</v>
      </c>
      <c r="V265" s="526">
        <f t="shared" si="26"/>
        <v>181</v>
      </c>
      <c r="W265" s="526">
        <f t="shared" si="26"/>
        <v>182</v>
      </c>
      <c r="X265" s="526">
        <f t="shared" si="26"/>
        <v>183</v>
      </c>
      <c r="Y265" s="526">
        <f t="shared" si="26"/>
        <v>184</v>
      </c>
    </row>
    <row r="266" spans="2:25" s="526" customFormat="1" ht="15.75">
      <c r="B266" s="530" t="s">
        <v>116</v>
      </c>
      <c r="C266" s="526">
        <f t="shared" si="27"/>
        <v>185</v>
      </c>
      <c r="D266" s="526">
        <f t="shared" si="25"/>
        <v>186</v>
      </c>
      <c r="E266" s="526">
        <f t="shared" si="25"/>
        <v>187</v>
      </c>
      <c r="F266" s="526">
        <f t="shared" si="25"/>
        <v>188</v>
      </c>
      <c r="G266" s="526">
        <f t="shared" si="25"/>
        <v>189</v>
      </c>
      <c r="H266" s="526">
        <f t="shared" si="25"/>
        <v>190</v>
      </c>
      <c r="I266" s="526">
        <f t="shared" si="25"/>
        <v>191</v>
      </c>
      <c r="J266" s="526">
        <f t="shared" si="25"/>
        <v>192</v>
      </c>
      <c r="K266" s="526">
        <f t="shared" si="25"/>
        <v>193</v>
      </c>
      <c r="L266" s="526">
        <f t="shared" si="25"/>
        <v>194</v>
      </c>
      <c r="M266" s="526">
        <f t="shared" si="25"/>
        <v>195</v>
      </c>
      <c r="N266" s="526">
        <f t="shared" si="25"/>
        <v>196</v>
      </c>
      <c r="O266" s="526">
        <f t="shared" si="25"/>
        <v>197</v>
      </c>
      <c r="P266" s="526">
        <f t="shared" si="25"/>
        <v>198</v>
      </c>
      <c r="Q266" s="526">
        <f t="shared" si="25"/>
        <v>199</v>
      </c>
      <c r="R266" s="526">
        <f t="shared" si="25"/>
        <v>200</v>
      </c>
      <c r="S266" s="526">
        <f t="shared" si="25"/>
        <v>201</v>
      </c>
      <c r="T266" s="526">
        <f t="shared" si="26"/>
        <v>202</v>
      </c>
      <c r="U266" s="526">
        <f t="shared" si="26"/>
        <v>203</v>
      </c>
      <c r="V266" s="526">
        <f t="shared" si="26"/>
        <v>204</v>
      </c>
      <c r="W266" s="526">
        <f t="shared" si="26"/>
        <v>205</v>
      </c>
      <c r="X266" s="526">
        <f t="shared" si="26"/>
        <v>206</v>
      </c>
      <c r="Y266" s="526">
        <f t="shared" si="26"/>
        <v>207</v>
      </c>
    </row>
    <row r="267" spans="2:25" s="526" customFormat="1" ht="15.75">
      <c r="B267" s="530" t="s">
        <v>38</v>
      </c>
      <c r="C267" s="526">
        <f t="shared" si="27"/>
        <v>208</v>
      </c>
      <c r="D267" s="526">
        <f t="shared" si="25"/>
        <v>209</v>
      </c>
      <c r="E267" s="526">
        <f t="shared" si="25"/>
        <v>210</v>
      </c>
      <c r="F267" s="526">
        <f t="shared" si="25"/>
        <v>211</v>
      </c>
      <c r="G267" s="526">
        <f t="shared" si="25"/>
        <v>212</v>
      </c>
      <c r="H267" s="526">
        <f t="shared" si="25"/>
        <v>213</v>
      </c>
      <c r="I267" s="526">
        <f t="shared" si="25"/>
        <v>214</v>
      </c>
      <c r="J267" s="526">
        <f t="shared" si="25"/>
        <v>215</v>
      </c>
      <c r="K267" s="526">
        <f t="shared" si="25"/>
        <v>216</v>
      </c>
      <c r="L267" s="526">
        <f t="shared" si="25"/>
        <v>217</v>
      </c>
      <c r="M267" s="526">
        <f t="shared" si="25"/>
        <v>218</v>
      </c>
      <c r="N267" s="526">
        <f t="shared" si="25"/>
        <v>219</v>
      </c>
      <c r="O267" s="526">
        <f t="shared" si="25"/>
        <v>220</v>
      </c>
      <c r="P267" s="526">
        <f t="shared" si="25"/>
        <v>221</v>
      </c>
      <c r="Q267" s="526">
        <f t="shared" si="25"/>
        <v>222</v>
      </c>
      <c r="R267" s="526">
        <f t="shared" si="25"/>
        <v>223</v>
      </c>
      <c r="S267" s="526">
        <f t="shared" si="25"/>
        <v>224</v>
      </c>
      <c r="T267" s="526">
        <f t="shared" si="26"/>
        <v>225</v>
      </c>
      <c r="U267" s="526">
        <f t="shared" si="26"/>
        <v>226</v>
      </c>
      <c r="V267" s="526">
        <f t="shared" si="26"/>
        <v>227</v>
      </c>
      <c r="W267" s="526">
        <f t="shared" si="26"/>
        <v>228</v>
      </c>
      <c r="X267" s="526">
        <f t="shared" si="26"/>
        <v>229</v>
      </c>
      <c r="Y267" s="526">
        <f t="shared" si="26"/>
        <v>230</v>
      </c>
    </row>
    <row r="268" spans="2:25" s="526" customFormat="1" ht="15.75">
      <c r="B268" s="530" t="s">
        <v>39</v>
      </c>
      <c r="C268" s="526">
        <f t="shared" si="27"/>
        <v>231</v>
      </c>
      <c r="D268" s="526">
        <f t="shared" si="25"/>
        <v>232</v>
      </c>
      <c r="E268" s="526">
        <f t="shared" si="25"/>
        <v>233</v>
      </c>
      <c r="F268" s="526">
        <f t="shared" si="25"/>
        <v>234</v>
      </c>
      <c r="G268" s="526">
        <f t="shared" si="25"/>
        <v>235</v>
      </c>
      <c r="H268" s="526">
        <f t="shared" si="25"/>
        <v>236</v>
      </c>
      <c r="I268" s="526">
        <f t="shared" si="25"/>
        <v>237</v>
      </c>
      <c r="J268" s="526">
        <f t="shared" si="25"/>
        <v>238</v>
      </c>
      <c r="K268" s="526">
        <f t="shared" si="25"/>
        <v>239</v>
      </c>
      <c r="L268" s="526">
        <f t="shared" si="25"/>
        <v>240</v>
      </c>
      <c r="M268" s="526">
        <f t="shared" si="25"/>
        <v>241</v>
      </c>
      <c r="N268" s="526">
        <f t="shared" si="25"/>
        <v>242</v>
      </c>
      <c r="O268" s="526">
        <f t="shared" si="25"/>
        <v>243</v>
      </c>
      <c r="P268" s="526">
        <f t="shared" si="25"/>
        <v>244</v>
      </c>
      <c r="Q268" s="526">
        <f t="shared" si="25"/>
        <v>245</v>
      </c>
      <c r="R268" s="526">
        <f t="shared" si="25"/>
        <v>246</v>
      </c>
      <c r="S268" s="526">
        <f t="shared" si="25"/>
        <v>247</v>
      </c>
      <c r="T268" s="526">
        <f t="shared" si="26"/>
        <v>248</v>
      </c>
      <c r="U268" s="526">
        <f t="shared" si="26"/>
        <v>249</v>
      </c>
      <c r="V268" s="526">
        <f t="shared" si="26"/>
        <v>250</v>
      </c>
      <c r="W268" s="526">
        <f t="shared" si="26"/>
        <v>251</v>
      </c>
      <c r="X268" s="526">
        <f t="shared" si="26"/>
        <v>252</v>
      </c>
      <c r="Y268" s="526">
        <f t="shared" si="26"/>
        <v>253</v>
      </c>
    </row>
    <row r="269" spans="2:25" s="526" customFormat="1" ht="15.75">
      <c r="B269" s="530" t="s">
        <v>40</v>
      </c>
      <c r="C269" s="526">
        <f t="shared" si="27"/>
        <v>254</v>
      </c>
      <c r="D269" s="526">
        <f t="shared" si="25"/>
        <v>255</v>
      </c>
      <c r="E269" s="526">
        <f t="shared" si="25"/>
        <v>256</v>
      </c>
      <c r="F269" s="526">
        <f t="shared" si="25"/>
        <v>257</v>
      </c>
      <c r="G269" s="526">
        <f t="shared" si="25"/>
        <v>258</v>
      </c>
      <c r="H269" s="526">
        <f t="shared" si="25"/>
        <v>259</v>
      </c>
      <c r="I269" s="526">
        <f t="shared" si="25"/>
        <v>260</v>
      </c>
      <c r="J269" s="526">
        <f t="shared" si="25"/>
        <v>261</v>
      </c>
      <c r="K269" s="526">
        <f t="shared" si="25"/>
        <v>262</v>
      </c>
      <c r="L269" s="526">
        <f t="shared" si="25"/>
        <v>263</v>
      </c>
      <c r="M269" s="526">
        <f t="shared" si="25"/>
        <v>264</v>
      </c>
      <c r="N269" s="526">
        <f t="shared" si="25"/>
        <v>265</v>
      </c>
      <c r="O269" s="526">
        <f t="shared" si="25"/>
        <v>266</v>
      </c>
      <c r="P269" s="526">
        <f t="shared" si="25"/>
        <v>267</v>
      </c>
      <c r="Q269" s="526">
        <f t="shared" si="25"/>
        <v>268</v>
      </c>
      <c r="R269" s="526">
        <f t="shared" si="25"/>
        <v>269</v>
      </c>
      <c r="S269" s="526">
        <f t="shared" si="25"/>
        <v>270</v>
      </c>
      <c r="T269" s="526">
        <f t="shared" si="26"/>
        <v>271</v>
      </c>
      <c r="U269" s="526">
        <f t="shared" si="26"/>
        <v>272</v>
      </c>
      <c r="V269" s="526">
        <f t="shared" si="26"/>
        <v>273</v>
      </c>
      <c r="W269" s="526">
        <f t="shared" si="26"/>
        <v>274</v>
      </c>
      <c r="X269" s="526">
        <f t="shared" si="26"/>
        <v>275</v>
      </c>
      <c r="Y269" s="526">
        <f t="shared" si="26"/>
        <v>276</v>
      </c>
    </row>
    <row r="270" spans="2:25" s="526" customFormat="1" ht="15.75">
      <c r="B270" s="530" t="s">
        <v>41</v>
      </c>
      <c r="C270" s="526">
        <f t="shared" si="27"/>
        <v>277</v>
      </c>
      <c r="D270" s="526">
        <f t="shared" si="25"/>
        <v>278</v>
      </c>
      <c r="E270" s="526">
        <f t="shared" si="25"/>
        <v>279</v>
      </c>
      <c r="F270" s="526">
        <f t="shared" si="25"/>
        <v>280</v>
      </c>
      <c r="G270" s="526">
        <f t="shared" si="25"/>
        <v>281</v>
      </c>
      <c r="H270" s="526">
        <f t="shared" si="25"/>
        <v>282</v>
      </c>
      <c r="I270" s="526">
        <f t="shared" si="25"/>
        <v>283</v>
      </c>
      <c r="J270" s="526">
        <f t="shared" si="25"/>
        <v>284</v>
      </c>
      <c r="K270" s="526">
        <f t="shared" si="25"/>
        <v>285</v>
      </c>
      <c r="L270" s="526">
        <f t="shared" si="25"/>
        <v>286</v>
      </c>
      <c r="M270" s="526">
        <f t="shared" si="25"/>
        <v>287</v>
      </c>
      <c r="N270" s="526">
        <f t="shared" si="25"/>
        <v>288</v>
      </c>
      <c r="O270" s="526">
        <f t="shared" si="25"/>
        <v>289</v>
      </c>
      <c r="P270" s="526">
        <f t="shared" si="25"/>
        <v>290</v>
      </c>
      <c r="Q270" s="526">
        <f t="shared" si="25"/>
        <v>291</v>
      </c>
      <c r="R270" s="526">
        <f t="shared" si="25"/>
        <v>292</v>
      </c>
      <c r="S270" s="526">
        <f t="shared" si="25"/>
        <v>293</v>
      </c>
      <c r="T270" s="526">
        <f t="shared" si="26"/>
        <v>294</v>
      </c>
      <c r="U270" s="526">
        <f t="shared" si="26"/>
        <v>295</v>
      </c>
      <c r="V270" s="526">
        <f t="shared" si="26"/>
        <v>296</v>
      </c>
      <c r="W270" s="526">
        <f t="shared" si="26"/>
        <v>297</v>
      </c>
      <c r="X270" s="526">
        <f t="shared" si="26"/>
        <v>298</v>
      </c>
      <c r="Y270" s="526">
        <f t="shared" si="26"/>
        <v>299</v>
      </c>
    </row>
    <row r="271" spans="2:25" s="526" customFormat="1" ht="15.75">
      <c r="B271" s="530" t="s">
        <v>42</v>
      </c>
      <c r="C271" s="526">
        <f t="shared" si="27"/>
        <v>300</v>
      </c>
      <c r="D271" s="526">
        <f t="shared" si="25"/>
        <v>301</v>
      </c>
      <c r="E271" s="526">
        <f t="shared" si="25"/>
        <v>302</v>
      </c>
      <c r="F271" s="526">
        <f t="shared" si="25"/>
        <v>303</v>
      </c>
      <c r="G271" s="526">
        <f t="shared" si="25"/>
        <v>304</v>
      </c>
      <c r="H271" s="526">
        <f t="shared" si="25"/>
        <v>305</v>
      </c>
      <c r="I271" s="526">
        <f t="shared" si="25"/>
        <v>306</v>
      </c>
      <c r="J271" s="526">
        <f t="shared" si="25"/>
        <v>307</v>
      </c>
      <c r="K271" s="526">
        <f t="shared" si="25"/>
        <v>308</v>
      </c>
      <c r="L271" s="526">
        <f t="shared" si="25"/>
        <v>309</v>
      </c>
      <c r="M271" s="526">
        <f t="shared" si="25"/>
        <v>310</v>
      </c>
      <c r="N271" s="526">
        <f t="shared" si="25"/>
        <v>311</v>
      </c>
      <c r="O271" s="526">
        <f t="shared" si="25"/>
        <v>312</v>
      </c>
      <c r="P271" s="526">
        <f t="shared" si="25"/>
        <v>313</v>
      </c>
      <c r="Q271" s="526">
        <f t="shared" si="25"/>
        <v>314</v>
      </c>
      <c r="R271" s="526">
        <f t="shared" si="25"/>
        <v>315</v>
      </c>
      <c r="S271" s="526">
        <f t="shared" si="25"/>
        <v>316</v>
      </c>
      <c r="T271" s="526">
        <f t="shared" si="26"/>
        <v>317</v>
      </c>
      <c r="U271" s="526">
        <f t="shared" si="26"/>
        <v>318</v>
      </c>
      <c r="V271" s="526">
        <f t="shared" si="26"/>
        <v>319</v>
      </c>
      <c r="W271" s="526">
        <f t="shared" si="26"/>
        <v>320</v>
      </c>
      <c r="X271" s="526">
        <f t="shared" si="26"/>
        <v>321</v>
      </c>
      <c r="Y271" s="526">
        <f t="shared" si="26"/>
        <v>322</v>
      </c>
    </row>
    <row r="272" spans="2:25" s="526" customFormat="1" ht="15.75">
      <c r="B272" s="530" t="s">
        <v>43</v>
      </c>
      <c r="C272" s="526">
        <f t="shared" si="27"/>
        <v>323</v>
      </c>
      <c r="D272" s="526">
        <f t="shared" si="25"/>
        <v>324</v>
      </c>
      <c r="E272" s="526">
        <f t="shared" si="25"/>
        <v>325</v>
      </c>
      <c r="F272" s="526">
        <f t="shared" si="25"/>
        <v>326</v>
      </c>
      <c r="G272" s="526">
        <f t="shared" si="25"/>
        <v>327</v>
      </c>
      <c r="H272" s="526">
        <f t="shared" si="25"/>
        <v>328</v>
      </c>
      <c r="I272" s="526">
        <f t="shared" si="25"/>
        <v>329</v>
      </c>
      <c r="J272" s="526">
        <f t="shared" si="25"/>
        <v>330</v>
      </c>
      <c r="K272" s="526">
        <f t="shared" si="25"/>
        <v>331</v>
      </c>
      <c r="L272" s="526">
        <f t="shared" si="25"/>
        <v>332</v>
      </c>
      <c r="M272" s="526">
        <f t="shared" si="25"/>
        <v>333</v>
      </c>
      <c r="N272" s="526">
        <f t="shared" si="25"/>
        <v>334</v>
      </c>
      <c r="O272" s="526">
        <f t="shared" si="25"/>
        <v>335</v>
      </c>
      <c r="P272" s="526">
        <f t="shared" si="25"/>
        <v>336</v>
      </c>
      <c r="Q272" s="526">
        <f t="shared" si="25"/>
        <v>337</v>
      </c>
      <c r="R272" s="526">
        <f t="shared" si="25"/>
        <v>338</v>
      </c>
      <c r="S272" s="526">
        <f t="shared" si="25"/>
        <v>339</v>
      </c>
      <c r="T272" s="526">
        <f t="shared" si="26"/>
        <v>340</v>
      </c>
      <c r="U272" s="526">
        <f t="shared" si="26"/>
        <v>341</v>
      </c>
      <c r="V272" s="526">
        <f t="shared" si="26"/>
        <v>342</v>
      </c>
      <c r="W272" s="526">
        <f t="shared" si="26"/>
        <v>343</v>
      </c>
      <c r="X272" s="526">
        <f t="shared" si="26"/>
        <v>344</v>
      </c>
      <c r="Y272" s="526">
        <f t="shared" si="26"/>
        <v>345</v>
      </c>
    </row>
    <row r="273" spans="2:25" s="526" customFormat="1" ht="15.75">
      <c r="B273" s="530" t="s">
        <v>44</v>
      </c>
      <c r="C273" s="526">
        <f t="shared" si="27"/>
        <v>346</v>
      </c>
      <c r="D273" s="526">
        <f t="shared" si="25"/>
        <v>347</v>
      </c>
      <c r="E273" s="526">
        <f t="shared" si="25"/>
        <v>348</v>
      </c>
      <c r="F273" s="526">
        <f t="shared" si="25"/>
        <v>349</v>
      </c>
      <c r="G273" s="526">
        <f t="shared" si="25"/>
        <v>350</v>
      </c>
      <c r="H273" s="526">
        <f t="shared" si="25"/>
        <v>351</v>
      </c>
      <c r="I273" s="526">
        <f t="shared" si="25"/>
        <v>352</v>
      </c>
      <c r="J273" s="526">
        <f t="shared" si="25"/>
        <v>353</v>
      </c>
      <c r="K273" s="526">
        <f t="shared" si="25"/>
        <v>354</v>
      </c>
      <c r="L273" s="526">
        <f t="shared" si="25"/>
        <v>355</v>
      </c>
      <c r="M273" s="526">
        <f t="shared" si="25"/>
        <v>356</v>
      </c>
      <c r="N273" s="526">
        <f t="shared" si="25"/>
        <v>357</v>
      </c>
      <c r="O273" s="526">
        <f t="shared" si="25"/>
        <v>358</v>
      </c>
      <c r="P273" s="526">
        <f t="shared" si="25"/>
        <v>359</v>
      </c>
      <c r="Q273" s="526">
        <f t="shared" si="25"/>
        <v>360</v>
      </c>
      <c r="R273" s="526">
        <f t="shared" si="25"/>
        <v>361</v>
      </c>
      <c r="S273" s="526">
        <f t="shared" ref="D273:S286" si="28">R273+1</f>
        <v>362</v>
      </c>
      <c r="T273" s="526">
        <f t="shared" si="26"/>
        <v>363</v>
      </c>
      <c r="U273" s="526">
        <f t="shared" si="26"/>
        <v>364</v>
      </c>
      <c r="V273" s="526">
        <f t="shared" si="26"/>
        <v>365</v>
      </c>
      <c r="W273" s="526">
        <f t="shared" si="26"/>
        <v>366</v>
      </c>
      <c r="X273" s="526">
        <f t="shared" si="26"/>
        <v>367</v>
      </c>
      <c r="Y273" s="526">
        <f t="shared" si="26"/>
        <v>368</v>
      </c>
    </row>
    <row r="274" spans="2:25" s="526" customFormat="1" ht="15.75">
      <c r="B274" s="530" t="s">
        <v>45</v>
      </c>
      <c r="C274" s="526">
        <f t="shared" si="27"/>
        <v>369</v>
      </c>
      <c r="D274" s="526">
        <f t="shared" si="28"/>
        <v>370</v>
      </c>
      <c r="E274" s="526">
        <f t="shared" si="28"/>
        <v>371</v>
      </c>
      <c r="F274" s="526">
        <f t="shared" si="28"/>
        <v>372</v>
      </c>
      <c r="G274" s="526">
        <f t="shared" si="28"/>
        <v>373</v>
      </c>
      <c r="H274" s="526">
        <f t="shared" si="28"/>
        <v>374</v>
      </c>
      <c r="I274" s="526">
        <f t="shared" si="28"/>
        <v>375</v>
      </c>
      <c r="J274" s="526">
        <f t="shared" si="28"/>
        <v>376</v>
      </c>
      <c r="K274" s="526">
        <f t="shared" si="28"/>
        <v>377</v>
      </c>
      <c r="L274" s="526">
        <f t="shared" si="28"/>
        <v>378</v>
      </c>
      <c r="M274" s="526">
        <f t="shared" si="28"/>
        <v>379</v>
      </c>
      <c r="N274" s="526">
        <f t="shared" si="28"/>
        <v>380</v>
      </c>
      <c r="O274" s="526">
        <f t="shared" si="28"/>
        <v>381</v>
      </c>
      <c r="P274" s="526">
        <f t="shared" si="28"/>
        <v>382</v>
      </c>
      <c r="Q274" s="526">
        <f t="shared" si="28"/>
        <v>383</v>
      </c>
      <c r="R274" s="526">
        <f t="shared" si="28"/>
        <v>384</v>
      </c>
      <c r="S274" s="526">
        <f t="shared" si="28"/>
        <v>385</v>
      </c>
      <c r="T274" s="526">
        <f t="shared" ref="S274:Y286" si="29">S274+1</f>
        <v>386</v>
      </c>
      <c r="U274" s="526">
        <f t="shared" si="29"/>
        <v>387</v>
      </c>
      <c r="V274" s="526">
        <f t="shared" si="29"/>
        <v>388</v>
      </c>
      <c r="W274" s="526">
        <f t="shared" si="29"/>
        <v>389</v>
      </c>
      <c r="X274" s="526">
        <f t="shared" si="29"/>
        <v>390</v>
      </c>
      <c r="Y274" s="526">
        <f t="shared" si="29"/>
        <v>391</v>
      </c>
    </row>
    <row r="275" spans="2:25" s="526" customFormat="1" ht="15.75">
      <c r="B275" s="530" t="s">
        <v>295</v>
      </c>
      <c r="C275" s="526">
        <f t="shared" si="27"/>
        <v>392</v>
      </c>
      <c r="D275" s="526">
        <f t="shared" si="28"/>
        <v>393</v>
      </c>
      <c r="E275" s="526">
        <f t="shared" si="28"/>
        <v>394</v>
      </c>
      <c r="F275" s="526">
        <f t="shared" si="28"/>
        <v>395</v>
      </c>
      <c r="G275" s="526">
        <f t="shared" si="28"/>
        <v>396</v>
      </c>
      <c r="H275" s="526">
        <f t="shared" si="28"/>
        <v>397</v>
      </c>
      <c r="I275" s="526">
        <f t="shared" si="28"/>
        <v>398</v>
      </c>
      <c r="J275" s="526">
        <f t="shared" si="28"/>
        <v>399</v>
      </c>
      <c r="K275" s="526">
        <f t="shared" si="28"/>
        <v>400</v>
      </c>
      <c r="L275" s="526">
        <f t="shared" si="28"/>
        <v>401</v>
      </c>
      <c r="M275" s="526">
        <f t="shared" si="28"/>
        <v>402</v>
      </c>
      <c r="N275" s="526">
        <f t="shared" si="28"/>
        <v>403</v>
      </c>
      <c r="O275" s="526">
        <f t="shared" si="28"/>
        <v>404</v>
      </c>
      <c r="P275" s="526">
        <f t="shared" si="28"/>
        <v>405</v>
      </c>
      <c r="Q275" s="526">
        <f t="shared" si="28"/>
        <v>406</v>
      </c>
      <c r="R275" s="526">
        <f t="shared" si="28"/>
        <v>407</v>
      </c>
      <c r="S275" s="526">
        <f t="shared" si="28"/>
        <v>408</v>
      </c>
      <c r="T275" s="526">
        <f t="shared" si="29"/>
        <v>409</v>
      </c>
      <c r="U275" s="526">
        <f t="shared" si="29"/>
        <v>410</v>
      </c>
      <c r="V275" s="526">
        <f t="shared" si="29"/>
        <v>411</v>
      </c>
      <c r="W275" s="526">
        <f t="shared" si="29"/>
        <v>412</v>
      </c>
      <c r="X275" s="526">
        <f t="shared" si="29"/>
        <v>413</v>
      </c>
      <c r="Y275" s="526">
        <f t="shared" si="29"/>
        <v>414</v>
      </c>
    </row>
    <row r="276" spans="2:25" s="526" customFormat="1" ht="15.75">
      <c r="B276" s="530" t="s">
        <v>47</v>
      </c>
      <c r="C276" s="526">
        <f t="shared" si="27"/>
        <v>415</v>
      </c>
      <c r="D276" s="526">
        <f t="shared" si="28"/>
        <v>416</v>
      </c>
      <c r="E276" s="526">
        <f t="shared" si="28"/>
        <v>417</v>
      </c>
      <c r="F276" s="526">
        <f t="shared" si="28"/>
        <v>418</v>
      </c>
      <c r="G276" s="526">
        <f t="shared" si="28"/>
        <v>419</v>
      </c>
      <c r="H276" s="526">
        <f t="shared" si="28"/>
        <v>420</v>
      </c>
      <c r="I276" s="526">
        <f t="shared" si="28"/>
        <v>421</v>
      </c>
      <c r="J276" s="526">
        <f t="shared" si="28"/>
        <v>422</v>
      </c>
      <c r="K276" s="526">
        <f t="shared" si="28"/>
        <v>423</v>
      </c>
      <c r="L276" s="526">
        <f t="shared" si="28"/>
        <v>424</v>
      </c>
      <c r="M276" s="526">
        <f t="shared" si="28"/>
        <v>425</v>
      </c>
      <c r="N276" s="526">
        <f t="shared" si="28"/>
        <v>426</v>
      </c>
      <c r="O276" s="526">
        <f t="shared" si="28"/>
        <v>427</v>
      </c>
      <c r="P276" s="526">
        <f t="shared" si="28"/>
        <v>428</v>
      </c>
      <c r="Q276" s="526">
        <f t="shared" si="28"/>
        <v>429</v>
      </c>
      <c r="R276" s="526">
        <f t="shared" si="28"/>
        <v>430</v>
      </c>
      <c r="S276" s="526">
        <f t="shared" si="28"/>
        <v>431</v>
      </c>
      <c r="T276" s="526">
        <f t="shared" si="29"/>
        <v>432</v>
      </c>
      <c r="U276" s="526">
        <f t="shared" si="29"/>
        <v>433</v>
      </c>
      <c r="V276" s="526">
        <f t="shared" si="29"/>
        <v>434</v>
      </c>
      <c r="W276" s="526">
        <f t="shared" si="29"/>
        <v>435</v>
      </c>
      <c r="X276" s="526">
        <f t="shared" si="29"/>
        <v>436</v>
      </c>
      <c r="Y276" s="526">
        <f t="shared" si="29"/>
        <v>437</v>
      </c>
    </row>
    <row r="277" spans="2:25" s="526" customFormat="1" ht="15.75">
      <c r="B277" s="530" t="s">
        <v>48</v>
      </c>
      <c r="C277" s="526">
        <f t="shared" si="27"/>
        <v>438</v>
      </c>
      <c r="D277" s="526">
        <f t="shared" si="28"/>
        <v>439</v>
      </c>
      <c r="E277" s="526">
        <f t="shared" si="28"/>
        <v>440</v>
      </c>
      <c r="F277" s="526">
        <f t="shared" si="28"/>
        <v>441</v>
      </c>
      <c r="G277" s="526">
        <f t="shared" si="28"/>
        <v>442</v>
      </c>
      <c r="H277" s="526">
        <f t="shared" si="28"/>
        <v>443</v>
      </c>
      <c r="I277" s="526">
        <f t="shared" si="28"/>
        <v>444</v>
      </c>
      <c r="J277" s="526">
        <f t="shared" si="28"/>
        <v>445</v>
      </c>
      <c r="K277" s="526">
        <f t="shared" si="28"/>
        <v>446</v>
      </c>
      <c r="L277" s="526">
        <f t="shared" si="28"/>
        <v>447</v>
      </c>
      <c r="M277" s="526">
        <f t="shared" si="28"/>
        <v>448</v>
      </c>
      <c r="N277" s="526">
        <f t="shared" si="28"/>
        <v>449</v>
      </c>
      <c r="O277" s="526">
        <f t="shared" si="28"/>
        <v>450</v>
      </c>
      <c r="P277" s="526">
        <f t="shared" si="28"/>
        <v>451</v>
      </c>
      <c r="Q277" s="526">
        <f t="shared" si="28"/>
        <v>452</v>
      </c>
      <c r="R277" s="526">
        <f t="shared" si="28"/>
        <v>453</v>
      </c>
      <c r="S277" s="526">
        <f t="shared" si="28"/>
        <v>454</v>
      </c>
      <c r="T277" s="526">
        <f t="shared" si="29"/>
        <v>455</v>
      </c>
      <c r="U277" s="526">
        <f t="shared" si="29"/>
        <v>456</v>
      </c>
      <c r="V277" s="526">
        <f t="shared" si="29"/>
        <v>457</v>
      </c>
      <c r="W277" s="526">
        <f t="shared" si="29"/>
        <v>458</v>
      </c>
      <c r="X277" s="526">
        <f t="shared" si="29"/>
        <v>459</v>
      </c>
      <c r="Y277" s="526">
        <f t="shared" si="29"/>
        <v>460</v>
      </c>
    </row>
    <row r="278" spans="2:25" s="526" customFormat="1" ht="15.75">
      <c r="B278" s="530" t="s">
        <v>176</v>
      </c>
      <c r="C278" s="526">
        <f t="shared" si="27"/>
        <v>461</v>
      </c>
      <c r="D278" s="526">
        <f t="shared" si="28"/>
        <v>462</v>
      </c>
      <c r="E278" s="526">
        <f t="shared" si="28"/>
        <v>463</v>
      </c>
      <c r="F278" s="526">
        <f t="shared" si="28"/>
        <v>464</v>
      </c>
      <c r="G278" s="526">
        <f t="shared" si="28"/>
        <v>465</v>
      </c>
      <c r="H278" s="526">
        <f t="shared" si="28"/>
        <v>466</v>
      </c>
      <c r="I278" s="526">
        <f t="shared" si="28"/>
        <v>467</v>
      </c>
      <c r="J278" s="526">
        <f t="shared" si="28"/>
        <v>468</v>
      </c>
      <c r="K278" s="526">
        <f t="shared" si="28"/>
        <v>469</v>
      </c>
      <c r="L278" s="526">
        <f t="shared" si="28"/>
        <v>470</v>
      </c>
      <c r="M278" s="526">
        <f t="shared" si="28"/>
        <v>471</v>
      </c>
      <c r="N278" s="526">
        <f t="shared" si="28"/>
        <v>472</v>
      </c>
      <c r="O278" s="526">
        <f t="shared" si="28"/>
        <v>473</v>
      </c>
      <c r="P278" s="526">
        <f t="shared" si="28"/>
        <v>474</v>
      </c>
      <c r="Q278" s="526">
        <f t="shared" si="28"/>
        <v>475</v>
      </c>
      <c r="R278" s="526">
        <f t="shared" si="28"/>
        <v>476</v>
      </c>
      <c r="S278" s="526">
        <f t="shared" si="28"/>
        <v>477</v>
      </c>
      <c r="T278" s="526">
        <f t="shared" si="29"/>
        <v>478</v>
      </c>
      <c r="U278" s="526">
        <f t="shared" si="29"/>
        <v>479</v>
      </c>
      <c r="V278" s="526">
        <f t="shared" si="29"/>
        <v>480</v>
      </c>
      <c r="W278" s="526">
        <f t="shared" si="29"/>
        <v>481</v>
      </c>
      <c r="X278" s="526">
        <f t="shared" si="29"/>
        <v>482</v>
      </c>
      <c r="Y278" s="526">
        <f t="shared" si="29"/>
        <v>483</v>
      </c>
    </row>
    <row r="279" spans="2:25" s="526" customFormat="1" ht="15.75">
      <c r="B279" s="530" t="s">
        <v>124</v>
      </c>
      <c r="C279" s="526">
        <f t="shared" si="27"/>
        <v>484</v>
      </c>
      <c r="D279" s="526">
        <f t="shared" si="28"/>
        <v>485</v>
      </c>
      <c r="E279" s="526">
        <f t="shared" si="28"/>
        <v>486</v>
      </c>
      <c r="F279" s="526">
        <f t="shared" si="28"/>
        <v>487</v>
      </c>
      <c r="G279" s="526">
        <f t="shared" si="28"/>
        <v>488</v>
      </c>
      <c r="H279" s="526">
        <f t="shared" si="28"/>
        <v>489</v>
      </c>
      <c r="I279" s="526">
        <f t="shared" si="28"/>
        <v>490</v>
      </c>
      <c r="J279" s="526">
        <f t="shared" si="28"/>
        <v>491</v>
      </c>
      <c r="K279" s="526">
        <f t="shared" si="28"/>
        <v>492</v>
      </c>
      <c r="L279" s="526">
        <f t="shared" si="28"/>
        <v>493</v>
      </c>
      <c r="M279" s="526">
        <f t="shared" si="28"/>
        <v>494</v>
      </c>
      <c r="N279" s="526">
        <f t="shared" si="28"/>
        <v>495</v>
      </c>
      <c r="O279" s="526">
        <f t="shared" si="28"/>
        <v>496</v>
      </c>
      <c r="P279" s="526">
        <f t="shared" si="28"/>
        <v>497</v>
      </c>
      <c r="Q279" s="526">
        <f t="shared" si="28"/>
        <v>498</v>
      </c>
      <c r="R279" s="526">
        <f t="shared" si="28"/>
        <v>499</v>
      </c>
      <c r="S279" s="526">
        <f t="shared" si="28"/>
        <v>500</v>
      </c>
      <c r="T279" s="526">
        <f t="shared" si="29"/>
        <v>501</v>
      </c>
      <c r="U279" s="526">
        <f t="shared" si="29"/>
        <v>502</v>
      </c>
      <c r="V279" s="526">
        <f t="shared" si="29"/>
        <v>503</v>
      </c>
      <c r="W279" s="526">
        <f t="shared" si="29"/>
        <v>504</v>
      </c>
      <c r="X279" s="526">
        <f t="shared" si="29"/>
        <v>505</v>
      </c>
      <c r="Y279" s="526">
        <f t="shared" si="29"/>
        <v>506</v>
      </c>
    </row>
    <row r="280" spans="2:25" s="526" customFormat="1" ht="15.75">
      <c r="B280" s="530" t="s">
        <v>125</v>
      </c>
      <c r="C280" s="526">
        <f t="shared" si="27"/>
        <v>507</v>
      </c>
      <c r="D280" s="526">
        <f t="shared" si="28"/>
        <v>508</v>
      </c>
      <c r="E280" s="526">
        <f t="shared" si="28"/>
        <v>509</v>
      </c>
      <c r="F280" s="526">
        <f t="shared" si="28"/>
        <v>510</v>
      </c>
      <c r="G280" s="526">
        <f t="shared" si="28"/>
        <v>511</v>
      </c>
      <c r="H280" s="526">
        <f t="shared" si="28"/>
        <v>512</v>
      </c>
      <c r="I280" s="526">
        <f t="shared" si="28"/>
        <v>513</v>
      </c>
      <c r="J280" s="526">
        <f t="shared" si="28"/>
        <v>514</v>
      </c>
      <c r="K280" s="526">
        <f t="shared" si="28"/>
        <v>515</v>
      </c>
      <c r="L280" s="526">
        <f t="shared" si="28"/>
        <v>516</v>
      </c>
      <c r="M280" s="526">
        <f t="shared" si="28"/>
        <v>517</v>
      </c>
      <c r="N280" s="526">
        <f t="shared" si="28"/>
        <v>518</v>
      </c>
      <c r="O280" s="526">
        <f t="shared" si="28"/>
        <v>519</v>
      </c>
      <c r="P280" s="526">
        <f t="shared" si="28"/>
        <v>520</v>
      </c>
      <c r="Q280" s="526">
        <f t="shared" si="28"/>
        <v>521</v>
      </c>
      <c r="R280" s="526">
        <f t="shared" si="28"/>
        <v>522</v>
      </c>
      <c r="S280" s="526">
        <f t="shared" si="28"/>
        <v>523</v>
      </c>
      <c r="T280" s="526">
        <f t="shared" si="29"/>
        <v>524</v>
      </c>
      <c r="U280" s="526">
        <f t="shared" si="29"/>
        <v>525</v>
      </c>
      <c r="V280" s="526">
        <f t="shared" si="29"/>
        <v>526</v>
      </c>
      <c r="W280" s="526">
        <f t="shared" si="29"/>
        <v>527</v>
      </c>
      <c r="X280" s="526">
        <f t="shared" si="29"/>
        <v>528</v>
      </c>
      <c r="Y280" s="526">
        <f t="shared" si="29"/>
        <v>529</v>
      </c>
    </row>
    <row r="281" spans="2:25" s="526" customFormat="1" ht="15.75">
      <c r="B281" s="530" t="s">
        <v>52</v>
      </c>
      <c r="C281" s="526">
        <f t="shared" si="27"/>
        <v>530</v>
      </c>
      <c r="D281" s="526">
        <f t="shared" si="28"/>
        <v>531</v>
      </c>
      <c r="E281" s="526">
        <f t="shared" si="28"/>
        <v>532</v>
      </c>
      <c r="F281" s="526">
        <f t="shared" si="28"/>
        <v>533</v>
      </c>
      <c r="G281" s="526">
        <f t="shared" si="28"/>
        <v>534</v>
      </c>
      <c r="H281" s="526">
        <f t="shared" si="28"/>
        <v>535</v>
      </c>
      <c r="I281" s="526">
        <f t="shared" si="28"/>
        <v>536</v>
      </c>
      <c r="J281" s="526">
        <f t="shared" si="28"/>
        <v>537</v>
      </c>
      <c r="K281" s="526">
        <f t="shared" si="28"/>
        <v>538</v>
      </c>
      <c r="L281" s="526">
        <f t="shared" si="28"/>
        <v>539</v>
      </c>
      <c r="M281" s="526">
        <f t="shared" si="28"/>
        <v>540</v>
      </c>
      <c r="N281" s="526">
        <f t="shared" si="28"/>
        <v>541</v>
      </c>
      <c r="O281" s="526">
        <f t="shared" si="28"/>
        <v>542</v>
      </c>
      <c r="P281" s="526">
        <f t="shared" si="28"/>
        <v>543</v>
      </c>
      <c r="Q281" s="526">
        <f t="shared" si="28"/>
        <v>544</v>
      </c>
      <c r="R281" s="526">
        <f t="shared" si="28"/>
        <v>545</v>
      </c>
      <c r="S281" s="526">
        <f t="shared" si="28"/>
        <v>546</v>
      </c>
      <c r="T281" s="526">
        <f t="shared" si="29"/>
        <v>547</v>
      </c>
      <c r="U281" s="526">
        <f t="shared" si="29"/>
        <v>548</v>
      </c>
      <c r="V281" s="526">
        <f t="shared" si="29"/>
        <v>549</v>
      </c>
      <c r="W281" s="526">
        <f t="shared" si="29"/>
        <v>550</v>
      </c>
      <c r="X281" s="526">
        <f t="shared" si="29"/>
        <v>551</v>
      </c>
      <c r="Y281" s="526">
        <f t="shared" si="29"/>
        <v>552</v>
      </c>
    </row>
    <row r="282" spans="2:25" s="526" customFormat="1" ht="15.75">
      <c r="B282" s="530" t="s">
        <v>53</v>
      </c>
      <c r="C282" s="526">
        <f t="shared" si="27"/>
        <v>553</v>
      </c>
      <c r="D282" s="526">
        <f t="shared" si="28"/>
        <v>554</v>
      </c>
      <c r="E282" s="526">
        <f t="shared" si="28"/>
        <v>555</v>
      </c>
      <c r="F282" s="526">
        <f t="shared" si="28"/>
        <v>556</v>
      </c>
      <c r="G282" s="526">
        <f t="shared" si="28"/>
        <v>557</v>
      </c>
      <c r="H282" s="526">
        <f t="shared" si="28"/>
        <v>558</v>
      </c>
      <c r="I282" s="526">
        <f t="shared" si="28"/>
        <v>559</v>
      </c>
      <c r="J282" s="526">
        <f t="shared" si="28"/>
        <v>560</v>
      </c>
      <c r="K282" s="526">
        <f t="shared" si="28"/>
        <v>561</v>
      </c>
      <c r="L282" s="526">
        <f t="shared" si="28"/>
        <v>562</v>
      </c>
      <c r="M282" s="526">
        <f t="shared" si="28"/>
        <v>563</v>
      </c>
      <c r="N282" s="526">
        <f t="shared" si="28"/>
        <v>564</v>
      </c>
      <c r="O282" s="526">
        <f t="shared" si="28"/>
        <v>565</v>
      </c>
      <c r="P282" s="526">
        <f t="shared" si="28"/>
        <v>566</v>
      </c>
      <c r="Q282" s="526">
        <f t="shared" si="28"/>
        <v>567</v>
      </c>
      <c r="R282" s="526">
        <f t="shared" si="28"/>
        <v>568</v>
      </c>
      <c r="S282" s="526">
        <f t="shared" si="28"/>
        <v>569</v>
      </c>
      <c r="T282" s="526">
        <f t="shared" si="29"/>
        <v>570</v>
      </c>
      <c r="U282" s="526">
        <f t="shared" si="29"/>
        <v>571</v>
      </c>
      <c r="V282" s="526">
        <f t="shared" si="29"/>
        <v>572</v>
      </c>
      <c r="W282" s="526">
        <f t="shared" si="29"/>
        <v>573</v>
      </c>
      <c r="X282" s="526">
        <f t="shared" si="29"/>
        <v>574</v>
      </c>
      <c r="Y282" s="526">
        <f t="shared" si="29"/>
        <v>575</v>
      </c>
    </row>
    <row r="283" spans="2:25" s="526" customFormat="1" ht="15.75">
      <c r="B283" s="530" t="s">
        <v>54</v>
      </c>
      <c r="C283" s="526">
        <f t="shared" si="27"/>
        <v>576</v>
      </c>
      <c r="D283" s="526">
        <f t="shared" si="28"/>
        <v>577</v>
      </c>
      <c r="E283" s="526">
        <f t="shared" si="28"/>
        <v>578</v>
      </c>
      <c r="F283" s="526">
        <f t="shared" si="28"/>
        <v>579</v>
      </c>
      <c r="G283" s="526">
        <f t="shared" si="28"/>
        <v>580</v>
      </c>
      <c r="H283" s="526">
        <f t="shared" si="28"/>
        <v>581</v>
      </c>
      <c r="I283" s="526">
        <f t="shared" si="28"/>
        <v>582</v>
      </c>
      <c r="J283" s="526">
        <f t="shared" si="28"/>
        <v>583</v>
      </c>
      <c r="K283" s="526">
        <f t="shared" si="28"/>
        <v>584</v>
      </c>
      <c r="L283" s="526">
        <f t="shared" si="28"/>
        <v>585</v>
      </c>
      <c r="M283" s="526">
        <f t="shared" si="28"/>
        <v>586</v>
      </c>
      <c r="N283" s="526">
        <f t="shared" si="28"/>
        <v>587</v>
      </c>
      <c r="O283" s="526">
        <f t="shared" si="28"/>
        <v>588</v>
      </c>
      <c r="P283" s="526">
        <f t="shared" si="28"/>
        <v>589</v>
      </c>
      <c r="Q283" s="526">
        <f t="shared" si="28"/>
        <v>590</v>
      </c>
      <c r="R283" s="526">
        <f t="shared" si="28"/>
        <v>591</v>
      </c>
      <c r="S283" s="526">
        <f t="shared" si="28"/>
        <v>592</v>
      </c>
      <c r="T283" s="526">
        <f t="shared" si="29"/>
        <v>593</v>
      </c>
      <c r="U283" s="526">
        <f t="shared" si="29"/>
        <v>594</v>
      </c>
      <c r="V283" s="526">
        <f t="shared" si="29"/>
        <v>595</v>
      </c>
      <c r="W283" s="526">
        <f t="shared" si="29"/>
        <v>596</v>
      </c>
      <c r="X283" s="526">
        <f t="shared" si="29"/>
        <v>597</v>
      </c>
      <c r="Y283" s="526">
        <f t="shared" si="29"/>
        <v>598</v>
      </c>
    </row>
    <row r="284" spans="2:25" s="526" customFormat="1" ht="15.75">
      <c r="B284" s="530" t="s">
        <v>55</v>
      </c>
      <c r="C284" s="526">
        <f t="shared" si="27"/>
        <v>599</v>
      </c>
      <c r="D284" s="526">
        <f t="shared" si="28"/>
        <v>600</v>
      </c>
      <c r="E284" s="526">
        <f t="shared" si="28"/>
        <v>601</v>
      </c>
      <c r="F284" s="526">
        <f t="shared" si="28"/>
        <v>602</v>
      </c>
      <c r="G284" s="526">
        <f t="shared" si="28"/>
        <v>603</v>
      </c>
      <c r="H284" s="526">
        <f t="shared" si="28"/>
        <v>604</v>
      </c>
      <c r="I284" s="526">
        <f t="shared" si="28"/>
        <v>605</v>
      </c>
      <c r="J284" s="526">
        <f t="shared" si="28"/>
        <v>606</v>
      </c>
      <c r="K284" s="526">
        <f t="shared" si="28"/>
        <v>607</v>
      </c>
      <c r="L284" s="526">
        <f t="shared" si="28"/>
        <v>608</v>
      </c>
      <c r="M284" s="526">
        <f t="shared" si="28"/>
        <v>609</v>
      </c>
      <c r="N284" s="526">
        <f t="shared" si="28"/>
        <v>610</v>
      </c>
      <c r="O284" s="526">
        <f t="shared" si="28"/>
        <v>611</v>
      </c>
      <c r="P284" s="526">
        <f t="shared" si="28"/>
        <v>612</v>
      </c>
      <c r="Q284" s="526">
        <f t="shared" si="28"/>
        <v>613</v>
      </c>
      <c r="R284" s="526">
        <f t="shared" si="28"/>
        <v>614</v>
      </c>
      <c r="S284" s="526">
        <f t="shared" si="28"/>
        <v>615</v>
      </c>
      <c r="T284" s="526">
        <f t="shared" si="29"/>
        <v>616</v>
      </c>
      <c r="U284" s="526">
        <f t="shared" si="29"/>
        <v>617</v>
      </c>
      <c r="V284" s="526">
        <f t="shared" si="29"/>
        <v>618</v>
      </c>
      <c r="W284" s="526">
        <f t="shared" si="29"/>
        <v>619</v>
      </c>
      <c r="X284" s="526">
        <f t="shared" si="29"/>
        <v>620</v>
      </c>
      <c r="Y284" s="526">
        <f t="shared" si="29"/>
        <v>621</v>
      </c>
    </row>
    <row r="285" spans="2:25" s="526" customFormat="1" ht="15.75">
      <c r="B285" s="530" t="s">
        <v>214</v>
      </c>
      <c r="C285" s="526">
        <f t="shared" si="27"/>
        <v>622</v>
      </c>
      <c r="D285" s="526">
        <f t="shared" si="28"/>
        <v>623</v>
      </c>
      <c r="E285" s="526">
        <f t="shared" si="28"/>
        <v>624</v>
      </c>
      <c r="F285" s="526">
        <f t="shared" si="28"/>
        <v>625</v>
      </c>
      <c r="G285" s="526">
        <f t="shared" si="28"/>
        <v>626</v>
      </c>
      <c r="H285" s="526">
        <f t="shared" si="28"/>
        <v>627</v>
      </c>
      <c r="I285" s="526">
        <f t="shared" si="28"/>
        <v>628</v>
      </c>
      <c r="J285" s="526">
        <f t="shared" si="28"/>
        <v>629</v>
      </c>
      <c r="K285" s="526">
        <f t="shared" si="28"/>
        <v>630</v>
      </c>
      <c r="L285" s="526">
        <f t="shared" si="28"/>
        <v>631</v>
      </c>
      <c r="M285" s="526">
        <f t="shared" si="28"/>
        <v>632</v>
      </c>
      <c r="N285" s="526">
        <f t="shared" si="28"/>
        <v>633</v>
      </c>
      <c r="O285" s="526">
        <f t="shared" si="28"/>
        <v>634</v>
      </c>
      <c r="P285" s="526">
        <f t="shared" si="28"/>
        <v>635</v>
      </c>
      <c r="Q285" s="526">
        <f t="shared" si="28"/>
        <v>636</v>
      </c>
      <c r="R285" s="526">
        <f t="shared" si="28"/>
        <v>637</v>
      </c>
      <c r="S285" s="526">
        <f t="shared" si="28"/>
        <v>638</v>
      </c>
      <c r="T285" s="526">
        <f t="shared" si="29"/>
        <v>639</v>
      </c>
      <c r="U285" s="526">
        <f t="shared" si="29"/>
        <v>640</v>
      </c>
      <c r="V285" s="526">
        <f t="shared" si="29"/>
        <v>641</v>
      </c>
      <c r="W285" s="526">
        <f t="shared" si="29"/>
        <v>642</v>
      </c>
      <c r="X285" s="526">
        <f t="shared" si="29"/>
        <v>643</v>
      </c>
      <c r="Y285" s="526">
        <f t="shared" si="29"/>
        <v>644</v>
      </c>
    </row>
    <row r="286" spans="2:25" s="526" customFormat="1" ht="15.75">
      <c r="B286" s="530" t="s">
        <v>57</v>
      </c>
      <c r="C286" s="526">
        <f t="shared" si="27"/>
        <v>645</v>
      </c>
      <c r="D286" s="526">
        <f t="shared" si="28"/>
        <v>646</v>
      </c>
      <c r="E286" s="526">
        <f t="shared" si="28"/>
        <v>647</v>
      </c>
      <c r="F286" s="526">
        <f t="shared" si="28"/>
        <v>648</v>
      </c>
      <c r="G286" s="526">
        <f t="shared" si="28"/>
        <v>649</v>
      </c>
      <c r="H286" s="526">
        <f t="shared" si="28"/>
        <v>650</v>
      </c>
      <c r="I286" s="526">
        <f t="shared" si="28"/>
        <v>651</v>
      </c>
      <c r="J286" s="526">
        <f t="shared" si="28"/>
        <v>652</v>
      </c>
      <c r="K286" s="526">
        <f t="shared" si="28"/>
        <v>653</v>
      </c>
      <c r="L286" s="526">
        <f t="shared" si="28"/>
        <v>654</v>
      </c>
      <c r="M286" s="526">
        <f t="shared" si="28"/>
        <v>655</v>
      </c>
      <c r="N286" s="526">
        <f t="shared" si="28"/>
        <v>656</v>
      </c>
      <c r="O286" s="526">
        <f t="shared" si="28"/>
        <v>657</v>
      </c>
      <c r="P286" s="526">
        <f t="shared" si="28"/>
        <v>658</v>
      </c>
      <c r="Q286" s="526">
        <f t="shared" si="28"/>
        <v>659</v>
      </c>
      <c r="R286" s="526">
        <f t="shared" si="28"/>
        <v>660</v>
      </c>
      <c r="S286" s="526">
        <f t="shared" si="29"/>
        <v>661</v>
      </c>
      <c r="T286" s="526">
        <f t="shared" si="29"/>
        <v>662</v>
      </c>
      <c r="U286" s="526">
        <f t="shared" si="29"/>
        <v>663</v>
      </c>
      <c r="V286" s="526">
        <f t="shared" si="29"/>
        <v>664</v>
      </c>
      <c r="W286" s="526">
        <f t="shared" si="29"/>
        <v>665</v>
      </c>
      <c r="X286" s="526">
        <f t="shared" si="29"/>
        <v>666</v>
      </c>
      <c r="Y286" s="526">
        <f t="shared" si="29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112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Alpine Energy</v>
      </c>
      <c r="C6" s="108"/>
      <c r="D6" s="109">
        <f>VLOOKUP($B$6,$B$258:$J$286,9,FALSE)</f>
        <v>8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34.530084000000002</v>
      </c>
      <c r="E7" s="407">
        <f>D7/('Industry calcs'!D4/1000)*100</f>
        <v>1.6751241202484823</v>
      </c>
    </row>
    <row r="8" spans="2:5">
      <c r="B8" s="111" t="s">
        <v>250</v>
      </c>
      <c r="C8" s="114"/>
      <c r="D8" s="406">
        <f>VLOOKUP(D6,'AV (2011)'!A8:F214,'AV (2011)'!F214,FALSE)/1000</f>
        <v>132.05891</v>
      </c>
      <c r="E8" s="407">
        <f>D8/('Industry calcs'!D5/1000)*100</f>
        <v>1.4713853600799849</v>
      </c>
    </row>
    <row r="9" spans="2:5">
      <c r="B9" s="111" t="s">
        <v>230</v>
      </c>
      <c r="C9" s="114"/>
      <c r="D9" s="406">
        <f>VLOOKUP($D$6,'FS (2011)'!$A$13:$AH$244,'FS (2011)'!S245,FALSE)/1000</f>
        <v>12.057840000000001</v>
      </c>
      <c r="E9" s="407">
        <f>D9/('Industry calcs'!D6/1000)*100</f>
        <v>2.6558682565869485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14.964587999999999</v>
      </c>
      <c r="E10" s="407">
        <f>D10/('Industry calcs'!D7/1000)*100</f>
        <v>2.5573143042921274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716.88900000000001</v>
      </c>
      <c r="E11" s="407">
        <f>D11/'Industry calcs'!D8*100</f>
        <v>2.3165993514679522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121.91800000000001</v>
      </c>
      <c r="E12" s="407">
        <f>D12/'Industry calcs'!D9*100</f>
        <v>1.9496748865393578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4120</v>
      </c>
      <c r="E13" s="407">
        <f>D13/'Industry calcs'!D10*100</f>
        <v>2.7545667243663887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30826</v>
      </c>
      <c r="E14" s="407">
        <f>D14/'Industry calcs'!D11*100</f>
        <v>1.5346434838886331</v>
      </c>
    </row>
    <row r="15" spans="2:5">
      <c r="B15" s="115" t="s">
        <v>195</v>
      </c>
      <c r="C15" s="116" t="s">
        <v>239</v>
      </c>
      <c r="D15" s="408">
        <f>D14/D13</f>
        <v>7.4820388349514566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Alpine Energy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21.545802800034217</v>
      </c>
      <c r="D20" s="409">
        <f>VLOOKUP($B$2,'MED price allocation'!$B$16:$F$44,3,FALSE)</f>
        <v>22.145152721532014</v>
      </c>
      <c r="E20" s="409">
        <f>VLOOKUP($B$2,'MED price allocation'!$B$16:$F$44,4,FALSE)</f>
        <v>21.892734768666969</v>
      </c>
      <c r="F20" s="503">
        <f>VLOOKUP($B$2,'MED price allocation'!$B$16:$F$44,5,FALSE)</f>
        <v>22.91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4.4848906503949131</v>
      </c>
      <c r="D21" s="410">
        <f>VLOOKUP($B$2,'MED price allocation'!$B$47:$F$75,3,FALSE)</f>
        <v>4.5260923879470099</v>
      </c>
      <c r="E21" s="410">
        <f>VLOOKUP($B$2,'MED price allocation'!$B$47:$F$75,4,FALSE)</f>
        <v>4.1568483737975255</v>
      </c>
      <c r="F21" s="504">
        <f>VLOOKUP($B$2,'MED price allocation'!$B$47:$F$75,5,FALSE)</f>
        <v>5.57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7.0831085512246581</v>
      </c>
      <c r="D22" s="409">
        <f>VLOOKUP($B$2,'MED price allocation'!$B$78:$F$106,3,FALSE)</f>
        <v>7.0279003363305632</v>
      </c>
      <c r="E22" s="409">
        <f>VLOOKUP($B$2,'MED price allocation'!$B$78:$F$106,4,FALSE)</f>
        <v>6.8567621459944483</v>
      </c>
      <c r="F22" s="503">
        <f>VLOOKUP($B$2,'MED price allocation'!$B$78:$F$106,5,FALSE)</f>
        <v>6.9700000000000006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2.5982179008297455</v>
      </c>
      <c r="D23" s="411">
        <f>VLOOKUP($B$2,'MED price allocation'!$B$109:$F$137,3,FALSE)</f>
        <v>2.5018079483835534</v>
      </c>
      <c r="E23" s="411">
        <f>VLOOKUP($B$2,'MED price allocation'!$B$109:$F$137,4,FALSE)</f>
        <v>2.6999137721969224</v>
      </c>
      <c r="F23" s="505">
        <f>VLOOKUP($B$2,'MED price allocation'!$B$109:$F$137,5,FALSE)</f>
        <v>1.4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Alpine Energy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1723.6642240027372</v>
      </c>
      <c r="D26" s="412">
        <f>(D20*8000)/100</f>
        <v>1771.6122177225611</v>
      </c>
      <c r="E26" s="412">
        <f>(E20*8000)/100</f>
        <v>1751.4187814933573</v>
      </c>
      <c r="F26" s="506">
        <f>(F20*8000)/100</f>
        <v>1832.8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566.6486840979727</v>
      </c>
      <c r="D27" s="412">
        <f>(D22*8000)/100</f>
        <v>562.23202690644507</v>
      </c>
      <c r="E27" s="412">
        <f>(E22*8000)/100</f>
        <v>548.54097167955592</v>
      </c>
      <c r="F27" s="506">
        <f>(F22*8000)/100</f>
        <v>557.6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358.79125203159305</v>
      </c>
      <c r="D28" s="412">
        <f>(D21*8000)/100</f>
        <v>362.08739103576079</v>
      </c>
      <c r="E28" s="412">
        <f>(E21*8000)/100</f>
        <v>332.54786990380205</v>
      </c>
      <c r="F28" s="506">
        <f>(F21*8000)/100</f>
        <v>445.6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207.85743206637963</v>
      </c>
      <c r="D29" s="413">
        <f>(D23*8000)/100</f>
        <v>200.14463587068425</v>
      </c>
      <c r="E29" s="413">
        <f>(E23*8000)/100</f>
        <v>215.99310177575379</v>
      </c>
      <c r="F29" s="507">
        <f>(F23*8000)/100</f>
        <v>112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Alpine Energy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1769.873805804664</v>
      </c>
      <c r="D32" s="122"/>
    </row>
    <row r="33" spans="2:13">
      <c r="B33" s="120" t="s">
        <v>241</v>
      </c>
      <c r="C33" s="412">
        <f>AVERAGE(C27:F27)</f>
        <v>558.75542067099343</v>
      </c>
      <c r="D33" s="414">
        <f>C33/$C$32</f>
        <v>0.31570353707616922</v>
      </c>
    </row>
    <row r="34" spans="2:13">
      <c r="B34" s="120" t="s">
        <v>222</v>
      </c>
      <c r="C34" s="412">
        <f>AVERAGE(C28:F28)</f>
        <v>374.75662824278891</v>
      </c>
      <c r="D34" s="414">
        <f>C34/$C$32</f>
        <v>0.21174200500267179</v>
      </c>
    </row>
    <row r="35" spans="2:13">
      <c r="B35" s="124" t="s">
        <v>223</v>
      </c>
      <c r="C35" s="413">
        <f>AVERAGE(C29:F29)</f>
        <v>183.99879242820441</v>
      </c>
      <c r="D35" s="415">
        <f>C35/$C$32</f>
        <v>0.10396153207349736</v>
      </c>
    </row>
    <row r="38" spans="2:13">
      <c r="B38" s="517" t="s">
        <v>227</v>
      </c>
      <c r="C38" s="518">
        <f>VLOOKUP($B$2,$B$258:$J$286,6,FALSE)</f>
        <v>5</v>
      </c>
      <c r="D38" s="518">
        <f>VLOOKUP($B$2,$B$258:$J$286,7,FALSE)</f>
        <v>6</v>
      </c>
      <c r="E38" s="518">
        <f>VLOOKUP($B$2,$B$258:$J$286,8,FALSE)</f>
        <v>7</v>
      </c>
      <c r="F38" s="519">
        <f>VLOOKUP($B$2,$B$258:$J$286,9,FALSE)</f>
        <v>8</v>
      </c>
    </row>
    <row r="39" spans="2:13">
      <c r="B39" s="137" t="str">
        <f>B2</f>
        <v>Alpine Energy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31516.059707450597</v>
      </c>
      <c r="D40" s="418">
        <f>VLOOKUP($D$38,'FS (2011)'!$A$13:$AH$244,'FS (2011)'!E245,FALSE)</f>
        <v>31275.713638547593</v>
      </c>
      <c r="E40" s="418">
        <f>VLOOKUP($E$38,'FS (2011)'!$A$13:$AH$244,'FS (2011)'!E245,FALSE)</f>
        <v>33787.63789711945</v>
      </c>
      <c r="F40" s="419">
        <f>VLOOKUP($F$38,'FS (2011)'!$A$13:$AH$244,'FS (2011)'!E245,FALSE)</f>
        <v>33177.610999999997</v>
      </c>
    </row>
    <row r="41" spans="2:13" ht="30">
      <c r="B41" s="120" t="s">
        <v>198</v>
      </c>
      <c r="C41" s="417">
        <f>VLOOKUP($C$38,'FS (2011)'!$A$13:$AH$244,'FS (2011)'!$F$245,FALSE)</f>
        <v>2855.2333999600805</v>
      </c>
      <c r="D41" s="418">
        <f>VLOOKUP($D$38,'FS (2011)'!$A$13:$AH$244,'FS (2011)'!$F$245,FALSE)</f>
        <v>3792.5363451163416</v>
      </c>
      <c r="E41" s="418">
        <f>VLOOKUP($E$38,'FS (2011)'!$A$13:$AH$244,'FS (2011)'!$F$245,FALSE)</f>
        <v>1637.2684648756431</v>
      </c>
      <c r="F41" s="419">
        <f>VLOOKUP($F$38,'FS (2011)'!$A$13:$AH$244,'FS (2011)'!$F$245,FALSE)</f>
        <v>1351.8019999999999</v>
      </c>
    </row>
    <row r="42" spans="2:13">
      <c r="B42" s="120" t="s">
        <v>13</v>
      </c>
      <c r="C42" s="417">
        <f>VLOOKUP($C$38,'FS (2011)'!$A$13:$AH$244,'FS (2011)'!$H$245,FALSE)</f>
        <v>17.311031051295942</v>
      </c>
      <c r="D42" s="418">
        <f>VLOOKUP($D$38,'FS (2011)'!$A$13:$AH$244,'FS (2011)'!$H$245,FALSE)</f>
        <v>3.9416451369345862</v>
      </c>
      <c r="E42" s="418">
        <f>VLOOKUP($E$38,'FS (2011)'!$A$13:$AH$244,'FS (2011)'!$H$245,FALSE)</f>
        <v>3.0565061572040628</v>
      </c>
      <c r="F42" s="419">
        <f>VLOOKUP($F$38,'FS (2011)'!$A$13:$AH$244,'FS (2011)'!$H$245,FALSE)</f>
        <v>0.67100000000000004</v>
      </c>
    </row>
    <row r="43" spans="2:13">
      <c r="B43" s="124" t="s">
        <v>5</v>
      </c>
      <c r="C43" s="420">
        <f>SUM(C40:C42)</f>
        <v>34388.604138461968</v>
      </c>
      <c r="D43" s="420">
        <f>SUM(D40:D42)</f>
        <v>35072.191628800865</v>
      </c>
      <c r="E43" s="420">
        <f>SUM(E40:E42)</f>
        <v>35427.962868152295</v>
      </c>
      <c r="F43" s="421">
        <f>SUM(F40:F42)</f>
        <v>34530.084000000003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Alpine Energy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99.237385411964468</v>
      </c>
      <c r="E46" s="422">
        <f>IF(ISERROR(E40/$C40),"",(E40/$C40))*100</f>
        <v>107.2076846241405</v>
      </c>
      <c r="F46" s="423">
        <f>IF(ISERROR(F40/$C40),"",(F40/$C40))*100</f>
        <v>105.27207813404604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132.82754205555895</v>
      </c>
      <c r="E47" s="422">
        <f t="shared" si="0"/>
        <v>57.342718983972873</v>
      </c>
      <c r="F47" s="423">
        <f t="shared" si="0"/>
        <v>47.344710944432762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22.769557314377909</v>
      </c>
      <c r="E48" s="422">
        <f t="shared" si="0"/>
        <v>17.65640734019275</v>
      </c>
      <c r="F48" s="423">
        <f t="shared" si="0"/>
        <v>3.8761411611572818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101.98783145598614</v>
      </c>
      <c r="E49" s="424">
        <f t="shared" si="0"/>
        <v>103.02239289941942</v>
      </c>
      <c r="F49" s="416">
        <f t="shared" si="0"/>
        <v>100.41141495877059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Alpine Energy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914.22770950357835</v>
      </c>
      <c r="D54" s="426">
        <f>VLOOKUP($D$38,'MP (2011)'!$A$14:$AR$245,'MP (2011)'!$Z$246,FALSE)</f>
        <v>1046.399341066648</v>
      </c>
      <c r="E54" s="426">
        <f>VLOOKUP($E$38,'MP (2011)'!$A$14:$AR$245,'MP (2011)'!$Z$246,FALSE)</f>
        <v>1641.3438064185818</v>
      </c>
      <c r="F54" s="427">
        <f>VLOOKUP($F$38,'MP (2011)'!$A$14:$AR$245,'MP (2011)'!$Z$246,FALSE)</f>
        <v>1847.954</v>
      </c>
    </row>
    <row r="55" spans="2:23">
      <c r="B55" s="111" t="s">
        <v>180</v>
      </c>
      <c r="C55" s="425">
        <f>VLOOKUP($C$38,'MP (2011)'!$A$14:$AR$245,'MP (2011)'!$AD$246,FALSE)</f>
        <v>18921.710530067576</v>
      </c>
      <c r="D55" s="426">
        <f>VLOOKUP($D$38,'MP (2011)'!$A$14:$AR$245,'MP (2011)'!$AD$246,FALSE)</f>
        <v>21884.071933557549</v>
      </c>
      <c r="E55" s="426">
        <f>VLOOKUP($E$38,'MP (2011)'!$A$14:$AR$245,'MP (2011)'!$AD$246,FALSE)</f>
        <v>22778.102718870414</v>
      </c>
      <c r="F55" s="427">
        <f>VLOOKUP($F$38,'MP (2011)'!$A$14:$AR$245,'MP (2011)'!$AD$246,FALSE)</f>
        <v>22952.894</v>
      </c>
      <c r="J55" s="139"/>
    </row>
    <row r="56" spans="2:23">
      <c r="B56" s="111" t="s">
        <v>184</v>
      </c>
      <c r="C56" s="425">
        <f>VLOOKUP($C$38,'MP (2011)'!$A$14:$AR$245,'MP (2011)'!$AH$246,FALSE)</f>
        <v>7050.7655898035409</v>
      </c>
      <c r="D56" s="426">
        <f>VLOOKUP($D$38,'MP (2011)'!$A$14:$AR$245,'MP (2011)'!$AH$246,FALSE)</f>
        <v>4812.6064932390682</v>
      </c>
      <c r="E56" s="426">
        <f>VLOOKUP($E$38,'MP (2011)'!$A$14:$AR$245,'MP (2011)'!$AH$246,FALSE)</f>
        <v>5520.0501199105374</v>
      </c>
      <c r="F56" s="427">
        <f>VLOOKUP($F$38,'MP (2011)'!$A$14:$AR$245,'MP (2011)'!$AH$246,FALSE)</f>
        <v>4675.4040000000005</v>
      </c>
    </row>
    <row r="57" spans="2:23">
      <c r="B57" s="111" t="s">
        <v>181</v>
      </c>
      <c r="C57" s="425">
        <f>VLOOKUP($C$38,'MP (2011)'!$A$14:$AR$245,'MP (2011)'!$AL$246,FALSE)</f>
        <v>4629.3558780759031</v>
      </c>
      <c r="D57" s="426">
        <f>VLOOKUP($D$38,'MP (2011)'!$A$14:$AR$245,'MP (2011)'!$AL$246,FALSE)</f>
        <v>3532.6358706843289</v>
      </c>
      <c r="E57" s="426">
        <f>VLOOKUP($E$38,'MP (2011)'!$A$14:$AR$245,'MP (2011)'!$AL$246,FALSE)</f>
        <v>3848.1412519199152</v>
      </c>
      <c r="F57" s="427">
        <f>VLOOKUP($F$38,'MP (2011)'!$A$14:$AR$245,'MP (2011)'!$AL$246,FALSE)</f>
        <v>3701.3589999999999</v>
      </c>
      <c r="W57" s="139"/>
    </row>
    <row r="58" spans="2:23">
      <c r="B58" s="147" t="s">
        <v>248</v>
      </c>
      <c r="C58" s="428">
        <f>SUM(C54:C57)</f>
        <v>31516.0597074506</v>
      </c>
      <c r="D58" s="428">
        <f>SUM(D54:D57)</f>
        <v>31275.713638547593</v>
      </c>
      <c r="E58" s="428">
        <f>SUM(E54:E57)</f>
        <v>33787.63789711945</v>
      </c>
      <c r="F58" s="429">
        <f>SUM(F54:F57)</f>
        <v>33177.610999999997</v>
      </c>
    </row>
    <row r="59" spans="2:23">
      <c r="B59" s="103" t="s">
        <v>302</v>
      </c>
    </row>
    <row r="60" spans="2:23">
      <c r="B60" s="137" t="str">
        <f>$B$2</f>
        <v>Alpine Energy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114.45718940578145</v>
      </c>
      <c r="E61" s="422">
        <f t="shared" si="1"/>
        <v>179.53336891416521</v>
      </c>
      <c r="F61" s="423">
        <f t="shared" si="1"/>
        <v>202.13279260627868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115.6558858607557</v>
      </c>
      <c r="E62" s="422">
        <f t="shared" si="1"/>
        <v>120.38077996529348</v>
      </c>
      <c r="F62" s="423">
        <f t="shared" si="1"/>
        <v>121.30454043003493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68.256509622143952</v>
      </c>
      <c r="E63" s="422">
        <f t="shared" si="1"/>
        <v>78.290081404682539</v>
      </c>
      <c r="F63" s="423">
        <f t="shared" si="1"/>
        <v>66.310586282450416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76.309447009993036</v>
      </c>
      <c r="E64" s="422">
        <f t="shared" si="1"/>
        <v>83.124766236794841</v>
      </c>
      <c r="F64" s="423">
        <f t="shared" si="1"/>
        <v>79.954082111708246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99.237385411964468</v>
      </c>
      <c r="E65" s="424">
        <f t="shared" si="1"/>
        <v>107.20768462414047</v>
      </c>
      <c r="F65" s="416">
        <f t="shared" si="1"/>
        <v>105.27207813404604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Alpine Energy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270.80204665390357</v>
      </c>
      <c r="D70" s="433">
        <f>(D54/D98)*1000</f>
        <v>253.48821246769577</v>
      </c>
      <c r="E70" s="433">
        <f>(E54/E98)*1000</f>
        <v>338.00325502853826</v>
      </c>
      <c r="F70" s="434">
        <f>(F54/F98)*1000</f>
        <v>323.18188177684505</v>
      </c>
    </row>
    <row r="71" spans="2:40">
      <c r="B71" s="111" t="s">
        <v>180</v>
      </c>
      <c r="C71" s="433">
        <f>(C55/C99)*1000</f>
        <v>719.04657153971402</v>
      </c>
      <c r="D71" s="433">
        <f t="shared" ref="C71:F73" si="2">(D55/D99)*1000</f>
        <v>842.27819003762409</v>
      </c>
      <c r="E71" s="433">
        <f t="shared" si="2"/>
        <v>889.56114656215004</v>
      </c>
      <c r="F71" s="434">
        <f t="shared" si="2"/>
        <v>919.58709935897434</v>
      </c>
    </row>
    <row r="72" spans="2:40">
      <c r="B72" s="111" t="s">
        <v>184</v>
      </c>
      <c r="C72" s="433">
        <f>(C56/C100)*1000</f>
        <v>46083.435227474125</v>
      </c>
      <c r="D72" s="433">
        <f t="shared" si="2"/>
        <v>31661.88482394124</v>
      </c>
      <c r="E72" s="433">
        <f t="shared" si="2"/>
        <v>37297.63594534147</v>
      </c>
      <c r="F72" s="434">
        <f t="shared" si="2"/>
        <v>32695.13286713287</v>
      </c>
    </row>
    <row r="73" spans="2:40">
      <c r="B73" s="115" t="s">
        <v>181</v>
      </c>
      <c r="C73" s="435">
        <f t="shared" si="2"/>
        <v>925871.17561518063</v>
      </c>
      <c r="D73" s="435">
        <f t="shared" si="2"/>
        <v>706527.17413686577</v>
      </c>
      <c r="E73" s="435">
        <f t="shared" si="2"/>
        <v>769628.25038398302</v>
      </c>
      <c r="F73" s="436">
        <f t="shared" si="2"/>
        <v>740271.79999999993</v>
      </c>
    </row>
    <row r="74" spans="2:40">
      <c r="B74" s="103" t="s">
        <v>303</v>
      </c>
    </row>
    <row r="75" spans="2:40">
      <c r="B75" s="137" t="str">
        <f>$B$2</f>
        <v>Alpine Energy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93.60646110317785</v>
      </c>
      <c r="E76" s="422">
        <f t="shared" si="3"/>
        <v>124.81562056306046</v>
      </c>
      <c r="F76" s="423">
        <f t="shared" si="3"/>
        <v>119.34248125897109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117.13819707589049</v>
      </c>
      <c r="E77" s="422">
        <f t="shared" si="3"/>
        <v>123.71398206618363</v>
      </c>
      <c r="F77" s="423">
        <f t="shared" si="3"/>
        <v>127.88978290930967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68.705565606500159</v>
      </c>
      <c r="E78" s="422">
        <f t="shared" si="3"/>
        <v>80.935016587273168</v>
      </c>
      <c r="F78" s="423">
        <f t="shared" si="3"/>
        <v>70.947690218286098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76.309447009993022</v>
      </c>
      <c r="E79" s="424">
        <f t="shared" si="3"/>
        <v>83.124766236794827</v>
      </c>
      <c r="F79" s="416">
        <f t="shared" si="3"/>
        <v>79.954082111708232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Alpine Energy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5.8593072454244588</v>
      </c>
      <c r="D84" s="437">
        <f>(D54/VLOOKUP($D$38,'MP (2011)'!$A$14:$AR$245,'MP (2011)'!$AA$246,FALSE)*100)</f>
        <v>5.2259868204896778</v>
      </c>
      <c r="E84" s="437">
        <f>(E54/VLOOKUP($E$38,'MP (2011)'!$A$14:$AR$245,'MP (2011)'!$AA$246,FALSE)*100)</f>
        <v>6.7773714031653389</v>
      </c>
      <c r="F84" s="438">
        <f>(F54/VLOOKUP($F$38,'MP (2011)'!$A$14:$AR$245,'MP (2011)'!$AA$246,FALSE)*100)</f>
        <v>6.244986651346693</v>
      </c>
    </row>
    <row r="85" spans="2:7">
      <c r="B85" s="111" t="s">
        <v>180</v>
      </c>
      <c r="C85" s="430">
        <f>(C55/VLOOKUP($C$38,'MP (2011)'!$A$14:$AR$245,'MP (2011)'!$AE$246,FALSE)*100)</f>
        <v>5.3376071317941358</v>
      </c>
      <c r="D85" s="437">
        <f>(D55/VLOOKUP($D$38,'MP (2011)'!$A$14:$AR$245,'MP (2011)'!$AE$246,FALSE)*100)</f>
        <v>6.0338394419344255</v>
      </c>
      <c r="E85" s="437">
        <f>(E55/VLOOKUP($E$38,'MP (2011)'!$A$14:$AR$245,'MP (2011)'!$AE$246,FALSE)*100)</f>
        <v>6.0303083229079242</v>
      </c>
      <c r="F85" s="438">
        <f>(F55/VLOOKUP($F$38,'MP (2011)'!$A$14:$AR$245,'MP (2011)'!$AE$246,FALSE)*100)</f>
        <v>6.045405675907026</v>
      </c>
    </row>
    <row r="86" spans="2:7">
      <c r="B86" s="111" t="s">
        <v>184</v>
      </c>
      <c r="C86" s="430">
        <f>(C56/VLOOKUP($C$38,'MP (2011)'!$A$14:$AR$245,'MP (2011)'!$AI$246,FALSE)*100)</f>
        <v>5.4843736357087618</v>
      </c>
      <c r="D86" s="437">
        <f>(D56/VLOOKUP($D$38,'MP (2011)'!$A$14:$AR$245,'MP (2011)'!$AI$246,FALSE)*100)</f>
        <v>3.1720526059617242</v>
      </c>
      <c r="E86" s="437">
        <f>(E56/VLOOKUP($E$38,'MP (2011)'!$A$14:$AR$245,'MP (2011)'!$AI$246,FALSE)*100)</f>
        <v>3.5703291010940745</v>
      </c>
      <c r="F86" s="438">
        <f>(F56/VLOOKUP($F$38,'MP (2011)'!$A$14:$AR$245,'MP (2011)'!$AI$246,FALSE)*100)</f>
        <v>3.4421250248474187</v>
      </c>
    </row>
    <row r="87" spans="2:7">
      <c r="B87" s="115" t="s">
        <v>181</v>
      </c>
      <c r="C87" s="431">
        <f>(C57/VLOOKUP($C$38,'MP (2011)'!$A$14:$AR$245,'MP (2011)'!$AM$246,FALSE)*100)</f>
        <v>2.7743619746112973</v>
      </c>
      <c r="D87" s="431">
        <f>(D57/VLOOKUP($D$38,'MP (2011)'!$A$14:$AR$245,'MP (2011)'!$AM$246,FALSE)*100)</f>
        <v>2.0242939572547041</v>
      </c>
      <c r="E87" s="431">
        <f>(E57/VLOOKUP($E$38,'MP (2011)'!$A$14:$AR$245,'MP (2011)'!$AM$246,FALSE)*100)</f>
        <v>2.2512307321027967</v>
      </c>
      <c r="F87" s="432">
        <f>(F57/VLOOKUP($F$38,'MP (2011)'!$A$14:$AR$245,'MP (2011)'!$AM$246,FALSE)*100)</f>
        <v>2.1545333364378267</v>
      </c>
    </row>
    <row r="88" spans="2:7">
      <c r="B88" s="103" t="s">
        <v>304</v>
      </c>
    </row>
    <row r="89" spans="2:7">
      <c r="B89" s="137" t="str">
        <f>$B$2</f>
        <v>Alpine Energy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89.191206427528755</v>
      </c>
      <c r="E90" s="422">
        <f>IF(ISERROR(E84/$C84),"",(E84/$C84)*100)</f>
        <v>115.66847614037987</v>
      </c>
      <c r="F90" s="423">
        <f>IF(ISERROR(F84/$C84),"",(F84/$C84)*100)</f>
        <v>106.58233797559279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113.04390325007422</v>
      </c>
      <c r="E91" s="422">
        <f t="shared" si="4"/>
        <v>112.97774778116631</v>
      </c>
      <c r="F91" s="423">
        <f t="shared" si="4"/>
        <v>113.26059649270172</v>
      </c>
    </row>
    <row r="92" spans="2:7">
      <c r="B92" s="111" t="s">
        <v>184</v>
      </c>
      <c r="C92" s="422">
        <f t="shared" si="4"/>
        <v>100</v>
      </c>
      <c r="D92" s="422">
        <f t="shared" si="4"/>
        <v>57.838010621823557</v>
      </c>
      <c r="E92" s="422">
        <f t="shared" si="4"/>
        <v>65.100033991988767</v>
      </c>
      <c r="F92" s="423">
        <f t="shared" si="4"/>
        <v>62.762409228206842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72.964305875707453</v>
      </c>
      <c r="E93" s="424">
        <f>IF(ISERROR(E87/$C87),"",(E87/$C87)*100)</f>
        <v>81.144088359926641</v>
      </c>
      <c r="F93" s="416">
        <f>IF(ISERROR(F87/$C87),"",(F87/$C87)*100)</f>
        <v>77.658696167059745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3376</v>
      </c>
      <c r="D98" s="150">
        <f>VLOOKUP($D$38,'MP (2011)'!$A$14:$AR$245,'MP (2011)'!$AB$246,FALSE)</f>
        <v>4128</v>
      </c>
      <c r="E98" s="150">
        <f>VLOOKUP($E$38,'MP (2011)'!$A$14:$AR$245,'MP (2011)'!$AB$246,FALSE)</f>
        <v>4856</v>
      </c>
      <c r="F98" s="151">
        <f>VLOOKUP($F$38,'MP (2011)'!$A$14:$AR$245,'MP (2011)'!$AB$246,FALSE)</f>
        <v>5718</v>
      </c>
    </row>
    <row r="99" spans="2:7">
      <c r="B99" s="155" t="s">
        <v>309</v>
      </c>
      <c r="C99" s="150">
        <f>VLOOKUP($C$38,'MP (2011)'!$A$14:$AR$245,'MP (2011)'!$AF$246,FALSE)</f>
        <v>26315</v>
      </c>
      <c r="D99" s="150">
        <f>VLOOKUP($D$38,'MP (2011)'!$A$14:$AR$245,'MP (2011)'!$AF$246,FALSE)</f>
        <v>25982</v>
      </c>
      <c r="E99" s="150">
        <f>VLOOKUP($E$38,'MP (2011)'!$A$14:$AR$245,'MP (2011)'!$AF$246,FALSE)</f>
        <v>25606</v>
      </c>
      <c r="F99" s="151">
        <f>VLOOKUP($F$38,'MP (2011)'!$A$14:$AR$245,'MP (2011)'!$AF$246,FALSE)</f>
        <v>24960</v>
      </c>
    </row>
    <row r="100" spans="2:7">
      <c r="B100" s="155" t="s">
        <v>310</v>
      </c>
      <c r="C100" s="150">
        <f>VLOOKUP($C$38,'MP (2011)'!$A$14:$AR$245,'MP (2011)'!$AJ$246,FALSE)</f>
        <v>153</v>
      </c>
      <c r="D100" s="150">
        <f>VLOOKUP($D$38,'MP (2011)'!$A$14:$AR$245,'MP (2011)'!$AJ$246,FALSE)</f>
        <v>152</v>
      </c>
      <c r="E100" s="150">
        <f>VLOOKUP($E$38,'MP (2011)'!$A$14:$AR$245,'MP (2011)'!$AJ$246,FALSE)</f>
        <v>148</v>
      </c>
      <c r="F100" s="151">
        <f>VLOOKUP($F$38,'MP (2011)'!$A$14:$AR$245,'MP (2011)'!$AJ$246,FALSE)</f>
        <v>143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29849</v>
      </c>
      <c r="D102" s="152">
        <f>SUM(D98:D101)</f>
        <v>30267</v>
      </c>
      <c r="E102" s="152">
        <f>SUM(E98:E101)</f>
        <v>30615</v>
      </c>
      <c r="F102" s="157">
        <f>SUM(F98:F101)</f>
        <v>30826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122.27488151658767</v>
      </c>
      <c r="E105" s="422">
        <f t="shared" si="5"/>
        <v>143.8388625592417</v>
      </c>
      <c r="F105" s="423">
        <f t="shared" si="5"/>
        <v>169.37203791469196</v>
      </c>
    </row>
    <row r="106" spans="2:7">
      <c r="B106" s="111" t="s">
        <v>180</v>
      </c>
      <c r="C106" s="422">
        <f t="shared" si="5"/>
        <v>100</v>
      </c>
      <c r="D106" s="422">
        <f t="shared" si="5"/>
        <v>98.734562036861107</v>
      </c>
      <c r="E106" s="422">
        <f t="shared" si="5"/>
        <v>97.305719171575149</v>
      </c>
      <c r="F106" s="423">
        <f t="shared" si="5"/>
        <v>94.850845525365756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99.346405228758172</v>
      </c>
      <c r="E107" s="422">
        <f t="shared" si="5"/>
        <v>96.732026143790847</v>
      </c>
      <c r="F107" s="423">
        <f t="shared" si="5"/>
        <v>93.464052287581694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Alpine Energy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15603</v>
      </c>
      <c r="D113" s="150">
        <f>VLOOKUP($D$38,'MP (2011)'!$A$14:$AR$245,'MP (2011)'!$AA$246,FALSE)</f>
        <v>20023</v>
      </c>
      <c r="E113" s="150">
        <f>VLOOKUP($E$38,'MP (2011)'!$A$14:$AR$245,'MP (2011)'!$AA$246,FALSE)</f>
        <v>24218</v>
      </c>
      <c r="F113" s="151">
        <f>VLOOKUP($F$38,'MP (2011)'!$A$14:$AR$245,'MP (2011)'!$AA$246,FALSE)</f>
        <v>29591</v>
      </c>
    </row>
    <row r="114" spans="2:7">
      <c r="B114" s="155" t="s">
        <v>309</v>
      </c>
      <c r="C114" s="150">
        <f>VLOOKUP($C$38,'MP (2011)'!$A$14:$AR$245,'MP (2011)'!$AE$246,FALSE)</f>
        <v>354498</v>
      </c>
      <c r="D114" s="150">
        <f>VLOOKUP($D$38,'MP (2011)'!$A$14:$AR$245,'MP (2011)'!$AE$246,FALSE)</f>
        <v>362689</v>
      </c>
      <c r="E114" s="150">
        <f>VLOOKUP($E$38,'MP (2011)'!$A$14:$AR$245,'MP (2011)'!$AE$246,FALSE)</f>
        <v>377727</v>
      </c>
      <c r="F114" s="151">
        <f>VLOOKUP($F$38,'MP (2011)'!$A$14:$AR$245,'MP (2011)'!$AE$246,FALSE)</f>
        <v>379675</v>
      </c>
    </row>
    <row r="115" spans="2:7">
      <c r="B115" s="155" t="s">
        <v>310</v>
      </c>
      <c r="C115" s="150">
        <f>VLOOKUP($C$38,'MP (2011)'!$A$14:$AR$245,'MP (2011)'!$AI$246,FALSE)</f>
        <v>128561</v>
      </c>
      <c r="D115" s="150">
        <f>VLOOKUP($D$38,'MP (2011)'!$A$14:$AR$245,'MP (2011)'!$AI$246,FALSE)</f>
        <v>151719</v>
      </c>
      <c r="E115" s="150">
        <f>VLOOKUP($E$38,'MP (2011)'!$A$14:$AR$245,'MP (2011)'!$AI$246,FALSE)</f>
        <v>154609</v>
      </c>
      <c r="F115" s="151">
        <f>VLOOKUP($F$38,'MP (2011)'!$A$14:$AR$245,'MP (2011)'!$AI$246,FALSE)</f>
        <v>135829</v>
      </c>
    </row>
    <row r="116" spans="2:7">
      <c r="B116" s="155" t="s">
        <v>311</v>
      </c>
      <c r="C116" s="150">
        <f>VLOOKUP($C$38,'MP (2011)'!$A$14:$AR$245,'MP (2011)'!$AM$246,FALSE)</f>
        <v>166862</v>
      </c>
      <c r="D116" s="150">
        <f>VLOOKUP($D$38,'MP (2011)'!$A$14:$AR$245,'MP (2011)'!$AM$246,FALSE)</f>
        <v>174512</v>
      </c>
      <c r="E116" s="150">
        <f>VLOOKUP($E$38,'MP (2011)'!$A$14:$AR$245,'MP (2011)'!$AM$246,FALSE)</f>
        <v>170935</v>
      </c>
      <c r="F116" s="151">
        <f>VLOOKUP($F$38,'MP (2011)'!$A$14:$AR$245,'MP (2011)'!$AM$246,FALSE)</f>
        <v>171794</v>
      </c>
    </row>
    <row r="117" spans="2:7">
      <c r="B117" s="147" t="s">
        <v>254</v>
      </c>
      <c r="C117" s="158">
        <f>SUM(C113:C116)</f>
        <v>665524</v>
      </c>
      <c r="D117" s="158">
        <f>SUM(D113:D116)</f>
        <v>708943</v>
      </c>
      <c r="E117" s="158">
        <f>SUM(E113:E116)</f>
        <v>727489</v>
      </c>
      <c r="F117" s="159">
        <f>SUM(F113:F116)</f>
        <v>716889</v>
      </c>
    </row>
    <row r="118" spans="2:7">
      <c r="B118" s="103" t="s">
        <v>306</v>
      </c>
    </row>
    <row r="119" spans="2:7">
      <c r="B119" s="137" t="str">
        <f>$B$2</f>
        <v>Alpine Energy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128.32788566301352</v>
      </c>
      <c r="E120" s="422">
        <f t="shared" si="6"/>
        <v>155.21374094725374</v>
      </c>
      <c r="F120" s="423">
        <f t="shared" si="6"/>
        <v>189.64942639236045</v>
      </c>
    </row>
    <row r="121" spans="2:7">
      <c r="B121" s="111" t="s">
        <v>180</v>
      </c>
      <c r="C121" s="422">
        <f t="shared" si="6"/>
        <v>100</v>
      </c>
      <c r="D121" s="422">
        <f t="shared" si="6"/>
        <v>102.31059131504267</v>
      </c>
      <c r="E121" s="422">
        <f t="shared" si="6"/>
        <v>106.55264627727097</v>
      </c>
      <c r="F121" s="423">
        <f t="shared" si="6"/>
        <v>107.10215572443286</v>
      </c>
    </row>
    <row r="122" spans="2:7">
      <c r="B122" s="111" t="s">
        <v>184</v>
      </c>
      <c r="C122" s="422">
        <f t="shared" si="6"/>
        <v>100</v>
      </c>
      <c r="D122" s="422">
        <f t="shared" si="6"/>
        <v>118.01323885159573</v>
      </c>
      <c r="E122" s="422">
        <f t="shared" si="6"/>
        <v>120.26119896391596</v>
      </c>
      <c r="F122" s="423">
        <f t="shared" si="6"/>
        <v>105.65334743818109</v>
      </c>
    </row>
    <row r="123" spans="2:7">
      <c r="B123" s="115" t="s">
        <v>181</v>
      </c>
      <c r="C123" s="424">
        <f t="shared" si="6"/>
        <v>100</v>
      </c>
      <c r="D123" s="424">
        <f t="shared" si="6"/>
        <v>104.58462681737004</v>
      </c>
      <c r="E123" s="424">
        <f t="shared" si="6"/>
        <v>102.44093921923505</v>
      </c>
      <c r="F123" s="416">
        <f t="shared" si="6"/>
        <v>102.95573587755152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Alpine Energy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35306.97821561974</v>
      </c>
      <c r="D128" s="433">
        <f>VLOOKUP($D$38,'FS (2011)'!$A$13:$AH$244,'FS (2011)'!$I$245,FALSE)</f>
        <v>37066.890372709167</v>
      </c>
      <c r="E128" s="433">
        <f>VLOOKUP($E$38,'FS (2011)'!$A$13:$AH$244,'FS (2011)'!$I$245,FALSE)</f>
        <v>36233.861658268434</v>
      </c>
      <c r="F128" s="440">
        <f>VLOOKUP($F$38,'FS (2011)'!$A$13:$AH$244,'FS (2011)'!$I$245,FALSE)</f>
        <v>35402.93</v>
      </c>
      <c r="G128" s="121"/>
    </row>
    <row r="129" spans="1:26">
      <c r="B129" s="162" t="s">
        <v>257</v>
      </c>
      <c r="C129" s="441">
        <f>VLOOKUP($C$38,'FS (2011)'!$A$13:$AH$244,'FS (2011)'!$Y$245,FALSE)+VLOOKUP($C$38,'FS (2011)'!$A$13:$AH$244,'FS (2011)'!$Z$245,FALSE)</f>
        <v>3418.077904935702</v>
      </c>
      <c r="D129" s="433">
        <f>VLOOKUP($D$38,'FS (2011)'!$A$13:$AH$244,'FS (2011)'!$Y$245,FALSE)+VLOOKUP($D$38,'FS (2011)'!$A$13:$AH$244,'FS (2011)'!$Z$245,FALSE)</f>
        <v>3222.5019993136098</v>
      </c>
      <c r="E129" s="433">
        <f>VLOOKUP($E$38,'FS (2011)'!$A$13:$AH$244,'FS (2011)'!$Y$245,FALSE)+VLOOKUP($E$38,'FS (2011)'!$A$13:$AH$244,'FS (2011)'!$Z$245,FALSE)</f>
        <v>2406.6010492306859</v>
      </c>
      <c r="F129" s="440">
        <f>VLOOKUP($F$38,'FS (2011)'!$A$13:$AH$244,'FS (2011)'!$Y$245,FALSE)+VLOOKUP($F$38,'FS (2011)'!$A$13:$AH$244,'FS (2011)'!$Z$245,FALSE)</f>
        <v>5373.0883000000003</v>
      </c>
      <c r="G129" s="121"/>
    </row>
    <row r="130" spans="1:26">
      <c r="B130" s="162" t="s">
        <v>191</v>
      </c>
      <c r="C130" s="441">
        <f>VLOOKUP($C$38,'FS (2011)'!$A$13:$AH$244,'FS (2011)'!$J$245,FALSE)</f>
        <v>10086.38862279376</v>
      </c>
      <c r="D130" s="433">
        <f>VLOOKUP($D$38,'FS (2011)'!$A$13:$AH$244,'FS (2011)'!$J$245,FALSE)</f>
        <v>9129.0577560573784</v>
      </c>
      <c r="E130" s="433">
        <f>VLOOKUP($E$38,'FS (2011)'!$A$13:$AH$244,'FS (2011)'!$J$245,FALSE)</f>
        <v>9910.2117970413074</v>
      </c>
      <c r="F130" s="440">
        <f>VLOOKUP($F$38,'FS (2011)'!$A$13:$AH$244,'FS (2011)'!$J$245,FALSE)</f>
        <v>9646.2929999999997</v>
      </c>
    </row>
    <row r="131" spans="1:26">
      <c r="B131" s="162" t="s">
        <v>182</v>
      </c>
      <c r="C131" s="441">
        <f>VLOOKUP($C$38,'FS (2011)'!$A$13:$AH$244,'FS (2011)'!$S$245,FALSE)</f>
        <v>8244.2208662427638</v>
      </c>
      <c r="D131" s="433">
        <f>VLOOKUP($D$38,'FS (2011)'!$A$13:$AH$244,'FS (2011)'!$S$245,FALSE)</f>
        <v>8518.8408450820207</v>
      </c>
      <c r="E131" s="433">
        <f>VLOOKUP($E$38,'FS (2011)'!$A$13:$AH$244,'FS (2011)'!$S$245,FALSE)</f>
        <v>10482.524235940824</v>
      </c>
      <c r="F131" s="440">
        <f>VLOOKUP($F$38,'FS (2011)'!$A$13:$AH$244,'FS (2011)'!$S$245,FALSE)</f>
        <v>12057.84</v>
      </c>
      <c r="I131" s="139"/>
    </row>
    <row r="132" spans="1:26">
      <c r="B132" s="162" t="s">
        <v>143</v>
      </c>
      <c r="C132" s="441">
        <f>VLOOKUP($C$38,'FS (2011)'!$A$13:$AH$244,'FS (2011)'!$U$245,FALSE)</f>
        <v>6056.7585754612064</v>
      </c>
      <c r="D132" s="433">
        <f>VLOOKUP($D$38,'FS (2011)'!$A$13:$AH$244,'FS (2011)'!$U$245,FALSE)</f>
        <v>6368.7102752419505</v>
      </c>
      <c r="E132" s="433">
        <f>VLOOKUP($E$38,'FS (2011)'!$A$13:$AH$244,'FS (2011)'!$U$245,FALSE)</f>
        <v>5818.5688879308018</v>
      </c>
      <c r="F132" s="440">
        <f>VLOOKUP($F$38,'FS (2011)'!$A$13:$AH$244,'FS (2011)'!$U$245,FALSE)</f>
        <v>5733.5649999999996</v>
      </c>
    </row>
    <row r="133" spans="1:26">
      <c r="B133" s="162" t="s">
        <v>196</v>
      </c>
      <c r="C133" s="441">
        <f>VLOOKUP($C$38,'FS (2011)'!$A$13:$AH$244,'FS (2011)'!$X$245,FALSE)</f>
        <v>1810.0626237061958</v>
      </c>
      <c r="D133" s="433">
        <f>VLOOKUP($D$38,'FS (2011)'!$A$13:$AH$244,'FS (2011)'!$X$245,FALSE)</f>
        <v>1831.580139007481</v>
      </c>
      <c r="E133" s="433">
        <f>VLOOKUP($E$38,'FS (2011)'!$A$13:$AH$244,'FS (2011)'!$X$245,FALSE)</f>
        <v>1560.4425713130875</v>
      </c>
      <c r="F133" s="440">
        <f>VLOOKUP($F$38,'FS (2011)'!$A$13:$AH$244,'FS (2011)'!$X$245,FALSE)</f>
        <v>1289.8969</v>
      </c>
    </row>
    <row r="134" spans="1:26">
      <c r="B134" s="164" t="s">
        <v>258</v>
      </c>
      <c r="C134" s="442">
        <f>VLOOKUP($C$38,'FS (2011)'!$A$13:$AH$244,'FS (2011)'!$AA$245,FALSE)</f>
        <v>12527.625647971257</v>
      </c>
      <c r="D134" s="435">
        <f>VLOOKUP($D$38,'FS (2011)'!$A$13:$AH$244,'FS (2011)'!$AA$245,FALSE)</f>
        <v>14441.203668062321</v>
      </c>
      <c r="E134" s="435">
        <f>VLOOKUP($E$38,'FS (2011)'!$A$13:$AH$244,'FS (2011)'!$AA$245,FALSE)</f>
        <v>10868.714807738943</v>
      </c>
      <c r="F134" s="443">
        <f>VLOOKUP($F$38,'FS (2011)'!$A$13:$AH$244,'FS (2011)'!$AA$245,FALSE)</f>
        <v>12048.423000000001</v>
      </c>
      <c r="U134" s="559"/>
      <c r="V134" s="559"/>
      <c r="W134" s="559"/>
      <c r="X134" s="559"/>
      <c r="Y134" s="559"/>
      <c r="Z134" s="559"/>
    </row>
    <row r="135" spans="1:26">
      <c r="U135" s="559"/>
      <c r="V135" s="559"/>
      <c r="W135" s="559"/>
      <c r="X135" s="559"/>
      <c r="Y135" s="559"/>
      <c r="Z135" s="559"/>
    </row>
    <row r="136" spans="1:26">
      <c r="U136" s="559"/>
      <c r="V136" s="559"/>
      <c r="W136" s="559"/>
      <c r="X136" s="559"/>
      <c r="Y136" s="559"/>
      <c r="Z136" s="559"/>
    </row>
    <row r="137" spans="1:26">
      <c r="B137" s="517" t="s">
        <v>260</v>
      </c>
      <c r="C137" s="510"/>
      <c r="D137" s="520" t="s">
        <v>166</v>
      </c>
      <c r="E137" s="521" t="s">
        <v>165</v>
      </c>
      <c r="U137" s="559"/>
      <c r="V137" s="559" t="s">
        <v>321</v>
      </c>
      <c r="W137" s="559"/>
      <c r="X137" s="559"/>
      <c r="Y137" s="559"/>
      <c r="Z137" s="559"/>
    </row>
    <row r="138" spans="1:26">
      <c r="A138" s="136">
        <f>RANK(D138,$D$138:$D$144)</f>
        <v>1</v>
      </c>
      <c r="B138" s="166" t="s">
        <v>204</v>
      </c>
      <c r="C138" s="167"/>
      <c r="D138" s="444">
        <f>VLOOKUP($D$6,'FS (2011)'!$A$13:$AH$244,'FS (2011)'!$L$245,FALSE)</f>
        <v>3176.0970000000002</v>
      </c>
      <c r="E138" s="446">
        <f t="shared" ref="E138:E144" si="7">D138/$D$145</f>
        <v>0.26340513723851039</v>
      </c>
      <c r="U138" s="559"/>
      <c r="V138" s="559">
        <v>1</v>
      </c>
      <c r="W138" s="559" t="str">
        <f>VLOOKUP(V138,$A$138:$E$144,2,FALSE)</f>
        <v>System management and operations</v>
      </c>
      <c r="X138" s="559">
        <f>VLOOKUP(V138,$A$138:$E$144,4,FALSE)</f>
        <v>3176.0970000000002</v>
      </c>
      <c r="Y138" s="559"/>
      <c r="Z138" s="559"/>
    </row>
    <row r="139" spans="1:26">
      <c r="A139" s="136">
        <f t="shared" ref="A139:A144" si="8">RANK(D139,$D$138:$D$144)</f>
        <v>2</v>
      </c>
      <c r="B139" s="162" t="s">
        <v>199</v>
      </c>
      <c r="C139" s="121"/>
      <c r="D139" s="441">
        <f>VLOOKUP($D$6,'FS (2011)'!$A$13:$AH$244,'FS (2011)'!K245,FALSE)</f>
        <v>3074.7080000000001</v>
      </c>
      <c r="E139" s="414">
        <f t="shared" si="7"/>
        <v>0.25499658313595136</v>
      </c>
      <c r="U139" s="559"/>
      <c r="V139" s="559">
        <v>2</v>
      </c>
      <c r="W139" s="559" t="str">
        <f t="shared" ref="W139:W144" si="9">VLOOKUP(V139,$A$138:$E$144,2,FALSE)</f>
        <v>General management, admin and overheads</v>
      </c>
      <c r="X139" s="559">
        <f t="shared" ref="X139:X144" si="10">VLOOKUP(V139,$A$138:$E$144,4,FALSE)</f>
        <v>3074.7080000000001</v>
      </c>
      <c r="Y139" s="559"/>
      <c r="Z139" s="559"/>
    </row>
    <row r="140" spans="1:26">
      <c r="A140" s="136">
        <f t="shared" si="8"/>
        <v>3</v>
      </c>
      <c r="B140" s="162" t="s">
        <v>201</v>
      </c>
      <c r="C140" s="121"/>
      <c r="D140" s="441">
        <f>VLOOKUP($D$6,'FS (2011)'!$A$13:$AH$244,'FS (2011)'!M245,FALSE)</f>
        <v>2897.585</v>
      </c>
      <c r="E140" s="414">
        <f t="shared" si="7"/>
        <v>0.24030713626984601</v>
      </c>
      <c r="U140" s="559"/>
      <c r="V140" s="559">
        <v>3</v>
      </c>
      <c r="W140" s="559" t="str">
        <f t="shared" si="9"/>
        <v>Routine and preventative maintenance</v>
      </c>
      <c r="X140" s="559">
        <f t="shared" si="10"/>
        <v>2897.585</v>
      </c>
      <c r="Y140" s="559"/>
      <c r="Z140" s="559"/>
    </row>
    <row r="141" spans="1:26">
      <c r="A141" s="136">
        <f t="shared" si="8"/>
        <v>4</v>
      </c>
      <c r="B141" s="162" t="s">
        <v>202</v>
      </c>
      <c r="C141" s="121"/>
      <c r="D141" s="441">
        <f>VLOOKUP($D$6,'FS (2011)'!$A$13:$AH$244,'FS (2011)'!N245,FALSE)</f>
        <v>1404.713</v>
      </c>
      <c r="E141" s="414">
        <f t="shared" si="7"/>
        <v>0.11649789680407104</v>
      </c>
      <c r="U141" s="559"/>
      <c r="V141" s="559">
        <v>4</v>
      </c>
      <c r="W141" s="559" t="str">
        <f t="shared" si="9"/>
        <v>Refurbishment and renewal maintenance</v>
      </c>
      <c r="X141" s="559">
        <f t="shared" si="10"/>
        <v>1404.713</v>
      </c>
      <c r="Y141" s="559"/>
      <c r="Z141" s="559"/>
    </row>
    <row r="142" spans="1:26">
      <c r="A142" s="136">
        <f t="shared" si="8"/>
        <v>5</v>
      </c>
      <c r="B142" s="162" t="s">
        <v>203</v>
      </c>
      <c r="C142" s="121"/>
      <c r="D142" s="441">
        <f>VLOOKUP($D$6,'FS (2011)'!$A$13:$AH$244,'FS (2011)'!O245,FALSE)</f>
        <v>656.97299999999996</v>
      </c>
      <c r="E142" s="414">
        <f t="shared" si="7"/>
        <v>5.4485131665372902E-2</v>
      </c>
      <c r="U142" s="559"/>
      <c r="V142" s="559">
        <v>5</v>
      </c>
      <c r="W142" s="559" t="str">
        <f t="shared" si="9"/>
        <v>Fault and emergency maintenance</v>
      </c>
      <c r="X142" s="559">
        <f t="shared" si="10"/>
        <v>656.97299999999996</v>
      </c>
      <c r="Y142" s="559"/>
      <c r="Z142" s="559"/>
    </row>
    <row r="143" spans="1:26">
      <c r="A143" s="136">
        <f t="shared" si="8"/>
        <v>6</v>
      </c>
      <c r="B143" s="162" t="s">
        <v>13</v>
      </c>
      <c r="C143" s="121"/>
      <c r="D143" s="441">
        <f>VLOOKUP($D$6,'FS (2011)'!$A$13:$AH$244,'FS (2011)'!R245,FALSE)</f>
        <v>646.995</v>
      </c>
      <c r="E143" s="414">
        <f t="shared" si="7"/>
        <v>5.365762027029717E-2</v>
      </c>
      <c r="U143" s="559"/>
      <c r="V143" s="559">
        <v>6</v>
      </c>
      <c r="W143" s="559" t="str">
        <f t="shared" si="9"/>
        <v>Other</v>
      </c>
      <c r="X143" s="559">
        <f t="shared" si="10"/>
        <v>646.995</v>
      </c>
      <c r="Y143" s="559"/>
      <c r="Z143" s="559"/>
    </row>
    <row r="144" spans="1:26">
      <c r="A144" s="136">
        <f t="shared" si="8"/>
        <v>7</v>
      </c>
      <c r="B144" s="162" t="s">
        <v>200</v>
      </c>
      <c r="C144" s="121"/>
      <c r="D144" s="441">
        <f>VLOOKUP($D$6,'FS (2011)'!$A$13:$AH$244,'FS (2011)'!P245,FALSE)</f>
        <v>200.76900000000001</v>
      </c>
      <c r="E144" s="414">
        <f t="shared" si="7"/>
        <v>1.6650494615951115E-2</v>
      </c>
      <c r="U144" s="559"/>
      <c r="V144" s="559">
        <v>7</v>
      </c>
      <c r="W144" s="559" t="str">
        <f t="shared" si="9"/>
        <v>Pass-through costs</v>
      </c>
      <c r="X144" s="559">
        <f t="shared" si="10"/>
        <v>200.76900000000001</v>
      </c>
      <c r="Y144" s="559"/>
      <c r="Z144" s="559"/>
    </row>
    <row r="145" spans="2:26">
      <c r="B145" s="172" t="s">
        <v>263</v>
      </c>
      <c r="C145" s="173"/>
      <c r="D145" s="445">
        <f>SUM(D138:D144)</f>
        <v>12057.84</v>
      </c>
      <c r="E145" s="447">
        <f>SUM(E138:E144)</f>
        <v>1</v>
      </c>
      <c r="U145" s="559"/>
      <c r="V145" s="559"/>
      <c r="W145" s="559"/>
      <c r="X145" s="559"/>
      <c r="Y145" s="559"/>
      <c r="Z145" s="559"/>
    </row>
    <row r="146" spans="2:26">
      <c r="D146" s="174"/>
      <c r="U146" s="559"/>
      <c r="V146" s="559"/>
      <c r="W146" s="559"/>
      <c r="X146" s="559"/>
      <c r="Y146" s="559"/>
      <c r="Z146" s="559"/>
    </row>
    <row r="147" spans="2:26">
      <c r="U147" s="559"/>
      <c r="V147" s="559"/>
      <c r="W147" s="559"/>
      <c r="X147" s="559"/>
      <c r="Y147" s="559"/>
      <c r="Z147" s="559"/>
    </row>
    <row r="148" spans="2:26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</row>
    <row r="149" spans="2:26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4.0448671577160411</v>
      </c>
      <c r="F149" s="455">
        <f>(VLOOKUP(F$38,'FS (2011)'!$A$13:$AH$244,'FS (2011)'!$M$245,FALSE)+VLOOKUP(F$38,'FS (2011)'!$A$13:$AH$244,'FS (2011)'!$N$245,FALSE)+VLOOKUP(F$38,'FS (2011)'!$A$13:$AH$244,'FS (2011)'!$O$245,FALSE))/1000</f>
        <v>4.9592709999999993</v>
      </c>
    </row>
    <row r="150" spans="2:26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5.8734290981110719</v>
      </c>
      <c r="F150" s="457">
        <f>(VLOOKUP(F$38,'FS (2011)'!$A$13:$AH$244,'FS (2011)'!$L$245,FALSE)+VLOOKUP(F$38,'FS (2011)'!$A$13:$AH$244,'FS (2011)'!$K$245,FALSE))/1000</f>
        <v>6.2508050000000006</v>
      </c>
    </row>
    <row r="151" spans="2:26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0.56422798011371278</v>
      </c>
      <c r="F151" s="457">
        <f>(VLOOKUP(F$38,'FS (2011)'!$A$13:$AH$244,'FS (2011)'!$R$245,FALSE)+VLOOKUP(F$38,'FS (2011)'!$A$13:$AH$244,'FS (2011)'!$P$245,FALSE)+VLOOKUP(F$38,'FS (2011)'!$A$13:$AH$244,'FS (2011)'!$Q$245,FALSE))/1000</f>
        <v>0.84776399999999996</v>
      </c>
    </row>
    <row r="152" spans="2:26">
      <c r="B152" s="180" t="s">
        <v>268</v>
      </c>
      <c r="C152" s="458">
        <f>VLOOKUP($C$38,'FS (2011)'!$A$13:$AH$244,'FS (2011)'!$S$245,FALSE)/1000</f>
        <v>8.2442208662427632</v>
      </c>
      <c r="D152" s="458">
        <f>VLOOKUP($D$38,'FS (2011)'!$A$13:$AH$244,'FS (2011)'!$S$245,FALSE)/1000</f>
        <v>8.5188408450820212</v>
      </c>
      <c r="E152" s="459">
        <f>VLOOKUP($E$38,'FS (2011)'!$A$13:$AH$244,'FS (2011)'!$S$245,FALSE)/1000</f>
        <v>10.482524235940824</v>
      </c>
      <c r="F152" s="460">
        <f>VLOOKUP($F$38,'FS (2011)'!$A$13:$AH$244,'FS (2011)'!$S$245,FALSE)/1000</f>
        <v>12.057840000000001</v>
      </c>
    </row>
    <row r="153" spans="2:26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</row>
    <row r="154" spans="2:26">
      <c r="B154" s="175" t="s">
        <v>265</v>
      </c>
      <c r="C154" s="463">
        <f>IFERROR(EXP(SLOPE(W154:Z154,$C$148:$F$148))-1,(IFERROR(EXP(SLOPE(X154:Z154,$D$148:$F$148))-1,F154)))</f>
        <v>0.22606523443906679</v>
      </c>
      <c r="D154" s="464" t="str">
        <f t="shared" ref="D154:E157" si="11">IF(ISERROR(D149/C149 - 1),"",(D149/C149 - 1))</f>
        <v/>
      </c>
      <c r="E154" s="464" t="str">
        <f t="shared" si="11"/>
        <v/>
      </c>
      <c r="F154" s="465">
        <f>IF(ISERROR(F149/E149 - 1),"",(F149/E149 - 1))</f>
        <v>0.22606523443906679</v>
      </c>
      <c r="V154" s="136" t="s">
        <v>423</v>
      </c>
      <c r="W154" s="136" t="e">
        <f t="shared" ref="W154:Z157" si="12">LN(C149)</f>
        <v>#NUM!</v>
      </c>
      <c r="X154" s="136" t="e">
        <f t="shared" si="12"/>
        <v>#NUM!</v>
      </c>
      <c r="Y154" s="136">
        <f t="shared" si="12"/>
        <v>1.397448708862655</v>
      </c>
      <c r="Z154" s="136">
        <f t="shared" si="12"/>
        <v>1.601258754128382</v>
      </c>
    </row>
    <row r="155" spans="2:26">
      <c r="B155" s="177" t="s">
        <v>266</v>
      </c>
      <c r="C155" s="466">
        <f>IFERROR(EXP(SLOPE(W155:Z155,$C$148:$F$148))-1,(IFERROR(EXP(SLOPE(X155:Z155,$D$148:$F$148))-1,F155)))</f>
        <v>6.4251376084593304E-2</v>
      </c>
      <c r="D155" s="467" t="str">
        <f t="shared" si="11"/>
        <v/>
      </c>
      <c r="E155" s="467" t="str">
        <f t="shared" si="11"/>
        <v/>
      </c>
      <c r="F155" s="468">
        <f>IF(ISERROR(F150/E150 - 1),"",(F150/E150 - 1))</f>
        <v>6.4251376084593304E-2</v>
      </c>
      <c r="V155" s="136" t="s">
        <v>423</v>
      </c>
      <c r="W155" s="136" t="e">
        <f t="shared" si="12"/>
        <v>#NUM!</v>
      </c>
      <c r="X155" s="136" t="e">
        <f t="shared" si="12"/>
        <v>#NUM!</v>
      </c>
      <c r="Y155" s="136">
        <f t="shared" si="12"/>
        <v>1.7704386367202343</v>
      </c>
      <c r="Z155" s="136">
        <f t="shared" si="12"/>
        <v>1.8327102554543024</v>
      </c>
    </row>
    <row r="156" spans="2:26">
      <c r="B156" s="179" t="s">
        <v>267</v>
      </c>
      <c r="C156" s="466">
        <f>IFERROR(EXP(SLOPE(W156:Z156,$C$148:$F$148))-1,(IFERROR(EXP(SLOPE(X156:Z156,$D$148:$F$148))-1,F156)))</f>
        <v>0.50252031072465453</v>
      </c>
      <c r="D156" s="467" t="str">
        <f t="shared" si="11"/>
        <v/>
      </c>
      <c r="E156" s="467" t="str">
        <f t="shared" si="11"/>
        <v/>
      </c>
      <c r="F156" s="468">
        <f>IF(ISERROR(F151/E151 - 1),"",(F151/E151 - 1))</f>
        <v>0.50252031072465453</v>
      </c>
      <c r="V156" s="136" t="s">
        <v>423</v>
      </c>
      <c r="W156" s="136" t="e">
        <f t="shared" si="12"/>
        <v>#NUM!</v>
      </c>
      <c r="X156" s="136" t="e">
        <f t="shared" si="12"/>
        <v>#NUM!</v>
      </c>
      <c r="Y156" s="136">
        <f t="shared" si="12"/>
        <v>-0.57229688909922305</v>
      </c>
      <c r="Z156" s="136">
        <f t="shared" si="12"/>
        <v>-0.16515298381018309</v>
      </c>
    </row>
    <row r="157" spans="2:26">
      <c r="B157" s="180" t="s">
        <v>268</v>
      </c>
      <c r="C157" s="469">
        <f>IFERROR(EXP(SLOPE(W157:Z157,$C$148:$F$148))-1,(IFERROR(EXP(SLOPE(X157:Z157,$D$148:$F$148))-1,F157)))</f>
        <v>0.14431214326462416</v>
      </c>
      <c r="D157" s="470">
        <f t="shared" si="11"/>
        <v>3.3310604275988309E-2</v>
      </c>
      <c r="E157" s="470">
        <f t="shared" si="11"/>
        <v>0.2305106324403805</v>
      </c>
      <c r="F157" s="471">
        <f>IF(ISERROR(F152/E152 - 1),"",(F152/E152 - 1))</f>
        <v>0.15028019288121297</v>
      </c>
      <c r="N157" s="136"/>
      <c r="O157" s="136"/>
      <c r="V157" s="136" t="s">
        <v>423</v>
      </c>
      <c r="W157" s="136">
        <f t="shared" si="12"/>
        <v>2.1095124538195984</v>
      </c>
      <c r="X157" s="136">
        <f t="shared" si="12"/>
        <v>2.14228028053873</v>
      </c>
      <c r="Y157" s="136">
        <f t="shared" si="12"/>
        <v>2.3497095120983453</v>
      </c>
      <c r="Z157" s="136">
        <f t="shared" si="12"/>
        <v>2.4897150707803051</v>
      </c>
    </row>
    <row r="160" spans="2:26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</row>
    <row r="161" spans="2:30">
      <c r="B161" s="183" t="s">
        <v>271</v>
      </c>
      <c r="C161" s="184"/>
      <c r="D161" s="184"/>
      <c r="E161" s="184"/>
      <c r="F161" s="185"/>
      <c r="G161" s="186"/>
    </row>
    <row r="162" spans="2:30">
      <c r="B162" s="177" t="str">
        <f>$B$2</f>
        <v>Alpine Energy</v>
      </c>
      <c r="C162" s="456">
        <f>(C152/C102)*1000000</f>
        <v>276.19755657619226</v>
      </c>
      <c r="D162" s="456">
        <f>(D152/D102)*1000000</f>
        <v>281.45639954676784</v>
      </c>
      <c r="E162" s="456">
        <f>(E152/E102)*1000000</f>
        <v>342.39830919290625</v>
      </c>
      <c r="F162" s="457">
        <f>(F152/F102)*1000000</f>
        <v>391.15811328099659</v>
      </c>
      <c r="G162" s="181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</row>
    <row r="164" spans="2:30">
      <c r="B164" s="187" t="s">
        <v>273</v>
      </c>
      <c r="C164" s="456"/>
      <c r="D164" s="456"/>
      <c r="E164" s="456"/>
      <c r="F164" s="457"/>
      <c r="G164" s="186"/>
    </row>
    <row r="165" spans="2:30">
      <c r="B165" s="177" t="str">
        <f>$B$2</f>
        <v>Alpine Energy</v>
      </c>
      <c r="C165" s="456">
        <f>C152/VLOOKUP(C$38,'MP (2011)'!$A$14:$AR$245,'MP (2011)'!$H$246,FALSE)*1000000</f>
        <v>2052.7671691153873</v>
      </c>
      <c r="D165" s="456">
        <f>D152/VLOOKUP(D$38,'MP (2011)'!$A$14:$AR$245,'MP (2011)'!$H$246,FALSE)*1000000</f>
        <v>2098.2366613502513</v>
      </c>
      <c r="E165" s="456">
        <f>E152/VLOOKUP(E$38,'MP (2011)'!$A$14:$AR$245,'MP (2011)'!$H$246,FALSE)*1000000</f>
        <v>2552.9771641356124</v>
      </c>
      <c r="F165" s="457">
        <f>F152/VLOOKUP(F$38,'MP (2011)'!$A$14:$AR$245,'MP (2011)'!$H$246,FALSE)*1000000</f>
        <v>2926.6601941747572</v>
      </c>
      <c r="G165" s="181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</row>
    <row r="167" spans="2:30">
      <c r="B167" s="188" t="s">
        <v>274</v>
      </c>
      <c r="C167" s="456"/>
      <c r="D167" s="456"/>
      <c r="E167" s="456"/>
      <c r="F167" s="457"/>
      <c r="G167" s="191"/>
    </row>
    <row r="168" spans="2:30">
      <c r="B168" s="177" t="str">
        <f>$B$2</f>
        <v>Alpine Energy</v>
      </c>
      <c r="C168" s="456">
        <f>(C152/C117)*1000000</f>
        <v>12.387563583346001</v>
      </c>
      <c r="D168" s="456">
        <f>(D152/D117)*1000000</f>
        <v>12.01625637756776</v>
      </c>
      <c r="E168" s="456">
        <f>(E152/E117)*1000000</f>
        <v>14.409185892763773</v>
      </c>
      <c r="F168" s="457">
        <f>(F152/F117)*1000000</f>
        <v>16.819675012449629</v>
      </c>
      <c r="G168" s="181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R170" s="136"/>
    </row>
    <row r="171" spans="2:30">
      <c r="B171" s="175" t="s">
        <v>271</v>
      </c>
      <c r="C171" s="463">
        <f>IFERROR(EXP(SLOPE(W171:Z171,$C$148:$F$148))-1,(IFERROR(EXP(SLOPE(X171:Z171,$D$148:$F$148))-1,F171)))</f>
        <v>0.13201400925937157</v>
      </c>
      <c r="D171" s="464">
        <f>IF(ISERROR(D162/C162 - 1),"",(D162/C162 - 1))</f>
        <v>1.9040150230745789E-2</v>
      </c>
      <c r="E171" s="464">
        <f>IF(ISERROR(E162/D162 - 1),"",(E162/D162 - 1))</f>
        <v>0.21652344641754029</v>
      </c>
      <c r="F171" s="465">
        <f>IF(ISERROR(F162/E162 - 1),"",(F162/E162 - 1))</f>
        <v>0.14240667310252175</v>
      </c>
      <c r="H171" s="139"/>
      <c r="T171" s="559"/>
      <c r="U171" s="559"/>
      <c r="V171" s="559" t="s">
        <v>423</v>
      </c>
      <c r="W171" s="559">
        <f>LN(C162)</f>
        <v>5.6211163943618105</v>
      </c>
      <c r="X171" s="559">
        <f>LN(D162)</f>
        <v>5.639977549426515</v>
      </c>
      <c r="Y171" s="559">
        <f>LN(E162)</f>
        <v>5.8359747061505649</v>
      </c>
      <c r="Z171" s="559">
        <f>LN(F162)</f>
        <v>5.9691118600379145</v>
      </c>
      <c r="AA171" s="559"/>
      <c r="AB171" s="559"/>
      <c r="AC171" s="559"/>
      <c r="AD171" s="559"/>
    </row>
    <row r="172" spans="2:30">
      <c r="B172" s="177" t="s">
        <v>273</v>
      </c>
      <c r="C172" s="466">
        <f>IFERROR(EXP(SLOPE(W172:Z172,$C$148:$F$148))-1,(IFERROR(EXP(SLOPE(X172:Z172,$D$148:$F$148))-1,F172)))</f>
        <v>0.13430286279694625</v>
      </c>
      <c r="D172" s="467">
        <f>IF(ISERROR(D165/C165 - 1),"",(D165/C165 - 1))</f>
        <v>2.2150340729805373E-2</v>
      </c>
      <c r="E172" s="467">
        <f>IF(ISERROR(E165/D165 - 1),"",(E165/D165 - 1))</f>
        <v>0.21672507737650903</v>
      </c>
      <c r="F172" s="468">
        <f>IF(ISERROR(F165/E165 - 1),"",(F165/E165 - 1))</f>
        <v>0.14637147377918924</v>
      </c>
      <c r="T172" s="559"/>
      <c r="U172" s="559"/>
      <c r="V172" s="559" t="s">
        <v>423</v>
      </c>
      <c r="W172" s="559">
        <f>LN(C165)</f>
        <v>7.6269440005122142</v>
      </c>
      <c r="X172" s="559">
        <f>LN(D165)</f>
        <v>7.6488525859072256</v>
      </c>
      <c r="Y172" s="559">
        <f>LN(E165)</f>
        <v>7.8450154724837402</v>
      </c>
      <c r="Z172" s="559">
        <f>LN(F165)</f>
        <v>7.9816171864010075</v>
      </c>
      <c r="AA172" s="559"/>
      <c r="AB172" s="559"/>
      <c r="AC172" s="559"/>
      <c r="AD172" s="559"/>
    </row>
    <row r="173" spans="2:30">
      <c r="B173" s="194" t="s">
        <v>274</v>
      </c>
      <c r="C173" s="469">
        <f>IFERROR(EXP(SLOPE(W173:Z173,$C$148:$F$148))-1,(IFERROR(EXP(SLOPE(X173:Z173,$D$148:$F$148))-1,F173)))</f>
        <v>0.11618591237562081</v>
      </c>
      <c r="D173" s="470">
        <f>IF(ISERROR(D168/C168 - 1),"",(D168/C168 - 1))</f>
        <v>-2.997419171897775E-2</v>
      </c>
      <c r="E173" s="470">
        <f>IF(ISERROR(E168/D168 - 1),"",(E168/D168 - 1))</f>
        <v>0.19914101696957731</v>
      </c>
      <c r="F173" s="471">
        <f>IF(ISERROR(F168/E168 - 1),"",(F168/E168 - 1))</f>
        <v>0.16728836296687599</v>
      </c>
      <c r="T173" s="559"/>
      <c r="U173" s="559"/>
      <c r="V173" s="559" t="s">
        <v>423</v>
      </c>
      <c r="W173" s="559">
        <f>LN(C168)</f>
        <v>2.5166930325063843</v>
      </c>
      <c r="X173" s="559">
        <f>LN(D168)</f>
        <v>2.4862604311430103</v>
      </c>
      <c r="Y173" s="559">
        <f>LN(E168)</f>
        <v>2.6678659124240616</v>
      </c>
      <c r="Z173" s="559">
        <f>LN(F168)</f>
        <v>2.8225493328628737</v>
      </c>
      <c r="AA173" s="559"/>
      <c r="AB173" s="559"/>
      <c r="AC173" s="559"/>
      <c r="AD173" s="559"/>
    </row>
    <row r="174" spans="2:30"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T175" s="559"/>
      <c r="U175" s="559"/>
      <c r="V175" s="560" t="str">
        <f>$B$2</f>
        <v>Alpine Energy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T176" s="559"/>
      <c r="U176" s="559"/>
      <c r="V176" s="562" t="s">
        <v>280</v>
      </c>
      <c r="W176" s="563">
        <f>C178</f>
        <v>4044.8671577160408</v>
      </c>
      <c r="X176" s="563">
        <f>D178</f>
        <v>4959.2709999999997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Alpine Energy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T177" s="561"/>
      <c r="U177" s="561"/>
      <c r="V177" s="565" t="s">
        <v>277</v>
      </c>
      <c r="W177" s="563">
        <f t="shared" ref="W177:AA178" si="13">C179</f>
        <v>2246.5320255449865</v>
      </c>
      <c r="X177" s="563">
        <f t="shared" si="13"/>
        <v>2337.2083748753735</v>
      </c>
      <c r="Y177" s="563">
        <f t="shared" si="13"/>
        <v>2429.9223949772299</v>
      </c>
      <c r="Z177" s="563">
        <f t="shared" si="13"/>
        <v>2575.6158551372905</v>
      </c>
      <c r="AA177" s="563">
        <f t="shared" si="13"/>
        <v>2731.4976691546976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4044.8671577160408</v>
      </c>
      <c r="D178" s="461">
        <f>VLOOKUP(F38,'FS (2011)'!$A$14:$T$246,'FS (2011)'!$M$245,FALSE)+VLOOKUP(F38,'FS (2011)'!$A$14:$AO$245,'FS (2011)'!$N$245,FALSE)+VLOOKUP(F38,'FS (2011)'!$A$14:$AO$245,'FS (2011)'!$O$245,FALSE)</f>
        <v>4959.2709999999997</v>
      </c>
      <c r="E178" s="461"/>
      <c r="F178" s="461"/>
      <c r="G178" s="461"/>
      <c r="H178" s="461"/>
      <c r="I178" s="462"/>
      <c r="T178" s="559"/>
      <c r="U178" s="559"/>
      <c r="V178" s="565" t="s">
        <v>278</v>
      </c>
      <c r="W178" s="564"/>
      <c r="X178" s="563">
        <f t="shared" si="13"/>
        <v>4336</v>
      </c>
      <c r="Y178" s="563">
        <f t="shared" si="13"/>
        <v>4596</v>
      </c>
      <c r="Z178" s="563">
        <f t="shared" si="13"/>
        <v>4872</v>
      </c>
      <c r="AA178" s="563">
        <f t="shared" si="13"/>
        <v>5116</v>
      </c>
      <c r="AB178" s="563">
        <f>H180</f>
        <v>5320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2246.5320255449865</v>
      </c>
      <c r="D179" s="461">
        <f>VLOOKUP(D182,'AM (2011)'!$A$10:$N$444,'AM (2011)'!$N$445,FALSE)</f>
        <v>2337.2083748753735</v>
      </c>
      <c r="E179" s="461">
        <f>VLOOKUP(E182,'AM (2011)'!$A$10:$N$444,'AM (2011)'!$N$445,FALSE)</f>
        <v>2429.9223949772299</v>
      </c>
      <c r="F179" s="461">
        <f>VLOOKUP(F182,'AM (2011)'!$A$10:$N$444,'AM (2011)'!$N$445,FALSE)</f>
        <v>2575.6158551372905</v>
      </c>
      <c r="G179" s="461">
        <f>VLOOKUP(G182,'AM (2011)'!$A$10:$N$444,'AM (2011)'!$N$445,FALSE)</f>
        <v>2731.4976691546976</v>
      </c>
      <c r="H179" s="461"/>
      <c r="I179" s="462"/>
      <c r="T179" s="559"/>
      <c r="U179" s="559"/>
      <c r="V179" s="565" t="s">
        <v>279</v>
      </c>
      <c r="W179" s="564"/>
      <c r="X179" s="564"/>
      <c r="Y179" s="563">
        <f>E181</f>
        <v>4937.0523594053002</v>
      </c>
      <c r="Z179" s="563">
        <f>F181</f>
        <v>5232.2978668390433</v>
      </c>
      <c r="AA179" s="563">
        <f>G181</f>
        <v>5495.2814479638009</v>
      </c>
      <c r="AB179" s="563">
        <f>H181</f>
        <v>5715.2491273432452</v>
      </c>
      <c r="AC179" s="563">
        <f>I181</f>
        <v>5885.3574660633485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4336</v>
      </c>
      <c r="E180" s="461">
        <f>VLOOKUP(E183,'AM (2011)'!$A$10:$N$444,'AM (2011)'!$N$445,FALSE)</f>
        <v>4596</v>
      </c>
      <c r="F180" s="461">
        <f>VLOOKUP(F183,'AM (2011)'!$A$10:$N$444,'AM (2011)'!$N$445,FALSE)</f>
        <v>4872</v>
      </c>
      <c r="G180" s="461">
        <f>VLOOKUP(G183,'AM (2011)'!$A$10:$N$444,'AM (2011)'!$N$445,FALSE)</f>
        <v>5116</v>
      </c>
      <c r="H180" s="461">
        <f>VLOOKUP(H183,'AM (2011)'!$A$10:$N$444,'AM (2011)'!$N$445,FALSE)</f>
        <v>5320</v>
      </c>
      <c r="I180" s="462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4937.0523594053002</v>
      </c>
      <c r="F181" s="493">
        <f>VLOOKUP(F184,'AM (2011)'!$A$10:$N$444,'AM (2011)'!$N$445,FALSE)</f>
        <v>5232.2978668390433</v>
      </c>
      <c r="G181" s="493">
        <f>VLOOKUP(G184,'AM (2011)'!$A$10:$N$444,'AM (2011)'!$N$445,FALSE)</f>
        <v>5495.2814479638009</v>
      </c>
      <c r="H181" s="493">
        <f>VLOOKUP(H184,'AM (2011)'!$A$10:$N$444,'AM (2011)'!$N$445,FALSE)</f>
        <v>5715.2491273432452</v>
      </c>
      <c r="I181" s="494">
        <f>VLOOKUP(I184,'AM (2011)'!$A$10:$N$444,'AM (2011)'!$N$445,FALSE)</f>
        <v>5885.3574660633485</v>
      </c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9</v>
      </c>
      <c r="D182" s="136">
        <f>VLOOKUP($B$2,$B$257:$Y$286,11,FALSE)</f>
        <v>10</v>
      </c>
      <c r="E182" s="136">
        <f>VLOOKUP($B$2,$B$257:$Y$286,12,FALSE)</f>
        <v>11</v>
      </c>
      <c r="F182" s="136">
        <f>VLOOKUP($B$2,$B$257:$Y$286,13,FALSE)</f>
        <v>12</v>
      </c>
      <c r="G182" s="136">
        <f>VLOOKUP($B$2,$B$257:$Y$286,14,FALSE)</f>
        <v>13</v>
      </c>
      <c r="H182" s="136"/>
      <c r="I182" s="136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14</v>
      </c>
      <c r="E183" s="136">
        <f>VLOOKUP($B$2,$B$257:$Y$286,16,FALSE)</f>
        <v>15</v>
      </c>
      <c r="F183" s="136">
        <f>VLOOKUP($B$2,$B$257:$Y$286,17,FALSE)</f>
        <v>16</v>
      </c>
      <c r="G183" s="136">
        <f>VLOOKUP($B$2,$B$257:$Y$286,18,FALSE)</f>
        <v>17</v>
      </c>
      <c r="H183" s="136">
        <f>VLOOKUP($B$2,$B$257:$Y$286,19,FALSE)</f>
        <v>18</v>
      </c>
      <c r="I183" s="136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19</v>
      </c>
      <c r="F184" s="136">
        <f>VLOOKUP($B$2,$B$257:$Y$286,21,FALSE)</f>
        <v>20</v>
      </c>
      <c r="G184" s="136">
        <f>VLOOKUP($B$2,$B$257:$Y$286,22,FALSE)</f>
        <v>21</v>
      </c>
      <c r="H184" s="136">
        <f>VLOOKUP($B$2,$B$257:$Y$286,23,FALSE)</f>
        <v>22</v>
      </c>
      <c r="I184" s="136">
        <f>VLOOKUP($B$2,$B$257:$Y$286,24,FALSE)</f>
        <v>23</v>
      </c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T185" s="559"/>
      <c r="U185" s="559"/>
      <c r="V185" s="559" t="s">
        <v>321</v>
      </c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4">RANK(D186,$D$186:$D$191)</f>
        <v>1</v>
      </c>
      <c r="B186" s="483" t="s">
        <v>205</v>
      </c>
      <c r="C186" s="490"/>
      <c r="D186" s="484">
        <f>VLOOKUP($D$6,'FS (2011)'!$A$13:$AH$244,'FS (2011)'!AC245,FALSE)/1000</f>
        <v>9.6227999999999998</v>
      </c>
      <c r="E186" s="495">
        <f t="shared" ref="E186:E191" si="15">D186/$D$192</f>
        <v>0.64303808430943776</v>
      </c>
      <c r="T186" s="559"/>
      <c r="U186" s="559"/>
      <c r="V186" s="559">
        <v>1</v>
      </c>
      <c r="W186" s="559" t="str">
        <f t="shared" ref="W186:W191" si="16">VLOOKUP(V186,$A$186:$D$191,2,FALSE)</f>
        <v>System growth</v>
      </c>
      <c r="X186" s="559">
        <f t="shared" ref="X186:X191" si="17">VLOOKUP(V186,$A$186:$D$191,4,FALSE)</f>
        <v>9.6227999999999998</v>
      </c>
      <c r="Y186" s="559"/>
      <c r="Z186" s="559"/>
      <c r="AA186" s="559"/>
      <c r="AB186" s="559"/>
      <c r="AC186" s="559"/>
      <c r="AD186" s="559"/>
    </row>
    <row r="187" spans="1:30">
      <c r="A187" s="102">
        <f t="shared" si="14"/>
        <v>2</v>
      </c>
      <c r="B187" s="162" t="s">
        <v>206</v>
      </c>
      <c r="C187" s="121"/>
      <c r="D187" s="456">
        <f>VLOOKUP($D$6,'FS (2011)'!$A$13:$AH$244,'FS (2011)'!AD245,FALSE)/1000</f>
        <v>1.856827</v>
      </c>
      <c r="E187" s="468">
        <f t="shared" si="15"/>
        <v>0.12408139803113859</v>
      </c>
      <c r="T187" s="559"/>
      <c r="U187" s="559"/>
      <c r="V187" s="559">
        <v>2</v>
      </c>
      <c r="W187" s="559" t="str">
        <f t="shared" si="16"/>
        <v>Reliability, safety and environment</v>
      </c>
      <c r="X187" s="559">
        <f t="shared" si="17"/>
        <v>1.856827</v>
      </c>
      <c r="Y187" s="559"/>
      <c r="Z187" s="559"/>
      <c r="AA187" s="559"/>
      <c r="AB187" s="559"/>
      <c r="AC187" s="559"/>
      <c r="AD187" s="559"/>
    </row>
    <row r="188" spans="1:30">
      <c r="A188" s="102">
        <f t="shared" si="14"/>
        <v>3</v>
      </c>
      <c r="B188" s="162" t="s">
        <v>209</v>
      </c>
      <c r="C188" s="121"/>
      <c r="D188" s="456">
        <f>VLOOKUP($D$6,'FS (2011)'!$A$13:$AH$244,'FS (2011)'!AB245,FALSE)/1000</f>
        <v>1.6250450000000001</v>
      </c>
      <c r="E188" s="468">
        <f t="shared" si="15"/>
        <v>0.10859269897707843</v>
      </c>
      <c r="T188" s="559"/>
      <c r="U188" s="559"/>
      <c r="V188" s="559">
        <v>3</v>
      </c>
      <c r="W188" s="559" t="str">
        <f t="shared" si="16"/>
        <v>Customer connection</v>
      </c>
      <c r="X188" s="559">
        <f t="shared" si="17"/>
        <v>1.6250450000000001</v>
      </c>
      <c r="Y188" s="559"/>
      <c r="Z188" s="559"/>
      <c r="AA188" s="559"/>
      <c r="AB188" s="559"/>
      <c r="AC188" s="559"/>
      <c r="AD188" s="559"/>
    </row>
    <row r="189" spans="1:30">
      <c r="A189" s="102">
        <f t="shared" si="14"/>
        <v>4</v>
      </c>
      <c r="B189" s="162" t="s">
        <v>208</v>
      </c>
      <c r="C189" s="121"/>
      <c r="D189" s="456">
        <f>VLOOKUP($D$6,'FS (2011)'!$A$13:$AH$244,'FS (2011)'!AE245,FALSE)/1000</f>
        <v>1.598916</v>
      </c>
      <c r="E189" s="468">
        <f t="shared" si="15"/>
        <v>0.10684664355610726</v>
      </c>
      <c r="T189" s="559"/>
      <c r="U189" s="559"/>
      <c r="V189" s="559">
        <v>4</v>
      </c>
      <c r="W189" s="559" t="str">
        <f t="shared" si="16"/>
        <v>Asset replacement and renewal</v>
      </c>
      <c r="X189" s="559">
        <f t="shared" si="17"/>
        <v>1.598916</v>
      </c>
      <c r="Y189" s="559"/>
      <c r="Z189" s="559"/>
      <c r="AA189" s="559"/>
      <c r="AB189" s="559"/>
      <c r="AC189" s="559"/>
      <c r="AD189" s="559"/>
    </row>
    <row r="190" spans="1:30">
      <c r="A190" s="102">
        <f t="shared" si="14"/>
        <v>5</v>
      </c>
      <c r="B190" s="162" t="s">
        <v>312</v>
      </c>
      <c r="C190" s="121"/>
      <c r="D190" s="456">
        <f>VLOOKUP($D$6,'FS (2011)'!$A$13:$AH$244,'FS (2011)'!AH245,FALSE)/1000</f>
        <v>0.26100000000000001</v>
      </c>
      <c r="E190" s="468">
        <f t="shared" si="15"/>
        <v>1.7441175126238023E-2</v>
      </c>
      <c r="T190" s="559"/>
      <c r="U190" s="559"/>
      <c r="V190" s="559">
        <v>5</v>
      </c>
      <c r="W190" s="559" t="str">
        <f t="shared" si="16"/>
        <v>Non-network capex</v>
      </c>
      <c r="X190" s="559">
        <f t="shared" si="17"/>
        <v>0.26100000000000001</v>
      </c>
      <c r="Y190" s="559"/>
      <c r="Z190" s="559"/>
      <c r="AA190" s="559"/>
      <c r="AB190" s="559"/>
      <c r="AC190" s="559"/>
      <c r="AD190" s="559"/>
    </row>
    <row r="191" spans="1:30">
      <c r="A191" s="102">
        <f t="shared" si="14"/>
        <v>6</v>
      </c>
      <c r="B191" s="162" t="s">
        <v>207</v>
      </c>
      <c r="C191" s="121"/>
      <c r="D191" s="456">
        <f>VLOOKUP($D$6,'FS (2011)'!$A$13:$AH$244,'FS (2011)'!AF245,FALSE)/1000</f>
        <v>0</v>
      </c>
      <c r="E191" s="468">
        <f t="shared" si="15"/>
        <v>0</v>
      </c>
      <c r="T191" s="559"/>
      <c r="U191" s="559"/>
      <c r="V191" s="559">
        <v>6</v>
      </c>
      <c r="W191" s="559" t="str">
        <f t="shared" si="16"/>
        <v>Asset relocations</v>
      </c>
      <c r="X191" s="559">
        <f t="shared" si="17"/>
        <v>0</v>
      </c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14.964587999999999</v>
      </c>
      <c r="E192" s="496">
        <f>SUM(E186:E191)</f>
        <v>1.0000000000000002</v>
      </c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26">
      <c r="D193" s="174"/>
    </row>
    <row r="195" spans="2:26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</row>
    <row r="196" spans="2:26">
      <c r="B196" s="483" t="s">
        <v>282</v>
      </c>
      <c r="C196" s="484">
        <f>VLOOKUP($C$38,'FS (2011)'!$A$13:$AH$244,'FS (2011)'!$AG$245,FALSE)/1000</f>
        <v>10.360528641897863</v>
      </c>
      <c r="D196" s="484">
        <f>VLOOKUP($D$38,'FS (2011)'!$A$13:$AH$244,'FS (2011)'!$AG$245,FALSE)/1000</f>
        <v>10.343574438877065</v>
      </c>
      <c r="E196" s="484">
        <f>VLOOKUP($E$38,'FS (2011)'!$A$13:$AH$244,'FS (2011)'!$AG$245,FALSE)/1000</f>
        <v>11.864750695211661</v>
      </c>
      <c r="F196" s="486">
        <f>VLOOKUP($F$38,'FS (2011)'!$A$13:$AH$244,'FS (2011)'!$AG$245,FALSE)/1000</f>
        <v>14.703588</v>
      </c>
    </row>
    <row r="197" spans="2:26">
      <c r="B197" s="162" t="s">
        <v>283</v>
      </c>
      <c r="C197" s="456">
        <f>VLOOKUP($C$38,'FS (2011)'!$A$13:$AH$244,'FS (2011)'!$AH$245,FALSE)/1000</f>
        <v>1.1546437227338826</v>
      </c>
      <c r="D197" s="456">
        <f>VLOOKUP($D$38,'FS (2011)'!$A$13:$AH$244,'FS (2011)'!$AH$245,FALSE)/1000</f>
        <v>0.18685702519047284</v>
      </c>
      <c r="E197" s="456">
        <f>VLOOKUP($E$38,'FS (2011)'!$A$13:$AH$244,'FS (2011)'!$AH$245,FALSE)/1000</f>
        <v>0.22210611409016193</v>
      </c>
      <c r="F197" s="457">
        <f>VLOOKUP($F$38,'FS (2011)'!$A$13:$AH$244,'FS (2011)'!$AH$245,FALSE)/1000</f>
        <v>0.26100000000000001</v>
      </c>
    </row>
    <row r="198" spans="2:26">
      <c r="B198" s="487" t="s">
        <v>284</v>
      </c>
      <c r="C198" s="488">
        <f>SUM(C196:C197)</f>
        <v>11.515172364631745</v>
      </c>
      <c r="D198" s="488">
        <f>SUM(D196:D197)</f>
        <v>10.530431464067538</v>
      </c>
      <c r="E198" s="488">
        <f>SUM(E196:E197)</f>
        <v>12.086856809301823</v>
      </c>
      <c r="F198" s="489">
        <f>SUM(F196:F197)</f>
        <v>14.964587999999999</v>
      </c>
    </row>
    <row r="199" spans="2:26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</row>
    <row r="200" spans="2:26">
      <c r="B200" s="483" t="s">
        <v>282</v>
      </c>
      <c r="C200" s="497">
        <f>IFERROR(EXP(SLOPE(W200:Z200,$C$148:$F$148))-1,(IFERROR(EXP(SLOPE(X200:Z200,$D$148:$F$148))-1,F200)))</f>
        <v>0.12608512089439272</v>
      </c>
      <c r="D200" s="498">
        <f t="shared" ref="D200:F202" si="18">D196/C196 - 1</f>
        <v>-1.6364225810096E-3</v>
      </c>
      <c r="E200" s="498">
        <f t="shared" si="18"/>
        <v>0.14706485319205975</v>
      </c>
      <c r="F200" s="495">
        <f t="shared" si="18"/>
        <v>0.23926649431698777</v>
      </c>
      <c r="V200" s="136" t="s">
        <v>423</v>
      </c>
      <c r="W200" s="136">
        <f t="shared" ref="W200:Z202" si="19">LN(C196)</f>
        <v>2.3380032627397118</v>
      </c>
      <c r="X200" s="136">
        <f t="shared" si="19"/>
        <v>2.3363654997567611</v>
      </c>
      <c r="Y200" s="136">
        <f t="shared" si="19"/>
        <v>2.4735718778854054</v>
      </c>
      <c r="Z200" s="136">
        <f t="shared" si="19"/>
        <v>2.688091545634268</v>
      </c>
    </row>
    <row r="201" spans="2:26">
      <c r="B201" s="162" t="s">
        <v>283</v>
      </c>
      <c r="C201" s="466">
        <f>IFERROR(EXP(SLOPE(W201:Z201,$C$148:$F$148))-1,(IFERROR(EXP(SLOPE(X201:Z201,$D$148:$F$148))-1,F201)))</f>
        <v>-0.34872731941230917</v>
      </c>
      <c r="D201" s="467">
        <f t="shared" si="18"/>
        <v>-0.83816910661580857</v>
      </c>
      <c r="E201" s="467">
        <f t="shared" si="18"/>
        <v>0.18864203186237116</v>
      </c>
      <c r="F201" s="468">
        <f t="shared" si="18"/>
        <v>0.17511398130197109</v>
      </c>
      <c r="V201" s="136" t="s">
        <v>423</v>
      </c>
      <c r="W201" s="136">
        <f t="shared" si="19"/>
        <v>0.14379183122312228</v>
      </c>
      <c r="X201" s="136">
        <f t="shared" si="19"/>
        <v>-1.6774115257350994</v>
      </c>
      <c r="Y201" s="136">
        <f t="shared" si="19"/>
        <v>-1.5046000199142295</v>
      </c>
      <c r="Z201" s="136">
        <f t="shared" si="19"/>
        <v>-1.3432348716594436</v>
      </c>
    </row>
    <row r="202" spans="2:26">
      <c r="B202" s="485" t="s">
        <v>284</v>
      </c>
      <c r="C202" s="499">
        <f>IFERROR(EXP(SLOPE(W202:Z202,$C$148:$F$148))-1,(IFERROR(EXP(SLOPE(X202:Z202,$D$148:$F$148))-1,F202)))</f>
        <v>9.6793877667581185E-2</v>
      </c>
      <c r="D202" s="500">
        <f t="shared" si="18"/>
        <v>-8.5516818105891956E-2</v>
      </c>
      <c r="E202" s="500">
        <f t="shared" si="18"/>
        <v>0.14780261858644606</v>
      </c>
      <c r="F202" s="501">
        <f t="shared" si="18"/>
        <v>0.2380876381760002</v>
      </c>
      <c r="V202" s="136" t="s">
        <v>423</v>
      </c>
      <c r="W202" s="136">
        <f t="shared" si="19"/>
        <v>2.4436655018650688</v>
      </c>
      <c r="X202" s="136">
        <f t="shared" si="19"/>
        <v>2.3542693000516977</v>
      </c>
      <c r="Y202" s="136">
        <f t="shared" si="19"/>
        <v>2.4921186481373225</v>
      </c>
      <c r="Z202" s="136">
        <f t="shared" si="19"/>
        <v>2.7056866100202339</v>
      </c>
    </row>
    <row r="204" spans="2:26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</row>
    <row r="205" spans="2:26">
      <c r="B205" s="479" t="s">
        <v>287</v>
      </c>
      <c r="C205" s="480"/>
      <c r="D205" s="480"/>
      <c r="E205" s="480"/>
      <c r="F205" s="481"/>
    </row>
    <row r="206" spans="2:26">
      <c r="B206" s="177" t="s">
        <v>189</v>
      </c>
      <c r="C206" s="456">
        <f>(C198/C102)*1000000</f>
        <v>385.78084239444354</v>
      </c>
      <c r="D206" s="456">
        <f>(D198/D102)*1000000</f>
        <v>347.91791271244387</v>
      </c>
      <c r="E206" s="456">
        <f>(E198/E102)*1000000</f>
        <v>394.801790276068</v>
      </c>
      <c r="F206" s="457">
        <f>(F198/F102)*1000000</f>
        <v>485.45344838772462</v>
      </c>
    </row>
    <row r="207" spans="2:26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</row>
    <row r="208" spans="2:26">
      <c r="B208" s="187" t="s">
        <v>362</v>
      </c>
      <c r="C208" s="456"/>
      <c r="D208" s="456"/>
      <c r="E208" s="456"/>
      <c r="F208" s="457"/>
    </row>
    <row r="209" spans="2:30">
      <c r="B209" s="177" t="s">
        <v>112</v>
      </c>
      <c r="C209" s="456">
        <f>(C198/C117)*1000000000</f>
        <v>17302.414886062328</v>
      </c>
      <c r="D209" s="456">
        <f>(D198/D117)*1000000000</f>
        <v>14853.706805861033</v>
      </c>
      <c r="E209" s="456">
        <f>(E198/E117)*1000000000</f>
        <v>16614.487379605496</v>
      </c>
      <c r="F209" s="457">
        <f>(F198/F117)*1000000000</f>
        <v>20874.344563802762</v>
      </c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</row>
    <row r="211" spans="2:30">
      <c r="B211" s="188" t="s">
        <v>289</v>
      </c>
      <c r="C211" s="456"/>
      <c r="D211" s="456"/>
      <c r="E211" s="456"/>
      <c r="F211" s="457"/>
      <c r="I211" s="135"/>
      <c r="J211" s="135"/>
    </row>
    <row r="212" spans="2:30">
      <c r="B212" s="177" t="s">
        <v>112</v>
      </c>
      <c r="C212" s="456">
        <f>(C198/VLOOKUP(C$38,'AV (2011)'!$A$11:$F$213,'AV (2011)'!$F$214,FALSE)*1000)</f>
        <v>0.10092884720176248</v>
      </c>
      <c r="D212" s="456">
        <f>(D198/VLOOKUP(D$38,'AV (2011)'!$A$11:$F$213,'AV (2011)'!$F$214,FALSE)*1000)</f>
        <v>8.7213494410385645E-2</v>
      </c>
      <c r="E212" s="456">
        <f>(E198/VLOOKUP(E$38,'AV (2011)'!$A$11:$F$213,'AV (2011)'!$F$214,FALSE)*1000)</f>
        <v>9.8199365518921708E-2</v>
      </c>
      <c r="F212" s="457">
        <f>(F198/VLOOKUP(F$38,'AV (2011)'!$A$11:$F$213,'AV (2011)'!$F$214,FALSE)*1000)</f>
        <v>0.11331751867405236</v>
      </c>
      <c r="J212" s="135"/>
    </row>
    <row r="213" spans="2:30">
      <c r="B213" s="482" t="s">
        <v>272</v>
      </c>
      <c r="C213" s="458">
        <f>'Industry calcs'!C24</f>
        <v>6.7200573422985591E-2</v>
      </c>
      <c r="D213" s="458">
        <f>'Industry calcs'!D24</f>
        <v>6.9687031761162824E-2</v>
      </c>
      <c r="E213" s="458">
        <f>'Industry calcs'!E24</f>
        <v>6.3393701017924006E-2</v>
      </c>
      <c r="F213" s="658">
        <f>'Industry calcs'!F24</f>
        <v>6.5198766431544805E-2</v>
      </c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</row>
    <row r="215" spans="2:30">
      <c r="B215" s="175" t="s">
        <v>287</v>
      </c>
      <c r="C215" s="463">
        <f>IFERROR(EXP(SLOPE(W215:Z215,$C$195:$F$195))-1,(IFERROR(EXP(SLOPE(X215:Z215,$D$195:$F$195))-1,F215)))</f>
        <v>8.50064312412806E-2</v>
      </c>
      <c r="D215" s="464">
        <f>D206/C206 - 1</f>
        <v>-9.8146215470405695E-2</v>
      </c>
      <c r="E215" s="464">
        <f>E206/D206 - 1</f>
        <v>0.13475557265248916</v>
      </c>
      <c r="F215" s="465">
        <f>F206/E206 - 1</f>
        <v>0.22961308774275757</v>
      </c>
      <c r="K215" s="139"/>
      <c r="P215" s="139"/>
      <c r="V215" s="136" t="s">
        <v>423</v>
      </c>
      <c r="W215" s="136">
        <f>LN(C206)</f>
        <v>5.955269442407281</v>
      </c>
      <c r="X215" s="136">
        <f>LN(D206)</f>
        <v>5.8519665689394822</v>
      </c>
      <c r="Y215" s="136">
        <f>LN(E206)</f>
        <v>5.9783838421895412</v>
      </c>
      <c r="Z215" s="136">
        <f>LN(F206)</f>
        <v>6.1850833992778425</v>
      </c>
    </row>
    <row r="216" spans="2:30">
      <c r="B216" s="177" t="s">
        <v>288</v>
      </c>
      <c r="C216" s="466">
        <f>IFERROR(EXP(SLOPE(W216:Z216,$C$195:$F$195))-1,(IFERROR(EXP(SLOPE(X216:Z216,$D$195:$F$195))-1,F216)))</f>
        <v>6.9835605816235047E-2</v>
      </c>
      <c r="D216" s="467">
        <f>D209/C209 - 1</f>
        <v>-0.14152406449193466</v>
      </c>
      <c r="E216" s="467">
        <f>E209/D209 - 1</f>
        <v>0.11854149248790136</v>
      </c>
      <c r="F216" s="468">
        <f>F209/E209 - 1</f>
        <v>0.2563941388541604</v>
      </c>
      <c r="T216" s="559"/>
      <c r="U216" s="559"/>
      <c r="V216" s="559" t="s">
        <v>423</v>
      </c>
      <c r="W216" s="559">
        <f>LN(C209)</f>
        <v>9.7586013595339924</v>
      </c>
      <c r="X216" s="559">
        <f>LN(D209)</f>
        <v>9.6060047296381157</v>
      </c>
      <c r="Y216" s="559">
        <f>LN(E209)</f>
        <v>9.7180303274451756</v>
      </c>
      <c r="Z216" s="559">
        <f>LN(F209)</f>
        <v>9.9462761510849393</v>
      </c>
      <c r="AA216" s="559"/>
      <c r="AB216" s="559"/>
      <c r="AC216" s="559"/>
      <c r="AD216" s="559"/>
    </row>
    <row r="217" spans="2:30">
      <c r="B217" s="192" t="s">
        <v>289</v>
      </c>
      <c r="C217" s="469">
        <f>IFERROR(EXP(SLOPE(W217:Z217,$C$195:$F$195))-1,(IFERROR(EXP(SLOPE(X217:Z217,$D$195:$F$195))-1,F217)))</f>
        <v>4.7700189331114418E-2</v>
      </c>
      <c r="D217" s="470">
        <f>D212/C212 - 1</f>
        <v>-0.13589130532680183</v>
      </c>
      <c r="E217" s="470">
        <f>E212/D212 - 1</f>
        <v>0.12596526699001109</v>
      </c>
      <c r="F217" s="471">
        <f>F212/E212 - 1</f>
        <v>0.1539536744992267</v>
      </c>
      <c r="T217" s="559"/>
      <c r="U217" s="559"/>
      <c r="V217" s="559" t="s">
        <v>423</v>
      </c>
      <c r="W217" s="559">
        <f>LN(C212)</f>
        <v>-2.2933394935566049</v>
      </c>
      <c r="X217" s="559">
        <f>LN(D212)</f>
        <v>-2.4393962076274431</v>
      </c>
      <c r="Y217" s="559">
        <f>LN(E212)</f>
        <v>-2.3207555247533667</v>
      </c>
      <c r="Z217" s="559">
        <f>LN(F212)</f>
        <v>-2.1775615008881091</v>
      </c>
      <c r="AA217" s="559"/>
      <c r="AB217" s="559"/>
      <c r="AC217" s="559"/>
      <c r="AD217" s="559"/>
    </row>
    <row r="218" spans="2:30"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T219" s="559"/>
      <c r="U219" s="559"/>
      <c r="V219" s="560" t="str">
        <f>$B$2</f>
        <v>Alpine Energy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T220" s="559"/>
      <c r="U220" s="559"/>
      <c r="V220" s="562" t="s">
        <v>280</v>
      </c>
      <c r="W220" s="563">
        <f>C222</f>
        <v>11864.750695211662</v>
      </c>
      <c r="X220" s="563">
        <f>D222</f>
        <v>14703.588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Alpine Energy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T221" s="559"/>
      <c r="U221" s="559"/>
      <c r="V221" s="565" t="s">
        <v>277</v>
      </c>
      <c r="W221" s="563">
        <f t="shared" ref="W221:AA222" si="20">C223</f>
        <v>15664.594055670823</v>
      </c>
      <c r="X221" s="563">
        <f t="shared" si="20"/>
        <v>22529.50688475115</v>
      </c>
      <c r="Y221" s="563">
        <f t="shared" si="20"/>
        <v>23160.165988520919</v>
      </c>
      <c r="Z221" s="563">
        <f t="shared" si="20"/>
        <v>16674.259922933899</v>
      </c>
      <c r="AA221" s="563">
        <f t="shared" si="20"/>
        <v>13479.192153269918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11864.750695211662</v>
      </c>
      <c r="D222" s="461">
        <f>VLOOKUP(D226,'FS (2011)'!$A$14:$AJ$245,'FS (2011)'!$AG$245,FALSE)</f>
        <v>14703.588</v>
      </c>
      <c r="E222" s="461"/>
      <c r="F222" s="461"/>
      <c r="G222" s="461"/>
      <c r="H222" s="461"/>
      <c r="I222" s="462"/>
      <c r="T222" s="559"/>
      <c r="U222" s="559"/>
      <c r="V222" s="565" t="s">
        <v>278</v>
      </c>
      <c r="W222" s="563"/>
      <c r="X222" s="563">
        <f t="shared" si="20"/>
        <v>23638</v>
      </c>
      <c r="Y222" s="563">
        <f t="shared" si="20"/>
        <v>21574</v>
      </c>
      <c r="Z222" s="563">
        <f t="shared" si="20"/>
        <v>28373</v>
      </c>
      <c r="AA222" s="563">
        <f t="shared" si="20"/>
        <v>19043</v>
      </c>
      <c r="AB222" s="563">
        <f>H224</f>
        <v>12396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15664.594055670823</v>
      </c>
      <c r="D223" s="461">
        <f>VLOOKUP(D227,'AM (2011)'!$A$10:$N$444,'AM (2011)'!$J$445,FALSE)</f>
        <v>22529.50688475115</v>
      </c>
      <c r="E223" s="461">
        <f>VLOOKUP(E226,'AM (2011)'!$A$10:$N$444,'AM (2011)'!$J$445,FALSE)</f>
        <v>23160.165988520919</v>
      </c>
      <c r="F223" s="461">
        <f>VLOOKUP(F226,'AM (2011)'!$A$10:$N$444,'AM (2011)'!$J$445,FALSE)</f>
        <v>16674.259922933899</v>
      </c>
      <c r="G223" s="461">
        <f>VLOOKUP(G226,'AM (2011)'!$A$10:$N$444,'AM (2011)'!$J$445,FALSE)</f>
        <v>13479.192153269918</v>
      </c>
      <c r="H223" s="461"/>
      <c r="I223" s="462"/>
      <c r="T223" s="559"/>
      <c r="U223" s="559"/>
      <c r="V223" s="565" t="s">
        <v>279</v>
      </c>
      <c r="W223" s="563"/>
      <c r="X223" s="563"/>
      <c r="Y223" s="563">
        <f>E225</f>
        <v>20107.978797672913</v>
      </c>
      <c r="Z223" s="563">
        <f>F225</f>
        <v>15503.322042663218</v>
      </c>
      <c r="AA223" s="563">
        <f>G225</f>
        <v>14905.009954751131</v>
      </c>
      <c r="AB223" s="563">
        <f>H225</f>
        <v>10057.899935358759</v>
      </c>
      <c r="AC223" s="563">
        <f>I225</f>
        <v>11128.40930833872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23638</v>
      </c>
      <c r="E224" s="461">
        <f>VLOOKUP(E227,'AM (2011)'!$A$10:$N$444,'AM (2011)'!$J$445,FALSE)</f>
        <v>21574</v>
      </c>
      <c r="F224" s="461">
        <f>VLOOKUP(F227,'AM (2011)'!$A$10:$N$444,'AM (2011)'!$J$445,FALSE)</f>
        <v>28373</v>
      </c>
      <c r="G224" s="461">
        <f>VLOOKUP(G227,'AM (2011)'!$A$10:$N$444,'AM (2011)'!$J$445,FALSE)</f>
        <v>19043</v>
      </c>
      <c r="H224" s="461">
        <f>VLOOKUP(H227,'AM (2011)'!$A$10:$N$444,'AM (2011)'!$J$445,FALSE)</f>
        <v>12396</v>
      </c>
      <c r="I224" s="462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20107.978797672913</v>
      </c>
      <c r="F225" s="493">
        <f>VLOOKUP(F228,'AM (2011)'!$A$10:$N$444,'AM (2011)'!$J$445,FALSE)</f>
        <v>15503.322042663218</v>
      </c>
      <c r="G225" s="493">
        <f>VLOOKUP(G228,'AM (2011)'!$A$10:$N$444,'AM (2011)'!$J$445,FALSE)</f>
        <v>14905.009954751131</v>
      </c>
      <c r="H225" s="493">
        <f>VLOOKUP(H228,'AM (2011)'!$A$10:$N$444,'AM (2011)'!$J$445,FALSE)</f>
        <v>10057.899935358759</v>
      </c>
      <c r="I225" s="494">
        <f>VLOOKUP(I228,'AM (2011)'!$A$10:$N$444,'AM (2011)'!$J$445,FALSE)</f>
        <v>11128.40930833872</v>
      </c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7</v>
      </c>
      <c r="D226" s="136">
        <f>VLOOKUP($B$2,$B$257:$Y$286,9,FALSE)</f>
        <v>8</v>
      </c>
      <c r="E226" s="136">
        <f>VLOOKUP($B$2,$B$257:$Y$286,12,FALSE)</f>
        <v>11</v>
      </c>
      <c r="F226" s="136">
        <f>VLOOKUP($B$2,$B$257:$Y$286,13,FALSE)</f>
        <v>12</v>
      </c>
      <c r="G226" s="136">
        <f>VLOOKUP($B$2,$B$257:$Y$286,14,FALSE)</f>
        <v>13</v>
      </c>
      <c r="H226" s="136"/>
      <c r="I226" s="136"/>
      <c r="T226" s="559"/>
      <c r="U226" s="559"/>
      <c r="V226" s="559"/>
      <c r="W226" s="559"/>
      <c r="X226" s="559"/>
      <c r="Y226" s="559"/>
      <c r="Z226" s="559"/>
      <c r="AA226" s="559"/>
      <c r="AB226" s="559"/>
      <c r="AC226" s="559"/>
      <c r="AD226" s="559"/>
    </row>
    <row r="227" spans="2:30">
      <c r="C227" s="136">
        <f>VLOOKUP($B$2,$B$257:$Y$286,10,FALSE)</f>
        <v>9</v>
      </c>
      <c r="D227" s="136">
        <f>VLOOKUP($B$2,$B$257:$Y$286,11,FALSE)</f>
        <v>10</v>
      </c>
      <c r="E227" s="136">
        <f>VLOOKUP($B$2,$B$257:$Y$286,16,FALSE)</f>
        <v>15</v>
      </c>
      <c r="F227" s="136">
        <f>VLOOKUP($B$2,$B$257:$Y$286,17,FALSE)</f>
        <v>16</v>
      </c>
      <c r="G227" s="136">
        <f>VLOOKUP($B$2,$B$257:$Y$286,18,FALSE)</f>
        <v>17</v>
      </c>
      <c r="H227" s="136">
        <f>VLOOKUP($B$2,$B$257:$Y$286,19,FALSE)</f>
        <v>18</v>
      </c>
      <c r="I227" s="136"/>
      <c r="T227" s="559"/>
      <c r="U227" s="559"/>
      <c r="V227" s="559"/>
      <c r="W227" s="559"/>
      <c r="X227" s="559"/>
      <c r="Y227" s="559"/>
      <c r="Z227" s="559"/>
      <c r="AA227" s="559"/>
      <c r="AB227" s="559"/>
      <c r="AC227" s="559"/>
      <c r="AD227" s="559"/>
    </row>
    <row r="228" spans="2:30">
      <c r="B228" s="517" t="s">
        <v>291</v>
      </c>
      <c r="C228" s="518"/>
      <c r="D228" s="518">
        <f>VLOOKUP($B$2,$B$257:$Y$286,15,FALSE)</f>
        <v>14</v>
      </c>
      <c r="E228" s="518">
        <f>VLOOKUP($B$2,$B$257:$Y$286,20,FALSE)</f>
        <v>19</v>
      </c>
      <c r="F228" s="519">
        <f>VLOOKUP($B$2,$B$257:$Y$286,21,FALSE)</f>
        <v>20</v>
      </c>
      <c r="G228" s="136">
        <f>VLOOKUP($B$2,$B$257:$Y$286,22,FALSE)</f>
        <v>21</v>
      </c>
      <c r="H228" s="136">
        <f>VLOOKUP($B$2,$B$257:$Y$286,23,FALSE)</f>
        <v>22</v>
      </c>
      <c r="I228" s="136">
        <f>VLOOKUP($B$2,$B$257:$Y$286,24,FALSE)</f>
        <v>23</v>
      </c>
    </row>
    <row r="229" spans="2:30">
      <c r="B229" s="474" t="str">
        <f>$B$2</f>
        <v>Alpine Energy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149.5</v>
      </c>
      <c r="D230" s="456">
        <f>VLOOKUP(D$38,'MP (2011)'!$A$11:$AR$245,'MP (2011)'!$S$246,FALSE)+VLOOKUP(D$38,'MP (2011)'!$A$11:$AR$245,'MP (2011)'!$T$246,FALSE)</f>
        <v>200.942508</v>
      </c>
      <c r="E230" s="456">
        <f>VLOOKUP(E$38,'MP (2011)'!$A$11:$AR$245,'MP (2011)'!$S$246,FALSE)+VLOOKUP(E$38,'MP (2011)'!$A$11:$AR$245,'MP (2011)'!$T$246,FALSE)</f>
        <v>332.37</v>
      </c>
      <c r="F230" s="457">
        <f>VLOOKUP(F$38,'MP (2011)'!$A$11:$AR$245,'MP (2011)'!$S$246,FALSE)+VLOOKUP(F$38,'MP (2011)'!$A$11:$AR$245,'MP (2011)'!$T$246,FALSE)</f>
        <v>225.53</v>
      </c>
    </row>
    <row r="231" spans="2:30">
      <c r="B231" s="199" t="s">
        <v>292</v>
      </c>
      <c r="C231" s="456">
        <f>IF(ISERROR(VLOOKUP(C$38,'Compliance data'!$A$7:$E$74,'Compliance data'!$D$75,FALSE)),"",(VLOOKUP(C$38,'Compliance data'!$A$7:$E$74,'Compliance data'!$D$75,FALSE)))</f>
        <v>88.2</v>
      </c>
      <c r="D231" s="456">
        <f>IF(ISERROR(VLOOKUP(D$38,'Compliance data'!$A$7:$E$74,'Compliance data'!$D$75,FALSE)),"",(VLOOKUP(D$38,'Compliance data'!$A$7:$E$74,'Compliance data'!$D$75,FALSE)))</f>
        <v>88.2</v>
      </c>
      <c r="E231" s="456">
        <f>IF(ISERROR(VLOOKUP(E$38,'Compliance data'!$A$7:$E$74,'Compliance data'!$D$75,FALSE)),"",(VLOOKUP(E$38,'Compliance data'!$A$7:$E$74,'Compliance data'!$D$75,FALSE)))</f>
        <v>88.2</v>
      </c>
      <c r="F231" s="457">
        <f>IF(ISERROR(VLOOKUP(F$38,'Compliance data'!$A$7:$E$74,'Compliance data'!$D$75,FALSE)),"",(VLOOKUP(F$38,'Compliance data'!$A$7:$E$74,'Compliance data'!$D$75,FALSE)))</f>
        <v>164.221</v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1.68</v>
      </c>
      <c r="D237" s="456">
        <f>VLOOKUP(D$38,'MP (2011)'!$A$11:$AR$245,'MP (2011)'!$W$246,FALSE)+VLOOKUP(D$38,'MP (2011)'!$A$11:$AR$245,'MP (2011)'!$X$246,FALSE)</f>
        <v>1.69198465</v>
      </c>
      <c r="E237" s="456">
        <f>VLOOKUP(E$38,'MP (2011)'!$A$11:$AR$245,'MP (2011)'!$W$246,FALSE)+VLOOKUP(E$38,'MP (2011)'!$A$11:$AR$245,'MP (2011)'!$X$246,FALSE)</f>
        <v>2.1800000000000002</v>
      </c>
      <c r="F237" s="457">
        <f>VLOOKUP(F$38,'MP (2011)'!$A$11:$AR$245,'MP (2011)'!$W$246,FALSE)+VLOOKUP(F$38,'MP (2011)'!$A$11:$AR$245,'MP (2011)'!$X$246,FALSE)</f>
        <v>1.7</v>
      </c>
    </row>
    <row r="238" spans="2:30">
      <c r="B238" s="199" t="s">
        <v>292</v>
      </c>
      <c r="C238" s="456">
        <f>IF(ISERROR(VLOOKUP(C$38,'Compliance data'!$A$7:$E$74,'Compliance data'!$E$75,FALSE)),"",(VLOOKUP(C$38,'Compliance data'!$A$7:$E$74,'Compliance data'!$E$75,FALSE)))</f>
        <v>1.1000000000000001</v>
      </c>
      <c r="D238" s="456">
        <f>IF(ISERROR(VLOOKUP(D$38,'Compliance data'!$A$7:$E$74,'Compliance data'!$E$75,FALSE)),"",(VLOOKUP(D$38,'Compliance data'!$A$7:$E$74,'Compliance data'!$E$75,FALSE)))</f>
        <v>1.1000000000000001</v>
      </c>
      <c r="E238" s="456">
        <f>IF(ISERROR(VLOOKUP(E$38,'Compliance data'!$A$7:$E$74,'Compliance data'!$E$75,FALSE)),"",(VLOOKUP(E$38,'Compliance data'!$A$7:$E$74,'Compliance data'!$E$75,FALSE)))</f>
        <v>1.1000000000000001</v>
      </c>
      <c r="F238" s="457">
        <f>IF(ISERROR(VLOOKUP(F$38,'Compliance data'!$A$7:$E$74,'Compliance data'!$E$75,FALSE)),"",(VLOOKUP(F$38,'Compliance data'!$A$7:$E$74,'Compliance data'!$E$75,FALSE)))</f>
        <v>1.694</v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Y258" si="21">C258+1</f>
        <v>2</v>
      </c>
      <c r="E258" s="526">
        <f t="shared" si="21"/>
        <v>3</v>
      </c>
      <c r="F258" s="526">
        <f t="shared" si="21"/>
        <v>4</v>
      </c>
      <c r="G258" s="526">
        <f t="shared" si="21"/>
        <v>5</v>
      </c>
      <c r="H258" s="526">
        <f t="shared" si="21"/>
        <v>6</v>
      </c>
      <c r="I258" s="526">
        <f t="shared" si="21"/>
        <v>7</v>
      </c>
      <c r="J258" s="526">
        <f t="shared" si="21"/>
        <v>8</v>
      </c>
      <c r="K258" s="526">
        <f t="shared" si="21"/>
        <v>9</v>
      </c>
      <c r="L258" s="526">
        <f t="shared" si="21"/>
        <v>10</v>
      </c>
      <c r="M258" s="526">
        <f t="shared" si="21"/>
        <v>11</v>
      </c>
      <c r="N258" s="526">
        <f t="shared" si="21"/>
        <v>12</v>
      </c>
      <c r="O258" s="526">
        <f t="shared" si="21"/>
        <v>13</v>
      </c>
      <c r="P258" s="526">
        <f t="shared" si="21"/>
        <v>14</v>
      </c>
      <c r="Q258" s="526">
        <f t="shared" si="21"/>
        <v>15</v>
      </c>
      <c r="R258" s="526">
        <f t="shared" si="21"/>
        <v>16</v>
      </c>
      <c r="S258" s="526">
        <f t="shared" si="21"/>
        <v>17</v>
      </c>
      <c r="T258" s="526">
        <f t="shared" si="21"/>
        <v>18</v>
      </c>
      <c r="U258" s="526">
        <f t="shared" si="21"/>
        <v>19</v>
      </c>
      <c r="V258" s="526">
        <f t="shared" si="21"/>
        <v>20</v>
      </c>
      <c r="W258" s="526">
        <f t="shared" si="21"/>
        <v>21</v>
      </c>
      <c r="X258" s="526">
        <f t="shared" si="21"/>
        <v>22</v>
      </c>
      <c r="Y258" s="526">
        <f t="shared" si="21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ref="D259:S274" si="22">C259+1</f>
        <v>25</v>
      </c>
      <c r="E259" s="526">
        <f t="shared" si="22"/>
        <v>26</v>
      </c>
      <c r="F259" s="526">
        <f t="shared" si="22"/>
        <v>27</v>
      </c>
      <c r="G259" s="526">
        <f t="shared" si="22"/>
        <v>28</v>
      </c>
      <c r="H259" s="526">
        <f t="shared" si="22"/>
        <v>29</v>
      </c>
      <c r="I259" s="526">
        <f t="shared" si="22"/>
        <v>30</v>
      </c>
      <c r="J259" s="526">
        <f t="shared" si="22"/>
        <v>31</v>
      </c>
      <c r="K259" s="526">
        <f t="shared" si="22"/>
        <v>32</v>
      </c>
      <c r="L259" s="526">
        <f t="shared" si="22"/>
        <v>33</v>
      </c>
      <c r="M259" s="526">
        <f t="shared" si="22"/>
        <v>34</v>
      </c>
      <c r="N259" s="526">
        <f t="shared" si="22"/>
        <v>35</v>
      </c>
      <c r="O259" s="526">
        <f t="shared" si="22"/>
        <v>36</v>
      </c>
      <c r="P259" s="526">
        <f t="shared" si="22"/>
        <v>37</v>
      </c>
      <c r="Q259" s="526">
        <f t="shared" si="22"/>
        <v>38</v>
      </c>
      <c r="R259" s="526">
        <f t="shared" si="22"/>
        <v>39</v>
      </c>
      <c r="S259" s="526">
        <f t="shared" si="22"/>
        <v>40</v>
      </c>
      <c r="T259" s="526">
        <f t="shared" ref="T259:Y273" si="23">S259+1</f>
        <v>41</v>
      </c>
      <c r="U259" s="526">
        <f t="shared" si="23"/>
        <v>42</v>
      </c>
      <c r="V259" s="526">
        <f t="shared" si="23"/>
        <v>43</v>
      </c>
      <c r="W259" s="526">
        <f t="shared" si="23"/>
        <v>44</v>
      </c>
      <c r="X259" s="526">
        <f t="shared" si="23"/>
        <v>45</v>
      </c>
      <c r="Y259" s="526">
        <f t="shared" si="23"/>
        <v>46</v>
      </c>
    </row>
    <row r="260" spans="2:25" s="526" customFormat="1" ht="15.75">
      <c r="B260" s="530" t="s">
        <v>31</v>
      </c>
      <c r="C260" s="526">
        <f t="shared" ref="C260:C286" si="24">Y259+1</f>
        <v>47</v>
      </c>
      <c r="D260" s="526">
        <f t="shared" si="22"/>
        <v>48</v>
      </c>
      <c r="E260" s="526">
        <f t="shared" si="22"/>
        <v>49</v>
      </c>
      <c r="F260" s="526">
        <f t="shared" si="22"/>
        <v>50</v>
      </c>
      <c r="G260" s="526">
        <f t="shared" si="22"/>
        <v>51</v>
      </c>
      <c r="H260" s="526">
        <f t="shared" si="22"/>
        <v>52</v>
      </c>
      <c r="I260" s="526">
        <f t="shared" si="22"/>
        <v>53</v>
      </c>
      <c r="J260" s="526">
        <f t="shared" si="22"/>
        <v>54</v>
      </c>
      <c r="K260" s="526">
        <f t="shared" si="22"/>
        <v>55</v>
      </c>
      <c r="L260" s="526">
        <f t="shared" si="22"/>
        <v>56</v>
      </c>
      <c r="M260" s="526">
        <f t="shared" si="22"/>
        <v>57</v>
      </c>
      <c r="N260" s="526">
        <f t="shared" si="22"/>
        <v>58</v>
      </c>
      <c r="O260" s="526">
        <f t="shared" si="22"/>
        <v>59</v>
      </c>
      <c r="P260" s="526">
        <f t="shared" si="22"/>
        <v>60</v>
      </c>
      <c r="Q260" s="526">
        <f t="shared" si="22"/>
        <v>61</v>
      </c>
      <c r="R260" s="526">
        <f t="shared" si="22"/>
        <v>62</v>
      </c>
      <c r="S260" s="526">
        <f t="shared" si="22"/>
        <v>63</v>
      </c>
      <c r="T260" s="526">
        <f t="shared" si="23"/>
        <v>64</v>
      </c>
      <c r="U260" s="526">
        <f t="shared" si="23"/>
        <v>65</v>
      </c>
      <c r="V260" s="526">
        <f t="shared" si="23"/>
        <v>66</v>
      </c>
      <c r="W260" s="526">
        <f t="shared" si="23"/>
        <v>67</v>
      </c>
      <c r="X260" s="526">
        <f t="shared" si="23"/>
        <v>68</v>
      </c>
      <c r="Y260" s="526">
        <f t="shared" si="23"/>
        <v>69</v>
      </c>
    </row>
    <row r="261" spans="2:25" s="526" customFormat="1" ht="15.75">
      <c r="B261" s="530" t="s">
        <v>32</v>
      </c>
      <c r="C261" s="526">
        <f t="shared" si="24"/>
        <v>70</v>
      </c>
      <c r="D261" s="526">
        <f t="shared" si="22"/>
        <v>71</v>
      </c>
      <c r="E261" s="526">
        <f t="shared" si="22"/>
        <v>72</v>
      </c>
      <c r="F261" s="526">
        <f t="shared" si="22"/>
        <v>73</v>
      </c>
      <c r="G261" s="526">
        <f t="shared" si="22"/>
        <v>74</v>
      </c>
      <c r="H261" s="526">
        <f t="shared" si="22"/>
        <v>75</v>
      </c>
      <c r="I261" s="526">
        <f t="shared" si="22"/>
        <v>76</v>
      </c>
      <c r="J261" s="526">
        <f t="shared" si="22"/>
        <v>77</v>
      </c>
      <c r="K261" s="526">
        <f t="shared" si="22"/>
        <v>78</v>
      </c>
      <c r="L261" s="526">
        <f t="shared" si="22"/>
        <v>79</v>
      </c>
      <c r="M261" s="526">
        <f t="shared" si="22"/>
        <v>80</v>
      </c>
      <c r="N261" s="526">
        <f t="shared" si="22"/>
        <v>81</v>
      </c>
      <c r="O261" s="526">
        <f t="shared" si="22"/>
        <v>82</v>
      </c>
      <c r="P261" s="526">
        <f t="shared" si="22"/>
        <v>83</v>
      </c>
      <c r="Q261" s="526">
        <f t="shared" si="22"/>
        <v>84</v>
      </c>
      <c r="R261" s="526">
        <f t="shared" si="22"/>
        <v>85</v>
      </c>
      <c r="S261" s="526">
        <f t="shared" si="22"/>
        <v>86</v>
      </c>
      <c r="T261" s="526">
        <f t="shared" si="23"/>
        <v>87</v>
      </c>
      <c r="U261" s="526">
        <f t="shared" si="23"/>
        <v>88</v>
      </c>
      <c r="V261" s="526">
        <f t="shared" si="23"/>
        <v>89</v>
      </c>
      <c r="W261" s="526">
        <f t="shared" si="23"/>
        <v>90</v>
      </c>
      <c r="X261" s="526">
        <f t="shared" si="23"/>
        <v>91</v>
      </c>
      <c r="Y261" s="526">
        <f t="shared" si="23"/>
        <v>92</v>
      </c>
    </row>
    <row r="262" spans="2:25" s="526" customFormat="1" ht="15.75">
      <c r="B262" s="530" t="s">
        <v>33</v>
      </c>
      <c r="C262" s="526">
        <f t="shared" si="24"/>
        <v>93</v>
      </c>
      <c r="D262" s="526">
        <f t="shared" si="22"/>
        <v>94</v>
      </c>
      <c r="E262" s="526">
        <f t="shared" si="22"/>
        <v>95</v>
      </c>
      <c r="F262" s="526">
        <f t="shared" si="22"/>
        <v>96</v>
      </c>
      <c r="G262" s="526">
        <f t="shared" si="22"/>
        <v>97</v>
      </c>
      <c r="H262" s="526">
        <f t="shared" si="22"/>
        <v>98</v>
      </c>
      <c r="I262" s="526">
        <f t="shared" si="22"/>
        <v>99</v>
      </c>
      <c r="J262" s="526">
        <f t="shared" si="22"/>
        <v>100</v>
      </c>
      <c r="K262" s="526">
        <f t="shared" si="22"/>
        <v>101</v>
      </c>
      <c r="L262" s="526">
        <f t="shared" si="22"/>
        <v>102</v>
      </c>
      <c r="M262" s="526">
        <f t="shared" si="22"/>
        <v>103</v>
      </c>
      <c r="N262" s="526">
        <f t="shared" si="22"/>
        <v>104</v>
      </c>
      <c r="O262" s="526">
        <f t="shared" si="22"/>
        <v>105</v>
      </c>
      <c r="P262" s="526">
        <f t="shared" si="22"/>
        <v>106</v>
      </c>
      <c r="Q262" s="526">
        <f t="shared" si="22"/>
        <v>107</v>
      </c>
      <c r="R262" s="526">
        <f t="shared" si="22"/>
        <v>108</v>
      </c>
      <c r="S262" s="526">
        <f t="shared" si="22"/>
        <v>109</v>
      </c>
      <c r="T262" s="526">
        <f t="shared" si="23"/>
        <v>110</v>
      </c>
      <c r="U262" s="526">
        <f t="shared" si="23"/>
        <v>111</v>
      </c>
      <c r="V262" s="526">
        <f t="shared" si="23"/>
        <v>112</v>
      </c>
      <c r="W262" s="526">
        <f t="shared" si="23"/>
        <v>113</v>
      </c>
      <c r="X262" s="526">
        <f t="shared" si="23"/>
        <v>114</v>
      </c>
      <c r="Y262" s="526">
        <f t="shared" si="23"/>
        <v>115</v>
      </c>
    </row>
    <row r="263" spans="2:25" s="526" customFormat="1" ht="15.75">
      <c r="B263" s="530" t="s">
        <v>34</v>
      </c>
      <c r="C263" s="526">
        <f t="shared" si="24"/>
        <v>116</v>
      </c>
      <c r="D263" s="526">
        <f t="shared" si="22"/>
        <v>117</v>
      </c>
      <c r="E263" s="526">
        <f t="shared" si="22"/>
        <v>118</v>
      </c>
      <c r="F263" s="526">
        <f t="shared" si="22"/>
        <v>119</v>
      </c>
      <c r="G263" s="526">
        <f t="shared" si="22"/>
        <v>120</v>
      </c>
      <c r="H263" s="526">
        <f t="shared" si="22"/>
        <v>121</v>
      </c>
      <c r="I263" s="526">
        <f t="shared" si="22"/>
        <v>122</v>
      </c>
      <c r="J263" s="526">
        <f t="shared" si="22"/>
        <v>123</v>
      </c>
      <c r="K263" s="526">
        <f t="shared" si="22"/>
        <v>124</v>
      </c>
      <c r="L263" s="526">
        <f t="shared" si="22"/>
        <v>125</v>
      </c>
      <c r="M263" s="526">
        <f t="shared" si="22"/>
        <v>126</v>
      </c>
      <c r="N263" s="526">
        <f t="shared" si="22"/>
        <v>127</v>
      </c>
      <c r="O263" s="526">
        <f t="shared" si="22"/>
        <v>128</v>
      </c>
      <c r="P263" s="526">
        <f t="shared" si="22"/>
        <v>129</v>
      </c>
      <c r="Q263" s="526">
        <f t="shared" si="22"/>
        <v>130</v>
      </c>
      <c r="R263" s="526">
        <f t="shared" si="22"/>
        <v>131</v>
      </c>
      <c r="S263" s="526">
        <f t="shared" si="22"/>
        <v>132</v>
      </c>
      <c r="T263" s="526">
        <f t="shared" si="23"/>
        <v>133</v>
      </c>
      <c r="U263" s="526">
        <f t="shared" si="23"/>
        <v>134</v>
      </c>
      <c r="V263" s="526">
        <f t="shared" si="23"/>
        <v>135</v>
      </c>
      <c r="W263" s="526">
        <f t="shared" si="23"/>
        <v>136</v>
      </c>
      <c r="X263" s="526">
        <f t="shared" si="23"/>
        <v>137</v>
      </c>
      <c r="Y263" s="526">
        <f t="shared" si="23"/>
        <v>138</v>
      </c>
    </row>
    <row r="264" spans="2:25" s="526" customFormat="1" ht="15.75">
      <c r="B264" s="530" t="s">
        <v>35</v>
      </c>
      <c r="C264" s="526">
        <f t="shared" si="24"/>
        <v>139</v>
      </c>
      <c r="D264" s="526">
        <f t="shared" si="22"/>
        <v>140</v>
      </c>
      <c r="E264" s="526">
        <f t="shared" si="22"/>
        <v>141</v>
      </c>
      <c r="F264" s="526">
        <f t="shared" si="22"/>
        <v>142</v>
      </c>
      <c r="G264" s="526">
        <f t="shared" si="22"/>
        <v>143</v>
      </c>
      <c r="H264" s="526">
        <f t="shared" si="22"/>
        <v>144</v>
      </c>
      <c r="I264" s="526">
        <f t="shared" si="22"/>
        <v>145</v>
      </c>
      <c r="J264" s="526">
        <f t="shared" si="22"/>
        <v>146</v>
      </c>
      <c r="K264" s="526">
        <f t="shared" si="22"/>
        <v>147</v>
      </c>
      <c r="L264" s="526">
        <f t="shared" si="22"/>
        <v>148</v>
      </c>
      <c r="M264" s="526">
        <f t="shared" si="22"/>
        <v>149</v>
      </c>
      <c r="N264" s="526">
        <f t="shared" si="22"/>
        <v>150</v>
      </c>
      <c r="O264" s="526">
        <f t="shared" si="22"/>
        <v>151</v>
      </c>
      <c r="P264" s="526">
        <f t="shared" si="22"/>
        <v>152</v>
      </c>
      <c r="Q264" s="526">
        <f t="shared" si="22"/>
        <v>153</v>
      </c>
      <c r="R264" s="526">
        <f t="shared" si="22"/>
        <v>154</v>
      </c>
      <c r="S264" s="526">
        <f t="shared" si="22"/>
        <v>155</v>
      </c>
      <c r="T264" s="526">
        <f t="shared" si="23"/>
        <v>156</v>
      </c>
      <c r="U264" s="526">
        <f t="shared" si="23"/>
        <v>157</v>
      </c>
      <c r="V264" s="526">
        <f t="shared" si="23"/>
        <v>158</v>
      </c>
      <c r="W264" s="526">
        <f t="shared" si="23"/>
        <v>159</v>
      </c>
      <c r="X264" s="526">
        <f t="shared" si="23"/>
        <v>160</v>
      </c>
      <c r="Y264" s="526">
        <f t="shared" si="23"/>
        <v>161</v>
      </c>
    </row>
    <row r="265" spans="2:25" s="526" customFormat="1" ht="15.75">
      <c r="B265" s="530" t="s">
        <v>115</v>
      </c>
      <c r="C265" s="526">
        <f t="shared" si="24"/>
        <v>162</v>
      </c>
      <c r="D265" s="526">
        <f t="shared" si="22"/>
        <v>163</v>
      </c>
      <c r="E265" s="526">
        <f t="shared" si="22"/>
        <v>164</v>
      </c>
      <c r="F265" s="526">
        <f t="shared" si="22"/>
        <v>165</v>
      </c>
      <c r="G265" s="526">
        <f t="shared" si="22"/>
        <v>166</v>
      </c>
      <c r="H265" s="526">
        <f t="shared" si="22"/>
        <v>167</v>
      </c>
      <c r="I265" s="526">
        <f t="shared" si="22"/>
        <v>168</v>
      </c>
      <c r="J265" s="526">
        <f t="shared" si="22"/>
        <v>169</v>
      </c>
      <c r="K265" s="526">
        <f t="shared" si="22"/>
        <v>170</v>
      </c>
      <c r="L265" s="526">
        <f t="shared" si="22"/>
        <v>171</v>
      </c>
      <c r="M265" s="526">
        <f t="shared" si="22"/>
        <v>172</v>
      </c>
      <c r="N265" s="526">
        <f t="shared" si="22"/>
        <v>173</v>
      </c>
      <c r="O265" s="526">
        <f t="shared" si="22"/>
        <v>174</v>
      </c>
      <c r="P265" s="526">
        <f t="shared" si="22"/>
        <v>175</v>
      </c>
      <c r="Q265" s="526">
        <f t="shared" si="22"/>
        <v>176</v>
      </c>
      <c r="R265" s="526">
        <f t="shared" si="22"/>
        <v>177</v>
      </c>
      <c r="S265" s="526">
        <f t="shared" si="22"/>
        <v>178</v>
      </c>
      <c r="T265" s="526">
        <f t="shared" si="23"/>
        <v>179</v>
      </c>
      <c r="U265" s="526">
        <f t="shared" si="23"/>
        <v>180</v>
      </c>
      <c r="V265" s="526">
        <f t="shared" si="23"/>
        <v>181</v>
      </c>
      <c r="W265" s="526">
        <f t="shared" si="23"/>
        <v>182</v>
      </c>
      <c r="X265" s="526">
        <f t="shared" si="23"/>
        <v>183</v>
      </c>
      <c r="Y265" s="526">
        <f t="shared" si="23"/>
        <v>184</v>
      </c>
    </row>
    <row r="266" spans="2:25" s="526" customFormat="1" ht="15.75">
      <c r="B266" s="530" t="s">
        <v>116</v>
      </c>
      <c r="C266" s="526">
        <f t="shared" si="24"/>
        <v>185</v>
      </c>
      <c r="D266" s="526">
        <f t="shared" si="22"/>
        <v>186</v>
      </c>
      <c r="E266" s="526">
        <f t="shared" si="22"/>
        <v>187</v>
      </c>
      <c r="F266" s="526">
        <f t="shared" si="22"/>
        <v>188</v>
      </c>
      <c r="G266" s="526">
        <f t="shared" si="22"/>
        <v>189</v>
      </c>
      <c r="H266" s="526">
        <f t="shared" si="22"/>
        <v>190</v>
      </c>
      <c r="I266" s="526">
        <f t="shared" si="22"/>
        <v>191</v>
      </c>
      <c r="J266" s="526">
        <f t="shared" si="22"/>
        <v>192</v>
      </c>
      <c r="K266" s="526">
        <f t="shared" si="22"/>
        <v>193</v>
      </c>
      <c r="L266" s="526">
        <f t="shared" si="22"/>
        <v>194</v>
      </c>
      <c r="M266" s="526">
        <f t="shared" si="22"/>
        <v>195</v>
      </c>
      <c r="N266" s="526">
        <f t="shared" si="22"/>
        <v>196</v>
      </c>
      <c r="O266" s="526">
        <f t="shared" si="22"/>
        <v>197</v>
      </c>
      <c r="P266" s="526">
        <f t="shared" si="22"/>
        <v>198</v>
      </c>
      <c r="Q266" s="526">
        <f t="shared" si="22"/>
        <v>199</v>
      </c>
      <c r="R266" s="526">
        <f t="shared" si="22"/>
        <v>200</v>
      </c>
      <c r="S266" s="526">
        <f t="shared" si="22"/>
        <v>201</v>
      </c>
      <c r="T266" s="526">
        <f t="shared" si="23"/>
        <v>202</v>
      </c>
      <c r="U266" s="526">
        <f t="shared" si="23"/>
        <v>203</v>
      </c>
      <c r="V266" s="526">
        <f t="shared" si="23"/>
        <v>204</v>
      </c>
      <c r="W266" s="526">
        <f t="shared" si="23"/>
        <v>205</v>
      </c>
      <c r="X266" s="526">
        <f t="shared" si="23"/>
        <v>206</v>
      </c>
      <c r="Y266" s="526">
        <f t="shared" si="23"/>
        <v>207</v>
      </c>
    </row>
    <row r="267" spans="2:25" s="526" customFormat="1" ht="15.75">
      <c r="B267" s="530" t="s">
        <v>38</v>
      </c>
      <c r="C267" s="526">
        <f t="shared" si="24"/>
        <v>208</v>
      </c>
      <c r="D267" s="526">
        <f t="shared" si="22"/>
        <v>209</v>
      </c>
      <c r="E267" s="526">
        <f t="shared" si="22"/>
        <v>210</v>
      </c>
      <c r="F267" s="526">
        <f t="shared" si="22"/>
        <v>211</v>
      </c>
      <c r="G267" s="526">
        <f t="shared" si="22"/>
        <v>212</v>
      </c>
      <c r="H267" s="526">
        <f t="shared" si="22"/>
        <v>213</v>
      </c>
      <c r="I267" s="526">
        <f t="shared" si="22"/>
        <v>214</v>
      </c>
      <c r="J267" s="526">
        <f t="shared" si="22"/>
        <v>215</v>
      </c>
      <c r="K267" s="526">
        <f t="shared" si="22"/>
        <v>216</v>
      </c>
      <c r="L267" s="526">
        <f t="shared" si="22"/>
        <v>217</v>
      </c>
      <c r="M267" s="526">
        <f t="shared" si="22"/>
        <v>218</v>
      </c>
      <c r="N267" s="526">
        <f t="shared" si="22"/>
        <v>219</v>
      </c>
      <c r="O267" s="526">
        <f t="shared" si="22"/>
        <v>220</v>
      </c>
      <c r="P267" s="526">
        <f t="shared" si="22"/>
        <v>221</v>
      </c>
      <c r="Q267" s="526">
        <f t="shared" si="22"/>
        <v>222</v>
      </c>
      <c r="R267" s="526">
        <f t="shared" si="22"/>
        <v>223</v>
      </c>
      <c r="S267" s="526">
        <f t="shared" si="22"/>
        <v>224</v>
      </c>
      <c r="T267" s="526">
        <f t="shared" si="23"/>
        <v>225</v>
      </c>
      <c r="U267" s="526">
        <f t="shared" si="23"/>
        <v>226</v>
      </c>
      <c r="V267" s="526">
        <f t="shared" si="23"/>
        <v>227</v>
      </c>
      <c r="W267" s="526">
        <f t="shared" si="23"/>
        <v>228</v>
      </c>
      <c r="X267" s="526">
        <f t="shared" si="23"/>
        <v>229</v>
      </c>
      <c r="Y267" s="526">
        <f t="shared" si="23"/>
        <v>230</v>
      </c>
    </row>
    <row r="268" spans="2:25" s="526" customFormat="1" ht="15.75">
      <c r="B268" s="530" t="s">
        <v>39</v>
      </c>
      <c r="C268" s="526">
        <f t="shared" si="24"/>
        <v>231</v>
      </c>
      <c r="D268" s="526">
        <f t="shared" si="22"/>
        <v>232</v>
      </c>
      <c r="E268" s="526">
        <f t="shared" si="22"/>
        <v>233</v>
      </c>
      <c r="F268" s="526">
        <f t="shared" si="22"/>
        <v>234</v>
      </c>
      <c r="G268" s="526">
        <f t="shared" si="22"/>
        <v>235</v>
      </c>
      <c r="H268" s="526">
        <f t="shared" si="22"/>
        <v>236</v>
      </c>
      <c r="I268" s="526">
        <f t="shared" si="22"/>
        <v>237</v>
      </c>
      <c r="J268" s="526">
        <f t="shared" si="22"/>
        <v>238</v>
      </c>
      <c r="K268" s="526">
        <f t="shared" si="22"/>
        <v>239</v>
      </c>
      <c r="L268" s="526">
        <f t="shared" si="22"/>
        <v>240</v>
      </c>
      <c r="M268" s="526">
        <f t="shared" si="22"/>
        <v>241</v>
      </c>
      <c r="N268" s="526">
        <f t="shared" si="22"/>
        <v>242</v>
      </c>
      <c r="O268" s="526">
        <f t="shared" si="22"/>
        <v>243</v>
      </c>
      <c r="P268" s="526">
        <f t="shared" si="22"/>
        <v>244</v>
      </c>
      <c r="Q268" s="526">
        <f t="shared" si="22"/>
        <v>245</v>
      </c>
      <c r="R268" s="526">
        <f t="shared" si="22"/>
        <v>246</v>
      </c>
      <c r="S268" s="526">
        <f t="shared" si="22"/>
        <v>247</v>
      </c>
      <c r="T268" s="526">
        <f t="shared" si="23"/>
        <v>248</v>
      </c>
      <c r="U268" s="526">
        <f t="shared" si="23"/>
        <v>249</v>
      </c>
      <c r="V268" s="526">
        <f t="shared" si="23"/>
        <v>250</v>
      </c>
      <c r="W268" s="526">
        <f t="shared" si="23"/>
        <v>251</v>
      </c>
      <c r="X268" s="526">
        <f t="shared" si="23"/>
        <v>252</v>
      </c>
      <c r="Y268" s="526">
        <f t="shared" si="23"/>
        <v>253</v>
      </c>
    </row>
    <row r="269" spans="2:25" s="526" customFormat="1" ht="15.75">
      <c r="B269" s="530" t="s">
        <v>40</v>
      </c>
      <c r="C269" s="526">
        <f t="shared" si="24"/>
        <v>254</v>
      </c>
      <c r="D269" s="526">
        <f t="shared" si="22"/>
        <v>255</v>
      </c>
      <c r="E269" s="526">
        <f t="shared" si="22"/>
        <v>256</v>
      </c>
      <c r="F269" s="526">
        <f t="shared" si="22"/>
        <v>257</v>
      </c>
      <c r="G269" s="526">
        <f t="shared" si="22"/>
        <v>258</v>
      </c>
      <c r="H269" s="526">
        <f t="shared" si="22"/>
        <v>259</v>
      </c>
      <c r="I269" s="526">
        <f t="shared" si="22"/>
        <v>260</v>
      </c>
      <c r="J269" s="526">
        <f t="shared" si="22"/>
        <v>261</v>
      </c>
      <c r="K269" s="526">
        <f t="shared" si="22"/>
        <v>262</v>
      </c>
      <c r="L269" s="526">
        <f t="shared" si="22"/>
        <v>263</v>
      </c>
      <c r="M269" s="526">
        <f t="shared" si="22"/>
        <v>264</v>
      </c>
      <c r="N269" s="526">
        <f t="shared" si="22"/>
        <v>265</v>
      </c>
      <c r="O269" s="526">
        <f t="shared" si="22"/>
        <v>266</v>
      </c>
      <c r="P269" s="526">
        <f t="shared" si="22"/>
        <v>267</v>
      </c>
      <c r="Q269" s="526">
        <f t="shared" si="22"/>
        <v>268</v>
      </c>
      <c r="R269" s="526">
        <f t="shared" si="22"/>
        <v>269</v>
      </c>
      <c r="S269" s="526">
        <f t="shared" si="22"/>
        <v>270</v>
      </c>
      <c r="T269" s="526">
        <f t="shared" si="23"/>
        <v>271</v>
      </c>
      <c r="U269" s="526">
        <f t="shared" si="23"/>
        <v>272</v>
      </c>
      <c r="V269" s="526">
        <f t="shared" si="23"/>
        <v>273</v>
      </c>
      <c r="W269" s="526">
        <f t="shared" si="23"/>
        <v>274</v>
      </c>
      <c r="X269" s="526">
        <f t="shared" si="23"/>
        <v>275</v>
      </c>
      <c r="Y269" s="526">
        <f t="shared" si="23"/>
        <v>276</v>
      </c>
    </row>
    <row r="270" spans="2:25" s="526" customFormat="1" ht="15.75">
      <c r="B270" s="530" t="s">
        <v>41</v>
      </c>
      <c r="C270" s="526">
        <f t="shared" si="24"/>
        <v>277</v>
      </c>
      <c r="D270" s="526">
        <f t="shared" si="22"/>
        <v>278</v>
      </c>
      <c r="E270" s="526">
        <f t="shared" si="22"/>
        <v>279</v>
      </c>
      <c r="F270" s="526">
        <f t="shared" si="22"/>
        <v>280</v>
      </c>
      <c r="G270" s="526">
        <f t="shared" si="22"/>
        <v>281</v>
      </c>
      <c r="H270" s="526">
        <f t="shared" si="22"/>
        <v>282</v>
      </c>
      <c r="I270" s="526">
        <f t="shared" si="22"/>
        <v>283</v>
      </c>
      <c r="J270" s="526">
        <f t="shared" si="22"/>
        <v>284</v>
      </c>
      <c r="K270" s="526">
        <f t="shared" si="22"/>
        <v>285</v>
      </c>
      <c r="L270" s="526">
        <f t="shared" si="22"/>
        <v>286</v>
      </c>
      <c r="M270" s="526">
        <f t="shared" si="22"/>
        <v>287</v>
      </c>
      <c r="N270" s="526">
        <f t="shared" si="22"/>
        <v>288</v>
      </c>
      <c r="O270" s="526">
        <f t="shared" si="22"/>
        <v>289</v>
      </c>
      <c r="P270" s="526">
        <f t="shared" si="22"/>
        <v>290</v>
      </c>
      <c r="Q270" s="526">
        <f t="shared" si="22"/>
        <v>291</v>
      </c>
      <c r="R270" s="526">
        <f t="shared" si="22"/>
        <v>292</v>
      </c>
      <c r="S270" s="526">
        <f t="shared" si="22"/>
        <v>293</v>
      </c>
      <c r="T270" s="526">
        <f t="shared" si="23"/>
        <v>294</v>
      </c>
      <c r="U270" s="526">
        <f t="shared" si="23"/>
        <v>295</v>
      </c>
      <c r="V270" s="526">
        <f t="shared" si="23"/>
        <v>296</v>
      </c>
      <c r="W270" s="526">
        <f t="shared" si="23"/>
        <v>297</v>
      </c>
      <c r="X270" s="526">
        <f t="shared" si="23"/>
        <v>298</v>
      </c>
      <c r="Y270" s="526">
        <f t="shared" si="23"/>
        <v>299</v>
      </c>
    </row>
    <row r="271" spans="2:25" s="526" customFormat="1" ht="15.75">
      <c r="B271" s="530" t="s">
        <v>42</v>
      </c>
      <c r="C271" s="526">
        <f t="shared" si="24"/>
        <v>300</v>
      </c>
      <c r="D271" s="526">
        <f t="shared" si="22"/>
        <v>301</v>
      </c>
      <c r="E271" s="526">
        <f t="shared" si="22"/>
        <v>302</v>
      </c>
      <c r="F271" s="526">
        <f t="shared" si="22"/>
        <v>303</v>
      </c>
      <c r="G271" s="526">
        <f t="shared" si="22"/>
        <v>304</v>
      </c>
      <c r="H271" s="526">
        <f t="shared" si="22"/>
        <v>305</v>
      </c>
      <c r="I271" s="526">
        <f t="shared" si="22"/>
        <v>306</v>
      </c>
      <c r="J271" s="526">
        <f t="shared" si="22"/>
        <v>307</v>
      </c>
      <c r="K271" s="526">
        <f t="shared" si="22"/>
        <v>308</v>
      </c>
      <c r="L271" s="526">
        <f t="shared" si="22"/>
        <v>309</v>
      </c>
      <c r="M271" s="526">
        <f t="shared" si="22"/>
        <v>310</v>
      </c>
      <c r="N271" s="526">
        <f t="shared" si="22"/>
        <v>311</v>
      </c>
      <c r="O271" s="526">
        <f t="shared" si="22"/>
        <v>312</v>
      </c>
      <c r="P271" s="526">
        <f t="shared" si="22"/>
        <v>313</v>
      </c>
      <c r="Q271" s="526">
        <f t="shared" si="22"/>
        <v>314</v>
      </c>
      <c r="R271" s="526">
        <f t="shared" si="22"/>
        <v>315</v>
      </c>
      <c r="S271" s="526">
        <f t="shared" si="22"/>
        <v>316</v>
      </c>
      <c r="T271" s="526">
        <f t="shared" si="23"/>
        <v>317</v>
      </c>
      <c r="U271" s="526">
        <f t="shared" si="23"/>
        <v>318</v>
      </c>
      <c r="V271" s="526">
        <f t="shared" si="23"/>
        <v>319</v>
      </c>
      <c r="W271" s="526">
        <f t="shared" si="23"/>
        <v>320</v>
      </c>
      <c r="X271" s="526">
        <f t="shared" si="23"/>
        <v>321</v>
      </c>
      <c r="Y271" s="526">
        <f t="shared" si="23"/>
        <v>322</v>
      </c>
    </row>
    <row r="272" spans="2:25" s="526" customFormat="1" ht="15.75">
      <c r="B272" s="530" t="s">
        <v>43</v>
      </c>
      <c r="C272" s="526">
        <f t="shared" si="24"/>
        <v>323</v>
      </c>
      <c r="D272" s="526">
        <f t="shared" si="22"/>
        <v>324</v>
      </c>
      <c r="E272" s="526">
        <f t="shared" si="22"/>
        <v>325</v>
      </c>
      <c r="F272" s="526">
        <f t="shared" si="22"/>
        <v>326</v>
      </c>
      <c r="G272" s="526">
        <f t="shared" si="22"/>
        <v>327</v>
      </c>
      <c r="H272" s="526">
        <f t="shared" si="22"/>
        <v>328</v>
      </c>
      <c r="I272" s="526">
        <f t="shared" si="22"/>
        <v>329</v>
      </c>
      <c r="J272" s="526">
        <f t="shared" si="22"/>
        <v>330</v>
      </c>
      <c r="K272" s="526">
        <f t="shared" si="22"/>
        <v>331</v>
      </c>
      <c r="L272" s="526">
        <f t="shared" si="22"/>
        <v>332</v>
      </c>
      <c r="M272" s="526">
        <f t="shared" si="22"/>
        <v>333</v>
      </c>
      <c r="N272" s="526">
        <f t="shared" si="22"/>
        <v>334</v>
      </c>
      <c r="O272" s="526">
        <f t="shared" si="22"/>
        <v>335</v>
      </c>
      <c r="P272" s="526">
        <f t="shared" si="22"/>
        <v>336</v>
      </c>
      <c r="Q272" s="526">
        <f t="shared" si="22"/>
        <v>337</v>
      </c>
      <c r="R272" s="526">
        <f t="shared" si="22"/>
        <v>338</v>
      </c>
      <c r="S272" s="526">
        <f t="shared" si="22"/>
        <v>339</v>
      </c>
      <c r="T272" s="526">
        <f t="shared" si="23"/>
        <v>340</v>
      </c>
      <c r="U272" s="526">
        <f t="shared" si="23"/>
        <v>341</v>
      </c>
      <c r="V272" s="526">
        <f t="shared" si="23"/>
        <v>342</v>
      </c>
      <c r="W272" s="526">
        <f t="shared" si="23"/>
        <v>343</v>
      </c>
      <c r="X272" s="526">
        <f t="shared" si="23"/>
        <v>344</v>
      </c>
      <c r="Y272" s="526">
        <f t="shared" si="23"/>
        <v>345</v>
      </c>
    </row>
    <row r="273" spans="2:25" s="526" customFormat="1" ht="15.75">
      <c r="B273" s="530" t="s">
        <v>44</v>
      </c>
      <c r="C273" s="526">
        <f t="shared" si="24"/>
        <v>346</v>
      </c>
      <c r="D273" s="526">
        <f t="shared" si="22"/>
        <v>347</v>
      </c>
      <c r="E273" s="526">
        <f t="shared" si="22"/>
        <v>348</v>
      </c>
      <c r="F273" s="526">
        <f t="shared" si="22"/>
        <v>349</v>
      </c>
      <c r="G273" s="526">
        <f t="shared" si="22"/>
        <v>350</v>
      </c>
      <c r="H273" s="526">
        <f t="shared" si="22"/>
        <v>351</v>
      </c>
      <c r="I273" s="526">
        <f t="shared" si="22"/>
        <v>352</v>
      </c>
      <c r="J273" s="526">
        <f t="shared" si="22"/>
        <v>353</v>
      </c>
      <c r="K273" s="526">
        <f t="shared" si="22"/>
        <v>354</v>
      </c>
      <c r="L273" s="526">
        <f t="shared" si="22"/>
        <v>355</v>
      </c>
      <c r="M273" s="526">
        <f t="shared" si="22"/>
        <v>356</v>
      </c>
      <c r="N273" s="526">
        <f t="shared" si="22"/>
        <v>357</v>
      </c>
      <c r="O273" s="526">
        <f t="shared" si="22"/>
        <v>358</v>
      </c>
      <c r="P273" s="526">
        <f t="shared" si="22"/>
        <v>359</v>
      </c>
      <c r="Q273" s="526">
        <f t="shared" si="22"/>
        <v>360</v>
      </c>
      <c r="R273" s="526">
        <f t="shared" si="22"/>
        <v>361</v>
      </c>
      <c r="S273" s="526">
        <f t="shared" si="22"/>
        <v>362</v>
      </c>
      <c r="T273" s="526">
        <f t="shared" si="23"/>
        <v>363</v>
      </c>
      <c r="U273" s="526">
        <f t="shared" si="23"/>
        <v>364</v>
      </c>
      <c r="V273" s="526">
        <f t="shared" si="23"/>
        <v>365</v>
      </c>
      <c r="W273" s="526">
        <f t="shared" si="23"/>
        <v>366</v>
      </c>
      <c r="X273" s="526">
        <f t="shared" si="23"/>
        <v>367</v>
      </c>
      <c r="Y273" s="526">
        <f t="shared" si="23"/>
        <v>368</v>
      </c>
    </row>
    <row r="274" spans="2:25" s="526" customFormat="1" ht="15.75">
      <c r="B274" s="530" t="s">
        <v>45</v>
      </c>
      <c r="C274" s="526">
        <f t="shared" si="24"/>
        <v>369</v>
      </c>
      <c r="D274" s="526">
        <f t="shared" si="22"/>
        <v>370</v>
      </c>
      <c r="E274" s="526">
        <f t="shared" si="22"/>
        <v>371</v>
      </c>
      <c r="F274" s="526">
        <f t="shared" si="22"/>
        <v>372</v>
      </c>
      <c r="G274" s="526">
        <f t="shared" si="22"/>
        <v>373</v>
      </c>
      <c r="H274" s="526">
        <f t="shared" si="22"/>
        <v>374</v>
      </c>
      <c r="I274" s="526">
        <f t="shared" si="22"/>
        <v>375</v>
      </c>
      <c r="J274" s="526">
        <f t="shared" si="22"/>
        <v>376</v>
      </c>
      <c r="K274" s="526">
        <f t="shared" si="22"/>
        <v>377</v>
      </c>
      <c r="L274" s="526">
        <f t="shared" si="22"/>
        <v>378</v>
      </c>
      <c r="M274" s="526">
        <f t="shared" si="22"/>
        <v>379</v>
      </c>
      <c r="N274" s="526">
        <f t="shared" si="22"/>
        <v>380</v>
      </c>
      <c r="O274" s="526">
        <f t="shared" si="22"/>
        <v>381</v>
      </c>
      <c r="P274" s="526">
        <f t="shared" si="22"/>
        <v>382</v>
      </c>
      <c r="Q274" s="526">
        <f t="shared" si="22"/>
        <v>383</v>
      </c>
      <c r="R274" s="526">
        <f t="shared" si="22"/>
        <v>384</v>
      </c>
      <c r="S274" s="526">
        <f t="shared" ref="S274:Y286" si="25">R274+1</f>
        <v>385</v>
      </c>
      <c r="T274" s="526">
        <f t="shared" si="25"/>
        <v>386</v>
      </c>
      <c r="U274" s="526">
        <f t="shared" si="25"/>
        <v>387</v>
      </c>
      <c r="V274" s="526">
        <f t="shared" si="25"/>
        <v>388</v>
      </c>
      <c r="W274" s="526">
        <f t="shared" si="25"/>
        <v>389</v>
      </c>
      <c r="X274" s="526">
        <f t="shared" si="25"/>
        <v>390</v>
      </c>
      <c r="Y274" s="526">
        <f t="shared" si="25"/>
        <v>391</v>
      </c>
    </row>
    <row r="275" spans="2:25" s="526" customFormat="1" ht="15.75">
      <c r="B275" s="530" t="s">
        <v>295</v>
      </c>
      <c r="C275" s="526">
        <f t="shared" si="24"/>
        <v>392</v>
      </c>
      <c r="D275" s="526">
        <f t="shared" ref="D275:S286" si="26">C275+1</f>
        <v>393</v>
      </c>
      <c r="E275" s="526">
        <f t="shared" si="26"/>
        <v>394</v>
      </c>
      <c r="F275" s="526">
        <f t="shared" si="26"/>
        <v>395</v>
      </c>
      <c r="G275" s="526">
        <f t="shared" si="26"/>
        <v>396</v>
      </c>
      <c r="H275" s="526">
        <f t="shared" si="26"/>
        <v>397</v>
      </c>
      <c r="I275" s="526">
        <f t="shared" si="26"/>
        <v>398</v>
      </c>
      <c r="J275" s="526">
        <f t="shared" si="26"/>
        <v>399</v>
      </c>
      <c r="K275" s="526">
        <f t="shared" si="26"/>
        <v>400</v>
      </c>
      <c r="L275" s="526">
        <f t="shared" si="26"/>
        <v>401</v>
      </c>
      <c r="M275" s="526">
        <f t="shared" si="26"/>
        <v>402</v>
      </c>
      <c r="N275" s="526">
        <f t="shared" si="26"/>
        <v>403</v>
      </c>
      <c r="O275" s="526">
        <f t="shared" si="26"/>
        <v>404</v>
      </c>
      <c r="P275" s="526">
        <f t="shared" si="26"/>
        <v>405</v>
      </c>
      <c r="Q275" s="526">
        <f t="shared" si="26"/>
        <v>406</v>
      </c>
      <c r="R275" s="526">
        <f t="shared" si="26"/>
        <v>407</v>
      </c>
      <c r="S275" s="526">
        <f t="shared" si="26"/>
        <v>408</v>
      </c>
      <c r="T275" s="526">
        <f t="shared" si="25"/>
        <v>409</v>
      </c>
      <c r="U275" s="526">
        <f t="shared" si="25"/>
        <v>410</v>
      </c>
      <c r="V275" s="526">
        <f t="shared" si="25"/>
        <v>411</v>
      </c>
      <c r="W275" s="526">
        <f t="shared" si="25"/>
        <v>412</v>
      </c>
      <c r="X275" s="526">
        <f t="shared" si="25"/>
        <v>413</v>
      </c>
      <c r="Y275" s="526">
        <f t="shared" si="25"/>
        <v>414</v>
      </c>
    </row>
    <row r="276" spans="2:25" s="526" customFormat="1" ht="15.75">
      <c r="B276" s="530" t="s">
        <v>47</v>
      </c>
      <c r="C276" s="526">
        <f t="shared" si="24"/>
        <v>415</v>
      </c>
      <c r="D276" s="526">
        <f t="shared" si="26"/>
        <v>416</v>
      </c>
      <c r="E276" s="526">
        <f t="shared" si="26"/>
        <v>417</v>
      </c>
      <c r="F276" s="526">
        <f t="shared" si="26"/>
        <v>418</v>
      </c>
      <c r="G276" s="526">
        <f t="shared" si="26"/>
        <v>419</v>
      </c>
      <c r="H276" s="526">
        <f t="shared" si="26"/>
        <v>420</v>
      </c>
      <c r="I276" s="526">
        <f t="shared" si="26"/>
        <v>421</v>
      </c>
      <c r="J276" s="526">
        <f t="shared" si="26"/>
        <v>422</v>
      </c>
      <c r="K276" s="526">
        <f t="shared" si="26"/>
        <v>423</v>
      </c>
      <c r="L276" s="526">
        <f t="shared" si="26"/>
        <v>424</v>
      </c>
      <c r="M276" s="526">
        <f t="shared" si="26"/>
        <v>425</v>
      </c>
      <c r="N276" s="526">
        <f t="shared" si="26"/>
        <v>426</v>
      </c>
      <c r="O276" s="526">
        <f t="shared" si="26"/>
        <v>427</v>
      </c>
      <c r="P276" s="526">
        <f t="shared" si="26"/>
        <v>428</v>
      </c>
      <c r="Q276" s="526">
        <f t="shared" si="26"/>
        <v>429</v>
      </c>
      <c r="R276" s="526">
        <f t="shared" si="26"/>
        <v>430</v>
      </c>
      <c r="S276" s="526">
        <f t="shared" si="26"/>
        <v>431</v>
      </c>
      <c r="T276" s="526">
        <f t="shared" si="25"/>
        <v>432</v>
      </c>
      <c r="U276" s="526">
        <f t="shared" si="25"/>
        <v>433</v>
      </c>
      <c r="V276" s="526">
        <f t="shared" si="25"/>
        <v>434</v>
      </c>
      <c r="W276" s="526">
        <f t="shared" si="25"/>
        <v>435</v>
      </c>
      <c r="X276" s="526">
        <f t="shared" si="25"/>
        <v>436</v>
      </c>
      <c r="Y276" s="526">
        <f t="shared" si="25"/>
        <v>437</v>
      </c>
    </row>
    <row r="277" spans="2:25" s="526" customFormat="1" ht="15.75">
      <c r="B277" s="530" t="s">
        <v>48</v>
      </c>
      <c r="C277" s="526">
        <f t="shared" si="24"/>
        <v>438</v>
      </c>
      <c r="D277" s="526">
        <f t="shared" si="26"/>
        <v>439</v>
      </c>
      <c r="E277" s="526">
        <f t="shared" si="26"/>
        <v>440</v>
      </c>
      <c r="F277" s="526">
        <f t="shared" si="26"/>
        <v>441</v>
      </c>
      <c r="G277" s="526">
        <f t="shared" si="26"/>
        <v>442</v>
      </c>
      <c r="H277" s="526">
        <f t="shared" si="26"/>
        <v>443</v>
      </c>
      <c r="I277" s="526">
        <f t="shared" si="26"/>
        <v>444</v>
      </c>
      <c r="J277" s="526">
        <f t="shared" si="26"/>
        <v>445</v>
      </c>
      <c r="K277" s="526">
        <f t="shared" si="26"/>
        <v>446</v>
      </c>
      <c r="L277" s="526">
        <f t="shared" si="26"/>
        <v>447</v>
      </c>
      <c r="M277" s="526">
        <f t="shared" si="26"/>
        <v>448</v>
      </c>
      <c r="N277" s="526">
        <f t="shared" si="26"/>
        <v>449</v>
      </c>
      <c r="O277" s="526">
        <f t="shared" si="26"/>
        <v>450</v>
      </c>
      <c r="P277" s="526">
        <f t="shared" si="26"/>
        <v>451</v>
      </c>
      <c r="Q277" s="526">
        <f t="shared" si="26"/>
        <v>452</v>
      </c>
      <c r="R277" s="526">
        <f t="shared" si="26"/>
        <v>453</v>
      </c>
      <c r="S277" s="526">
        <f t="shared" si="26"/>
        <v>454</v>
      </c>
      <c r="T277" s="526">
        <f t="shared" si="25"/>
        <v>455</v>
      </c>
      <c r="U277" s="526">
        <f t="shared" si="25"/>
        <v>456</v>
      </c>
      <c r="V277" s="526">
        <f t="shared" si="25"/>
        <v>457</v>
      </c>
      <c r="W277" s="526">
        <f t="shared" si="25"/>
        <v>458</v>
      </c>
      <c r="X277" s="526">
        <f t="shared" si="25"/>
        <v>459</v>
      </c>
      <c r="Y277" s="526">
        <f t="shared" si="25"/>
        <v>460</v>
      </c>
    </row>
    <row r="278" spans="2:25" s="526" customFormat="1" ht="15.75">
      <c r="B278" s="530" t="s">
        <v>176</v>
      </c>
      <c r="C278" s="526">
        <f t="shared" si="24"/>
        <v>461</v>
      </c>
      <c r="D278" s="526">
        <f t="shared" si="26"/>
        <v>462</v>
      </c>
      <c r="E278" s="526">
        <f t="shared" si="26"/>
        <v>463</v>
      </c>
      <c r="F278" s="526">
        <f t="shared" si="26"/>
        <v>464</v>
      </c>
      <c r="G278" s="526">
        <f t="shared" si="26"/>
        <v>465</v>
      </c>
      <c r="H278" s="526">
        <f t="shared" si="26"/>
        <v>466</v>
      </c>
      <c r="I278" s="526">
        <f t="shared" si="26"/>
        <v>467</v>
      </c>
      <c r="J278" s="526">
        <f t="shared" si="26"/>
        <v>468</v>
      </c>
      <c r="K278" s="526">
        <f t="shared" si="26"/>
        <v>469</v>
      </c>
      <c r="L278" s="526">
        <f t="shared" si="26"/>
        <v>470</v>
      </c>
      <c r="M278" s="526">
        <f t="shared" si="26"/>
        <v>471</v>
      </c>
      <c r="N278" s="526">
        <f t="shared" si="26"/>
        <v>472</v>
      </c>
      <c r="O278" s="526">
        <f t="shared" si="26"/>
        <v>473</v>
      </c>
      <c r="P278" s="526">
        <f t="shared" si="26"/>
        <v>474</v>
      </c>
      <c r="Q278" s="526">
        <f t="shared" si="26"/>
        <v>475</v>
      </c>
      <c r="R278" s="526">
        <f t="shared" si="26"/>
        <v>476</v>
      </c>
      <c r="S278" s="526">
        <f t="shared" si="26"/>
        <v>477</v>
      </c>
      <c r="T278" s="526">
        <f t="shared" si="25"/>
        <v>478</v>
      </c>
      <c r="U278" s="526">
        <f t="shared" si="25"/>
        <v>479</v>
      </c>
      <c r="V278" s="526">
        <f t="shared" si="25"/>
        <v>480</v>
      </c>
      <c r="W278" s="526">
        <f t="shared" si="25"/>
        <v>481</v>
      </c>
      <c r="X278" s="526">
        <f t="shared" si="25"/>
        <v>482</v>
      </c>
      <c r="Y278" s="526">
        <f t="shared" si="25"/>
        <v>483</v>
      </c>
    </row>
    <row r="279" spans="2:25" s="526" customFormat="1" ht="15.75">
      <c r="B279" s="530" t="s">
        <v>124</v>
      </c>
      <c r="C279" s="526">
        <f t="shared" si="24"/>
        <v>484</v>
      </c>
      <c r="D279" s="526">
        <f t="shared" si="26"/>
        <v>485</v>
      </c>
      <c r="E279" s="526">
        <f t="shared" si="26"/>
        <v>486</v>
      </c>
      <c r="F279" s="526">
        <f t="shared" si="26"/>
        <v>487</v>
      </c>
      <c r="G279" s="526">
        <f t="shared" si="26"/>
        <v>488</v>
      </c>
      <c r="H279" s="526">
        <f t="shared" si="26"/>
        <v>489</v>
      </c>
      <c r="I279" s="526">
        <f t="shared" si="26"/>
        <v>490</v>
      </c>
      <c r="J279" s="526">
        <f t="shared" si="26"/>
        <v>491</v>
      </c>
      <c r="K279" s="526">
        <f t="shared" si="26"/>
        <v>492</v>
      </c>
      <c r="L279" s="526">
        <f t="shared" si="26"/>
        <v>493</v>
      </c>
      <c r="M279" s="526">
        <f t="shared" si="26"/>
        <v>494</v>
      </c>
      <c r="N279" s="526">
        <f t="shared" si="26"/>
        <v>495</v>
      </c>
      <c r="O279" s="526">
        <f t="shared" si="26"/>
        <v>496</v>
      </c>
      <c r="P279" s="526">
        <f t="shared" si="26"/>
        <v>497</v>
      </c>
      <c r="Q279" s="526">
        <f t="shared" si="26"/>
        <v>498</v>
      </c>
      <c r="R279" s="526">
        <f t="shared" si="26"/>
        <v>499</v>
      </c>
      <c r="S279" s="526">
        <f t="shared" si="26"/>
        <v>500</v>
      </c>
      <c r="T279" s="526">
        <f t="shared" si="25"/>
        <v>501</v>
      </c>
      <c r="U279" s="526">
        <f t="shared" si="25"/>
        <v>502</v>
      </c>
      <c r="V279" s="526">
        <f t="shared" si="25"/>
        <v>503</v>
      </c>
      <c r="W279" s="526">
        <f t="shared" si="25"/>
        <v>504</v>
      </c>
      <c r="X279" s="526">
        <f t="shared" si="25"/>
        <v>505</v>
      </c>
      <c r="Y279" s="526">
        <f t="shared" si="25"/>
        <v>506</v>
      </c>
    </row>
    <row r="280" spans="2:25" s="526" customFormat="1" ht="15.75">
      <c r="B280" s="530" t="s">
        <v>125</v>
      </c>
      <c r="C280" s="526">
        <f t="shared" si="24"/>
        <v>507</v>
      </c>
      <c r="D280" s="526">
        <f t="shared" si="26"/>
        <v>508</v>
      </c>
      <c r="E280" s="526">
        <f t="shared" si="26"/>
        <v>509</v>
      </c>
      <c r="F280" s="526">
        <f t="shared" si="26"/>
        <v>510</v>
      </c>
      <c r="G280" s="526">
        <f t="shared" si="26"/>
        <v>511</v>
      </c>
      <c r="H280" s="526">
        <f t="shared" si="26"/>
        <v>512</v>
      </c>
      <c r="I280" s="526">
        <f t="shared" si="26"/>
        <v>513</v>
      </c>
      <c r="J280" s="526">
        <f t="shared" si="26"/>
        <v>514</v>
      </c>
      <c r="K280" s="526">
        <f t="shared" si="26"/>
        <v>515</v>
      </c>
      <c r="L280" s="526">
        <f t="shared" si="26"/>
        <v>516</v>
      </c>
      <c r="M280" s="526">
        <f t="shared" si="26"/>
        <v>517</v>
      </c>
      <c r="N280" s="526">
        <f t="shared" si="26"/>
        <v>518</v>
      </c>
      <c r="O280" s="526">
        <f t="shared" si="26"/>
        <v>519</v>
      </c>
      <c r="P280" s="526">
        <f t="shared" si="26"/>
        <v>520</v>
      </c>
      <c r="Q280" s="526">
        <f t="shared" si="26"/>
        <v>521</v>
      </c>
      <c r="R280" s="526">
        <f t="shared" si="26"/>
        <v>522</v>
      </c>
      <c r="S280" s="526">
        <f t="shared" si="26"/>
        <v>523</v>
      </c>
      <c r="T280" s="526">
        <f t="shared" si="25"/>
        <v>524</v>
      </c>
      <c r="U280" s="526">
        <f t="shared" si="25"/>
        <v>525</v>
      </c>
      <c r="V280" s="526">
        <f t="shared" si="25"/>
        <v>526</v>
      </c>
      <c r="W280" s="526">
        <f t="shared" si="25"/>
        <v>527</v>
      </c>
      <c r="X280" s="526">
        <f t="shared" si="25"/>
        <v>528</v>
      </c>
      <c r="Y280" s="526">
        <f t="shared" si="25"/>
        <v>529</v>
      </c>
    </row>
    <row r="281" spans="2:25" s="526" customFormat="1" ht="15.75">
      <c r="B281" s="530" t="s">
        <v>52</v>
      </c>
      <c r="C281" s="526">
        <f t="shared" si="24"/>
        <v>530</v>
      </c>
      <c r="D281" s="526">
        <f t="shared" si="26"/>
        <v>531</v>
      </c>
      <c r="E281" s="526">
        <f t="shared" si="26"/>
        <v>532</v>
      </c>
      <c r="F281" s="526">
        <f t="shared" si="26"/>
        <v>533</v>
      </c>
      <c r="G281" s="526">
        <f t="shared" si="26"/>
        <v>534</v>
      </c>
      <c r="H281" s="526">
        <f t="shared" si="26"/>
        <v>535</v>
      </c>
      <c r="I281" s="526">
        <f t="shared" si="26"/>
        <v>536</v>
      </c>
      <c r="J281" s="526">
        <f t="shared" si="26"/>
        <v>537</v>
      </c>
      <c r="K281" s="526">
        <f t="shared" si="26"/>
        <v>538</v>
      </c>
      <c r="L281" s="526">
        <f t="shared" si="26"/>
        <v>539</v>
      </c>
      <c r="M281" s="526">
        <f t="shared" si="26"/>
        <v>540</v>
      </c>
      <c r="N281" s="526">
        <f t="shared" si="26"/>
        <v>541</v>
      </c>
      <c r="O281" s="526">
        <f t="shared" si="26"/>
        <v>542</v>
      </c>
      <c r="P281" s="526">
        <f t="shared" si="26"/>
        <v>543</v>
      </c>
      <c r="Q281" s="526">
        <f t="shared" si="26"/>
        <v>544</v>
      </c>
      <c r="R281" s="526">
        <f t="shared" si="26"/>
        <v>545</v>
      </c>
      <c r="S281" s="526">
        <f t="shared" si="26"/>
        <v>546</v>
      </c>
      <c r="T281" s="526">
        <f t="shared" si="25"/>
        <v>547</v>
      </c>
      <c r="U281" s="526">
        <f t="shared" si="25"/>
        <v>548</v>
      </c>
      <c r="V281" s="526">
        <f t="shared" si="25"/>
        <v>549</v>
      </c>
      <c r="W281" s="526">
        <f t="shared" si="25"/>
        <v>550</v>
      </c>
      <c r="X281" s="526">
        <f t="shared" si="25"/>
        <v>551</v>
      </c>
      <c r="Y281" s="526">
        <f t="shared" si="25"/>
        <v>552</v>
      </c>
    </row>
    <row r="282" spans="2:25" s="526" customFormat="1" ht="15.75">
      <c r="B282" s="530" t="s">
        <v>53</v>
      </c>
      <c r="C282" s="526">
        <f t="shared" si="24"/>
        <v>553</v>
      </c>
      <c r="D282" s="526">
        <f t="shared" si="26"/>
        <v>554</v>
      </c>
      <c r="E282" s="526">
        <f t="shared" si="26"/>
        <v>555</v>
      </c>
      <c r="F282" s="526">
        <f t="shared" si="26"/>
        <v>556</v>
      </c>
      <c r="G282" s="526">
        <f t="shared" si="26"/>
        <v>557</v>
      </c>
      <c r="H282" s="526">
        <f t="shared" si="26"/>
        <v>558</v>
      </c>
      <c r="I282" s="526">
        <f t="shared" si="26"/>
        <v>559</v>
      </c>
      <c r="J282" s="526">
        <f t="shared" si="26"/>
        <v>560</v>
      </c>
      <c r="K282" s="526">
        <f t="shared" si="26"/>
        <v>561</v>
      </c>
      <c r="L282" s="526">
        <f t="shared" si="26"/>
        <v>562</v>
      </c>
      <c r="M282" s="526">
        <f t="shared" si="26"/>
        <v>563</v>
      </c>
      <c r="N282" s="526">
        <f t="shared" si="26"/>
        <v>564</v>
      </c>
      <c r="O282" s="526">
        <f t="shared" si="26"/>
        <v>565</v>
      </c>
      <c r="P282" s="526">
        <f t="shared" si="26"/>
        <v>566</v>
      </c>
      <c r="Q282" s="526">
        <f t="shared" si="26"/>
        <v>567</v>
      </c>
      <c r="R282" s="526">
        <f t="shared" si="26"/>
        <v>568</v>
      </c>
      <c r="S282" s="526">
        <f t="shared" si="26"/>
        <v>569</v>
      </c>
      <c r="T282" s="526">
        <f t="shared" si="25"/>
        <v>570</v>
      </c>
      <c r="U282" s="526">
        <f t="shared" si="25"/>
        <v>571</v>
      </c>
      <c r="V282" s="526">
        <f t="shared" si="25"/>
        <v>572</v>
      </c>
      <c r="W282" s="526">
        <f t="shared" si="25"/>
        <v>573</v>
      </c>
      <c r="X282" s="526">
        <f t="shared" si="25"/>
        <v>574</v>
      </c>
      <c r="Y282" s="526">
        <f t="shared" si="25"/>
        <v>575</v>
      </c>
    </row>
    <row r="283" spans="2:25" s="526" customFormat="1" ht="15.75">
      <c r="B283" s="530" t="s">
        <v>54</v>
      </c>
      <c r="C283" s="526">
        <f t="shared" si="24"/>
        <v>576</v>
      </c>
      <c r="D283" s="526">
        <f t="shared" si="26"/>
        <v>577</v>
      </c>
      <c r="E283" s="526">
        <f t="shared" si="26"/>
        <v>578</v>
      </c>
      <c r="F283" s="526">
        <f t="shared" si="26"/>
        <v>579</v>
      </c>
      <c r="G283" s="526">
        <f t="shared" si="26"/>
        <v>580</v>
      </c>
      <c r="H283" s="526">
        <f t="shared" si="26"/>
        <v>581</v>
      </c>
      <c r="I283" s="526">
        <f t="shared" si="26"/>
        <v>582</v>
      </c>
      <c r="J283" s="526">
        <f t="shared" si="26"/>
        <v>583</v>
      </c>
      <c r="K283" s="526">
        <f t="shared" si="26"/>
        <v>584</v>
      </c>
      <c r="L283" s="526">
        <f t="shared" si="26"/>
        <v>585</v>
      </c>
      <c r="M283" s="526">
        <f t="shared" si="26"/>
        <v>586</v>
      </c>
      <c r="N283" s="526">
        <f t="shared" si="26"/>
        <v>587</v>
      </c>
      <c r="O283" s="526">
        <f t="shared" si="26"/>
        <v>588</v>
      </c>
      <c r="P283" s="526">
        <f t="shared" si="26"/>
        <v>589</v>
      </c>
      <c r="Q283" s="526">
        <f t="shared" si="26"/>
        <v>590</v>
      </c>
      <c r="R283" s="526">
        <f t="shared" si="26"/>
        <v>591</v>
      </c>
      <c r="S283" s="526">
        <f t="shared" si="26"/>
        <v>592</v>
      </c>
      <c r="T283" s="526">
        <f t="shared" si="25"/>
        <v>593</v>
      </c>
      <c r="U283" s="526">
        <f t="shared" si="25"/>
        <v>594</v>
      </c>
      <c r="V283" s="526">
        <f t="shared" si="25"/>
        <v>595</v>
      </c>
      <c r="W283" s="526">
        <f t="shared" si="25"/>
        <v>596</v>
      </c>
      <c r="X283" s="526">
        <f t="shared" si="25"/>
        <v>597</v>
      </c>
      <c r="Y283" s="526">
        <f t="shared" si="25"/>
        <v>598</v>
      </c>
    </row>
    <row r="284" spans="2:25" s="526" customFormat="1" ht="15.75">
      <c r="B284" s="530" t="s">
        <v>55</v>
      </c>
      <c r="C284" s="526">
        <f t="shared" si="24"/>
        <v>599</v>
      </c>
      <c r="D284" s="526">
        <f t="shared" si="26"/>
        <v>600</v>
      </c>
      <c r="E284" s="526">
        <f t="shared" si="26"/>
        <v>601</v>
      </c>
      <c r="F284" s="526">
        <f t="shared" si="26"/>
        <v>602</v>
      </c>
      <c r="G284" s="526">
        <f t="shared" si="26"/>
        <v>603</v>
      </c>
      <c r="H284" s="526">
        <f t="shared" si="26"/>
        <v>604</v>
      </c>
      <c r="I284" s="526">
        <f t="shared" si="26"/>
        <v>605</v>
      </c>
      <c r="J284" s="526">
        <f t="shared" si="26"/>
        <v>606</v>
      </c>
      <c r="K284" s="526">
        <f t="shared" si="26"/>
        <v>607</v>
      </c>
      <c r="L284" s="526">
        <f t="shared" si="26"/>
        <v>608</v>
      </c>
      <c r="M284" s="526">
        <f t="shared" si="26"/>
        <v>609</v>
      </c>
      <c r="N284" s="526">
        <f t="shared" si="26"/>
        <v>610</v>
      </c>
      <c r="O284" s="526">
        <f t="shared" si="26"/>
        <v>611</v>
      </c>
      <c r="P284" s="526">
        <f t="shared" si="26"/>
        <v>612</v>
      </c>
      <c r="Q284" s="526">
        <f t="shared" si="26"/>
        <v>613</v>
      </c>
      <c r="R284" s="526">
        <f t="shared" si="26"/>
        <v>614</v>
      </c>
      <c r="S284" s="526">
        <f t="shared" si="26"/>
        <v>615</v>
      </c>
      <c r="T284" s="526">
        <f t="shared" si="25"/>
        <v>616</v>
      </c>
      <c r="U284" s="526">
        <f t="shared" si="25"/>
        <v>617</v>
      </c>
      <c r="V284" s="526">
        <f t="shared" si="25"/>
        <v>618</v>
      </c>
      <c r="W284" s="526">
        <f t="shared" si="25"/>
        <v>619</v>
      </c>
      <c r="X284" s="526">
        <f t="shared" si="25"/>
        <v>620</v>
      </c>
      <c r="Y284" s="526">
        <f t="shared" si="25"/>
        <v>621</v>
      </c>
    </row>
    <row r="285" spans="2:25" s="526" customFormat="1" ht="15.75">
      <c r="B285" s="530" t="s">
        <v>214</v>
      </c>
      <c r="C285" s="526">
        <f t="shared" si="24"/>
        <v>622</v>
      </c>
      <c r="D285" s="526">
        <f t="shared" si="26"/>
        <v>623</v>
      </c>
      <c r="E285" s="526">
        <f t="shared" si="26"/>
        <v>624</v>
      </c>
      <c r="F285" s="526">
        <f t="shared" si="26"/>
        <v>625</v>
      </c>
      <c r="G285" s="526">
        <f t="shared" si="26"/>
        <v>626</v>
      </c>
      <c r="H285" s="526">
        <f t="shared" si="26"/>
        <v>627</v>
      </c>
      <c r="I285" s="526">
        <f t="shared" si="26"/>
        <v>628</v>
      </c>
      <c r="J285" s="526">
        <f t="shared" si="26"/>
        <v>629</v>
      </c>
      <c r="K285" s="526">
        <f t="shared" si="26"/>
        <v>630</v>
      </c>
      <c r="L285" s="526">
        <f t="shared" si="26"/>
        <v>631</v>
      </c>
      <c r="M285" s="526">
        <f t="shared" si="26"/>
        <v>632</v>
      </c>
      <c r="N285" s="526">
        <f t="shared" si="26"/>
        <v>633</v>
      </c>
      <c r="O285" s="526">
        <f t="shared" si="26"/>
        <v>634</v>
      </c>
      <c r="P285" s="526">
        <f t="shared" si="26"/>
        <v>635</v>
      </c>
      <c r="Q285" s="526">
        <f t="shared" si="26"/>
        <v>636</v>
      </c>
      <c r="R285" s="526">
        <f t="shared" si="26"/>
        <v>637</v>
      </c>
      <c r="S285" s="526">
        <f t="shared" si="26"/>
        <v>638</v>
      </c>
      <c r="T285" s="526">
        <f t="shared" si="25"/>
        <v>639</v>
      </c>
      <c r="U285" s="526">
        <f t="shared" si="25"/>
        <v>640</v>
      </c>
      <c r="V285" s="526">
        <f t="shared" si="25"/>
        <v>641</v>
      </c>
      <c r="W285" s="526">
        <f t="shared" si="25"/>
        <v>642</v>
      </c>
      <c r="X285" s="526">
        <f t="shared" si="25"/>
        <v>643</v>
      </c>
      <c r="Y285" s="526">
        <f t="shared" si="25"/>
        <v>644</v>
      </c>
    </row>
    <row r="286" spans="2:25" s="526" customFormat="1" ht="15.75">
      <c r="B286" s="530" t="s">
        <v>57</v>
      </c>
      <c r="C286" s="526">
        <f t="shared" si="24"/>
        <v>645</v>
      </c>
      <c r="D286" s="526">
        <f t="shared" si="26"/>
        <v>646</v>
      </c>
      <c r="E286" s="526">
        <f t="shared" si="26"/>
        <v>647</v>
      </c>
      <c r="F286" s="526">
        <f t="shared" si="26"/>
        <v>648</v>
      </c>
      <c r="G286" s="526">
        <f t="shared" si="26"/>
        <v>649</v>
      </c>
      <c r="H286" s="526">
        <f t="shared" si="26"/>
        <v>650</v>
      </c>
      <c r="I286" s="526">
        <f t="shared" si="26"/>
        <v>651</v>
      </c>
      <c r="J286" s="526">
        <f t="shared" si="26"/>
        <v>652</v>
      </c>
      <c r="K286" s="526">
        <f t="shared" si="26"/>
        <v>653</v>
      </c>
      <c r="L286" s="526">
        <f t="shared" si="26"/>
        <v>654</v>
      </c>
      <c r="M286" s="526">
        <f t="shared" si="26"/>
        <v>655</v>
      </c>
      <c r="N286" s="526">
        <f t="shared" si="26"/>
        <v>656</v>
      </c>
      <c r="O286" s="526">
        <f t="shared" si="26"/>
        <v>657</v>
      </c>
      <c r="P286" s="526">
        <f t="shared" si="26"/>
        <v>658</v>
      </c>
      <c r="Q286" s="526">
        <f t="shared" si="26"/>
        <v>659</v>
      </c>
      <c r="R286" s="526">
        <f t="shared" si="26"/>
        <v>660</v>
      </c>
      <c r="S286" s="526">
        <f t="shared" si="26"/>
        <v>661</v>
      </c>
      <c r="T286" s="526">
        <f t="shared" si="25"/>
        <v>662</v>
      </c>
      <c r="U286" s="526">
        <f t="shared" si="25"/>
        <v>663</v>
      </c>
      <c r="V286" s="526">
        <f t="shared" si="25"/>
        <v>664</v>
      </c>
      <c r="W286" s="526">
        <f t="shared" si="25"/>
        <v>665</v>
      </c>
      <c r="X286" s="526">
        <f t="shared" si="25"/>
        <v>666</v>
      </c>
      <c r="Y286" s="526">
        <f t="shared" si="25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295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OtagoNet Joint Venture</v>
      </c>
      <c r="C6" s="108"/>
      <c r="D6" s="109">
        <f>VLOOKUP($B$6,$B$258:$J$286,9,FALSE)</f>
        <v>399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29.491375999999999</v>
      </c>
      <c r="E7" s="407">
        <f>D7/('Industry calcs'!D4/1000)*100</f>
        <v>1.4306862177606401</v>
      </c>
    </row>
    <row r="8" spans="2:5">
      <c r="B8" s="111" t="s">
        <v>250</v>
      </c>
      <c r="C8" s="114"/>
      <c r="D8" s="406">
        <f>VLOOKUP(D6,'AV (2011)'!A8:F214,'AV (2011)'!F214,FALSE)/1000</f>
        <v>128.73856000000001</v>
      </c>
      <c r="E8" s="407">
        <f>D8/('Industry calcs'!D5/1000)*100</f>
        <v>1.4343903979048347</v>
      </c>
    </row>
    <row r="9" spans="2:5">
      <c r="B9" s="111" t="s">
        <v>230</v>
      </c>
      <c r="C9" s="114"/>
      <c r="D9" s="406">
        <f>VLOOKUP($D$6,'FS (2011)'!$A$13:$AH$244,'FS (2011)'!S245,FALSE)/1000</f>
        <v>5.141</v>
      </c>
      <c r="E9" s="407">
        <f>D9/('Industry calcs'!D6/1000)*100</f>
        <v>1.132360249191688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9.4480000000000004</v>
      </c>
      <c r="E10" s="407">
        <f>D10/('Industry calcs'!D7/1000)*100</f>
        <v>1.61457873393855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380.82724999999999</v>
      </c>
      <c r="E11" s="407">
        <f>D11/'Industry calcs'!D8*100</f>
        <v>1.2306286752500366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60.418900000000001</v>
      </c>
      <c r="E12" s="407">
        <f>D12/'Industry calcs'!D9*100</f>
        <v>0.96620033138939942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4392.2645000000002</v>
      </c>
      <c r="E13" s="407">
        <f>D13/'Industry calcs'!D10*100</f>
        <v>2.9365984554164504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14801</v>
      </c>
      <c r="E14" s="407">
        <f>D14/'Industry calcs'!D11*100</f>
        <v>0.73685389622512354</v>
      </c>
    </row>
    <row r="15" spans="2:5">
      <c r="B15" s="115" t="s">
        <v>195</v>
      </c>
      <c r="C15" s="116" t="s">
        <v>239</v>
      </c>
      <c r="D15" s="408">
        <f>D14/D13</f>
        <v>3.3697879533438844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OtagoNet Joint Venture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29.496780816058845</v>
      </c>
      <c r="D20" s="409">
        <f>VLOOKUP($B$2,'MED price allocation'!$B$16:$F$44,3,FALSE)</f>
        <v>30.138481021346685</v>
      </c>
      <c r="E20" s="409">
        <f>VLOOKUP($B$2,'MED price allocation'!$B$16:$F$44,4,FALSE)</f>
        <v>29.872253509741043</v>
      </c>
      <c r="F20" s="503">
        <f>VLOOKUP($B$2,'MED price allocation'!$B$16:$F$44,5,FALSE)</f>
        <v>32.096666666666664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11.999238687234467</v>
      </c>
      <c r="D21" s="410">
        <f>VLOOKUP($B$2,'MED price allocation'!$B$47:$F$75,3,FALSE)</f>
        <v>11.657802182716724</v>
      </c>
      <c r="E21" s="410">
        <f>VLOOKUP($B$2,'MED price allocation'!$B$47:$F$75,4,FALSE)</f>
        <v>11.298884427797686</v>
      </c>
      <c r="F21" s="504">
        <f>VLOOKUP($B$2,'MED price allocation'!$B$47:$F$75,5,FALSE)</f>
        <v>13.82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13.605605771149953</v>
      </c>
      <c r="D22" s="409">
        <f>VLOOKUP($B$2,'MED price allocation'!$B$78:$F$106,3,FALSE)</f>
        <v>14.003895943441551</v>
      </c>
      <c r="E22" s="409">
        <f>VLOOKUP($B$2,'MED price allocation'!$B$78:$F$106,4,FALSE)</f>
        <v>13.509757214841958</v>
      </c>
      <c r="F22" s="503">
        <f>VLOOKUP($B$2,'MED price allocation'!$B$78:$F$106,5,FALSE)</f>
        <v>15.63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1.6063670839154855</v>
      </c>
      <c r="D23" s="411">
        <f>VLOOKUP($B$2,'MED price allocation'!$B$109:$F$137,3,FALSE)</f>
        <v>2.3460937607248256</v>
      </c>
      <c r="E23" s="411">
        <f>VLOOKUP($B$2,'MED price allocation'!$B$109:$F$137,4,FALSE)</f>
        <v>2.2108727870442721</v>
      </c>
      <c r="F23" s="505">
        <f>VLOOKUP($B$2,'MED price allocation'!$B$109:$F$137,5,FALSE)</f>
        <v>1.81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OtagoNet Joint Venture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2359.7424652847076</v>
      </c>
      <c r="D26" s="412">
        <f>(D20*8000)/100</f>
        <v>2411.0784817077347</v>
      </c>
      <c r="E26" s="412">
        <f>(E20*8000)/100</f>
        <v>2389.7802807792837</v>
      </c>
      <c r="F26" s="506">
        <f>(F20*8000)/100</f>
        <v>2567.7333333333331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1088.4484616919963</v>
      </c>
      <c r="D27" s="412">
        <f>(D22*8000)/100</f>
        <v>1120.3116754753239</v>
      </c>
      <c r="E27" s="412">
        <f>(E22*8000)/100</f>
        <v>1080.7805771873566</v>
      </c>
      <c r="F27" s="506">
        <f>(F22*8000)/100</f>
        <v>1250.4000000000001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959.93909497875734</v>
      </c>
      <c r="D28" s="412">
        <f>(D21*8000)/100</f>
        <v>932.62417461733787</v>
      </c>
      <c r="E28" s="412">
        <f>(E21*8000)/100</f>
        <v>903.91075422381482</v>
      </c>
      <c r="F28" s="506">
        <f>(F21*8000)/100</f>
        <v>1105.5999999999999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128.50936671323885</v>
      </c>
      <c r="D29" s="413">
        <f>(D23*8000)/100</f>
        <v>187.68750085798604</v>
      </c>
      <c r="E29" s="413">
        <f>(E23*8000)/100</f>
        <v>176.86982296354176</v>
      </c>
      <c r="F29" s="507">
        <f>(F23*8000)/100</f>
        <v>144.80000000000001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OtagoNet Joint Venture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2432.0836402762648</v>
      </c>
      <c r="D32" s="122"/>
    </row>
    <row r="33" spans="2:13">
      <c r="B33" s="120" t="s">
        <v>241</v>
      </c>
      <c r="C33" s="412">
        <f>AVERAGE(C27:F27)</f>
        <v>1134.985178588669</v>
      </c>
      <c r="D33" s="414">
        <f>C33/$C$32</f>
        <v>0.46667193504074717</v>
      </c>
    </row>
    <row r="34" spans="2:13">
      <c r="B34" s="120" t="s">
        <v>222</v>
      </c>
      <c r="C34" s="412">
        <f>AVERAGE(C28:F28)</f>
        <v>975.51850595497751</v>
      </c>
      <c r="D34" s="414">
        <f>C34/$C$32</f>
        <v>0.40110401213182234</v>
      </c>
    </row>
    <row r="35" spans="2:13">
      <c r="B35" s="124" t="s">
        <v>223</v>
      </c>
      <c r="C35" s="413">
        <f>AVERAGE(C29:F29)</f>
        <v>159.46667263369164</v>
      </c>
      <c r="D35" s="415">
        <f>C35/$C$32</f>
        <v>6.5567922908924936E-2</v>
      </c>
    </row>
    <row r="38" spans="2:13">
      <c r="B38" s="517" t="s">
        <v>227</v>
      </c>
      <c r="C38" s="518">
        <f>VLOOKUP($B$2,$B$258:$J$286,6,FALSE)</f>
        <v>396</v>
      </c>
      <c r="D38" s="518">
        <f>VLOOKUP($B$2,$B$258:$J$286,7,FALSE)</f>
        <v>397</v>
      </c>
      <c r="E38" s="518">
        <f>VLOOKUP($B$2,$B$258:$J$286,8,FALSE)</f>
        <v>398</v>
      </c>
      <c r="F38" s="519">
        <f>VLOOKUP($B$2,$B$258:$J$286,9,FALSE)</f>
        <v>399</v>
      </c>
    </row>
    <row r="39" spans="2:13">
      <c r="B39" s="137" t="str">
        <f>B2</f>
        <v>OtagoNet Joint Venture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24114.912035584955</v>
      </c>
      <c r="D40" s="418">
        <f>VLOOKUP($D$38,'FS (2011)'!$A$13:$AH$244,'FS (2011)'!E245,FALSE)</f>
        <v>24697.204447800119</v>
      </c>
      <c r="E40" s="418">
        <f>VLOOKUP($E$38,'FS (2011)'!$A$13:$AH$244,'FS (2011)'!E245,FALSE)</f>
        <v>25814.23216835978</v>
      </c>
      <c r="F40" s="419">
        <f>VLOOKUP($F$38,'FS (2011)'!$A$13:$AH$244,'FS (2011)'!E245,FALSE)</f>
        <v>28166.376</v>
      </c>
    </row>
    <row r="41" spans="2:13" ht="30">
      <c r="B41" s="120" t="s">
        <v>198</v>
      </c>
      <c r="C41" s="417">
        <f>VLOOKUP($C$38,'FS (2011)'!$A$13:$AH$244,'FS (2011)'!$F$245,FALSE)</f>
        <v>1372.4196629694047</v>
      </c>
      <c r="D41" s="418">
        <f>VLOOKUP($D$38,'FS (2011)'!$A$13:$AH$244,'FS (2011)'!$F$245,FALSE)</f>
        <v>1344.3324867870131</v>
      </c>
      <c r="E41" s="418">
        <f>VLOOKUP($E$38,'FS (2011)'!$A$13:$AH$244,'FS (2011)'!$F$245,FALSE)</f>
        <v>709.10942847134265</v>
      </c>
      <c r="F41" s="419">
        <f>VLOOKUP($F$38,'FS (2011)'!$A$13:$AH$244,'FS (2011)'!$F$245,FALSE)</f>
        <v>1051</v>
      </c>
    </row>
    <row r="42" spans="2:13">
      <c r="B42" s="120" t="s">
        <v>13</v>
      </c>
      <c r="C42" s="417">
        <f>VLOOKUP($C$38,'FS (2011)'!$A$13:$AH$244,'FS (2011)'!$H$245,FALSE)</f>
        <v>271.68087593738414</v>
      </c>
      <c r="D42" s="418">
        <f>VLOOKUP($D$38,'FS (2011)'!$A$13:$AH$244,'FS (2011)'!$H$245,FALSE)</f>
        <v>369.56167204337964</v>
      </c>
      <c r="E42" s="418">
        <f>VLOOKUP($E$38,'FS (2011)'!$A$13:$AH$244,'FS (2011)'!$H$245,FALSE)</f>
        <v>323.98965266363069</v>
      </c>
      <c r="F42" s="419">
        <f>VLOOKUP($F$38,'FS (2011)'!$A$13:$AH$244,'FS (2011)'!$H$245,FALSE)</f>
        <v>274</v>
      </c>
    </row>
    <row r="43" spans="2:13">
      <c r="B43" s="124" t="s">
        <v>5</v>
      </c>
      <c r="C43" s="420">
        <f>SUM(C40:C42)</f>
        <v>25759.012574491746</v>
      </c>
      <c r="D43" s="420">
        <f>SUM(D40:D42)</f>
        <v>26411.098606630512</v>
      </c>
      <c r="E43" s="420">
        <f>SUM(E40:E42)</f>
        <v>26847.331249494753</v>
      </c>
      <c r="F43" s="421">
        <f>SUM(F40:F42)</f>
        <v>29491.376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OtagoNet Joint Venture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102.41465700291965</v>
      </c>
      <c r="E46" s="422">
        <f>IF(ISERROR(E40/$C40),"",(E40/$C40))*100</f>
        <v>107.04676065277468</v>
      </c>
      <c r="F46" s="423">
        <f>IF(ISERROR(F40/$C40),"",(F40/$C40))*100</f>
        <v>116.80065827499821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97.953455714732215</v>
      </c>
      <c r="E47" s="422">
        <f t="shared" si="0"/>
        <v>51.668556463049654</v>
      </c>
      <c r="F47" s="423">
        <f t="shared" si="0"/>
        <v>76.580074474161037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136.02785649460091</v>
      </c>
      <c r="E48" s="422">
        <f t="shared" si="0"/>
        <v>119.2537573893506</v>
      </c>
      <c r="F48" s="423">
        <f t="shared" si="0"/>
        <v>100.85362065129324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102.53148691260201</v>
      </c>
      <c r="E49" s="424">
        <f t="shared" si="0"/>
        <v>104.22500152851639</v>
      </c>
      <c r="F49" s="416">
        <f t="shared" si="0"/>
        <v>114.48954386242384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OtagoNet Joint Venture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15532.801017079637</v>
      </c>
      <c r="D54" s="426">
        <f>VLOOKUP($D$38,'MP (2011)'!$A$14:$AR$245,'MP (2011)'!$Z$246,FALSE)</f>
        <v>15293.02463641979</v>
      </c>
      <c r="E54" s="426">
        <f>VLOOKUP($E$38,'MP (2011)'!$A$14:$AR$245,'MP (2011)'!$Z$246,FALSE)</f>
        <v>15884.163269650506</v>
      </c>
      <c r="F54" s="427">
        <f>VLOOKUP($F$38,'MP (2011)'!$A$14:$AR$245,'MP (2011)'!$Z$246,FALSE)</f>
        <v>17503.054</v>
      </c>
    </row>
    <row r="55" spans="2:23">
      <c r="B55" s="111" t="s">
        <v>180</v>
      </c>
      <c r="C55" s="425">
        <f>VLOOKUP($C$38,'MP (2011)'!$A$14:$AR$245,'MP (2011)'!$AD$246,FALSE)</f>
        <v>2971.9789847452307</v>
      </c>
      <c r="D55" s="426">
        <f>VLOOKUP($D$38,'MP (2011)'!$A$14:$AR$245,'MP (2011)'!$AD$246,FALSE)</f>
        <v>3681.7124815704569</v>
      </c>
      <c r="E55" s="426">
        <f>VLOOKUP($E$38,'MP (2011)'!$A$14:$AR$245,'MP (2011)'!$AD$246,FALSE)</f>
        <v>3706.3832472043327</v>
      </c>
      <c r="F55" s="427">
        <f>VLOOKUP($F$38,'MP (2011)'!$A$14:$AR$245,'MP (2011)'!$AD$246,FALSE)</f>
        <v>4024.1122999999998</v>
      </c>
      <c r="J55" s="139"/>
    </row>
    <row r="56" spans="2:23">
      <c r="B56" s="111" t="s">
        <v>184</v>
      </c>
      <c r="C56" s="425">
        <f>VLOOKUP($C$38,'MP (2011)'!$A$14:$AR$245,'MP (2011)'!$AH$246,FALSE)</f>
        <v>2713.2700081548855</v>
      </c>
      <c r="D56" s="426">
        <f>VLOOKUP($D$38,'MP (2011)'!$A$14:$AR$245,'MP (2011)'!$AH$246,FALSE)</f>
        <v>2692.3760579037676</v>
      </c>
      <c r="E56" s="426">
        <f>VLOOKUP($E$38,'MP (2011)'!$A$14:$AR$245,'MP (2011)'!$AH$246,FALSE)</f>
        <v>2837.1567060170833</v>
      </c>
      <c r="F56" s="427">
        <f>VLOOKUP($F$38,'MP (2011)'!$A$14:$AR$245,'MP (2011)'!$AH$246,FALSE)</f>
        <v>3156.9789999999998</v>
      </c>
    </row>
    <row r="57" spans="2:23">
      <c r="B57" s="111" t="s">
        <v>181</v>
      </c>
      <c r="C57" s="425">
        <f>VLOOKUP($C$38,'MP (2011)'!$A$14:$AR$245,'MP (2011)'!$AL$246,FALSE)</f>
        <v>2896.8625646545574</v>
      </c>
      <c r="D57" s="426">
        <f>VLOOKUP($D$38,'MP (2011)'!$A$14:$AR$245,'MP (2011)'!$AL$246,FALSE)</f>
        <v>3030.1849080376128</v>
      </c>
      <c r="E57" s="426">
        <f>VLOOKUP($E$38,'MP (2011)'!$A$14:$AR$245,'MP (2011)'!$AL$246,FALSE)</f>
        <v>3386.5289454878603</v>
      </c>
      <c r="F57" s="427">
        <f>VLOOKUP($F$38,'MP (2011)'!$A$14:$AR$245,'MP (2011)'!$AL$246,FALSE)</f>
        <v>3482.2305000000001</v>
      </c>
      <c r="W57" s="139"/>
    </row>
    <row r="58" spans="2:23">
      <c r="B58" s="147" t="s">
        <v>248</v>
      </c>
      <c r="C58" s="428">
        <f>SUM(C54:C57)</f>
        <v>24114.912574634312</v>
      </c>
      <c r="D58" s="428">
        <f>SUM(D54:D57)</f>
        <v>24697.298083931626</v>
      </c>
      <c r="E58" s="428">
        <f>SUM(E54:E57)</f>
        <v>25814.232168359784</v>
      </c>
      <c r="F58" s="429">
        <f>SUM(F54:F57)</f>
        <v>28166.375800000002</v>
      </c>
    </row>
    <row r="59" spans="2:23">
      <c r="B59" s="103" t="s">
        <v>302</v>
      </c>
    </row>
    <row r="60" spans="2:23">
      <c r="B60" s="137" t="str">
        <f>$B$2</f>
        <v>OtagoNet Joint Venture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98.456322331070922</v>
      </c>
      <c r="E61" s="422">
        <f t="shared" si="1"/>
        <v>102.26206626985382</v>
      </c>
      <c r="F61" s="423">
        <f t="shared" si="1"/>
        <v>112.68446676651496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123.88083833930837</v>
      </c>
      <c r="E62" s="422">
        <f t="shared" si="1"/>
        <v>124.71095072437257</v>
      </c>
      <c r="F62" s="423">
        <f t="shared" si="1"/>
        <v>135.40177506823662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99.229934721265479</v>
      </c>
      <c r="E63" s="422">
        <f t="shared" si="1"/>
        <v>104.56595537819122</v>
      </c>
      <c r="F63" s="423">
        <f t="shared" si="1"/>
        <v>116.35329290898149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104.60230129691892</v>
      </c>
      <c r="E64" s="422">
        <f t="shared" si="1"/>
        <v>116.90333489782572</v>
      </c>
      <c r="F64" s="423">
        <f t="shared" si="1"/>
        <v>120.20696261147089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102.41504300500723</v>
      </c>
      <c r="E65" s="424">
        <f t="shared" si="1"/>
        <v>107.04675825991976</v>
      </c>
      <c r="F65" s="416">
        <f t="shared" si="1"/>
        <v>116.80065483474857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OtagoNet Joint Venture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1094.4758326578099</v>
      </c>
      <c r="D70" s="433">
        <f>(D54/D98)*1000</f>
        <v>1077.9604311284832</v>
      </c>
      <c r="E70" s="433">
        <f>(E54/E98)*1000</f>
        <v>1120.022794362608</v>
      </c>
      <c r="F70" s="434">
        <f>(F54/F98)*1000</f>
        <v>1232.5226392507568</v>
      </c>
    </row>
    <row r="71" spans="2:40">
      <c r="B71" s="111" t="s">
        <v>180</v>
      </c>
      <c r="C71" s="433">
        <f>(C55/C99)*1000</f>
        <v>6575.1747450115718</v>
      </c>
      <c r="D71" s="433">
        <f t="shared" ref="C71:F73" si="2">(D55/D99)*1000</f>
        <v>7866.9070119026856</v>
      </c>
      <c r="E71" s="433">
        <f t="shared" si="2"/>
        <v>7721.6317650090259</v>
      </c>
      <c r="F71" s="434">
        <f t="shared" si="2"/>
        <v>8229.2685071574633</v>
      </c>
    </row>
    <row r="72" spans="2:40">
      <c r="B72" s="111" t="s">
        <v>184</v>
      </c>
      <c r="C72" s="433">
        <f>(C56/C100)*1000</f>
        <v>27686.428654641688</v>
      </c>
      <c r="D72" s="433">
        <f t="shared" si="2"/>
        <v>26657.18869211651</v>
      </c>
      <c r="E72" s="433">
        <f t="shared" si="2"/>
        <v>28090.660455614685</v>
      </c>
      <c r="F72" s="434">
        <f t="shared" si="2"/>
        <v>29782.82075471698</v>
      </c>
    </row>
    <row r="73" spans="2:40">
      <c r="B73" s="115" t="s">
        <v>181</v>
      </c>
      <c r="C73" s="435">
        <f t="shared" si="2"/>
        <v>579372.5129309115</v>
      </c>
      <c r="D73" s="435">
        <f t="shared" si="2"/>
        <v>606036.98160752258</v>
      </c>
      <c r="E73" s="435">
        <f t="shared" si="2"/>
        <v>677305.78909757209</v>
      </c>
      <c r="F73" s="436">
        <f t="shared" si="2"/>
        <v>696446.1</v>
      </c>
    </row>
    <row r="74" spans="2:40">
      <c r="B74" s="103" t="s">
        <v>303</v>
      </c>
    </row>
    <row r="75" spans="2:40">
      <c r="B75" s="137" t="str">
        <f>$B$2</f>
        <v>OtagoNet Joint Venture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98.4910218173369</v>
      </c>
      <c r="E76" s="422">
        <f t="shared" si="3"/>
        <v>102.3341732126474</v>
      </c>
      <c r="F76" s="423">
        <f t="shared" si="3"/>
        <v>112.61305206326173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119.64559600292175</v>
      </c>
      <c r="E77" s="422">
        <f t="shared" si="3"/>
        <v>117.43614526545083</v>
      </c>
      <c r="F77" s="423">
        <f t="shared" si="3"/>
        <v>125.15665098331894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96.282510917663544</v>
      </c>
      <c r="E78" s="422">
        <f t="shared" si="3"/>
        <v>101.46003591151229</v>
      </c>
      <c r="F78" s="423">
        <f t="shared" si="3"/>
        <v>107.57191231207723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104.60230129691892</v>
      </c>
      <c r="E79" s="424">
        <f t="shared" si="3"/>
        <v>116.90333489782572</v>
      </c>
      <c r="F79" s="416">
        <f t="shared" si="3"/>
        <v>120.20696261147086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OtagoNet Joint Venture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14.925450123037939</v>
      </c>
      <c r="D84" s="437">
        <f>(D54/VLOOKUP($D$38,'MP (2011)'!$A$14:$AR$245,'MP (2011)'!$AA$246,FALSE)*100)</f>
        <v>13.881684843707884</v>
      </c>
      <c r="E84" s="437">
        <f>(E54/VLOOKUP($E$38,'MP (2011)'!$A$14:$AR$245,'MP (2011)'!$AA$246,FALSE)*100)</f>
        <v>15.774522451352379</v>
      </c>
      <c r="F84" s="438">
        <f>(F54/VLOOKUP($F$38,'MP (2011)'!$A$14:$AR$245,'MP (2011)'!$AA$246,FALSE)*100)</f>
        <v>17.926597655845722</v>
      </c>
    </row>
    <row r="85" spans="2:7">
      <c r="B85" s="111" t="s">
        <v>180</v>
      </c>
      <c r="C85" s="430">
        <f>(C55/VLOOKUP($C$38,'MP (2011)'!$A$14:$AR$245,'MP (2011)'!$AE$246,FALSE)*100)</f>
        <v>14.109780875952172</v>
      </c>
      <c r="D85" s="437">
        <f>(D55/VLOOKUP($D$38,'MP (2011)'!$A$14:$AR$245,'MP (2011)'!$AE$246,FALSE)*100)</f>
        <v>13.156171453704157</v>
      </c>
      <c r="E85" s="437">
        <f>(E55/VLOOKUP($E$38,'MP (2011)'!$A$14:$AR$245,'MP (2011)'!$AE$246,FALSE)*100)</f>
        <v>12.62418385888185</v>
      </c>
      <c r="F85" s="438">
        <f>(F55/VLOOKUP($F$38,'MP (2011)'!$A$14:$AR$245,'MP (2011)'!$AE$246,FALSE)*100)</f>
        <v>14.279522221371765</v>
      </c>
    </row>
    <row r="86" spans="2:7">
      <c r="B86" s="111" t="s">
        <v>184</v>
      </c>
      <c r="C86" s="430">
        <f>(C56/VLOOKUP($C$38,'MP (2011)'!$A$14:$AR$245,'MP (2011)'!$AI$246,FALSE)*100)</f>
        <v>8.2455904784026544</v>
      </c>
      <c r="D86" s="437">
        <f>(D56/VLOOKUP($D$38,'MP (2011)'!$A$14:$AR$245,'MP (2011)'!$AI$246,FALSE)*100)</f>
        <v>6.4685127444306847</v>
      </c>
      <c r="E86" s="437">
        <f>(E56/VLOOKUP($E$38,'MP (2011)'!$A$14:$AR$245,'MP (2011)'!$AI$246,FALSE)*100)</f>
        <v>7.9826148589450625</v>
      </c>
      <c r="F86" s="438">
        <f>(F56/VLOOKUP($F$38,'MP (2011)'!$A$14:$AR$245,'MP (2011)'!$AI$246,FALSE)*100)</f>
        <v>9.3509369867058236</v>
      </c>
    </row>
    <row r="87" spans="2:7">
      <c r="B87" s="115" t="s">
        <v>181</v>
      </c>
      <c r="C87" s="431">
        <f>(C57/VLOOKUP($C$38,'MP (2011)'!$A$14:$AR$245,'MP (2011)'!$AM$246,FALSE)*100)</f>
        <v>1.4361020589309448</v>
      </c>
      <c r="D87" s="431">
        <f>(D57/VLOOKUP($D$38,'MP (2011)'!$A$14:$AR$245,'MP (2011)'!$AM$246,FALSE)*100)</f>
        <v>1.4829423382721825</v>
      </c>
      <c r="E87" s="431">
        <f>(E57/VLOOKUP($E$38,'MP (2011)'!$A$14:$AR$245,'MP (2011)'!$AM$246,FALSE)*100)</f>
        <v>1.5467070928498441</v>
      </c>
      <c r="F87" s="432">
        <f>(F57/VLOOKUP($F$38,'MP (2011)'!$A$14:$AR$245,'MP (2011)'!$AM$246,FALSE)*100)</f>
        <v>1.5739050705179864</v>
      </c>
    </row>
    <row r="88" spans="2:7">
      <c r="B88" s="103" t="s">
        <v>304</v>
      </c>
    </row>
    <row r="89" spans="2:7">
      <c r="B89" s="137" t="str">
        <f>$B$2</f>
        <v>OtagoNet Joint Venture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93.006808701072487</v>
      </c>
      <c r="E90" s="422">
        <f>IF(ISERROR(E84/$C84),"",(E84/$C84)*100)</f>
        <v>105.6887552557217</v>
      </c>
      <c r="F90" s="423">
        <f>IF(ISERROR(F84/$C84),"",(F84/$C84)*100)</f>
        <v>120.10758474999297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93.241500838093899</v>
      </c>
      <c r="E91" s="422">
        <f t="shared" si="4"/>
        <v>89.471154583255924</v>
      </c>
      <c r="F91" s="423">
        <f t="shared" si="4"/>
        <v>101.20300482985452</v>
      </c>
    </row>
    <row r="92" spans="2:7">
      <c r="B92" s="111" t="s">
        <v>184</v>
      </c>
      <c r="C92" s="422">
        <f t="shared" si="4"/>
        <v>100</v>
      </c>
      <c r="D92" s="422">
        <f t="shared" si="4"/>
        <v>78.44814463407323</v>
      </c>
      <c r="E92" s="422">
        <f t="shared" si="4"/>
        <v>96.81071209943795</v>
      </c>
      <c r="F92" s="423">
        <f t="shared" si="4"/>
        <v>113.40530446180124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103.26162608360205</v>
      </c>
      <c r="E93" s="424">
        <f>IF(ISERROR(E87/$C87),"",(E87/$C87)*100)</f>
        <v>107.70175303566066</v>
      </c>
      <c r="F93" s="416">
        <f>IF(ISERROR(F87/$C87),"",(F87/$C87)*100)</f>
        <v>109.5956280217037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14192</v>
      </c>
      <c r="D98" s="150">
        <f>VLOOKUP($D$38,'MP (2011)'!$A$14:$AR$245,'MP (2011)'!$AB$246,FALSE)</f>
        <v>14187</v>
      </c>
      <c r="E98" s="150">
        <f>VLOOKUP($E$38,'MP (2011)'!$A$14:$AR$245,'MP (2011)'!$AB$246,FALSE)</f>
        <v>14182</v>
      </c>
      <c r="F98" s="151">
        <f>VLOOKUP($F$38,'MP (2011)'!$A$14:$AR$245,'MP (2011)'!$AB$246,FALSE)</f>
        <v>14201</v>
      </c>
    </row>
    <row r="99" spans="2:7">
      <c r="B99" s="155" t="s">
        <v>309</v>
      </c>
      <c r="C99" s="150">
        <f>VLOOKUP($C$38,'MP (2011)'!$A$14:$AR$245,'MP (2011)'!$AF$246,FALSE)</f>
        <v>452</v>
      </c>
      <c r="D99" s="150">
        <f>VLOOKUP($D$38,'MP (2011)'!$A$14:$AR$245,'MP (2011)'!$AF$246,FALSE)</f>
        <v>468</v>
      </c>
      <c r="E99" s="150">
        <f>VLOOKUP($E$38,'MP (2011)'!$A$14:$AR$245,'MP (2011)'!$AF$246,FALSE)</f>
        <v>480</v>
      </c>
      <c r="F99" s="151">
        <f>VLOOKUP($F$38,'MP (2011)'!$A$14:$AR$245,'MP (2011)'!$AF$246,FALSE)</f>
        <v>489</v>
      </c>
    </row>
    <row r="100" spans="2:7">
      <c r="B100" s="155" t="s">
        <v>310</v>
      </c>
      <c r="C100" s="150">
        <f>VLOOKUP($C$38,'MP (2011)'!$A$14:$AR$245,'MP (2011)'!$AJ$246,FALSE)</f>
        <v>98</v>
      </c>
      <c r="D100" s="150">
        <f>VLOOKUP($D$38,'MP (2011)'!$A$14:$AR$245,'MP (2011)'!$AJ$246,FALSE)</f>
        <v>101</v>
      </c>
      <c r="E100" s="150">
        <f>VLOOKUP($E$38,'MP (2011)'!$A$14:$AR$245,'MP (2011)'!$AJ$246,FALSE)</f>
        <v>101</v>
      </c>
      <c r="F100" s="151">
        <f>VLOOKUP($F$38,'MP (2011)'!$A$14:$AR$245,'MP (2011)'!$AJ$246,FALSE)</f>
        <v>106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14747</v>
      </c>
      <c r="D102" s="152">
        <f>SUM(D98:D101)</f>
        <v>14761</v>
      </c>
      <c r="E102" s="152">
        <f>SUM(E98:E101)</f>
        <v>14768</v>
      </c>
      <c r="F102" s="157">
        <f>SUM(F98:F101)</f>
        <v>14801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99.964768883878236</v>
      </c>
      <c r="E105" s="422">
        <f t="shared" si="5"/>
        <v>99.929537767756486</v>
      </c>
      <c r="F105" s="423">
        <f t="shared" si="5"/>
        <v>100.06341600901916</v>
      </c>
    </row>
    <row r="106" spans="2:7">
      <c r="B106" s="111" t="s">
        <v>180</v>
      </c>
      <c r="C106" s="422">
        <f t="shared" si="5"/>
        <v>100</v>
      </c>
      <c r="D106" s="422">
        <f t="shared" si="5"/>
        <v>103.53982300884957</v>
      </c>
      <c r="E106" s="422">
        <f t="shared" si="5"/>
        <v>106.19469026548674</v>
      </c>
      <c r="F106" s="423">
        <f t="shared" si="5"/>
        <v>108.1858407079646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103.0612244897959</v>
      </c>
      <c r="E107" s="422">
        <f t="shared" si="5"/>
        <v>103.0612244897959</v>
      </c>
      <c r="F107" s="423">
        <f t="shared" si="5"/>
        <v>108.16326530612245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OtagoNet Joint Venture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104069.23</v>
      </c>
      <c r="D113" s="150">
        <f>VLOOKUP($D$38,'MP (2011)'!$A$14:$AR$245,'MP (2011)'!$AA$246,FALSE)</f>
        <v>110166.92</v>
      </c>
      <c r="E113" s="150">
        <f>VLOOKUP($E$38,'MP (2011)'!$A$14:$AR$245,'MP (2011)'!$AA$246,FALSE)</f>
        <v>100695.05</v>
      </c>
      <c r="F113" s="151">
        <f>VLOOKUP($F$38,'MP (2011)'!$A$14:$AR$245,'MP (2011)'!$AA$246,FALSE)</f>
        <v>97637.345000000001</v>
      </c>
    </row>
    <row r="114" spans="2:7">
      <c r="B114" s="155" t="s">
        <v>309</v>
      </c>
      <c r="C114" s="150">
        <f>VLOOKUP($C$38,'MP (2011)'!$A$14:$AR$245,'MP (2011)'!$AE$246,FALSE)</f>
        <v>21063.254000000001</v>
      </c>
      <c r="D114" s="150">
        <f>VLOOKUP($D$38,'MP (2011)'!$A$14:$AR$245,'MP (2011)'!$AE$246,FALSE)</f>
        <v>27984.68</v>
      </c>
      <c r="E114" s="150">
        <f>VLOOKUP($E$38,'MP (2011)'!$A$14:$AR$245,'MP (2011)'!$AE$246,FALSE)</f>
        <v>29359.388999999999</v>
      </c>
      <c r="F114" s="151">
        <f>VLOOKUP($F$38,'MP (2011)'!$A$14:$AR$245,'MP (2011)'!$AE$246,FALSE)</f>
        <v>28181.001</v>
      </c>
    </row>
    <row r="115" spans="2:7">
      <c r="B115" s="155" t="s">
        <v>310</v>
      </c>
      <c r="C115" s="150">
        <f>VLOOKUP($C$38,'MP (2011)'!$A$14:$AR$245,'MP (2011)'!$AI$246,FALSE)</f>
        <v>32905.709000000003</v>
      </c>
      <c r="D115" s="150">
        <f>VLOOKUP($D$38,'MP (2011)'!$A$14:$AR$245,'MP (2011)'!$AI$246,FALSE)</f>
        <v>41622.798999999999</v>
      </c>
      <c r="E115" s="150">
        <f>VLOOKUP($E$38,'MP (2011)'!$A$14:$AR$245,'MP (2011)'!$AI$246,FALSE)</f>
        <v>35541.696000000004</v>
      </c>
      <c r="F115" s="151">
        <f>VLOOKUP($F$38,'MP (2011)'!$A$14:$AR$245,'MP (2011)'!$AI$246,FALSE)</f>
        <v>33761.097999999998</v>
      </c>
    </row>
    <row r="116" spans="2:7">
      <c r="B116" s="155" t="s">
        <v>311</v>
      </c>
      <c r="C116" s="150">
        <f>VLOOKUP($C$38,'MP (2011)'!$A$14:$AR$245,'MP (2011)'!$AM$246,FALSE)</f>
        <v>201717.04</v>
      </c>
      <c r="D116" s="150">
        <f>VLOOKUP($D$38,'MP (2011)'!$A$14:$AR$245,'MP (2011)'!$AM$246,FALSE)</f>
        <v>204335.99</v>
      </c>
      <c r="E116" s="150">
        <f>VLOOKUP($E$38,'MP (2011)'!$A$14:$AR$245,'MP (2011)'!$AM$246,FALSE)</f>
        <v>218950.89</v>
      </c>
      <c r="F116" s="151">
        <f>VLOOKUP($F$38,'MP (2011)'!$A$14:$AR$245,'MP (2011)'!$AM$246,FALSE)</f>
        <v>221247.81</v>
      </c>
    </row>
    <row r="117" spans="2:7">
      <c r="B117" s="147" t="s">
        <v>254</v>
      </c>
      <c r="C117" s="158">
        <f>SUM(C113:C116)</f>
        <v>359755.23300000001</v>
      </c>
      <c r="D117" s="158">
        <f>SUM(D113:D116)</f>
        <v>384110.38899999997</v>
      </c>
      <c r="E117" s="158">
        <f>SUM(E113:E116)</f>
        <v>384547.02500000002</v>
      </c>
      <c r="F117" s="159">
        <f>SUM(F113:F116)</f>
        <v>380827.25400000002</v>
      </c>
    </row>
    <row r="118" spans="2:7">
      <c r="B118" s="103" t="s">
        <v>306</v>
      </c>
    </row>
    <row r="119" spans="2:7">
      <c r="B119" s="137" t="str">
        <f>$B$2</f>
        <v>OtagoNet Joint Venture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105.85926310783698</v>
      </c>
      <c r="E120" s="422">
        <f t="shared" si="6"/>
        <v>96.757754429431259</v>
      </c>
      <c r="F120" s="423">
        <f t="shared" si="6"/>
        <v>93.819609311993574</v>
      </c>
    </row>
    <row r="121" spans="2:7">
      <c r="B121" s="111" t="s">
        <v>180</v>
      </c>
      <c r="C121" s="422">
        <f t="shared" si="6"/>
        <v>100</v>
      </c>
      <c r="D121" s="422">
        <f t="shared" si="6"/>
        <v>132.86019339651889</v>
      </c>
      <c r="E121" s="422">
        <f t="shared" si="6"/>
        <v>139.38676806537109</v>
      </c>
      <c r="F121" s="423">
        <f t="shared" si="6"/>
        <v>133.79224786445627</v>
      </c>
    </row>
    <row r="122" spans="2:7">
      <c r="B122" s="111" t="s">
        <v>184</v>
      </c>
      <c r="C122" s="422">
        <f t="shared" si="6"/>
        <v>100</v>
      </c>
      <c r="D122" s="422">
        <f t="shared" si="6"/>
        <v>126.49111739242571</v>
      </c>
      <c r="E122" s="422">
        <f t="shared" si="6"/>
        <v>108.01072847267932</v>
      </c>
      <c r="F122" s="423">
        <f t="shared" si="6"/>
        <v>102.59951548225263</v>
      </c>
    </row>
    <row r="123" spans="2:7">
      <c r="B123" s="115" t="s">
        <v>181</v>
      </c>
      <c r="C123" s="424">
        <f t="shared" si="6"/>
        <v>100</v>
      </c>
      <c r="D123" s="424">
        <f t="shared" si="6"/>
        <v>101.29832858939432</v>
      </c>
      <c r="E123" s="424">
        <f t="shared" si="6"/>
        <v>108.54357668544017</v>
      </c>
      <c r="F123" s="416">
        <f t="shared" si="6"/>
        <v>109.68226085411526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OtagoNet Joint Venture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26140.659519260927</v>
      </c>
      <c r="D128" s="433">
        <f>VLOOKUP($D$38,'FS (2011)'!$A$13:$AH$244,'FS (2011)'!$I$245,FALSE)</f>
        <v>27956.821442789478</v>
      </c>
      <c r="E128" s="433">
        <f>VLOOKUP($E$38,'FS (2011)'!$A$13:$AH$244,'FS (2011)'!$I$245,FALSE)</f>
        <v>27236.526366845406</v>
      </c>
      <c r="F128" s="440">
        <f>VLOOKUP($F$38,'FS (2011)'!$A$13:$AH$244,'FS (2011)'!$I$245,FALSE)</f>
        <v>30076.376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3606.7536968720592</v>
      </c>
      <c r="D129" s="433">
        <f>VLOOKUP($D$38,'FS (2011)'!$A$13:$AH$244,'FS (2011)'!$Y$245,FALSE)+VLOOKUP($D$38,'FS (2011)'!$A$13:$AH$244,'FS (2011)'!$Z$245,FALSE)</f>
        <v>3263.5534496533724</v>
      </c>
      <c r="E129" s="433">
        <f>VLOOKUP($E$38,'FS (2011)'!$A$13:$AH$244,'FS (2011)'!$Y$245,FALSE)+VLOOKUP($E$38,'FS (2011)'!$A$13:$AH$244,'FS (2011)'!$Z$245,FALSE)</f>
        <v>2311.0285845706121</v>
      </c>
      <c r="F129" s="440">
        <f>VLOOKUP($F$38,'FS (2011)'!$A$13:$AH$244,'FS (2011)'!$Y$245,FALSE)+VLOOKUP($F$38,'FS (2011)'!$A$13:$AH$244,'FS (2011)'!$Z$245,FALSE)</f>
        <v>5313.6589999999997</v>
      </c>
      <c r="G129" s="121"/>
    </row>
    <row r="130" spans="1:30">
      <c r="B130" s="162" t="s">
        <v>191</v>
      </c>
      <c r="C130" s="441">
        <f>VLOOKUP($C$38,'FS (2011)'!$A$13:$AH$244,'FS (2011)'!$J$245,FALSE)</f>
        <v>4881.6309771606166</v>
      </c>
      <c r="D130" s="433">
        <f>VLOOKUP($D$38,'FS (2011)'!$A$13:$AH$244,'FS (2011)'!$J$245,FALSE)</f>
        <v>5622.3202690644503</v>
      </c>
      <c r="E130" s="433">
        <f>VLOOKUP($E$38,'FS (2011)'!$A$13:$AH$244,'FS (2011)'!$J$245,FALSE)</f>
        <v>6035.5808250922901</v>
      </c>
      <c r="F130" s="440">
        <f>VLOOKUP($F$38,'FS (2011)'!$A$13:$AH$244,'FS (2011)'!$J$245,FALSE)</f>
        <v>6009</v>
      </c>
    </row>
    <row r="131" spans="1:30">
      <c r="B131" s="162" t="s">
        <v>182</v>
      </c>
      <c r="C131" s="441">
        <f>VLOOKUP($C$38,'FS (2011)'!$A$13:$AH$244,'FS (2011)'!$S$245,FALSE)</f>
        <v>4554.9670668073331</v>
      </c>
      <c r="D131" s="433">
        <f>VLOOKUP($D$38,'FS (2011)'!$A$13:$AH$244,'FS (2011)'!$S$245,FALSE)</f>
        <v>5589.1012423639213</v>
      </c>
      <c r="E131" s="433">
        <f>VLOOKUP($E$38,'FS (2011)'!$A$13:$AH$244,'FS (2011)'!$S$245,FALSE)</f>
        <v>5113.5348010023972</v>
      </c>
      <c r="F131" s="440">
        <f>VLOOKUP($F$38,'FS (2011)'!$A$13:$AH$244,'FS (2011)'!$S$245,FALSE)</f>
        <v>5141</v>
      </c>
      <c r="I131" s="139"/>
    </row>
    <row r="132" spans="1:30">
      <c r="B132" s="162" t="s">
        <v>143</v>
      </c>
      <c r="C132" s="441">
        <f>VLOOKUP($C$38,'FS (2011)'!$A$13:$AH$244,'FS (2011)'!$U$245,FALSE)</f>
        <v>4609.9501012232322</v>
      </c>
      <c r="D132" s="433">
        <f>VLOOKUP($D$38,'FS (2011)'!$A$13:$AH$244,'FS (2011)'!$U$245,FALSE)</f>
        <v>4524.0161987782267</v>
      </c>
      <c r="E132" s="433">
        <f>VLOOKUP($E$38,'FS (2011)'!$A$13:$AH$244,'FS (2011)'!$U$245,FALSE)</f>
        <v>4691.7369513082367</v>
      </c>
      <c r="F132" s="440">
        <f>VLOOKUP($F$38,'FS (2011)'!$A$13:$AH$244,'FS (2011)'!$U$245,FALSE)</f>
        <v>4931</v>
      </c>
    </row>
    <row r="133" spans="1:30">
      <c r="B133" s="162" t="s">
        <v>196</v>
      </c>
      <c r="C133" s="441">
        <f>VLOOKUP($C$38,'FS (2011)'!$A$13:$AH$244,'FS (2011)'!$X$245,FALSE)</f>
        <v>1244.9434382538279</v>
      </c>
      <c r="D133" s="433">
        <f>VLOOKUP($D$38,'FS (2011)'!$A$13:$AH$244,'FS (2011)'!$X$245,FALSE)</f>
        <v>1176.3001649804376</v>
      </c>
      <c r="E133" s="433">
        <f>VLOOKUP($E$38,'FS (2011)'!$A$13:$AH$244,'FS (2011)'!$X$245,FALSE)</f>
        <v>1599.8531617040767</v>
      </c>
      <c r="F133" s="440">
        <f>VLOOKUP($F$38,'FS (2011)'!$A$13:$AH$244,'FS (2011)'!$X$245,FALSE)</f>
        <v>2166.4146999999998</v>
      </c>
    </row>
    <row r="134" spans="1:30">
      <c r="B134" s="164" t="s">
        <v>258</v>
      </c>
      <c r="C134" s="442">
        <f>VLOOKUP($C$38,'FS (2011)'!$A$13:$AH$244,'FS (2011)'!$AA$245,FALSE)</f>
        <v>14455.921632687976</v>
      </c>
      <c r="D134" s="435">
        <f>VLOOKUP($D$38,'FS (2011)'!$A$13:$AH$244,'FS (2011)'!$AA$245,FALSE)</f>
        <v>14308.636913446355</v>
      </c>
      <c r="E134" s="435">
        <f>VLOOKUP($E$38,'FS (2011)'!$A$13:$AH$244,'FS (2011)'!$AA$245,FALSE)</f>
        <v>12106.849416076095</v>
      </c>
      <c r="F134" s="443">
        <f>VLOOKUP($F$38,'FS (2011)'!$A$13:$AH$244,'FS (2011)'!$AA$245,FALSE)</f>
        <v>17142.62</v>
      </c>
      <c r="Q134" s="559"/>
      <c r="R134" s="559"/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6</v>
      </c>
      <c r="B138" s="166" t="s">
        <v>204</v>
      </c>
      <c r="C138" s="167"/>
      <c r="D138" s="444">
        <f>VLOOKUP($D$6,'FS (2011)'!$A$13:$AH$244,'FS (2011)'!$L$245,FALSE)</f>
        <v>131</v>
      </c>
      <c r="E138" s="446">
        <f t="shared" ref="E138:E144" si="7">D138/$D$145</f>
        <v>2.5481423847500486E-2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1615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1</v>
      </c>
      <c r="B139" s="162" t="s">
        <v>199</v>
      </c>
      <c r="C139" s="121"/>
      <c r="D139" s="441">
        <f>VLOOKUP($D$6,'FS (2011)'!$A$13:$AH$244,'FS (2011)'!K245,FALSE)</f>
        <v>1615</v>
      </c>
      <c r="E139" s="414">
        <f t="shared" si="7"/>
        <v>0.31414121766193348</v>
      </c>
      <c r="Q139" s="559"/>
      <c r="R139" s="559"/>
      <c r="S139" s="559"/>
      <c r="T139" s="559">
        <v>2</v>
      </c>
      <c r="U139" s="559" t="str">
        <f t="shared" ref="U139:U144" si="9">VLOOKUP(T139,$A$138:$E$144,2,FALSE)</f>
        <v>Fault and emergency maintenance</v>
      </c>
      <c r="V139" s="559">
        <f t="shared" ref="V139:V144" si="10">VLOOKUP(T139,$A$138:$E$144,4,FALSE)</f>
        <v>1342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3</v>
      </c>
      <c r="B140" s="162" t="s">
        <v>201</v>
      </c>
      <c r="C140" s="121"/>
      <c r="D140" s="441">
        <f>VLOOKUP($D$6,'FS (2011)'!$A$13:$AH$244,'FS (2011)'!M245,FALSE)</f>
        <v>1194</v>
      </c>
      <c r="E140" s="414">
        <f t="shared" si="7"/>
        <v>0.23225053491538611</v>
      </c>
      <c r="Q140" s="559"/>
      <c r="R140" s="559"/>
      <c r="S140" s="559"/>
      <c r="T140" s="559">
        <v>3</v>
      </c>
      <c r="U140" s="559" t="str">
        <f t="shared" si="9"/>
        <v>Routine and preventative maintenance</v>
      </c>
      <c r="V140" s="559">
        <f t="shared" si="10"/>
        <v>1194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4</v>
      </c>
      <c r="B141" s="162" t="s">
        <v>202</v>
      </c>
      <c r="C141" s="121"/>
      <c r="D141" s="441">
        <f>VLOOKUP($D$6,'FS (2011)'!$A$13:$AH$244,'FS (2011)'!N245,FALSE)</f>
        <v>700</v>
      </c>
      <c r="E141" s="414">
        <f t="shared" si="7"/>
        <v>0.13616028010114764</v>
      </c>
      <c r="Q141" s="559"/>
      <c r="R141" s="559"/>
      <c r="S141" s="559"/>
      <c r="T141" s="559">
        <v>4</v>
      </c>
      <c r="U141" s="559" t="str">
        <f t="shared" si="9"/>
        <v>Refurbishment and renewal maintenance</v>
      </c>
      <c r="V141" s="559">
        <f t="shared" si="10"/>
        <v>700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2</v>
      </c>
      <c r="B142" s="162" t="s">
        <v>203</v>
      </c>
      <c r="C142" s="121"/>
      <c r="D142" s="441">
        <f>VLOOKUP($D$6,'FS (2011)'!$A$13:$AH$244,'FS (2011)'!O245,FALSE)</f>
        <v>1342</v>
      </c>
      <c r="E142" s="414">
        <f t="shared" si="7"/>
        <v>0.26103870842248589</v>
      </c>
      <c r="Q142" s="559"/>
      <c r="R142" s="559"/>
      <c r="S142" s="559"/>
      <c r="T142" s="559">
        <v>5</v>
      </c>
      <c r="U142" s="559" t="str">
        <f t="shared" si="9"/>
        <v>Pass-through costs</v>
      </c>
      <c r="V142" s="559">
        <f t="shared" si="10"/>
        <v>159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8"/>
        <v>7</v>
      </c>
      <c r="B143" s="162" t="s">
        <v>13</v>
      </c>
      <c r="C143" s="121"/>
      <c r="D143" s="441">
        <f>VLOOKUP($D$6,'FS (2011)'!$A$13:$AH$244,'FS (2011)'!R245,FALSE)</f>
        <v>0</v>
      </c>
      <c r="E143" s="414">
        <f t="shared" si="7"/>
        <v>0</v>
      </c>
      <c r="Q143" s="559"/>
      <c r="R143" s="559"/>
      <c r="S143" s="559"/>
      <c r="T143" s="559">
        <v>6</v>
      </c>
      <c r="U143" s="559" t="str">
        <f t="shared" si="9"/>
        <v>System management and operations</v>
      </c>
      <c r="V143" s="559">
        <f t="shared" si="10"/>
        <v>131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5</v>
      </c>
      <c r="B144" s="162" t="s">
        <v>200</v>
      </c>
      <c r="C144" s="121"/>
      <c r="D144" s="441">
        <f>VLOOKUP($D$6,'FS (2011)'!$A$13:$AH$244,'FS (2011)'!P245,FALSE)</f>
        <v>159</v>
      </c>
      <c r="E144" s="414">
        <f t="shared" si="7"/>
        <v>3.0927835051546393E-2</v>
      </c>
      <c r="Q144" s="559"/>
      <c r="R144" s="559"/>
      <c r="S144" s="559"/>
      <c r="T144" s="559">
        <v>7</v>
      </c>
      <c r="U144" s="559" t="str">
        <f t="shared" si="9"/>
        <v>Other</v>
      </c>
      <c r="V144" s="559">
        <f t="shared" si="10"/>
        <v>0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5141</v>
      </c>
      <c r="E145" s="447">
        <f>SUM(E138:E144)</f>
        <v>1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3.301026649780388</v>
      </c>
      <c r="F149" s="455">
        <f>(VLOOKUP(F$38,'FS (2011)'!$A$13:$AH$244,'FS (2011)'!$M$245,FALSE)+VLOOKUP(F$38,'FS (2011)'!$A$13:$AH$244,'FS (2011)'!$N$245,FALSE)+VLOOKUP(F$38,'FS (2011)'!$A$13:$AH$244,'FS (2011)'!$O$245,FALSE))/1000</f>
        <v>3.2360000000000002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1.6403249710328471</v>
      </c>
      <c r="F150" s="457">
        <f>(VLOOKUP(F$38,'FS (2011)'!$A$13:$AH$244,'FS (2011)'!$L$245,FALSE)+VLOOKUP(F$38,'FS (2011)'!$A$13:$AH$244,'FS (2011)'!$K$245,FALSE))/1000</f>
        <v>1.746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0.1721831801891622</v>
      </c>
      <c r="F151" s="457">
        <f>(VLOOKUP(F$38,'FS (2011)'!$A$13:$AH$244,'FS (2011)'!$R$245,FALSE)+VLOOKUP(F$38,'FS (2011)'!$A$13:$AH$244,'FS (2011)'!$P$245,FALSE)+VLOOKUP(F$38,'FS (2011)'!$A$13:$AH$244,'FS (2011)'!$Q$245,FALSE))/1000</f>
        <v>0.159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4.5549670668073334</v>
      </c>
      <c r="D152" s="458">
        <f>VLOOKUP($D$38,'FS (2011)'!$A$13:$AH$244,'FS (2011)'!$S$245,FALSE)/1000</f>
        <v>5.5891012423639213</v>
      </c>
      <c r="E152" s="459">
        <f>VLOOKUP($E$38,'FS (2011)'!$A$13:$AH$244,'FS (2011)'!$S$245,FALSE)/1000</f>
        <v>5.1135348010023973</v>
      </c>
      <c r="F152" s="460">
        <f>VLOOKUP($F$38,'FS (2011)'!$A$13:$AH$244,'FS (2011)'!$S$245,FALSE)/1000</f>
        <v>5.141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-1.9698916936860766E-2</v>
      </c>
      <c r="D154" s="464" t="str">
        <f t="shared" ref="D154:E157" si="11">IF(ISERROR(D149/C149 - 1),"",(D149/C149 - 1))</f>
        <v/>
      </c>
      <c r="E154" s="464" t="str">
        <f t="shared" si="11"/>
        <v/>
      </c>
      <c r="F154" s="465">
        <f>IF(ISERROR(F149/E149 - 1),"",(F149/E149 - 1))</f>
        <v>-1.9698916936860766E-2</v>
      </c>
      <c r="Q154" s="559"/>
      <c r="R154" s="559" t="s">
        <v>423</v>
      </c>
      <c r="S154" s="559" t="e">
        <f t="shared" ref="S154:V157" si="12">LN(C149)</f>
        <v>#NUM!</v>
      </c>
      <c r="T154" s="559" t="e">
        <f t="shared" si="12"/>
        <v>#NUM!</v>
      </c>
      <c r="U154" s="559">
        <f t="shared" si="12"/>
        <v>1.1942335260830563</v>
      </c>
      <c r="V154" s="559">
        <f t="shared" si="12"/>
        <v>1.1743379991962453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6.4423227612400158E-2</v>
      </c>
      <c r="D155" s="467" t="str">
        <f t="shared" si="11"/>
        <v/>
      </c>
      <c r="E155" s="467" t="str">
        <f t="shared" si="11"/>
        <v/>
      </c>
      <c r="F155" s="468">
        <f>IF(ISERROR(F150/E150 - 1),"",(F150/E150 - 1))</f>
        <v>6.4423227612400158E-2</v>
      </c>
      <c r="Q155" s="559"/>
      <c r="R155" s="559" t="s">
        <v>423</v>
      </c>
      <c r="S155" s="559" t="e">
        <f t="shared" si="12"/>
        <v>#NUM!</v>
      </c>
      <c r="T155" s="559" t="e">
        <f t="shared" si="12"/>
        <v>#NUM!</v>
      </c>
      <c r="U155" s="559">
        <f t="shared" si="12"/>
        <v>0.49489437527519003</v>
      </c>
      <c r="V155" s="559">
        <f t="shared" si="12"/>
        <v>0.55732745741741041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-7.656485479405728E-2</v>
      </c>
      <c r="D156" s="467" t="str">
        <f t="shared" si="11"/>
        <v/>
      </c>
      <c r="E156" s="467" t="str">
        <f t="shared" si="11"/>
        <v/>
      </c>
      <c r="F156" s="468">
        <f>IF(ISERROR(F151/E151 - 1),"",(F151/E151 - 1))</f>
        <v>-7.656485479405728E-2</v>
      </c>
      <c r="Q156" s="559"/>
      <c r="R156" s="559" t="s">
        <v>423</v>
      </c>
      <c r="S156" s="559" t="e">
        <f t="shared" si="12"/>
        <v>#NUM!</v>
      </c>
      <c r="T156" s="559" t="e">
        <f t="shared" si="12"/>
        <v>#NUM!</v>
      </c>
      <c r="U156" s="559">
        <f t="shared" si="12"/>
        <v>-1.7591963677802451</v>
      </c>
      <c r="V156" s="559">
        <f t="shared" si="12"/>
        <v>-1.8388510767619055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2.7795312627303392E-2</v>
      </c>
      <c r="D157" s="470">
        <f t="shared" si="11"/>
        <v>0.22703439133346648</v>
      </c>
      <c r="E157" s="470">
        <f t="shared" si="11"/>
        <v>-8.5088177998432935E-2</v>
      </c>
      <c r="F157" s="471">
        <f>IF(ISERROR(F152/E152 - 1),"",(F152/E152 - 1))</f>
        <v>5.3710789241561141E-3</v>
      </c>
      <c r="N157" s="136"/>
      <c r="O157" s="136"/>
      <c r="Q157" s="559"/>
      <c r="R157" s="559" t="s">
        <v>423</v>
      </c>
      <c r="S157" s="559">
        <f t="shared" si="12"/>
        <v>1.5162183005666479</v>
      </c>
      <c r="T157" s="559">
        <f t="shared" si="12"/>
        <v>1.720818494699254</v>
      </c>
      <c r="U157" s="559">
        <f t="shared" si="12"/>
        <v>1.631890906951615</v>
      </c>
      <c r="V157" s="559">
        <f t="shared" si="12"/>
        <v>1.6372476130733675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OtagoNet Joint Venture</v>
      </c>
      <c r="C162" s="456">
        <f>(C152/C102)*1000000</f>
        <v>308.87414842390541</v>
      </c>
      <c r="D162" s="456">
        <f>(D152/D102)*1000000</f>
        <v>378.63974272501326</v>
      </c>
      <c r="E162" s="456">
        <f>(E152/E102)*1000000</f>
        <v>346.25777363234005</v>
      </c>
      <c r="F162" s="457">
        <f>(F152/F102)*1000000</f>
        <v>347.34139585163166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OtagoNet Joint Venture</v>
      </c>
      <c r="C165" s="456">
        <f>C152/VLOOKUP(C$38,'MP (2011)'!$A$14:$AR$245,'MP (2011)'!$H$246,FALSE)*1000000</f>
        <v>1045.2994681412067</v>
      </c>
      <c r="D165" s="456">
        <f>D152/VLOOKUP(D$38,'MP (2011)'!$A$14:$AR$245,'MP (2011)'!$H$246,FALSE)*1000000</f>
        <v>1279.475006361529</v>
      </c>
      <c r="E165" s="456">
        <f>E152/VLOOKUP(E$38,'MP (2011)'!$A$14:$AR$245,'MP (2011)'!$H$246,FALSE)*1000000</f>
        <v>1165.6310968981038</v>
      </c>
      <c r="F165" s="457">
        <f>F152/VLOOKUP(F$38,'MP (2011)'!$A$14:$AR$245,'MP (2011)'!$H$246,FALSE)*1000000</f>
        <v>1170.4668514384778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OtagoNet Joint Venture</v>
      </c>
      <c r="C168" s="456">
        <f>(C152/C117)*1000000</f>
        <v>12.661294816543595</v>
      </c>
      <c r="D168" s="456">
        <f>(D152/D117)*1000000</f>
        <v>14.550768222944164</v>
      </c>
      <c r="E168" s="456">
        <f>(E152/E117)*1000000</f>
        <v>13.297553923352799</v>
      </c>
      <c r="F168" s="457">
        <f>(F152/F117)*1000000</f>
        <v>13.499559041538555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2.6620255712578533E-2</v>
      </c>
      <c r="D171" s="464">
        <f>IF(ISERROR(D162/C162 - 1),"",(D162/C162 - 1))</f>
        <v>0.22587061642128781</v>
      </c>
      <c r="E171" s="464">
        <f>IF(ISERROR(E162/D162 - 1),"",(E162/D162 - 1))</f>
        <v>-8.5521844219587306E-2</v>
      </c>
      <c r="F171" s="465">
        <f>IF(ISERROR(F162/E162 - 1),"",(F162/E162 - 1))</f>
        <v>3.1295245964417795E-3</v>
      </c>
      <c r="H171" s="139"/>
      <c r="Q171" s="559"/>
      <c r="R171" s="559" t="s">
        <v>423</v>
      </c>
      <c r="S171" s="559">
        <f>LN(C162)</f>
        <v>5.732933907279981</v>
      </c>
      <c r="T171" s="559">
        <f>LN(D162)</f>
        <v>5.936585206126531</v>
      </c>
      <c r="U171" s="559">
        <f>LN(E162)</f>
        <v>5.8471835081732557</v>
      </c>
      <c r="V171" s="559">
        <f>LN(F162)</f>
        <v>5.8503081460004527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2.4916414494101202E-2</v>
      </c>
      <c r="D172" s="467">
        <f>IF(ISERROR(D165/C165 - 1),"",(D165/C165 - 1))</f>
        <v>0.22402722411859877</v>
      </c>
      <c r="E172" s="467">
        <f>IF(ISERROR(E165/D165 - 1),"",(E165/D165 - 1))</f>
        <v>-8.8977048318564345E-2</v>
      </c>
      <c r="F172" s="468">
        <f>IF(ISERROR(F165/E165 - 1),"",(F165/E165 - 1))</f>
        <v>4.1486149033278519E-3</v>
      </c>
      <c r="Q172" s="559"/>
      <c r="R172" s="559" t="s">
        <v>423</v>
      </c>
      <c r="S172" s="559">
        <f>LN(C165)</f>
        <v>6.9520586957288186</v>
      </c>
      <c r="T172" s="559">
        <f>LN(D165)</f>
        <v>7.1542051214985651</v>
      </c>
      <c r="U172" s="559">
        <f>LN(E165)</f>
        <v>7.0610179334013248</v>
      </c>
      <c r="V172" s="559">
        <f>LN(F165)</f>
        <v>7.0651579665286466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1.0278293750675793E-2</v>
      </c>
      <c r="D173" s="470">
        <f>IF(ISERROR(D168/C168 - 1),"",(D168/C168 - 1))</f>
        <v>0.14923224155018744</v>
      </c>
      <c r="E173" s="470">
        <f>IF(ISERROR(E168/D168 - 1),"",(E168/D168 - 1))</f>
        <v>-8.6127019576550778E-2</v>
      </c>
      <c r="F173" s="471">
        <f>IF(ISERROR(F168/E168 - 1),"",(F168/E168 - 1))</f>
        <v>1.5191148639074115E-2</v>
      </c>
      <c r="Q173" s="559"/>
      <c r="R173" s="559" t="s">
        <v>423</v>
      </c>
      <c r="S173" s="559">
        <f>LN(C168)</f>
        <v>2.5385496876744549</v>
      </c>
      <c r="T173" s="559">
        <f>LN(D168)</f>
        <v>2.6776437910514699</v>
      </c>
      <c r="U173" s="559">
        <f>LN(E168)</f>
        <v>2.5875801027757883</v>
      </c>
      <c r="V173" s="559">
        <f>LN(F168)</f>
        <v>2.6026570213211806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OtagoNet Joint Venture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3301.0266497803877</v>
      </c>
      <c r="X176" s="563">
        <f>D178</f>
        <v>3236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OtagoNet Joint Venture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3048.3554741181856</v>
      </c>
      <c r="X177" s="563">
        <f t="shared" si="14"/>
        <v>2834.4000431139011</v>
      </c>
      <c r="Y177" s="563">
        <f t="shared" si="14"/>
        <v>2762.0627307267382</v>
      </c>
      <c r="Z177" s="563">
        <f t="shared" si="14"/>
        <v>2844.5883969712481</v>
      </c>
      <c r="AA177" s="563">
        <f t="shared" si="14"/>
        <v>2930.1705693729618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3301.0266497803877</v>
      </c>
      <c r="D178" s="461">
        <f>VLOOKUP(F38,'FS (2011)'!$A$14:$T$246,'FS (2011)'!$M$245,FALSE)+VLOOKUP(F38,'FS (2011)'!$A$14:$AO$245,'FS (2011)'!$N$245,FALSE)+VLOOKUP(F38,'FS (2011)'!$A$14:$AO$245,'FS (2011)'!$O$245,FALSE)</f>
        <v>3236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3947</v>
      </c>
      <c r="Y178" s="563">
        <f t="shared" si="14"/>
        <v>3957</v>
      </c>
      <c r="Z178" s="563">
        <f t="shared" si="14"/>
        <v>3961</v>
      </c>
      <c r="AA178" s="563">
        <f t="shared" si="14"/>
        <v>4026</v>
      </c>
      <c r="AB178" s="563">
        <f>H180</f>
        <v>4147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3048.3554741181856</v>
      </c>
      <c r="D179" s="461">
        <f>VLOOKUP(D182,'AM (2011)'!$A$10:$N$444,'AM (2011)'!$N$445,FALSE)</f>
        <v>2834.4000431139011</v>
      </c>
      <c r="E179" s="461">
        <f>VLOOKUP(E182,'AM (2011)'!$A$10:$N$444,'AM (2011)'!$N$445,FALSE)</f>
        <v>2762.0627307267382</v>
      </c>
      <c r="F179" s="461">
        <f>VLOOKUP(F182,'AM (2011)'!$A$10:$N$444,'AM (2011)'!$N$445,FALSE)</f>
        <v>2844.5883969712481</v>
      </c>
      <c r="G179" s="461">
        <f>VLOOKUP(G182,'AM (2011)'!$A$10:$N$444,'AM (2011)'!$N$445,FALSE)</f>
        <v>2930.1705693729618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3525.348674854557</v>
      </c>
      <c r="Z179" s="563">
        <f>F181</f>
        <v>3674.9266968325792</v>
      </c>
      <c r="AA179" s="563">
        <f>G181</f>
        <v>3577.1632837750485</v>
      </c>
      <c r="AB179" s="563">
        <f>H181</f>
        <v>3577.1632837750485</v>
      </c>
      <c r="AC179" s="563">
        <f>I181</f>
        <v>3577.1632837750485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3947</v>
      </c>
      <c r="E180" s="461">
        <f>VLOOKUP(E183,'AM (2011)'!$A$10:$N$444,'AM (2011)'!$N$445,FALSE)</f>
        <v>3957</v>
      </c>
      <c r="F180" s="461">
        <f>VLOOKUP(F183,'AM (2011)'!$A$10:$N$444,'AM (2011)'!$N$445,FALSE)</f>
        <v>3961</v>
      </c>
      <c r="G180" s="461">
        <f>VLOOKUP(G183,'AM (2011)'!$A$10:$N$444,'AM (2011)'!$N$445,FALSE)</f>
        <v>4026</v>
      </c>
      <c r="H180" s="461">
        <f>VLOOKUP(H183,'AM (2011)'!$A$10:$N$444,'AM (2011)'!$N$445,FALSE)</f>
        <v>4147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3525.348674854557</v>
      </c>
      <c r="F181" s="493">
        <f>VLOOKUP(F184,'AM (2011)'!$A$10:$N$444,'AM (2011)'!$N$445,FALSE)</f>
        <v>3674.9266968325792</v>
      </c>
      <c r="G181" s="493">
        <f>VLOOKUP(G184,'AM (2011)'!$A$10:$N$444,'AM (2011)'!$N$445,FALSE)</f>
        <v>3577.1632837750485</v>
      </c>
      <c r="H181" s="493">
        <f>VLOOKUP(H184,'AM (2011)'!$A$10:$N$444,'AM (2011)'!$N$445,FALSE)</f>
        <v>3577.1632837750485</v>
      </c>
      <c r="I181" s="494">
        <f>VLOOKUP(I184,'AM (2011)'!$A$10:$N$444,'AM (2011)'!$N$445,FALSE)</f>
        <v>3577.1632837750485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400</v>
      </c>
      <c r="D182" s="136">
        <f>VLOOKUP($B$2,$B$257:$Y$286,11,FALSE)</f>
        <v>401</v>
      </c>
      <c r="E182" s="136">
        <f>VLOOKUP($B$2,$B$257:$Y$286,12,FALSE)</f>
        <v>402</v>
      </c>
      <c r="F182" s="136">
        <f>VLOOKUP($B$2,$B$257:$Y$286,13,FALSE)</f>
        <v>403</v>
      </c>
      <c r="G182" s="136">
        <f>VLOOKUP($B$2,$B$257:$Y$286,14,FALSE)</f>
        <v>404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405</v>
      </c>
      <c r="E183" s="136">
        <f>VLOOKUP($B$2,$B$257:$Y$286,16,FALSE)</f>
        <v>406</v>
      </c>
      <c r="F183" s="136">
        <f>VLOOKUP($B$2,$B$257:$Y$286,17,FALSE)</f>
        <v>407</v>
      </c>
      <c r="G183" s="136">
        <f>VLOOKUP($B$2,$B$257:$Y$286,18,FALSE)</f>
        <v>408</v>
      </c>
      <c r="H183" s="136">
        <f>VLOOKUP($B$2,$B$257:$Y$286,19,FALSE)</f>
        <v>409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410</v>
      </c>
      <c r="F184" s="136">
        <f>VLOOKUP($B$2,$B$257:$Y$286,21,FALSE)</f>
        <v>411</v>
      </c>
      <c r="G184" s="136">
        <f>VLOOKUP($B$2,$B$257:$Y$286,22,FALSE)</f>
        <v>412</v>
      </c>
      <c r="H184" s="136">
        <f>VLOOKUP($B$2,$B$257:$Y$286,23,FALSE)</f>
        <v>413</v>
      </c>
      <c r="I184" s="136">
        <f>VLOOKUP($B$2,$B$257:$Y$286,24,FALSE)</f>
        <v>414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2</v>
      </c>
      <c r="B186" s="483" t="s">
        <v>205</v>
      </c>
      <c r="C186" s="490"/>
      <c r="D186" s="484">
        <f>VLOOKUP($D$6,'FS (2011)'!$A$13:$AH$244,'FS (2011)'!AC245,FALSE)/1000</f>
        <v>1.6890000000000001</v>
      </c>
      <c r="E186" s="495">
        <f t="shared" ref="E186:E191" si="16">D186/$D$192</f>
        <v>0.17876799322607959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Asset replacement and renewal</v>
      </c>
      <c r="V186" s="559">
        <f t="shared" ref="V186:V191" si="18">VLOOKUP(T186,$A$186:$D$191,4,FALSE)</f>
        <v>5.3289999999999997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4</v>
      </c>
      <c r="B187" s="162" t="s">
        <v>206</v>
      </c>
      <c r="C187" s="121"/>
      <c r="D187" s="456">
        <f>VLOOKUP($D$6,'FS (2011)'!$A$13:$AH$244,'FS (2011)'!AD245,FALSE)/1000</f>
        <v>0.93200000000000005</v>
      </c>
      <c r="E187" s="468">
        <f t="shared" si="16"/>
        <v>9.8645215918712961E-2</v>
      </c>
      <c r="Q187" s="559"/>
      <c r="R187" s="559"/>
      <c r="S187" s="559"/>
      <c r="T187" s="559">
        <v>2</v>
      </c>
      <c r="U187" s="559" t="str">
        <f t="shared" si="17"/>
        <v>System growth</v>
      </c>
      <c r="V187" s="559">
        <f t="shared" si="18"/>
        <v>1.6890000000000001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3</v>
      </c>
      <c r="B188" s="162" t="s">
        <v>209</v>
      </c>
      <c r="C188" s="121"/>
      <c r="D188" s="456">
        <f>VLOOKUP($D$6,'FS (2011)'!$A$13:$AH$244,'FS (2011)'!AB245,FALSE)/1000</f>
        <v>1.1619999999999999</v>
      </c>
      <c r="E188" s="468">
        <f t="shared" si="16"/>
        <v>0.12298899237933952</v>
      </c>
      <c r="Q188" s="559"/>
      <c r="R188" s="559"/>
      <c r="S188" s="559"/>
      <c r="T188" s="559">
        <v>3</v>
      </c>
      <c r="U188" s="559" t="str">
        <f t="shared" si="17"/>
        <v>Customer connection</v>
      </c>
      <c r="V188" s="559">
        <f t="shared" si="18"/>
        <v>1.1619999999999999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1</v>
      </c>
      <c r="B189" s="162" t="s">
        <v>208</v>
      </c>
      <c r="C189" s="121"/>
      <c r="D189" s="456">
        <f>VLOOKUP($D$6,'FS (2011)'!$A$13:$AH$244,'FS (2011)'!AE245,FALSE)/1000</f>
        <v>5.3289999999999997</v>
      </c>
      <c r="E189" s="468">
        <f t="shared" si="16"/>
        <v>0.56403471634208291</v>
      </c>
      <c r="Q189" s="559"/>
      <c r="R189" s="559"/>
      <c r="S189" s="559"/>
      <c r="T189" s="559">
        <v>4</v>
      </c>
      <c r="U189" s="559" t="str">
        <f t="shared" si="17"/>
        <v>Reliability, safety and environment</v>
      </c>
      <c r="V189" s="559">
        <f t="shared" si="18"/>
        <v>0.93200000000000005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5</v>
      </c>
      <c r="B190" s="162" t="s">
        <v>312</v>
      </c>
      <c r="C190" s="121"/>
      <c r="D190" s="456">
        <f>VLOOKUP($D$6,'FS (2011)'!$A$13:$AH$244,'FS (2011)'!AH245,FALSE)/1000</f>
        <v>0.33600000000000002</v>
      </c>
      <c r="E190" s="468">
        <f t="shared" si="16"/>
        <v>3.556308213378493E-2</v>
      </c>
      <c r="Q190" s="559"/>
      <c r="R190" s="559"/>
      <c r="S190" s="559"/>
      <c r="T190" s="559">
        <v>5</v>
      </c>
      <c r="U190" s="559" t="str">
        <f t="shared" si="17"/>
        <v>Non-network capex</v>
      </c>
      <c r="V190" s="559">
        <f t="shared" si="18"/>
        <v>0.33600000000000002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6</v>
      </c>
      <c r="B191" s="162" t="s">
        <v>207</v>
      </c>
      <c r="C191" s="121"/>
      <c r="D191" s="456">
        <f>VLOOKUP($D$6,'FS (2011)'!$A$13:$AH$244,'FS (2011)'!AF245,FALSE)/1000</f>
        <v>0</v>
      </c>
      <c r="E191" s="468">
        <f t="shared" si="16"/>
        <v>0</v>
      </c>
      <c r="Q191" s="559"/>
      <c r="R191" s="559"/>
      <c r="S191" s="559"/>
      <c r="T191" s="559">
        <v>6</v>
      </c>
      <c r="U191" s="559" t="str">
        <f t="shared" si="17"/>
        <v>Asset relocations</v>
      </c>
      <c r="V191" s="559">
        <f t="shared" si="18"/>
        <v>0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9.4480000000000004</v>
      </c>
      <c r="E192" s="496">
        <f>SUM(E186:E191)</f>
        <v>0.99999999999999989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7.9520561147386726</v>
      </c>
      <c r="D196" s="484">
        <f>VLOOKUP($D$38,'FS (2011)'!$A$13:$AH$244,'FS (2011)'!$AG$245,FALSE)/1000</f>
        <v>5.3897870821607503</v>
      </c>
      <c r="E196" s="484">
        <f>VLOOKUP($E$38,'FS (2011)'!$A$13:$AH$244,'FS (2011)'!$AG$245,FALSE)/1000</f>
        <v>6.547036188731103</v>
      </c>
      <c r="F196" s="486">
        <f>VLOOKUP($F$38,'FS (2011)'!$A$13:$AH$244,'FS (2011)'!$AG$245,FALSE)/1000</f>
        <v>9.1120000000000001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1.0780987140372386E-3</v>
      </c>
      <c r="D197" s="456">
        <f>VLOOKUP($D$38,'FS (2011)'!$A$13:$AH$244,'FS (2011)'!$AH$245,FALSE)/1000</f>
        <v>0.42769496876930457</v>
      </c>
      <c r="E197" s="456">
        <f>VLOOKUP($E$38,'FS (2011)'!$A$13:$AH$244,'FS (2011)'!$AH$245,FALSE)/1000</f>
        <v>0</v>
      </c>
      <c r="F197" s="457">
        <f>VLOOKUP($F$38,'FS (2011)'!$A$13:$AH$244,'FS (2011)'!$AH$245,FALSE)/1000</f>
        <v>0.33600000000000002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7.9531342134527101</v>
      </c>
      <c r="D198" s="488">
        <f>SUM(D196:D197)</f>
        <v>5.8174820509300549</v>
      </c>
      <c r="E198" s="488">
        <f>SUM(E196:E197)</f>
        <v>6.547036188731103</v>
      </c>
      <c r="F198" s="489">
        <f>SUM(F196:F197)</f>
        <v>9.4480000000000004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6.2154261118076981E-2</v>
      </c>
      <c r="D200" s="498">
        <f t="shared" ref="D200:F202" si="20">D196/C196 - 1</f>
        <v>-0.32221465688966977</v>
      </c>
      <c r="E200" s="498">
        <f t="shared" si="20"/>
        <v>0.2147114698464887</v>
      </c>
      <c r="F200" s="495">
        <f t="shared" si="20"/>
        <v>0.39177480272428711</v>
      </c>
      <c r="Q200" s="559"/>
      <c r="R200" s="559" t="s">
        <v>423</v>
      </c>
      <c r="S200" s="559">
        <f t="shared" ref="S200:V202" si="21">LN(C196)</f>
        <v>2.0734305260118031</v>
      </c>
      <c r="T200" s="559">
        <f t="shared" si="21"/>
        <v>1.684505881758616</v>
      </c>
      <c r="U200" s="559">
        <f t="shared" si="21"/>
        <v>1.8790124569724851</v>
      </c>
      <c r="V200" s="559">
        <f t="shared" si="21"/>
        <v>2.2095922261448808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 t="str">
        <f t="shared" si="19"/>
        <v/>
      </c>
      <c r="D201" s="467">
        <f>IFERROR(D197/C197 - 1,"")</f>
        <v>395.71225204200692</v>
      </c>
      <c r="E201" s="467">
        <f>IFERROR(E197/D197-1,"")</f>
        <v>-1</v>
      </c>
      <c r="F201" s="468" t="str">
        <f>IFERROR(F197/E197 - 1,"")</f>
        <v/>
      </c>
      <c r="Q201" s="559"/>
      <c r="R201" s="559" t="s">
        <v>423</v>
      </c>
      <c r="S201" s="559">
        <f t="shared" si="21"/>
        <v>-6.8325562392246262</v>
      </c>
      <c r="T201" s="559">
        <f t="shared" si="21"/>
        <v>-0.84934502727578332</v>
      </c>
      <c r="U201" s="559" t="e">
        <f t="shared" si="21"/>
        <v>#NUM!</v>
      </c>
      <c r="V201" s="559">
        <f t="shared" si="21"/>
        <v>-1.0906441190189327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6.5544129904956394E-2</v>
      </c>
      <c r="D202" s="500">
        <f t="shared" si="20"/>
        <v>-0.26852962683695236</v>
      </c>
      <c r="E202" s="500">
        <f t="shared" si="20"/>
        <v>0.12540720047162202</v>
      </c>
      <c r="F202" s="501">
        <f t="shared" si="20"/>
        <v>0.44309573487039788</v>
      </c>
      <c r="Q202" s="559"/>
      <c r="R202" s="559" t="s">
        <v>423</v>
      </c>
      <c r="S202" s="559">
        <f t="shared" si="21"/>
        <v>2.0735660916596759</v>
      </c>
      <c r="T202" s="559">
        <f t="shared" si="21"/>
        <v>1.7608675308315878</v>
      </c>
      <c r="U202" s="559">
        <f t="shared" si="21"/>
        <v>1.8790124569724851</v>
      </c>
      <c r="V202" s="559">
        <f t="shared" si="21"/>
        <v>2.2458030788950611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OtagoNet Joint Venture</v>
      </c>
      <c r="C206" s="456">
        <f>(C198/C102)*1000000</f>
        <v>539.30522909423678</v>
      </c>
      <c r="D206" s="456">
        <f>(D198/D102)*1000000</f>
        <v>394.11164900278129</v>
      </c>
      <c r="E206" s="456">
        <f>(E198/E102)*1000000</f>
        <v>443.32585243303782</v>
      </c>
      <c r="F206" s="457">
        <f>(F198/F102)*1000000</f>
        <v>638.3352476184042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OtagoNet Joint Venture</v>
      </c>
      <c r="C209" s="456">
        <f>(C198/C117)*1000000000</f>
        <v>22107.070263110556</v>
      </c>
      <c r="D209" s="456">
        <f>(D198/D117)*1000000000</f>
        <v>15145.338989854959</v>
      </c>
      <c r="E209" s="456">
        <f>(E198/E117)*1000000000</f>
        <v>17025.320085966345</v>
      </c>
      <c r="F209" s="457">
        <f>(F198/F117)*1000000000</f>
        <v>24809.148769588846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OtagoNet Joint Venture</v>
      </c>
      <c r="C212" s="456">
        <f>(C198/VLOOKUP(C$38,'AV (2011)'!$A$11:$F$213,'AV (2011)'!$F$214,FALSE)*1000)</f>
        <v>6.8941476844747565E-2</v>
      </c>
      <c r="D212" s="456">
        <f>(D198/VLOOKUP(D$38,'AV (2011)'!$A$11:$F$213,'AV (2011)'!$F$214,FALSE)*1000)</f>
        <v>4.9895565660703564E-2</v>
      </c>
      <c r="E212" s="456">
        <f>(E198/VLOOKUP(E$38,'AV (2011)'!$A$11:$F$213,'AV (2011)'!$F$214,FALSE)*1000)</f>
        <v>5.3386769950875206E-2</v>
      </c>
      <c r="F212" s="457">
        <f>(F198/VLOOKUP(F$38,'AV (2011)'!$A$11:$F$213,'AV (2011)'!$F$214,FALSE)*1000)</f>
        <v>7.3389045209143244E-2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6.4325915555847546E-2</v>
      </c>
      <c r="D215" s="464">
        <f>D206/C206 - 1</f>
        <v>-0.26922338642128152</v>
      </c>
      <c r="E215" s="464">
        <f>E206/D206 - 1</f>
        <v>0.12487375989718386</v>
      </c>
      <c r="F215" s="465">
        <f>F206/E206 - 1</f>
        <v>0.43987823880589416</v>
      </c>
      <c r="K215" s="139"/>
      <c r="P215" s="139"/>
      <c r="Q215" s="559"/>
      <c r="R215" s="559" t="s">
        <v>423</v>
      </c>
      <c r="S215" s="559">
        <f>LN(C206)</f>
        <v>6.2902816983730094</v>
      </c>
      <c r="T215" s="559">
        <f>LN(D206)</f>
        <v>5.9766342422588652</v>
      </c>
      <c r="U215" s="559">
        <f>LN(E206)</f>
        <v>6.0943050581941254</v>
      </c>
      <c r="V215" s="559">
        <f>LN(F206)</f>
        <v>6.4588636118221467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4.738374679354429E-2</v>
      </c>
      <c r="D216" s="467">
        <f>D209/C209 - 1</f>
        <v>-0.31490971849275029</v>
      </c>
      <c r="E216" s="467">
        <f>E209/D209 - 1</f>
        <v>0.12412935077720499</v>
      </c>
      <c r="F216" s="468">
        <f>F209/E209 - 1</f>
        <v>0.4571913270540251</v>
      </c>
      <c r="Q216" s="559"/>
      <c r="R216" s="559" t="s">
        <v>423</v>
      </c>
      <c r="S216" s="559">
        <f>LN(C209)</f>
        <v>10.00365275774962</v>
      </c>
      <c r="T216" s="559">
        <f>LN(D209)</f>
        <v>9.6254481061659405</v>
      </c>
      <c r="U216" s="559">
        <f>LN(E209)</f>
        <v>9.7424569317787952</v>
      </c>
      <c r="V216" s="559">
        <f>LN(F209)</f>
        <v>10.11896776612501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2.5846464495504984E-2</v>
      </c>
      <c r="D217" s="470">
        <f>D212/C212 - 1</f>
        <v>-0.27626201317001597</v>
      </c>
      <c r="E217" s="470">
        <f>E212/D212 - 1</f>
        <v>6.9970231701796726E-2</v>
      </c>
      <c r="F217" s="471">
        <f>F212/E212 - 1</f>
        <v>0.37466726825154417</v>
      </c>
      <c r="Q217" s="559"/>
      <c r="R217" s="559" t="s">
        <v>423</v>
      </c>
      <c r="S217" s="559">
        <f>LN(C212)</f>
        <v>-2.6744972959478246</v>
      </c>
      <c r="T217" s="559">
        <f>LN(D212)</f>
        <v>-2.9978231446883075</v>
      </c>
      <c r="U217" s="559">
        <f>LN(E212)</f>
        <v>-2.9301923174409419</v>
      </c>
      <c r="V217" s="559">
        <f>LN(F212)</f>
        <v>-2.6119806023320691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OtagoNet Joint Venture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6547.0361887311028</v>
      </c>
      <c r="X220" s="563">
        <f>D222</f>
        <v>9112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OtagoNet Joint Venture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7143.054889385895</v>
      </c>
      <c r="X221" s="563">
        <f t="shared" si="23"/>
        <v>7964.2362102880534</v>
      </c>
      <c r="Y221" s="563">
        <f t="shared" si="23"/>
        <v>8268.8679906227244</v>
      </c>
      <c r="Z221" s="563">
        <f t="shared" si="23"/>
        <v>8480.7857508555408</v>
      </c>
      <c r="AA221" s="563">
        <f t="shared" si="23"/>
        <v>8566.367923257254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6547.0361887311028</v>
      </c>
      <c r="D222" s="461">
        <f>VLOOKUP(D226,'FS (2011)'!$A$14:$AJ$245,'FS (2011)'!$AG$245,FALSE)</f>
        <v>9112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10498</v>
      </c>
      <c r="Y222" s="563">
        <f t="shared" si="23"/>
        <v>10440</v>
      </c>
      <c r="Z222" s="563">
        <f t="shared" si="23"/>
        <v>10807</v>
      </c>
      <c r="AA222" s="563">
        <f t="shared" si="23"/>
        <v>10593</v>
      </c>
      <c r="AB222" s="563">
        <f>H224</f>
        <v>10271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7143.054889385895</v>
      </c>
      <c r="D223" s="461">
        <f>VLOOKUP(D227,'AM (2011)'!$A$10:$N$444,'AM (2011)'!$J$445,FALSE)</f>
        <v>7964.2362102880534</v>
      </c>
      <c r="E223" s="461">
        <f>VLOOKUP(E226,'AM (2011)'!$A$10:$N$444,'AM (2011)'!$J$445,FALSE)</f>
        <v>8268.8679906227244</v>
      </c>
      <c r="F223" s="461">
        <f>VLOOKUP(F226,'AM (2011)'!$A$10:$N$444,'AM (2011)'!$J$445,FALSE)</f>
        <v>8480.7857508555408</v>
      </c>
      <c r="G223" s="461">
        <f>VLOOKUP(G226,'AM (2011)'!$A$10:$N$444,'AM (2011)'!$J$445,FALSE)</f>
        <v>8566.367923257254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11660.242275371687</v>
      </c>
      <c r="Z223" s="563">
        <f>F225</f>
        <v>9051.9144149967669</v>
      </c>
      <c r="AA223" s="563">
        <f>G225</f>
        <v>10246.583322559793</v>
      </c>
      <c r="AB223" s="563">
        <f>H225</f>
        <v>9494.7826761473825</v>
      </c>
      <c r="AC223" s="563">
        <f>I225</f>
        <v>9113.5053652230126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10498</v>
      </c>
      <c r="E224" s="461">
        <f>VLOOKUP(E227,'AM (2011)'!$A$10:$N$444,'AM (2011)'!$J$445,FALSE)</f>
        <v>10440</v>
      </c>
      <c r="F224" s="461">
        <f>VLOOKUP(F227,'AM (2011)'!$A$10:$N$444,'AM (2011)'!$J$445,FALSE)</f>
        <v>10807</v>
      </c>
      <c r="G224" s="461">
        <f>VLOOKUP(G227,'AM (2011)'!$A$10:$N$444,'AM (2011)'!$J$445,FALSE)</f>
        <v>10593</v>
      </c>
      <c r="H224" s="461">
        <f>VLOOKUP(H227,'AM (2011)'!$A$10:$N$444,'AM (2011)'!$J$445,FALSE)</f>
        <v>10271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11660.242275371687</v>
      </c>
      <c r="F225" s="493">
        <f>VLOOKUP(F228,'AM (2011)'!$A$10:$N$444,'AM (2011)'!$J$445,FALSE)</f>
        <v>9051.9144149967669</v>
      </c>
      <c r="G225" s="493">
        <f>VLOOKUP(G228,'AM (2011)'!$A$10:$N$444,'AM (2011)'!$J$445,FALSE)</f>
        <v>10246.583322559793</v>
      </c>
      <c r="H225" s="493">
        <f>VLOOKUP(H228,'AM (2011)'!$A$10:$N$444,'AM (2011)'!$J$445,FALSE)</f>
        <v>9494.7826761473825</v>
      </c>
      <c r="I225" s="494">
        <f>VLOOKUP(I228,'AM (2011)'!$A$10:$N$444,'AM (2011)'!$J$445,FALSE)</f>
        <v>9113.5053652230126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398</v>
      </c>
      <c r="D226" s="136">
        <f>VLOOKUP($B$2,$B$257:$Y$286,9,FALSE)</f>
        <v>399</v>
      </c>
      <c r="E226" s="136">
        <f>VLOOKUP($B$2,$B$257:$Y$286,12,FALSE)</f>
        <v>402</v>
      </c>
      <c r="F226" s="136">
        <f>VLOOKUP($B$2,$B$257:$Y$286,13,FALSE)</f>
        <v>403</v>
      </c>
      <c r="G226" s="136">
        <f>VLOOKUP($B$2,$B$257:$Y$286,14,FALSE)</f>
        <v>404</v>
      </c>
      <c r="H226" s="136"/>
      <c r="I226" s="136"/>
    </row>
    <row r="227" spans="2:30">
      <c r="C227" s="136">
        <f>VLOOKUP($B$2,$B$257:$Y$286,10,FALSE)</f>
        <v>400</v>
      </c>
      <c r="D227" s="136">
        <f>VLOOKUP($B$2,$B$257:$Y$286,11,FALSE)</f>
        <v>401</v>
      </c>
      <c r="E227" s="136">
        <f>VLOOKUP($B$2,$B$257:$Y$286,16,FALSE)</f>
        <v>406</v>
      </c>
      <c r="F227" s="136">
        <f>VLOOKUP($B$2,$B$257:$Y$286,17,FALSE)</f>
        <v>407</v>
      </c>
      <c r="G227" s="136">
        <f>VLOOKUP($B$2,$B$257:$Y$286,18,FALSE)</f>
        <v>408</v>
      </c>
      <c r="H227" s="136">
        <f>VLOOKUP($B$2,$B$257:$Y$286,19,FALSE)</f>
        <v>409</v>
      </c>
      <c r="I227" s="136"/>
    </row>
    <row r="228" spans="2:30">
      <c r="B228" s="517" t="s">
        <v>291</v>
      </c>
      <c r="C228" s="518"/>
      <c r="D228" s="518">
        <f>VLOOKUP($B$2,$B$257:$Y$286,15,FALSE)</f>
        <v>405</v>
      </c>
      <c r="E228" s="518">
        <f>VLOOKUP($B$2,$B$257:$Y$286,20,FALSE)</f>
        <v>410</v>
      </c>
      <c r="F228" s="519">
        <f>VLOOKUP($B$2,$B$257:$Y$286,21,FALSE)</f>
        <v>411</v>
      </c>
      <c r="G228" s="136">
        <f>VLOOKUP($B$2,$B$257:$Y$286,22,FALSE)</f>
        <v>412</v>
      </c>
      <c r="H228" s="136">
        <f>VLOOKUP($B$2,$B$257:$Y$286,23,FALSE)</f>
        <v>413</v>
      </c>
      <c r="I228" s="136">
        <f>VLOOKUP($B$2,$B$257:$Y$286,24,FALSE)</f>
        <v>414</v>
      </c>
    </row>
    <row r="229" spans="2:30">
      <c r="B229" s="474" t="str">
        <f>$B$2</f>
        <v>OtagoNet Joint Venture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502.51</v>
      </c>
      <c r="D230" s="456">
        <f>VLOOKUP(D$38,'MP (2011)'!$A$11:$AR$245,'MP (2011)'!$S$246,FALSE)+VLOOKUP(D$38,'MP (2011)'!$A$11:$AR$245,'MP (2011)'!$T$246,FALSE)</f>
        <v>270.20000000000005</v>
      </c>
      <c r="E230" s="456">
        <f>VLOOKUP(E$38,'MP (2011)'!$A$11:$AR$245,'MP (2011)'!$S$246,FALSE)+VLOOKUP(E$38,'MP (2011)'!$A$11:$AR$245,'MP (2011)'!$T$246,FALSE)</f>
        <v>332.63800000000003</v>
      </c>
      <c r="F230" s="457">
        <f>VLOOKUP(F$38,'MP (2011)'!$A$11:$AR$245,'MP (2011)'!$S$246,FALSE)+VLOOKUP(F$38,'MP (2011)'!$A$11:$AR$245,'MP (2011)'!$T$246,FALSE)</f>
        <v>247.08</v>
      </c>
    </row>
    <row r="231" spans="2:30">
      <c r="B231" s="199" t="s">
        <v>292</v>
      </c>
      <c r="C231" s="456">
        <f>IF(ISERROR(VLOOKUP(C$38,'Compliance data'!$A$7:$E$74,'Compliance data'!$D$75,FALSE)),"",(VLOOKUP(C$38,'Compliance data'!$A$7:$E$74,'Compliance data'!$D$75,FALSE)))</f>
        <v>249.3</v>
      </c>
      <c r="D231" s="456">
        <f>IF(ISERROR(VLOOKUP(D$38,'Compliance data'!$A$7:$E$74,'Compliance data'!$D$75,FALSE)),"",(VLOOKUP(D$38,'Compliance data'!$A$7:$E$74,'Compliance data'!$D$75,FALSE)))</f>
        <v>249.3</v>
      </c>
      <c r="E231" s="456">
        <f>IF(ISERROR(VLOOKUP(E$38,'Compliance data'!$A$7:$E$74,'Compliance data'!$D$75,FALSE)),"",(VLOOKUP(E$38,'Compliance data'!$A$7:$E$74,'Compliance data'!$D$75,FALSE)))</f>
        <v>249.3</v>
      </c>
      <c r="F231" s="457">
        <f>IF(ISERROR(VLOOKUP(F$38,'Compliance data'!$A$7:$E$74,'Compliance data'!$D$75,FALSE)),"",(VLOOKUP(F$38,'Compliance data'!$A$7:$E$74,'Compliance data'!$D$75,FALSE)))</f>
        <v>361.0754</v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3.1</v>
      </c>
      <c r="D237" s="456">
        <f>VLOOKUP(D$38,'MP (2011)'!$A$11:$AR$245,'MP (2011)'!$W$246,FALSE)+VLOOKUP(D$38,'MP (2011)'!$A$11:$AR$245,'MP (2011)'!$X$246,FALSE)</f>
        <v>2.8</v>
      </c>
      <c r="E237" s="456">
        <f>VLOOKUP(E$38,'MP (2011)'!$A$11:$AR$245,'MP (2011)'!$W$246,FALSE)+VLOOKUP(E$38,'MP (2011)'!$A$11:$AR$245,'MP (2011)'!$X$246,FALSE)</f>
        <v>3.2590999999999997</v>
      </c>
      <c r="F237" s="457">
        <f>VLOOKUP(F$38,'MP (2011)'!$A$11:$AR$245,'MP (2011)'!$W$246,FALSE)+VLOOKUP(F$38,'MP (2011)'!$A$11:$AR$245,'MP (2011)'!$X$246,FALSE)</f>
        <v>2.25</v>
      </c>
    </row>
    <row r="238" spans="2:30">
      <c r="B238" s="199" t="s">
        <v>292</v>
      </c>
      <c r="C238" s="456">
        <f>IF(ISERROR(VLOOKUP(C$38,'Compliance data'!$A$7:$E$74,'Compliance data'!$E$75,FALSE)),"",(VLOOKUP(C$38,'Compliance data'!$A$7:$E$74,'Compliance data'!$E$75,FALSE)))</f>
        <v>2.38</v>
      </c>
      <c r="D238" s="456">
        <f>IF(ISERROR(VLOOKUP(D$38,'Compliance data'!$A$7:$E$74,'Compliance data'!$E$75,FALSE)),"",(VLOOKUP(D$38,'Compliance data'!$A$7:$E$74,'Compliance data'!$E$75,FALSE)))</f>
        <v>2.38</v>
      </c>
      <c r="E238" s="456">
        <f>IF(ISERROR(VLOOKUP(E$38,'Compliance data'!$A$7:$E$74,'Compliance data'!$E$75,FALSE)),"",(VLOOKUP(E$38,'Compliance data'!$A$7:$E$74,'Compliance data'!$E$75,FALSE)))</f>
        <v>2.38</v>
      </c>
      <c r="F238" s="457">
        <f>IF(ISERROR(VLOOKUP(F$38,'Compliance data'!$A$7:$E$74,'Compliance data'!$E$75,FALSE)),"",(VLOOKUP(F$38,'Compliance data'!$A$7:$E$74,'Compliance data'!$E$75,FALSE)))</f>
        <v>3.1139000000000001</v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ref="T258:Y273" si="25">S258+1</f>
        <v>18</v>
      </c>
      <c r="U258" s="526">
        <f t="shared" si="25"/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4"/>
        <v>25</v>
      </c>
      <c r="E259" s="526">
        <f t="shared" si="24"/>
        <v>26</v>
      </c>
      <c r="F259" s="526">
        <f t="shared" si="24"/>
        <v>27</v>
      </c>
      <c r="G259" s="526">
        <f t="shared" si="24"/>
        <v>28</v>
      </c>
      <c r="H259" s="526">
        <f t="shared" si="24"/>
        <v>29</v>
      </c>
      <c r="I259" s="526">
        <f t="shared" si="24"/>
        <v>30</v>
      </c>
      <c r="J259" s="526">
        <f t="shared" si="24"/>
        <v>31</v>
      </c>
      <c r="K259" s="526">
        <f t="shared" si="24"/>
        <v>32</v>
      </c>
      <c r="L259" s="526">
        <f t="shared" si="24"/>
        <v>33</v>
      </c>
      <c r="M259" s="526">
        <f t="shared" si="24"/>
        <v>34</v>
      </c>
      <c r="N259" s="526">
        <f t="shared" si="24"/>
        <v>35</v>
      </c>
      <c r="O259" s="526">
        <f t="shared" si="24"/>
        <v>36</v>
      </c>
      <c r="P259" s="526">
        <f t="shared" si="24"/>
        <v>37</v>
      </c>
      <c r="Q259" s="526">
        <f t="shared" si="24"/>
        <v>38</v>
      </c>
      <c r="R259" s="526">
        <f t="shared" si="24"/>
        <v>39</v>
      </c>
      <c r="S259" s="526">
        <f t="shared" si="24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6">Y259+1</f>
        <v>47</v>
      </c>
      <c r="D260" s="526">
        <f t="shared" si="24"/>
        <v>48</v>
      </c>
      <c r="E260" s="526">
        <f t="shared" si="24"/>
        <v>49</v>
      </c>
      <c r="F260" s="526">
        <f t="shared" si="24"/>
        <v>50</v>
      </c>
      <c r="G260" s="526">
        <f t="shared" si="24"/>
        <v>51</v>
      </c>
      <c r="H260" s="526">
        <f t="shared" si="24"/>
        <v>52</v>
      </c>
      <c r="I260" s="526">
        <f t="shared" si="24"/>
        <v>53</v>
      </c>
      <c r="J260" s="526">
        <f t="shared" si="24"/>
        <v>54</v>
      </c>
      <c r="K260" s="526">
        <f t="shared" si="24"/>
        <v>55</v>
      </c>
      <c r="L260" s="526">
        <f t="shared" si="24"/>
        <v>56</v>
      </c>
      <c r="M260" s="526">
        <f t="shared" si="24"/>
        <v>57</v>
      </c>
      <c r="N260" s="526">
        <f t="shared" si="24"/>
        <v>58</v>
      </c>
      <c r="O260" s="526">
        <f t="shared" si="24"/>
        <v>59</v>
      </c>
      <c r="P260" s="526">
        <f t="shared" si="24"/>
        <v>60</v>
      </c>
      <c r="Q260" s="526">
        <f t="shared" si="24"/>
        <v>61</v>
      </c>
      <c r="R260" s="526">
        <f t="shared" si="24"/>
        <v>62</v>
      </c>
      <c r="S260" s="526">
        <f t="shared" si="24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6"/>
        <v>70</v>
      </c>
      <c r="D261" s="526">
        <f t="shared" si="24"/>
        <v>71</v>
      </c>
      <c r="E261" s="526">
        <f t="shared" si="24"/>
        <v>72</v>
      </c>
      <c r="F261" s="526">
        <f t="shared" si="24"/>
        <v>73</v>
      </c>
      <c r="G261" s="526">
        <f t="shared" si="24"/>
        <v>74</v>
      </c>
      <c r="H261" s="526">
        <f t="shared" si="24"/>
        <v>75</v>
      </c>
      <c r="I261" s="526">
        <f t="shared" si="24"/>
        <v>76</v>
      </c>
      <c r="J261" s="526">
        <f t="shared" si="24"/>
        <v>77</v>
      </c>
      <c r="K261" s="526">
        <f t="shared" si="24"/>
        <v>78</v>
      </c>
      <c r="L261" s="526">
        <f t="shared" si="24"/>
        <v>79</v>
      </c>
      <c r="M261" s="526">
        <f t="shared" si="24"/>
        <v>80</v>
      </c>
      <c r="N261" s="526">
        <f t="shared" si="24"/>
        <v>81</v>
      </c>
      <c r="O261" s="526">
        <f t="shared" si="24"/>
        <v>82</v>
      </c>
      <c r="P261" s="526">
        <f t="shared" si="24"/>
        <v>83</v>
      </c>
      <c r="Q261" s="526">
        <f t="shared" si="24"/>
        <v>84</v>
      </c>
      <c r="R261" s="526">
        <f t="shared" si="24"/>
        <v>85</v>
      </c>
      <c r="S261" s="526">
        <f t="shared" si="24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6"/>
        <v>93</v>
      </c>
      <c r="D262" s="526">
        <f t="shared" si="24"/>
        <v>94</v>
      </c>
      <c r="E262" s="526">
        <f t="shared" si="24"/>
        <v>95</v>
      </c>
      <c r="F262" s="526">
        <f t="shared" si="24"/>
        <v>96</v>
      </c>
      <c r="G262" s="526">
        <f t="shared" si="24"/>
        <v>97</v>
      </c>
      <c r="H262" s="526">
        <f t="shared" si="24"/>
        <v>98</v>
      </c>
      <c r="I262" s="526">
        <f t="shared" si="24"/>
        <v>99</v>
      </c>
      <c r="J262" s="526">
        <f t="shared" si="24"/>
        <v>100</v>
      </c>
      <c r="K262" s="526">
        <f t="shared" si="24"/>
        <v>101</v>
      </c>
      <c r="L262" s="526">
        <f t="shared" si="24"/>
        <v>102</v>
      </c>
      <c r="M262" s="526">
        <f t="shared" si="24"/>
        <v>103</v>
      </c>
      <c r="N262" s="526">
        <f t="shared" si="24"/>
        <v>104</v>
      </c>
      <c r="O262" s="526">
        <f t="shared" si="24"/>
        <v>105</v>
      </c>
      <c r="P262" s="526">
        <f t="shared" si="24"/>
        <v>106</v>
      </c>
      <c r="Q262" s="526">
        <f t="shared" si="24"/>
        <v>107</v>
      </c>
      <c r="R262" s="526">
        <f t="shared" si="24"/>
        <v>108</v>
      </c>
      <c r="S262" s="526">
        <f t="shared" si="24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6"/>
        <v>116</v>
      </c>
      <c r="D263" s="526">
        <f t="shared" si="24"/>
        <v>117</v>
      </c>
      <c r="E263" s="526">
        <f t="shared" si="24"/>
        <v>118</v>
      </c>
      <c r="F263" s="526">
        <f t="shared" si="24"/>
        <v>119</v>
      </c>
      <c r="G263" s="526">
        <f t="shared" si="24"/>
        <v>120</v>
      </c>
      <c r="H263" s="526">
        <f t="shared" si="24"/>
        <v>121</v>
      </c>
      <c r="I263" s="526">
        <f t="shared" si="24"/>
        <v>122</v>
      </c>
      <c r="J263" s="526">
        <f t="shared" si="24"/>
        <v>123</v>
      </c>
      <c r="K263" s="526">
        <f t="shared" si="24"/>
        <v>124</v>
      </c>
      <c r="L263" s="526">
        <f t="shared" si="24"/>
        <v>125</v>
      </c>
      <c r="M263" s="526">
        <f t="shared" si="24"/>
        <v>126</v>
      </c>
      <c r="N263" s="526">
        <f t="shared" si="24"/>
        <v>127</v>
      </c>
      <c r="O263" s="526">
        <f t="shared" si="24"/>
        <v>128</v>
      </c>
      <c r="P263" s="526">
        <f t="shared" si="24"/>
        <v>129</v>
      </c>
      <c r="Q263" s="526">
        <f t="shared" si="24"/>
        <v>130</v>
      </c>
      <c r="R263" s="526">
        <f t="shared" si="24"/>
        <v>131</v>
      </c>
      <c r="S263" s="526">
        <f t="shared" si="24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6"/>
        <v>139</v>
      </c>
      <c r="D264" s="526">
        <f t="shared" si="24"/>
        <v>140</v>
      </c>
      <c r="E264" s="526">
        <f t="shared" si="24"/>
        <v>141</v>
      </c>
      <c r="F264" s="526">
        <f t="shared" si="24"/>
        <v>142</v>
      </c>
      <c r="G264" s="526">
        <f t="shared" si="24"/>
        <v>143</v>
      </c>
      <c r="H264" s="526">
        <f t="shared" si="24"/>
        <v>144</v>
      </c>
      <c r="I264" s="526">
        <f t="shared" si="24"/>
        <v>145</v>
      </c>
      <c r="J264" s="526">
        <f t="shared" si="24"/>
        <v>146</v>
      </c>
      <c r="K264" s="526">
        <f t="shared" si="24"/>
        <v>147</v>
      </c>
      <c r="L264" s="526">
        <f t="shared" si="24"/>
        <v>148</v>
      </c>
      <c r="M264" s="526">
        <f t="shared" si="24"/>
        <v>149</v>
      </c>
      <c r="N264" s="526">
        <f t="shared" si="24"/>
        <v>150</v>
      </c>
      <c r="O264" s="526">
        <f t="shared" si="24"/>
        <v>151</v>
      </c>
      <c r="P264" s="526">
        <f t="shared" si="24"/>
        <v>152</v>
      </c>
      <c r="Q264" s="526">
        <f t="shared" si="24"/>
        <v>153</v>
      </c>
      <c r="R264" s="526">
        <f t="shared" si="24"/>
        <v>154</v>
      </c>
      <c r="S264" s="526">
        <f t="shared" si="24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6"/>
        <v>162</v>
      </c>
      <c r="D265" s="526">
        <f t="shared" si="24"/>
        <v>163</v>
      </c>
      <c r="E265" s="526">
        <f t="shared" si="24"/>
        <v>164</v>
      </c>
      <c r="F265" s="526">
        <f t="shared" si="24"/>
        <v>165</v>
      </c>
      <c r="G265" s="526">
        <f t="shared" si="24"/>
        <v>166</v>
      </c>
      <c r="H265" s="526">
        <f t="shared" si="24"/>
        <v>167</v>
      </c>
      <c r="I265" s="526">
        <f t="shared" si="24"/>
        <v>168</v>
      </c>
      <c r="J265" s="526">
        <f t="shared" si="24"/>
        <v>169</v>
      </c>
      <c r="K265" s="526">
        <f t="shared" si="24"/>
        <v>170</v>
      </c>
      <c r="L265" s="526">
        <f t="shared" si="24"/>
        <v>171</v>
      </c>
      <c r="M265" s="526">
        <f t="shared" si="24"/>
        <v>172</v>
      </c>
      <c r="N265" s="526">
        <f t="shared" si="24"/>
        <v>173</v>
      </c>
      <c r="O265" s="526">
        <f t="shared" si="24"/>
        <v>174</v>
      </c>
      <c r="P265" s="526">
        <f t="shared" si="24"/>
        <v>175</v>
      </c>
      <c r="Q265" s="526">
        <f t="shared" si="24"/>
        <v>176</v>
      </c>
      <c r="R265" s="526">
        <f t="shared" si="24"/>
        <v>177</v>
      </c>
      <c r="S265" s="526">
        <f t="shared" si="24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6"/>
        <v>185</v>
      </c>
      <c r="D266" s="526">
        <f t="shared" si="24"/>
        <v>186</v>
      </c>
      <c r="E266" s="526">
        <f t="shared" si="24"/>
        <v>187</v>
      </c>
      <c r="F266" s="526">
        <f t="shared" si="24"/>
        <v>188</v>
      </c>
      <c r="G266" s="526">
        <f t="shared" si="24"/>
        <v>189</v>
      </c>
      <c r="H266" s="526">
        <f t="shared" si="24"/>
        <v>190</v>
      </c>
      <c r="I266" s="526">
        <f t="shared" si="24"/>
        <v>191</v>
      </c>
      <c r="J266" s="526">
        <f t="shared" si="24"/>
        <v>192</v>
      </c>
      <c r="K266" s="526">
        <f t="shared" si="24"/>
        <v>193</v>
      </c>
      <c r="L266" s="526">
        <f t="shared" si="24"/>
        <v>194</v>
      </c>
      <c r="M266" s="526">
        <f t="shared" si="24"/>
        <v>195</v>
      </c>
      <c r="N266" s="526">
        <f t="shared" si="24"/>
        <v>196</v>
      </c>
      <c r="O266" s="526">
        <f t="shared" si="24"/>
        <v>197</v>
      </c>
      <c r="P266" s="526">
        <f t="shared" si="24"/>
        <v>198</v>
      </c>
      <c r="Q266" s="526">
        <f t="shared" si="24"/>
        <v>199</v>
      </c>
      <c r="R266" s="526">
        <f t="shared" si="24"/>
        <v>200</v>
      </c>
      <c r="S266" s="526">
        <f t="shared" si="24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6"/>
        <v>208</v>
      </c>
      <c r="D267" s="526">
        <f t="shared" si="24"/>
        <v>209</v>
      </c>
      <c r="E267" s="526">
        <f t="shared" si="24"/>
        <v>210</v>
      </c>
      <c r="F267" s="526">
        <f t="shared" si="24"/>
        <v>211</v>
      </c>
      <c r="G267" s="526">
        <f t="shared" si="24"/>
        <v>212</v>
      </c>
      <c r="H267" s="526">
        <f t="shared" si="24"/>
        <v>213</v>
      </c>
      <c r="I267" s="526">
        <f t="shared" si="24"/>
        <v>214</v>
      </c>
      <c r="J267" s="526">
        <f t="shared" si="24"/>
        <v>215</v>
      </c>
      <c r="K267" s="526">
        <f t="shared" si="24"/>
        <v>216</v>
      </c>
      <c r="L267" s="526">
        <f t="shared" si="24"/>
        <v>217</v>
      </c>
      <c r="M267" s="526">
        <f t="shared" si="24"/>
        <v>218</v>
      </c>
      <c r="N267" s="526">
        <f t="shared" si="24"/>
        <v>219</v>
      </c>
      <c r="O267" s="526">
        <f t="shared" si="24"/>
        <v>220</v>
      </c>
      <c r="P267" s="526">
        <f t="shared" si="24"/>
        <v>221</v>
      </c>
      <c r="Q267" s="526">
        <f t="shared" si="24"/>
        <v>222</v>
      </c>
      <c r="R267" s="526">
        <f t="shared" si="24"/>
        <v>223</v>
      </c>
      <c r="S267" s="526">
        <f t="shared" si="24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6"/>
        <v>231</v>
      </c>
      <c r="D268" s="526">
        <f t="shared" si="24"/>
        <v>232</v>
      </c>
      <c r="E268" s="526">
        <f t="shared" si="24"/>
        <v>233</v>
      </c>
      <c r="F268" s="526">
        <f t="shared" si="24"/>
        <v>234</v>
      </c>
      <c r="G268" s="526">
        <f t="shared" si="24"/>
        <v>235</v>
      </c>
      <c r="H268" s="526">
        <f t="shared" si="24"/>
        <v>236</v>
      </c>
      <c r="I268" s="526">
        <f t="shared" si="24"/>
        <v>237</v>
      </c>
      <c r="J268" s="526">
        <f t="shared" si="24"/>
        <v>238</v>
      </c>
      <c r="K268" s="526">
        <f t="shared" si="24"/>
        <v>239</v>
      </c>
      <c r="L268" s="526">
        <f t="shared" si="24"/>
        <v>240</v>
      </c>
      <c r="M268" s="526">
        <f t="shared" si="24"/>
        <v>241</v>
      </c>
      <c r="N268" s="526">
        <f t="shared" si="24"/>
        <v>242</v>
      </c>
      <c r="O268" s="526">
        <f t="shared" si="24"/>
        <v>243</v>
      </c>
      <c r="P268" s="526">
        <f t="shared" si="24"/>
        <v>244</v>
      </c>
      <c r="Q268" s="526">
        <f t="shared" si="24"/>
        <v>245</v>
      </c>
      <c r="R268" s="526">
        <f t="shared" si="24"/>
        <v>246</v>
      </c>
      <c r="S268" s="526">
        <f t="shared" si="24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6"/>
        <v>254</v>
      </c>
      <c r="D269" s="526">
        <f t="shared" si="24"/>
        <v>255</v>
      </c>
      <c r="E269" s="526">
        <f t="shared" si="24"/>
        <v>256</v>
      </c>
      <c r="F269" s="526">
        <f t="shared" si="24"/>
        <v>257</v>
      </c>
      <c r="G269" s="526">
        <f t="shared" si="24"/>
        <v>258</v>
      </c>
      <c r="H269" s="526">
        <f t="shared" si="24"/>
        <v>259</v>
      </c>
      <c r="I269" s="526">
        <f t="shared" si="24"/>
        <v>260</v>
      </c>
      <c r="J269" s="526">
        <f t="shared" si="24"/>
        <v>261</v>
      </c>
      <c r="K269" s="526">
        <f t="shared" si="24"/>
        <v>262</v>
      </c>
      <c r="L269" s="526">
        <f t="shared" si="24"/>
        <v>263</v>
      </c>
      <c r="M269" s="526">
        <f t="shared" si="24"/>
        <v>264</v>
      </c>
      <c r="N269" s="526">
        <f t="shared" si="24"/>
        <v>265</v>
      </c>
      <c r="O269" s="526">
        <f t="shared" si="24"/>
        <v>266</v>
      </c>
      <c r="P269" s="526">
        <f t="shared" si="24"/>
        <v>267</v>
      </c>
      <c r="Q269" s="526">
        <f t="shared" si="24"/>
        <v>268</v>
      </c>
      <c r="R269" s="526">
        <f t="shared" si="24"/>
        <v>269</v>
      </c>
      <c r="S269" s="526">
        <f t="shared" si="24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6"/>
        <v>277</v>
      </c>
      <c r="D270" s="526">
        <f t="shared" si="24"/>
        <v>278</v>
      </c>
      <c r="E270" s="526">
        <f t="shared" si="24"/>
        <v>279</v>
      </c>
      <c r="F270" s="526">
        <f t="shared" si="24"/>
        <v>280</v>
      </c>
      <c r="G270" s="526">
        <f t="shared" si="24"/>
        <v>281</v>
      </c>
      <c r="H270" s="526">
        <f t="shared" si="24"/>
        <v>282</v>
      </c>
      <c r="I270" s="526">
        <f t="shared" si="24"/>
        <v>283</v>
      </c>
      <c r="J270" s="526">
        <f t="shared" si="24"/>
        <v>284</v>
      </c>
      <c r="K270" s="526">
        <f t="shared" si="24"/>
        <v>285</v>
      </c>
      <c r="L270" s="526">
        <f t="shared" si="24"/>
        <v>286</v>
      </c>
      <c r="M270" s="526">
        <f t="shared" si="24"/>
        <v>287</v>
      </c>
      <c r="N270" s="526">
        <f t="shared" si="24"/>
        <v>288</v>
      </c>
      <c r="O270" s="526">
        <f t="shared" si="24"/>
        <v>289</v>
      </c>
      <c r="P270" s="526">
        <f t="shared" si="24"/>
        <v>290</v>
      </c>
      <c r="Q270" s="526">
        <f t="shared" si="24"/>
        <v>291</v>
      </c>
      <c r="R270" s="526">
        <f t="shared" si="24"/>
        <v>292</v>
      </c>
      <c r="S270" s="526">
        <f t="shared" si="24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6"/>
        <v>300</v>
      </c>
      <c r="D271" s="526">
        <f t="shared" si="24"/>
        <v>301</v>
      </c>
      <c r="E271" s="526">
        <f t="shared" si="24"/>
        <v>302</v>
      </c>
      <c r="F271" s="526">
        <f t="shared" si="24"/>
        <v>303</v>
      </c>
      <c r="G271" s="526">
        <f t="shared" si="24"/>
        <v>304</v>
      </c>
      <c r="H271" s="526">
        <f t="shared" si="24"/>
        <v>305</v>
      </c>
      <c r="I271" s="526">
        <f t="shared" si="24"/>
        <v>306</v>
      </c>
      <c r="J271" s="526">
        <f t="shared" si="24"/>
        <v>307</v>
      </c>
      <c r="K271" s="526">
        <f t="shared" si="24"/>
        <v>308</v>
      </c>
      <c r="L271" s="526">
        <f t="shared" si="24"/>
        <v>309</v>
      </c>
      <c r="M271" s="526">
        <f t="shared" si="24"/>
        <v>310</v>
      </c>
      <c r="N271" s="526">
        <f t="shared" si="24"/>
        <v>311</v>
      </c>
      <c r="O271" s="526">
        <f t="shared" si="24"/>
        <v>312</v>
      </c>
      <c r="P271" s="526">
        <f t="shared" si="24"/>
        <v>313</v>
      </c>
      <c r="Q271" s="526">
        <f t="shared" si="24"/>
        <v>314</v>
      </c>
      <c r="R271" s="526">
        <f t="shared" si="24"/>
        <v>315</v>
      </c>
      <c r="S271" s="526">
        <f t="shared" si="24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6"/>
        <v>323</v>
      </c>
      <c r="D272" s="526">
        <f t="shared" si="24"/>
        <v>324</v>
      </c>
      <c r="E272" s="526">
        <f t="shared" si="24"/>
        <v>325</v>
      </c>
      <c r="F272" s="526">
        <f t="shared" si="24"/>
        <v>326</v>
      </c>
      <c r="G272" s="526">
        <f t="shared" si="24"/>
        <v>327</v>
      </c>
      <c r="H272" s="526">
        <f t="shared" si="24"/>
        <v>328</v>
      </c>
      <c r="I272" s="526">
        <f t="shared" si="24"/>
        <v>329</v>
      </c>
      <c r="J272" s="526">
        <f t="shared" si="24"/>
        <v>330</v>
      </c>
      <c r="K272" s="526">
        <f t="shared" si="24"/>
        <v>331</v>
      </c>
      <c r="L272" s="526">
        <f t="shared" si="24"/>
        <v>332</v>
      </c>
      <c r="M272" s="526">
        <f t="shared" si="24"/>
        <v>333</v>
      </c>
      <c r="N272" s="526">
        <f t="shared" si="24"/>
        <v>334</v>
      </c>
      <c r="O272" s="526">
        <f t="shared" si="24"/>
        <v>335</v>
      </c>
      <c r="P272" s="526">
        <f t="shared" si="24"/>
        <v>336</v>
      </c>
      <c r="Q272" s="526">
        <f t="shared" si="24"/>
        <v>337</v>
      </c>
      <c r="R272" s="526">
        <f t="shared" si="24"/>
        <v>338</v>
      </c>
      <c r="S272" s="526">
        <f t="shared" si="24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6"/>
        <v>346</v>
      </c>
      <c r="D273" s="526">
        <f t="shared" si="24"/>
        <v>347</v>
      </c>
      <c r="E273" s="526">
        <f t="shared" si="24"/>
        <v>348</v>
      </c>
      <c r="F273" s="526">
        <f t="shared" si="24"/>
        <v>349</v>
      </c>
      <c r="G273" s="526">
        <f t="shared" si="24"/>
        <v>350</v>
      </c>
      <c r="H273" s="526">
        <f t="shared" si="24"/>
        <v>351</v>
      </c>
      <c r="I273" s="526">
        <f t="shared" si="24"/>
        <v>352</v>
      </c>
      <c r="J273" s="526">
        <f t="shared" si="24"/>
        <v>353</v>
      </c>
      <c r="K273" s="526">
        <f t="shared" si="24"/>
        <v>354</v>
      </c>
      <c r="L273" s="526">
        <f t="shared" si="24"/>
        <v>355</v>
      </c>
      <c r="M273" s="526">
        <f t="shared" si="24"/>
        <v>356</v>
      </c>
      <c r="N273" s="526">
        <f t="shared" si="24"/>
        <v>357</v>
      </c>
      <c r="O273" s="526">
        <f t="shared" si="24"/>
        <v>358</v>
      </c>
      <c r="P273" s="526">
        <f t="shared" si="24"/>
        <v>359</v>
      </c>
      <c r="Q273" s="526">
        <f t="shared" si="24"/>
        <v>360</v>
      </c>
      <c r="R273" s="526">
        <f t="shared" si="24"/>
        <v>361</v>
      </c>
      <c r="S273" s="526">
        <f t="shared" ref="D273:S286" si="27">R273+1</f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6"/>
        <v>369</v>
      </c>
      <c r="D274" s="526">
        <f t="shared" si="27"/>
        <v>370</v>
      </c>
      <c r="E274" s="526">
        <f t="shared" si="27"/>
        <v>371</v>
      </c>
      <c r="F274" s="526">
        <f t="shared" si="27"/>
        <v>372</v>
      </c>
      <c r="G274" s="526">
        <f t="shared" si="27"/>
        <v>373</v>
      </c>
      <c r="H274" s="526">
        <f t="shared" si="27"/>
        <v>374</v>
      </c>
      <c r="I274" s="526">
        <f t="shared" si="27"/>
        <v>375</v>
      </c>
      <c r="J274" s="526">
        <f t="shared" si="27"/>
        <v>376</v>
      </c>
      <c r="K274" s="526">
        <f t="shared" si="27"/>
        <v>377</v>
      </c>
      <c r="L274" s="526">
        <f t="shared" si="27"/>
        <v>378</v>
      </c>
      <c r="M274" s="526">
        <f t="shared" si="27"/>
        <v>379</v>
      </c>
      <c r="N274" s="526">
        <f t="shared" si="27"/>
        <v>380</v>
      </c>
      <c r="O274" s="526">
        <f t="shared" si="27"/>
        <v>381</v>
      </c>
      <c r="P274" s="526">
        <f t="shared" si="27"/>
        <v>382</v>
      </c>
      <c r="Q274" s="526">
        <f t="shared" si="27"/>
        <v>383</v>
      </c>
      <c r="R274" s="526">
        <f t="shared" si="27"/>
        <v>384</v>
      </c>
      <c r="S274" s="526">
        <f t="shared" si="27"/>
        <v>385</v>
      </c>
      <c r="T274" s="526">
        <f t="shared" ref="S274:Y286" si="28">S274+1</f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6"/>
        <v>392</v>
      </c>
      <c r="D275" s="526">
        <f t="shared" si="27"/>
        <v>393</v>
      </c>
      <c r="E275" s="526">
        <f t="shared" si="27"/>
        <v>394</v>
      </c>
      <c r="F275" s="526">
        <f t="shared" si="27"/>
        <v>395</v>
      </c>
      <c r="G275" s="526">
        <f t="shared" si="27"/>
        <v>396</v>
      </c>
      <c r="H275" s="526">
        <f t="shared" si="27"/>
        <v>397</v>
      </c>
      <c r="I275" s="526">
        <f t="shared" si="27"/>
        <v>398</v>
      </c>
      <c r="J275" s="526">
        <f t="shared" si="27"/>
        <v>399</v>
      </c>
      <c r="K275" s="526">
        <f t="shared" si="27"/>
        <v>400</v>
      </c>
      <c r="L275" s="526">
        <f t="shared" si="27"/>
        <v>401</v>
      </c>
      <c r="M275" s="526">
        <f t="shared" si="27"/>
        <v>402</v>
      </c>
      <c r="N275" s="526">
        <f t="shared" si="27"/>
        <v>403</v>
      </c>
      <c r="O275" s="526">
        <f t="shared" si="27"/>
        <v>404</v>
      </c>
      <c r="P275" s="526">
        <f t="shared" si="27"/>
        <v>405</v>
      </c>
      <c r="Q275" s="526">
        <f t="shared" si="27"/>
        <v>406</v>
      </c>
      <c r="R275" s="526">
        <f t="shared" si="27"/>
        <v>407</v>
      </c>
      <c r="S275" s="526">
        <f t="shared" si="27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6"/>
        <v>415</v>
      </c>
      <c r="D276" s="526">
        <f t="shared" si="27"/>
        <v>416</v>
      </c>
      <c r="E276" s="526">
        <f t="shared" si="27"/>
        <v>417</v>
      </c>
      <c r="F276" s="526">
        <f t="shared" si="27"/>
        <v>418</v>
      </c>
      <c r="G276" s="526">
        <f t="shared" si="27"/>
        <v>419</v>
      </c>
      <c r="H276" s="526">
        <f t="shared" si="27"/>
        <v>420</v>
      </c>
      <c r="I276" s="526">
        <f t="shared" si="27"/>
        <v>421</v>
      </c>
      <c r="J276" s="526">
        <f t="shared" si="27"/>
        <v>422</v>
      </c>
      <c r="K276" s="526">
        <f t="shared" si="27"/>
        <v>423</v>
      </c>
      <c r="L276" s="526">
        <f t="shared" si="27"/>
        <v>424</v>
      </c>
      <c r="M276" s="526">
        <f t="shared" si="27"/>
        <v>425</v>
      </c>
      <c r="N276" s="526">
        <f t="shared" si="27"/>
        <v>426</v>
      </c>
      <c r="O276" s="526">
        <f t="shared" si="27"/>
        <v>427</v>
      </c>
      <c r="P276" s="526">
        <f t="shared" si="27"/>
        <v>428</v>
      </c>
      <c r="Q276" s="526">
        <f t="shared" si="27"/>
        <v>429</v>
      </c>
      <c r="R276" s="526">
        <f t="shared" si="27"/>
        <v>430</v>
      </c>
      <c r="S276" s="526">
        <f t="shared" si="27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6"/>
        <v>438</v>
      </c>
      <c r="D277" s="526">
        <f t="shared" si="27"/>
        <v>439</v>
      </c>
      <c r="E277" s="526">
        <f t="shared" si="27"/>
        <v>440</v>
      </c>
      <c r="F277" s="526">
        <f t="shared" si="27"/>
        <v>441</v>
      </c>
      <c r="G277" s="526">
        <f t="shared" si="27"/>
        <v>442</v>
      </c>
      <c r="H277" s="526">
        <f t="shared" si="27"/>
        <v>443</v>
      </c>
      <c r="I277" s="526">
        <f t="shared" si="27"/>
        <v>444</v>
      </c>
      <c r="J277" s="526">
        <f t="shared" si="27"/>
        <v>445</v>
      </c>
      <c r="K277" s="526">
        <f t="shared" si="27"/>
        <v>446</v>
      </c>
      <c r="L277" s="526">
        <f t="shared" si="27"/>
        <v>447</v>
      </c>
      <c r="M277" s="526">
        <f t="shared" si="27"/>
        <v>448</v>
      </c>
      <c r="N277" s="526">
        <f t="shared" si="27"/>
        <v>449</v>
      </c>
      <c r="O277" s="526">
        <f t="shared" si="27"/>
        <v>450</v>
      </c>
      <c r="P277" s="526">
        <f t="shared" si="27"/>
        <v>451</v>
      </c>
      <c r="Q277" s="526">
        <f t="shared" si="27"/>
        <v>452</v>
      </c>
      <c r="R277" s="526">
        <f t="shared" si="27"/>
        <v>453</v>
      </c>
      <c r="S277" s="526">
        <f t="shared" si="27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6"/>
        <v>461</v>
      </c>
      <c r="D278" s="526">
        <f t="shared" si="27"/>
        <v>462</v>
      </c>
      <c r="E278" s="526">
        <f t="shared" si="27"/>
        <v>463</v>
      </c>
      <c r="F278" s="526">
        <f t="shared" si="27"/>
        <v>464</v>
      </c>
      <c r="G278" s="526">
        <f t="shared" si="27"/>
        <v>465</v>
      </c>
      <c r="H278" s="526">
        <f t="shared" si="27"/>
        <v>466</v>
      </c>
      <c r="I278" s="526">
        <f t="shared" si="27"/>
        <v>467</v>
      </c>
      <c r="J278" s="526">
        <f t="shared" si="27"/>
        <v>468</v>
      </c>
      <c r="K278" s="526">
        <f t="shared" si="27"/>
        <v>469</v>
      </c>
      <c r="L278" s="526">
        <f t="shared" si="27"/>
        <v>470</v>
      </c>
      <c r="M278" s="526">
        <f t="shared" si="27"/>
        <v>471</v>
      </c>
      <c r="N278" s="526">
        <f t="shared" si="27"/>
        <v>472</v>
      </c>
      <c r="O278" s="526">
        <f t="shared" si="27"/>
        <v>473</v>
      </c>
      <c r="P278" s="526">
        <f t="shared" si="27"/>
        <v>474</v>
      </c>
      <c r="Q278" s="526">
        <f t="shared" si="27"/>
        <v>475</v>
      </c>
      <c r="R278" s="526">
        <f t="shared" si="27"/>
        <v>476</v>
      </c>
      <c r="S278" s="526">
        <f t="shared" si="27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6"/>
        <v>484</v>
      </c>
      <c r="D279" s="526">
        <f t="shared" si="27"/>
        <v>485</v>
      </c>
      <c r="E279" s="526">
        <f t="shared" si="27"/>
        <v>486</v>
      </c>
      <c r="F279" s="526">
        <f t="shared" si="27"/>
        <v>487</v>
      </c>
      <c r="G279" s="526">
        <f t="shared" si="27"/>
        <v>488</v>
      </c>
      <c r="H279" s="526">
        <f t="shared" si="27"/>
        <v>489</v>
      </c>
      <c r="I279" s="526">
        <f t="shared" si="27"/>
        <v>490</v>
      </c>
      <c r="J279" s="526">
        <f t="shared" si="27"/>
        <v>491</v>
      </c>
      <c r="K279" s="526">
        <f t="shared" si="27"/>
        <v>492</v>
      </c>
      <c r="L279" s="526">
        <f t="shared" si="27"/>
        <v>493</v>
      </c>
      <c r="M279" s="526">
        <f t="shared" si="27"/>
        <v>494</v>
      </c>
      <c r="N279" s="526">
        <f t="shared" si="27"/>
        <v>495</v>
      </c>
      <c r="O279" s="526">
        <f t="shared" si="27"/>
        <v>496</v>
      </c>
      <c r="P279" s="526">
        <f t="shared" si="27"/>
        <v>497</v>
      </c>
      <c r="Q279" s="526">
        <f t="shared" si="27"/>
        <v>498</v>
      </c>
      <c r="R279" s="526">
        <f t="shared" si="27"/>
        <v>499</v>
      </c>
      <c r="S279" s="526">
        <f t="shared" si="27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6"/>
        <v>507</v>
      </c>
      <c r="D280" s="526">
        <f t="shared" si="27"/>
        <v>508</v>
      </c>
      <c r="E280" s="526">
        <f t="shared" si="27"/>
        <v>509</v>
      </c>
      <c r="F280" s="526">
        <f t="shared" si="27"/>
        <v>510</v>
      </c>
      <c r="G280" s="526">
        <f t="shared" si="27"/>
        <v>511</v>
      </c>
      <c r="H280" s="526">
        <f t="shared" si="27"/>
        <v>512</v>
      </c>
      <c r="I280" s="526">
        <f t="shared" si="27"/>
        <v>513</v>
      </c>
      <c r="J280" s="526">
        <f t="shared" si="27"/>
        <v>514</v>
      </c>
      <c r="K280" s="526">
        <f t="shared" si="27"/>
        <v>515</v>
      </c>
      <c r="L280" s="526">
        <f t="shared" si="27"/>
        <v>516</v>
      </c>
      <c r="M280" s="526">
        <f t="shared" si="27"/>
        <v>517</v>
      </c>
      <c r="N280" s="526">
        <f t="shared" si="27"/>
        <v>518</v>
      </c>
      <c r="O280" s="526">
        <f t="shared" si="27"/>
        <v>519</v>
      </c>
      <c r="P280" s="526">
        <f t="shared" si="27"/>
        <v>520</v>
      </c>
      <c r="Q280" s="526">
        <f t="shared" si="27"/>
        <v>521</v>
      </c>
      <c r="R280" s="526">
        <f t="shared" si="27"/>
        <v>522</v>
      </c>
      <c r="S280" s="526">
        <f t="shared" si="27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6"/>
        <v>530</v>
      </c>
      <c r="D281" s="526">
        <f t="shared" si="27"/>
        <v>531</v>
      </c>
      <c r="E281" s="526">
        <f t="shared" si="27"/>
        <v>532</v>
      </c>
      <c r="F281" s="526">
        <f t="shared" si="27"/>
        <v>533</v>
      </c>
      <c r="G281" s="526">
        <f t="shared" si="27"/>
        <v>534</v>
      </c>
      <c r="H281" s="526">
        <f t="shared" si="27"/>
        <v>535</v>
      </c>
      <c r="I281" s="526">
        <f t="shared" si="27"/>
        <v>536</v>
      </c>
      <c r="J281" s="526">
        <f t="shared" si="27"/>
        <v>537</v>
      </c>
      <c r="K281" s="526">
        <f t="shared" si="27"/>
        <v>538</v>
      </c>
      <c r="L281" s="526">
        <f t="shared" si="27"/>
        <v>539</v>
      </c>
      <c r="M281" s="526">
        <f t="shared" si="27"/>
        <v>540</v>
      </c>
      <c r="N281" s="526">
        <f t="shared" si="27"/>
        <v>541</v>
      </c>
      <c r="O281" s="526">
        <f t="shared" si="27"/>
        <v>542</v>
      </c>
      <c r="P281" s="526">
        <f t="shared" si="27"/>
        <v>543</v>
      </c>
      <c r="Q281" s="526">
        <f t="shared" si="27"/>
        <v>544</v>
      </c>
      <c r="R281" s="526">
        <f t="shared" si="27"/>
        <v>545</v>
      </c>
      <c r="S281" s="526">
        <f t="shared" si="27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6"/>
        <v>553</v>
      </c>
      <c r="D282" s="526">
        <f t="shared" si="27"/>
        <v>554</v>
      </c>
      <c r="E282" s="526">
        <f t="shared" si="27"/>
        <v>555</v>
      </c>
      <c r="F282" s="526">
        <f t="shared" si="27"/>
        <v>556</v>
      </c>
      <c r="G282" s="526">
        <f t="shared" si="27"/>
        <v>557</v>
      </c>
      <c r="H282" s="526">
        <f t="shared" si="27"/>
        <v>558</v>
      </c>
      <c r="I282" s="526">
        <f t="shared" si="27"/>
        <v>559</v>
      </c>
      <c r="J282" s="526">
        <f t="shared" si="27"/>
        <v>560</v>
      </c>
      <c r="K282" s="526">
        <f t="shared" si="27"/>
        <v>561</v>
      </c>
      <c r="L282" s="526">
        <f t="shared" si="27"/>
        <v>562</v>
      </c>
      <c r="M282" s="526">
        <f t="shared" si="27"/>
        <v>563</v>
      </c>
      <c r="N282" s="526">
        <f t="shared" si="27"/>
        <v>564</v>
      </c>
      <c r="O282" s="526">
        <f t="shared" si="27"/>
        <v>565</v>
      </c>
      <c r="P282" s="526">
        <f t="shared" si="27"/>
        <v>566</v>
      </c>
      <c r="Q282" s="526">
        <f t="shared" si="27"/>
        <v>567</v>
      </c>
      <c r="R282" s="526">
        <f t="shared" si="27"/>
        <v>568</v>
      </c>
      <c r="S282" s="526">
        <f t="shared" si="27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6"/>
        <v>576</v>
      </c>
      <c r="D283" s="526">
        <f t="shared" si="27"/>
        <v>577</v>
      </c>
      <c r="E283" s="526">
        <f t="shared" si="27"/>
        <v>578</v>
      </c>
      <c r="F283" s="526">
        <f t="shared" si="27"/>
        <v>579</v>
      </c>
      <c r="G283" s="526">
        <f t="shared" si="27"/>
        <v>580</v>
      </c>
      <c r="H283" s="526">
        <f t="shared" si="27"/>
        <v>581</v>
      </c>
      <c r="I283" s="526">
        <f t="shared" si="27"/>
        <v>582</v>
      </c>
      <c r="J283" s="526">
        <f t="shared" si="27"/>
        <v>583</v>
      </c>
      <c r="K283" s="526">
        <f t="shared" si="27"/>
        <v>584</v>
      </c>
      <c r="L283" s="526">
        <f t="shared" si="27"/>
        <v>585</v>
      </c>
      <c r="M283" s="526">
        <f t="shared" si="27"/>
        <v>586</v>
      </c>
      <c r="N283" s="526">
        <f t="shared" si="27"/>
        <v>587</v>
      </c>
      <c r="O283" s="526">
        <f t="shared" si="27"/>
        <v>588</v>
      </c>
      <c r="P283" s="526">
        <f t="shared" si="27"/>
        <v>589</v>
      </c>
      <c r="Q283" s="526">
        <f t="shared" si="27"/>
        <v>590</v>
      </c>
      <c r="R283" s="526">
        <f t="shared" si="27"/>
        <v>591</v>
      </c>
      <c r="S283" s="526">
        <f t="shared" si="27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6"/>
        <v>599</v>
      </c>
      <c r="D284" s="526">
        <f t="shared" si="27"/>
        <v>600</v>
      </c>
      <c r="E284" s="526">
        <f t="shared" si="27"/>
        <v>601</v>
      </c>
      <c r="F284" s="526">
        <f t="shared" si="27"/>
        <v>602</v>
      </c>
      <c r="G284" s="526">
        <f t="shared" si="27"/>
        <v>603</v>
      </c>
      <c r="H284" s="526">
        <f t="shared" si="27"/>
        <v>604</v>
      </c>
      <c r="I284" s="526">
        <f t="shared" si="27"/>
        <v>605</v>
      </c>
      <c r="J284" s="526">
        <f t="shared" si="27"/>
        <v>606</v>
      </c>
      <c r="K284" s="526">
        <f t="shared" si="27"/>
        <v>607</v>
      </c>
      <c r="L284" s="526">
        <f t="shared" si="27"/>
        <v>608</v>
      </c>
      <c r="M284" s="526">
        <f t="shared" si="27"/>
        <v>609</v>
      </c>
      <c r="N284" s="526">
        <f t="shared" si="27"/>
        <v>610</v>
      </c>
      <c r="O284" s="526">
        <f t="shared" si="27"/>
        <v>611</v>
      </c>
      <c r="P284" s="526">
        <f t="shared" si="27"/>
        <v>612</v>
      </c>
      <c r="Q284" s="526">
        <f t="shared" si="27"/>
        <v>613</v>
      </c>
      <c r="R284" s="526">
        <f t="shared" si="27"/>
        <v>614</v>
      </c>
      <c r="S284" s="526">
        <f t="shared" si="27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6"/>
        <v>622</v>
      </c>
      <c r="D285" s="526">
        <f t="shared" si="27"/>
        <v>623</v>
      </c>
      <c r="E285" s="526">
        <f t="shared" si="27"/>
        <v>624</v>
      </c>
      <c r="F285" s="526">
        <f t="shared" si="27"/>
        <v>625</v>
      </c>
      <c r="G285" s="526">
        <f t="shared" si="27"/>
        <v>626</v>
      </c>
      <c r="H285" s="526">
        <f t="shared" si="27"/>
        <v>627</v>
      </c>
      <c r="I285" s="526">
        <f t="shared" si="27"/>
        <v>628</v>
      </c>
      <c r="J285" s="526">
        <f t="shared" si="27"/>
        <v>629</v>
      </c>
      <c r="K285" s="526">
        <f t="shared" si="27"/>
        <v>630</v>
      </c>
      <c r="L285" s="526">
        <f t="shared" si="27"/>
        <v>631</v>
      </c>
      <c r="M285" s="526">
        <f t="shared" si="27"/>
        <v>632</v>
      </c>
      <c r="N285" s="526">
        <f t="shared" si="27"/>
        <v>633</v>
      </c>
      <c r="O285" s="526">
        <f t="shared" si="27"/>
        <v>634</v>
      </c>
      <c r="P285" s="526">
        <f t="shared" si="27"/>
        <v>635</v>
      </c>
      <c r="Q285" s="526">
        <f t="shared" si="27"/>
        <v>636</v>
      </c>
      <c r="R285" s="526">
        <f t="shared" si="27"/>
        <v>637</v>
      </c>
      <c r="S285" s="526">
        <f t="shared" si="27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6"/>
        <v>645</v>
      </c>
      <c r="D286" s="526">
        <f t="shared" si="27"/>
        <v>646</v>
      </c>
      <c r="E286" s="526">
        <f t="shared" si="27"/>
        <v>647</v>
      </c>
      <c r="F286" s="526">
        <f t="shared" si="27"/>
        <v>648</v>
      </c>
      <c r="G286" s="526">
        <f t="shared" si="27"/>
        <v>649</v>
      </c>
      <c r="H286" s="526">
        <f t="shared" si="27"/>
        <v>650</v>
      </c>
      <c r="I286" s="526">
        <f t="shared" si="27"/>
        <v>651</v>
      </c>
      <c r="J286" s="526">
        <f t="shared" si="27"/>
        <v>652</v>
      </c>
      <c r="K286" s="526">
        <f t="shared" si="27"/>
        <v>653</v>
      </c>
      <c r="L286" s="526">
        <f t="shared" si="27"/>
        <v>654</v>
      </c>
      <c r="M286" s="526">
        <f t="shared" si="27"/>
        <v>655</v>
      </c>
      <c r="N286" s="526">
        <f t="shared" si="27"/>
        <v>656</v>
      </c>
      <c r="O286" s="526">
        <f t="shared" si="27"/>
        <v>657</v>
      </c>
      <c r="P286" s="526">
        <f t="shared" si="27"/>
        <v>658</v>
      </c>
      <c r="Q286" s="526">
        <f t="shared" si="27"/>
        <v>659</v>
      </c>
      <c r="R286" s="526">
        <f t="shared" si="27"/>
        <v>660</v>
      </c>
      <c r="S286" s="526">
        <f t="shared" si="28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0" width="8.5703125" style="102" customWidth="1"/>
    <col min="21" max="21" width="26.85546875" style="102" customWidth="1"/>
    <col min="2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47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Powerco</v>
      </c>
      <c r="C6" s="108"/>
      <c r="D6" s="109">
        <f>VLOOKUP($B$6,$B$258:$J$286,9,FALSE)</f>
        <v>422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307.50698019000004</v>
      </c>
      <c r="E7" s="407">
        <f>D7/('Industry calcs'!D4/1000)*100</f>
        <v>14.917784725372844</v>
      </c>
    </row>
    <row r="8" spans="2:5">
      <c r="B8" s="111" t="s">
        <v>250</v>
      </c>
      <c r="C8" s="114"/>
      <c r="D8" s="406">
        <f>VLOOKUP(D6,'AV (2011)'!A8:F214,'AV (2011)'!F214,FALSE)/1000</f>
        <v>1338.9608999999998</v>
      </c>
      <c r="E8" s="407">
        <f>D8/('Industry calcs'!D5/1000)*100</f>
        <v>14.918550107520353</v>
      </c>
    </row>
    <row r="9" spans="2:5">
      <c r="B9" s="111" t="s">
        <v>230</v>
      </c>
      <c r="C9" s="114"/>
      <c r="D9" s="406">
        <f>VLOOKUP($D$6,'FS (2011)'!$A$13:$AH$244,'FS (2011)'!S245,FALSE)/1000</f>
        <v>57.267519999999998</v>
      </c>
      <c r="E9" s="407">
        <f>D9/('Industry calcs'!D6/1000)*100</f>
        <v>12.613783936547357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79.778000000000006</v>
      </c>
      <c r="E10" s="407">
        <f>D10/('Industry calcs'!D7/1000)*100</f>
        <v>13.63334697673049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4303.8891000000003</v>
      </c>
      <c r="E11" s="407">
        <f>D11/'Industry calcs'!D8*100</f>
        <v>13.907852816614549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801.05799999999999</v>
      </c>
      <c r="E12" s="407">
        <f>D12/'Industry calcs'!D9*100</f>
        <v>12.81027137306587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29920</v>
      </c>
      <c r="E13" s="407">
        <f>D13/'Industry calcs'!D10*100</f>
        <v>20.0040379594763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319181</v>
      </c>
      <c r="E14" s="407">
        <f>D14/'Industry calcs'!D11*100</f>
        <v>15.890126575976701</v>
      </c>
    </row>
    <row r="15" spans="2:5">
      <c r="B15" s="115" t="s">
        <v>195</v>
      </c>
      <c r="C15" s="116" t="s">
        <v>239</v>
      </c>
      <c r="D15" s="408">
        <f>D14/D13</f>
        <v>10.667814171122995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Powerco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24.462345833847888</v>
      </c>
      <c r="D20" s="409">
        <f>VLOOKUP($B$2,'MED price allocation'!$B$16:$F$44,3,FALSE)</f>
        <v>24.860962482519447</v>
      </c>
      <c r="E20" s="409">
        <f>VLOOKUP($B$2,'MED price allocation'!$B$16:$F$44,4,FALSE)</f>
        <v>24.630092479767256</v>
      </c>
      <c r="F20" s="503">
        <f>VLOOKUP($B$2,'MED price allocation'!$B$16:$F$44,5,FALSE)</f>
        <v>25.981243637228367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7.7338739615849565</v>
      </c>
      <c r="D21" s="410">
        <f>VLOOKUP($B$2,'MED price allocation'!$B$47:$F$75,3,FALSE)</f>
        <v>7.3306807466045392</v>
      </c>
      <c r="E21" s="410">
        <f>VLOOKUP($B$2,'MED price allocation'!$B$47:$F$75,4,FALSE)</f>
        <v>7.4169378760120903</v>
      </c>
      <c r="F21" s="504">
        <f>VLOOKUP($B$2,'MED price allocation'!$B$47:$F$75,5,FALSE)</f>
        <v>7.6634857093834663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9.3088451664916363</v>
      </c>
      <c r="D22" s="409">
        <f>VLOOKUP($B$2,'MED price allocation'!$B$78:$F$106,3,FALSE)</f>
        <v>9.0806798593530971</v>
      </c>
      <c r="E22" s="409">
        <f>VLOOKUP($B$2,'MED price allocation'!$B$78:$F$106,4,FALSE)</f>
        <v>9.1600664830454974</v>
      </c>
      <c r="F22" s="503">
        <f>VLOOKUP($B$2,'MED price allocation'!$B$78:$F$106,5,FALSE)</f>
        <v>9.5823744176830292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1.5749712049066802</v>
      </c>
      <c r="D23" s="411">
        <f>VLOOKUP($B$2,'MED price allocation'!$B$109:$F$137,3,FALSE)</f>
        <v>1.7499991127485592</v>
      </c>
      <c r="E23" s="411">
        <f>VLOOKUP($B$2,'MED price allocation'!$B$109:$F$137,4,FALSE)</f>
        <v>1.7431286070334071</v>
      </c>
      <c r="F23" s="505">
        <f>VLOOKUP($B$2,'MED price allocation'!$B$109:$F$137,5,FALSE)</f>
        <v>1.9188887082995623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Powerco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1956.9876667078311</v>
      </c>
      <c r="D26" s="412">
        <f>(D20*8000)/100</f>
        <v>1988.8769986015559</v>
      </c>
      <c r="E26" s="412">
        <f>(E20*8000)/100</f>
        <v>1970.4073983813805</v>
      </c>
      <c r="F26" s="506">
        <f>(F20*8000)/100</f>
        <v>2078.4994909782695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744.7076133193309</v>
      </c>
      <c r="D27" s="412">
        <f>(D22*8000)/100</f>
        <v>726.45438874824777</v>
      </c>
      <c r="E27" s="412">
        <f>(E22*8000)/100</f>
        <v>732.80531864363979</v>
      </c>
      <c r="F27" s="506">
        <f>(F22*8000)/100</f>
        <v>766.58995341464242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618.7099169267965</v>
      </c>
      <c r="D28" s="412">
        <f>(D21*8000)/100</f>
        <v>586.45445972836319</v>
      </c>
      <c r="E28" s="412">
        <f>(E21*8000)/100</f>
        <v>593.35503008096714</v>
      </c>
      <c r="F28" s="506">
        <f>(F21*8000)/100</f>
        <v>613.07885675067735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125.99769639253442</v>
      </c>
      <c r="D29" s="413">
        <f>(D23*8000)/100</f>
        <v>139.99992901988472</v>
      </c>
      <c r="E29" s="413">
        <f>(E23*8000)/100</f>
        <v>139.45028856267257</v>
      </c>
      <c r="F29" s="507">
        <f>(F23*8000)/100</f>
        <v>153.51109666396499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Powerco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1998.692888667259</v>
      </c>
      <c r="D32" s="122"/>
    </row>
    <row r="33" spans="2:13">
      <c r="B33" s="120" t="s">
        <v>241</v>
      </c>
      <c r="C33" s="412">
        <f>AVERAGE(C27:F27)</f>
        <v>742.63931853146516</v>
      </c>
      <c r="D33" s="414">
        <f>C33/$C$32</f>
        <v>0.37156249604043057</v>
      </c>
    </row>
    <row r="34" spans="2:13">
      <c r="B34" s="120" t="s">
        <v>222</v>
      </c>
      <c r="C34" s="412">
        <f>AVERAGE(C28:F28)</f>
        <v>602.89956587170104</v>
      </c>
      <c r="D34" s="414">
        <f>C34/$C$32</f>
        <v>0.30164692599357684</v>
      </c>
    </row>
    <row r="35" spans="2:13">
      <c r="B35" s="124" t="s">
        <v>223</v>
      </c>
      <c r="C35" s="413">
        <f>AVERAGE(C29:F29)</f>
        <v>139.73975265976418</v>
      </c>
      <c r="D35" s="415">
        <f>C35/$C$32</f>
        <v>6.9915570046853739E-2</v>
      </c>
    </row>
    <row r="38" spans="2:13">
      <c r="B38" s="517" t="s">
        <v>227</v>
      </c>
      <c r="C38" s="518">
        <f>VLOOKUP($B$2,$B$258:$J$286,6,FALSE)</f>
        <v>419</v>
      </c>
      <c r="D38" s="518">
        <f>VLOOKUP($B$2,$B$258:$J$286,7,FALSE)</f>
        <v>420</v>
      </c>
      <c r="E38" s="518">
        <f>VLOOKUP($B$2,$B$258:$J$286,8,FALSE)</f>
        <v>421</v>
      </c>
      <c r="F38" s="519">
        <f>VLOOKUP($B$2,$B$258:$J$286,9,FALSE)</f>
        <v>422</v>
      </c>
    </row>
    <row r="39" spans="2:13">
      <c r="B39" s="137" t="str">
        <f>B2</f>
        <v>Powerco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287725.2380285706</v>
      </c>
      <c r="D40" s="418">
        <f>VLOOKUP($D$38,'FS (2011)'!$A$13:$AH$244,'FS (2011)'!E245,FALSE)</f>
        <v>287980.93293980358</v>
      </c>
      <c r="E40" s="418">
        <f>VLOOKUP($E$38,'FS (2011)'!$A$13:$AH$244,'FS (2011)'!E245,FALSE)</f>
        <v>297363.40869284037</v>
      </c>
      <c r="F40" s="419">
        <f>VLOOKUP($F$38,'FS (2011)'!$A$13:$AH$244,'FS (2011)'!E245,FALSE)</f>
        <v>292560.95</v>
      </c>
    </row>
    <row r="41" spans="2:13" ht="30">
      <c r="B41" s="120" t="s">
        <v>198</v>
      </c>
      <c r="C41" s="417">
        <f>VLOOKUP($C$38,'FS (2011)'!$A$13:$AH$244,'FS (2011)'!$F$245,FALSE)</f>
        <v>20741.541159362434</v>
      </c>
      <c r="D41" s="418">
        <f>VLOOKUP($D$38,'FS (2011)'!$A$13:$AH$244,'FS (2011)'!$F$245,FALSE)</f>
        <v>23846.070698057512</v>
      </c>
      <c r="E41" s="418">
        <f>VLOOKUP($E$38,'FS (2011)'!$A$13:$AH$244,'FS (2011)'!$F$245,FALSE)</f>
        <v>18010.270990272424</v>
      </c>
      <c r="F41" s="419">
        <f>VLOOKUP($F$38,'FS (2011)'!$A$13:$AH$244,'FS (2011)'!$F$245,FALSE)</f>
        <v>14838.188</v>
      </c>
    </row>
    <row r="42" spans="2:13">
      <c r="B42" s="120" t="s">
        <v>13</v>
      </c>
      <c r="C42" s="417">
        <f>VLOOKUP($C$38,'FS (2011)'!$A$13:$AH$244,'FS (2011)'!$H$245,FALSE)</f>
        <v>0</v>
      </c>
      <c r="D42" s="418">
        <f>VLOOKUP($D$38,'FS (2011)'!$A$13:$AH$244,'FS (2011)'!$H$245,FALSE)</f>
        <v>0</v>
      </c>
      <c r="E42" s="418">
        <f>VLOOKUP($E$38,'FS (2011)'!$A$13:$AH$244,'FS (2011)'!$H$245,FALSE)</f>
        <v>0</v>
      </c>
      <c r="F42" s="419">
        <f>VLOOKUP($F$38,'FS (2011)'!$A$13:$AH$244,'FS (2011)'!$H$245,FALSE)</f>
        <v>107.84219</v>
      </c>
    </row>
    <row r="43" spans="2:13">
      <c r="B43" s="124" t="s">
        <v>5</v>
      </c>
      <c r="C43" s="420">
        <f>SUM(C40:C42)</f>
        <v>308466.77918793302</v>
      </c>
      <c r="D43" s="420">
        <f>SUM(D40:D42)</f>
        <v>311827.00363786111</v>
      </c>
      <c r="E43" s="420">
        <f>SUM(E40:E42)</f>
        <v>315373.67968311277</v>
      </c>
      <c r="F43" s="421">
        <f>SUM(F40:F42)</f>
        <v>307506.98019000003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Powerco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100.08886773818833</v>
      </c>
      <c r="E46" s="422">
        <f>IF(ISERROR(E40/$C40),"",(E40/$C40))*100</f>
        <v>103.34978284501852</v>
      </c>
      <c r="F46" s="423">
        <f>IF(ISERROR(F40/$C40),"",(F40/$C40))*100</f>
        <v>101.68067007418698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114.96768979142968</v>
      </c>
      <c r="E47" s="422">
        <f t="shared" si="0"/>
        <v>86.83188414927811</v>
      </c>
      <c r="F47" s="423">
        <f t="shared" si="0"/>
        <v>71.538502785277629</v>
      </c>
      <c r="G47" s="141"/>
    </row>
    <row r="48" spans="2:13">
      <c r="B48" s="120" t="s">
        <v>13</v>
      </c>
      <c r="C48" s="422" t="str">
        <f t="shared" si="0"/>
        <v/>
      </c>
      <c r="D48" s="422" t="str">
        <f t="shared" si="0"/>
        <v/>
      </c>
      <c r="E48" s="422" t="str">
        <f t="shared" si="0"/>
        <v/>
      </c>
      <c r="F48" s="423" t="str">
        <f t="shared" si="0"/>
        <v/>
      </c>
      <c r="G48" s="141"/>
      <c r="H48" s="141"/>
    </row>
    <row r="49" spans="2:25">
      <c r="B49" s="124" t="s">
        <v>5</v>
      </c>
      <c r="C49" s="424">
        <f t="shared" si="0"/>
        <v>100</v>
      </c>
      <c r="D49" s="424">
        <f t="shared" si="0"/>
        <v>101.08933106468521</v>
      </c>
      <c r="E49" s="424">
        <f t="shared" si="0"/>
        <v>102.2391067567674</v>
      </c>
      <c r="F49" s="416">
        <f t="shared" si="0"/>
        <v>99.688848504056168</v>
      </c>
    </row>
    <row r="52" spans="2:25">
      <c r="B52" s="517" t="s">
        <v>247</v>
      </c>
      <c r="C52" s="510"/>
      <c r="D52" s="510"/>
      <c r="E52" s="510"/>
      <c r="F52" s="511"/>
      <c r="U52" s="533" t="s">
        <v>247</v>
      </c>
      <c r="V52" s="510"/>
      <c r="W52" s="510"/>
      <c r="X52" s="510"/>
      <c r="Y52" s="511"/>
    </row>
    <row r="53" spans="2:25">
      <c r="B53" s="107" t="str">
        <f>$B$2</f>
        <v>Powerco</v>
      </c>
      <c r="C53" s="144">
        <v>2008</v>
      </c>
      <c r="D53" s="144">
        <v>2009</v>
      </c>
      <c r="E53" s="144">
        <v>2010</v>
      </c>
      <c r="F53" s="145">
        <v>2011</v>
      </c>
      <c r="U53" s="154" t="str">
        <f>$B$2</f>
        <v>Powerco</v>
      </c>
      <c r="V53" s="144">
        <v>2008</v>
      </c>
      <c r="W53" s="144">
        <v>2009</v>
      </c>
      <c r="X53" s="144">
        <v>2010</v>
      </c>
      <c r="Y53" s="145">
        <v>2011</v>
      </c>
    </row>
    <row r="54" spans="2:25">
      <c r="B54" s="111" t="s">
        <v>185</v>
      </c>
      <c r="C54" s="425">
        <f>VLOOKUP($C$38,'MP (2011)'!$A$14:$AR$245,'MP (2011)'!$Z$246,FALSE)</f>
        <v>217063.95306378487</v>
      </c>
      <c r="D54" s="426">
        <f>VLOOKUP($D$38,'MP (2011)'!$A$14:$AR$245,'MP (2011)'!$Z$246,FALSE)</f>
        <v>202303.87260621862</v>
      </c>
      <c r="E54" s="426">
        <f>VLOOKUP($E$38,'MP (2011)'!$A$14:$AR$245,'MP (2011)'!$Z$246,FALSE)</f>
        <v>211521.43326776425</v>
      </c>
      <c r="F54" s="427">
        <f>VLOOKUP($F$38,'MP (2011)'!$A$14:$AR$245,'MP (2011)'!$Z$246,FALSE)</f>
        <v>224722</v>
      </c>
      <c r="U54" s="170" t="s">
        <v>477</v>
      </c>
      <c r="V54" s="425">
        <f>C54+C55</f>
        <v>231659.43673120238</v>
      </c>
      <c r="W54" s="426">
        <f t="shared" ref="W54:X54" si="1">D54+D55</f>
        <v>228080.79923124434</v>
      </c>
      <c r="X54" s="426">
        <f t="shared" si="1"/>
        <v>237753.38794427525</v>
      </c>
      <c r="Y54" s="427">
        <f>F54+F55</f>
        <v>233979</v>
      </c>
    </row>
    <row r="55" spans="2:25">
      <c r="B55" s="111" t="s">
        <v>180</v>
      </c>
      <c r="C55" s="425">
        <f>VLOOKUP($C$38,'MP (2011)'!$A$14:$AR$245,'MP (2011)'!$AD$246,FALSE)</f>
        <v>14595.483667417524</v>
      </c>
      <c r="D55" s="426">
        <f>VLOOKUP($D$38,'MP (2011)'!$A$14:$AR$245,'MP (2011)'!$AD$246,FALSE)</f>
        <v>25776.926625025731</v>
      </c>
      <c r="E55" s="426">
        <f>VLOOKUP($E$38,'MP (2011)'!$A$14:$AR$245,'MP (2011)'!$AD$246,FALSE)</f>
        <v>26231.954676511003</v>
      </c>
      <c r="F55" s="427">
        <f>VLOOKUP($F$38,'MP (2011)'!$A$14:$AR$245,'MP (2011)'!$AD$246,FALSE)</f>
        <v>9257</v>
      </c>
      <c r="J55" s="139"/>
      <c r="U55" s="170" t="s">
        <v>478</v>
      </c>
      <c r="V55" s="425">
        <f>C56</f>
        <v>44962.236240768725</v>
      </c>
      <c r="W55" s="426">
        <f t="shared" ref="W55:X55" si="2">D56</f>
        <v>49963.492346763662</v>
      </c>
      <c r="X55" s="426">
        <f t="shared" si="2"/>
        <v>49858.747271698412</v>
      </c>
      <c r="Y55" s="427">
        <f>F56</f>
        <v>49571.741000000002</v>
      </c>
    </row>
    <row r="56" spans="2:25">
      <c r="B56" s="111" t="s">
        <v>184</v>
      </c>
      <c r="C56" s="425">
        <f>VLOOKUP($C$38,'MP (2011)'!$A$14:$AR$245,'MP (2011)'!$AH$246,FALSE)</f>
        <v>44962.236240768725</v>
      </c>
      <c r="D56" s="426">
        <f>VLOOKUP($D$38,'MP (2011)'!$A$14:$AR$245,'MP (2011)'!$AH$246,FALSE)</f>
        <v>49963.492346763662</v>
      </c>
      <c r="E56" s="426">
        <f>VLOOKUP($E$38,'MP (2011)'!$A$14:$AR$245,'MP (2011)'!$AH$246,FALSE)</f>
        <v>49858.747271698412</v>
      </c>
      <c r="F56" s="427">
        <f>VLOOKUP($F$38,'MP (2011)'!$A$14:$AR$245,'MP (2011)'!$AH$246,FALSE)</f>
        <v>49571.741000000002</v>
      </c>
      <c r="U56" s="170"/>
      <c r="V56" s="425"/>
      <c r="W56" s="426"/>
      <c r="X56" s="426"/>
      <c r="Y56" s="427"/>
    </row>
    <row r="57" spans="2:25">
      <c r="B57" s="111" t="s">
        <v>181</v>
      </c>
      <c r="C57" s="425">
        <f>VLOOKUP($C$38,'MP (2011)'!$A$14:$AR$245,'MP (2011)'!$AL$246,FALSE)</f>
        <v>11103.565056599467</v>
      </c>
      <c r="D57" s="426">
        <f>VLOOKUP($D$38,'MP (2011)'!$A$14:$AR$245,'MP (2011)'!$AL$246,FALSE)</f>
        <v>9936.6413617955895</v>
      </c>
      <c r="E57" s="426">
        <f>VLOOKUP($E$38,'MP (2011)'!$A$14:$AR$245,'MP (2011)'!$AL$246,FALSE)</f>
        <v>9751.273476866696</v>
      </c>
      <c r="F57" s="427">
        <f>VLOOKUP($F$38,'MP (2011)'!$A$14:$AR$245,'MP (2011)'!$AL$246,FALSE)</f>
        <v>9009.6955999999991</v>
      </c>
      <c r="U57" s="170" t="s">
        <v>181</v>
      </c>
      <c r="V57" s="425">
        <f>C57</f>
        <v>11103.565056599467</v>
      </c>
      <c r="W57" s="426">
        <f>D57</f>
        <v>9936.6413617955895</v>
      </c>
      <c r="X57" s="426">
        <f>E57</f>
        <v>9751.273476866696</v>
      </c>
      <c r="Y57" s="427">
        <f>F57</f>
        <v>9009.6955999999991</v>
      </c>
    </row>
    <row r="58" spans="2:25">
      <c r="B58" s="147" t="s">
        <v>248</v>
      </c>
      <c r="C58" s="428">
        <f>SUM(C54:C57)</f>
        <v>287725.23802857054</v>
      </c>
      <c r="D58" s="428">
        <f>SUM(D54:D57)</f>
        <v>287980.93293980358</v>
      </c>
      <c r="E58" s="428">
        <f>SUM(E54:E57)</f>
        <v>297363.40869284037</v>
      </c>
      <c r="F58" s="429">
        <f>SUM(F54:F57)</f>
        <v>292560.43659999996</v>
      </c>
      <c r="U58" s="208" t="s">
        <v>248</v>
      </c>
      <c r="V58" s="428">
        <f>SUM(V54:V57)</f>
        <v>287725.23802857054</v>
      </c>
      <c r="W58" s="428">
        <f>SUM(W54:W57)</f>
        <v>287980.93293980358</v>
      </c>
      <c r="X58" s="428">
        <f>SUM(X54:X57)</f>
        <v>297363.40869284037</v>
      </c>
      <c r="Y58" s="429">
        <f>SUM(Y54:Y57)</f>
        <v>292560.43659999996</v>
      </c>
    </row>
    <row r="59" spans="2:25">
      <c r="B59" s="103" t="s">
        <v>302</v>
      </c>
      <c r="U59" s="102" t="s">
        <v>302</v>
      </c>
    </row>
    <row r="60" spans="2:25">
      <c r="B60" s="137" t="str">
        <f>$B$2</f>
        <v>Powerco</v>
      </c>
      <c r="C60" s="144">
        <v>2008</v>
      </c>
      <c r="D60" s="126">
        <v>2009</v>
      </c>
      <c r="E60" s="126">
        <v>2010</v>
      </c>
      <c r="F60" s="127">
        <v>2011</v>
      </c>
      <c r="U60" s="154" t="str">
        <f>$B$2</f>
        <v>Powerco</v>
      </c>
      <c r="V60" s="144">
        <v>2008</v>
      </c>
      <c r="W60" s="126">
        <v>2009</v>
      </c>
      <c r="X60" s="126">
        <v>2010</v>
      </c>
      <c r="Y60" s="127">
        <v>2011</v>
      </c>
    </row>
    <row r="61" spans="2:25">
      <c r="B61" s="111" t="s">
        <v>185</v>
      </c>
      <c r="C61" s="422">
        <f t="shared" ref="C61:F65" si="3">IF(ISERROR(C54/$C54),"",(C54/$C54)*100)</f>
        <v>100</v>
      </c>
      <c r="D61" s="422">
        <f t="shared" si="3"/>
        <v>93.200123627514998</v>
      </c>
      <c r="E61" s="422">
        <f t="shared" si="3"/>
        <v>97.446595937377069</v>
      </c>
      <c r="F61" s="423">
        <f t="shared" si="3"/>
        <v>103.52801413045528</v>
      </c>
      <c r="G61" s="141"/>
      <c r="U61" s="170" t="s">
        <v>477</v>
      </c>
      <c r="V61" s="422">
        <f>IF(ISERROR(V54/$V54),"",(V54/$V54)*100)</f>
        <v>100</v>
      </c>
      <c r="W61" s="422">
        <f t="shared" ref="W61:X61" si="4">IF(ISERROR(W54/$V54),"",(W54/$V54)*100)</f>
        <v>98.455216178346149</v>
      </c>
      <c r="X61" s="422">
        <f t="shared" si="4"/>
        <v>102.63056463361076</v>
      </c>
      <c r="Y61" s="423">
        <f>IF(ISERROR(Y54/$V54),"",(Y54/$V54)*100)</f>
        <v>101.00128158020563</v>
      </c>
    </row>
    <row r="62" spans="2:25">
      <c r="B62" s="111" t="s">
        <v>180</v>
      </c>
      <c r="C62" s="422">
        <f t="shared" si="3"/>
        <v>100</v>
      </c>
      <c r="D62" s="422">
        <f t="shared" si="3"/>
        <v>176.60892377667</v>
      </c>
      <c r="E62" s="422">
        <f t="shared" si="3"/>
        <v>179.7265186563865</v>
      </c>
      <c r="F62" s="423">
        <f t="shared" si="3"/>
        <v>63.42372894887356</v>
      </c>
      <c r="G62" s="141"/>
      <c r="U62" s="170" t="s">
        <v>478</v>
      </c>
      <c r="V62" s="422">
        <f t="shared" ref="V62:Y65" si="5">IF(ISERROR(V55/$V55),"",(V55/$V55)*100)</f>
        <v>100</v>
      </c>
      <c r="W62" s="422">
        <f t="shared" si="5"/>
        <v>111.12323701875873</v>
      </c>
      <c r="X62" s="422">
        <f t="shared" si="5"/>
        <v>110.89027468453597</v>
      </c>
      <c r="Y62" s="423">
        <f t="shared" si="5"/>
        <v>110.25194728871534</v>
      </c>
    </row>
    <row r="63" spans="2:25">
      <c r="B63" s="111" t="s">
        <v>184</v>
      </c>
      <c r="C63" s="422">
        <f t="shared" si="3"/>
        <v>100</v>
      </c>
      <c r="D63" s="422">
        <f t="shared" si="3"/>
        <v>111.12323701875873</v>
      </c>
      <c r="E63" s="422">
        <f t="shared" si="3"/>
        <v>110.89027468453597</v>
      </c>
      <c r="F63" s="423">
        <f t="shared" si="3"/>
        <v>110.25194728871534</v>
      </c>
      <c r="G63" s="141"/>
      <c r="U63" s="170"/>
      <c r="V63" s="422" t="str">
        <f t="shared" si="5"/>
        <v/>
      </c>
      <c r="W63" s="422" t="str">
        <f t="shared" si="5"/>
        <v/>
      </c>
      <c r="X63" s="422" t="str">
        <f t="shared" si="5"/>
        <v/>
      </c>
      <c r="Y63" s="423" t="str">
        <f t="shared" si="5"/>
        <v/>
      </c>
    </row>
    <row r="64" spans="2:25">
      <c r="B64" s="111" t="s">
        <v>181</v>
      </c>
      <c r="C64" s="422">
        <f t="shared" si="3"/>
        <v>100</v>
      </c>
      <c r="D64" s="422">
        <f t="shared" si="3"/>
        <v>89.490549306861482</v>
      </c>
      <c r="E64" s="422">
        <f t="shared" si="3"/>
        <v>87.821104547597272</v>
      </c>
      <c r="F64" s="423">
        <f t="shared" si="3"/>
        <v>81.142367825773533</v>
      </c>
      <c r="G64" s="141"/>
      <c r="U64" s="170" t="s">
        <v>181</v>
      </c>
      <c r="V64" s="422">
        <f t="shared" si="5"/>
        <v>100</v>
      </c>
      <c r="W64" s="422">
        <f t="shared" si="5"/>
        <v>89.490549306861482</v>
      </c>
      <c r="X64" s="422">
        <f t="shared" si="5"/>
        <v>87.821104547597272</v>
      </c>
      <c r="Y64" s="423">
        <f t="shared" si="5"/>
        <v>81.142367825773533</v>
      </c>
    </row>
    <row r="65" spans="2:40">
      <c r="B65" s="115" t="s">
        <v>248</v>
      </c>
      <c r="C65" s="424">
        <f t="shared" si="3"/>
        <v>100</v>
      </c>
      <c r="D65" s="424">
        <f t="shared" si="3"/>
        <v>100.08886773818834</v>
      </c>
      <c r="E65" s="424">
        <f t="shared" si="3"/>
        <v>103.34978284501855</v>
      </c>
      <c r="F65" s="416">
        <f t="shared" si="3"/>
        <v>101.68049164006577</v>
      </c>
      <c r="G65" s="141"/>
      <c r="U65" s="208" t="s">
        <v>248</v>
      </c>
      <c r="V65" s="424">
        <f t="shared" si="5"/>
        <v>100</v>
      </c>
      <c r="W65" s="424">
        <f t="shared" si="5"/>
        <v>100.08886773818834</v>
      </c>
      <c r="X65" s="424">
        <f t="shared" si="5"/>
        <v>103.34978284501855</v>
      </c>
      <c r="Y65" s="416">
        <f t="shared" si="5"/>
        <v>101.68049164006577</v>
      </c>
    </row>
    <row r="68" spans="2:40">
      <c r="B68" s="517" t="s">
        <v>251</v>
      </c>
      <c r="C68" s="510"/>
      <c r="D68" s="510"/>
      <c r="E68" s="510"/>
      <c r="F68" s="511"/>
      <c r="U68" s="533" t="s">
        <v>251</v>
      </c>
      <c r="V68" s="510"/>
      <c r="W68" s="510"/>
      <c r="X68" s="510"/>
      <c r="Y68" s="511"/>
    </row>
    <row r="69" spans="2:40">
      <c r="B69" s="137" t="str">
        <f>$B$2</f>
        <v>Powerco</v>
      </c>
      <c r="C69" s="144">
        <v>2008</v>
      </c>
      <c r="D69" s="144">
        <v>2009</v>
      </c>
      <c r="E69" s="144">
        <v>2010</v>
      </c>
      <c r="F69" s="145">
        <v>2011</v>
      </c>
      <c r="U69" s="154" t="str">
        <f>$B$2</f>
        <v>Powerco</v>
      </c>
      <c r="V69" s="144">
        <v>2008</v>
      </c>
      <c r="W69" s="144">
        <v>2009</v>
      </c>
      <c r="X69" s="144">
        <v>2010</v>
      </c>
      <c r="Y69" s="145">
        <v>2011</v>
      </c>
    </row>
    <row r="70" spans="2:40">
      <c r="B70" s="111" t="s">
        <v>185</v>
      </c>
      <c r="C70" s="426">
        <f>(C54/C98)*1000</f>
        <v>731.42887539310254</v>
      </c>
      <c r="D70" s="433">
        <f>(D54/D98)*1000</f>
        <v>659.86441760241439</v>
      </c>
      <c r="E70" s="433">
        <f>(E54/E98)*1000</f>
        <v>685.27832202473314</v>
      </c>
      <c r="F70" s="434">
        <f>(F54/F98)*1000</f>
        <v>707.57856753769761</v>
      </c>
      <c r="U70" s="170" t="s">
        <v>477</v>
      </c>
      <c r="V70" s="426">
        <f>V54*1000/V98</f>
        <v>761.91731809188809</v>
      </c>
      <c r="W70" s="433">
        <f t="shared" ref="W70:Y70" si="6">W54*1000/W98</f>
        <v>725.45475698319103</v>
      </c>
      <c r="X70" s="433">
        <f t="shared" si="6"/>
        <v>751.22876823706349</v>
      </c>
      <c r="Y70" s="434">
        <f t="shared" si="6"/>
        <v>735.32055311125077</v>
      </c>
    </row>
    <row r="71" spans="2:40">
      <c r="B71" s="111" t="s">
        <v>180</v>
      </c>
      <c r="C71" s="433">
        <f>(C55/C99)*1000</f>
        <v>2004.5987731654341</v>
      </c>
      <c r="D71" s="433">
        <f t="shared" ref="C71:F73" si="7">(D55/D99)*1000</f>
        <v>3299.23545693405</v>
      </c>
      <c r="E71" s="433">
        <f t="shared" si="7"/>
        <v>3354.0410019832507</v>
      </c>
      <c r="F71" s="434">
        <f t="shared" si="7"/>
        <v>15250.411861614497</v>
      </c>
      <c r="U71" s="170" t="s">
        <v>478</v>
      </c>
      <c r="V71" s="433">
        <f t="shared" ref="V71:Y71" si="8">V55*1000/V99</f>
        <v>44167.226169713875</v>
      </c>
      <c r="W71" s="433">
        <f t="shared" si="8"/>
        <v>51402.769904077846</v>
      </c>
      <c r="X71" s="433">
        <f t="shared" si="8"/>
        <v>49958.664600900214</v>
      </c>
      <c r="Y71" s="434">
        <f t="shared" si="8"/>
        <v>50790.718237704918</v>
      </c>
    </row>
    <row r="72" spans="2:40">
      <c r="B72" s="111" t="s">
        <v>184</v>
      </c>
      <c r="C72" s="433">
        <f>(C56/C100)*1000</f>
        <v>44167.226169713875</v>
      </c>
      <c r="D72" s="433">
        <f t="shared" si="7"/>
        <v>51402.769904077846</v>
      </c>
      <c r="E72" s="433">
        <f t="shared" si="7"/>
        <v>49958.664600900214</v>
      </c>
      <c r="F72" s="434">
        <f t="shared" si="7"/>
        <v>50790.718237704925</v>
      </c>
      <c r="U72" s="170"/>
      <c r="V72" s="433"/>
      <c r="W72" s="433"/>
      <c r="X72" s="433"/>
      <c r="Y72" s="434"/>
    </row>
    <row r="73" spans="2:40">
      <c r="B73" s="115" t="s">
        <v>181</v>
      </c>
      <c r="C73" s="435">
        <f t="shared" si="7"/>
        <v>2220713.0113198939</v>
      </c>
      <c r="D73" s="435">
        <f t="shared" si="7"/>
        <v>1987328.2723591179</v>
      </c>
      <c r="E73" s="435">
        <f t="shared" si="7"/>
        <v>1950254.6953733393</v>
      </c>
      <c r="F73" s="436">
        <f t="shared" si="7"/>
        <v>1801939.1199999999</v>
      </c>
      <c r="U73" s="208" t="s">
        <v>181</v>
      </c>
      <c r="V73" s="435">
        <f t="shared" ref="V73:Y73" si="9">V57*1000/V101</f>
        <v>2220713.0113198934</v>
      </c>
      <c r="W73" s="435">
        <f t="shared" si="9"/>
        <v>1987328.2723591179</v>
      </c>
      <c r="X73" s="435">
        <f t="shared" si="9"/>
        <v>1950254.6953733391</v>
      </c>
      <c r="Y73" s="436">
        <f t="shared" si="9"/>
        <v>1801939.1199999999</v>
      </c>
    </row>
    <row r="74" spans="2:40">
      <c r="B74" s="103" t="s">
        <v>303</v>
      </c>
      <c r="U74" s="102" t="s">
        <v>303</v>
      </c>
    </row>
    <row r="75" spans="2:40">
      <c r="B75" s="137" t="str">
        <f>$B$2</f>
        <v>Powerco</v>
      </c>
      <c r="C75" s="140">
        <v>2008</v>
      </c>
      <c r="D75" s="144">
        <v>2009</v>
      </c>
      <c r="E75" s="144">
        <v>2010</v>
      </c>
      <c r="F75" s="145">
        <v>2011</v>
      </c>
      <c r="U75" s="154" t="str">
        <f>$B$2</f>
        <v>Powerco</v>
      </c>
      <c r="V75" s="140">
        <v>2008</v>
      </c>
      <c r="W75" s="144">
        <v>2009</v>
      </c>
      <c r="X75" s="144">
        <v>2010</v>
      </c>
      <c r="Y75" s="145">
        <v>2011</v>
      </c>
      <c r="AN75" s="139"/>
    </row>
    <row r="76" spans="2:40">
      <c r="B76" s="111" t="s">
        <v>185</v>
      </c>
      <c r="C76" s="422">
        <f t="shared" ref="C76:F79" si="10">IF(ISERROR(C70/$C70),"",(C70/$C70)*100)</f>
        <v>100</v>
      </c>
      <c r="D76" s="422">
        <f t="shared" si="10"/>
        <v>90.215800852512658</v>
      </c>
      <c r="E76" s="422">
        <f t="shared" si="10"/>
        <v>93.690356653807797</v>
      </c>
      <c r="F76" s="423">
        <f t="shared" si="10"/>
        <v>96.739217077998632</v>
      </c>
      <c r="U76" s="170" t="s">
        <v>477</v>
      </c>
      <c r="V76" s="422">
        <f>IF(ISERROR(V70/$V70),"",(V70/$V70)*100)</f>
        <v>100</v>
      </c>
      <c r="W76" s="422">
        <f t="shared" ref="W76:X79" si="11">IF(ISERROR(W70/$V70),"",(W70/$V70)*100)</f>
        <v>95.214367721682407</v>
      </c>
      <c r="X76" s="422">
        <f t="shared" si="11"/>
        <v>98.597150950500435</v>
      </c>
      <c r="Y76" s="423">
        <f>IF(ISERROR(Y70/$V70),"",(Y70/$V70)*100)</f>
        <v>96.509232124130591</v>
      </c>
      <c r="AN76" s="139"/>
    </row>
    <row r="77" spans="2:40">
      <c r="B77" s="111" t="s">
        <v>180</v>
      </c>
      <c r="C77" s="422">
        <f t="shared" si="10"/>
        <v>100</v>
      </c>
      <c r="D77" s="422">
        <f t="shared" si="10"/>
        <v>164.58333214103854</v>
      </c>
      <c r="E77" s="422">
        <f t="shared" si="10"/>
        <v>167.31732289184887</v>
      </c>
      <c r="F77" s="423">
        <f t="shared" si="10"/>
        <v>760.77128579365456</v>
      </c>
      <c r="I77" s="139" t="s">
        <v>190</v>
      </c>
      <c r="U77" s="170" t="s">
        <v>478</v>
      </c>
      <c r="V77" s="422">
        <f>IF(ISERROR(V71/$V71),"",(V71/$V71)*100)</f>
        <v>100</v>
      </c>
      <c r="W77" s="422">
        <f t="shared" si="11"/>
        <v>116.38215564310327</v>
      </c>
      <c r="X77" s="422">
        <f t="shared" si="11"/>
        <v>113.11252467821404</v>
      </c>
      <c r="Y77" s="423">
        <f>IF(ISERROR(Y71/$V71),"",(Y71/$V71)*100)</f>
        <v>114.996395840074</v>
      </c>
      <c r="AN77" s="139"/>
    </row>
    <row r="78" spans="2:40">
      <c r="B78" s="111" t="s">
        <v>184</v>
      </c>
      <c r="C78" s="422">
        <f t="shared" si="10"/>
        <v>100</v>
      </c>
      <c r="D78" s="422">
        <f t="shared" si="10"/>
        <v>116.38215564310327</v>
      </c>
      <c r="E78" s="422">
        <f t="shared" si="10"/>
        <v>113.11252467821404</v>
      </c>
      <c r="F78" s="423">
        <f t="shared" si="10"/>
        <v>114.99639584007402</v>
      </c>
      <c r="G78" s="141"/>
      <c r="U78" s="170"/>
      <c r="V78" s="422" t="str">
        <f>IF(ISERROR(V72/$V72),"",(V72/$V72)*100)</f>
        <v/>
      </c>
      <c r="W78" s="422" t="str">
        <f t="shared" si="11"/>
        <v/>
      </c>
      <c r="X78" s="422" t="str">
        <f t="shared" si="11"/>
        <v/>
      </c>
      <c r="Y78" s="423" t="str">
        <f>IF(ISERROR(Y72/$V72),"",(Y72/$V72)*100)</f>
        <v/>
      </c>
      <c r="AN78" s="139"/>
    </row>
    <row r="79" spans="2:40">
      <c r="B79" s="115" t="s">
        <v>181</v>
      </c>
      <c r="C79" s="424">
        <f t="shared" si="10"/>
        <v>100</v>
      </c>
      <c r="D79" s="424">
        <f t="shared" si="10"/>
        <v>89.490549306861482</v>
      </c>
      <c r="E79" s="424">
        <f t="shared" si="10"/>
        <v>87.821104547597258</v>
      </c>
      <c r="F79" s="416">
        <f t="shared" si="10"/>
        <v>81.142367825773519</v>
      </c>
      <c r="G79" s="141"/>
      <c r="U79" s="208" t="s">
        <v>181</v>
      </c>
      <c r="V79" s="424">
        <f>IF(ISERROR(V73/$V73),"",(V73/$V73)*100)</f>
        <v>100</v>
      </c>
      <c r="W79" s="424">
        <f t="shared" si="11"/>
        <v>89.490549306861482</v>
      </c>
      <c r="X79" s="424">
        <f t="shared" si="11"/>
        <v>87.821104547597258</v>
      </c>
      <c r="Y79" s="416">
        <f>IF(ISERROR(Y73/$V73),"",(Y73/$V73)*100)</f>
        <v>81.142367825773547</v>
      </c>
      <c r="AN79" s="139"/>
    </row>
    <row r="82" spans="2:25">
      <c r="B82" s="517" t="s">
        <v>252</v>
      </c>
      <c r="C82" s="510"/>
      <c r="D82" s="510"/>
      <c r="E82" s="510"/>
      <c r="F82" s="511"/>
      <c r="U82" s="533" t="s">
        <v>252</v>
      </c>
      <c r="V82" s="510"/>
      <c r="W82" s="510"/>
      <c r="X82" s="510"/>
      <c r="Y82" s="511"/>
    </row>
    <row r="83" spans="2:25">
      <c r="B83" s="137" t="str">
        <f>$B$2</f>
        <v>Powerco</v>
      </c>
      <c r="C83" s="144">
        <v>2008</v>
      </c>
      <c r="D83" s="144">
        <v>2009</v>
      </c>
      <c r="E83" s="144">
        <v>2010</v>
      </c>
      <c r="F83" s="145">
        <v>2011</v>
      </c>
      <c r="U83" s="154" t="str">
        <f>$B$2</f>
        <v>Powerco</v>
      </c>
      <c r="V83" s="144">
        <v>2008</v>
      </c>
      <c r="W83" s="144">
        <v>2009</v>
      </c>
      <c r="X83" s="144">
        <v>2010</v>
      </c>
      <c r="Y83" s="145">
        <v>2011</v>
      </c>
    </row>
    <row r="84" spans="2:25">
      <c r="B84" s="111" t="s">
        <v>185</v>
      </c>
      <c r="C84" s="430">
        <f>(C54/VLOOKUP($C$38,'MP (2011)'!$A$14:$AR$245,'MP (2011)'!$AA$246,FALSE)*100)</f>
        <v>9.0359471481975699</v>
      </c>
      <c r="D84" s="437">
        <f>(D54/VLOOKUP($D$38,'MP (2011)'!$A$14:$AR$245,'MP (2011)'!$AA$246,FALSE)*100)</f>
        <v>8.4273300457607601</v>
      </c>
      <c r="E84" s="437">
        <f>(E54/VLOOKUP($E$38,'MP (2011)'!$A$14:$AR$245,'MP (2011)'!$AA$246,FALSE)*100)</f>
        <v>8.8802793166364147</v>
      </c>
      <c r="F84" s="438">
        <f>(F54/VLOOKUP($F$38,'MP (2011)'!$A$14:$AR$245,'MP (2011)'!$AA$246,FALSE)*100)</f>
        <v>8.7933579278036991</v>
      </c>
      <c r="U84" s="170" t="s">
        <v>477</v>
      </c>
      <c r="V84" s="430">
        <f>V54*100/V113</f>
        <v>8.3562298193439908</v>
      </c>
      <c r="W84" s="437">
        <f t="shared" ref="W84:Y84" si="12">W54*100/W113</f>
        <v>8.2659534092677927</v>
      </c>
      <c r="X84" s="437">
        <f t="shared" si="12"/>
        <v>8.6586591512157476</v>
      </c>
      <c r="Y84" s="438">
        <f t="shared" si="12"/>
        <v>8.6842834878767281</v>
      </c>
    </row>
    <row r="85" spans="2:25">
      <c r="B85" s="111" t="s">
        <v>180</v>
      </c>
      <c r="C85" s="430">
        <f>(C55/VLOOKUP($C$38,'MP (2011)'!$A$14:$AR$245,'MP (2011)'!$AE$246,FALSE)*100)</f>
        <v>3.9439872569299532</v>
      </c>
      <c r="D85" s="437">
        <f>(D55/VLOOKUP($D$38,'MP (2011)'!$A$14:$AR$245,'MP (2011)'!$AE$246,FALSE)*100)</f>
        <v>7.1859872223114793</v>
      </c>
      <c r="E85" s="437">
        <f>(E55/VLOOKUP($E$38,'MP (2011)'!$A$14:$AR$245,'MP (2011)'!$AE$246,FALSE)*100)</f>
        <v>7.2081229785369194</v>
      </c>
      <c r="F85" s="438">
        <f>(F55/VLOOKUP($F$38,'MP (2011)'!$A$14:$AR$245,'MP (2011)'!$AE$246,FALSE)*100)</f>
        <v>6.6744536494271518</v>
      </c>
      <c r="U85" s="170" t="s">
        <v>478</v>
      </c>
      <c r="V85" s="430">
        <f t="shared" ref="V85:Y85" si="13">V55*100/V114</f>
        <v>3.8664168045214806</v>
      </c>
      <c r="W85" s="437">
        <f t="shared" si="13"/>
        <v>4.5231712444517767</v>
      </c>
      <c r="X85" s="437">
        <f t="shared" si="13"/>
        <v>4.6077847893903332</v>
      </c>
      <c r="Y85" s="438">
        <f t="shared" si="13"/>
        <v>4.5736058972625386</v>
      </c>
    </row>
    <row r="86" spans="2:25">
      <c r="B86" s="111" t="s">
        <v>184</v>
      </c>
      <c r="C86" s="430">
        <f>(C56/VLOOKUP($C$38,'MP (2011)'!$A$14:$AR$245,'MP (2011)'!$AI$246,FALSE)*100)</f>
        <v>3.8664168045214811</v>
      </c>
      <c r="D86" s="437">
        <f>(D56/VLOOKUP($D$38,'MP (2011)'!$A$14:$AR$245,'MP (2011)'!$AI$246,FALSE)*100)</f>
        <v>4.5231712444517767</v>
      </c>
      <c r="E86" s="437">
        <f>(E56/VLOOKUP($E$38,'MP (2011)'!$A$14:$AR$245,'MP (2011)'!$AI$246,FALSE)*100)</f>
        <v>4.6077847893903323</v>
      </c>
      <c r="F86" s="438">
        <f>(F56/VLOOKUP($F$38,'MP (2011)'!$A$14:$AR$245,'MP (2011)'!$AI$246,FALSE)*100)</f>
        <v>4.5736058972625386</v>
      </c>
      <c r="U86" s="170"/>
      <c r="V86" s="430"/>
      <c r="W86" s="437"/>
      <c r="X86" s="437"/>
      <c r="Y86" s="438"/>
    </row>
    <row r="87" spans="2:25">
      <c r="B87" s="115" t="s">
        <v>181</v>
      </c>
      <c r="C87" s="431">
        <f>(C57/VLOOKUP($C$38,'MP (2011)'!$A$14:$AR$245,'MP (2011)'!$AM$246,FALSE)*100)</f>
        <v>2.4029602445556812</v>
      </c>
      <c r="D87" s="431">
        <f>(D57/VLOOKUP($D$38,'MP (2011)'!$A$14:$AR$245,'MP (2011)'!$AM$246,FALSE)*100)</f>
        <v>1.9385882856805376</v>
      </c>
      <c r="E87" s="431">
        <f>(E57/VLOOKUP($E$38,'MP (2011)'!$A$14:$AR$245,'MP (2011)'!$AM$246,FALSE)*100)</f>
        <v>2.0892609123522949</v>
      </c>
      <c r="F87" s="432">
        <f>(F57/VLOOKUP($F$38,'MP (2011)'!$A$14:$AR$245,'MP (2011)'!$AM$246,FALSE)*100)</f>
        <v>1.7137080064347059</v>
      </c>
      <c r="U87" s="208" t="s">
        <v>181</v>
      </c>
      <c r="V87" s="431">
        <f t="shared" ref="V87:Y87" si="14">V57*100/V116</f>
        <v>2.4029602445556812</v>
      </c>
      <c r="W87" s="431">
        <f t="shared" si="14"/>
        <v>1.9385882856805379</v>
      </c>
      <c r="X87" s="431">
        <f t="shared" si="14"/>
        <v>2.0892609123522949</v>
      </c>
      <c r="Y87" s="432">
        <f t="shared" si="14"/>
        <v>1.7137080064347059</v>
      </c>
    </row>
    <row r="88" spans="2:25">
      <c r="B88" s="103" t="s">
        <v>304</v>
      </c>
      <c r="U88" s="102" t="s">
        <v>304</v>
      </c>
    </row>
    <row r="89" spans="2:25">
      <c r="B89" s="137" t="str">
        <f>$B$2</f>
        <v>Powerco</v>
      </c>
      <c r="C89" s="140">
        <v>2008</v>
      </c>
      <c r="D89" s="144">
        <v>2009</v>
      </c>
      <c r="E89" s="144">
        <v>2010</v>
      </c>
      <c r="F89" s="145">
        <v>2011</v>
      </c>
      <c r="U89" s="154" t="str">
        <f>$B$2</f>
        <v>Powerco</v>
      </c>
      <c r="V89" s="140">
        <v>2008</v>
      </c>
      <c r="W89" s="144">
        <v>2009</v>
      </c>
      <c r="X89" s="144">
        <v>2010</v>
      </c>
      <c r="Y89" s="145">
        <v>2011</v>
      </c>
    </row>
    <row r="90" spans="2:25">
      <c r="B90" s="111" t="s">
        <v>185</v>
      </c>
      <c r="C90" s="422">
        <f>IF(ISERROR(C84/$C84),"",(C84/$C84)*100)</f>
        <v>100</v>
      </c>
      <c r="D90" s="422">
        <f>IF(ISERROR(D84/$C84),"",(D84/$C84)*100)</f>
        <v>93.264490235999091</v>
      </c>
      <c r="E90" s="422">
        <f>IF(ISERROR(E84/$C84),"",(E84/$C84)*100)</f>
        <v>98.277238356886514</v>
      </c>
      <c r="F90" s="423">
        <f>IF(ISERROR(F84/$C84),"",(F84/$C84)*100)</f>
        <v>97.315287302867176</v>
      </c>
      <c r="U90" s="170" t="s">
        <v>477</v>
      </c>
      <c r="V90" s="422">
        <f>IF(ISERROR(V84/$V84),"",(V84/$V84)*100)</f>
        <v>100</v>
      </c>
      <c r="W90" s="422">
        <f t="shared" ref="W90:Y90" si="15">IF(ISERROR(W84/$V84),"",(W84/$V84)*100)</f>
        <v>98.919651421419559</v>
      </c>
      <c r="X90" s="422">
        <f t="shared" si="15"/>
        <v>103.61920792522552</v>
      </c>
      <c r="Y90" s="423">
        <f t="shared" si="15"/>
        <v>103.9258574216487</v>
      </c>
    </row>
    <row r="91" spans="2:25">
      <c r="B91" s="111" t="s">
        <v>180</v>
      </c>
      <c r="C91" s="422">
        <f t="shared" ref="C91:F92" si="16">IF(ISERROR(C85/$C85),"",(C85/$C85)*100)</f>
        <v>100</v>
      </c>
      <c r="D91" s="422">
        <f t="shared" si="16"/>
        <v>182.20107607307884</v>
      </c>
      <c r="E91" s="422">
        <f t="shared" si="16"/>
        <v>182.76232931208324</v>
      </c>
      <c r="F91" s="423">
        <f t="shared" si="16"/>
        <v>169.2311159905376</v>
      </c>
      <c r="U91" s="170" t="s">
        <v>478</v>
      </c>
      <c r="V91" s="422">
        <f t="shared" ref="V91:Y93" si="17">IF(ISERROR(V85/$V85),"",(V85/$V85)*100)</f>
        <v>100</v>
      </c>
      <c r="W91" s="422">
        <f t="shared" si="17"/>
        <v>116.98612625421738</v>
      </c>
      <c r="X91" s="422">
        <f t="shared" si="17"/>
        <v>119.17454900366353</v>
      </c>
      <c r="Y91" s="423">
        <f t="shared" si="17"/>
        <v>118.29055501502204</v>
      </c>
    </row>
    <row r="92" spans="2:25">
      <c r="B92" s="111" t="s">
        <v>184</v>
      </c>
      <c r="C92" s="422">
        <f t="shared" si="16"/>
        <v>100</v>
      </c>
      <c r="D92" s="422">
        <f t="shared" si="16"/>
        <v>116.98612625421735</v>
      </c>
      <c r="E92" s="422">
        <f t="shared" si="16"/>
        <v>119.17454900366349</v>
      </c>
      <c r="F92" s="423">
        <f t="shared" si="16"/>
        <v>118.29055501502201</v>
      </c>
      <c r="G92" s="141"/>
      <c r="U92" s="170"/>
      <c r="V92" s="422" t="str">
        <f t="shared" si="17"/>
        <v/>
      </c>
      <c r="W92" s="422" t="str">
        <f t="shared" si="17"/>
        <v/>
      </c>
      <c r="X92" s="422" t="str">
        <f t="shared" si="17"/>
        <v/>
      </c>
      <c r="Y92" s="423" t="str">
        <f t="shared" si="17"/>
        <v/>
      </c>
    </row>
    <row r="93" spans="2:25">
      <c r="B93" s="115" t="s">
        <v>181</v>
      </c>
      <c r="C93" s="424">
        <f>IF(ISERROR(C87/$C87),"",(C87/$C87)*100)</f>
        <v>100</v>
      </c>
      <c r="D93" s="424">
        <f>IF(ISERROR(D87/$C87),"",(D87/$C87)*100)</f>
        <v>80.67500451048835</v>
      </c>
      <c r="E93" s="424">
        <f>IF(ISERROR(E87/$C87),"",(E87/$C87)*100)</f>
        <v>86.945296622608467</v>
      </c>
      <c r="F93" s="416">
        <f>IF(ISERROR(F87/$C87),"",(F87/$C87)*100)</f>
        <v>71.316535940093289</v>
      </c>
      <c r="G93" s="141"/>
      <c r="U93" s="208" t="s">
        <v>181</v>
      </c>
      <c r="V93" s="424">
        <f t="shared" si="17"/>
        <v>100</v>
      </c>
      <c r="W93" s="424">
        <f t="shared" si="17"/>
        <v>80.675004510488364</v>
      </c>
      <c r="X93" s="424">
        <f t="shared" si="17"/>
        <v>86.945296622608467</v>
      </c>
      <c r="Y93" s="416">
        <f t="shared" si="17"/>
        <v>71.316535940093289</v>
      </c>
    </row>
    <row r="96" spans="2:25">
      <c r="B96" s="517" t="s">
        <v>253</v>
      </c>
      <c r="C96" s="510"/>
      <c r="D96" s="510"/>
      <c r="E96" s="510"/>
      <c r="F96" s="511"/>
      <c r="U96" s="533" t="s">
        <v>253</v>
      </c>
      <c r="V96" s="510"/>
      <c r="W96" s="510"/>
      <c r="X96" s="510"/>
      <c r="Y96" s="511"/>
    </row>
    <row r="97" spans="2:25">
      <c r="B97" s="154"/>
      <c r="C97" s="144">
        <v>2008</v>
      </c>
      <c r="D97" s="144">
        <v>2009</v>
      </c>
      <c r="E97" s="144">
        <v>2010</v>
      </c>
      <c r="F97" s="145">
        <v>2011</v>
      </c>
      <c r="U97" s="154"/>
      <c r="V97" s="144">
        <v>2008</v>
      </c>
      <c r="W97" s="144">
        <v>2009</v>
      </c>
      <c r="X97" s="144">
        <v>2010</v>
      </c>
      <c r="Y97" s="145">
        <v>2011</v>
      </c>
    </row>
    <row r="98" spans="2:25">
      <c r="B98" s="155" t="s">
        <v>308</v>
      </c>
      <c r="C98" s="150">
        <f>VLOOKUP($C$38,'MP (2011)'!$A$14:$AR$245,'MP (2011)'!$AB$246,FALSE)</f>
        <v>296767</v>
      </c>
      <c r="D98" s="150">
        <f>VLOOKUP($D$38,'MP (2011)'!$A$14:$AR$245,'MP (2011)'!$AB$246,FALSE)</f>
        <v>306584</v>
      </c>
      <c r="E98" s="150">
        <f>VLOOKUP($E$38,'MP (2011)'!$A$14:$AR$245,'MP (2011)'!$AB$246,FALSE)</f>
        <v>308665</v>
      </c>
      <c r="F98" s="151">
        <f>VLOOKUP($F$38,'MP (2011)'!$A$14:$AR$245,'MP (2011)'!$AB$246,FALSE)</f>
        <v>317593</v>
      </c>
      <c r="U98" s="170" t="s">
        <v>477</v>
      </c>
      <c r="V98" s="150">
        <f>C98+C99</f>
        <v>304048</v>
      </c>
      <c r="W98" s="150">
        <f t="shared" ref="W98:X98" si="18">D98+D99</f>
        <v>314397</v>
      </c>
      <c r="X98" s="150">
        <f t="shared" si="18"/>
        <v>316486</v>
      </c>
      <c r="Y98" s="151">
        <f>F98+F99</f>
        <v>318200</v>
      </c>
    </row>
    <row r="99" spans="2:25">
      <c r="B99" s="155" t="s">
        <v>309</v>
      </c>
      <c r="C99" s="150">
        <f>VLOOKUP($C$38,'MP (2011)'!$A$14:$AR$245,'MP (2011)'!$AF$246,FALSE)</f>
        <v>7281</v>
      </c>
      <c r="D99" s="150">
        <f>VLOOKUP($D$38,'MP (2011)'!$A$14:$AR$245,'MP (2011)'!$AF$246,FALSE)</f>
        <v>7813</v>
      </c>
      <c r="E99" s="150">
        <f>VLOOKUP($E$38,'MP (2011)'!$A$14:$AR$245,'MP (2011)'!$AF$246,FALSE)</f>
        <v>7821</v>
      </c>
      <c r="F99" s="151">
        <f>VLOOKUP($F$38,'MP (2011)'!$A$14:$AR$245,'MP (2011)'!$AF$246,FALSE)</f>
        <v>607</v>
      </c>
      <c r="U99" s="170" t="s">
        <v>478</v>
      </c>
      <c r="V99" s="150">
        <f>C100</f>
        <v>1018</v>
      </c>
      <c r="W99" s="150">
        <f t="shared" ref="W99:X99" si="19">D100</f>
        <v>972</v>
      </c>
      <c r="X99" s="150">
        <f t="shared" si="19"/>
        <v>998</v>
      </c>
      <c r="Y99" s="151">
        <f>F100</f>
        <v>976</v>
      </c>
    </row>
    <row r="100" spans="2:25">
      <c r="B100" s="155" t="s">
        <v>310</v>
      </c>
      <c r="C100" s="150">
        <f>VLOOKUP($C$38,'MP (2011)'!$A$14:$AR$245,'MP (2011)'!$AJ$246,FALSE)</f>
        <v>1018</v>
      </c>
      <c r="D100" s="150">
        <f>VLOOKUP($D$38,'MP (2011)'!$A$14:$AR$245,'MP (2011)'!$AJ$246,FALSE)</f>
        <v>972</v>
      </c>
      <c r="E100" s="150">
        <f>VLOOKUP($E$38,'MP (2011)'!$A$14:$AR$245,'MP (2011)'!$AJ$246,FALSE)</f>
        <v>998</v>
      </c>
      <c r="F100" s="151">
        <f>VLOOKUP($F$38,'MP (2011)'!$A$14:$AR$245,'MP (2011)'!$AJ$246,FALSE)</f>
        <v>976</v>
      </c>
      <c r="U100" s="170"/>
      <c r="V100" s="150"/>
      <c r="W100" s="150"/>
      <c r="X100" s="150"/>
      <c r="Y100" s="151"/>
    </row>
    <row r="101" spans="2:25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  <c r="U101" s="170" t="s">
        <v>181</v>
      </c>
      <c r="V101" s="150">
        <f>C101</f>
        <v>5</v>
      </c>
      <c r="W101" s="150">
        <f>D101</f>
        <v>5</v>
      </c>
      <c r="X101" s="150">
        <f>E101</f>
        <v>5</v>
      </c>
      <c r="Y101" s="151">
        <f>F101</f>
        <v>5</v>
      </c>
    </row>
    <row r="102" spans="2:25">
      <c r="B102" s="156" t="s">
        <v>254</v>
      </c>
      <c r="C102" s="152">
        <f>SUM(C98:C101)</f>
        <v>305071</v>
      </c>
      <c r="D102" s="152">
        <f>SUM(D98:D101)</f>
        <v>315374</v>
      </c>
      <c r="E102" s="152">
        <f>SUM(E98:E101)</f>
        <v>317489</v>
      </c>
      <c r="F102" s="157">
        <f>SUM(F98:F101)</f>
        <v>319181</v>
      </c>
      <c r="U102" s="208" t="s">
        <v>254</v>
      </c>
      <c r="V102" s="152">
        <f>SUM(V98:V101)</f>
        <v>305071</v>
      </c>
      <c r="W102" s="152">
        <f>SUM(W98:W101)</f>
        <v>315374</v>
      </c>
      <c r="X102" s="152">
        <f>SUM(X98:X101)</f>
        <v>317489</v>
      </c>
      <c r="Y102" s="157">
        <f>SUM(Y98:Y101)</f>
        <v>319181</v>
      </c>
    </row>
    <row r="103" spans="2:25">
      <c r="B103" s="103" t="s">
        <v>305</v>
      </c>
      <c r="U103" s="102" t="s">
        <v>305</v>
      </c>
    </row>
    <row r="104" spans="2:25">
      <c r="B104" s="137"/>
      <c r="C104" s="140">
        <v>2008</v>
      </c>
      <c r="D104" s="144">
        <v>2009</v>
      </c>
      <c r="E104" s="144">
        <v>2010</v>
      </c>
      <c r="F104" s="145">
        <v>2011</v>
      </c>
      <c r="U104" s="154"/>
      <c r="V104" s="536">
        <v>2008</v>
      </c>
      <c r="W104" s="534">
        <v>2009</v>
      </c>
      <c r="X104" s="534">
        <v>2010</v>
      </c>
      <c r="Y104" s="535">
        <v>2011</v>
      </c>
    </row>
    <row r="105" spans="2:25">
      <c r="B105" s="111" t="s">
        <v>185</v>
      </c>
      <c r="C105" s="422">
        <f t="shared" ref="C105:F108" si="20">IF(ISERROR(C98/$C98),"",(C98/$C98)*100)</f>
        <v>100</v>
      </c>
      <c r="D105" s="422">
        <f t="shared" si="20"/>
        <v>103.30798235652885</v>
      </c>
      <c r="E105" s="422">
        <f t="shared" si="20"/>
        <v>104.00920587531633</v>
      </c>
      <c r="F105" s="423">
        <f t="shared" si="20"/>
        <v>107.01762662290619</v>
      </c>
      <c r="U105" s="170" t="s">
        <v>477</v>
      </c>
      <c r="V105" s="422">
        <f>IF(ISERROR(V98/$V98),"",(V98/$V98)*100)</f>
        <v>100</v>
      </c>
      <c r="W105" s="422">
        <f t="shared" ref="W105:Y105" si="21">IF(ISERROR(W98/$V98),"",(W98/$V98)*100)</f>
        <v>103.4037388833342</v>
      </c>
      <c r="X105" s="422">
        <f t="shared" si="21"/>
        <v>104.09080145240226</v>
      </c>
      <c r="Y105" s="423">
        <f t="shared" si="21"/>
        <v>104.65452823238437</v>
      </c>
    </row>
    <row r="106" spans="2:25">
      <c r="B106" s="111" t="s">
        <v>180</v>
      </c>
      <c r="C106" s="422">
        <f t="shared" si="20"/>
        <v>100</v>
      </c>
      <c r="D106" s="422">
        <f t="shared" si="20"/>
        <v>107.30668864167011</v>
      </c>
      <c r="E106" s="422">
        <f t="shared" si="20"/>
        <v>107.41656365883807</v>
      </c>
      <c r="F106" s="423">
        <f t="shared" si="20"/>
        <v>8.3367669276198324</v>
      </c>
      <c r="G106" s="141"/>
      <c r="U106" s="170" t="s">
        <v>478</v>
      </c>
      <c r="V106" s="422">
        <f t="shared" ref="V106:Y108" si="22">IF(ISERROR(V99/$V99),"",(V99/$V99)*100)</f>
        <v>100</v>
      </c>
      <c r="W106" s="422">
        <f t="shared" si="22"/>
        <v>95.481335952848724</v>
      </c>
      <c r="X106" s="422">
        <f t="shared" si="22"/>
        <v>98.035363457760312</v>
      </c>
      <c r="Y106" s="423">
        <f t="shared" si="22"/>
        <v>95.874263261296662</v>
      </c>
    </row>
    <row r="107" spans="2:25">
      <c r="B107" s="111" t="s">
        <v>184</v>
      </c>
      <c r="C107" s="422">
        <f t="shared" si="20"/>
        <v>100</v>
      </c>
      <c r="D107" s="422">
        <f t="shared" si="20"/>
        <v>95.481335952848724</v>
      </c>
      <c r="E107" s="422">
        <f t="shared" si="20"/>
        <v>98.035363457760312</v>
      </c>
      <c r="F107" s="423">
        <f t="shared" si="20"/>
        <v>95.874263261296662</v>
      </c>
      <c r="G107" s="141"/>
      <c r="U107" s="170"/>
      <c r="V107" s="422" t="str">
        <f t="shared" si="22"/>
        <v/>
      </c>
      <c r="W107" s="422" t="str">
        <f t="shared" si="22"/>
        <v/>
      </c>
      <c r="X107" s="422" t="str">
        <f t="shared" si="22"/>
        <v/>
      </c>
      <c r="Y107" s="423" t="str">
        <f t="shared" si="22"/>
        <v/>
      </c>
    </row>
    <row r="108" spans="2:25">
      <c r="B108" s="115" t="s">
        <v>181</v>
      </c>
      <c r="C108" s="424">
        <f t="shared" si="20"/>
        <v>100</v>
      </c>
      <c r="D108" s="424">
        <f t="shared" si="20"/>
        <v>100</v>
      </c>
      <c r="E108" s="424">
        <f t="shared" si="20"/>
        <v>100</v>
      </c>
      <c r="F108" s="416">
        <f t="shared" si="20"/>
        <v>100</v>
      </c>
      <c r="U108" s="170" t="s">
        <v>181</v>
      </c>
      <c r="V108" s="422">
        <f t="shared" si="22"/>
        <v>100</v>
      </c>
      <c r="W108" s="422">
        <f t="shared" si="22"/>
        <v>100</v>
      </c>
      <c r="X108" s="422">
        <f t="shared" si="22"/>
        <v>100</v>
      </c>
      <c r="Y108" s="423">
        <f t="shared" si="22"/>
        <v>100</v>
      </c>
    </row>
    <row r="109" spans="2:25">
      <c r="U109" s="208"/>
      <c r="V109" s="205"/>
      <c r="W109" s="205"/>
      <c r="X109" s="205"/>
      <c r="Y109" s="206"/>
    </row>
    <row r="111" spans="2:25">
      <c r="B111" s="517" t="s">
        <v>255</v>
      </c>
      <c r="C111" s="510"/>
      <c r="D111" s="510"/>
      <c r="E111" s="510"/>
      <c r="F111" s="511"/>
      <c r="U111" s="533" t="s">
        <v>255</v>
      </c>
      <c r="V111" s="510"/>
      <c r="W111" s="510"/>
      <c r="X111" s="510"/>
      <c r="Y111" s="511"/>
    </row>
    <row r="112" spans="2:25">
      <c r="B112" s="137" t="str">
        <f>$B$2</f>
        <v>Powerco</v>
      </c>
      <c r="C112" s="144">
        <v>2008</v>
      </c>
      <c r="D112" s="144">
        <v>2009</v>
      </c>
      <c r="E112" s="144">
        <v>2010</v>
      </c>
      <c r="F112" s="145">
        <v>2011</v>
      </c>
      <c r="U112" s="154" t="str">
        <f>$B$2</f>
        <v>Powerco</v>
      </c>
      <c r="V112" s="144">
        <v>2008</v>
      </c>
      <c r="W112" s="144">
        <v>2009</v>
      </c>
      <c r="X112" s="144">
        <v>2010</v>
      </c>
      <c r="Y112" s="145">
        <v>2011</v>
      </c>
    </row>
    <row r="113" spans="2:25">
      <c r="B113" s="155" t="s">
        <v>308</v>
      </c>
      <c r="C113" s="146">
        <f>VLOOKUP($C$38,'MP (2011)'!$A$14:$AR$245,'MP (2011)'!$AA$246,FALSE)</f>
        <v>2402226.9</v>
      </c>
      <c r="D113" s="150">
        <f>VLOOKUP($D$38,'MP (2011)'!$A$14:$AR$245,'MP (2011)'!$AA$246,FALSE)</f>
        <v>2400569</v>
      </c>
      <c r="E113" s="150">
        <f>VLOOKUP($E$38,'MP (2011)'!$A$14:$AR$245,'MP (2011)'!$AA$246,FALSE)</f>
        <v>2381923.2000000002</v>
      </c>
      <c r="F113" s="151">
        <f>VLOOKUP($F$38,'MP (2011)'!$A$14:$AR$245,'MP (2011)'!$AA$246,FALSE)</f>
        <v>2555588</v>
      </c>
      <c r="U113" s="170" t="s">
        <v>477</v>
      </c>
      <c r="V113" s="426">
        <f>C113+C114</f>
        <v>2772296.1399999997</v>
      </c>
      <c r="W113" s="433">
        <f t="shared" ref="W113:X113" si="23">D113+D114</f>
        <v>2759280</v>
      </c>
      <c r="X113" s="433">
        <f t="shared" si="23"/>
        <v>2745845.33</v>
      </c>
      <c r="Y113" s="434">
        <f>F113+F114</f>
        <v>2694281</v>
      </c>
    </row>
    <row r="114" spans="2:25">
      <c r="B114" s="155" t="s">
        <v>309</v>
      </c>
      <c r="C114" s="150">
        <f>VLOOKUP($C$38,'MP (2011)'!$A$14:$AR$245,'MP (2011)'!$AE$246,FALSE)</f>
        <v>370069.24</v>
      </c>
      <c r="D114" s="150">
        <f>VLOOKUP($D$38,'MP (2011)'!$A$14:$AR$245,'MP (2011)'!$AE$246,FALSE)</f>
        <v>358711</v>
      </c>
      <c r="E114" s="150">
        <f>VLOOKUP($E$38,'MP (2011)'!$A$14:$AR$245,'MP (2011)'!$AE$246,FALSE)</f>
        <v>363922.13</v>
      </c>
      <c r="F114" s="151">
        <f>VLOOKUP($F$38,'MP (2011)'!$A$14:$AR$245,'MP (2011)'!$AE$246,FALSE)</f>
        <v>138693</v>
      </c>
      <c r="U114" s="170" t="s">
        <v>478</v>
      </c>
      <c r="V114" s="433">
        <f>C115</f>
        <v>1162891.6000000001</v>
      </c>
      <c r="W114" s="433">
        <f t="shared" ref="W114:X114" si="24">D115</f>
        <v>1104612</v>
      </c>
      <c r="X114" s="433">
        <f t="shared" si="24"/>
        <v>1082054.6000000001</v>
      </c>
      <c r="Y114" s="434">
        <f>F115</f>
        <v>1083865.6000000001</v>
      </c>
    </row>
    <row r="115" spans="2:25">
      <c r="B115" s="155" t="s">
        <v>310</v>
      </c>
      <c r="C115" s="150">
        <f>VLOOKUP($C$38,'MP (2011)'!$A$14:$AR$245,'MP (2011)'!$AI$246,FALSE)</f>
        <v>1162891.6000000001</v>
      </c>
      <c r="D115" s="150">
        <f>VLOOKUP($D$38,'MP (2011)'!$A$14:$AR$245,'MP (2011)'!$AI$246,FALSE)</f>
        <v>1104612</v>
      </c>
      <c r="E115" s="150">
        <f>VLOOKUP($E$38,'MP (2011)'!$A$14:$AR$245,'MP (2011)'!$AI$246,FALSE)</f>
        <v>1082054.6000000001</v>
      </c>
      <c r="F115" s="151">
        <f>VLOOKUP($F$38,'MP (2011)'!$A$14:$AR$245,'MP (2011)'!$AI$246,FALSE)</f>
        <v>1083865.6000000001</v>
      </c>
      <c r="U115" s="170"/>
      <c r="V115" s="433"/>
      <c r="W115" s="433"/>
      <c r="X115" s="433"/>
      <c r="Y115" s="434"/>
    </row>
    <row r="116" spans="2:25">
      <c r="B116" s="155" t="s">
        <v>311</v>
      </c>
      <c r="C116" s="150">
        <f>VLOOKUP($C$38,'MP (2011)'!$A$14:$AR$245,'MP (2011)'!$AM$246,FALSE)</f>
        <v>462078.6</v>
      </c>
      <c r="D116" s="150">
        <f>VLOOKUP($D$38,'MP (2011)'!$A$14:$AR$245,'MP (2011)'!$AM$246,FALSE)</f>
        <v>512571</v>
      </c>
      <c r="E116" s="150">
        <f>VLOOKUP($E$38,'MP (2011)'!$A$14:$AR$245,'MP (2011)'!$AM$246,FALSE)</f>
        <v>466733.16</v>
      </c>
      <c r="F116" s="151">
        <f>VLOOKUP($F$38,'MP (2011)'!$A$14:$AR$245,'MP (2011)'!$AM$246,FALSE)</f>
        <v>525742.75</v>
      </c>
      <c r="U116" s="170" t="s">
        <v>181</v>
      </c>
      <c r="V116" s="433">
        <f>C116</f>
        <v>462078.6</v>
      </c>
      <c r="W116" s="433">
        <f>D116</f>
        <v>512571</v>
      </c>
      <c r="X116" s="433">
        <f>E116</f>
        <v>466733.16</v>
      </c>
      <c r="Y116" s="434">
        <f>F116</f>
        <v>525742.75</v>
      </c>
    </row>
    <row r="117" spans="2:25">
      <c r="B117" s="147" t="s">
        <v>254</v>
      </c>
      <c r="C117" s="158">
        <f>SUM(C113:C116)</f>
        <v>4397266.34</v>
      </c>
      <c r="D117" s="158">
        <f>SUM(D113:D116)</f>
        <v>4376463</v>
      </c>
      <c r="E117" s="158">
        <f>SUM(E113:E116)</f>
        <v>4294633.09</v>
      </c>
      <c r="F117" s="159">
        <f>SUM(F113:F116)</f>
        <v>4303889.3499999996</v>
      </c>
      <c r="U117" s="208" t="s">
        <v>254</v>
      </c>
      <c r="V117" s="445">
        <f>SUM(V113:V116)</f>
        <v>4397266.34</v>
      </c>
      <c r="W117" s="445">
        <f>SUM(W113:W116)</f>
        <v>4376463</v>
      </c>
      <c r="X117" s="445">
        <f>SUM(X113:X116)</f>
        <v>4294633.09</v>
      </c>
      <c r="Y117" s="537">
        <f>SUM(Y113:Y116)</f>
        <v>4303889.3499999996</v>
      </c>
    </row>
    <row r="118" spans="2:25">
      <c r="B118" s="103" t="s">
        <v>306</v>
      </c>
      <c r="U118" s="102" t="s">
        <v>306</v>
      </c>
    </row>
    <row r="119" spans="2:25">
      <c r="B119" s="137" t="str">
        <f>$B$2</f>
        <v>Powerco</v>
      </c>
      <c r="C119" s="144">
        <v>2008</v>
      </c>
      <c r="D119" s="144">
        <v>2009</v>
      </c>
      <c r="E119" s="144">
        <v>2010</v>
      </c>
      <c r="F119" s="145">
        <v>2011</v>
      </c>
      <c r="U119" s="154"/>
      <c r="V119" s="534">
        <v>2008</v>
      </c>
      <c r="W119" s="534">
        <v>2009</v>
      </c>
      <c r="X119" s="534">
        <v>2010</v>
      </c>
      <c r="Y119" s="535">
        <v>2011</v>
      </c>
    </row>
    <row r="120" spans="2:25">
      <c r="B120" s="111" t="s">
        <v>185</v>
      </c>
      <c r="C120" s="422">
        <f t="shared" ref="C120:F123" si="25">IF(ISERROR(C113/$C113),"",(C113/$C113)*100)</f>
        <v>100</v>
      </c>
      <c r="D120" s="422">
        <f t="shared" si="25"/>
        <v>99.9309848707464</v>
      </c>
      <c r="E120" s="422">
        <f t="shared" si="25"/>
        <v>99.154796742972124</v>
      </c>
      <c r="F120" s="423">
        <f t="shared" si="25"/>
        <v>106.3841221659786</v>
      </c>
      <c r="U120" s="170" t="s">
        <v>477</v>
      </c>
      <c r="V120" s="422">
        <f>IF(ISERROR(V113/$V113),"",(V113/$V113)*100)</f>
        <v>100</v>
      </c>
      <c r="W120" s="422">
        <f t="shared" ref="W120:Y120" si="26">IF(ISERROR(W113/$V113),"",(W113/$V113)*100)</f>
        <v>99.530492438661341</v>
      </c>
      <c r="X120" s="422">
        <f t="shared" si="26"/>
        <v>99.045888005312463</v>
      </c>
      <c r="Y120" s="423">
        <f t="shared" si="26"/>
        <v>97.185901647577964</v>
      </c>
    </row>
    <row r="121" spans="2:25">
      <c r="B121" s="111" t="s">
        <v>180</v>
      </c>
      <c r="C121" s="422">
        <f t="shared" si="25"/>
        <v>100</v>
      </c>
      <c r="D121" s="422">
        <f t="shared" si="25"/>
        <v>96.930779764348955</v>
      </c>
      <c r="E121" s="422">
        <f t="shared" si="25"/>
        <v>98.338929763522103</v>
      </c>
      <c r="F121" s="423">
        <f t="shared" si="25"/>
        <v>37.477581222368009</v>
      </c>
      <c r="U121" s="170" t="s">
        <v>478</v>
      </c>
      <c r="V121" s="422">
        <f t="shared" ref="V121:Y123" si="27">IF(ISERROR(V114/$V114),"",(V114/$V114)*100)</f>
        <v>100</v>
      </c>
      <c r="W121" s="422">
        <f t="shared" si="27"/>
        <v>94.988389287531177</v>
      </c>
      <c r="X121" s="422">
        <f t="shared" si="27"/>
        <v>93.048621212845646</v>
      </c>
      <c r="Y121" s="423">
        <f t="shared" si="27"/>
        <v>93.20435369900342</v>
      </c>
    </row>
    <row r="122" spans="2:25">
      <c r="B122" s="111" t="s">
        <v>184</v>
      </c>
      <c r="C122" s="422">
        <f t="shared" si="25"/>
        <v>100</v>
      </c>
      <c r="D122" s="422">
        <f t="shared" si="25"/>
        <v>94.988389287531177</v>
      </c>
      <c r="E122" s="422">
        <f t="shared" si="25"/>
        <v>93.048621212845646</v>
      </c>
      <c r="F122" s="423">
        <f t="shared" si="25"/>
        <v>93.20435369900342</v>
      </c>
      <c r="U122" s="170"/>
      <c r="V122" s="422" t="str">
        <f t="shared" si="27"/>
        <v/>
      </c>
      <c r="W122" s="422" t="str">
        <f t="shared" si="27"/>
        <v/>
      </c>
      <c r="X122" s="422" t="str">
        <f t="shared" si="27"/>
        <v/>
      </c>
      <c r="Y122" s="423" t="str">
        <f t="shared" si="27"/>
        <v/>
      </c>
    </row>
    <row r="123" spans="2:25">
      <c r="B123" s="115" t="s">
        <v>181</v>
      </c>
      <c r="C123" s="424">
        <f t="shared" si="25"/>
        <v>100</v>
      </c>
      <c r="D123" s="424">
        <f t="shared" si="25"/>
        <v>110.9272318605536</v>
      </c>
      <c r="E123" s="424">
        <f t="shared" si="25"/>
        <v>101.00730914610632</v>
      </c>
      <c r="F123" s="416">
        <f t="shared" si="25"/>
        <v>113.77777503654141</v>
      </c>
      <c r="U123" s="170" t="s">
        <v>181</v>
      </c>
      <c r="V123" s="422">
        <f t="shared" si="27"/>
        <v>100</v>
      </c>
      <c r="W123" s="422">
        <f t="shared" si="27"/>
        <v>110.9272318605536</v>
      </c>
      <c r="X123" s="422">
        <f t="shared" si="27"/>
        <v>101.00730914610632</v>
      </c>
      <c r="Y123" s="423">
        <f t="shared" si="27"/>
        <v>113.77777503654141</v>
      </c>
    </row>
    <row r="124" spans="2:25">
      <c r="U124" s="208"/>
      <c r="V124" s="205"/>
      <c r="W124" s="205"/>
      <c r="X124" s="205"/>
      <c r="Y124" s="206"/>
    </row>
    <row r="126" spans="2:25">
      <c r="B126" s="517" t="s">
        <v>256</v>
      </c>
      <c r="C126" s="510"/>
      <c r="D126" s="510"/>
      <c r="E126" s="510"/>
      <c r="F126" s="511"/>
    </row>
    <row r="127" spans="2:25">
      <c r="B127" s="137" t="str">
        <f>$B$2</f>
        <v>Powerco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25">
      <c r="B128" s="162" t="s">
        <v>259</v>
      </c>
      <c r="C128" s="439">
        <f>VLOOKUP($C$38,'FS (2011)'!$A$13:$AH$244,'FS (2011)'!$I$245,FALSE)</f>
        <v>308466.77918793308</v>
      </c>
      <c r="D128" s="433">
        <f>VLOOKUP($D$38,'FS (2011)'!$A$13:$AH$244,'FS (2011)'!$I$245,FALSE)</f>
        <v>311836.34648912062</v>
      </c>
      <c r="E128" s="433">
        <f>VLOOKUP($E$38,'FS (2011)'!$A$13:$AH$244,'FS (2011)'!$I$245,FALSE)</f>
        <v>315373.95273099618</v>
      </c>
      <c r="F128" s="440">
        <f>VLOOKUP($F$38,'FS (2011)'!$A$13:$AH$244,'FS (2011)'!$I$245,FALSE)</f>
        <v>307485.95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37109.925819052776</v>
      </c>
      <c r="D129" s="433">
        <f>VLOOKUP($D$38,'FS (2011)'!$A$13:$AH$244,'FS (2011)'!$Y$245,FALSE)+VLOOKUP($D$38,'FS (2011)'!$A$13:$AH$244,'FS (2011)'!$Z$245,FALSE)</f>
        <v>32709.293192943915</v>
      </c>
      <c r="E129" s="433">
        <f>VLOOKUP($E$38,'FS (2011)'!$A$13:$AH$244,'FS (2011)'!$Y$245,FALSE)+VLOOKUP($E$38,'FS (2011)'!$A$13:$AH$244,'FS (2011)'!$Z$245,FALSE)</f>
        <v>24700.558490743981</v>
      </c>
      <c r="F129" s="440">
        <f>VLOOKUP($F$38,'FS (2011)'!$A$13:$AH$244,'FS (2011)'!$Y$245,FALSE)+VLOOKUP($F$38,'FS (2011)'!$A$13:$AH$244,'FS (2011)'!$Z$245,FALSE)</f>
        <v>55276.989000000001</v>
      </c>
      <c r="G129" s="121"/>
    </row>
    <row r="130" spans="1:30">
      <c r="B130" s="162" t="s">
        <v>191</v>
      </c>
      <c r="C130" s="441">
        <f>VLOOKUP($C$38,'FS (2011)'!$A$13:$AH$244,'FS (2011)'!$J$245,FALSE)</f>
        <v>68344.989877676708</v>
      </c>
      <c r="D130" s="433">
        <f>VLOOKUP($D$38,'FS (2011)'!$A$13:$AH$244,'FS (2011)'!$J$245,FALSE)</f>
        <v>67788.614455350384</v>
      </c>
      <c r="E130" s="433">
        <f>VLOOKUP($E$38,'FS (2011)'!$A$13:$AH$244,'FS (2011)'!$J$245,FALSE)</f>
        <v>72202.8149090566</v>
      </c>
      <c r="F130" s="440">
        <f>VLOOKUP($F$38,'FS (2011)'!$A$13:$AH$244,'FS (2011)'!$J$245,FALSE)</f>
        <v>73519.164999999994</v>
      </c>
    </row>
    <row r="131" spans="1:30">
      <c r="B131" s="162" t="s">
        <v>182</v>
      </c>
      <c r="C131" s="441">
        <f>VLOOKUP($C$38,'FS (2011)'!$A$13:$AH$244,'FS (2011)'!$S$245,FALSE)</f>
        <v>62135.141284822217</v>
      </c>
      <c r="D131" s="433">
        <f>VLOOKUP($D$38,'FS (2011)'!$A$13:$AH$244,'FS (2011)'!$S$245,FALSE)</f>
        <v>60405.685771157921</v>
      </c>
      <c r="E131" s="433">
        <f>VLOOKUP($E$38,'FS (2011)'!$A$13:$AH$244,'FS (2011)'!$S$245,FALSE)</f>
        <v>58513.716176605318</v>
      </c>
      <c r="F131" s="440">
        <f>VLOOKUP($F$38,'FS (2011)'!$A$13:$AH$244,'FS (2011)'!$S$245,FALSE)</f>
        <v>57267.519999999997</v>
      </c>
      <c r="I131" s="139"/>
    </row>
    <row r="132" spans="1:30">
      <c r="B132" s="162" t="s">
        <v>143</v>
      </c>
      <c r="C132" s="441">
        <f>VLOOKUP($C$38,'FS (2011)'!$A$13:$AH$244,'FS (2011)'!$U$245,FALSE)</f>
        <v>61438.883573322688</v>
      </c>
      <c r="D132" s="433">
        <f>VLOOKUP($D$38,'FS (2011)'!$A$13:$AH$244,'FS (2011)'!$U$245,FALSE)</f>
        <v>57549.887569496859</v>
      </c>
      <c r="E132" s="433">
        <f>VLOOKUP($E$38,'FS (2011)'!$A$13:$AH$244,'FS (2011)'!$U$245,FALSE)</f>
        <v>61130.45528441701</v>
      </c>
      <c r="F132" s="440">
        <f>VLOOKUP($F$38,'FS (2011)'!$A$13:$AH$244,'FS (2011)'!$U$245,FALSE)</f>
        <v>68090</v>
      </c>
    </row>
    <row r="133" spans="1:30">
      <c r="B133" s="162" t="s">
        <v>196</v>
      </c>
      <c r="C133" s="441">
        <f>VLOOKUP($C$38,'FS (2011)'!$A$13:$AH$244,'FS (2011)'!$X$245,FALSE)</f>
        <v>12563.078924182373</v>
      </c>
      <c r="D133" s="433">
        <f>VLOOKUP($D$38,'FS (2011)'!$A$13:$AH$244,'FS (2011)'!$X$245,FALSE)</f>
        <v>11504.539974466328</v>
      </c>
      <c r="E133" s="433">
        <f>VLOOKUP($E$38,'FS (2011)'!$A$13:$AH$244,'FS (2011)'!$X$245,FALSE)</f>
        <v>17722.95024197677</v>
      </c>
      <c r="F133" s="440">
        <f>VLOOKUP($F$38,'FS (2011)'!$A$13:$AH$244,'FS (2011)'!$X$245,FALSE)</f>
        <v>17573.645</v>
      </c>
    </row>
    <row r="134" spans="1:30">
      <c r="B134" s="164" t="s">
        <v>258</v>
      </c>
      <c r="C134" s="442">
        <f>VLOOKUP($C$38,'FS (2011)'!$A$13:$AH$244,'FS (2011)'!$AA$245,FALSE)</f>
        <v>141094.60595648826</v>
      </c>
      <c r="D134" s="435">
        <f>VLOOKUP($D$38,'FS (2011)'!$A$13:$AH$244,'FS (2011)'!$AA$245,FALSE)</f>
        <v>147296.91191159305</v>
      </c>
      <c r="E134" s="435">
        <f>VLOOKUP($E$38,'FS (2011)'!$A$13:$AH$244,'FS (2011)'!$AA$245,FALSE)</f>
        <v>130504.58072269676</v>
      </c>
      <c r="F134" s="443">
        <f>VLOOKUP($F$38,'FS (2011)'!$A$13:$AH$244,'FS (2011)'!$AA$245,FALSE)</f>
        <v>146312.60999999999</v>
      </c>
      <c r="Q134" s="559"/>
      <c r="R134" s="559"/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4</v>
      </c>
      <c r="B138" s="166" t="s">
        <v>204</v>
      </c>
      <c r="C138" s="167"/>
      <c r="D138" s="444">
        <f>VLOOKUP($D$6,'FS (2011)'!$A$13:$AH$244,'FS (2011)'!$L$245,FALSE)</f>
        <v>6767.5159000000003</v>
      </c>
      <c r="E138" s="446">
        <f t="shared" ref="E138:E144" si="28">D138/$D$145</f>
        <v>0.11817371901696451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21634.546999999999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29">RANK(D139,$D$138:$D$144)</f>
        <v>1</v>
      </c>
      <c r="B139" s="162" t="s">
        <v>199</v>
      </c>
      <c r="C139" s="121"/>
      <c r="D139" s="441">
        <f>VLOOKUP($D$6,'FS (2011)'!$A$13:$AH$244,'FS (2011)'!K245,FALSE)</f>
        <v>21634.546999999999</v>
      </c>
      <c r="E139" s="414">
        <f t="shared" si="28"/>
        <v>0.37778040214686637</v>
      </c>
      <c r="Q139" s="559"/>
      <c r="R139" s="559"/>
      <c r="S139" s="559"/>
      <c r="T139" s="559">
        <v>2</v>
      </c>
      <c r="U139" s="559" t="str">
        <f t="shared" ref="U139:U144" si="30">VLOOKUP(T139,$A$138:$E$144,2,FALSE)</f>
        <v>Routine and preventative maintenance</v>
      </c>
      <c r="V139" s="559">
        <f t="shared" ref="V139:V144" si="31">VLOOKUP(T139,$A$138:$E$144,4,FALSE)</f>
        <v>12708.371999999999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29"/>
        <v>2</v>
      </c>
      <c r="B140" s="162" t="s">
        <v>201</v>
      </c>
      <c r="C140" s="121"/>
      <c r="D140" s="441">
        <f>VLOOKUP($D$6,'FS (2011)'!$A$13:$AH$244,'FS (2011)'!M245,FALSE)</f>
        <v>12708.371999999999</v>
      </c>
      <c r="E140" s="414">
        <f t="shared" si="28"/>
        <v>0.22191238322632667</v>
      </c>
      <c r="Q140" s="559"/>
      <c r="R140" s="559"/>
      <c r="S140" s="559"/>
      <c r="T140" s="559">
        <v>3</v>
      </c>
      <c r="U140" s="559" t="str">
        <f t="shared" si="30"/>
        <v>Refurbishment and renewal maintenance</v>
      </c>
      <c r="V140" s="559">
        <f t="shared" si="31"/>
        <v>7402.6661999999997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29"/>
        <v>3</v>
      </c>
      <c r="B141" s="162" t="s">
        <v>202</v>
      </c>
      <c r="C141" s="121"/>
      <c r="D141" s="441">
        <f>VLOOKUP($D$6,'FS (2011)'!$A$13:$AH$244,'FS (2011)'!N245,FALSE)</f>
        <v>7402.6661999999997</v>
      </c>
      <c r="E141" s="414">
        <f t="shared" si="28"/>
        <v>0.12926465314919766</v>
      </c>
      <c r="Q141" s="559"/>
      <c r="R141" s="559"/>
      <c r="S141" s="559"/>
      <c r="T141" s="559">
        <v>4</v>
      </c>
      <c r="U141" s="559" t="str">
        <f t="shared" si="30"/>
        <v>System management and operations</v>
      </c>
      <c r="V141" s="559">
        <f t="shared" si="31"/>
        <v>6767.5159000000003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29"/>
        <v>5</v>
      </c>
      <c r="B142" s="162" t="s">
        <v>203</v>
      </c>
      <c r="C142" s="121"/>
      <c r="D142" s="441">
        <f>VLOOKUP($D$6,'FS (2011)'!$A$13:$AH$244,'FS (2011)'!O245,FALSE)</f>
        <v>6621.9450999999999</v>
      </c>
      <c r="E142" s="414">
        <f t="shared" si="28"/>
        <v>0.11563177555196655</v>
      </c>
      <c r="Q142" s="559"/>
      <c r="R142" s="559"/>
      <c r="S142" s="559"/>
      <c r="T142" s="559">
        <v>5</v>
      </c>
      <c r="U142" s="559" t="str">
        <f t="shared" si="30"/>
        <v>Fault and emergency maintenance</v>
      </c>
      <c r="V142" s="559">
        <f t="shared" si="31"/>
        <v>6621.9450999999999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29"/>
        <v>7</v>
      </c>
      <c r="B143" s="162" t="s">
        <v>13</v>
      </c>
      <c r="C143" s="121"/>
      <c r="D143" s="441">
        <f>VLOOKUP($D$6,'FS (2011)'!$A$13:$AH$244,'FS (2011)'!R245,FALSE)</f>
        <v>3.2059999999999997E-11</v>
      </c>
      <c r="E143" s="414">
        <f t="shared" si="28"/>
        <v>5.5982867091363337E-16</v>
      </c>
      <c r="Q143" s="559"/>
      <c r="R143" s="559"/>
      <c r="S143" s="559"/>
      <c r="T143" s="559">
        <v>6</v>
      </c>
      <c r="U143" s="559" t="str">
        <f t="shared" si="30"/>
        <v>Pass-through costs</v>
      </c>
      <c r="V143" s="559">
        <f t="shared" si="31"/>
        <v>2132.4744999999998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29"/>
        <v>6</v>
      </c>
      <c r="B144" s="162" t="s">
        <v>200</v>
      </c>
      <c r="C144" s="121"/>
      <c r="D144" s="441">
        <f>VLOOKUP($D$6,'FS (2011)'!$A$13:$AH$244,'FS (2011)'!P245,FALSE)</f>
        <v>2132.4744999999998</v>
      </c>
      <c r="E144" s="414">
        <f t="shared" si="28"/>
        <v>3.7237066908677945E-2</v>
      </c>
      <c r="Q144" s="559"/>
      <c r="R144" s="559"/>
      <c r="S144" s="559"/>
      <c r="T144" s="559">
        <v>7</v>
      </c>
      <c r="U144" s="559" t="str">
        <f t="shared" si="30"/>
        <v>Other</v>
      </c>
      <c r="V144" s="559">
        <f t="shared" si="31"/>
        <v>3.2059999999999997E-11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57267.520700000015</v>
      </c>
      <c r="E145" s="447">
        <f>SUM(E138:E144)</f>
        <v>1.0000000000000002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28.469352741581364</v>
      </c>
      <c r="D149" s="454">
        <f>(VLOOKUP(D$38,'FS (2011)'!$A$13:$AH$244,'FS (2011)'!$M$245,FALSE)+VLOOKUP(D$38,'FS (2011)'!$A$13:$AH$244,'FS (2011)'!$N$245,FALSE)+VLOOKUP(D$38,'FS (2011)'!$A$13:$AH$244,'FS (2011)'!$O$245,FALSE))/1000</f>
        <v>23.976870615690846</v>
      </c>
      <c r="E149" s="454">
        <f>(VLOOKUP(E$38,'FS (2011)'!$A$13:$AH$244,'FS (2011)'!$M$245,FALSE)+VLOOKUP(E$38,'FS (2011)'!$A$13:$AH$244,'FS (2011)'!$N$245,FALSE)+VLOOKUP(E$38,'FS (2011)'!$A$13:$AH$244,'FS (2011)'!$O$245,FALSE))/1000</f>
        <v>24.709425924523718</v>
      </c>
      <c r="F149" s="455">
        <f>(VLOOKUP(F$38,'FS (2011)'!$A$13:$AH$244,'FS (2011)'!$M$245,FALSE)+VLOOKUP(F$38,'FS (2011)'!$A$13:$AH$244,'FS (2011)'!$N$245,FALSE)+VLOOKUP(F$38,'FS (2011)'!$A$13:$AH$244,'FS (2011)'!$O$245,FALSE))/1000</f>
        <v>26.732983300000001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33.665788543240851</v>
      </c>
      <c r="D150" s="456">
        <f>(VLOOKUP(D$38,'FS (2011)'!$A$13:$AH$244,'FS (2011)'!$L$245,FALSE)+VLOOKUP(D$38,'FS (2011)'!$A$13:$AH$244,'FS (2011)'!$K$245,FALSE))/1000</f>
        <v>36.428815155467078</v>
      </c>
      <c r="E150" s="456">
        <f>(VLOOKUP(E$38,'FS (2011)'!$A$13:$AH$244,'FS (2011)'!$L$245,FALSE)+VLOOKUP(E$38,'FS (2011)'!$A$13:$AH$244,'FS (2011)'!$K$245,FALSE))/1000</f>
        <v>32.592300182344857</v>
      </c>
      <c r="F150" s="457">
        <f>(VLOOKUP(F$38,'FS (2011)'!$A$13:$AH$244,'FS (2011)'!$L$245,FALSE)+VLOOKUP(F$38,'FS (2011)'!$A$13:$AH$244,'FS (2011)'!$K$245,FALSE))/1000</f>
        <v>28.402062899999997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1.2119907829215126</v>
      </c>
      <c r="F151" s="457">
        <f>(VLOOKUP(F$38,'FS (2011)'!$A$13:$AH$244,'FS (2011)'!$R$245,FALSE)+VLOOKUP(F$38,'FS (2011)'!$A$13:$AH$244,'FS (2011)'!$P$245,FALSE)+VLOOKUP(F$38,'FS (2011)'!$A$13:$AH$244,'FS (2011)'!$Q$245,FALSE))/1000</f>
        <v>2.1324745000000322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62.135141284822218</v>
      </c>
      <c r="D152" s="458">
        <f>VLOOKUP($D$38,'FS (2011)'!$A$13:$AH$244,'FS (2011)'!$S$245,FALSE)/1000</f>
        <v>60.40568577115792</v>
      </c>
      <c r="E152" s="459">
        <f>VLOOKUP($E$38,'FS (2011)'!$A$13:$AH$244,'FS (2011)'!$S$245,FALSE)/1000</f>
        <v>58.513716176605321</v>
      </c>
      <c r="F152" s="460">
        <f>VLOOKUP($F$38,'FS (2011)'!$A$13:$AH$244,'FS (2011)'!$S$245,FALSE)/1000</f>
        <v>57.267519999999998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IFERROR(SLOPE(S154:V154,$C$148:$F$148),(IFERROR(SLOPE(T154:V154,$D$148:$F$148),F154)))</f>
        <v>-1.5869495513460931E-2</v>
      </c>
      <c r="D154" s="464">
        <f t="shared" ref="D154:E157" si="32">IF(ISERROR(D149/C149 - 1),"",(D149/C149 - 1))</f>
        <v>-0.15780064150629436</v>
      </c>
      <c r="E154" s="464">
        <f t="shared" si="32"/>
        <v>3.0552582135279893E-2</v>
      </c>
      <c r="F154" s="465">
        <f>IF(ISERROR(F149/E149 - 1),"",(F149/E149 - 1))</f>
        <v>8.1894147668883477E-2</v>
      </c>
      <c r="Q154" s="559"/>
      <c r="R154" s="559" t="s">
        <v>423</v>
      </c>
      <c r="S154" s="559">
        <f t="shared" ref="S154:V157" si="33">LN(C149)</f>
        <v>3.3488281662784822</v>
      </c>
      <c r="T154" s="559">
        <f t="shared" si="33"/>
        <v>3.1770896413208498</v>
      </c>
      <c r="U154" s="559">
        <f t="shared" si="33"/>
        <v>3.2071847872144001</v>
      </c>
      <c r="V154" s="559">
        <f t="shared" si="33"/>
        <v>3.285898132602429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>IFERROR(SLOPE(S155:V155,$C$148:$F$148),(IFERROR(SLOPE(T155:V155,$D$148:$F$148),F155)))</f>
        <v>-6.2134511219077294E-2</v>
      </c>
      <c r="D155" s="467">
        <f t="shared" si="32"/>
        <v>8.2072238072705472E-2</v>
      </c>
      <c r="E155" s="467">
        <f t="shared" si="32"/>
        <v>-0.10531539268431167</v>
      </c>
      <c r="F155" s="468">
        <f>IF(ISERROR(F150/E150 - 1),"",(F150/E150 - 1))</f>
        <v>-0.12856525188162993</v>
      </c>
      <c r="Q155" s="559"/>
      <c r="R155" s="559" t="s">
        <v>423</v>
      </c>
      <c r="S155" s="559">
        <f t="shared" si="33"/>
        <v>3.5164821449589514</v>
      </c>
      <c r="T155" s="559">
        <f t="shared" si="33"/>
        <v>3.5953600866229647</v>
      </c>
      <c r="U155" s="559">
        <f t="shared" si="33"/>
        <v>3.484076069749622</v>
      </c>
      <c r="V155" s="559">
        <f t="shared" si="33"/>
        <v>3.3464617798531413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>IFERROR(SLOPE(S156:V156,$C$148:$F$148),(IFERROR(SLOPE(T156:V156,$D$148:$F$148),F156)))</f>
        <v>0.75948078982885248</v>
      </c>
      <c r="D156" s="467" t="str">
        <f t="shared" si="32"/>
        <v/>
      </c>
      <c r="E156" s="467" t="str">
        <f t="shared" si="32"/>
        <v/>
      </c>
      <c r="F156" s="468">
        <f>IF(ISERROR(F151/E151 - 1),"",(F151/E151 - 1))</f>
        <v>0.75948078982885248</v>
      </c>
      <c r="Q156" s="559"/>
      <c r="R156" s="559" t="s">
        <v>423</v>
      </c>
      <c r="S156" s="559" t="e">
        <f t="shared" si="33"/>
        <v>#NUM!</v>
      </c>
      <c r="T156" s="559" t="e">
        <f t="shared" si="33"/>
        <v>#NUM!</v>
      </c>
      <c r="U156" s="559">
        <f t="shared" si="33"/>
        <v>0.19226428276796859</v>
      </c>
      <c r="V156" s="559">
        <f t="shared" si="33"/>
        <v>0.75728304251620315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>IFERROR(SLOPE(S157:V157,$C$148:$F$148),(IFERROR(SLOPE(T157:V157,$D$148:$F$148),F157)))</f>
        <v>-2.7655631230067534E-2</v>
      </c>
      <c r="D157" s="470">
        <f t="shared" si="32"/>
        <v>-2.7833774542116552E-2</v>
      </c>
      <c r="E157" s="470">
        <f t="shared" si="32"/>
        <v>-3.1321051493731433E-2</v>
      </c>
      <c r="F157" s="471">
        <f>IF(ISERROR(F152/E152 - 1),"",(F152/E152 - 1))</f>
        <v>-2.1297505235252423E-2</v>
      </c>
      <c r="N157" s="136"/>
      <c r="O157" s="136"/>
      <c r="Q157" s="559"/>
      <c r="R157" s="559" t="s">
        <v>423</v>
      </c>
      <c r="S157" s="559">
        <f t="shared" si="33"/>
        <v>4.1293117110917326</v>
      </c>
      <c r="T157" s="559">
        <f t="shared" si="33"/>
        <v>4.1010832357943929</v>
      </c>
      <c r="U157" s="559">
        <f t="shared" si="33"/>
        <v>4.0692611913126484</v>
      </c>
      <c r="V157" s="559">
        <f t="shared" si="33"/>
        <v>4.0477336218187556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Powerco</v>
      </c>
      <c r="C162" s="456">
        <f>(C152/C102)*1000000</f>
        <v>203.67436198400443</v>
      </c>
      <c r="D162" s="456">
        <f>(D152/D102)*1000000</f>
        <v>191.53667002085751</v>
      </c>
      <c r="E162" s="456">
        <f>(E152/E102)*1000000</f>
        <v>184.30155431087479</v>
      </c>
      <c r="F162" s="457">
        <f>(F152/F102)*1000000</f>
        <v>179.42020358354662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Powerco</v>
      </c>
      <c r="C165" s="456">
        <f>C152/VLOOKUP(C$38,'MP (2011)'!$A$14:$AR$245,'MP (2011)'!$H$246,FALSE)*1000000</f>
        <v>2270.9750958577824</v>
      </c>
      <c r="D165" s="456">
        <f>D152/VLOOKUP(D$38,'MP (2011)'!$A$14:$AR$245,'MP (2011)'!$H$246,FALSE)*1000000</f>
        <v>2063.4585560961232</v>
      </c>
      <c r="E165" s="456">
        <f>E152/VLOOKUP(E$38,'MP (2011)'!$A$14:$AR$245,'MP (2011)'!$H$246,FALSE)*1000000</f>
        <v>1948.1529954622445</v>
      </c>
      <c r="F165" s="457">
        <f>F152/VLOOKUP(F$38,'MP (2011)'!$A$14:$AR$245,'MP (2011)'!$H$246,FALSE)*1000000</f>
        <v>1914.0213903743315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Powerco</v>
      </c>
      <c r="C168" s="456">
        <f>(C152/C117)*1000000</f>
        <v>14.130402045381272</v>
      </c>
      <c r="D168" s="456">
        <f>(D152/D117)*1000000</f>
        <v>13.802398368535943</v>
      </c>
      <c r="E168" s="456">
        <f>(E152/E117)*1000000</f>
        <v>13.624846395575396</v>
      </c>
      <c r="F168" s="457">
        <f>(F152/F117)*1000000</f>
        <v>13.305992636636907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-4.1022979093451317E-2</v>
      </c>
      <c r="D171" s="464">
        <f>IF(ISERROR(D162/C162 - 1),"",(D162/C162 - 1))</f>
        <v>-5.959361720794365E-2</v>
      </c>
      <c r="E171" s="464">
        <f>IF(ISERROR(E162/D162 - 1),"",(E162/D162 - 1))</f>
        <v>-3.7774049790021191E-2</v>
      </c>
      <c r="F171" s="465">
        <f>IF(ISERROR(F162/E162 - 1),"",(F162/E162 - 1))</f>
        <v>-2.6485673143561428E-2</v>
      </c>
      <c r="H171" s="139"/>
      <c r="Q171" s="559"/>
      <c r="R171" s="559" t="s">
        <v>423</v>
      </c>
      <c r="S171" s="559">
        <f>LN(C162)</f>
        <v>5.3165224536718751</v>
      </c>
      <c r="T171" s="559">
        <f>LN(D162)</f>
        <v>5.2550792786487142</v>
      </c>
      <c r="U171" s="559">
        <f>LN(E162)</f>
        <v>5.2165732982315056</v>
      </c>
      <c r="V171" s="559">
        <f>LN(F162)</f>
        <v>5.1897305608063746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-5.545412527726945E-2</v>
      </c>
      <c r="D172" s="467">
        <f>IF(ISERROR(D165/C165 - 1),"",(D165/C165 - 1))</f>
        <v>-9.1377725867696991E-2</v>
      </c>
      <c r="E172" s="467">
        <f>IF(ISERROR(E165/D165 - 1),"",(E165/D165 - 1))</f>
        <v>-5.5879756001509628E-2</v>
      </c>
      <c r="F172" s="468">
        <f>IF(ISERROR(F165/E165 - 1),"",(F165/E165 - 1))</f>
        <v>-1.7519981832748388E-2</v>
      </c>
      <c r="Q172" s="559"/>
      <c r="R172" s="559" t="s">
        <v>423</v>
      </c>
      <c r="S172" s="559">
        <f>LN(C165)</f>
        <v>7.7279645758885751</v>
      </c>
      <c r="T172" s="559">
        <f>LN(D165)</f>
        <v>7.6321387647147745</v>
      </c>
      <c r="U172" s="559">
        <f>LN(E165)</f>
        <v>7.5746370208834071</v>
      </c>
      <c r="V172" s="559">
        <f>LN(F165)</f>
        <v>7.5569617476946167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-1.9143366202607481E-2</v>
      </c>
      <c r="D173" s="470">
        <f>IF(ISERROR(D168/C168 - 1),"",(D168/C168 - 1))</f>
        <v>-2.3212621678555978E-2</v>
      </c>
      <c r="E173" s="470">
        <f>IF(ISERROR(E168/D168 - 1),"",(E168/D168 - 1))</f>
        <v>-1.2863849326744226E-2</v>
      </c>
      <c r="F173" s="471">
        <f>IF(ISERROR(F168/E168 - 1),"",(F168/E168 - 1))</f>
        <v>-2.3402374579579499E-2</v>
      </c>
      <c r="Q173" s="559"/>
      <c r="R173" s="559" t="s">
        <v>423</v>
      </c>
      <c r="S173" s="559">
        <f>LN(C168)</f>
        <v>2.6483286496095015</v>
      </c>
      <c r="T173" s="559">
        <f>LN(D168)</f>
        <v>2.6248423718840339</v>
      </c>
      <c r="U173" s="559">
        <f>LN(E168)</f>
        <v>2.6118950667665222</v>
      </c>
      <c r="V173" s="559">
        <f>LN(F168)</f>
        <v>2.588214507932868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Powerco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24709.425924523719</v>
      </c>
      <c r="X176" s="563">
        <f>D178</f>
        <v>26732.9833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Powerco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34">C179</f>
        <v>28194.648912073571</v>
      </c>
      <c r="X177" s="563">
        <f t="shared" si="34"/>
        <v>28385.65831560161</v>
      </c>
      <c r="Y177" s="563">
        <f t="shared" si="34"/>
        <v>28932.73416157594</v>
      </c>
      <c r="Z177" s="563">
        <f t="shared" si="34"/>
        <v>30024.809664355816</v>
      </c>
      <c r="AA177" s="563">
        <f t="shared" si="34"/>
        <v>29959.40970553915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24709.425924523719</v>
      </c>
      <c r="D178" s="461">
        <f>VLOOKUP(F38,'FS (2011)'!$A$14:$T$246,'FS (2011)'!$M$245,FALSE)+VLOOKUP(F38,'FS (2011)'!$A$14:$AO$245,'FS (2011)'!$N$245,FALSE)+VLOOKUP(F38,'FS (2011)'!$A$14:$AO$245,'FS (2011)'!$O$245,FALSE)</f>
        <v>26732.9833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34"/>
        <v>26083.204710193739</v>
      </c>
      <c r="Y178" s="563">
        <f t="shared" si="34"/>
        <v>26602.810756918429</v>
      </c>
      <c r="Z178" s="563">
        <f t="shared" si="34"/>
        <v>27202.904799116161</v>
      </c>
      <c r="AA178" s="563">
        <f t="shared" si="34"/>
        <v>27536.063970251405</v>
      </c>
      <c r="AB178" s="563">
        <f>H180</f>
        <v>28156.534720163829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28194.648912073571</v>
      </c>
      <c r="D179" s="461">
        <f>VLOOKUP(D182,'AM (2011)'!$A$10:$N$444,'AM (2011)'!$N$445,FALSE)</f>
        <v>28385.65831560161</v>
      </c>
      <c r="E179" s="461">
        <f>VLOOKUP(E182,'AM (2011)'!$A$10:$N$444,'AM (2011)'!$N$445,FALSE)</f>
        <v>28932.73416157594</v>
      </c>
      <c r="F179" s="461">
        <f>VLOOKUP(F182,'AM (2011)'!$A$10:$N$444,'AM (2011)'!$N$445,FALSE)</f>
        <v>30024.809664355816</v>
      </c>
      <c r="G179" s="461">
        <f>VLOOKUP(G182,'AM (2011)'!$A$10:$N$444,'AM (2011)'!$N$445,FALSE)</f>
        <v>29959.40970553915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26774.799999999999</v>
      </c>
      <c r="Z179" s="563">
        <f>F181</f>
        <v>27619</v>
      </c>
      <c r="AA179" s="563">
        <f>G181</f>
        <v>28033.8</v>
      </c>
      <c r="AB179" s="563">
        <f>H181</f>
        <v>28597</v>
      </c>
      <c r="AC179" s="563">
        <f>I181</f>
        <v>29229.8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26083.204710193739</v>
      </c>
      <c r="E180" s="461">
        <f>VLOOKUP(E183,'AM (2011)'!$A$10:$N$444,'AM (2011)'!$N$445,FALSE)</f>
        <v>26602.810756918429</v>
      </c>
      <c r="F180" s="461">
        <f>VLOOKUP(F183,'AM (2011)'!$A$10:$N$444,'AM (2011)'!$N$445,FALSE)</f>
        <v>27202.904799116161</v>
      </c>
      <c r="G180" s="461">
        <f>VLOOKUP(G183,'AM (2011)'!$A$10:$N$444,'AM (2011)'!$N$445,FALSE)</f>
        <v>27536.063970251405</v>
      </c>
      <c r="H180" s="461">
        <f>VLOOKUP(H183,'AM (2011)'!$A$10:$N$444,'AM (2011)'!$N$445,FALSE)</f>
        <v>28156.534720163829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26774.799999999999</v>
      </c>
      <c r="F181" s="493">
        <f>VLOOKUP(F184,'AM (2011)'!$A$10:$N$444,'AM (2011)'!$N$445,FALSE)</f>
        <v>27619</v>
      </c>
      <c r="G181" s="493">
        <f>VLOOKUP(G184,'AM (2011)'!$A$10:$N$444,'AM (2011)'!$N$445,FALSE)</f>
        <v>28033.8</v>
      </c>
      <c r="H181" s="493">
        <f>VLOOKUP(H184,'AM (2011)'!$A$10:$N$444,'AM (2011)'!$N$445,FALSE)</f>
        <v>28597</v>
      </c>
      <c r="I181" s="494">
        <f>VLOOKUP(I184,'AM (2011)'!$A$10:$N$444,'AM (2011)'!$N$445,FALSE)</f>
        <v>29229.8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423</v>
      </c>
      <c r="D182" s="136">
        <f>VLOOKUP($B$2,$B$257:$Y$286,11,FALSE)</f>
        <v>424</v>
      </c>
      <c r="E182" s="136">
        <f>VLOOKUP($B$2,$B$257:$Y$286,12,FALSE)</f>
        <v>425</v>
      </c>
      <c r="F182" s="136">
        <f>VLOOKUP($B$2,$B$257:$Y$286,13,FALSE)</f>
        <v>426</v>
      </c>
      <c r="G182" s="136">
        <f>VLOOKUP($B$2,$B$257:$Y$286,14,FALSE)</f>
        <v>427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428</v>
      </c>
      <c r="E183" s="136">
        <f>VLOOKUP($B$2,$B$257:$Y$286,16,FALSE)</f>
        <v>429</v>
      </c>
      <c r="F183" s="136">
        <f>VLOOKUP($B$2,$B$257:$Y$286,17,FALSE)</f>
        <v>430</v>
      </c>
      <c r="G183" s="136">
        <f>VLOOKUP($B$2,$B$257:$Y$286,18,FALSE)</f>
        <v>431</v>
      </c>
      <c r="H183" s="136">
        <f>VLOOKUP($B$2,$B$257:$Y$286,19,FALSE)</f>
        <v>432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433</v>
      </c>
      <c r="F184" s="136">
        <f>VLOOKUP($B$2,$B$257:$Y$286,21,FALSE)</f>
        <v>434</v>
      </c>
      <c r="G184" s="136">
        <f>VLOOKUP($B$2,$B$257:$Y$286,22,FALSE)</f>
        <v>435</v>
      </c>
      <c r="H184" s="136">
        <f>VLOOKUP($B$2,$B$257:$Y$286,23,FALSE)</f>
        <v>436</v>
      </c>
      <c r="I184" s="136">
        <f>VLOOKUP($B$2,$B$257:$Y$286,24,FALSE)</f>
        <v>437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35">RANK(D186,$D$186:$D$191)</f>
        <v>2</v>
      </c>
      <c r="B186" s="483" t="s">
        <v>205</v>
      </c>
      <c r="C186" s="490"/>
      <c r="D186" s="484">
        <f>VLOOKUP($D$6,'FS (2011)'!$A$13:$AH$244,'FS (2011)'!AC245,FALSE)/1000</f>
        <v>20.346</v>
      </c>
      <c r="E186" s="495">
        <f t="shared" ref="E186:E191" si="36">D186/$D$192</f>
        <v>0.25503271578630704</v>
      </c>
      <c r="Q186" s="559"/>
      <c r="R186" s="559"/>
      <c r="S186" s="559"/>
      <c r="T186" s="559">
        <v>1</v>
      </c>
      <c r="U186" s="559" t="str">
        <f t="shared" ref="U186:U191" si="37">VLOOKUP(T186,$A$186:$D$191,2,FALSE)</f>
        <v>Asset replacement and renewal</v>
      </c>
      <c r="V186" s="559">
        <f t="shared" ref="V186:V191" si="38">VLOOKUP(T186,$A$186:$D$191,4,FALSE)</f>
        <v>21.198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35"/>
        <v>4</v>
      </c>
      <c r="B187" s="162" t="s">
        <v>206</v>
      </c>
      <c r="C187" s="121"/>
      <c r="D187" s="456">
        <f>VLOOKUP($D$6,'FS (2011)'!$A$13:$AH$244,'FS (2011)'!AD245,FALSE)/1000</f>
        <v>13.548</v>
      </c>
      <c r="E187" s="468">
        <f t="shared" si="36"/>
        <v>0.16982125397979395</v>
      </c>
      <c r="Q187" s="559"/>
      <c r="R187" s="559"/>
      <c r="S187" s="559"/>
      <c r="T187" s="559">
        <v>2</v>
      </c>
      <c r="U187" s="559" t="str">
        <f t="shared" si="37"/>
        <v>System growth</v>
      </c>
      <c r="V187" s="559">
        <f t="shared" si="38"/>
        <v>20.346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35"/>
        <v>3</v>
      </c>
      <c r="B188" s="162" t="s">
        <v>209</v>
      </c>
      <c r="C188" s="121"/>
      <c r="D188" s="456">
        <f>VLOOKUP($D$6,'FS (2011)'!$A$13:$AH$244,'FS (2011)'!AB245,FALSE)/1000</f>
        <v>19.588999999999999</v>
      </c>
      <c r="E188" s="468">
        <f t="shared" si="36"/>
        <v>0.24554388427887389</v>
      </c>
      <c r="Q188" s="559"/>
      <c r="R188" s="559"/>
      <c r="S188" s="559"/>
      <c r="T188" s="559">
        <v>3</v>
      </c>
      <c r="U188" s="559" t="str">
        <f t="shared" si="37"/>
        <v>Customer connection</v>
      </c>
      <c r="V188" s="559">
        <f t="shared" si="38"/>
        <v>19.588999999999999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35"/>
        <v>1</v>
      </c>
      <c r="B189" s="162" t="s">
        <v>208</v>
      </c>
      <c r="C189" s="121"/>
      <c r="D189" s="456">
        <f>VLOOKUP($D$6,'FS (2011)'!$A$13:$AH$244,'FS (2011)'!AE245,FALSE)/1000</f>
        <v>21.198</v>
      </c>
      <c r="E189" s="468">
        <f t="shared" si="36"/>
        <v>0.26571235177617891</v>
      </c>
      <c r="Q189" s="559"/>
      <c r="R189" s="559"/>
      <c r="S189" s="559"/>
      <c r="T189" s="559">
        <v>4</v>
      </c>
      <c r="U189" s="559" t="str">
        <f t="shared" si="37"/>
        <v>Reliability, safety and environment</v>
      </c>
      <c r="V189" s="559">
        <f t="shared" si="38"/>
        <v>13.548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35"/>
        <v>5</v>
      </c>
      <c r="B190" s="162" t="s">
        <v>312</v>
      </c>
      <c r="C190" s="121"/>
      <c r="D190" s="456">
        <f>VLOOKUP($D$6,'FS (2011)'!$A$13:$AH$244,'FS (2011)'!AH245,FALSE)/1000</f>
        <v>2.9489999999999998</v>
      </c>
      <c r="E190" s="468">
        <f t="shared" si="36"/>
        <v>3.6965078091704483E-2</v>
      </c>
      <c r="Q190" s="559"/>
      <c r="R190" s="559"/>
      <c r="S190" s="559"/>
      <c r="T190" s="559">
        <v>5</v>
      </c>
      <c r="U190" s="559" t="str">
        <f t="shared" si="37"/>
        <v>Non-network capex</v>
      </c>
      <c r="V190" s="559">
        <f t="shared" si="38"/>
        <v>2.9489999999999998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35"/>
        <v>6</v>
      </c>
      <c r="B191" s="162" t="s">
        <v>207</v>
      </c>
      <c r="C191" s="121"/>
      <c r="D191" s="456">
        <f>VLOOKUP($D$6,'FS (2011)'!$A$13:$AH$244,'FS (2011)'!AF245,FALSE)/1000</f>
        <v>2.1480000000000001</v>
      </c>
      <c r="E191" s="468">
        <f t="shared" si="36"/>
        <v>2.6924716087141823E-2</v>
      </c>
      <c r="Q191" s="559"/>
      <c r="R191" s="559"/>
      <c r="S191" s="559"/>
      <c r="T191" s="559">
        <v>6</v>
      </c>
      <c r="U191" s="559" t="str">
        <f t="shared" si="37"/>
        <v>Asset relocations</v>
      </c>
      <c r="V191" s="559">
        <f t="shared" si="38"/>
        <v>2.1480000000000001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79.777999999999992</v>
      </c>
      <c r="E192" s="496">
        <f>SUM(E186:E191)</f>
        <v>1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60.401558552650336</v>
      </c>
      <c r="D196" s="484">
        <f>VLOOKUP($D$38,'FS (2011)'!$A$13:$AH$244,'FS (2011)'!$AG$245,FALSE)/1000</f>
        <v>101.54018367767173</v>
      </c>
      <c r="E196" s="484">
        <f>VLOOKUP($E$38,'FS (2011)'!$A$13:$AH$244,'FS (2011)'!$AG$245,FALSE)/1000</f>
        <v>81.974573090188883</v>
      </c>
      <c r="F196" s="486">
        <f>VLOOKUP($F$38,'FS (2011)'!$A$13:$AH$244,'FS (2011)'!$AG$245,FALSE)/1000</f>
        <v>76.828999999999994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3.7314395864959651</v>
      </c>
      <c r="D197" s="456">
        <f>VLOOKUP($D$38,'FS (2011)'!$A$13:$AH$244,'FS (2011)'!$AH$245,FALSE)/1000</f>
        <v>4.0734831491523087</v>
      </c>
      <c r="E197" s="456">
        <f>VLOOKUP($E$38,'FS (2011)'!$A$13:$AH$244,'FS (2011)'!$AH$245,FALSE)/1000</f>
        <v>2.1617985430195894</v>
      </c>
      <c r="F197" s="457">
        <f>VLOOKUP($F$38,'FS (2011)'!$A$13:$AH$244,'FS (2011)'!$AH$245,FALSE)/1000</f>
        <v>2.9489999999999998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64.132998139146295</v>
      </c>
      <c r="D198" s="488">
        <f>SUM(D196:D197)</f>
        <v>105.61366682682404</v>
      </c>
      <c r="E198" s="488">
        <f>SUM(E196:E197)</f>
        <v>84.136371633208469</v>
      </c>
      <c r="F198" s="489">
        <f>SUM(F196:F197)</f>
        <v>79.777999999999992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39">IFERROR(EXP(SLOPE(S200:V200,$C$148:$F$148))-1,(IFERROR(EXP(SLOPE(T200:V200,$D$148:$F$148))-1,F200)))</f>
        <v>5.2076288238617652E-2</v>
      </c>
      <c r="D200" s="498">
        <f t="shared" ref="D200:F202" si="40">D196/C196 - 1</f>
        <v>0.68108549035472343</v>
      </c>
      <c r="E200" s="498">
        <f t="shared" si="40"/>
        <v>-0.19268835133873452</v>
      </c>
      <c r="F200" s="495">
        <f t="shared" si="40"/>
        <v>-6.2770355443360515E-2</v>
      </c>
      <c r="Q200" s="559"/>
      <c r="R200" s="559" t="s">
        <v>423</v>
      </c>
      <c r="S200" s="559">
        <f t="shared" ref="S200:V202" si="41">LN(C196)</f>
        <v>4.1010149084596828</v>
      </c>
      <c r="T200" s="559">
        <f t="shared" si="41"/>
        <v>4.6204546184369715</v>
      </c>
      <c r="U200" s="559">
        <f t="shared" si="41"/>
        <v>4.4064091149121971</v>
      </c>
      <c r="V200" s="559">
        <f t="shared" si="41"/>
        <v>4.3415821730457811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39"/>
        <v>-0.12536986447763065</v>
      </c>
      <c r="D201" s="467">
        <f t="shared" si="40"/>
        <v>9.1665308985356519E-2</v>
      </c>
      <c r="E201" s="467">
        <f t="shared" si="40"/>
        <v>-0.46929974573002486</v>
      </c>
      <c r="F201" s="468">
        <f t="shared" si="40"/>
        <v>0.36414191300214838</v>
      </c>
      <c r="Q201" s="559"/>
      <c r="R201" s="559" t="s">
        <v>423</v>
      </c>
      <c r="S201" s="559">
        <f t="shared" si="41"/>
        <v>1.3167941073191478</v>
      </c>
      <c r="T201" s="559">
        <f t="shared" si="41"/>
        <v>1.404498444059944</v>
      </c>
      <c r="U201" s="559">
        <f t="shared" si="41"/>
        <v>0.77094053403340912</v>
      </c>
      <c r="V201" s="559">
        <f t="shared" si="41"/>
        <v>1.0814661298331392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39"/>
        <v>4.3678762465619858E-2</v>
      </c>
      <c r="D202" s="500">
        <f t="shared" si="40"/>
        <v>0.64679135376891517</v>
      </c>
      <c r="E202" s="500">
        <f t="shared" si="40"/>
        <v>-0.2033571585847137</v>
      </c>
      <c r="F202" s="501">
        <f t="shared" si="40"/>
        <v>-5.1801278669452833E-2</v>
      </c>
      <c r="Q202" s="559"/>
      <c r="R202" s="559" t="s">
        <v>423</v>
      </c>
      <c r="S202" s="559">
        <f t="shared" si="41"/>
        <v>4.1609590230292506</v>
      </c>
      <c r="T202" s="559">
        <f t="shared" si="41"/>
        <v>4.6597877836065846</v>
      </c>
      <c r="U202" s="559">
        <f t="shared" si="41"/>
        <v>4.4324389542614151</v>
      </c>
      <c r="V202" s="559">
        <f t="shared" si="41"/>
        <v>4.379247777223445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Powerco</v>
      </c>
      <c r="C206" s="456">
        <f>(C198/C102)*1000000</f>
        <v>210.22318784527633</v>
      </c>
      <c r="D206" s="456">
        <f>(D198/D102)*1000000</f>
        <v>334.88387383495166</v>
      </c>
      <c r="E206" s="456">
        <f>(E198/E102)*1000000</f>
        <v>265.00562738617231</v>
      </c>
      <c r="F206" s="457">
        <f>(F198/F102)*1000000</f>
        <v>249.94595542967781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Powerco</v>
      </c>
      <c r="C209" s="456">
        <f>(C198/C117)*1000000000</f>
        <v>14584.742697015323</v>
      </c>
      <c r="D209" s="456">
        <f>(D198/D117)*1000000000</f>
        <v>24132.196896631835</v>
      </c>
      <c r="E209" s="456">
        <f>(E198/E117)*1000000000</f>
        <v>19591.050008234459</v>
      </c>
      <c r="F209" s="457">
        <f>(F198/F117)*1000000000</f>
        <v>18536.257211166452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Powerco</v>
      </c>
      <c r="C212" s="456">
        <f>(C198/VLOOKUP(C$38,'AV (2011)'!$A$11:$F$213,'AV (2011)'!$F$214,FALSE)*1000)</f>
        <v>5.4941292733370221E-2</v>
      </c>
      <c r="D212" s="456">
        <f>(D198/VLOOKUP(D$38,'AV (2011)'!$A$11:$F$213,'AV (2011)'!$F$214,FALSE)*1000)</f>
        <v>8.4258366041306126E-2</v>
      </c>
      <c r="E212" s="456">
        <f>(E198/VLOOKUP(E$38,'AV (2011)'!$A$11:$F$213,'AV (2011)'!$F$214,FALSE)*1000)</f>
        <v>6.5607051860528509E-2</v>
      </c>
      <c r="F212" s="457">
        <f>(F198/VLOOKUP(F$38,'AV (2011)'!$A$11:$F$213,'AV (2011)'!$F$214,FALSE)*1000)</f>
        <v>5.9582023642363265E-2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42">IFERROR(EXP(SLOPE(S215:V215,$C$195:$F$195))-1,(IFERROR(EXP(SLOPE(T215:V215,$D$195:$F$195))-1,F215)))</f>
        <v>2.8929774999133295E-2</v>
      </c>
      <c r="D215" s="464">
        <f>D206/C206 - 1</f>
        <v>0.59299208268797265</v>
      </c>
      <c r="E215" s="464">
        <f>E206/D206 - 1</f>
        <v>-0.20866411287161302</v>
      </c>
      <c r="F215" s="465">
        <f>F206/E206 - 1</f>
        <v>-5.6827744018239978E-2</v>
      </c>
      <c r="K215" s="139"/>
      <c r="P215" s="139"/>
      <c r="Q215" s="559"/>
      <c r="R215" s="559" t="s">
        <v>423</v>
      </c>
      <c r="S215" s="559">
        <f>LN(C206)</f>
        <v>5.3481697656093923</v>
      </c>
      <c r="T215" s="559">
        <f>LN(D206)</f>
        <v>5.8137838264609059</v>
      </c>
      <c r="U215" s="559">
        <f>LN(E206)</f>
        <v>5.5797510611802723</v>
      </c>
      <c r="V215" s="559">
        <f>LN(F206)</f>
        <v>5.5212447162110649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42"/>
        <v>5.2405400251927858E-2</v>
      </c>
      <c r="D216" s="467">
        <f>D209/C209 - 1</f>
        <v>0.65461930991558326</v>
      </c>
      <c r="E216" s="467">
        <f>E209/D209 - 1</f>
        <v>-0.1881779312446763</v>
      </c>
      <c r="F216" s="468">
        <f>F209/E209 - 1</f>
        <v>-5.3840544362076526E-2</v>
      </c>
      <c r="Q216" s="559"/>
      <c r="R216" s="559" t="s">
        <v>423</v>
      </c>
      <c r="S216" s="559">
        <f>LN(C209)</f>
        <v>9.5877312405291573</v>
      </c>
      <c r="T216" s="559">
        <f>LN(D209)</f>
        <v>10.091302198678363</v>
      </c>
      <c r="U216" s="559">
        <f>LN(E209)</f>
        <v>9.8828281086974261</v>
      </c>
      <c r="V216" s="559">
        <f>LN(F209)</f>
        <v>9.8274839423196951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-6.9361652136101792E-4</v>
      </c>
      <c r="D217" s="470">
        <f>D212/C212 - 1</f>
        <v>0.53360727149634957</v>
      </c>
      <c r="E217" s="470">
        <f>E212/D212 - 1</f>
        <v>-0.22135860279600195</v>
      </c>
      <c r="F217" s="471">
        <f>F212/E212 - 1</f>
        <v>-9.1835070275274933E-2</v>
      </c>
      <c r="Q217" s="559"/>
      <c r="R217" s="559" t="s">
        <v>423</v>
      </c>
      <c r="S217" s="559">
        <f>LN(C212)</f>
        <v>-2.9014900686797431</v>
      </c>
      <c r="T217" s="559">
        <f>LN(D212)</f>
        <v>-2.4738674144860591</v>
      </c>
      <c r="U217" s="559">
        <f>LN(E212)</f>
        <v>-2.7240720909356657</v>
      </c>
      <c r="V217" s="559">
        <f>LN(F212)</f>
        <v>-2.8204013671451813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Powerco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81974.573090188889</v>
      </c>
      <c r="X220" s="563">
        <f>D222</f>
        <v>76829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Powerco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43">C223</f>
        <v>78779.959914887746</v>
      </c>
      <c r="X221" s="563">
        <f t="shared" si="43"/>
        <v>83230.271398174184</v>
      </c>
      <c r="Y221" s="563">
        <f t="shared" si="43"/>
        <v>86192.993342027563</v>
      </c>
      <c r="Z221" s="563">
        <f t="shared" si="43"/>
        <v>89456.762715354489</v>
      </c>
      <c r="AA221" s="563">
        <f t="shared" si="43"/>
        <v>90762.685702519026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81974.573090188889</v>
      </c>
      <c r="D222" s="461">
        <f>VLOOKUP(D226,'FS (2011)'!$A$14:$AJ$245,'FS (2011)'!$AG$245,FALSE)</f>
        <v>76829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43"/>
        <v>85450.74263695399</v>
      </c>
      <c r="Y222" s="563">
        <f t="shared" si="43"/>
        <v>88720.185389776598</v>
      </c>
      <c r="Z222" s="563">
        <f t="shared" si="43"/>
        <v>92251.468836733024</v>
      </c>
      <c r="AA222" s="563">
        <f t="shared" si="43"/>
        <v>93722.667133733921</v>
      </c>
      <c r="AB222" s="563">
        <f>H224</f>
        <v>95474.045161811853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78779.959914887746</v>
      </c>
      <c r="D223" s="461">
        <f>VLOOKUP(D227,'AM (2011)'!$A$10:$N$444,'AM (2011)'!$J$445,FALSE)</f>
        <v>83230.271398174184</v>
      </c>
      <c r="E223" s="461">
        <f>VLOOKUP(E226,'AM (2011)'!$A$10:$N$444,'AM (2011)'!$J$445,FALSE)</f>
        <v>86192.993342027563</v>
      </c>
      <c r="F223" s="461">
        <f>VLOOKUP(F226,'AM (2011)'!$A$10:$N$444,'AM (2011)'!$J$445,FALSE)</f>
        <v>89456.762715354489</v>
      </c>
      <c r="G223" s="461">
        <f>VLOOKUP(G226,'AM (2011)'!$A$10:$N$444,'AM (2011)'!$J$445,FALSE)</f>
        <v>90762.685702519026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85633</v>
      </c>
      <c r="Z223" s="563">
        <f>F225</f>
        <v>88057</v>
      </c>
      <c r="AA223" s="563">
        <f>G225</f>
        <v>89667.8</v>
      </c>
      <c r="AB223" s="563">
        <f>H225</f>
        <v>91289</v>
      </c>
      <c r="AC223" s="563">
        <f>I225</f>
        <v>96053.2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85450.74263695399</v>
      </c>
      <c r="E224" s="461">
        <f>VLOOKUP(E227,'AM (2011)'!$A$10:$N$444,'AM (2011)'!$J$445,FALSE)</f>
        <v>88720.185389776598</v>
      </c>
      <c r="F224" s="461">
        <f>VLOOKUP(F227,'AM (2011)'!$A$10:$N$444,'AM (2011)'!$J$445,FALSE)</f>
        <v>92251.468836733024</v>
      </c>
      <c r="G224" s="461">
        <f>VLOOKUP(G227,'AM (2011)'!$A$10:$N$444,'AM (2011)'!$J$445,FALSE)</f>
        <v>93722.667133733921</v>
      </c>
      <c r="H224" s="461">
        <f>VLOOKUP(H227,'AM (2011)'!$A$10:$N$444,'AM (2011)'!$J$445,FALSE)</f>
        <v>95474.045161811853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85633</v>
      </c>
      <c r="F225" s="493">
        <f>VLOOKUP(F228,'AM (2011)'!$A$10:$N$444,'AM (2011)'!$J$445,FALSE)</f>
        <v>88057</v>
      </c>
      <c r="G225" s="493">
        <f>VLOOKUP(G228,'AM (2011)'!$A$10:$N$444,'AM (2011)'!$J$445,FALSE)</f>
        <v>89667.8</v>
      </c>
      <c r="H225" s="493">
        <f>VLOOKUP(H228,'AM (2011)'!$A$10:$N$444,'AM (2011)'!$J$445,FALSE)</f>
        <v>91289</v>
      </c>
      <c r="I225" s="494">
        <f>VLOOKUP(I228,'AM (2011)'!$A$10:$N$444,'AM (2011)'!$J$445,FALSE)</f>
        <v>96053.2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421</v>
      </c>
      <c r="D226" s="136">
        <f>VLOOKUP($B$2,$B$257:$Y$286,9,FALSE)</f>
        <v>422</v>
      </c>
      <c r="E226" s="136">
        <f>VLOOKUP($B$2,$B$257:$Y$286,12,FALSE)</f>
        <v>425</v>
      </c>
      <c r="F226" s="136">
        <f>VLOOKUP($B$2,$B$257:$Y$286,13,FALSE)</f>
        <v>426</v>
      </c>
      <c r="G226" s="136">
        <f>VLOOKUP($B$2,$B$257:$Y$286,14,FALSE)</f>
        <v>427</v>
      </c>
      <c r="H226" s="136"/>
      <c r="I226" s="136"/>
    </row>
    <row r="227" spans="2:30">
      <c r="C227" s="136">
        <f>VLOOKUP($B$2,$B$257:$Y$286,10,FALSE)</f>
        <v>423</v>
      </c>
      <c r="D227" s="136">
        <f>VLOOKUP($B$2,$B$257:$Y$286,11,FALSE)</f>
        <v>424</v>
      </c>
      <c r="E227" s="136">
        <f>VLOOKUP($B$2,$B$257:$Y$286,16,FALSE)</f>
        <v>429</v>
      </c>
      <c r="F227" s="136">
        <f>VLOOKUP($B$2,$B$257:$Y$286,17,FALSE)</f>
        <v>430</v>
      </c>
      <c r="G227" s="136">
        <f>VLOOKUP($B$2,$B$257:$Y$286,18,FALSE)</f>
        <v>431</v>
      </c>
      <c r="H227" s="136">
        <f>VLOOKUP($B$2,$B$257:$Y$286,19,FALSE)</f>
        <v>432</v>
      </c>
      <c r="I227" s="136"/>
    </row>
    <row r="228" spans="2:30">
      <c r="B228" s="517" t="s">
        <v>291</v>
      </c>
      <c r="C228" s="518"/>
      <c r="D228" s="518">
        <f>VLOOKUP($B$2,$B$257:$Y$286,15,FALSE)</f>
        <v>428</v>
      </c>
      <c r="E228" s="518">
        <f>VLOOKUP($B$2,$B$257:$Y$286,20,FALSE)</f>
        <v>433</v>
      </c>
      <c r="F228" s="519">
        <f>VLOOKUP($B$2,$B$257:$Y$286,21,FALSE)</f>
        <v>434</v>
      </c>
      <c r="G228" s="136">
        <f>VLOOKUP($B$2,$B$257:$Y$286,22,FALSE)</f>
        <v>435</v>
      </c>
      <c r="H228" s="136">
        <f>VLOOKUP($B$2,$B$257:$Y$286,23,FALSE)</f>
        <v>436</v>
      </c>
      <c r="I228" s="136">
        <f>VLOOKUP($B$2,$B$257:$Y$286,24,FALSE)</f>
        <v>437</v>
      </c>
    </row>
    <row r="229" spans="2:30">
      <c r="B229" s="474" t="str">
        <f>$B$2</f>
        <v>Powerco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328.65657899999997</v>
      </c>
      <c r="D230" s="456">
        <f>VLOOKUP(D$38,'MP (2011)'!$A$11:$AR$245,'MP (2011)'!$S$246,FALSE)+VLOOKUP(D$38,'MP (2011)'!$A$11:$AR$245,'MP (2011)'!$T$246,FALSE)</f>
        <v>290.69</v>
      </c>
      <c r="E230" s="456">
        <f>VLOOKUP(E$38,'MP (2011)'!$A$11:$AR$245,'MP (2011)'!$S$246,FALSE)+VLOOKUP(E$38,'MP (2011)'!$A$11:$AR$245,'MP (2011)'!$T$246,FALSE)</f>
        <v>226.085228</v>
      </c>
      <c r="F230" s="457">
        <f>VLOOKUP(F$38,'MP (2011)'!$A$11:$AR$245,'MP (2011)'!$S$246,FALSE)+VLOOKUP(F$38,'MP (2011)'!$A$11:$AR$245,'MP (2011)'!$T$246,FALSE)</f>
        <v>273.93</v>
      </c>
    </row>
    <row r="231" spans="2:30">
      <c r="B231" s="199" t="s">
        <v>292</v>
      </c>
      <c r="C231" s="456">
        <f>IF(ISERROR(VLOOKUP(C$38,'Compliance data'!$A$7:$E$74,'Compliance data'!$D$75,FALSE)),"",(VLOOKUP(C$38,'Compliance data'!$A$7:$E$74,'Compliance data'!$D$75,FALSE)))</f>
        <v>197.9</v>
      </c>
      <c r="D231" s="456">
        <f>IF(ISERROR(VLOOKUP(D$38,'Compliance data'!$A$7:$E$74,'Compliance data'!$D$75,FALSE)),"",(VLOOKUP(D$38,'Compliance data'!$A$7:$E$74,'Compliance data'!$D$75,FALSE)))</f>
        <v>197.9</v>
      </c>
      <c r="E231" s="456">
        <f>IF(ISERROR(VLOOKUP(E$38,'Compliance data'!$A$7:$E$74,'Compliance data'!$D$75,FALSE)),"",(VLOOKUP(E$38,'Compliance data'!$A$7:$E$74,'Compliance data'!$D$75,FALSE)))</f>
        <v>197.9</v>
      </c>
      <c r="F231" s="457">
        <f>IF(ISERROR(VLOOKUP(F$38,'Compliance data'!$A$7:$E$74,'Compliance data'!$D$75,FALSE)),"",(VLOOKUP(F$38,'Compliance data'!$A$7:$E$74,'Compliance data'!$D$75,FALSE)))</f>
        <v>210.1</v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2.4961819099999998</v>
      </c>
      <c r="D237" s="456">
        <f>VLOOKUP(D$38,'MP (2011)'!$A$11:$AR$245,'MP (2011)'!$W$246,FALSE)+VLOOKUP(D$38,'MP (2011)'!$A$11:$AR$245,'MP (2011)'!$X$246,FALSE)</f>
        <v>2.76</v>
      </c>
      <c r="E237" s="456">
        <f>VLOOKUP(E$38,'MP (2011)'!$A$11:$AR$245,'MP (2011)'!$W$246,FALSE)+VLOOKUP(E$38,'MP (2011)'!$A$11:$AR$245,'MP (2011)'!$X$246,FALSE)</f>
        <v>2.4788800000000002</v>
      </c>
      <c r="F237" s="457">
        <f>VLOOKUP(F$38,'MP (2011)'!$A$11:$AR$245,'MP (2011)'!$W$246,FALSE)+VLOOKUP(F$38,'MP (2011)'!$A$11:$AR$245,'MP (2011)'!$X$246,FALSE)</f>
        <v>2.62</v>
      </c>
    </row>
    <row r="238" spans="2:30">
      <c r="B238" s="199" t="s">
        <v>292</v>
      </c>
      <c r="C238" s="456">
        <f>IF(ISERROR(VLOOKUP(C$38,'Compliance data'!$A$7:$E$74,'Compliance data'!$E$75,FALSE)),"",(VLOOKUP(C$38,'Compliance data'!$A$7:$E$74,'Compliance data'!$E$75,FALSE)))</f>
        <v>2.7719999999999998</v>
      </c>
      <c r="D238" s="456">
        <f>IF(ISERROR(VLOOKUP(D$38,'Compliance data'!$A$7:$E$74,'Compliance data'!$E$75,FALSE)),"",(VLOOKUP(D$38,'Compliance data'!$A$7:$E$74,'Compliance data'!$E$75,FALSE)))</f>
        <v>2.7719999999999998</v>
      </c>
      <c r="E238" s="456">
        <f>IF(ISERROR(VLOOKUP(E$38,'Compliance data'!$A$7:$E$74,'Compliance data'!$E$75,FALSE)),"",(VLOOKUP(E$38,'Compliance data'!$A$7:$E$74,'Compliance data'!$E$75,FALSE)))</f>
        <v>2.7719999999999998</v>
      </c>
      <c r="F238" s="457">
        <f>IF(ISERROR(VLOOKUP(F$38,'Compliance data'!$A$7:$E$74,'Compliance data'!$E$75,FALSE)),"",(VLOOKUP(F$38,'Compliance data'!$A$7:$E$74,'Compliance data'!$E$75,FALSE)))</f>
        <v>2.8</v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44">C258+1</f>
        <v>2</v>
      </c>
      <c r="E258" s="526">
        <f t="shared" si="44"/>
        <v>3</v>
      </c>
      <c r="F258" s="526">
        <f t="shared" si="44"/>
        <v>4</v>
      </c>
      <c r="G258" s="526">
        <f t="shared" si="44"/>
        <v>5</v>
      </c>
      <c r="H258" s="526">
        <f t="shared" si="44"/>
        <v>6</v>
      </c>
      <c r="I258" s="526">
        <f t="shared" si="44"/>
        <v>7</v>
      </c>
      <c r="J258" s="526">
        <f t="shared" si="44"/>
        <v>8</v>
      </c>
      <c r="K258" s="526">
        <f t="shared" si="44"/>
        <v>9</v>
      </c>
      <c r="L258" s="526">
        <f t="shared" si="44"/>
        <v>10</v>
      </c>
      <c r="M258" s="526">
        <f t="shared" si="44"/>
        <v>11</v>
      </c>
      <c r="N258" s="526">
        <f t="shared" si="44"/>
        <v>12</v>
      </c>
      <c r="O258" s="526">
        <f t="shared" si="44"/>
        <v>13</v>
      </c>
      <c r="P258" s="526">
        <f t="shared" si="44"/>
        <v>14</v>
      </c>
      <c r="Q258" s="526">
        <f t="shared" si="44"/>
        <v>15</v>
      </c>
      <c r="R258" s="526">
        <f t="shared" si="44"/>
        <v>16</v>
      </c>
      <c r="S258" s="526">
        <f t="shared" si="44"/>
        <v>17</v>
      </c>
      <c r="T258" s="526">
        <f t="shared" ref="T258:Y273" si="45">S258+1</f>
        <v>18</v>
      </c>
      <c r="U258" s="526">
        <f t="shared" si="45"/>
        <v>19</v>
      </c>
      <c r="V258" s="526">
        <f t="shared" si="45"/>
        <v>20</v>
      </c>
      <c r="W258" s="526">
        <f t="shared" si="45"/>
        <v>21</v>
      </c>
      <c r="X258" s="526">
        <f t="shared" si="45"/>
        <v>22</v>
      </c>
      <c r="Y258" s="526">
        <f t="shared" si="4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44"/>
        <v>25</v>
      </c>
      <c r="E259" s="526">
        <f t="shared" si="44"/>
        <v>26</v>
      </c>
      <c r="F259" s="526">
        <f t="shared" si="44"/>
        <v>27</v>
      </c>
      <c r="G259" s="526">
        <f t="shared" si="44"/>
        <v>28</v>
      </c>
      <c r="H259" s="526">
        <f t="shared" si="44"/>
        <v>29</v>
      </c>
      <c r="I259" s="526">
        <f t="shared" si="44"/>
        <v>30</v>
      </c>
      <c r="J259" s="526">
        <f t="shared" si="44"/>
        <v>31</v>
      </c>
      <c r="K259" s="526">
        <f t="shared" si="44"/>
        <v>32</v>
      </c>
      <c r="L259" s="526">
        <f t="shared" si="44"/>
        <v>33</v>
      </c>
      <c r="M259" s="526">
        <f t="shared" si="44"/>
        <v>34</v>
      </c>
      <c r="N259" s="526">
        <f t="shared" si="44"/>
        <v>35</v>
      </c>
      <c r="O259" s="526">
        <f t="shared" si="44"/>
        <v>36</v>
      </c>
      <c r="P259" s="526">
        <f t="shared" si="44"/>
        <v>37</v>
      </c>
      <c r="Q259" s="526">
        <f t="shared" si="44"/>
        <v>38</v>
      </c>
      <c r="R259" s="526">
        <f t="shared" si="44"/>
        <v>39</v>
      </c>
      <c r="S259" s="526">
        <f t="shared" si="44"/>
        <v>40</v>
      </c>
      <c r="T259" s="526">
        <f t="shared" si="45"/>
        <v>41</v>
      </c>
      <c r="U259" s="526">
        <f t="shared" si="45"/>
        <v>42</v>
      </c>
      <c r="V259" s="526">
        <f t="shared" si="45"/>
        <v>43</v>
      </c>
      <c r="W259" s="526">
        <f t="shared" si="45"/>
        <v>44</v>
      </c>
      <c r="X259" s="526">
        <f t="shared" si="45"/>
        <v>45</v>
      </c>
      <c r="Y259" s="526">
        <f t="shared" si="45"/>
        <v>46</v>
      </c>
    </row>
    <row r="260" spans="2:25" s="526" customFormat="1" ht="15.75">
      <c r="B260" s="530" t="s">
        <v>31</v>
      </c>
      <c r="C260" s="526">
        <f t="shared" ref="C260:C286" si="46">Y259+1</f>
        <v>47</v>
      </c>
      <c r="D260" s="526">
        <f t="shared" si="44"/>
        <v>48</v>
      </c>
      <c r="E260" s="526">
        <f t="shared" si="44"/>
        <v>49</v>
      </c>
      <c r="F260" s="526">
        <f t="shared" si="44"/>
        <v>50</v>
      </c>
      <c r="G260" s="526">
        <f t="shared" si="44"/>
        <v>51</v>
      </c>
      <c r="H260" s="526">
        <f t="shared" si="44"/>
        <v>52</v>
      </c>
      <c r="I260" s="526">
        <f t="shared" si="44"/>
        <v>53</v>
      </c>
      <c r="J260" s="526">
        <f t="shared" si="44"/>
        <v>54</v>
      </c>
      <c r="K260" s="526">
        <f t="shared" si="44"/>
        <v>55</v>
      </c>
      <c r="L260" s="526">
        <f t="shared" si="44"/>
        <v>56</v>
      </c>
      <c r="M260" s="526">
        <f t="shared" si="44"/>
        <v>57</v>
      </c>
      <c r="N260" s="526">
        <f t="shared" si="44"/>
        <v>58</v>
      </c>
      <c r="O260" s="526">
        <f t="shared" si="44"/>
        <v>59</v>
      </c>
      <c r="P260" s="526">
        <f t="shared" si="44"/>
        <v>60</v>
      </c>
      <c r="Q260" s="526">
        <f t="shared" si="44"/>
        <v>61</v>
      </c>
      <c r="R260" s="526">
        <f t="shared" si="44"/>
        <v>62</v>
      </c>
      <c r="S260" s="526">
        <f t="shared" si="44"/>
        <v>63</v>
      </c>
      <c r="T260" s="526">
        <f t="shared" si="45"/>
        <v>64</v>
      </c>
      <c r="U260" s="526">
        <f t="shared" si="45"/>
        <v>65</v>
      </c>
      <c r="V260" s="526">
        <f t="shared" si="45"/>
        <v>66</v>
      </c>
      <c r="W260" s="526">
        <f t="shared" si="45"/>
        <v>67</v>
      </c>
      <c r="X260" s="526">
        <f t="shared" si="45"/>
        <v>68</v>
      </c>
      <c r="Y260" s="526">
        <f t="shared" si="45"/>
        <v>69</v>
      </c>
    </row>
    <row r="261" spans="2:25" s="526" customFormat="1" ht="15.75">
      <c r="B261" s="530" t="s">
        <v>32</v>
      </c>
      <c r="C261" s="526">
        <f t="shared" si="46"/>
        <v>70</v>
      </c>
      <c r="D261" s="526">
        <f t="shared" si="44"/>
        <v>71</v>
      </c>
      <c r="E261" s="526">
        <f t="shared" si="44"/>
        <v>72</v>
      </c>
      <c r="F261" s="526">
        <f t="shared" si="44"/>
        <v>73</v>
      </c>
      <c r="G261" s="526">
        <f t="shared" si="44"/>
        <v>74</v>
      </c>
      <c r="H261" s="526">
        <f t="shared" si="44"/>
        <v>75</v>
      </c>
      <c r="I261" s="526">
        <f t="shared" si="44"/>
        <v>76</v>
      </c>
      <c r="J261" s="526">
        <f t="shared" si="44"/>
        <v>77</v>
      </c>
      <c r="K261" s="526">
        <f t="shared" si="44"/>
        <v>78</v>
      </c>
      <c r="L261" s="526">
        <f t="shared" si="44"/>
        <v>79</v>
      </c>
      <c r="M261" s="526">
        <f t="shared" si="44"/>
        <v>80</v>
      </c>
      <c r="N261" s="526">
        <f t="shared" si="44"/>
        <v>81</v>
      </c>
      <c r="O261" s="526">
        <f t="shared" si="44"/>
        <v>82</v>
      </c>
      <c r="P261" s="526">
        <f t="shared" si="44"/>
        <v>83</v>
      </c>
      <c r="Q261" s="526">
        <f t="shared" si="44"/>
        <v>84</v>
      </c>
      <c r="R261" s="526">
        <f t="shared" si="44"/>
        <v>85</v>
      </c>
      <c r="S261" s="526">
        <f t="shared" si="44"/>
        <v>86</v>
      </c>
      <c r="T261" s="526">
        <f t="shared" si="45"/>
        <v>87</v>
      </c>
      <c r="U261" s="526">
        <f t="shared" si="45"/>
        <v>88</v>
      </c>
      <c r="V261" s="526">
        <f t="shared" si="45"/>
        <v>89</v>
      </c>
      <c r="W261" s="526">
        <f t="shared" si="45"/>
        <v>90</v>
      </c>
      <c r="X261" s="526">
        <f t="shared" si="45"/>
        <v>91</v>
      </c>
      <c r="Y261" s="526">
        <f t="shared" si="45"/>
        <v>92</v>
      </c>
    </row>
    <row r="262" spans="2:25" s="526" customFormat="1" ht="15.75">
      <c r="B262" s="530" t="s">
        <v>33</v>
      </c>
      <c r="C262" s="526">
        <f t="shared" si="46"/>
        <v>93</v>
      </c>
      <c r="D262" s="526">
        <f t="shared" si="44"/>
        <v>94</v>
      </c>
      <c r="E262" s="526">
        <f t="shared" si="44"/>
        <v>95</v>
      </c>
      <c r="F262" s="526">
        <f t="shared" si="44"/>
        <v>96</v>
      </c>
      <c r="G262" s="526">
        <f t="shared" si="44"/>
        <v>97</v>
      </c>
      <c r="H262" s="526">
        <f t="shared" si="44"/>
        <v>98</v>
      </c>
      <c r="I262" s="526">
        <f t="shared" si="44"/>
        <v>99</v>
      </c>
      <c r="J262" s="526">
        <f t="shared" si="44"/>
        <v>100</v>
      </c>
      <c r="K262" s="526">
        <f t="shared" si="44"/>
        <v>101</v>
      </c>
      <c r="L262" s="526">
        <f t="shared" si="44"/>
        <v>102</v>
      </c>
      <c r="M262" s="526">
        <f t="shared" si="44"/>
        <v>103</v>
      </c>
      <c r="N262" s="526">
        <f t="shared" si="44"/>
        <v>104</v>
      </c>
      <c r="O262" s="526">
        <f t="shared" si="44"/>
        <v>105</v>
      </c>
      <c r="P262" s="526">
        <f t="shared" si="44"/>
        <v>106</v>
      </c>
      <c r="Q262" s="526">
        <f t="shared" si="44"/>
        <v>107</v>
      </c>
      <c r="R262" s="526">
        <f t="shared" si="44"/>
        <v>108</v>
      </c>
      <c r="S262" s="526">
        <f t="shared" si="44"/>
        <v>109</v>
      </c>
      <c r="T262" s="526">
        <f t="shared" si="45"/>
        <v>110</v>
      </c>
      <c r="U262" s="526">
        <f t="shared" si="45"/>
        <v>111</v>
      </c>
      <c r="V262" s="526">
        <f t="shared" si="45"/>
        <v>112</v>
      </c>
      <c r="W262" s="526">
        <f t="shared" si="45"/>
        <v>113</v>
      </c>
      <c r="X262" s="526">
        <f t="shared" si="45"/>
        <v>114</v>
      </c>
      <c r="Y262" s="526">
        <f t="shared" si="45"/>
        <v>115</v>
      </c>
    </row>
    <row r="263" spans="2:25" s="526" customFormat="1" ht="15.75">
      <c r="B263" s="530" t="s">
        <v>34</v>
      </c>
      <c r="C263" s="526">
        <f t="shared" si="46"/>
        <v>116</v>
      </c>
      <c r="D263" s="526">
        <f t="shared" si="44"/>
        <v>117</v>
      </c>
      <c r="E263" s="526">
        <f t="shared" si="44"/>
        <v>118</v>
      </c>
      <c r="F263" s="526">
        <f t="shared" si="44"/>
        <v>119</v>
      </c>
      <c r="G263" s="526">
        <f t="shared" si="44"/>
        <v>120</v>
      </c>
      <c r="H263" s="526">
        <f t="shared" si="44"/>
        <v>121</v>
      </c>
      <c r="I263" s="526">
        <f t="shared" si="44"/>
        <v>122</v>
      </c>
      <c r="J263" s="526">
        <f t="shared" si="44"/>
        <v>123</v>
      </c>
      <c r="K263" s="526">
        <f t="shared" si="44"/>
        <v>124</v>
      </c>
      <c r="L263" s="526">
        <f t="shared" si="44"/>
        <v>125</v>
      </c>
      <c r="M263" s="526">
        <f t="shared" si="44"/>
        <v>126</v>
      </c>
      <c r="N263" s="526">
        <f t="shared" si="44"/>
        <v>127</v>
      </c>
      <c r="O263" s="526">
        <f t="shared" si="44"/>
        <v>128</v>
      </c>
      <c r="P263" s="526">
        <f t="shared" si="44"/>
        <v>129</v>
      </c>
      <c r="Q263" s="526">
        <f t="shared" si="44"/>
        <v>130</v>
      </c>
      <c r="R263" s="526">
        <f t="shared" si="44"/>
        <v>131</v>
      </c>
      <c r="S263" s="526">
        <f t="shared" si="44"/>
        <v>132</v>
      </c>
      <c r="T263" s="526">
        <f t="shared" si="45"/>
        <v>133</v>
      </c>
      <c r="U263" s="526">
        <f t="shared" si="45"/>
        <v>134</v>
      </c>
      <c r="V263" s="526">
        <f t="shared" si="45"/>
        <v>135</v>
      </c>
      <c r="W263" s="526">
        <f t="shared" si="45"/>
        <v>136</v>
      </c>
      <c r="X263" s="526">
        <f t="shared" si="45"/>
        <v>137</v>
      </c>
      <c r="Y263" s="526">
        <f t="shared" si="45"/>
        <v>138</v>
      </c>
    </row>
    <row r="264" spans="2:25" s="526" customFormat="1" ht="15.75">
      <c r="B264" s="530" t="s">
        <v>35</v>
      </c>
      <c r="C264" s="526">
        <f t="shared" si="46"/>
        <v>139</v>
      </c>
      <c r="D264" s="526">
        <f t="shared" si="44"/>
        <v>140</v>
      </c>
      <c r="E264" s="526">
        <f t="shared" si="44"/>
        <v>141</v>
      </c>
      <c r="F264" s="526">
        <f t="shared" si="44"/>
        <v>142</v>
      </c>
      <c r="G264" s="526">
        <f t="shared" si="44"/>
        <v>143</v>
      </c>
      <c r="H264" s="526">
        <f t="shared" si="44"/>
        <v>144</v>
      </c>
      <c r="I264" s="526">
        <f t="shared" si="44"/>
        <v>145</v>
      </c>
      <c r="J264" s="526">
        <f t="shared" si="44"/>
        <v>146</v>
      </c>
      <c r="K264" s="526">
        <f t="shared" si="44"/>
        <v>147</v>
      </c>
      <c r="L264" s="526">
        <f t="shared" si="44"/>
        <v>148</v>
      </c>
      <c r="M264" s="526">
        <f t="shared" si="44"/>
        <v>149</v>
      </c>
      <c r="N264" s="526">
        <f t="shared" si="44"/>
        <v>150</v>
      </c>
      <c r="O264" s="526">
        <f t="shared" si="44"/>
        <v>151</v>
      </c>
      <c r="P264" s="526">
        <f t="shared" si="44"/>
        <v>152</v>
      </c>
      <c r="Q264" s="526">
        <f t="shared" si="44"/>
        <v>153</v>
      </c>
      <c r="R264" s="526">
        <f t="shared" si="44"/>
        <v>154</v>
      </c>
      <c r="S264" s="526">
        <f t="shared" si="44"/>
        <v>155</v>
      </c>
      <c r="T264" s="526">
        <f t="shared" si="45"/>
        <v>156</v>
      </c>
      <c r="U264" s="526">
        <f t="shared" si="45"/>
        <v>157</v>
      </c>
      <c r="V264" s="526">
        <f t="shared" si="45"/>
        <v>158</v>
      </c>
      <c r="W264" s="526">
        <f t="shared" si="45"/>
        <v>159</v>
      </c>
      <c r="X264" s="526">
        <f t="shared" si="45"/>
        <v>160</v>
      </c>
      <c r="Y264" s="526">
        <f t="shared" si="45"/>
        <v>161</v>
      </c>
    </row>
    <row r="265" spans="2:25" s="526" customFormat="1" ht="15.75">
      <c r="B265" s="530" t="s">
        <v>115</v>
      </c>
      <c r="C265" s="526">
        <f t="shared" si="46"/>
        <v>162</v>
      </c>
      <c r="D265" s="526">
        <f t="shared" si="44"/>
        <v>163</v>
      </c>
      <c r="E265" s="526">
        <f t="shared" si="44"/>
        <v>164</v>
      </c>
      <c r="F265" s="526">
        <f t="shared" si="44"/>
        <v>165</v>
      </c>
      <c r="G265" s="526">
        <f t="shared" si="44"/>
        <v>166</v>
      </c>
      <c r="H265" s="526">
        <f t="shared" si="44"/>
        <v>167</v>
      </c>
      <c r="I265" s="526">
        <f t="shared" si="44"/>
        <v>168</v>
      </c>
      <c r="J265" s="526">
        <f t="shared" si="44"/>
        <v>169</v>
      </c>
      <c r="K265" s="526">
        <f t="shared" si="44"/>
        <v>170</v>
      </c>
      <c r="L265" s="526">
        <f t="shared" si="44"/>
        <v>171</v>
      </c>
      <c r="M265" s="526">
        <f t="shared" si="44"/>
        <v>172</v>
      </c>
      <c r="N265" s="526">
        <f t="shared" si="44"/>
        <v>173</v>
      </c>
      <c r="O265" s="526">
        <f t="shared" si="44"/>
        <v>174</v>
      </c>
      <c r="P265" s="526">
        <f t="shared" si="44"/>
        <v>175</v>
      </c>
      <c r="Q265" s="526">
        <f t="shared" si="44"/>
        <v>176</v>
      </c>
      <c r="R265" s="526">
        <f t="shared" si="44"/>
        <v>177</v>
      </c>
      <c r="S265" s="526">
        <f t="shared" si="44"/>
        <v>178</v>
      </c>
      <c r="T265" s="526">
        <f t="shared" si="45"/>
        <v>179</v>
      </c>
      <c r="U265" s="526">
        <f t="shared" si="45"/>
        <v>180</v>
      </c>
      <c r="V265" s="526">
        <f t="shared" si="45"/>
        <v>181</v>
      </c>
      <c r="W265" s="526">
        <f t="shared" si="45"/>
        <v>182</v>
      </c>
      <c r="X265" s="526">
        <f t="shared" si="45"/>
        <v>183</v>
      </c>
      <c r="Y265" s="526">
        <f t="shared" si="45"/>
        <v>184</v>
      </c>
    </row>
    <row r="266" spans="2:25" s="526" customFormat="1" ht="15.75">
      <c r="B266" s="530" t="s">
        <v>116</v>
      </c>
      <c r="C266" s="526">
        <f t="shared" si="46"/>
        <v>185</v>
      </c>
      <c r="D266" s="526">
        <f t="shared" si="44"/>
        <v>186</v>
      </c>
      <c r="E266" s="526">
        <f t="shared" si="44"/>
        <v>187</v>
      </c>
      <c r="F266" s="526">
        <f t="shared" si="44"/>
        <v>188</v>
      </c>
      <c r="G266" s="526">
        <f t="shared" si="44"/>
        <v>189</v>
      </c>
      <c r="H266" s="526">
        <f t="shared" si="44"/>
        <v>190</v>
      </c>
      <c r="I266" s="526">
        <f t="shared" si="44"/>
        <v>191</v>
      </c>
      <c r="J266" s="526">
        <f t="shared" si="44"/>
        <v>192</v>
      </c>
      <c r="K266" s="526">
        <f t="shared" si="44"/>
        <v>193</v>
      </c>
      <c r="L266" s="526">
        <f t="shared" si="44"/>
        <v>194</v>
      </c>
      <c r="M266" s="526">
        <f t="shared" si="44"/>
        <v>195</v>
      </c>
      <c r="N266" s="526">
        <f t="shared" si="44"/>
        <v>196</v>
      </c>
      <c r="O266" s="526">
        <f t="shared" si="44"/>
        <v>197</v>
      </c>
      <c r="P266" s="526">
        <f t="shared" si="44"/>
        <v>198</v>
      </c>
      <c r="Q266" s="526">
        <f t="shared" si="44"/>
        <v>199</v>
      </c>
      <c r="R266" s="526">
        <f t="shared" si="44"/>
        <v>200</v>
      </c>
      <c r="S266" s="526">
        <f t="shared" si="44"/>
        <v>201</v>
      </c>
      <c r="T266" s="526">
        <f t="shared" si="45"/>
        <v>202</v>
      </c>
      <c r="U266" s="526">
        <f t="shared" si="45"/>
        <v>203</v>
      </c>
      <c r="V266" s="526">
        <f t="shared" si="45"/>
        <v>204</v>
      </c>
      <c r="W266" s="526">
        <f t="shared" si="45"/>
        <v>205</v>
      </c>
      <c r="X266" s="526">
        <f t="shared" si="45"/>
        <v>206</v>
      </c>
      <c r="Y266" s="526">
        <f t="shared" si="45"/>
        <v>207</v>
      </c>
    </row>
    <row r="267" spans="2:25" s="526" customFormat="1" ht="15.75">
      <c r="B267" s="530" t="s">
        <v>38</v>
      </c>
      <c r="C267" s="526">
        <f t="shared" si="46"/>
        <v>208</v>
      </c>
      <c r="D267" s="526">
        <f t="shared" si="44"/>
        <v>209</v>
      </c>
      <c r="E267" s="526">
        <f t="shared" si="44"/>
        <v>210</v>
      </c>
      <c r="F267" s="526">
        <f t="shared" si="44"/>
        <v>211</v>
      </c>
      <c r="G267" s="526">
        <f t="shared" si="44"/>
        <v>212</v>
      </c>
      <c r="H267" s="526">
        <f t="shared" si="44"/>
        <v>213</v>
      </c>
      <c r="I267" s="526">
        <f t="shared" si="44"/>
        <v>214</v>
      </c>
      <c r="J267" s="526">
        <f t="shared" si="44"/>
        <v>215</v>
      </c>
      <c r="K267" s="526">
        <f t="shared" si="44"/>
        <v>216</v>
      </c>
      <c r="L267" s="526">
        <f t="shared" si="44"/>
        <v>217</v>
      </c>
      <c r="M267" s="526">
        <f t="shared" si="44"/>
        <v>218</v>
      </c>
      <c r="N267" s="526">
        <f t="shared" si="44"/>
        <v>219</v>
      </c>
      <c r="O267" s="526">
        <f t="shared" si="44"/>
        <v>220</v>
      </c>
      <c r="P267" s="526">
        <f t="shared" si="44"/>
        <v>221</v>
      </c>
      <c r="Q267" s="526">
        <f t="shared" si="44"/>
        <v>222</v>
      </c>
      <c r="R267" s="526">
        <f t="shared" si="44"/>
        <v>223</v>
      </c>
      <c r="S267" s="526">
        <f t="shared" si="44"/>
        <v>224</v>
      </c>
      <c r="T267" s="526">
        <f t="shared" si="45"/>
        <v>225</v>
      </c>
      <c r="U267" s="526">
        <f t="shared" si="45"/>
        <v>226</v>
      </c>
      <c r="V267" s="526">
        <f t="shared" si="45"/>
        <v>227</v>
      </c>
      <c r="W267" s="526">
        <f t="shared" si="45"/>
        <v>228</v>
      </c>
      <c r="X267" s="526">
        <f t="shared" si="45"/>
        <v>229</v>
      </c>
      <c r="Y267" s="526">
        <f t="shared" si="45"/>
        <v>230</v>
      </c>
    </row>
    <row r="268" spans="2:25" s="526" customFormat="1" ht="15.75">
      <c r="B268" s="530" t="s">
        <v>39</v>
      </c>
      <c r="C268" s="526">
        <f t="shared" si="46"/>
        <v>231</v>
      </c>
      <c r="D268" s="526">
        <f t="shared" si="44"/>
        <v>232</v>
      </c>
      <c r="E268" s="526">
        <f t="shared" si="44"/>
        <v>233</v>
      </c>
      <c r="F268" s="526">
        <f t="shared" si="44"/>
        <v>234</v>
      </c>
      <c r="G268" s="526">
        <f t="shared" si="44"/>
        <v>235</v>
      </c>
      <c r="H268" s="526">
        <f t="shared" si="44"/>
        <v>236</v>
      </c>
      <c r="I268" s="526">
        <f t="shared" si="44"/>
        <v>237</v>
      </c>
      <c r="J268" s="526">
        <f t="shared" si="44"/>
        <v>238</v>
      </c>
      <c r="K268" s="526">
        <f t="shared" si="44"/>
        <v>239</v>
      </c>
      <c r="L268" s="526">
        <f t="shared" si="44"/>
        <v>240</v>
      </c>
      <c r="M268" s="526">
        <f t="shared" si="44"/>
        <v>241</v>
      </c>
      <c r="N268" s="526">
        <f t="shared" si="44"/>
        <v>242</v>
      </c>
      <c r="O268" s="526">
        <f t="shared" si="44"/>
        <v>243</v>
      </c>
      <c r="P268" s="526">
        <f t="shared" si="44"/>
        <v>244</v>
      </c>
      <c r="Q268" s="526">
        <f t="shared" si="44"/>
        <v>245</v>
      </c>
      <c r="R268" s="526">
        <f t="shared" si="44"/>
        <v>246</v>
      </c>
      <c r="S268" s="526">
        <f t="shared" si="44"/>
        <v>247</v>
      </c>
      <c r="T268" s="526">
        <f t="shared" si="45"/>
        <v>248</v>
      </c>
      <c r="U268" s="526">
        <f t="shared" si="45"/>
        <v>249</v>
      </c>
      <c r="V268" s="526">
        <f t="shared" si="45"/>
        <v>250</v>
      </c>
      <c r="W268" s="526">
        <f t="shared" si="45"/>
        <v>251</v>
      </c>
      <c r="X268" s="526">
        <f t="shared" si="45"/>
        <v>252</v>
      </c>
      <c r="Y268" s="526">
        <f t="shared" si="45"/>
        <v>253</v>
      </c>
    </row>
    <row r="269" spans="2:25" s="526" customFormat="1" ht="15.75">
      <c r="B269" s="530" t="s">
        <v>40</v>
      </c>
      <c r="C269" s="526">
        <f t="shared" si="46"/>
        <v>254</v>
      </c>
      <c r="D269" s="526">
        <f t="shared" si="44"/>
        <v>255</v>
      </c>
      <c r="E269" s="526">
        <f t="shared" si="44"/>
        <v>256</v>
      </c>
      <c r="F269" s="526">
        <f t="shared" si="44"/>
        <v>257</v>
      </c>
      <c r="G269" s="526">
        <f t="shared" si="44"/>
        <v>258</v>
      </c>
      <c r="H269" s="526">
        <f t="shared" si="44"/>
        <v>259</v>
      </c>
      <c r="I269" s="526">
        <f t="shared" si="44"/>
        <v>260</v>
      </c>
      <c r="J269" s="526">
        <f t="shared" si="44"/>
        <v>261</v>
      </c>
      <c r="K269" s="526">
        <f t="shared" si="44"/>
        <v>262</v>
      </c>
      <c r="L269" s="526">
        <f t="shared" si="44"/>
        <v>263</v>
      </c>
      <c r="M269" s="526">
        <f t="shared" si="44"/>
        <v>264</v>
      </c>
      <c r="N269" s="526">
        <f t="shared" si="44"/>
        <v>265</v>
      </c>
      <c r="O269" s="526">
        <f t="shared" si="44"/>
        <v>266</v>
      </c>
      <c r="P269" s="526">
        <f t="shared" si="44"/>
        <v>267</v>
      </c>
      <c r="Q269" s="526">
        <f t="shared" si="44"/>
        <v>268</v>
      </c>
      <c r="R269" s="526">
        <f t="shared" si="44"/>
        <v>269</v>
      </c>
      <c r="S269" s="526">
        <f t="shared" si="44"/>
        <v>270</v>
      </c>
      <c r="T269" s="526">
        <f t="shared" si="45"/>
        <v>271</v>
      </c>
      <c r="U269" s="526">
        <f t="shared" si="45"/>
        <v>272</v>
      </c>
      <c r="V269" s="526">
        <f t="shared" si="45"/>
        <v>273</v>
      </c>
      <c r="W269" s="526">
        <f t="shared" si="45"/>
        <v>274</v>
      </c>
      <c r="X269" s="526">
        <f t="shared" si="45"/>
        <v>275</v>
      </c>
      <c r="Y269" s="526">
        <f t="shared" si="45"/>
        <v>276</v>
      </c>
    </row>
    <row r="270" spans="2:25" s="526" customFormat="1" ht="15.75">
      <c r="B270" s="530" t="s">
        <v>41</v>
      </c>
      <c r="C270" s="526">
        <f t="shared" si="46"/>
        <v>277</v>
      </c>
      <c r="D270" s="526">
        <f t="shared" si="44"/>
        <v>278</v>
      </c>
      <c r="E270" s="526">
        <f t="shared" si="44"/>
        <v>279</v>
      </c>
      <c r="F270" s="526">
        <f t="shared" si="44"/>
        <v>280</v>
      </c>
      <c r="G270" s="526">
        <f t="shared" si="44"/>
        <v>281</v>
      </c>
      <c r="H270" s="526">
        <f t="shared" si="44"/>
        <v>282</v>
      </c>
      <c r="I270" s="526">
        <f t="shared" si="44"/>
        <v>283</v>
      </c>
      <c r="J270" s="526">
        <f t="shared" si="44"/>
        <v>284</v>
      </c>
      <c r="K270" s="526">
        <f t="shared" si="44"/>
        <v>285</v>
      </c>
      <c r="L270" s="526">
        <f t="shared" si="44"/>
        <v>286</v>
      </c>
      <c r="M270" s="526">
        <f t="shared" si="44"/>
        <v>287</v>
      </c>
      <c r="N270" s="526">
        <f t="shared" si="44"/>
        <v>288</v>
      </c>
      <c r="O270" s="526">
        <f t="shared" si="44"/>
        <v>289</v>
      </c>
      <c r="P270" s="526">
        <f t="shared" si="44"/>
        <v>290</v>
      </c>
      <c r="Q270" s="526">
        <f t="shared" si="44"/>
        <v>291</v>
      </c>
      <c r="R270" s="526">
        <f t="shared" si="44"/>
        <v>292</v>
      </c>
      <c r="S270" s="526">
        <f t="shared" si="44"/>
        <v>293</v>
      </c>
      <c r="T270" s="526">
        <f t="shared" si="45"/>
        <v>294</v>
      </c>
      <c r="U270" s="526">
        <f t="shared" si="45"/>
        <v>295</v>
      </c>
      <c r="V270" s="526">
        <f t="shared" si="45"/>
        <v>296</v>
      </c>
      <c r="W270" s="526">
        <f t="shared" si="45"/>
        <v>297</v>
      </c>
      <c r="X270" s="526">
        <f t="shared" si="45"/>
        <v>298</v>
      </c>
      <c r="Y270" s="526">
        <f t="shared" si="45"/>
        <v>299</v>
      </c>
    </row>
    <row r="271" spans="2:25" s="526" customFormat="1" ht="15.75">
      <c r="B271" s="530" t="s">
        <v>42</v>
      </c>
      <c r="C271" s="526">
        <f t="shared" si="46"/>
        <v>300</v>
      </c>
      <c r="D271" s="526">
        <f t="shared" si="44"/>
        <v>301</v>
      </c>
      <c r="E271" s="526">
        <f t="shared" si="44"/>
        <v>302</v>
      </c>
      <c r="F271" s="526">
        <f t="shared" si="44"/>
        <v>303</v>
      </c>
      <c r="G271" s="526">
        <f t="shared" si="44"/>
        <v>304</v>
      </c>
      <c r="H271" s="526">
        <f t="shared" si="44"/>
        <v>305</v>
      </c>
      <c r="I271" s="526">
        <f t="shared" si="44"/>
        <v>306</v>
      </c>
      <c r="J271" s="526">
        <f t="shared" si="44"/>
        <v>307</v>
      </c>
      <c r="K271" s="526">
        <f t="shared" si="44"/>
        <v>308</v>
      </c>
      <c r="L271" s="526">
        <f t="shared" si="44"/>
        <v>309</v>
      </c>
      <c r="M271" s="526">
        <f t="shared" si="44"/>
        <v>310</v>
      </c>
      <c r="N271" s="526">
        <f t="shared" si="44"/>
        <v>311</v>
      </c>
      <c r="O271" s="526">
        <f t="shared" si="44"/>
        <v>312</v>
      </c>
      <c r="P271" s="526">
        <f t="shared" si="44"/>
        <v>313</v>
      </c>
      <c r="Q271" s="526">
        <f t="shared" si="44"/>
        <v>314</v>
      </c>
      <c r="R271" s="526">
        <f t="shared" si="44"/>
        <v>315</v>
      </c>
      <c r="S271" s="526">
        <f t="shared" si="44"/>
        <v>316</v>
      </c>
      <c r="T271" s="526">
        <f t="shared" si="45"/>
        <v>317</v>
      </c>
      <c r="U271" s="526">
        <f t="shared" si="45"/>
        <v>318</v>
      </c>
      <c r="V271" s="526">
        <f t="shared" si="45"/>
        <v>319</v>
      </c>
      <c r="W271" s="526">
        <f t="shared" si="45"/>
        <v>320</v>
      </c>
      <c r="X271" s="526">
        <f t="shared" si="45"/>
        <v>321</v>
      </c>
      <c r="Y271" s="526">
        <f t="shared" si="45"/>
        <v>322</v>
      </c>
    </row>
    <row r="272" spans="2:25" s="526" customFormat="1" ht="15.75">
      <c r="B272" s="530" t="s">
        <v>43</v>
      </c>
      <c r="C272" s="526">
        <f t="shared" si="46"/>
        <v>323</v>
      </c>
      <c r="D272" s="526">
        <f t="shared" si="44"/>
        <v>324</v>
      </c>
      <c r="E272" s="526">
        <f t="shared" si="44"/>
        <v>325</v>
      </c>
      <c r="F272" s="526">
        <f t="shared" si="44"/>
        <v>326</v>
      </c>
      <c r="G272" s="526">
        <f t="shared" si="44"/>
        <v>327</v>
      </c>
      <c r="H272" s="526">
        <f t="shared" si="44"/>
        <v>328</v>
      </c>
      <c r="I272" s="526">
        <f t="shared" si="44"/>
        <v>329</v>
      </c>
      <c r="J272" s="526">
        <f t="shared" si="44"/>
        <v>330</v>
      </c>
      <c r="K272" s="526">
        <f t="shared" si="44"/>
        <v>331</v>
      </c>
      <c r="L272" s="526">
        <f t="shared" si="44"/>
        <v>332</v>
      </c>
      <c r="M272" s="526">
        <f t="shared" si="44"/>
        <v>333</v>
      </c>
      <c r="N272" s="526">
        <f t="shared" si="44"/>
        <v>334</v>
      </c>
      <c r="O272" s="526">
        <f t="shared" si="44"/>
        <v>335</v>
      </c>
      <c r="P272" s="526">
        <f t="shared" si="44"/>
        <v>336</v>
      </c>
      <c r="Q272" s="526">
        <f t="shared" si="44"/>
        <v>337</v>
      </c>
      <c r="R272" s="526">
        <f t="shared" si="44"/>
        <v>338</v>
      </c>
      <c r="S272" s="526">
        <f t="shared" si="44"/>
        <v>339</v>
      </c>
      <c r="T272" s="526">
        <f t="shared" si="45"/>
        <v>340</v>
      </c>
      <c r="U272" s="526">
        <f t="shared" si="45"/>
        <v>341</v>
      </c>
      <c r="V272" s="526">
        <f t="shared" si="45"/>
        <v>342</v>
      </c>
      <c r="W272" s="526">
        <f t="shared" si="45"/>
        <v>343</v>
      </c>
      <c r="X272" s="526">
        <f t="shared" si="45"/>
        <v>344</v>
      </c>
      <c r="Y272" s="526">
        <f t="shared" si="45"/>
        <v>345</v>
      </c>
    </row>
    <row r="273" spans="2:25" s="526" customFormat="1" ht="15.75">
      <c r="B273" s="530" t="s">
        <v>44</v>
      </c>
      <c r="C273" s="526">
        <f t="shared" si="46"/>
        <v>346</v>
      </c>
      <c r="D273" s="526">
        <f t="shared" si="44"/>
        <v>347</v>
      </c>
      <c r="E273" s="526">
        <f t="shared" si="44"/>
        <v>348</v>
      </c>
      <c r="F273" s="526">
        <f t="shared" si="44"/>
        <v>349</v>
      </c>
      <c r="G273" s="526">
        <f t="shared" si="44"/>
        <v>350</v>
      </c>
      <c r="H273" s="526">
        <f t="shared" si="44"/>
        <v>351</v>
      </c>
      <c r="I273" s="526">
        <f t="shared" si="44"/>
        <v>352</v>
      </c>
      <c r="J273" s="526">
        <f t="shared" si="44"/>
        <v>353</v>
      </c>
      <c r="K273" s="526">
        <f t="shared" si="44"/>
        <v>354</v>
      </c>
      <c r="L273" s="526">
        <f t="shared" si="44"/>
        <v>355</v>
      </c>
      <c r="M273" s="526">
        <f t="shared" si="44"/>
        <v>356</v>
      </c>
      <c r="N273" s="526">
        <f t="shared" si="44"/>
        <v>357</v>
      </c>
      <c r="O273" s="526">
        <f t="shared" si="44"/>
        <v>358</v>
      </c>
      <c r="P273" s="526">
        <f t="shared" si="44"/>
        <v>359</v>
      </c>
      <c r="Q273" s="526">
        <f t="shared" si="44"/>
        <v>360</v>
      </c>
      <c r="R273" s="526">
        <f t="shared" si="44"/>
        <v>361</v>
      </c>
      <c r="S273" s="526">
        <f t="shared" ref="D273:S286" si="47">R273+1</f>
        <v>362</v>
      </c>
      <c r="T273" s="526">
        <f t="shared" si="45"/>
        <v>363</v>
      </c>
      <c r="U273" s="526">
        <f t="shared" si="45"/>
        <v>364</v>
      </c>
      <c r="V273" s="526">
        <f t="shared" si="45"/>
        <v>365</v>
      </c>
      <c r="W273" s="526">
        <f t="shared" si="45"/>
        <v>366</v>
      </c>
      <c r="X273" s="526">
        <f t="shared" si="45"/>
        <v>367</v>
      </c>
      <c r="Y273" s="526">
        <f t="shared" si="45"/>
        <v>368</v>
      </c>
    </row>
    <row r="274" spans="2:25" s="526" customFormat="1" ht="15.75">
      <c r="B274" s="530" t="s">
        <v>45</v>
      </c>
      <c r="C274" s="526">
        <f t="shared" si="46"/>
        <v>369</v>
      </c>
      <c r="D274" s="526">
        <f t="shared" si="47"/>
        <v>370</v>
      </c>
      <c r="E274" s="526">
        <f t="shared" si="47"/>
        <v>371</v>
      </c>
      <c r="F274" s="526">
        <f t="shared" si="47"/>
        <v>372</v>
      </c>
      <c r="G274" s="526">
        <f t="shared" si="47"/>
        <v>373</v>
      </c>
      <c r="H274" s="526">
        <f t="shared" si="47"/>
        <v>374</v>
      </c>
      <c r="I274" s="526">
        <f t="shared" si="47"/>
        <v>375</v>
      </c>
      <c r="J274" s="526">
        <f t="shared" si="47"/>
        <v>376</v>
      </c>
      <c r="K274" s="526">
        <f t="shared" si="47"/>
        <v>377</v>
      </c>
      <c r="L274" s="526">
        <f t="shared" si="47"/>
        <v>378</v>
      </c>
      <c r="M274" s="526">
        <f t="shared" si="47"/>
        <v>379</v>
      </c>
      <c r="N274" s="526">
        <f t="shared" si="47"/>
        <v>380</v>
      </c>
      <c r="O274" s="526">
        <f t="shared" si="47"/>
        <v>381</v>
      </c>
      <c r="P274" s="526">
        <f t="shared" si="47"/>
        <v>382</v>
      </c>
      <c r="Q274" s="526">
        <f t="shared" si="47"/>
        <v>383</v>
      </c>
      <c r="R274" s="526">
        <f t="shared" si="47"/>
        <v>384</v>
      </c>
      <c r="S274" s="526">
        <f t="shared" si="47"/>
        <v>385</v>
      </c>
      <c r="T274" s="526">
        <f t="shared" ref="S274:Y286" si="48">S274+1</f>
        <v>386</v>
      </c>
      <c r="U274" s="526">
        <f t="shared" si="48"/>
        <v>387</v>
      </c>
      <c r="V274" s="526">
        <f t="shared" si="48"/>
        <v>388</v>
      </c>
      <c r="W274" s="526">
        <f t="shared" si="48"/>
        <v>389</v>
      </c>
      <c r="X274" s="526">
        <f t="shared" si="48"/>
        <v>390</v>
      </c>
      <c r="Y274" s="526">
        <f t="shared" si="48"/>
        <v>391</v>
      </c>
    </row>
    <row r="275" spans="2:25" s="526" customFormat="1" ht="15.75">
      <c r="B275" s="530" t="s">
        <v>295</v>
      </c>
      <c r="C275" s="526">
        <f t="shared" si="46"/>
        <v>392</v>
      </c>
      <c r="D275" s="526">
        <f t="shared" si="47"/>
        <v>393</v>
      </c>
      <c r="E275" s="526">
        <f t="shared" si="47"/>
        <v>394</v>
      </c>
      <c r="F275" s="526">
        <f t="shared" si="47"/>
        <v>395</v>
      </c>
      <c r="G275" s="526">
        <f t="shared" si="47"/>
        <v>396</v>
      </c>
      <c r="H275" s="526">
        <f t="shared" si="47"/>
        <v>397</v>
      </c>
      <c r="I275" s="526">
        <f t="shared" si="47"/>
        <v>398</v>
      </c>
      <c r="J275" s="526">
        <f t="shared" si="47"/>
        <v>399</v>
      </c>
      <c r="K275" s="526">
        <f t="shared" si="47"/>
        <v>400</v>
      </c>
      <c r="L275" s="526">
        <f t="shared" si="47"/>
        <v>401</v>
      </c>
      <c r="M275" s="526">
        <f t="shared" si="47"/>
        <v>402</v>
      </c>
      <c r="N275" s="526">
        <f t="shared" si="47"/>
        <v>403</v>
      </c>
      <c r="O275" s="526">
        <f t="shared" si="47"/>
        <v>404</v>
      </c>
      <c r="P275" s="526">
        <f t="shared" si="47"/>
        <v>405</v>
      </c>
      <c r="Q275" s="526">
        <f t="shared" si="47"/>
        <v>406</v>
      </c>
      <c r="R275" s="526">
        <f t="shared" si="47"/>
        <v>407</v>
      </c>
      <c r="S275" s="526">
        <f t="shared" si="47"/>
        <v>408</v>
      </c>
      <c r="T275" s="526">
        <f t="shared" si="48"/>
        <v>409</v>
      </c>
      <c r="U275" s="526">
        <f t="shared" si="48"/>
        <v>410</v>
      </c>
      <c r="V275" s="526">
        <f t="shared" si="48"/>
        <v>411</v>
      </c>
      <c r="W275" s="526">
        <f t="shared" si="48"/>
        <v>412</v>
      </c>
      <c r="X275" s="526">
        <f t="shared" si="48"/>
        <v>413</v>
      </c>
      <c r="Y275" s="526">
        <f t="shared" si="48"/>
        <v>414</v>
      </c>
    </row>
    <row r="276" spans="2:25" s="526" customFormat="1" ht="15.75">
      <c r="B276" s="530" t="s">
        <v>47</v>
      </c>
      <c r="C276" s="526">
        <f t="shared" si="46"/>
        <v>415</v>
      </c>
      <c r="D276" s="526">
        <f t="shared" si="47"/>
        <v>416</v>
      </c>
      <c r="E276" s="526">
        <f t="shared" si="47"/>
        <v>417</v>
      </c>
      <c r="F276" s="526">
        <f t="shared" si="47"/>
        <v>418</v>
      </c>
      <c r="G276" s="526">
        <f t="shared" si="47"/>
        <v>419</v>
      </c>
      <c r="H276" s="526">
        <f t="shared" si="47"/>
        <v>420</v>
      </c>
      <c r="I276" s="526">
        <f t="shared" si="47"/>
        <v>421</v>
      </c>
      <c r="J276" s="526">
        <f t="shared" si="47"/>
        <v>422</v>
      </c>
      <c r="K276" s="526">
        <f t="shared" si="47"/>
        <v>423</v>
      </c>
      <c r="L276" s="526">
        <f t="shared" si="47"/>
        <v>424</v>
      </c>
      <c r="M276" s="526">
        <f t="shared" si="47"/>
        <v>425</v>
      </c>
      <c r="N276" s="526">
        <f t="shared" si="47"/>
        <v>426</v>
      </c>
      <c r="O276" s="526">
        <f t="shared" si="47"/>
        <v>427</v>
      </c>
      <c r="P276" s="526">
        <f t="shared" si="47"/>
        <v>428</v>
      </c>
      <c r="Q276" s="526">
        <f t="shared" si="47"/>
        <v>429</v>
      </c>
      <c r="R276" s="526">
        <f t="shared" si="47"/>
        <v>430</v>
      </c>
      <c r="S276" s="526">
        <f t="shared" si="47"/>
        <v>431</v>
      </c>
      <c r="T276" s="526">
        <f t="shared" si="48"/>
        <v>432</v>
      </c>
      <c r="U276" s="526">
        <f t="shared" si="48"/>
        <v>433</v>
      </c>
      <c r="V276" s="526">
        <f t="shared" si="48"/>
        <v>434</v>
      </c>
      <c r="W276" s="526">
        <f t="shared" si="48"/>
        <v>435</v>
      </c>
      <c r="X276" s="526">
        <f t="shared" si="48"/>
        <v>436</v>
      </c>
      <c r="Y276" s="526">
        <f t="shared" si="48"/>
        <v>437</v>
      </c>
    </row>
    <row r="277" spans="2:25" s="526" customFormat="1" ht="15.75">
      <c r="B277" s="530" t="s">
        <v>48</v>
      </c>
      <c r="C277" s="526">
        <f t="shared" si="46"/>
        <v>438</v>
      </c>
      <c r="D277" s="526">
        <f t="shared" si="47"/>
        <v>439</v>
      </c>
      <c r="E277" s="526">
        <f t="shared" si="47"/>
        <v>440</v>
      </c>
      <c r="F277" s="526">
        <f t="shared" si="47"/>
        <v>441</v>
      </c>
      <c r="G277" s="526">
        <f t="shared" si="47"/>
        <v>442</v>
      </c>
      <c r="H277" s="526">
        <f t="shared" si="47"/>
        <v>443</v>
      </c>
      <c r="I277" s="526">
        <f t="shared" si="47"/>
        <v>444</v>
      </c>
      <c r="J277" s="526">
        <f t="shared" si="47"/>
        <v>445</v>
      </c>
      <c r="K277" s="526">
        <f t="shared" si="47"/>
        <v>446</v>
      </c>
      <c r="L277" s="526">
        <f t="shared" si="47"/>
        <v>447</v>
      </c>
      <c r="M277" s="526">
        <f t="shared" si="47"/>
        <v>448</v>
      </c>
      <c r="N277" s="526">
        <f t="shared" si="47"/>
        <v>449</v>
      </c>
      <c r="O277" s="526">
        <f t="shared" si="47"/>
        <v>450</v>
      </c>
      <c r="P277" s="526">
        <f t="shared" si="47"/>
        <v>451</v>
      </c>
      <c r="Q277" s="526">
        <f t="shared" si="47"/>
        <v>452</v>
      </c>
      <c r="R277" s="526">
        <f t="shared" si="47"/>
        <v>453</v>
      </c>
      <c r="S277" s="526">
        <f t="shared" si="47"/>
        <v>454</v>
      </c>
      <c r="T277" s="526">
        <f t="shared" si="48"/>
        <v>455</v>
      </c>
      <c r="U277" s="526">
        <f t="shared" si="48"/>
        <v>456</v>
      </c>
      <c r="V277" s="526">
        <f t="shared" si="48"/>
        <v>457</v>
      </c>
      <c r="W277" s="526">
        <f t="shared" si="48"/>
        <v>458</v>
      </c>
      <c r="X277" s="526">
        <f t="shared" si="48"/>
        <v>459</v>
      </c>
      <c r="Y277" s="526">
        <f t="shared" si="48"/>
        <v>460</v>
      </c>
    </row>
    <row r="278" spans="2:25" s="526" customFormat="1" ht="15.75">
      <c r="B278" s="530" t="s">
        <v>176</v>
      </c>
      <c r="C278" s="526">
        <f t="shared" si="46"/>
        <v>461</v>
      </c>
      <c r="D278" s="526">
        <f t="shared" si="47"/>
        <v>462</v>
      </c>
      <c r="E278" s="526">
        <f t="shared" si="47"/>
        <v>463</v>
      </c>
      <c r="F278" s="526">
        <f t="shared" si="47"/>
        <v>464</v>
      </c>
      <c r="G278" s="526">
        <f t="shared" si="47"/>
        <v>465</v>
      </c>
      <c r="H278" s="526">
        <f t="shared" si="47"/>
        <v>466</v>
      </c>
      <c r="I278" s="526">
        <f t="shared" si="47"/>
        <v>467</v>
      </c>
      <c r="J278" s="526">
        <f t="shared" si="47"/>
        <v>468</v>
      </c>
      <c r="K278" s="526">
        <f t="shared" si="47"/>
        <v>469</v>
      </c>
      <c r="L278" s="526">
        <f t="shared" si="47"/>
        <v>470</v>
      </c>
      <c r="M278" s="526">
        <f t="shared" si="47"/>
        <v>471</v>
      </c>
      <c r="N278" s="526">
        <f t="shared" si="47"/>
        <v>472</v>
      </c>
      <c r="O278" s="526">
        <f t="shared" si="47"/>
        <v>473</v>
      </c>
      <c r="P278" s="526">
        <f t="shared" si="47"/>
        <v>474</v>
      </c>
      <c r="Q278" s="526">
        <f t="shared" si="47"/>
        <v>475</v>
      </c>
      <c r="R278" s="526">
        <f t="shared" si="47"/>
        <v>476</v>
      </c>
      <c r="S278" s="526">
        <f t="shared" si="47"/>
        <v>477</v>
      </c>
      <c r="T278" s="526">
        <f t="shared" si="48"/>
        <v>478</v>
      </c>
      <c r="U278" s="526">
        <f t="shared" si="48"/>
        <v>479</v>
      </c>
      <c r="V278" s="526">
        <f t="shared" si="48"/>
        <v>480</v>
      </c>
      <c r="W278" s="526">
        <f t="shared" si="48"/>
        <v>481</v>
      </c>
      <c r="X278" s="526">
        <f t="shared" si="48"/>
        <v>482</v>
      </c>
      <c r="Y278" s="526">
        <f t="shared" si="48"/>
        <v>483</v>
      </c>
    </row>
    <row r="279" spans="2:25" s="526" customFormat="1" ht="15.75">
      <c r="B279" s="530" t="s">
        <v>124</v>
      </c>
      <c r="C279" s="526">
        <f t="shared" si="46"/>
        <v>484</v>
      </c>
      <c r="D279" s="526">
        <f t="shared" si="47"/>
        <v>485</v>
      </c>
      <c r="E279" s="526">
        <f t="shared" si="47"/>
        <v>486</v>
      </c>
      <c r="F279" s="526">
        <f t="shared" si="47"/>
        <v>487</v>
      </c>
      <c r="G279" s="526">
        <f t="shared" si="47"/>
        <v>488</v>
      </c>
      <c r="H279" s="526">
        <f t="shared" si="47"/>
        <v>489</v>
      </c>
      <c r="I279" s="526">
        <f t="shared" si="47"/>
        <v>490</v>
      </c>
      <c r="J279" s="526">
        <f t="shared" si="47"/>
        <v>491</v>
      </c>
      <c r="K279" s="526">
        <f t="shared" si="47"/>
        <v>492</v>
      </c>
      <c r="L279" s="526">
        <f t="shared" si="47"/>
        <v>493</v>
      </c>
      <c r="M279" s="526">
        <f t="shared" si="47"/>
        <v>494</v>
      </c>
      <c r="N279" s="526">
        <f t="shared" si="47"/>
        <v>495</v>
      </c>
      <c r="O279" s="526">
        <f t="shared" si="47"/>
        <v>496</v>
      </c>
      <c r="P279" s="526">
        <f t="shared" si="47"/>
        <v>497</v>
      </c>
      <c r="Q279" s="526">
        <f t="shared" si="47"/>
        <v>498</v>
      </c>
      <c r="R279" s="526">
        <f t="shared" si="47"/>
        <v>499</v>
      </c>
      <c r="S279" s="526">
        <f t="shared" si="47"/>
        <v>500</v>
      </c>
      <c r="T279" s="526">
        <f t="shared" si="48"/>
        <v>501</v>
      </c>
      <c r="U279" s="526">
        <f t="shared" si="48"/>
        <v>502</v>
      </c>
      <c r="V279" s="526">
        <f t="shared" si="48"/>
        <v>503</v>
      </c>
      <c r="W279" s="526">
        <f t="shared" si="48"/>
        <v>504</v>
      </c>
      <c r="X279" s="526">
        <f t="shared" si="48"/>
        <v>505</v>
      </c>
      <c r="Y279" s="526">
        <f t="shared" si="48"/>
        <v>506</v>
      </c>
    </row>
    <row r="280" spans="2:25" s="526" customFormat="1" ht="15.75">
      <c r="B280" s="530" t="s">
        <v>125</v>
      </c>
      <c r="C280" s="526">
        <f t="shared" si="46"/>
        <v>507</v>
      </c>
      <c r="D280" s="526">
        <f t="shared" si="47"/>
        <v>508</v>
      </c>
      <c r="E280" s="526">
        <f t="shared" si="47"/>
        <v>509</v>
      </c>
      <c r="F280" s="526">
        <f t="shared" si="47"/>
        <v>510</v>
      </c>
      <c r="G280" s="526">
        <f t="shared" si="47"/>
        <v>511</v>
      </c>
      <c r="H280" s="526">
        <f t="shared" si="47"/>
        <v>512</v>
      </c>
      <c r="I280" s="526">
        <f t="shared" si="47"/>
        <v>513</v>
      </c>
      <c r="J280" s="526">
        <f t="shared" si="47"/>
        <v>514</v>
      </c>
      <c r="K280" s="526">
        <f t="shared" si="47"/>
        <v>515</v>
      </c>
      <c r="L280" s="526">
        <f t="shared" si="47"/>
        <v>516</v>
      </c>
      <c r="M280" s="526">
        <f t="shared" si="47"/>
        <v>517</v>
      </c>
      <c r="N280" s="526">
        <f t="shared" si="47"/>
        <v>518</v>
      </c>
      <c r="O280" s="526">
        <f t="shared" si="47"/>
        <v>519</v>
      </c>
      <c r="P280" s="526">
        <f t="shared" si="47"/>
        <v>520</v>
      </c>
      <c r="Q280" s="526">
        <f t="shared" si="47"/>
        <v>521</v>
      </c>
      <c r="R280" s="526">
        <f t="shared" si="47"/>
        <v>522</v>
      </c>
      <c r="S280" s="526">
        <f t="shared" si="47"/>
        <v>523</v>
      </c>
      <c r="T280" s="526">
        <f t="shared" si="48"/>
        <v>524</v>
      </c>
      <c r="U280" s="526">
        <f t="shared" si="48"/>
        <v>525</v>
      </c>
      <c r="V280" s="526">
        <f t="shared" si="48"/>
        <v>526</v>
      </c>
      <c r="W280" s="526">
        <f t="shared" si="48"/>
        <v>527</v>
      </c>
      <c r="X280" s="526">
        <f t="shared" si="48"/>
        <v>528</v>
      </c>
      <c r="Y280" s="526">
        <f t="shared" si="48"/>
        <v>529</v>
      </c>
    </row>
    <row r="281" spans="2:25" s="526" customFormat="1" ht="15.75">
      <c r="B281" s="530" t="s">
        <v>52</v>
      </c>
      <c r="C281" s="526">
        <f t="shared" si="46"/>
        <v>530</v>
      </c>
      <c r="D281" s="526">
        <f t="shared" si="47"/>
        <v>531</v>
      </c>
      <c r="E281" s="526">
        <f t="shared" si="47"/>
        <v>532</v>
      </c>
      <c r="F281" s="526">
        <f t="shared" si="47"/>
        <v>533</v>
      </c>
      <c r="G281" s="526">
        <f t="shared" si="47"/>
        <v>534</v>
      </c>
      <c r="H281" s="526">
        <f t="shared" si="47"/>
        <v>535</v>
      </c>
      <c r="I281" s="526">
        <f t="shared" si="47"/>
        <v>536</v>
      </c>
      <c r="J281" s="526">
        <f t="shared" si="47"/>
        <v>537</v>
      </c>
      <c r="K281" s="526">
        <f t="shared" si="47"/>
        <v>538</v>
      </c>
      <c r="L281" s="526">
        <f t="shared" si="47"/>
        <v>539</v>
      </c>
      <c r="M281" s="526">
        <f t="shared" si="47"/>
        <v>540</v>
      </c>
      <c r="N281" s="526">
        <f t="shared" si="47"/>
        <v>541</v>
      </c>
      <c r="O281" s="526">
        <f t="shared" si="47"/>
        <v>542</v>
      </c>
      <c r="P281" s="526">
        <f t="shared" si="47"/>
        <v>543</v>
      </c>
      <c r="Q281" s="526">
        <f t="shared" si="47"/>
        <v>544</v>
      </c>
      <c r="R281" s="526">
        <f t="shared" si="47"/>
        <v>545</v>
      </c>
      <c r="S281" s="526">
        <f t="shared" si="47"/>
        <v>546</v>
      </c>
      <c r="T281" s="526">
        <f t="shared" si="48"/>
        <v>547</v>
      </c>
      <c r="U281" s="526">
        <f t="shared" si="48"/>
        <v>548</v>
      </c>
      <c r="V281" s="526">
        <f t="shared" si="48"/>
        <v>549</v>
      </c>
      <c r="W281" s="526">
        <f t="shared" si="48"/>
        <v>550</v>
      </c>
      <c r="X281" s="526">
        <f t="shared" si="48"/>
        <v>551</v>
      </c>
      <c r="Y281" s="526">
        <f t="shared" si="48"/>
        <v>552</v>
      </c>
    </row>
    <row r="282" spans="2:25" s="526" customFormat="1" ht="15.75">
      <c r="B282" s="530" t="s">
        <v>53</v>
      </c>
      <c r="C282" s="526">
        <f t="shared" si="46"/>
        <v>553</v>
      </c>
      <c r="D282" s="526">
        <f t="shared" si="47"/>
        <v>554</v>
      </c>
      <c r="E282" s="526">
        <f t="shared" si="47"/>
        <v>555</v>
      </c>
      <c r="F282" s="526">
        <f t="shared" si="47"/>
        <v>556</v>
      </c>
      <c r="G282" s="526">
        <f t="shared" si="47"/>
        <v>557</v>
      </c>
      <c r="H282" s="526">
        <f t="shared" si="47"/>
        <v>558</v>
      </c>
      <c r="I282" s="526">
        <f t="shared" si="47"/>
        <v>559</v>
      </c>
      <c r="J282" s="526">
        <f t="shared" si="47"/>
        <v>560</v>
      </c>
      <c r="K282" s="526">
        <f t="shared" si="47"/>
        <v>561</v>
      </c>
      <c r="L282" s="526">
        <f t="shared" si="47"/>
        <v>562</v>
      </c>
      <c r="M282" s="526">
        <f t="shared" si="47"/>
        <v>563</v>
      </c>
      <c r="N282" s="526">
        <f t="shared" si="47"/>
        <v>564</v>
      </c>
      <c r="O282" s="526">
        <f t="shared" si="47"/>
        <v>565</v>
      </c>
      <c r="P282" s="526">
        <f t="shared" si="47"/>
        <v>566</v>
      </c>
      <c r="Q282" s="526">
        <f t="shared" si="47"/>
        <v>567</v>
      </c>
      <c r="R282" s="526">
        <f t="shared" si="47"/>
        <v>568</v>
      </c>
      <c r="S282" s="526">
        <f t="shared" si="47"/>
        <v>569</v>
      </c>
      <c r="T282" s="526">
        <f t="shared" si="48"/>
        <v>570</v>
      </c>
      <c r="U282" s="526">
        <f t="shared" si="48"/>
        <v>571</v>
      </c>
      <c r="V282" s="526">
        <f t="shared" si="48"/>
        <v>572</v>
      </c>
      <c r="W282" s="526">
        <f t="shared" si="48"/>
        <v>573</v>
      </c>
      <c r="X282" s="526">
        <f t="shared" si="48"/>
        <v>574</v>
      </c>
      <c r="Y282" s="526">
        <f t="shared" si="48"/>
        <v>575</v>
      </c>
    </row>
    <row r="283" spans="2:25" s="526" customFormat="1" ht="15.75">
      <c r="B283" s="530" t="s">
        <v>54</v>
      </c>
      <c r="C283" s="526">
        <f t="shared" si="46"/>
        <v>576</v>
      </c>
      <c r="D283" s="526">
        <f t="shared" si="47"/>
        <v>577</v>
      </c>
      <c r="E283" s="526">
        <f t="shared" si="47"/>
        <v>578</v>
      </c>
      <c r="F283" s="526">
        <f t="shared" si="47"/>
        <v>579</v>
      </c>
      <c r="G283" s="526">
        <f t="shared" si="47"/>
        <v>580</v>
      </c>
      <c r="H283" s="526">
        <f t="shared" si="47"/>
        <v>581</v>
      </c>
      <c r="I283" s="526">
        <f t="shared" si="47"/>
        <v>582</v>
      </c>
      <c r="J283" s="526">
        <f t="shared" si="47"/>
        <v>583</v>
      </c>
      <c r="K283" s="526">
        <f t="shared" si="47"/>
        <v>584</v>
      </c>
      <c r="L283" s="526">
        <f t="shared" si="47"/>
        <v>585</v>
      </c>
      <c r="M283" s="526">
        <f t="shared" si="47"/>
        <v>586</v>
      </c>
      <c r="N283" s="526">
        <f t="shared" si="47"/>
        <v>587</v>
      </c>
      <c r="O283" s="526">
        <f t="shared" si="47"/>
        <v>588</v>
      </c>
      <c r="P283" s="526">
        <f t="shared" si="47"/>
        <v>589</v>
      </c>
      <c r="Q283" s="526">
        <f t="shared" si="47"/>
        <v>590</v>
      </c>
      <c r="R283" s="526">
        <f t="shared" si="47"/>
        <v>591</v>
      </c>
      <c r="S283" s="526">
        <f t="shared" si="47"/>
        <v>592</v>
      </c>
      <c r="T283" s="526">
        <f t="shared" si="48"/>
        <v>593</v>
      </c>
      <c r="U283" s="526">
        <f t="shared" si="48"/>
        <v>594</v>
      </c>
      <c r="V283" s="526">
        <f t="shared" si="48"/>
        <v>595</v>
      </c>
      <c r="W283" s="526">
        <f t="shared" si="48"/>
        <v>596</v>
      </c>
      <c r="X283" s="526">
        <f t="shared" si="48"/>
        <v>597</v>
      </c>
      <c r="Y283" s="526">
        <f t="shared" si="48"/>
        <v>598</v>
      </c>
    </row>
    <row r="284" spans="2:25" s="526" customFormat="1" ht="15.75">
      <c r="B284" s="530" t="s">
        <v>55</v>
      </c>
      <c r="C284" s="526">
        <f t="shared" si="46"/>
        <v>599</v>
      </c>
      <c r="D284" s="526">
        <f t="shared" si="47"/>
        <v>600</v>
      </c>
      <c r="E284" s="526">
        <f t="shared" si="47"/>
        <v>601</v>
      </c>
      <c r="F284" s="526">
        <f t="shared" si="47"/>
        <v>602</v>
      </c>
      <c r="G284" s="526">
        <f t="shared" si="47"/>
        <v>603</v>
      </c>
      <c r="H284" s="526">
        <f t="shared" si="47"/>
        <v>604</v>
      </c>
      <c r="I284" s="526">
        <f t="shared" si="47"/>
        <v>605</v>
      </c>
      <c r="J284" s="526">
        <f t="shared" si="47"/>
        <v>606</v>
      </c>
      <c r="K284" s="526">
        <f t="shared" si="47"/>
        <v>607</v>
      </c>
      <c r="L284" s="526">
        <f t="shared" si="47"/>
        <v>608</v>
      </c>
      <c r="M284" s="526">
        <f t="shared" si="47"/>
        <v>609</v>
      </c>
      <c r="N284" s="526">
        <f t="shared" si="47"/>
        <v>610</v>
      </c>
      <c r="O284" s="526">
        <f t="shared" si="47"/>
        <v>611</v>
      </c>
      <c r="P284" s="526">
        <f t="shared" si="47"/>
        <v>612</v>
      </c>
      <c r="Q284" s="526">
        <f t="shared" si="47"/>
        <v>613</v>
      </c>
      <c r="R284" s="526">
        <f t="shared" si="47"/>
        <v>614</v>
      </c>
      <c r="S284" s="526">
        <f t="shared" si="47"/>
        <v>615</v>
      </c>
      <c r="T284" s="526">
        <f t="shared" si="48"/>
        <v>616</v>
      </c>
      <c r="U284" s="526">
        <f t="shared" si="48"/>
        <v>617</v>
      </c>
      <c r="V284" s="526">
        <f t="shared" si="48"/>
        <v>618</v>
      </c>
      <c r="W284" s="526">
        <f t="shared" si="48"/>
        <v>619</v>
      </c>
      <c r="X284" s="526">
        <f t="shared" si="48"/>
        <v>620</v>
      </c>
      <c r="Y284" s="526">
        <f t="shared" si="48"/>
        <v>621</v>
      </c>
    </row>
    <row r="285" spans="2:25" s="526" customFormat="1" ht="15.75">
      <c r="B285" s="530" t="s">
        <v>214</v>
      </c>
      <c r="C285" s="526">
        <f t="shared" si="46"/>
        <v>622</v>
      </c>
      <c r="D285" s="526">
        <f t="shared" si="47"/>
        <v>623</v>
      </c>
      <c r="E285" s="526">
        <f t="shared" si="47"/>
        <v>624</v>
      </c>
      <c r="F285" s="526">
        <f t="shared" si="47"/>
        <v>625</v>
      </c>
      <c r="G285" s="526">
        <f t="shared" si="47"/>
        <v>626</v>
      </c>
      <c r="H285" s="526">
        <f t="shared" si="47"/>
        <v>627</v>
      </c>
      <c r="I285" s="526">
        <f t="shared" si="47"/>
        <v>628</v>
      </c>
      <c r="J285" s="526">
        <f t="shared" si="47"/>
        <v>629</v>
      </c>
      <c r="K285" s="526">
        <f t="shared" si="47"/>
        <v>630</v>
      </c>
      <c r="L285" s="526">
        <f t="shared" si="47"/>
        <v>631</v>
      </c>
      <c r="M285" s="526">
        <f t="shared" si="47"/>
        <v>632</v>
      </c>
      <c r="N285" s="526">
        <f t="shared" si="47"/>
        <v>633</v>
      </c>
      <c r="O285" s="526">
        <f t="shared" si="47"/>
        <v>634</v>
      </c>
      <c r="P285" s="526">
        <f t="shared" si="47"/>
        <v>635</v>
      </c>
      <c r="Q285" s="526">
        <f t="shared" si="47"/>
        <v>636</v>
      </c>
      <c r="R285" s="526">
        <f t="shared" si="47"/>
        <v>637</v>
      </c>
      <c r="S285" s="526">
        <f t="shared" si="47"/>
        <v>638</v>
      </c>
      <c r="T285" s="526">
        <f t="shared" si="48"/>
        <v>639</v>
      </c>
      <c r="U285" s="526">
        <f t="shared" si="48"/>
        <v>640</v>
      </c>
      <c r="V285" s="526">
        <f t="shared" si="48"/>
        <v>641</v>
      </c>
      <c r="W285" s="526">
        <f t="shared" si="48"/>
        <v>642</v>
      </c>
      <c r="X285" s="526">
        <f t="shared" si="48"/>
        <v>643</v>
      </c>
      <c r="Y285" s="526">
        <f t="shared" si="48"/>
        <v>644</v>
      </c>
    </row>
    <row r="286" spans="2:25" s="526" customFormat="1" ht="15.75">
      <c r="B286" s="530" t="s">
        <v>57</v>
      </c>
      <c r="C286" s="526">
        <f t="shared" si="46"/>
        <v>645</v>
      </c>
      <c r="D286" s="526">
        <f t="shared" si="47"/>
        <v>646</v>
      </c>
      <c r="E286" s="526">
        <f t="shared" si="47"/>
        <v>647</v>
      </c>
      <c r="F286" s="526">
        <f t="shared" si="47"/>
        <v>648</v>
      </c>
      <c r="G286" s="526">
        <f t="shared" si="47"/>
        <v>649</v>
      </c>
      <c r="H286" s="526">
        <f t="shared" si="47"/>
        <v>650</v>
      </c>
      <c r="I286" s="526">
        <f t="shared" si="47"/>
        <v>651</v>
      </c>
      <c r="J286" s="526">
        <f t="shared" si="47"/>
        <v>652</v>
      </c>
      <c r="K286" s="526">
        <f t="shared" si="47"/>
        <v>653</v>
      </c>
      <c r="L286" s="526">
        <f t="shared" si="47"/>
        <v>654</v>
      </c>
      <c r="M286" s="526">
        <f t="shared" si="47"/>
        <v>655</v>
      </c>
      <c r="N286" s="526">
        <f t="shared" si="47"/>
        <v>656</v>
      </c>
      <c r="O286" s="526">
        <f t="shared" si="47"/>
        <v>657</v>
      </c>
      <c r="P286" s="526">
        <f t="shared" si="47"/>
        <v>658</v>
      </c>
      <c r="Q286" s="526">
        <f t="shared" si="47"/>
        <v>659</v>
      </c>
      <c r="R286" s="526">
        <f t="shared" si="47"/>
        <v>660</v>
      </c>
      <c r="S286" s="526">
        <f t="shared" si="48"/>
        <v>661</v>
      </c>
      <c r="T286" s="526">
        <f t="shared" si="48"/>
        <v>662</v>
      </c>
      <c r="U286" s="526">
        <f t="shared" si="48"/>
        <v>663</v>
      </c>
      <c r="V286" s="526">
        <f t="shared" si="48"/>
        <v>664</v>
      </c>
      <c r="W286" s="526">
        <f t="shared" si="48"/>
        <v>665</v>
      </c>
      <c r="X286" s="526">
        <f t="shared" si="48"/>
        <v>666</v>
      </c>
      <c r="Y286" s="526">
        <f t="shared" si="4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48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Scanpower</v>
      </c>
      <c r="C6" s="108"/>
      <c r="D6" s="109">
        <f>VLOOKUP($B$6,$B$258:$J$286,9,FALSE)</f>
        <v>445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5.1230000000000002</v>
      </c>
      <c r="E7" s="407">
        <f>D7/('Industry calcs'!D4/1000)*100</f>
        <v>0.24852707766459459</v>
      </c>
    </row>
    <row r="8" spans="2:5">
      <c r="B8" s="111" t="s">
        <v>250</v>
      </c>
      <c r="C8" s="114"/>
      <c r="D8" s="406">
        <f>VLOOKUP(D6,'AV (2011)'!A8:F214,'AV (2011)'!F214,FALSE)/1000</f>
        <v>32.904057999999999</v>
      </c>
      <c r="E8" s="407">
        <f>D8/('Industry calcs'!D5/1000)*100</f>
        <v>0.36661327303415353</v>
      </c>
    </row>
    <row r="9" spans="2:5">
      <c r="B9" s="111" t="s">
        <v>230</v>
      </c>
      <c r="C9" s="114"/>
      <c r="D9" s="406">
        <f>VLOOKUP($D$6,'FS (2011)'!$A$13:$AH$244,'FS (2011)'!S245,FALSE)/1000</f>
        <v>1.9470000000000001</v>
      </c>
      <c r="E9" s="407">
        <f>D9/('Industry calcs'!D6/1000)*100</f>
        <v>0.42884757929901118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1.51</v>
      </c>
      <c r="E10" s="407">
        <f>D10/('Industry calcs'!D7/1000)*100</f>
        <v>0.25804550044953545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81.397000000000006</v>
      </c>
      <c r="E11" s="407">
        <f>D11/'Industry calcs'!D8*100</f>
        <v>0.26303128854179225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15.788</v>
      </c>
      <c r="E12" s="407">
        <f>D12/'Industry calcs'!D9*100</f>
        <v>0.25247680497287833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1039</v>
      </c>
      <c r="E13" s="407">
        <f>D13/'Industry calcs'!D10*100</f>
        <v>0.69465893849919369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6787</v>
      </c>
      <c r="E14" s="407">
        <f>D14/'Industry calcs'!D11*100</f>
        <v>0.33788442630091975</v>
      </c>
    </row>
    <row r="15" spans="2:5">
      <c r="B15" s="115" t="s">
        <v>195</v>
      </c>
      <c r="C15" s="116" t="s">
        <v>239</v>
      </c>
      <c r="D15" s="408">
        <f>D14/D13</f>
        <v>6.5322425409047158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Scanpower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22.428046914354688</v>
      </c>
      <c r="D20" s="409">
        <f>VLOOKUP($B$2,'MED price allocation'!$B$16:$F$44,3,FALSE)</f>
        <v>22.474747752076318</v>
      </c>
      <c r="E20" s="409">
        <f>VLOOKUP($B$2,'MED price allocation'!$B$16:$F$44,4,FALSE)</f>
        <v>22.717482013419197</v>
      </c>
      <c r="F20" s="503">
        <f>VLOOKUP($B$2,'MED price allocation'!$B$16:$F$44,5,FALSE)</f>
        <v>24.139999999999997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5.9187619400644405</v>
      </c>
      <c r="D21" s="410">
        <f>VLOOKUP($B$2,'MED price allocation'!$B$47:$F$75,3,FALSE)</f>
        <v>6.0105676436268771</v>
      </c>
      <c r="E21" s="410">
        <f>VLOOKUP($B$2,'MED price allocation'!$B$47:$F$75,4,FALSE)</f>
        <v>5.9499986526905762</v>
      </c>
      <c r="F21" s="504">
        <f>VLOOKUP($B$2,'MED price allocation'!$B$47:$F$75,5,FALSE)</f>
        <v>6.45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7.9994924581563112</v>
      </c>
      <c r="D22" s="409">
        <f>VLOOKUP($B$2,'MED price allocation'!$B$78:$F$106,3,FALSE)</f>
        <v>8.0140901915025022</v>
      </c>
      <c r="E22" s="409">
        <f>VLOOKUP($B$2,'MED price allocation'!$B$78:$F$106,4,FALSE)</f>
        <v>8.3035083937377046</v>
      </c>
      <c r="F22" s="503">
        <f>VLOOKUP($B$2,'MED price allocation'!$B$78:$F$106,5,FALSE)</f>
        <v>8.81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2.0807305180918707</v>
      </c>
      <c r="D23" s="411">
        <f>VLOOKUP($B$2,'MED price allocation'!$B$109:$F$137,3,FALSE)</f>
        <v>2.0035225478756256</v>
      </c>
      <c r="E23" s="411">
        <f>VLOOKUP($B$2,'MED price allocation'!$B$109:$F$137,4,FALSE)</f>
        <v>2.3535097410471284</v>
      </c>
      <c r="F23" s="505">
        <f>VLOOKUP($B$2,'MED price allocation'!$B$109:$F$137,5,FALSE)</f>
        <v>2.36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Scanpower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1794.2437531483749</v>
      </c>
      <c r="D26" s="412">
        <f>(D20*8000)/100</f>
        <v>1797.9798201661054</v>
      </c>
      <c r="E26" s="412">
        <f>(E20*8000)/100</f>
        <v>1817.3985610735358</v>
      </c>
      <c r="F26" s="506">
        <f>(F20*8000)/100</f>
        <v>1931.1999999999998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639.95939665250489</v>
      </c>
      <c r="D27" s="412">
        <f>(D22*8000)/100</f>
        <v>641.12721532020021</v>
      </c>
      <c r="E27" s="412">
        <f>(E22*8000)/100</f>
        <v>664.28067149901631</v>
      </c>
      <c r="F27" s="506">
        <f>(F22*8000)/100</f>
        <v>704.8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473.50095520515526</v>
      </c>
      <c r="D28" s="412">
        <f>(D21*8000)/100</f>
        <v>480.84541149015013</v>
      </c>
      <c r="E28" s="412">
        <f>(E21*8000)/100</f>
        <v>475.99989221524606</v>
      </c>
      <c r="F28" s="506">
        <f>(F21*8000)/100</f>
        <v>516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166.45844144734966</v>
      </c>
      <c r="D29" s="413">
        <f>(D23*8000)/100</f>
        <v>160.28180383005005</v>
      </c>
      <c r="E29" s="413">
        <f>(E23*8000)/100</f>
        <v>188.28077928377027</v>
      </c>
      <c r="F29" s="507">
        <f>(F23*8000)/100</f>
        <v>188.8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Scanpower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1835.205533597004</v>
      </c>
      <c r="D32" s="122"/>
    </row>
    <row r="33" spans="2:13">
      <c r="B33" s="120" t="s">
        <v>241</v>
      </c>
      <c r="C33" s="412">
        <f>AVERAGE(C27:F27)</f>
        <v>662.54182086793037</v>
      </c>
      <c r="D33" s="414">
        <f>C33/$C$32</f>
        <v>0.36101777634102267</v>
      </c>
    </row>
    <row r="34" spans="2:13">
      <c r="B34" s="120" t="s">
        <v>222</v>
      </c>
      <c r="C34" s="412">
        <f>AVERAGE(C28:F28)</f>
        <v>486.58656472763789</v>
      </c>
      <c r="D34" s="414">
        <f>C34/$C$32</f>
        <v>0.265140092387324</v>
      </c>
    </row>
    <row r="35" spans="2:13">
      <c r="B35" s="124" t="s">
        <v>223</v>
      </c>
      <c r="C35" s="413">
        <f>AVERAGE(C29:F29)</f>
        <v>175.95525614029248</v>
      </c>
      <c r="D35" s="415">
        <f>C35/$C$32</f>
        <v>9.5877683953698667E-2</v>
      </c>
    </row>
    <row r="38" spans="2:13">
      <c r="B38" s="517" t="s">
        <v>227</v>
      </c>
      <c r="C38" s="518">
        <f>VLOOKUP($B$2,$B$258:$J$286,6,FALSE)</f>
        <v>442</v>
      </c>
      <c r="D38" s="518">
        <f>VLOOKUP($B$2,$B$258:$J$286,7,FALSE)</f>
        <v>443</v>
      </c>
      <c r="E38" s="518">
        <f>VLOOKUP($B$2,$B$258:$J$286,8,FALSE)</f>
        <v>444</v>
      </c>
      <c r="F38" s="519">
        <f>VLOOKUP($B$2,$B$258:$J$286,9,FALSE)</f>
        <v>445</v>
      </c>
    </row>
    <row r="39" spans="2:13">
      <c r="B39" s="137" t="str">
        <f>B2</f>
        <v>Scanpower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6489.0761597901392</v>
      </c>
      <c r="D40" s="418">
        <f>VLOOKUP($D$38,'FS (2011)'!$A$13:$AH$244,'FS (2011)'!E245,FALSE)</f>
        <v>6034.443819067882</v>
      </c>
      <c r="E40" s="418">
        <f>VLOOKUP($E$38,'FS (2011)'!$A$13:$AH$244,'FS (2011)'!E245,FALSE)</f>
        <v>6294.3650130689002</v>
      </c>
      <c r="F40" s="419">
        <f>VLOOKUP($F$38,'FS (2011)'!$A$13:$AH$244,'FS (2011)'!E245,FALSE)</f>
        <v>6558</v>
      </c>
    </row>
    <row r="41" spans="2:13" ht="30">
      <c r="B41" s="120" t="s">
        <v>198</v>
      </c>
      <c r="C41" s="417">
        <f>VLOOKUP($C$38,'FS (2011)'!$A$13:$AH$244,'FS (2011)'!$F$245,FALSE)</f>
        <v>120.74705597217073</v>
      </c>
      <c r="D41" s="418">
        <f>VLOOKUP($D$38,'FS (2011)'!$A$13:$AH$244,'FS (2011)'!$F$245,FALSE)</f>
        <v>14.533324181481223</v>
      </c>
      <c r="E41" s="418">
        <f>VLOOKUP($E$38,'FS (2011)'!$A$13:$AH$244,'FS (2011)'!$F$245,FALSE)</f>
        <v>0</v>
      </c>
      <c r="F41" s="419">
        <f>VLOOKUP($F$38,'FS (2011)'!$A$13:$AH$244,'FS (2011)'!$F$245,FALSE)</f>
        <v>0</v>
      </c>
    </row>
    <row r="42" spans="2:13">
      <c r="B42" s="120" t="s">
        <v>13</v>
      </c>
      <c r="C42" s="417">
        <f>VLOOKUP($C$38,'FS (2011)'!$A$13:$AH$244,'FS (2011)'!$H$245,FALSE)</f>
        <v>0</v>
      </c>
      <c r="D42" s="418">
        <f>VLOOKUP($D$38,'FS (2011)'!$A$13:$AH$244,'FS (2011)'!$H$245,FALSE)</f>
        <v>0</v>
      </c>
      <c r="E42" s="418">
        <f>VLOOKUP($E$38,'FS (2011)'!$A$13:$AH$244,'FS (2011)'!$H$245,FALSE)</f>
        <v>0</v>
      </c>
      <c r="F42" s="419">
        <f>VLOOKUP($F$38,'FS (2011)'!$A$13:$AH$244,'FS (2011)'!$H$245,FALSE)</f>
        <v>0</v>
      </c>
    </row>
    <row r="43" spans="2:13">
      <c r="B43" s="124" t="s">
        <v>5</v>
      </c>
      <c r="C43" s="420">
        <f>SUM(C40:C42)</f>
        <v>6609.8232157623097</v>
      </c>
      <c r="D43" s="420">
        <f>SUM(D40:D42)</f>
        <v>6048.9771432493635</v>
      </c>
      <c r="E43" s="420">
        <f>SUM(E40:E42)</f>
        <v>6294.3650130689002</v>
      </c>
      <c r="F43" s="421">
        <f>SUM(F40:F42)</f>
        <v>6558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Scanpower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92.993881878912021</v>
      </c>
      <c r="E46" s="422">
        <f>IF(ISERROR(E40/$C40),"",(E40/$C40))*100</f>
        <v>96.999401117715706</v>
      </c>
      <c r="F46" s="423">
        <f>IF(ISERROR(F40/$C40),"",(F40/$C40))*100</f>
        <v>101.06215181502955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12.036172695449238</v>
      </c>
      <c r="E47" s="422">
        <f t="shared" si="0"/>
        <v>0</v>
      </c>
      <c r="F47" s="423">
        <f t="shared" si="0"/>
        <v>0</v>
      </c>
      <c r="G47" s="141"/>
    </row>
    <row r="48" spans="2:13">
      <c r="B48" s="120" t="s">
        <v>13</v>
      </c>
      <c r="C48" s="422" t="str">
        <f t="shared" si="0"/>
        <v/>
      </c>
      <c r="D48" s="422" t="str">
        <f t="shared" si="0"/>
        <v/>
      </c>
      <c r="E48" s="422" t="str">
        <f t="shared" si="0"/>
        <v/>
      </c>
      <c r="F48" s="423" t="str">
        <f t="shared" si="0"/>
        <v/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91.514961078300729</v>
      </c>
      <c r="E49" s="424">
        <f t="shared" si="0"/>
        <v>95.227433587918924</v>
      </c>
      <c r="F49" s="416">
        <f t="shared" si="0"/>
        <v>99.2159666897183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Scanpower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4861.1471015939096</v>
      </c>
      <c r="D54" s="426">
        <f>VLOOKUP($D$38,'MP (2011)'!$A$14:$AR$245,'MP (2011)'!$Z$246,FALSE)</f>
        <v>4805.339831148327</v>
      </c>
      <c r="E54" s="426">
        <f>VLOOKUP($E$38,'MP (2011)'!$A$14:$AR$245,'MP (2011)'!$Z$246,FALSE)</f>
        <v>5133.9115087170912</v>
      </c>
      <c r="F54" s="427">
        <f>VLOOKUP($F$38,'MP (2011)'!$A$14:$AR$245,'MP (2011)'!$Z$246,FALSE)</f>
        <v>5371</v>
      </c>
    </row>
    <row r="55" spans="2:23">
      <c r="B55" s="111" t="s">
        <v>180</v>
      </c>
      <c r="C55" s="425">
        <f>VLOOKUP($C$38,'MP (2011)'!$A$14:$AR$245,'MP (2011)'!$AD$246,FALSE)</f>
        <v>79.779304838755664</v>
      </c>
      <c r="D55" s="426">
        <f>VLOOKUP($D$38,'MP (2011)'!$A$14:$AR$245,'MP (2011)'!$AD$246,FALSE)</f>
        <v>73.704715491797629</v>
      </c>
      <c r="E55" s="426">
        <f>VLOOKUP($E$38,'MP (2011)'!$A$14:$AR$245,'MP (2011)'!$AD$246,FALSE)</f>
        <v>68.261970844224081</v>
      </c>
      <c r="F55" s="427">
        <f>VLOOKUP($F$38,'MP (2011)'!$A$14:$AR$245,'MP (2011)'!$AD$246,FALSE)</f>
        <v>80</v>
      </c>
      <c r="J55" s="139"/>
    </row>
    <row r="56" spans="2:23">
      <c r="B56" s="111" t="s">
        <v>184</v>
      </c>
      <c r="C56" s="425">
        <f>VLOOKUP($C$38,'MP (2011)'!$A$14:$AR$245,'MP (2011)'!$AH$246,FALSE)</f>
        <v>307.25813350061304</v>
      </c>
      <c r="D56" s="426">
        <f>VLOOKUP($D$38,'MP (2011)'!$A$14:$AR$245,'MP (2011)'!$AH$246,FALSE)</f>
        <v>262.63792985105351</v>
      </c>
      <c r="E56" s="426">
        <f>VLOOKUP($E$38,'MP (2011)'!$A$14:$AR$245,'MP (2011)'!$AH$246,FALSE)</f>
        <v>297.49993263452882</v>
      </c>
      <c r="F56" s="427">
        <f>VLOOKUP($F$38,'MP (2011)'!$A$14:$AR$245,'MP (2011)'!$AH$246,FALSE)</f>
        <v>314</v>
      </c>
    </row>
    <row r="57" spans="2:23">
      <c r="B57" s="111" t="s">
        <v>181</v>
      </c>
      <c r="C57" s="425">
        <f>VLOOKUP($C$38,'MP (2011)'!$A$14:$AR$245,'MP (2011)'!$AL$246,FALSE)</f>
        <v>1240.8916198568618</v>
      </c>
      <c r="D57" s="426">
        <f>VLOOKUP($D$38,'MP (2011)'!$A$14:$AR$245,'MP (2011)'!$AL$246,FALSE)</f>
        <v>892.76134257670367</v>
      </c>
      <c r="E57" s="426">
        <f>VLOOKUP($E$38,'MP (2011)'!$A$14:$AR$245,'MP (2011)'!$AL$246,FALSE)</f>
        <v>794.69160087305636</v>
      </c>
      <c r="F57" s="427">
        <f>VLOOKUP($F$38,'MP (2011)'!$A$14:$AR$245,'MP (2011)'!$AL$246,FALSE)</f>
        <v>793</v>
      </c>
      <c r="W57" s="139"/>
    </row>
    <row r="58" spans="2:23">
      <c r="B58" s="147" t="s">
        <v>248</v>
      </c>
      <c r="C58" s="428">
        <f>SUM(C54:C57)</f>
        <v>6489.0761597901401</v>
      </c>
      <c r="D58" s="428">
        <f>SUM(D54:D57)</f>
        <v>6034.443819067882</v>
      </c>
      <c r="E58" s="428">
        <f>SUM(E54:E57)</f>
        <v>6294.3650130689002</v>
      </c>
      <c r="F58" s="429">
        <f>SUM(F54:F57)</f>
        <v>6558</v>
      </c>
    </row>
    <row r="59" spans="2:23">
      <c r="B59" s="103" t="s">
        <v>302</v>
      </c>
    </row>
    <row r="60" spans="2:23">
      <c r="B60" s="137" t="str">
        <f>$B$2</f>
        <v>Scanpower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98.851973221972983</v>
      </c>
      <c r="E61" s="422">
        <f t="shared" si="1"/>
        <v>105.61111197465604</v>
      </c>
      <c r="F61" s="423">
        <f t="shared" si="1"/>
        <v>110.488324828494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92.385757986691459</v>
      </c>
      <c r="E62" s="422">
        <f t="shared" si="1"/>
        <v>85.56350670413886</v>
      </c>
      <c r="F62" s="423">
        <f t="shared" si="1"/>
        <v>100.27663209361172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85.477942230137742</v>
      </c>
      <c r="E63" s="422">
        <f t="shared" si="1"/>
        <v>96.824103318304907</v>
      </c>
      <c r="F63" s="423">
        <f t="shared" si="1"/>
        <v>102.1942027775071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71.945150429792136</v>
      </c>
      <c r="E64" s="422">
        <f t="shared" si="1"/>
        <v>64.041983051245438</v>
      </c>
      <c r="F64" s="423">
        <f t="shared" si="1"/>
        <v>63.905661647668587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92.993881878911992</v>
      </c>
      <c r="E65" s="424">
        <f t="shared" si="1"/>
        <v>96.999401117715706</v>
      </c>
      <c r="F65" s="416">
        <f t="shared" si="1"/>
        <v>101.06215181502954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Scanpower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724.46305537912212</v>
      </c>
      <c r="D70" s="433">
        <f>(D54/D98)*1000</f>
        <v>705.83722549182232</v>
      </c>
      <c r="E70" s="433">
        <f>(E54/E98)*1000</f>
        <v>759.34203649121298</v>
      </c>
      <c r="F70" s="434">
        <f>(F54/F98)*1000</f>
        <v>794.29162969535639</v>
      </c>
    </row>
    <row r="71" spans="2:40">
      <c r="B71" s="111" t="s">
        <v>180</v>
      </c>
      <c r="C71" s="433">
        <f>(C55/C99)*1000</f>
        <v>8864.3672043061833</v>
      </c>
      <c r="D71" s="433">
        <f t="shared" ref="C71:F73" si="2">(D55/D99)*1000</f>
        <v>10529.245070256804</v>
      </c>
      <c r="E71" s="433">
        <f t="shared" si="2"/>
        <v>9751.7101206034386</v>
      </c>
      <c r="F71" s="434">
        <f t="shared" si="2"/>
        <v>11428.571428571429</v>
      </c>
    </row>
    <row r="72" spans="2:40">
      <c r="B72" s="111" t="s">
        <v>184</v>
      </c>
      <c r="C72" s="433">
        <f>(C56/C100)*1000</f>
        <v>30725.813350061304</v>
      </c>
      <c r="D72" s="433">
        <f t="shared" si="2"/>
        <v>21886.494154254462</v>
      </c>
      <c r="E72" s="433">
        <f t="shared" si="2"/>
        <v>22884.610202656062</v>
      </c>
      <c r="F72" s="434">
        <f t="shared" si="2"/>
        <v>24153.846153846152</v>
      </c>
    </row>
    <row r="73" spans="2:40">
      <c r="B73" s="115" t="s">
        <v>181</v>
      </c>
      <c r="C73" s="435">
        <f t="shared" si="2"/>
        <v>248178.32397137236</v>
      </c>
      <c r="D73" s="435">
        <f t="shared" si="2"/>
        <v>178552.26851534072</v>
      </c>
      <c r="E73" s="435">
        <f t="shared" si="2"/>
        <v>158938.32017461129</v>
      </c>
      <c r="F73" s="436">
        <f t="shared" si="2"/>
        <v>158600</v>
      </c>
    </row>
    <row r="74" spans="2:40">
      <c r="B74" s="103" t="s">
        <v>303</v>
      </c>
    </row>
    <row r="75" spans="2:40">
      <c r="B75" s="137" t="str">
        <f>$B$2</f>
        <v>Scanpower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97.429015910610843</v>
      </c>
      <c r="E76" s="422">
        <f t="shared" si="3"/>
        <v>104.81445959916316</v>
      </c>
      <c r="F76" s="423">
        <f t="shared" si="3"/>
        <v>109.63866601585252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118.78168884003189</v>
      </c>
      <c r="E77" s="422">
        <f t="shared" si="3"/>
        <v>110.01022290532138</v>
      </c>
      <c r="F77" s="423">
        <f t="shared" si="3"/>
        <v>128.92709840607225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71.231618525114797</v>
      </c>
      <c r="E78" s="422">
        <f t="shared" si="3"/>
        <v>74.480079475619164</v>
      </c>
      <c r="F78" s="423">
        <f t="shared" si="3"/>
        <v>78.610925213467013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71.945150429792136</v>
      </c>
      <c r="E79" s="424">
        <f t="shared" si="3"/>
        <v>64.041983051245438</v>
      </c>
      <c r="F79" s="416">
        <f t="shared" si="3"/>
        <v>63.905661647668587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Scanpower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8.5129452070712741</v>
      </c>
      <c r="D84" s="437">
        <f>(D54/VLOOKUP($D$38,'MP (2011)'!$A$14:$AR$245,'MP (2011)'!$AA$246,FALSE)*100)</f>
        <v>8.3611842830392664</v>
      </c>
      <c r="E84" s="437">
        <f>(E54/VLOOKUP($E$38,'MP (2011)'!$A$14:$AR$245,'MP (2011)'!$AA$246,FALSE)*100)</f>
        <v>8.6397487609254</v>
      </c>
      <c r="F84" s="438">
        <f>(F54/VLOOKUP($F$38,'MP (2011)'!$A$14:$AR$245,'MP (2011)'!$AA$246,FALSE)*100)</f>
        <v>9.1547495270074482</v>
      </c>
    </row>
    <row r="85" spans="2:7">
      <c r="B85" s="111" t="s">
        <v>180</v>
      </c>
      <c r="C85" s="430">
        <f>(C55/VLOOKUP($C$38,'MP (2011)'!$A$14:$AR$245,'MP (2011)'!$AE$246,FALSE)*100)</f>
        <v>5.5058181393206116</v>
      </c>
      <c r="D85" s="437">
        <f>(D55/VLOOKUP($D$38,'MP (2011)'!$A$14:$AR$245,'MP (2011)'!$AE$246,FALSE)*100)</f>
        <v>5.3917129108849764</v>
      </c>
      <c r="E85" s="437">
        <f>(E55/VLOOKUP($E$38,'MP (2011)'!$A$14:$AR$245,'MP (2011)'!$AE$246,FALSE)*100)</f>
        <v>5.0415044936649984</v>
      </c>
      <c r="F85" s="438">
        <f>(F55/VLOOKUP($F$38,'MP (2011)'!$A$14:$AR$245,'MP (2011)'!$AE$246,FALSE)*100)</f>
        <v>5.8436815193571956</v>
      </c>
    </row>
    <row r="86" spans="2:7">
      <c r="B86" s="111" t="s">
        <v>184</v>
      </c>
      <c r="C86" s="430">
        <f>(C56/VLOOKUP($C$38,'MP (2011)'!$A$14:$AR$245,'MP (2011)'!$AI$246,FALSE)*100)</f>
        <v>6.4105598477073453</v>
      </c>
      <c r="D86" s="437">
        <f>(D56/VLOOKUP($D$38,'MP (2011)'!$A$14:$AR$245,'MP (2011)'!$AI$246,FALSE)*100)</f>
        <v>5.8690040190179555</v>
      </c>
      <c r="E86" s="437">
        <f>(E56/VLOOKUP($E$38,'MP (2011)'!$A$14:$AR$245,'MP (2011)'!$AI$246,FALSE)*100)</f>
        <v>6.0652381780739821</v>
      </c>
      <c r="F86" s="438">
        <f>(F56/VLOOKUP($F$38,'MP (2011)'!$A$14:$AR$245,'MP (2011)'!$AI$246,FALSE)*100)</f>
        <v>6.330645161290323</v>
      </c>
    </row>
    <row r="87" spans="2:7">
      <c r="B87" s="115" t="s">
        <v>181</v>
      </c>
      <c r="C87" s="431">
        <f>(C57/VLOOKUP($C$38,'MP (2011)'!$A$14:$AR$245,'MP (2011)'!$AM$246,FALSE)*100)</f>
        <v>4.6852619213021018</v>
      </c>
      <c r="D87" s="431">
        <f>(D57/VLOOKUP($D$38,'MP (2011)'!$A$14:$AR$245,'MP (2011)'!$AM$246,FALSE)*100)</f>
        <v>5.1922841838821903</v>
      </c>
      <c r="E87" s="431">
        <f>(E57/VLOOKUP($E$38,'MP (2011)'!$A$14:$AR$245,'MP (2011)'!$AM$246,FALSE)*100)</f>
        <v>4.5713966916305591</v>
      </c>
      <c r="F87" s="432">
        <f>(F57/VLOOKUP($F$38,'MP (2011)'!$A$14:$AR$245,'MP (2011)'!$AM$246,FALSE)*100)</f>
        <v>4.8356607110189644</v>
      </c>
    </row>
    <row r="88" spans="2:7">
      <c r="B88" s="103" t="s">
        <v>304</v>
      </c>
    </row>
    <row r="89" spans="2:7">
      <c r="B89" s="137" t="str">
        <f>$B$2</f>
        <v>Scanpower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98.217292366618921</v>
      </c>
      <c r="E90" s="422">
        <f>IF(ISERROR(E84/$C84),"",(E84/$C84)*100)</f>
        <v>101.48953800088829</v>
      </c>
      <c r="F90" s="423">
        <f>IF(ISERROR(F84/$C84),"",(F84/$C84)*100)</f>
        <v>107.53915718150118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97.927551808863129</v>
      </c>
      <c r="E91" s="422">
        <f t="shared" si="4"/>
        <v>91.566854663439585</v>
      </c>
      <c r="F91" s="423">
        <f t="shared" si="4"/>
        <v>106.13647911149995</v>
      </c>
    </row>
    <row r="92" spans="2:7">
      <c r="B92" s="111" t="s">
        <v>184</v>
      </c>
      <c r="C92" s="422">
        <f t="shared" si="4"/>
        <v>100</v>
      </c>
      <c r="D92" s="422">
        <f t="shared" si="4"/>
        <v>91.552128962916228</v>
      </c>
      <c r="E92" s="422">
        <f t="shared" si="4"/>
        <v>94.61323694284107</v>
      </c>
      <c r="F92" s="423">
        <f t="shared" si="4"/>
        <v>98.753389901732163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110.82164180138685</v>
      </c>
      <c r="E93" s="424">
        <f>IF(ISERROR(E87/$C87),"",(E87/$C87)*100)</f>
        <v>97.569714744146083</v>
      </c>
      <c r="F93" s="416">
        <f>IF(ISERROR(F87/$C87),"",(F87/$C87)*100)</f>
        <v>103.21004016943122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6710</v>
      </c>
      <c r="D98" s="150">
        <f>VLOOKUP($D$38,'MP (2011)'!$A$14:$AR$245,'MP (2011)'!$AB$246,FALSE)</f>
        <v>6808</v>
      </c>
      <c r="E98" s="150">
        <f>VLOOKUP($E$38,'MP (2011)'!$A$14:$AR$245,'MP (2011)'!$AB$246,FALSE)</f>
        <v>6761</v>
      </c>
      <c r="F98" s="151">
        <f>VLOOKUP($F$38,'MP (2011)'!$A$14:$AR$245,'MP (2011)'!$AB$246,FALSE)</f>
        <v>6762</v>
      </c>
    </row>
    <row r="99" spans="2:7">
      <c r="B99" s="155" t="s">
        <v>309</v>
      </c>
      <c r="C99" s="150">
        <f>VLOOKUP($C$38,'MP (2011)'!$A$14:$AR$245,'MP (2011)'!$AF$246,FALSE)</f>
        <v>9</v>
      </c>
      <c r="D99" s="150">
        <f>VLOOKUP($D$38,'MP (2011)'!$A$14:$AR$245,'MP (2011)'!$AF$246,FALSE)</f>
        <v>7</v>
      </c>
      <c r="E99" s="150">
        <f>VLOOKUP($E$38,'MP (2011)'!$A$14:$AR$245,'MP (2011)'!$AF$246,FALSE)</f>
        <v>7</v>
      </c>
      <c r="F99" s="151">
        <f>VLOOKUP($F$38,'MP (2011)'!$A$14:$AR$245,'MP (2011)'!$AF$246,FALSE)</f>
        <v>7</v>
      </c>
    </row>
    <row r="100" spans="2:7">
      <c r="B100" s="155" t="s">
        <v>310</v>
      </c>
      <c r="C100" s="150">
        <f>VLOOKUP($C$38,'MP (2011)'!$A$14:$AR$245,'MP (2011)'!$AJ$246,FALSE)</f>
        <v>10</v>
      </c>
      <c r="D100" s="150">
        <f>VLOOKUP($D$38,'MP (2011)'!$A$14:$AR$245,'MP (2011)'!$AJ$246,FALSE)</f>
        <v>12</v>
      </c>
      <c r="E100" s="150">
        <f>VLOOKUP($E$38,'MP (2011)'!$A$14:$AR$245,'MP (2011)'!$AJ$246,FALSE)</f>
        <v>13</v>
      </c>
      <c r="F100" s="151">
        <f>VLOOKUP($F$38,'MP (2011)'!$A$14:$AR$245,'MP (2011)'!$AJ$246,FALSE)</f>
        <v>13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6734</v>
      </c>
      <c r="D102" s="152">
        <f>SUM(D98:D101)</f>
        <v>6832</v>
      </c>
      <c r="E102" s="152">
        <f>SUM(E98:E101)</f>
        <v>6786</v>
      </c>
      <c r="F102" s="157">
        <f>SUM(F98:F101)</f>
        <v>6787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101.46050670640834</v>
      </c>
      <c r="E105" s="422">
        <f t="shared" si="5"/>
        <v>100.76005961251863</v>
      </c>
      <c r="F105" s="423">
        <f t="shared" si="5"/>
        <v>100.77496274217586</v>
      </c>
    </row>
    <row r="106" spans="2:7">
      <c r="B106" s="111" t="s">
        <v>180</v>
      </c>
      <c r="C106" s="422">
        <f t="shared" si="5"/>
        <v>100</v>
      </c>
      <c r="D106" s="422">
        <f t="shared" si="5"/>
        <v>77.777777777777786</v>
      </c>
      <c r="E106" s="422">
        <f t="shared" si="5"/>
        <v>77.777777777777786</v>
      </c>
      <c r="F106" s="423">
        <f t="shared" si="5"/>
        <v>77.777777777777786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120</v>
      </c>
      <c r="E107" s="422">
        <f t="shared" si="5"/>
        <v>130</v>
      </c>
      <c r="F107" s="423">
        <f t="shared" si="5"/>
        <v>130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Scanpower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57103</v>
      </c>
      <c r="D113" s="150">
        <f>VLOOKUP($D$38,'MP (2011)'!$A$14:$AR$245,'MP (2011)'!$AA$246,FALSE)</f>
        <v>57472</v>
      </c>
      <c r="E113" s="150">
        <f>VLOOKUP($E$38,'MP (2011)'!$A$14:$AR$245,'MP (2011)'!$AA$246,FALSE)</f>
        <v>59422</v>
      </c>
      <c r="F113" s="151">
        <f>VLOOKUP($F$38,'MP (2011)'!$A$14:$AR$245,'MP (2011)'!$AA$246,FALSE)</f>
        <v>58669</v>
      </c>
    </row>
    <row r="114" spans="2:7">
      <c r="B114" s="155" t="s">
        <v>309</v>
      </c>
      <c r="C114" s="150">
        <f>VLOOKUP($C$38,'MP (2011)'!$A$14:$AR$245,'MP (2011)'!$AE$246,FALSE)</f>
        <v>1449</v>
      </c>
      <c r="D114" s="150">
        <f>VLOOKUP($D$38,'MP (2011)'!$A$14:$AR$245,'MP (2011)'!$AE$246,FALSE)</f>
        <v>1367</v>
      </c>
      <c r="E114" s="150">
        <f>VLOOKUP($E$38,'MP (2011)'!$A$14:$AR$245,'MP (2011)'!$AE$246,FALSE)</f>
        <v>1354</v>
      </c>
      <c r="F114" s="151">
        <f>VLOOKUP($F$38,'MP (2011)'!$A$14:$AR$245,'MP (2011)'!$AE$246,FALSE)</f>
        <v>1369</v>
      </c>
    </row>
    <row r="115" spans="2:7">
      <c r="B115" s="155" t="s">
        <v>310</v>
      </c>
      <c r="C115" s="150">
        <f>VLOOKUP($C$38,'MP (2011)'!$A$14:$AR$245,'MP (2011)'!$AI$246,FALSE)</f>
        <v>4793</v>
      </c>
      <c r="D115" s="150">
        <f>VLOOKUP($D$38,'MP (2011)'!$A$14:$AR$245,'MP (2011)'!$AI$246,FALSE)</f>
        <v>4475</v>
      </c>
      <c r="E115" s="150">
        <f>VLOOKUP($E$38,'MP (2011)'!$A$14:$AR$245,'MP (2011)'!$AI$246,FALSE)</f>
        <v>4905</v>
      </c>
      <c r="F115" s="151">
        <f>VLOOKUP($F$38,'MP (2011)'!$A$14:$AR$245,'MP (2011)'!$AI$246,FALSE)</f>
        <v>4960</v>
      </c>
    </row>
    <row r="116" spans="2:7">
      <c r="B116" s="155" t="s">
        <v>311</v>
      </c>
      <c r="C116" s="150">
        <f>VLOOKUP($C$38,'MP (2011)'!$A$14:$AR$245,'MP (2011)'!$AM$246,FALSE)</f>
        <v>26485</v>
      </c>
      <c r="D116" s="150">
        <f>VLOOKUP($D$38,'MP (2011)'!$A$14:$AR$245,'MP (2011)'!$AM$246,FALSE)</f>
        <v>17194</v>
      </c>
      <c r="E116" s="150">
        <f>VLOOKUP($E$38,'MP (2011)'!$A$14:$AR$245,'MP (2011)'!$AM$246,FALSE)</f>
        <v>17384</v>
      </c>
      <c r="F116" s="151">
        <f>VLOOKUP($F$38,'MP (2011)'!$A$14:$AR$245,'MP (2011)'!$AM$246,FALSE)</f>
        <v>16399</v>
      </c>
    </row>
    <row r="117" spans="2:7">
      <c r="B117" s="147" t="s">
        <v>254</v>
      </c>
      <c r="C117" s="158">
        <f>SUM(C113:C116)</f>
        <v>89830</v>
      </c>
      <c r="D117" s="158">
        <f>SUM(D113:D116)</f>
        <v>80508</v>
      </c>
      <c r="E117" s="158">
        <f>SUM(E113:E116)</f>
        <v>83065</v>
      </c>
      <c r="F117" s="159">
        <f>SUM(F113:F116)</f>
        <v>81397</v>
      </c>
    </row>
    <row r="118" spans="2:7">
      <c r="B118" s="103" t="s">
        <v>306</v>
      </c>
    </row>
    <row r="119" spans="2:7">
      <c r="B119" s="137" t="str">
        <f>$B$2</f>
        <v>Scanpower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100.6462007250057</v>
      </c>
      <c r="E120" s="422">
        <f t="shared" si="6"/>
        <v>104.06108260511706</v>
      </c>
      <c r="F120" s="423">
        <f t="shared" si="6"/>
        <v>102.74241283295098</v>
      </c>
    </row>
    <row r="121" spans="2:7">
      <c r="B121" s="111" t="s">
        <v>180</v>
      </c>
      <c r="C121" s="422">
        <f t="shared" si="6"/>
        <v>100</v>
      </c>
      <c r="D121" s="422">
        <f t="shared" si="6"/>
        <v>94.340924775707379</v>
      </c>
      <c r="E121" s="422">
        <f t="shared" si="6"/>
        <v>93.443754313319531</v>
      </c>
      <c r="F121" s="423">
        <f t="shared" si="6"/>
        <v>94.478951000690131</v>
      </c>
    </row>
    <row r="122" spans="2:7">
      <c r="B122" s="111" t="s">
        <v>184</v>
      </c>
      <c r="C122" s="422">
        <f t="shared" si="6"/>
        <v>100</v>
      </c>
      <c r="D122" s="422">
        <f t="shared" si="6"/>
        <v>93.365324431462554</v>
      </c>
      <c r="E122" s="422">
        <f t="shared" si="6"/>
        <v>102.33674108074275</v>
      </c>
      <c r="F122" s="423">
        <f t="shared" si="6"/>
        <v>103.48424786146464</v>
      </c>
    </row>
    <row r="123" spans="2:7">
      <c r="B123" s="115" t="s">
        <v>181</v>
      </c>
      <c r="C123" s="424">
        <f t="shared" si="6"/>
        <v>100</v>
      </c>
      <c r="D123" s="424">
        <f t="shared" si="6"/>
        <v>64.919765905229383</v>
      </c>
      <c r="E123" s="424">
        <f t="shared" si="6"/>
        <v>65.637153105531425</v>
      </c>
      <c r="F123" s="416">
        <f t="shared" si="6"/>
        <v>61.91806683028129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Scanpower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6609.8232157623106</v>
      </c>
      <c r="D128" s="433">
        <f>VLOOKUP($D$38,'FS (2011)'!$A$13:$AH$244,'FS (2011)'!$I$245,FALSE)</f>
        <v>6048.9771432493635</v>
      </c>
      <c r="E128" s="433">
        <f>VLOOKUP($E$38,'FS (2011)'!$A$13:$AH$244,'FS (2011)'!$I$245,FALSE)</f>
        <v>6294.3650130689002</v>
      </c>
      <c r="F128" s="440">
        <f>VLOOKUP($F$38,'FS (2011)'!$A$13:$AH$244,'FS (2011)'!$I$245,FALSE)</f>
        <v>6558</v>
      </c>
      <c r="G128" s="121"/>
    </row>
    <row r="129" spans="1:25">
      <c r="B129" s="162" t="s">
        <v>257</v>
      </c>
      <c r="C129" s="441">
        <f>VLOOKUP($C$38,'FS (2011)'!$A$13:$AH$244,'FS (2011)'!$Y$245,FALSE)+VLOOKUP($C$38,'FS (2011)'!$A$13:$AH$244,'FS (2011)'!$Z$245,FALSE)</f>
        <v>900.75749136893728</v>
      </c>
      <c r="D129" s="433">
        <f>VLOOKUP($D$38,'FS (2011)'!$A$13:$AH$244,'FS (2011)'!$Y$245,FALSE)+VLOOKUP($D$38,'FS (2011)'!$A$13:$AH$244,'FS (2011)'!$Z$245,FALSE)</f>
        <v>795.45888937332677</v>
      </c>
      <c r="E129" s="433">
        <f>VLOOKUP($E$38,'FS (2011)'!$A$13:$AH$244,'FS (2011)'!$Y$245,FALSE)+VLOOKUP($E$38,'FS (2011)'!$A$13:$AH$244,'FS (2011)'!$Z$245,FALSE)</f>
        <v>542.0408019185686</v>
      </c>
      <c r="F129" s="440">
        <f>VLOOKUP($F$38,'FS (2011)'!$A$13:$AH$244,'FS (2011)'!$Y$245,FALSE)+VLOOKUP($F$38,'FS (2011)'!$A$13:$AH$244,'FS (2011)'!$Z$245,FALSE)</f>
        <v>1211.8332</v>
      </c>
      <c r="G129" s="121"/>
    </row>
    <row r="130" spans="1:25">
      <c r="B130" s="162" t="s">
        <v>191</v>
      </c>
      <c r="C130" s="441">
        <f>VLOOKUP($C$38,'FS (2011)'!$A$13:$AH$244,'FS (2011)'!$J$245,FALSE)</f>
        <v>1584.8051096347408</v>
      </c>
      <c r="D130" s="433">
        <f>VLOOKUP($D$38,'FS (2011)'!$A$13:$AH$244,'FS (2011)'!$J$245,FALSE)</f>
        <v>1726.3512938430911</v>
      </c>
      <c r="E130" s="433">
        <f>VLOOKUP($E$38,'FS (2011)'!$A$13:$AH$244,'FS (2011)'!$J$245,FALSE)</f>
        <v>1780.9242542642342</v>
      </c>
      <c r="F130" s="440">
        <f>VLOOKUP($F$38,'FS (2011)'!$A$13:$AH$244,'FS (2011)'!$J$245,FALSE)</f>
        <v>1752</v>
      </c>
    </row>
    <row r="131" spans="1:25">
      <c r="B131" s="162" t="s">
        <v>182</v>
      </c>
      <c r="C131" s="441">
        <f>VLOOKUP($C$38,'FS (2011)'!$A$13:$AH$244,'FS (2011)'!$S$245,FALSE)</f>
        <v>1998.7950158250405</v>
      </c>
      <c r="D131" s="433">
        <f>VLOOKUP($D$38,'FS (2011)'!$A$13:$AH$244,'FS (2011)'!$S$245,FALSE)</f>
        <v>1912.1702244491723</v>
      </c>
      <c r="E131" s="433">
        <f>VLOOKUP($E$38,'FS (2011)'!$A$13:$AH$244,'FS (2011)'!$S$245,FALSE)</f>
        <v>1853.2615666513968</v>
      </c>
      <c r="F131" s="440">
        <f>VLOOKUP($F$38,'FS (2011)'!$A$13:$AH$244,'FS (2011)'!$S$245,FALSE)</f>
        <v>1947</v>
      </c>
      <c r="I131" s="139"/>
    </row>
    <row r="132" spans="1:25">
      <c r="B132" s="162" t="s">
        <v>143</v>
      </c>
      <c r="C132" s="441">
        <f>VLOOKUP($C$38,'FS (2011)'!$A$13:$AH$244,'FS (2011)'!$U$245,FALSE)</f>
        <v>977.83553363177543</v>
      </c>
      <c r="D132" s="433">
        <f>VLOOKUP($D$38,'FS (2011)'!$A$13:$AH$244,'FS (2011)'!$U$245,FALSE)</f>
        <v>900.02800466744429</v>
      </c>
      <c r="E132" s="433">
        <f>VLOOKUP($E$38,'FS (2011)'!$A$13:$AH$244,'FS (2011)'!$U$245,FALSE)</f>
        <v>1120.7189243081564</v>
      </c>
      <c r="F132" s="440">
        <f>VLOOKUP($F$38,'FS (2011)'!$A$13:$AH$244,'FS (2011)'!$U$245,FALSE)</f>
        <v>946</v>
      </c>
    </row>
    <row r="133" spans="1:25">
      <c r="B133" s="162" t="s">
        <v>196</v>
      </c>
      <c r="C133" s="441">
        <f>VLOOKUP($C$38,'FS (2011)'!$A$13:$AH$244,'FS (2011)'!$X$245,FALSE)</f>
        <v>-334.21060135154397</v>
      </c>
      <c r="D133" s="433">
        <f>VLOOKUP($D$38,'FS (2011)'!$A$13:$AH$244,'FS (2011)'!$X$245,FALSE)</f>
        <v>-424.06931962385875</v>
      </c>
      <c r="E133" s="433">
        <f>VLOOKUP($E$38,'FS (2011)'!$A$13:$AH$244,'FS (2011)'!$X$245,FALSE)</f>
        <v>-103.93558511223087</v>
      </c>
      <c r="F133" s="440">
        <f>VLOOKUP($F$38,'FS (2011)'!$A$13:$AH$244,'FS (2011)'!$X$245,FALSE)</f>
        <v>-31.580855</v>
      </c>
    </row>
    <row r="134" spans="1:25">
      <c r="B134" s="164" t="s">
        <v>258</v>
      </c>
      <c r="C134" s="442">
        <f>VLOOKUP($C$38,'FS (2011)'!$A$13:$AH$244,'FS (2011)'!$AA$245,FALSE)</f>
        <v>3283.355670953209</v>
      </c>
      <c r="D134" s="435">
        <f>VLOOKUP($D$38,'FS (2011)'!$A$13:$AH$244,'FS (2011)'!$AA$245,FALSE)</f>
        <v>2729.9558085249491</v>
      </c>
      <c r="E134" s="435">
        <f>VLOOKUP($E$38,'FS (2011)'!$A$13:$AH$244,'FS (2011)'!$AA$245,FALSE)</f>
        <v>2185.4366446875583</v>
      </c>
      <c r="F134" s="443">
        <f>VLOOKUP($F$38,'FS (2011)'!$A$13:$AH$244,'FS (2011)'!$AA$245,FALSE)</f>
        <v>3156.4140000000002</v>
      </c>
      <c r="S134" s="559"/>
      <c r="T134" s="559"/>
      <c r="U134" s="559"/>
      <c r="V134" s="559"/>
      <c r="W134" s="559"/>
      <c r="X134" s="559"/>
      <c r="Y134" s="559"/>
    </row>
    <row r="135" spans="1:25">
      <c r="S135" s="559"/>
      <c r="T135" s="559"/>
      <c r="U135" s="559"/>
      <c r="V135" s="559"/>
      <c r="W135" s="559"/>
      <c r="X135" s="559"/>
      <c r="Y135" s="559"/>
    </row>
    <row r="136" spans="1:25">
      <c r="S136" s="559"/>
      <c r="T136" s="559"/>
      <c r="U136" s="559"/>
      <c r="V136" s="559"/>
      <c r="W136" s="559"/>
      <c r="X136" s="559"/>
      <c r="Y136" s="559"/>
    </row>
    <row r="137" spans="1:25">
      <c r="B137" s="517" t="s">
        <v>260</v>
      </c>
      <c r="C137" s="510"/>
      <c r="D137" s="520" t="s">
        <v>166</v>
      </c>
      <c r="E137" s="521" t="s">
        <v>165</v>
      </c>
      <c r="S137" s="559"/>
      <c r="T137" s="559" t="s">
        <v>321</v>
      </c>
      <c r="U137" s="559"/>
      <c r="V137" s="559"/>
      <c r="W137" s="559"/>
      <c r="X137" s="559"/>
      <c r="Y137" s="559"/>
    </row>
    <row r="138" spans="1:25">
      <c r="A138" s="136">
        <f>RANK(D138,$D$138:$D$144)</f>
        <v>4</v>
      </c>
      <c r="B138" s="166" t="s">
        <v>204</v>
      </c>
      <c r="C138" s="167"/>
      <c r="D138" s="444">
        <f>VLOOKUP($D$6,'FS (2011)'!$A$13:$AH$244,'FS (2011)'!$L$245,FALSE)</f>
        <v>207</v>
      </c>
      <c r="E138" s="446">
        <f t="shared" ref="E138:E144" si="7">D138/$D$145</f>
        <v>0.10631741140215717</v>
      </c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822</v>
      </c>
      <c r="W138" s="559"/>
      <c r="X138" s="559"/>
      <c r="Y138" s="559"/>
    </row>
    <row r="139" spans="1:25">
      <c r="A139" s="136">
        <f t="shared" ref="A139:A144" si="8">RANK(D139,$D$138:$D$144)</f>
        <v>1</v>
      </c>
      <c r="B139" s="162" t="s">
        <v>199</v>
      </c>
      <c r="C139" s="121"/>
      <c r="D139" s="441">
        <f>VLOOKUP($D$6,'FS (2011)'!$A$13:$AH$244,'FS (2011)'!K245,FALSE)</f>
        <v>822</v>
      </c>
      <c r="E139" s="414">
        <f t="shared" si="7"/>
        <v>0.42218798151001541</v>
      </c>
      <c r="S139" s="559"/>
      <c r="T139" s="559">
        <v>2</v>
      </c>
      <c r="U139" s="559" t="str">
        <f t="shared" ref="U139:U144" si="9">VLOOKUP(T139,$A$138:$E$144,2,FALSE)</f>
        <v>Refurbishment and renewal maintenance</v>
      </c>
      <c r="V139" s="559">
        <f t="shared" ref="V139:V144" si="10">VLOOKUP(T139,$A$138:$E$144,4,FALSE)</f>
        <v>332</v>
      </c>
      <c r="W139" s="559"/>
      <c r="X139" s="559"/>
      <c r="Y139" s="559"/>
    </row>
    <row r="140" spans="1:25">
      <c r="A140" s="136">
        <f t="shared" si="8"/>
        <v>5</v>
      </c>
      <c r="B140" s="162" t="s">
        <v>201</v>
      </c>
      <c r="C140" s="121"/>
      <c r="D140" s="441">
        <f>VLOOKUP($D$6,'FS (2011)'!$A$13:$AH$244,'FS (2011)'!M245,FALSE)</f>
        <v>166</v>
      </c>
      <c r="E140" s="414">
        <f t="shared" si="7"/>
        <v>8.5259373394966614E-2</v>
      </c>
      <c r="S140" s="559"/>
      <c r="T140" s="559">
        <v>3</v>
      </c>
      <c r="U140" s="559" t="str">
        <f t="shared" si="9"/>
        <v>Fault and emergency maintenance</v>
      </c>
      <c r="V140" s="559">
        <f t="shared" si="10"/>
        <v>327</v>
      </c>
      <c r="W140" s="559"/>
      <c r="X140" s="559"/>
      <c r="Y140" s="559"/>
    </row>
    <row r="141" spans="1:25">
      <c r="A141" s="136">
        <f t="shared" si="8"/>
        <v>2</v>
      </c>
      <c r="B141" s="162" t="s">
        <v>202</v>
      </c>
      <c r="C141" s="121"/>
      <c r="D141" s="441">
        <f>VLOOKUP($D$6,'FS (2011)'!$A$13:$AH$244,'FS (2011)'!N245,FALSE)</f>
        <v>332</v>
      </c>
      <c r="E141" s="414">
        <f t="shared" si="7"/>
        <v>0.17051874678993323</v>
      </c>
      <c r="S141" s="559"/>
      <c r="T141" s="559">
        <v>4</v>
      </c>
      <c r="U141" s="559" t="str">
        <f t="shared" si="9"/>
        <v>System management and operations</v>
      </c>
      <c r="V141" s="559">
        <f t="shared" si="10"/>
        <v>207</v>
      </c>
      <c r="W141" s="559"/>
      <c r="X141" s="559"/>
      <c r="Y141" s="559"/>
    </row>
    <row r="142" spans="1:25">
      <c r="A142" s="136">
        <f t="shared" si="8"/>
        <v>3</v>
      </c>
      <c r="B142" s="162" t="s">
        <v>203</v>
      </c>
      <c r="C142" s="121"/>
      <c r="D142" s="441">
        <f>VLOOKUP($D$6,'FS (2011)'!$A$13:$AH$244,'FS (2011)'!O245,FALSE)</f>
        <v>327</v>
      </c>
      <c r="E142" s="414">
        <f t="shared" si="7"/>
        <v>0.1679506933744222</v>
      </c>
      <c r="S142" s="559"/>
      <c r="T142" s="559">
        <v>5</v>
      </c>
      <c r="U142" s="559" t="str">
        <f t="shared" si="9"/>
        <v>Routine and preventative maintenance</v>
      </c>
      <c r="V142" s="559">
        <f t="shared" si="10"/>
        <v>166</v>
      </c>
      <c r="W142" s="559"/>
      <c r="X142" s="559"/>
      <c r="Y142" s="559"/>
    </row>
    <row r="143" spans="1:25">
      <c r="A143" s="136">
        <f t="shared" si="8"/>
        <v>6</v>
      </c>
      <c r="B143" s="162" t="s">
        <v>13</v>
      </c>
      <c r="C143" s="121"/>
      <c r="D143" s="441">
        <f>VLOOKUP($D$6,'FS (2011)'!$A$13:$AH$244,'FS (2011)'!R245,FALSE)</f>
        <v>71</v>
      </c>
      <c r="E143" s="414">
        <f t="shared" si="7"/>
        <v>3.6466358500256806E-2</v>
      </c>
      <c r="S143" s="559"/>
      <c r="T143" s="559">
        <v>6</v>
      </c>
      <c r="U143" s="559" t="str">
        <f t="shared" si="9"/>
        <v>Other</v>
      </c>
      <c r="V143" s="559">
        <f t="shared" si="10"/>
        <v>71</v>
      </c>
      <c r="W143" s="559"/>
      <c r="X143" s="559"/>
      <c r="Y143" s="559"/>
    </row>
    <row r="144" spans="1:25">
      <c r="A144" s="136">
        <f t="shared" si="8"/>
        <v>7</v>
      </c>
      <c r="B144" s="162" t="s">
        <v>200</v>
      </c>
      <c r="C144" s="121"/>
      <c r="D144" s="441">
        <f>VLOOKUP($D$6,'FS (2011)'!$A$13:$AH$244,'FS (2011)'!P245,FALSE)</f>
        <v>22</v>
      </c>
      <c r="E144" s="414">
        <f t="shared" si="7"/>
        <v>1.1299435028248588E-2</v>
      </c>
      <c r="S144" s="559"/>
      <c r="T144" s="559">
        <v>7</v>
      </c>
      <c r="U144" s="559" t="str">
        <f t="shared" si="9"/>
        <v>Pass-through costs</v>
      </c>
      <c r="V144" s="559">
        <f t="shared" si="10"/>
        <v>22</v>
      </c>
      <c r="W144" s="559"/>
      <c r="X144" s="559"/>
      <c r="Y144" s="559"/>
    </row>
    <row r="145" spans="2:30">
      <c r="B145" s="172" t="s">
        <v>263</v>
      </c>
      <c r="C145" s="173"/>
      <c r="D145" s="445">
        <f>SUM(D138:D144)</f>
        <v>1947</v>
      </c>
      <c r="E145" s="447">
        <f>SUM(E138:E144)</f>
        <v>1</v>
      </c>
      <c r="S145" s="559"/>
      <c r="T145" s="559"/>
      <c r="U145" s="559"/>
      <c r="V145" s="559"/>
      <c r="W145" s="559"/>
      <c r="X145" s="559"/>
      <c r="Y145" s="559"/>
    </row>
    <row r="146" spans="2:30">
      <c r="D146" s="174"/>
      <c r="S146" s="559"/>
      <c r="T146" s="559"/>
      <c r="U146" s="559"/>
      <c r="V146" s="559"/>
      <c r="W146" s="559"/>
      <c r="X146" s="559"/>
      <c r="Y146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0.60926356066934328</v>
      </c>
      <c r="F149" s="455">
        <f>(VLOOKUP(F$38,'FS (2011)'!$A$13:$AH$244,'FS (2011)'!$M$245,FALSE)+VLOOKUP(F$38,'FS (2011)'!$A$13:$AH$244,'FS (2011)'!$N$245,FALSE)+VLOOKUP(F$38,'FS (2011)'!$A$13:$AH$244,'FS (2011)'!$O$245,FALSE))/1000</f>
        <v>0.82499999999999996</v>
      </c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1.1502651504944625</v>
      </c>
      <c r="F150" s="457">
        <f>(VLOOKUP(F$38,'FS (2011)'!$A$13:$AH$244,'FS (2011)'!$L$245,FALSE)+VLOOKUP(F$38,'FS (2011)'!$A$13:$AH$244,'FS (2011)'!$K$245,FALSE))/1000</f>
        <v>1.0289999999999999</v>
      </c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9.3732855487591263E-2</v>
      </c>
      <c r="F151" s="457">
        <f>(VLOOKUP(F$38,'FS (2011)'!$A$13:$AH$244,'FS (2011)'!$R$245,FALSE)+VLOOKUP(F$38,'FS (2011)'!$A$13:$AH$244,'FS (2011)'!$P$245,FALSE)+VLOOKUP(F$38,'FS (2011)'!$A$13:$AH$244,'FS (2011)'!$Q$245,FALSE))/1000</f>
        <v>9.2999999999999999E-2</v>
      </c>
    </row>
    <row r="152" spans="2:30">
      <c r="B152" s="180" t="s">
        <v>268</v>
      </c>
      <c r="C152" s="458">
        <f>VLOOKUP($C$38,'FS (2011)'!$A$13:$AH$244,'FS (2011)'!$S$245,FALSE)/1000</f>
        <v>1.9987950158250405</v>
      </c>
      <c r="D152" s="458">
        <f>VLOOKUP($D$38,'FS (2011)'!$A$13:$AH$244,'FS (2011)'!$S$245,FALSE)/1000</f>
        <v>1.9121702244491723</v>
      </c>
      <c r="E152" s="459">
        <f>VLOOKUP($E$38,'FS (2011)'!$A$13:$AH$244,'FS (2011)'!$S$245,FALSE)/1000</f>
        <v>1.8532615666513967</v>
      </c>
      <c r="F152" s="460">
        <f>VLOOKUP($F$38,'FS (2011)'!$A$13:$AH$244,'FS (2011)'!$S$245,FALSE)/1000</f>
        <v>1.9470000000000001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0.35409378347466958</v>
      </c>
      <c r="D154" s="464" t="str">
        <f t="shared" ref="D154:E157" si="11">IF(ISERROR(D149/C149 - 1),"",(D149/C149 - 1))</f>
        <v/>
      </c>
      <c r="E154" s="464" t="str">
        <f t="shared" si="11"/>
        <v/>
      </c>
      <c r="F154" s="465">
        <f>IF(ISERROR(F149/E149 - 1),"",(F149/E149 - 1))</f>
        <v>0.35409378347466958</v>
      </c>
      <c r="Q154" s="559"/>
      <c r="R154" s="559" t="s">
        <v>423</v>
      </c>
      <c r="S154" s="559" t="e">
        <f t="shared" ref="S154:V157" si="12">LN(C149)</f>
        <v>#NUM!</v>
      </c>
      <c r="T154" s="559" t="e">
        <f t="shared" si="12"/>
        <v>#NUM!</v>
      </c>
      <c r="U154" s="559">
        <f t="shared" si="12"/>
        <v>-0.4955043287526868</v>
      </c>
      <c r="V154" s="559">
        <f t="shared" si="12"/>
        <v>-0.19237189264745613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-0.10542364987962527</v>
      </c>
      <c r="D155" s="467" t="str">
        <f t="shared" si="11"/>
        <v/>
      </c>
      <c r="E155" s="467" t="str">
        <f t="shared" si="11"/>
        <v/>
      </c>
      <c r="F155" s="468">
        <f>IF(ISERROR(F150/E150 - 1),"",(F150/E150 - 1))</f>
        <v>-0.10542364987962527</v>
      </c>
      <c r="Q155" s="559"/>
      <c r="R155" s="559" t="s">
        <v>423</v>
      </c>
      <c r="S155" s="559" t="e">
        <f t="shared" si="12"/>
        <v>#NUM!</v>
      </c>
      <c r="T155" s="559" t="e">
        <f t="shared" si="12"/>
        <v>#NUM!</v>
      </c>
      <c r="U155" s="559">
        <f t="shared" si="12"/>
        <v>0.13999248144634352</v>
      </c>
      <c r="V155" s="559">
        <f t="shared" si="12"/>
        <v>2.8587456851912472E-2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-7.8185550176510521E-3</v>
      </c>
      <c r="D156" s="467" t="str">
        <f t="shared" si="11"/>
        <v/>
      </c>
      <c r="E156" s="467" t="str">
        <f t="shared" si="11"/>
        <v/>
      </c>
      <c r="F156" s="468">
        <f>IF(ISERROR(F151/E151 - 1),"",(F151/E151 - 1))</f>
        <v>-7.8185550176510521E-3</v>
      </c>
      <c r="Q156" s="559"/>
      <c r="R156" s="559" t="s">
        <v>423</v>
      </c>
      <c r="S156" s="559" t="e">
        <f t="shared" si="12"/>
        <v>#NUM!</v>
      </c>
      <c r="T156" s="559" t="e">
        <f t="shared" si="12"/>
        <v>#NUM!</v>
      </c>
      <c r="U156" s="559">
        <f t="shared" si="12"/>
        <v>-2.3673065056542786</v>
      </c>
      <c r="V156" s="559">
        <f t="shared" si="12"/>
        <v>-2.375155785828881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-1.0945268443502187E-2</v>
      </c>
      <c r="D157" s="470">
        <f t="shared" si="11"/>
        <v>-4.3338506795361442E-2</v>
      </c>
      <c r="E157" s="470">
        <f t="shared" si="11"/>
        <v>-3.080722471491526E-2</v>
      </c>
      <c r="F157" s="471">
        <f>IF(ISERROR(F152/E152 - 1),"",(F152/E152 - 1))</f>
        <v>5.0580249995674675E-2</v>
      </c>
      <c r="N157" s="136"/>
      <c r="O157" s="136"/>
      <c r="Q157" s="559"/>
      <c r="R157" s="559" t="s">
        <v>423</v>
      </c>
      <c r="S157" s="559">
        <f t="shared" si="12"/>
        <v>0.69254450690117397</v>
      </c>
      <c r="T157" s="559">
        <f t="shared" si="12"/>
        <v>0.64823884018994238</v>
      </c>
      <c r="U157" s="559">
        <f t="shared" si="12"/>
        <v>0.61694709581480356</v>
      </c>
      <c r="V157" s="559">
        <f t="shared" si="12"/>
        <v>0.66628972639006268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Scanpower</v>
      </c>
      <c r="C162" s="456">
        <f>(C152/C102)*1000000</f>
        <v>296.82135667137516</v>
      </c>
      <c r="D162" s="456">
        <f>(D152/D102)*1000000</f>
        <v>279.88440053412944</v>
      </c>
      <c r="E162" s="456">
        <f>(E152/E102)*1000000</f>
        <v>273.10073189675751</v>
      </c>
      <c r="F162" s="457">
        <f>(F152/F102)*1000000</f>
        <v>286.87196110210698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Scanpower</v>
      </c>
      <c r="C165" s="456">
        <f>C152/VLOOKUP(C$38,'MP (2011)'!$A$14:$AR$245,'MP (2011)'!$H$246,FALSE)*1000000</f>
        <v>2263.0515446996142</v>
      </c>
      <c r="D165" s="456">
        <f>D152/VLOOKUP(D$38,'MP (2011)'!$A$14:$AR$245,'MP (2011)'!$H$246,FALSE)*1000000</f>
        <v>2139.8742426047429</v>
      </c>
      <c r="E165" s="456">
        <f>E152/VLOOKUP(E$38,'MP (2011)'!$A$14:$AR$245,'MP (2011)'!$H$246,FALSE)*1000000</f>
        <v>2047.2558455115493</v>
      </c>
      <c r="F165" s="457">
        <f>F152/VLOOKUP(F$38,'MP (2011)'!$A$14:$AR$245,'MP (2011)'!$H$246,FALSE)*1000000</f>
        <v>1873.9172281039462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Scanpower</v>
      </c>
      <c r="C168" s="456">
        <f>(C152/C117)*1000000</f>
        <v>22.250862916899038</v>
      </c>
      <c r="D168" s="456">
        <f>(D152/D117)*1000000</f>
        <v>23.751307006125757</v>
      </c>
      <c r="E168" s="456">
        <f>(E152/E117)*1000000</f>
        <v>22.31098015591882</v>
      </c>
      <c r="F168" s="457">
        <f>(F152/F117)*1000000</f>
        <v>23.919800484047325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-1.260186175661604E-2</v>
      </c>
      <c r="D171" s="464">
        <f>IF(ISERROR(D162/C162 - 1),"",(D162/C162 - 1))</f>
        <v>-5.7061110181493513E-2</v>
      </c>
      <c r="E171" s="464">
        <f>IF(ISERROR(E162/D162 - 1),"",(E162/D162 - 1))</f>
        <v>-2.4237394525832845E-2</v>
      </c>
      <c r="F171" s="465">
        <f>IF(ISERROR(F162/E162 - 1),"",(F162/E162 - 1))</f>
        <v>5.0425456972248428E-2</v>
      </c>
      <c r="H171" s="139"/>
      <c r="Q171" s="559"/>
      <c r="R171" s="559" t="s">
        <v>423</v>
      </c>
      <c r="S171" s="559">
        <f>LN(C162)</f>
        <v>5.6931304651444279</v>
      </c>
      <c r="T171" s="559">
        <f>LN(D162)</f>
        <v>5.6343766626858107</v>
      </c>
      <c r="U171" s="559">
        <f>LN(E162)</f>
        <v>5.609840708434902</v>
      </c>
      <c r="V171" s="559">
        <f>LN(F162)</f>
        <v>5.6590359876505785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-5.920462375224067E-2</v>
      </c>
      <c r="D172" s="467">
        <f>IF(ISERROR(D165/C165 - 1),"",(D165/C165 - 1))</f>
        <v>-5.4429737750945173E-2</v>
      </c>
      <c r="E172" s="467">
        <f>IF(ISERROR(E165/D165 - 1),"",(E165/D165 - 1))</f>
        <v>-4.3282168292494982E-2</v>
      </c>
      <c r="F172" s="468">
        <f>IF(ISERROR(F165/E165 - 1),"",(F165/E165 - 1))</f>
        <v>-8.4668761741545251E-2</v>
      </c>
      <c r="Q172" s="559"/>
      <c r="R172" s="559" t="s">
        <v>423</v>
      </c>
      <c r="S172" s="559">
        <f>LN(C165)</f>
        <v>7.7244694225281911</v>
      </c>
      <c r="T172" s="559">
        <f>LN(D165)</f>
        <v>7.6685023411511883</v>
      </c>
      <c r="U172" s="559">
        <f>LN(E165)</f>
        <v>7.6242555634455496</v>
      </c>
      <c r="V172" s="559">
        <f>LN(F165)</f>
        <v>7.535786293255109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1.5561719099680849E-2</v>
      </c>
      <c r="D173" s="470">
        <f>IF(ISERROR(D168/C168 - 1),"",(D168/C168 - 1))</f>
        <v>6.7433074161234563E-2</v>
      </c>
      <c r="E173" s="470">
        <f>IF(ISERROR(E168/D168 - 1),"",(E168/D168 - 1))</f>
        <v>-6.0642003820482793E-2</v>
      </c>
      <c r="F173" s="471">
        <f>IF(ISERROR(F168/E168 - 1),"",(F168/E168 - 1))</f>
        <v>7.2108904086031655E-2</v>
      </c>
      <c r="Q173" s="559"/>
      <c r="R173" s="559" t="s">
        <v>423</v>
      </c>
      <c r="S173" s="559">
        <f>LN(C168)</f>
        <v>3.1023807906421959</v>
      </c>
      <c r="T173" s="559">
        <f>LN(D168)</f>
        <v>3.1676375608033283</v>
      </c>
      <c r="U173" s="559">
        <f>LN(E168)</f>
        <v>3.1050789409584985</v>
      </c>
      <c r="V173" s="559">
        <f>LN(F168)</f>
        <v>3.1747065880797236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Scanpower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609.26356066934329</v>
      </c>
      <c r="X176" s="563">
        <f>D178</f>
        <v>825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Scanpower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704.01525154266915</v>
      </c>
      <c r="X177" s="563">
        <f t="shared" si="14"/>
        <v>731.52380695750571</v>
      </c>
      <c r="Y177" s="563">
        <f t="shared" si="14"/>
        <v>762.0888685295464</v>
      </c>
      <c r="Z177" s="563">
        <f t="shared" si="14"/>
        <v>791.63509471585235</v>
      </c>
      <c r="AA177" s="563">
        <f t="shared" si="14"/>
        <v>824.2378270593623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609.26356066934329</v>
      </c>
      <c r="D178" s="461">
        <f>VLOOKUP(F38,'FS (2011)'!$A$14:$T$246,'FS (2011)'!$M$245,FALSE)+VLOOKUP(F38,'FS (2011)'!$A$14:$AO$245,'FS (2011)'!$N$245,FALSE)+VLOOKUP(F38,'FS (2011)'!$A$14:$AO$245,'FS (2011)'!$O$245,FALSE)</f>
        <v>825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690</v>
      </c>
      <c r="Y178" s="563">
        <f t="shared" si="14"/>
        <v>690</v>
      </c>
      <c r="Z178" s="563">
        <f t="shared" si="14"/>
        <v>690</v>
      </c>
      <c r="AA178" s="563">
        <f t="shared" si="14"/>
        <v>690</v>
      </c>
      <c r="AB178" s="563">
        <f>H180</f>
        <v>690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704.01525154266915</v>
      </c>
      <c r="D179" s="461">
        <f>VLOOKUP(D182,'AM (2011)'!$A$10:$N$444,'AM (2011)'!$N$445,FALSE)</f>
        <v>731.52380695750571</v>
      </c>
      <c r="E179" s="461">
        <f>VLOOKUP(E182,'AM (2011)'!$A$10:$N$444,'AM (2011)'!$N$445,FALSE)</f>
        <v>762.0888685295464</v>
      </c>
      <c r="F179" s="461">
        <f>VLOOKUP(F182,'AM (2011)'!$A$10:$N$444,'AM (2011)'!$N$445,FALSE)</f>
        <v>791.63509471585235</v>
      </c>
      <c r="G179" s="461">
        <f>VLOOKUP(G182,'AM (2011)'!$A$10:$N$444,'AM (2011)'!$N$445,FALSE)</f>
        <v>824.2378270593623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674.5675500969619</v>
      </c>
      <c r="Z179" s="563">
        <f>F181</f>
        <v>674.5675500969619</v>
      </c>
      <c r="AA179" s="563">
        <f>G181</f>
        <v>674.5675500969619</v>
      </c>
      <c r="AB179" s="563">
        <f>H181</f>
        <v>674.5675500969619</v>
      </c>
      <c r="AC179" s="563">
        <f>I181</f>
        <v>674.5675500969619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690</v>
      </c>
      <c r="E180" s="461">
        <f>VLOOKUP(E183,'AM (2011)'!$A$10:$N$444,'AM (2011)'!$N$445,FALSE)</f>
        <v>690</v>
      </c>
      <c r="F180" s="461">
        <f>VLOOKUP(F183,'AM (2011)'!$A$10:$N$444,'AM (2011)'!$N$445,FALSE)</f>
        <v>690</v>
      </c>
      <c r="G180" s="461">
        <f>VLOOKUP(G183,'AM (2011)'!$A$10:$N$444,'AM (2011)'!$N$445,FALSE)</f>
        <v>690</v>
      </c>
      <c r="H180" s="461">
        <f>VLOOKUP(H183,'AM (2011)'!$A$10:$N$444,'AM (2011)'!$N$445,FALSE)</f>
        <v>690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674.5675500969619</v>
      </c>
      <c r="F181" s="493">
        <f>VLOOKUP(F184,'AM (2011)'!$A$10:$N$444,'AM (2011)'!$N$445,FALSE)</f>
        <v>674.5675500969619</v>
      </c>
      <c r="G181" s="493">
        <f>VLOOKUP(G184,'AM (2011)'!$A$10:$N$444,'AM (2011)'!$N$445,FALSE)</f>
        <v>674.5675500969619</v>
      </c>
      <c r="H181" s="493">
        <f>VLOOKUP(H184,'AM (2011)'!$A$10:$N$444,'AM (2011)'!$N$445,FALSE)</f>
        <v>674.5675500969619</v>
      </c>
      <c r="I181" s="494">
        <f>VLOOKUP(I184,'AM (2011)'!$A$10:$N$444,'AM (2011)'!$N$445,FALSE)</f>
        <v>674.5675500969619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446</v>
      </c>
      <c r="D182" s="136">
        <f>VLOOKUP($B$2,$B$257:$Y$286,11,FALSE)</f>
        <v>447</v>
      </c>
      <c r="E182" s="136">
        <f>VLOOKUP($B$2,$B$257:$Y$286,12,FALSE)</f>
        <v>448</v>
      </c>
      <c r="F182" s="136">
        <f>VLOOKUP($B$2,$B$257:$Y$286,13,FALSE)</f>
        <v>449</v>
      </c>
      <c r="G182" s="136">
        <f>VLOOKUP($B$2,$B$257:$Y$286,14,FALSE)</f>
        <v>450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451</v>
      </c>
      <c r="E183" s="136">
        <f>VLOOKUP($B$2,$B$257:$Y$286,16,FALSE)</f>
        <v>452</v>
      </c>
      <c r="F183" s="136">
        <f>VLOOKUP($B$2,$B$257:$Y$286,17,FALSE)</f>
        <v>453</v>
      </c>
      <c r="G183" s="136">
        <f>VLOOKUP($B$2,$B$257:$Y$286,18,FALSE)</f>
        <v>454</v>
      </c>
      <c r="H183" s="136">
        <f>VLOOKUP($B$2,$B$257:$Y$286,19,FALSE)</f>
        <v>455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456</v>
      </c>
      <c r="F184" s="136">
        <f>VLOOKUP($B$2,$B$257:$Y$286,21,FALSE)</f>
        <v>457</v>
      </c>
      <c r="G184" s="136">
        <f>VLOOKUP($B$2,$B$257:$Y$286,22,FALSE)</f>
        <v>458</v>
      </c>
      <c r="H184" s="136">
        <f>VLOOKUP($B$2,$B$257:$Y$286,23,FALSE)</f>
        <v>459</v>
      </c>
      <c r="I184" s="136">
        <f>VLOOKUP($B$2,$B$257:$Y$286,24,FALSE)</f>
        <v>460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3</v>
      </c>
      <c r="B186" s="483" t="s">
        <v>205</v>
      </c>
      <c r="C186" s="490"/>
      <c r="D186" s="484">
        <f>VLOOKUP($D$6,'FS (2011)'!$A$13:$AH$244,'FS (2011)'!AC245,FALSE)/1000</f>
        <v>3.9E-2</v>
      </c>
      <c r="E186" s="495">
        <f t="shared" ref="E186:E191" si="16">D186/$D$192</f>
        <v>2.5827814569536419E-2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Asset replacement and renewal</v>
      </c>
      <c r="V186" s="559">
        <f t="shared" ref="V186:V191" si="18">VLOOKUP(T186,$A$186:$D$191,4,FALSE)*1000</f>
        <v>1352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2</v>
      </c>
      <c r="B187" s="162" t="s">
        <v>206</v>
      </c>
      <c r="C187" s="121"/>
      <c r="D187" s="456">
        <f>VLOOKUP($D$6,'FS (2011)'!$A$13:$AH$244,'FS (2011)'!AD245,FALSE)/1000</f>
        <v>6.5000000000000002E-2</v>
      </c>
      <c r="E187" s="468">
        <f t="shared" si="16"/>
        <v>4.3046357615894038E-2</v>
      </c>
      <c r="Q187" s="559"/>
      <c r="R187" s="559"/>
      <c r="S187" s="559"/>
      <c r="T187" s="559">
        <v>2</v>
      </c>
      <c r="U187" s="559" t="str">
        <f t="shared" si="17"/>
        <v>Reliability, safety and environment</v>
      </c>
      <c r="V187" s="559">
        <f t="shared" si="18"/>
        <v>65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4</v>
      </c>
      <c r="B188" s="162" t="s">
        <v>209</v>
      </c>
      <c r="C188" s="121"/>
      <c r="D188" s="456">
        <f>VLOOKUP($D$6,'FS (2011)'!$A$13:$AH$244,'FS (2011)'!AB245,FALSE)/1000</f>
        <v>0.03</v>
      </c>
      <c r="E188" s="468">
        <f t="shared" si="16"/>
        <v>1.986754966887417E-2</v>
      </c>
      <c r="Q188" s="559"/>
      <c r="R188" s="559"/>
      <c r="S188" s="559"/>
      <c r="T188" s="559">
        <v>3</v>
      </c>
      <c r="U188" s="559" t="str">
        <f t="shared" si="17"/>
        <v>System growth</v>
      </c>
      <c r="V188" s="559">
        <f t="shared" si="18"/>
        <v>39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1</v>
      </c>
      <c r="B189" s="162" t="s">
        <v>208</v>
      </c>
      <c r="C189" s="121"/>
      <c r="D189" s="456">
        <f>VLOOKUP($D$6,'FS (2011)'!$A$13:$AH$244,'FS (2011)'!AE245,FALSE)/1000</f>
        <v>1.3520000000000001</v>
      </c>
      <c r="E189" s="468">
        <f t="shared" si="16"/>
        <v>0.89536423841059598</v>
      </c>
      <c r="Q189" s="559"/>
      <c r="R189" s="559"/>
      <c r="S189" s="559"/>
      <c r="T189" s="559">
        <v>4</v>
      </c>
      <c r="U189" s="559" t="str">
        <f t="shared" si="17"/>
        <v>Customer connection</v>
      </c>
      <c r="V189" s="559">
        <f t="shared" si="18"/>
        <v>30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5</v>
      </c>
      <c r="B190" s="162" t="s">
        <v>312</v>
      </c>
      <c r="C190" s="121"/>
      <c r="D190" s="456">
        <f>VLOOKUP($D$6,'FS (2011)'!$A$13:$AH$244,'FS (2011)'!AH245,FALSE)/1000</f>
        <v>2.4E-2</v>
      </c>
      <c r="E190" s="468">
        <f t="shared" si="16"/>
        <v>1.5894039735099334E-2</v>
      </c>
      <c r="Q190" s="559"/>
      <c r="R190" s="559"/>
      <c r="S190" s="559"/>
      <c r="T190" s="559">
        <v>5</v>
      </c>
      <c r="U190" s="559" t="str">
        <f t="shared" si="17"/>
        <v>Non-network capex</v>
      </c>
      <c r="V190" s="559">
        <f t="shared" si="18"/>
        <v>24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6</v>
      </c>
      <c r="B191" s="162" t="s">
        <v>207</v>
      </c>
      <c r="C191" s="121"/>
      <c r="D191" s="456">
        <f>VLOOKUP($D$6,'FS (2011)'!$A$13:$AH$244,'FS (2011)'!AF245,FALSE)/1000</f>
        <v>0</v>
      </c>
      <c r="E191" s="468">
        <f t="shared" si="16"/>
        <v>0</v>
      </c>
      <c r="Q191" s="559"/>
      <c r="R191" s="559"/>
      <c r="S191" s="559"/>
      <c r="T191" s="559">
        <v>6</v>
      </c>
      <c r="U191" s="559" t="str">
        <f t="shared" si="17"/>
        <v>Asset relocations</v>
      </c>
      <c r="V191" s="559">
        <f t="shared" si="18"/>
        <v>0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1.5100000000000002</v>
      </c>
      <c r="E192" s="496">
        <f>SUM(E186:E191)</f>
        <v>0.99999999999999989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1.4856200279433149</v>
      </c>
      <c r="D196" s="484">
        <f>VLOOKUP($D$38,'FS (2011)'!$A$13:$AH$244,'FS (2011)'!$AG$245,FALSE)/1000</f>
        <v>0.84708518086347706</v>
      </c>
      <c r="E196" s="484">
        <f>VLOOKUP($E$38,'FS (2011)'!$A$13:$AH$244,'FS (2011)'!$AG$245,FALSE)/1000</f>
        <v>1.0565322950068712</v>
      </c>
      <c r="F196" s="486">
        <f>VLOOKUP($F$38,'FS (2011)'!$A$13:$AH$244,'FS (2011)'!$AG$245,FALSE)/1000</f>
        <v>1.486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4.2045849847452313E-2</v>
      </c>
      <c r="D197" s="456">
        <f>VLOOKUP($D$38,'FS (2011)'!$A$13:$AH$244,'FS (2011)'!$AH$245,FALSE)/1000</f>
        <v>0</v>
      </c>
      <c r="E197" s="456">
        <f>VLOOKUP($E$38,'FS (2011)'!$A$13:$AH$244,'FS (2011)'!$AH$245,FALSE)/1000</f>
        <v>8.6601007787448447E-2</v>
      </c>
      <c r="F197" s="457">
        <f>VLOOKUP($F$38,'FS (2011)'!$A$13:$AH$244,'FS (2011)'!$AH$245,FALSE)/1000</f>
        <v>2.4E-2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1.5276658777907672</v>
      </c>
      <c r="D198" s="488">
        <f>SUM(D196:D197)</f>
        <v>0.84708518086347706</v>
      </c>
      <c r="E198" s="488">
        <f>SUM(E196:E197)</f>
        <v>1.1431333027943196</v>
      </c>
      <c r="F198" s="489">
        <f>SUM(F196:F197)</f>
        <v>1.51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2.2418945514976363E-2</v>
      </c>
      <c r="D200" s="498">
        <f t="shared" ref="D200:F202" si="20">D196/C196 - 1</f>
        <v>-0.4298103384913452</v>
      </c>
      <c r="E200" s="498">
        <f t="shared" si="20"/>
        <v>0.24725626049778615</v>
      </c>
      <c r="F200" s="495">
        <f t="shared" si="20"/>
        <v>0.40648800516820516</v>
      </c>
      <c r="Q200" s="559"/>
      <c r="R200" s="559" t="s">
        <v>423</v>
      </c>
      <c r="S200" s="559">
        <f t="shared" ref="S200:V202" si="21">LN(C196)</f>
        <v>0.39583221234897742</v>
      </c>
      <c r="T200" s="559">
        <f t="shared" si="21"/>
        <v>-0.16595402166120266</v>
      </c>
      <c r="U200" s="559">
        <f t="shared" si="21"/>
        <v>5.4992125526208746E-2</v>
      </c>
      <c r="V200" s="559">
        <f t="shared" si="21"/>
        <v>0.39608794629556743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-0.72286696641100234</v>
      </c>
      <c r="D201" s="467">
        <f t="shared" si="20"/>
        <v>-1</v>
      </c>
      <c r="E201" s="467"/>
      <c r="F201" s="468">
        <f t="shared" si="20"/>
        <v>-0.72286696641100234</v>
      </c>
      <c r="Q201" s="559"/>
      <c r="R201" s="559" t="s">
        <v>423</v>
      </c>
      <c r="S201" s="559">
        <f t="shared" si="21"/>
        <v>-3.1689945930949799</v>
      </c>
      <c r="T201" s="559" t="e">
        <f t="shared" si="21"/>
        <v>#NUM!</v>
      </c>
      <c r="U201" s="559">
        <f t="shared" si="21"/>
        <v>-2.4464438262130024</v>
      </c>
      <c r="V201" s="559">
        <f t="shared" si="21"/>
        <v>-3.7297014486341915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2.6837096487148715E-2</v>
      </c>
      <c r="D202" s="500">
        <f t="shared" si="20"/>
        <v>-0.4455036319273632</v>
      </c>
      <c r="E202" s="500">
        <f t="shared" si="20"/>
        <v>0.34949038021071921</v>
      </c>
      <c r="F202" s="501">
        <f t="shared" si="20"/>
        <v>0.32093081035159865</v>
      </c>
      <c r="Q202" s="559"/>
      <c r="R202" s="559" t="s">
        <v>423</v>
      </c>
      <c r="S202" s="559">
        <f t="shared" si="21"/>
        <v>0.42374100046605395</v>
      </c>
      <c r="T202" s="559">
        <f t="shared" si="21"/>
        <v>-0.16595402166120266</v>
      </c>
      <c r="U202" s="559">
        <f t="shared" si="21"/>
        <v>0.13377300337932299</v>
      </c>
      <c r="V202" s="559">
        <f t="shared" si="21"/>
        <v>0.41210965082683298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Scanpower</v>
      </c>
      <c r="C206" s="456">
        <f>(C198/C102)*1000000</f>
        <v>226.85860971053864</v>
      </c>
      <c r="D206" s="456">
        <f>(D198/D102)*1000000</f>
        <v>123.98787776104757</v>
      </c>
      <c r="E206" s="456">
        <f>(E198/E102)*1000000</f>
        <v>168.45465705781308</v>
      </c>
      <c r="F206" s="457">
        <f>(F198/F102)*1000000</f>
        <v>222.48416089583029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Scanpower</v>
      </c>
      <c r="C209" s="456">
        <f>(C198/C117)*1000000000</f>
        <v>17006.188108546889</v>
      </c>
      <c r="D209" s="456">
        <f>(D198/D117)*1000000000</f>
        <v>10521.751637892845</v>
      </c>
      <c r="E209" s="456">
        <f>(E198/E117)*1000000000</f>
        <v>13761.912993370488</v>
      </c>
      <c r="F209" s="457">
        <f>(F198/F117)*1000000000</f>
        <v>18551.052250082928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Scanpower</v>
      </c>
      <c r="C212" s="456">
        <f>(C198/VLOOKUP(C$38,'AV (2011)'!$A$11:$F$213,'AV (2011)'!$F$214,FALSE)*1000)</f>
        <v>5.4445688331824067E-2</v>
      </c>
      <c r="D212" s="456">
        <f>(D198/VLOOKUP(D$38,'AV (2011)'!$A$11:$F$213,'AV (2011)'!$F$214,FALSE)*1000)</f>
        <v>3.0648803622448203E-2</v>
      </c>
      <c r="E212" s="456">
        <f>(E198/VLOOKUP(E$38,'AV (2011)'!$A$11:$F$213,'AV (2011)'!$F$214,FALSE)*1000)</f>
        <v>4.1214809825610668E-2</v>
      </c>
      <c r="F212" s="457">
        <f>(F198/VLOOKUP(F$38,'AV (2011)'!$A$11:$F$213,'AV (2011)'!$F$214,FALSE)*1000)</f>
        <v>4.5890996180471121E-2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2.5117220515249006E-2</v>
      </c>
      <c r="D215" s="464">
        <f>D206/C206 - 1</f>
        <v>-0.4534574732726675</v>
      </c>
      <c r="E215" s="464">
        <f>E206/D206 - 1</f>
        <v>0.3586381193043966</v>
      </c>
      <c r="F215" s="465">
        <f>F206/E206 - 1</f>
        <v>0.3207361837403786</v>
      </c>
      <c r="K215" s="139"/>
      <c r="P215" s="139"/>
      <c r="Q215" s="559"/>
      <c r="R215" s="559" t="s">
        <v>423</v>
      </c>
      <c r="S215" s="559">
        <f>LN(C206)</f>
        <v>5.4243269587093081</v>
      </c>
      <c r="T215" s="559">
        <f>LN(D206)</f>
        <v>4.8201838008346654</v>
      </c>
      <c r="U215" s="559">
        <f>LN(E206)</f>
        <v>5.1266666159994214</v>
      </c>
      <c r="V215" s="559">
        <f>LN(F206)</f>
        <v>5.4048559120873492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5.4356663662798566E-2</v>
      </c>
      <c r="D216" s="467">
        <f>D209/C209 - 1</f>
        <v>-0.38129864430907512</v>
      </c>
      <c r="E216" s="467">
        <f>E209/D209 - 1</f>
        <v>0.30794885366886859</v>
      </c>
      <c r="F216" s="468">
        <f>F209/E209 - 1</f>
        <v>0.34799953022661212</v>
      </c>
      <c r="Q216" s="559"/>
      <c r="R216" s="559" t="s">
        <v>423</v>
      </c>
      <c r="S216" s="559">
        <f>LN(C209)</f>
        <v>9.7413325631892125</v>
      </c>
      <c r="T216" s="559">
        <f>LN(D209)</f>
        <v>9.2611999779343197</v>
      </c>
      <c r="U216" s="559">
        <f>LN(E209)</f>
        <v>9.5296601275051547</v>
      </c>
      <c r="V216" s="559">
        <f>LN(F209)</f>
        <v>9.8282817914986307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-2.1427121130939808E-2</v>
      </c>
      <c r="D217" s="470">
        <f>D212/C212 - 1</f>
        <v>-0.43707565169061036</v>
      </c>
      <c r="E217" s="470">
        <f>E212/D212 - 1</f>
        <v>0.34474449095375359</v>
      </c>
      <c r="F217" s="471">
        <f>F212/E212 - 1</f>
        <v>0.11345888467389442</v>
      </c>
      <c r="Q217" s="559"/>
      <c r="R217" s="559" t="s">
        <v>423</v>
      </c>
      <c r="S217" s="559">
        <f>LN(C212)</f>
        <v>-2.9105516185636167</v>
      </c>
      <c r="T217" s="559">
        <f>LN(D212)</f>
        <v>-3.4851616508870888</v>
      </c>
      <c r="U217" s="559">
        <f>LN(E212)</f>
        <v>-3.1889576254308993</v>
      </c>
      <c r="V217" s="559">
        <f>LN(F212)</f>
        <v>-3.081486342803359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Scanpower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1056.5322950068712</v>
      </c>
      <c r="X220" s="563">
        <f>D222</f>
        <v>1486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Scanpower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1276.6007383255637</v>
      </c>
      <c r="X221" s="563">
        <f t="shared" si="23"/>
        <v>1588.3643663603782</v>
      </c>
      <c r="Y221" s="563">
        <f t="shared" si="23"/>
        <v>1155.3593274231359</v>
      </c>
      <c r="Z221" s="563">
        <f t="shared" si="23"/>
        <v>1023.9295626633611</v>
      </c>
      <c r="AA221" s="563">
        <f t="shared" si="23"/>
        <v>1023.9295626633611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1056.5322950068712</v>
      </c>
      <c r="D222" s="461">
        <f>VLOOKUP(D226,'FS (2011)'!$A$14:$AJ$245,'FS (2011)'!$AG$245,FALSE)</f>
        <v>1486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1230</v>
      </c>
      <c r="Y222" s="563">
        <f t="shared" si="23"/>
        <v>966</v>
      </c>
      <c r="Z222" s="563">
        <f t="shared" si="23"/>
        <v>942</v>
      </c>
      <c r="AA222" s="563">
        <f t="shared" si="23"/>
        <v>1030</v>
      </c>
      <c r="AB222" s="563">
        <f>H224</f>
        <v>1022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1276.6007383255637</v>
      </c>
      <c r="D223" s="461">
        <f>VLOOKUP(D227,'AM (2011)'!$A$10:$N$444,'AM (2011)'!$J$445,FALSE)</f>
        <v>1588.3643663603782</v>
      </c>
      <c r="E223" s="461">
        <f>VLOOKUP(E226,'AM (2011)'!$A$10:$N$444,'AM (2011)'!$J$445,FALSE)</f>
        <v>1155.3593274231359</v>
      </c>
      <c r="F223" s="461">
        <f>VLOOKUP(F226,'AM (2011)'!$A$10:$N$444,'AM (2011)'!$J$445,FALSE)</f>
        <v>1023.9295626633611</v>
      </c>
      <c r="G223" s="461">
        <f>VLOOKUP(G226,'AM (2011)'!$A$10:$N$444,'AM (2011)'!$J$445,FALSE)</f>
        <v>1023.9295626633611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917.02081447963803</v>
      </c>
      <c r="Z223" s="563">
        <f>F225</f>
        <v>980.5670329670329</v>
      </c>
      <c r="AA223" s="563">
        <f>G225</f>
        <v>948.30510665804775</v>
      </c>
      <c r="AB223" s="563">
        <f>H225</f>
        <v>1035.3145442792502</v>
      </c>
      <c r="AC223" s="563">
        <f>I225</f>
        <v>1038.2474466709762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1230</v>
      </c>
      <c r="E224" s="461">
        <f>VLOOKUP(E227,'AM (2011)'!$A$10:$N$444,'AM (2011)'!$J$445,FALSE)</f>
        <v>966</v>
      </c>
      <c r="F224" s="461">
        <f>VLOOKUP(F227,'AM (2011)'!$A$10:$N$444,'AM (2011)'!$J$445,FALSE)</f>
        <v>942</v>
      </c>
      <c r="G224" s="461">
        <f>VLOOKUP(G227,'AM (2011)'!$A$10:$N$444,'AM (2011)'!$J$445,FALSE)</f>
        <v>1030</v>
      </c>
      <c r="H224" s="461">
        <f>VLOOKUP(H227,'AM (2011)'!$A$10:$N$444,'AM (2011)'!$J$445,FALSE)</f>
        <v>1022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9">
      <c r="B225" s="477" t="s">
        <v>279</v>
      </c>
      <c r="C225" s="493"/>
      <c r="D225" s="493"/>
      <c r="E225" s="493">
        <f>VLOOKUP(E228,'AM (2011)'!$A$10:$N$444,'AM (2011)'!$J$445,FALSE)</f>
        <v>917.02081447963803</v>
      </c>
      <c r="F225" s="493">
        <f>VLOOKUP(F228,'AM (2011)'!$A$10:$N$444,'AM (2011)'!$J$445,FALSE)</f>
        <v>980.5670329670329</v>
      </c>
      <c r="G225" s="493">
        <f>VLOOKUP(G228,'AM (2011)'!$A$10:$N$444,'AM (2011)'!$J$445,FALSE)</f>
        <v>948.30510665804775</v>
      </c>
      <c r="H225" s="493">
        <f>VLOOKUP(H228,'AM (2011)'!$A$10:$N$444,'AM (2011)'!$J$445,FALSE)</f>
        <v>1035.3145442792502</v>
      </c>
      <c r="I225" s="494">
        <f>VLOOKUP(I228,'AM (2011)'!$A$10:$N$444,'AM (2011)'!$J$445,FALSE)</f>
        <v>1038.2474466709762</v>
      </c>
    </row>
    <row r="226" spans="2:9">
      <c r="C226" s="136">
        <f>VLOOKUP($B$2,$B$257:$Y$286,8,FALSE)</f>
        <v>444</v>
      </c>
      <c r="D226" s="136">
        <f>VLOOKUP($B$2,$B$257:$Y$286,9,FALSE)</f>
        <v>445</v>
      </c>
      <c r="E226" s="136">
        <f>VLOOKUP($B$2,$B$257:$Y$286,12,FALSE)</f>
        <v>448</v>
      </c>
      <c r="F226" s="136">
        <f>VLOOKUP($B$2,$B$257:$Y$286,13,FALSE)</f>
        <v>449</v>
      </c>
      <c r="G226" s="136">
        <f>VLOOKUP($B$2,$B$257:$Y$286,14,FALSE)</f>
        <v>450</v>
      </c>
      <c r="H226" s="136"/>
      <c r="I226" s="136"/>
    </row>
    <row r="227" spans="2:9">
      <c r="C227" s="136">
        <f>VLOOKUP($B$2,$B$257:$Y$286,10,FALSE)</f>
        <v>446</v>
      </c>
      <c r="D227" s="136">
        <f>VLOOKUP($B$2,$B$257:$Y$286,11,FALSE)</f>
        <v>447</v>
      </c>
      <c r="E227" s="136">
        <f>VLOOKUP($B$2,$B$257:$Y$286,16,FALSE)</f>
        <v>452</v>
      </c>
      <c r="F227" s="136">
        <f>VLOOKUP($B$2,$B$257:$Y$286,17,FALSE)</f>
        <v>453</v>
      </c>
      <c r="G227" s="136">
        <f>VLOOKUP($B$2,$B$257:$Y$286,18,FALSE)</f>
        <v>454</v>
      </c>
      <c r="H227" s="136">
        <f>VLOOKUP($B$2,$B$257:$Y$286,19,FALSE)</f>
        <v>455</v>
      </c>
      <c r="I227" s="136"/>
    </row>
    <row r="228" spans="2:9">
      <c r="B228" s="517" t="s">
        <v>291</v>
      </c>
      <c r="C228" s="518"/>
      <c r="D228" s="518">
        <f>VLOOKUP($B$2,$B$257:$Y$286,15,FALSE)</f>
        <v>451</v>
      </c>
      <c r="E228" s="518">
        <f>VLOOKUP($B$2,$B$257:$Y$286,20,FALSE)</f>
        <v>456</v>
      </c>
      <c r="F228" s="519">
        <f>VLOOKUP($B$2,$B$257:$Y$286,21,FALSE)</f>
        <v>457</v>
      </c>
      <c r="G228" s="136">
        <f>VLOOKUP($B$2,$B$257:$Y$286,22,FALSE)</f>
        <v>458</v>
      </c>
      <c r="H228" s="136">
        <f>VLOOKUP($B$2,$B$257:$Y$286,23,FALSE)</f>
        <v>459</v>
      </c>
      <c r="I228" s="136">
        <f>VLOOKUP($B$2,$B$257:$Y$286,24,FALSE)</f>
        <v>460</v>
      </c>
    </row>
    <row r="229" spans="2:9">
      <c r="B229" s="474" t="str">
        <f>$B$2</f>
        <v>Scanpower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9">
      <c r="B230" s="199" t="s">
        <v>280</v>
      </c>
      <c r="C230" s="456">
        <f>VLOOKUP(C$38,'MP (2011)'!$A$11:$AR$245,'MP (2011)'!$S$246,FALSE)+VLOOKUP(C$38,'MP (2011)'!$A$11:$AR$245,'MP (2011)'!$T$246,FALSE)</f>
        <v>58.31</v>
      </c>
      <c r="D230" s="456">
        <f>VLOOKUP(D$38,'MP (2011)'!$A$11:$AR$245,'MP (2011)'!$S$246,FALSE)+VLOOKUP(D$38,'MP (2011)'!$A$11:$AR$245,'MP (2011)'!$T$246,FALSE)</f>
        <v>35.57</v>
      </c>
      <c r="E230" s="456">
        <f>VLOOKUP(E$38,'MP (2011)'!$A$11:$AR$245,'MP (2011)'!$S$246,FALSE)+VLOOKUP(E$38,'MP (2011)'!$A$11:$AR$245,'MP (2011)'!$T$246,FALSE)</f>
        <v>65.88</v>
      </c>
      <c r="F230" s="457">
        <f>VLOOKUP(F$38,'MP (2011)'!$A$11:$AR$245,'MP (2011)'!$S$246,FALSE)+VLOOKUP(F$38,'MP (2011)'!$A$11:$AR$245,'MP (2011)'!$T$246,FALSE)</f>
        <v>103.65</v>
      </c>
    </row>
    <row r="231" spans="2:9">
      <c r="B231" s="199" t="s">
        <v>292</v>
      </c>
      <c r="C231" s="456" t="str">
        <f>IF(ISERROR(VLOOKUP(C$38,'Compliance data'!$A$7:$E$74,'Compliance data'!$D$75,FALSE)),"",(VLOOKUP(C$38,'Compliance data'!$A$7:$E$74,'Compliance data'!$D$75,FALSE)))</f>
        <v/>
      </c>
      <c r="D231" s="456" t="str">
        <f>IF(ISERROR(VLOOKUP(D$38,'Compliance data'!$A$7:$E$74,'Compliance data'!$D$75,FALSE)),"",(VLOOKUP(D$38,'Compliance data'!$A$7:$E$74,'Compliance data'!$D$75,FALSE)))</f>
        <v/>
      </c>
      <c r="E231" s="456" t="str">
        <f>IF(ISERROR(VLOOKUP(E$38,'Compliance data'!$A$7:$E$74,'Compliance data'!$D$75,FALSE)),"",(VLOOKUP(E$38,'Compliance data'!$A$7:$E$74,'Compliance data'!$D$75,FALSE)))</f>
        <v/>
      </c>
      <c r="F231" s="457" t="str">
        <f>IF(ISERROR(VLOOKUP(F$38,'Compliance data'!$A$7:$E$74,'Compliance data'!$D$75,FALSE)),"",(VLOOKUP(F$38,'Compliance data'!$A$7:$E$74,'Compliance data'!$D$75,FALSE)))</f>
        <v/>
      </c>
    </row>
    <row r="232" spans="2:9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9">
      <c r="B235" s="517" t="s">
        <v>293</v>
      </c>
      <c r="C235" s="510"/>
      <c r="D235" s="510"/>
      <c r="E235" s="510"/>
      <c r="F235" s="511"/>
      <c r="G235" s="456"/>
    </row>
    <row r="236" spans="2:9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9">
      <c r="B237" s="199" t="s">
        <v>280</v>
      </c>
      <c r="C237" s="456">
        <f>VLOOKUP(C$38,'MP (2011)'!$A$11:$AR$245,'MP (2011)'!$W$246,FALSE)+VLOOKUP(C$38,'MP (2011)'!$A$11:$AR$245,'MP (2011)'!$X$246,FALSE)</f>
        <v>1.2999999999999998</v>
      </c>
      <c r="D237" s="456">
        <f>VLOOKUP(D$38,'MP (2011)'!$A$11:$AR$245,'MP (2011)'!$W$246,FALSE)+VLOOKUP(D$38,'MP (2011)'!$A$11:$AR$245,'MP (2011)'!$X$246,FALSE)</f>
        <v>0.89</v>
      </c>
      <c r="E237" s="456">
        <f>VLOOKUP(E$38,'MP (2011)'!$A$11:$AR$245,'MP (2011)'!$W$246,FALSE)+VLOOKUP(E$38,'MP (2011)'!$A$11:$AR$245,'MP (2011)'!$X$246,FALSE)</f>
        <v>0.74</v>
      </c>
      <c r="F237" s="457">
        <f>VLOOKUP(F$38,'MP (2011)'!$A$11:$AR$245,'MP (2011)'!$W$246,FALSE)+VLOOKUP(F$38,'MP (2011)'!$A$11:$AR$245,'MP (2011)'!$X$246,FALSE)</f>
        <v>1.63</v>
      </c>
    </row>
    <row r="238" spans="2:9">
      <c r="B238" s="199" t="s">
        <v>292</v>
      </c>
      <c r="C238" s="456" t="str">
        <f>IF(ISERROR(VLOOKUP(C$38,'Compliance data'!$A$7:$E$74,'Compliance data'!$E$75,FALSE)),"",(VLOOKUP(C$38,'Compliance data'!$A$7:$E$74,'Compliance data'!$E$75,FALSE)))</f>
        <v/>
      </c>
      <c r="D238" s="456" t="str">
        <f>IF(ISERROR(VLOOKUP(D$38,'Compliance data'!$A$7:$E$74,'Compliance data'!$E$75,FALSE)),"",(VLOOKUP(D$38,'Compliance data'!$A$7:$E$74,'Compliance data'!$E$75,FALSE)))</f>
        <v/>
      </c>
      <c r="E238" s="456" t="str">
        <f>IF(ISERROR(VLOOKUP(E$38,'Compliance data'!$A$7:$E$74,'Compliance data'!$E$75,FALSE)),"",(VLOOKUP(E$38,'Compliance data'!$A$7:$E$74,'Compliance data'!$E$75,FALSE)))</f>
        <v/>
      </c>
      <c r="F238" s="457" t="str">
        <f>IF(ISERROR(VLOOKUP(F$38,'Compliance data'!$A$7:$E$74,'Compliance data'!$E$75,FALSE)),"",(VLOOKUP(F$38,'Compliance data'!$A$7:$E$74,'Compliance data'!$E$75,FALSE)))</f>
        <v/>
      </c>
    </row>
    <row r="239" spans="2:9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ref="T258:Y273" si="25">S258+1</f>
        <v>18</v>
      </c>
      <c r="U258" s="526">
        <f t="shared" si="25"/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4"/>
        <v>25</v>
      </c>
      <c r="E259" s="526">
        <f t="shared" si="24"/>
        <v>26</v>
      </c>
      <c r="F259" s="526">
        <f t="shared" si="24"/>
        <v>27</v>
      </c>
      <c r="G259" s="526">
        <f t="shared" si="24"/>
        <v>28</v>
      </c>
      <c r="H259" s="526">
        <f t="shared" si="24"/>
        <v>29</v>
      </c>
      <c r="I259" s="526">
        <f t="shared" si="24"/>
        <v>30</v>
      </c>
      <c r="J259" s="526">
        <f t="shared" si="24"/>
        <v>31</v>
      </c>
      <c r="K259" s="526">
        <f t="shared" si="24"/>
        <v>32</v>
      </c>
      <c r="L259" s="526">
        <f t="shared" si="24"/>
        <v>33</v>
      </c>
      <c r="M259" s="526">
        <f t="shared" si="24"/>
        <v>34</v>
      </c>
      <c r="N259" s="526">
        <f t="shared" si="24"/>
        <v>35</v>
      </c>
      <c r="O259" s="526">
        <f t="shared" si="24"/>
        <v>36</v>
      </c>
      <c r="P259" s="526">
        <f t="shared" si="24"/>
        <v>37</v>
      </c>
      <c r="Q259" s="526">
        <f t="shared" si="24"/>
        <v>38</v>
      </c>
      <c r="R259" s="526">
        <f t="shared" si="24"/>
        <v>39</v>
      </c>
      <c r="S259" s="526">
        <f t="shared" si="24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6">Y259+1</f>
        <v>47</v>
      </c>
      <c r="D260" s="526">
        <f t="shared" si="24"/>
        <v>48</v>
      </c>
      <c r="E260" s="526">
        <f t="shared" si="24"/>
        <v>49</v>
      </c>
      <c r="F260" s="526">
        <f t="shared" si="24"/>
        <v>50</v>
      </c>
      <c r="G260" s="526">
        <f t="shared" si="24"/>
        <v>51</v>
      </c>
      <c r="H260" s="526">
        <f t="shared" si="24"/>
        <v>52</v>
      </c>
      <c r="I260" s="526">
        <f t="shared" si="24"/>
        <v>53</v>
      </c>
      <c r="J260" s="526">
        <f t="shared" si="24"/>
        <v>54</v>
      </c>
      <c r="K260" s="526">
        <f t="shared" si="24"/>
        <v>55</v>
      </c>
      <c r="L260" s="526">
        <f t="shared" si="24"/>
        <v>56</v>
      </c>
      <c r="M260" s="526">
        <f t="shared" si="24"/>
        <v>57</v>
      </c>
      <c r="N260" s="526">
        <f t="shared" si="24"/>
        <v>58</v>
      </c>
      <c r="O260" s="526">
        <f t="shared" si="24"/>
        <v>59</v>
      </c>
      <c r="P260" s="526">
        <f t="shared" si="24"/>
        <v>60</v>
      </c>
      <c r="Q260" s="526">
        <f t="shared" si="24"/>
        <v>61</v>
      </c>
      <c r="R260" s="526">
        <f t="shared" si="24"/>
        <v>62</v>
      </c>
      <c r="S260" s="526">
        <f t="shared" si="24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6"/>
        <v>70</v>
      </c>
      <c r="D261" s="526">
        <f t="shared" si="24"/>
        <v>71</v>
      </c>
      <c r="E261" s="526">
        <f t="shared" si="24"/>
        <v>72</v>
      </c>
      <c r="F261" s="526">
        <f t="shared" si="24"/>
        <v>73</v>
      </c>
      <c r="G261" s="526">
        <f t="shared" si="24"/>
        <v>74</v>
      </c>
      <c r="H261" s="526">
        <f t="shared" si="24"/>
        <v>75</v>
      </c>
      <c r="I261" s="526">
        <f t="shared" si="24"/>
        <v>76</v>
      </c>
      <c r="J261" s="526">
        <f t="shared" si="24"/>
        <v>77</v>
      </c>
      <c r="K261" s="526">
        <f t="shared" si="24"/>
        <v>78</v>
      </c>
      <c r="L261" s="526">
        <f t="shared" si="24"/>
        <v>79</v>
      </c>
      <c r="M261" s="526">
        <f t="shared" si="24"/>
        <v>80</v>
      </c>
      <c r="N261" s="526">
        <f t="shared" si="24"/>
        <v>81</v>
      </c>
      <c r="O261" s="526">
        <f t="shared" si="24"/>
        <v>82</v>
      </c>
      <c r="P261" s="526">
        <f t="shared" si="24"/>
        <v>83</v>
      </c>
      <c r="Q261" s="526">
        <f t="shared" si="24"/>
        <v>84</v>
      </c>
      <c r="R261" s="526">
        <f t="shared" si="24"/>
        <v>85</v>
      </c>
      <c r="S261" s="526">
        <f t="shared" si="24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6"/>
        <v>93</v>
      </c>
      <c r="D262" s="526">
        <f t="shared" si="24"/>
        <v>94</v>
      </c>
      <c r="E262" s="526">
        <f t="shared" si="24"/>
        <v>95</v>
      </c>
      <c r="F262" s="526">
        <f t="shared" si="24"/>
        <v>96</v>
      </c>
      <c r="G262" s="526">
        <f t="shared" si="24"/>
        <v>97</v>
      </c>
      <c r="H262" s="526">
        <f t="shared" si="24"/>
        <v>98</v>
      </c>
      <c r="I262" s="526">
        <f t="shared" si="24"/>
        <v>99</v>
      </c>
      <c r="J262" s="526">
        <f t="shared" si="24"/>
        <v>100</v>
      </c>
      <c r="K262" s="526">
        <f t="shared" si="24"/>
        <v>101</v>
      </c>
      <c r="L262" s="526">
        <f t="shared" si="24"/>
        <v>102</v>
      </c>
      <c r="M262" s="526">
        <f t="shared" si="24"/>
        <v>103</v>
      </c>
      <c r="N262" s="526">
        <f t="shared" si="24"/>
        <v>104</v>
      </c>
      <c r="O262" s="526">
        <f t="shared" si="24"/>
        <v>105</v>
      </c>
      <c r="P262" s="526">
        <f t="shared" si="24"/>
        <v>106</v>
      </c>
      <c r="Q262" s="526">
        <f t="shared" si="24"/>
        <v>107</v>
      </c>
      <c r="R262" s="526">
        <f t="shared" si="24"/>
        <v>108</v>
      </c>
      <c r="S262" s="526">
        <f t="shared" si="24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6"/>
        <v>116</v>
      </c>
      <c r="D263" s="526">
        <f t="shared" si="24"/>
        <v>117</v>
      </c>
      <c r="E263" s="526">
        <f t="shared" si="24"/>
        <v>118</v>
      </c>
      <c r="F263" s="526">
        <f t="shared" si="24"/>
        <v>119</v>
      </c>
      <c r="G263" s="526">
        <f t="shared" si="24"/>
        <v>120</v>
      </c>
      <c r="H263" s="526">
        <f t="shared" si="24"/>
        <v>121</v>
      </c>
      <c r="I263" s="526">
        <f t="shared" si="24"/>
        <v>122</v>
      </c>
      <c r="J263" s="526">
        <f t="shared" si="24"/>
        <v>123</v>
      </c>
      <c r="K263" s="526">
        <f t="shared" si="24"/>
        <v>124</v>
      </c>
      <c r="L263" s="526">
        <f t="shared" si="24"/>
        <v>125</v>
      </c>
      <c r="M263" s="526">
        <f t="shared" si="24"/>
        <v>126</v>
      </c>
      <c r="N263" s="526">
        <f t="shared" si="24"/>
        <v>127</v>
      </c>
      <c r="O263" s="526">
        <f t="shared" si="24"/>
        <v>128</v>
      </c>
      <c r="P263" s="526">
        <f t="shared" si="24"/>
        <v>129</v>
      </c>
      <c r="Q263" s="526">
        <f t="shared" si="24"/>
        <v>130</v>
      </c>
      <c r="R263" s="526">
        <f t="shared" si="24"/>
        <v>131</v>
      </c>
      <c r="S263" s="526">
        <f t="shared" si="24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6"/>
        <v>139</v>
      </c>
      <c r="D264" s="526">
        <f t="shared" si="24"/>
        <v>140</v>
      </c>
      <c r="E264" s="526">
        <f t="shared" si="24"/>
        <v>141</v>
      </c>
      <c r="F264" s="526">
        <f t="shared" si="24"/>
        <v>142</v>
      </c>
      <c r="G264" s="526">
        <f t="shared" si="24"/>
        <v>143</v>
      </c>
      <c r="H264" s="526">
        <f t="shared" si="24"/>
        <v>144</v>
      </c>
      <c r="I264" s="526">
        <f t="shared" si="24"/>
        <v>145</v>
      </c>
      <c r="J264" s="526">
        <f t="shared" si="24"/>
        <v>146</v>
      </c>
      <c r="K264" s="526">
        <f t="shared" si="24"/>
        <v>147</v>
      </c>
      <c r="L264" s="526">
        <f t="shared" si="24"/>
        <v>148</v>
      </c>
      <c r="M264" s="526">
        <f t="shared" si="24"/>
        <v>149</v>
      </c>
      <c r="N264" s="526">
        <f t="shared" si="24"/>
        <v>150</v>
      </c>
      <c r="O264" s="526">
        <f t="shared" si="24"/>
        <v>151</v>
      </c>
      <c r="P264" s="526">
        <f t="shared" si="24"/>
        <v>152</v>
      </c>
      <c r="Q264" s="526">
        <f t="shared" si="24"/>
        <v>153</v>
      </c>
      <c r="R264" s="526">
        <f t="shared" si="24"/>
        <v>154</v>
      </c>
      <c r="S264" s="526">
        <f t="shared" si="24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6"/>
        <v>162</v>
      </c>
      <c r="D265" s="526">
        <f t="shared" si="24"/>
        <v>163</v>
      </c>
      <c r="E265" s="526">
        <f t="shared" si="24"/>
        <v>164</v>
      </c>
      <c r="F265" s="526">
        <f t="shared" si="24"/>
        <v>165</v>
      </c>
      <c r="G265" s="526">
        <f t="shared" si="24"/>
        <v>166</v>
      </c>
      <c r="H265" s="526">
        <f t="shared" si="24"/>
        <v>167</v>
      </c>
      <c r="I265" s="526">
        <f t="shared" si="24"/>
        <v>168</v>
      </c>
      <c r="J265" s="526">
        <f t="shared" si="24"/>
        <v>169</v>
      </c>
      <c r="K265" s="526">
        <f t="shared" si="24"/>
        <v>170</v>
      </c>
      <c r="L265" s="526">
        <f t="shared" si="24"/>
        <v>171</v>
      </c>
      <c r="M265" s="526">
        <f t="shared" si="24"/>
        <v>172</v>
      </c>
      <c r="N265" s="526">
        <f t="shared" si="24"/>
        <v>173</v>
      </c>
      <c r="O265" s="526">
        <f t="shared" si="24"/>
        <v>174</v>
      </c>
      <c r="P265" s="526">
        <f t="shared" si="24"/>
        <v>175</v>
      </c>
      <c r="Q265" s="526">
        <f t="shared" si="24"/>
        <v>176</v>
      </c>
      <c r="R265" s="526">
        <f t="shared" si="24"/>
        <v>177</v>
      </c>
      <c r="S265" s="526">
        <f t="shared" si="24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6"/>
        <v>185</v>
      </c>
      <c r="D266" s="526">
        <f t="shared" si="24"/>
        <v>186</v>
      </c>
      <c r="E266" s="526">
        <f t="shared" si="24"/>
        <v>187</v>
      </c>
      <c r="F266" s="526">
        <f t="shared" si="24"/>
        <v>188</v>
      </c>
      <c r="G266" s="526">
        <f t="shared" si="24"/>
        <v>189</v>
      </c>
      <c r="H266" s="526">
        <f t="shared" si="24"/>
        <v>190</v>
      </c>
      <c r="I266" s="526">
        <f t="shared" si="24"/>
        <v>191</v>
      </c>
      <c r="J266" s="526">
        <f t="shared" si="24"/>
        <v>192</v>
      </c>
      <c r="K266" s="526">
        <f t="shared" si="24"/>
        <v>193</v>
      </c>
      <c r="L266" s="526">
        <f t="shared" si="24"/>
        <v>194</v>
      </c>
      <c r="M266" s="526">
        <f t="shared" si="24"/>
        <v>195</v>
      </c>
      <c r="N266" s="526">
        <f t="shared" si="24"/>
        <v>196</v>
      </c>
      <c r="O266" s="526">
        <f t="shared" si="24"/>
        <v>197</v>
      </c>
      <c r="P266" s="526">
        <f t="shared" si="24"/>
        <v>198</v>
      </c>
      <c r="Q266" s="526">
        <f t="shared" si="24"/>
        <v>199</v>
      </c>
      <c r="R266" s="526">
        <f t="shared" si="24"/>
        <v>200</v>
      </c>
      <c r="S266" s="526">
        <f t="shared" si="24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6"/>
        <v>208</v>
      </c>
      <c r="D267" s="526">
        <f t="shared" si="24"/>
        <v>209</v>
      </c>
      <c r="E267" s="526">
        <f t="shared" si="24"/>
        <v>210</v>
      </c>
      <c r="F267" s="526">
        <f t="shared" si="24"/>
        <v>211</v>
      </c>
      <c r="G267" s="526">
        <f t="shared" si="24"/>
        <v>212</v>
      </c>
      <c r="H267" s="526">
        <f t="shared" si="24"/>
        <v>213</v>
      </c>
      <c r="I267" s="526">
        <f t="shared" si="24"/>
        <v>214</v>
      </c>
      <c r="J267" s="526">
        <f t="shared" si="24"/>
        <v>215</v>
      </c>
      <c r="K267" s="526">
        <f t="shared" si="24"/>
        <v>216</v>
      </c>
      <c r="L267" s="526">
        <f t="shared" si="24"/>
        <v>217</v>
      </c>
      <c r="M267" s="526">
        <f t="shared" si="24"/>
        <v>218</v>
      </c>
      <c r="N267" s="526">
        <f t="shared" si="24"/>
        <v>219</v>
      </c>
      <c r="O267" s="526">
        <f t="shared" si="24"/>
        <v>220</v>
      </c>
      <c r="P267" s="526">
        <f t="shared" si="24"/>
        <v>221</v>
      </c>
      <c r="Q267" s="526">
        <f t="shared" si="24"/>
        <v>222</v>
      </c>
      <c r="R267" s="526">
        <f t="shared" si="24"/>
        <v>223</v>
      </c>
      <c r="S267" s="526">
        <f t="shared" si="24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6"/>
        <v>231</v>
      </c>
      <c r="D268" s="526">
        <f t="shared" si="24"/>
        <v>232</v>
      </c>
      <c r="E268" s="526">
        <f t="shared" si="24"/>
        <v>233</v>
      </c>
      <c r="F268" s="526">
        <f t="shared" si="24"/>
        <v>234</v>
      </c>
      <c r="G268" s="526">
        <f t="shared" si="24"/>
        <v>235</v>
      </c>
      <c r="H268" s="526">
        <f t="shared" si="24"/>
        <v>236</v>
      </c>
      <c r="I268" s="526">
        <f t="shared" si="24"/>
        <v>237</v>
      </c>
      <c r="J268" s="526">
        <f t="shared" si="24"/>
        <v>238</v>
      </c>
      <c r="K268" s="526">
        <f t="shared" si="24"/>
        <v>239</v>
      </c>
      <c r="L268" s="526">
        <f t="shared" si="24"/>
        <v>240</v>
      </c>
      <c r="M268" s="526">
        <f t="shared" si="24"/>
        <v>241</v>
      </c>
      <c r="N268" s="526">
        <f t="shared" si="24"/>
        <v>242</v>
      </c>
      <c r="O268" s="526">
        <f t="shared" si="24"/>
        <v>243</v>
      </c>
      <c r="P268" s="526">
        <f t="shared" si="24"/>
        <v>244</v>
      </c>
      <c r="Q268" s="526">
        <f t="shared" si="24"/>
        <v>245</v>
      </c>
      <c r="R268" s="526">
        <f t="shared" si="24"/>
        <v>246</v>
      </c>
      <c r="S268" s="526">
        <f t="shared" si="24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6"/>
        <v>254</v>
      </c>
      <c r="D269" s="526">
        <f t="shared" si="24"/>
        <v>255</v>
      </c>
      <c r="E269" s="526">
        <f t="shared" si="24"/>
        <v>256</v>
      </c>
      <c r="F269" s="526">
        <f t="shared" si="24"/>
        <v>257</v>
      </c>
      <c r="G269" s="526">
        <f t="shared" si="24"/>
        <v>258</v>
      </c>
      <c r="H269" s="526">
        <f t="shared" si="24"/>
        <v>259</v>
      </c>
      <c r="I269" s="526">
        <f t="shared" si="24"/>
        <v>260</v>
      </c>
      <c r="J269" s="526">
        <f t="shared" si="24"/>
        <v>261</v>
      </c>
      <c r="K269" s="526">
        <f t="shared" si="24"/>
        <v>262</v>
      </c>
      <c r="L269" s="526">
        <f t="shared" si="24"/>
        <v>263</v>
      </c>
      <c r="M269" s="526">
        <f t="shared" si="24"/>
        <v>264</v>
      </c>
      <c r="N269" s="526">
        <f t="shared" si="24"/>
        <v>265</v>
      </c>
      <c r="O269" s="526">
        <f t="shared" si="24"/>
        <v>266</v>
      </c>
      <c r="P269" s="526">
        <f t="shared" si="24"/>
        <v>267</v>
      </c>
      <c r="Q269" s="526">
        <f t="shared" si="24"/>
        <v>268</v>
      </c>
      <c r="R269" s="526">
        <f t="shared" si="24"/>
        <v>269</v>
      </c>
      <c r="S269" s="526">
        <f t="shared" si="24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6"/>
        <v>277</v>
      </c>
      <c r="D270" s="526">
        <f t="shared" si="24"/>
        <v>278</v>
      </c>
      <c r="E270" s="526">
        <f t="shared" si="24"/>
        <v>279</v>
      </c>
      <c r="F270" s="526">
        <f t="shared" si="24"/>
        <v>280</v>
      </c>
      <c r="G270" s="526">
        <f t="shared" si="24"/>
        <v>281</v>
      </c>
      <c r="H270" s="526">
        <f t="shared" si="24"/>
        <v>282</v>
      </c>
      <c r="I270" s="526">
        <f t="shared" si="24"/>
        <v>283</v>
      </c>
      <c r="J270" s="526">
        <f t="shared" si="24"/>
        <v>284</v>
      </c>
      <c r="K270" s="526">
        <f t="shared" si="24"/>
        <v>285</v>
      </c>
      <c r="L270" s="526">
        <f t="shared" si="24"/>
        <v>286</v>
      </c>
      <c r="M270" s="526">
        <f t="shared" si="24"/>
        <v>287</v>
      </c>
      <c r="N270" s="526">
        <f t="shared" si="24"/>
        <v>288</v>
      </c>
      <c r="O270" s="526">
        <f t="shared" si="24"/>
        <v>289</v>
      </c>
      <c r="P270" s="526">
        <f t="shared" si="24"/>
        <v>290</v>
      </c>
      <c r="Q270" s="526">
        <f t="shared" si="24"/>
        <v>291</v>
      </c>
      <c r="R270" s="526">
        <f t="shared" si="24"/>
        <v>292</v>
      </c>
      <c r="S270" s="526">
        <f t="shared" si="24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6"/>
        <v>300</v>
      </c>
      <c r="D271" s="526">
        <f t="shared" si="24"/>
        <v>301</v>
      </c>
      <c r="E271" s="526">
        <f t="shared" si="24"/>
        <v>302</v>
      </c>
      <c r="F271" s="526">
        <f t="shared" si="24"/>
        <v>303</v>
      </c>
      <c r="G271" s="526">
        <f t="shared" si="24"/>
        <v>304</v>
      </c>
      <c r="H271" s="526">
        <f t="shared" si="24"/>
        <v>305</v>
      </c>
      <c r="I271" s="526">
        <f t="shared" si="24"/>
        <v>306</v>
      </c>
      <c r="J271" s="526">
        <f t="shared" si="24"/>
        <v>307</v>
      </c>
      <c r="K271" s="526">
        <f t="shared" si="24"/>
        <v>308</v>
      </c>
      <c r="L271" s="526">
        <f t="shared" si="24"/>
        <v>309</v>
      </c>
      <c r="M271" s="526">
        <f t="shared" si="24"/>
        <v>310</v>
      </c>
      <c r="N271" s="526">
        <f t="shared" si="24"/>
        <v>311</v>
      </c>
      <c r="O271" s="526">
        <f t="shared" si="24"/>
        <v>312</v>
      </c>
      <c r="P271" s="526">
        <f t="shared" si="24"/>
        <v>313</v>
      </c>
      <c r="Q271" s="526">
        <f t="shared" si="24"/>
        <v>314</v>
      </c>
      <c r="R271" s="526">
        <f t="shared" si="24"/>
        <v>315</v>
      </c>
      <c r="S271" s="526">
        <f t="shared" si="24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6"/>
        <v>323</v>
      </c>
      <c r="D272" s="526">
        <f t="shared" si="24"/>
        <v>324</v>
      </c>
      <c r="E272" s="526">
        <f t="shared" si="24"/>
        <v>325</v>
      </c>
      <c r="F272" s="526">
        <f t="shared" si="24"/>
        <v>326</v>
      </c>
      <c r="G272" s="526">
        <f t="shared" si="24"/>
        <v>327</v>
      </c>
      <c r="H272" s="526">
        <f t="shared" si="24"/>
        <v>328</v>
      </c>
      <c r="I272" s="526">
        <f t="shared" si="24"/>
        <v>329</v>
      </c>
      <c r="J272" s="526">
        <f t="shared" si="24"/>
        <v>330</v>
      </c>
      <c r="K272" s="526">
        <f t="shared" si="24"/>
        <v>331</v>
      </c>
      <c r="L272" s="526">
        <f t="shared" si="24"/>
        <v>332</v>
      </c>
      <c r="M272" s="526">
        <f t="shared" si="24"/>
        <v>333</v>
      </c>
      <c r="N272" s="526">
        <f t="shared" si="24"/>
        <v>334</v>
      </c>
      <c r="O272" s="526">
        <f t="shared" si="24"/>
        <v>335</v>
      </c>
      <c r="P272" s="526">
        <f t="shared" si="24"/>
        <v>336</v>
      </c>
      <c r="Q272" s="526">
        <f t="shared" si="24"/>
        <v>337</v>
      </c>
      <c r="R272" s="526">
        <f t="shared" si="24"/>
        <v>338</v>
      </c>
      <c r="S272" s="526">
        <f t="shared" si="24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6"/>
        <v>346</v>
      </c>
      <c r="D273" s="526">
        <f t="shared" si="24"/>
        <v>347</v>
      </c>
      <c r="E273" s="526">
        <f t="shared" si="24"/>
        <v>348</v>
      </c>
      <c r="F273" s="526">
        <f t="shared" si="24"/>
        <v>349</v>
      </c>
      <c r="G273" s="526">
        <f t="shared" si="24"/>
        <v>350</v>
      </c>
      <c r="H273" s="526">
        <f t="shared" si="24"/>
        <v>351</v>
      </c>
      <c r="I273" s="526">
        <f t="shared" si="24"/>
        <v>352</v>
      </c>
      <c r="J273" s="526">
        <f t="shared" si="24"/>
        <v>353</v>
      </c>
      <c r="K273" s="526">
        <f t="shared" si="24"/>
        <v>354</v>
      </c>
      <c r="L273" s="526">
        <f t="shared" si="24"/>
        <v>355</v>
      </c>
      <c r="M273" s="526">
        <f t="shared" si="24"/>
        <v>356</v>
      </c>
      <c r="N273" s="526">
        <f t="shared" si="24"/>
        <v>357</v>
      </c>
      <c r="O273" s="526">
        <f t="shared" si="24"/>
        <v>358</v>
      </c>
      <c r="P273" s="526">
        <f t="shared" si="24"/>
        <v>359</v>
      </c>
      <c r="Q273" s="526">
        <f t="shared" si="24"/>
        <v>360</v>
      </c>
      <c r="R273" s="526">
        <f t="shared" si="24"/>
        <v>361</v>
      </c>
      <c r="S273" s="526">
        <f t="shared" ref="D273:S286" si="27">R273+1</f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6"/>
        <v>369</v>
      </c>
      <c r="D274" s="526">
        <f t="shared" si="27"/>
        <v>370</v>
      </c>
      <c r="E274" s="526">
        <f t="shared" si="27"/>
        <v>371</v>
      </c>
      <c r="F274" s="526">
        <f t="shared" si="27"/>
        <v>372</v>
      </c>
      <c r="G274" s="526">
        <f t="shared" si="27"/>
        <v>373</v>
      </c>
      <c r="H274" s="526">
        <f t="shared" si="27"/>
        <v>374</v>
      </c>
      <c r="I274" s="526">
        <f t="shared" si="27"/>
        <v>375</v>
      </c>
      <c r="J274" s="526">
        <f t="shared" si="27"/>
        <v>376</v>
      </c>
      <c r="K274" s="526">
        <f t="shared" si="27"/>
        <v>377</v>
      </c>
      <c r="L274" s="526">
        <f t="shared" si="27"/>
        <v>378</v>
      </c>
      <c r="M274" s="526">
        <f t="shared" si="27"/>
        <v>379</v>
      </c>
      <c r="N274" s="526">
        <f t="shared" si="27"/>
        <v>380</v>
      </c>
      <c r="O274" s="526">
        <f t="shared" si="27"/>
        <v>381</v>
      </c>
      <c r="P274" s="526">
        <f t="shared" si="27"/>
        <v>382</v>
      </c>
      <c r="Q274" s="526">
        <f t="shared" si="27"/>
        <v>383</v>
      </c>
      <c r="R274" s="526">
        <f t="shared" si="27"/>
        <v>384</v>
      </c>
      <c r="S274" s="526">
        <f t="shared" si="27"/>
        <v>385</v>
      </c>
      <c r="T274" s="526">
        <f t="shared" ref="S274:Y286" si="28">S274+1</f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6"/>
        <v>392</v>
      </c>
      <c r="D275" s="526">
        <f t="shared" si="27"/>
        <v>393</v>
      </c>
      <c r="E275" s="526">
        <f t="shared" si="27"/>
        <v>394</v>
      </c>
      <c r="F275" s="526">
        <f t="shared" si="27"/>
        <v>395</v>
      </c>
      <c r="G275" s="526">
        <f t="shared" si="27"/>
        <v>396</v>
      </c>
      <c r="H275" s="526">
        <f t="shared" si="27"/>
        <v>397</v>
      </c>
      <c r="I275" s="526">
        <f t="shared" si="27"/>
        <v>398</v>
      </c>
      <c r="J275" s="526">
        <f t="shared" si="27"/>
        <v>399</v>
      </c>
      <c r="K275" s="526">
        <f t="shared" si="27"/>
        <v>400</v>
      </c>
      <c r="L275" s="526">
        <f t="shared" si="27"/>
        <v>401</v>
      </c>
      <c r="M275" s="526">
        <f t="shared" si="27"/>
        <v>402</v>
      </c>
      <c r="N275" s="526">
        <f t="shared" si="27"/>
        <v>403</v>
      </c>
      <c r="O275" s="526">
        <f t="shared" si="27"/>
        <v>404</v>
      </c>
      <c r="P275" s="526">
        <f t="shared" si="27"/>
        <v>405</v>
      </c>
      <c r="Q275" s="526">
        <f t="shared" si="27"/>
        <v>406</v>
      </c>
      <c r="R275" s="526">
        <f t="shared" si="27"/>
        <v>407</v>
      </c>
      <c r="S275" s="526">
        <f t="shared" si="27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6"/>
        <v>415</v>
      </c>
      <c r="D276" s="526">
        <f t="shared" si="27"/>
        <v>416</v>
      </c>
      <c r="E276" s="526">
        <f t="shared" si="27"/>
        <v>417</v>
      </c>
      <c r="F276" s="526">
        <f t="shared" si="27"/>
        <v>418</v>
      </c>
      <c r="G276" s="526">
        <f t="shared" si="27"/>
        <v>419</v>
      </c>
      <c r="H276" s="526">
        <f t="shared" si="27"/>
        <v>420</v>
      </c>
      <c r="I276" s="526">
        <f t="shared" si="27"/>
        <v>421</v>
      </c>
      <c r="J276" s="526">
        <f t="shared" si="27"/>
        <v>422</v>
      </c>
      <c r="K276" s="526">
        <f t="shared" si="27"/>
        <v>423</v>
      </c>
      <c r="L276" s="526">
        <f t="shared" si="27"/>
        <v>424</v>
      </c>
      <c r="M276" s="526">
        <f t="shared" si="27"/>
        <v>425</v>
      </c>
      <c r="N276" s="526">
        <f t="shared" si="27"/>
        <v>426</v>
      </c>
      <c r="O276" s="526">
        <f t="shared" si="27"/>
        <v>427</v>
      </c>
      <c r="P276" s="526">
        <f t="shared" si="27"/>
        <v>428</v>
      </c>
      <c r="Q276" s="526">
        <f t="shared" si="27"/>
        <v>429</v>
      </c>
      <c r="R276" s="526">
        <f t="shared" si="27"/>
        <v>430</v>
      </c>
      <c r="S276" s="526">
        <f t="shared" si="27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6"/>
        <v>438</v>
      </c>
      <c r="D277" s="526">
        <f t="shared" si="27"/>
        <v>439</v>
      </c>
      <c r="E277" s="526">
        <f t="shared" si="27"/>
        <v>440</v>
      </c>
      <c r="F277" s="526">
        <f t="shared" si="27"/>
        <v>441</v>
      </c>
      <c r="G277" s="526">
        <f t="shared" si="27"/>
        <v>442</v>
      </c>
      <c r="H277" s="526">
        <f t="shared" si="27"/>
        <v>443</v>
      </c>
      <c r="I277" s="526">
        <f t="shared" si="27"/>
        <v>444</v>
      </c>
      <c r="J277" s="526">
        <f t="shared" si="27"/>
        <v>445</v>
      </c>
      <c r="K277" s="526">
        <f t="shared" si="27"/>
        <v>446</v>
      </c>
      <c r="L277" s="526">
        <f t="shared" si="27"/>
        <v>447</v>
      </c>
      <c r="M277" s="526">
        <f t="shared" si="27"/>
        <v>448</v>
      </c>
      <c r="N277" s="526">
        <f t="shared" si="27"/>
        <v>449</v>
      </c>
      <c r="O277" s="526">
        <f t="shared" si="27"/>
        <v>450</v>
      </c>
      <c r="P277" s="526">
        <f t="shared" si="27"/>
        <v>451</v>
      </c>
      <c r="Q277" s="526">
        <f t="shared" si="27"/>
        <v>452</v>
      </c>
      <c r="R277" s="526">
        <f t="shared" si="27"/>
        <v>453</v>
      </c>
      <c r="S277" s="526">
        <f t="shared" si="27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6"/>
        <v>461</v>
      </c>
      <c r="D278" s="526">
        <f t="shared" si="27"/>
        <v>462</v>
      </c>
      <c r="E278" s="526">
        <f t="shared" si="27"/>
        <v>463</v>
      </c>
      <c r="F278" s="526">
        <f t="shared" si="27"/>
        <v>464</v>
      </c>
      <c r="G278" s="526">
        <f t="shared" si="27"/>
        <v>465</v>
      </c>
      <c r="H278" s="526">
        <f t="shared" si="27"/>
        <v>466</v>
      </c>
      <c r="I278" s="526">
        <f t="shared" si="27"/>
        <v>467</v>
      </c>
      <c r="J278" s="526">
        <f t="shared" si="27"/>
        <v>468</v>
      </c>
      <c r="K278" s="526">
        <f t="shared" si="27"/>
        <v>469</v>
      </c>
      <c r="L278" s="526">
        <f t="shared" si="27"/>
        <v>470</v>
      </c>
      <c r="M278" s="526">
        <f t="shared" si="27"/>
        <v>471</v>
      </c>
      <c r="N278" s="526">
        <f t="shared" si="27"/>
        <v>472</v>
      </c>
      <c r="O278" s="526">
        <f t="shared" si="27"/>
        <v>473</v>
      </c>
      <c r="P278" s="526">
        <f t="shared" si="27"/>
        <v>474</v>
      </c>
      <c r="Q278" s="526">
        <f t="shared" si="27"/>
        <v>475</v>
      </c>
      <c r="R278" s="526">
        <f t="shared" si="27"/>
        <v>476</v>
      </c>
      <c r="S278" s="526">
        <f t="shared" si="27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6"/>
        <v>484</v>
      </c>
      <c r="D279" s="526">
        <f t="shared" si="27"/>
        <v>485</v>
      </c>
      <c r="E279" s="526">
        <f t="shared" si="27"/>
        <v>486</v>
      </c>
      <c r="F279" s="526">
        <f t="shared" si="27"/>
        <v>487</v>
      </c>
      <c r="G279" s="526">
        <f t="shared" si="27"/>
        <v>488</v>
      </c>
      <c r="H279" s="526">
        <f t="shared" si="27"/>
        <v>489</v>
      </c>
      <c r="I279" s="526">
        <f t="shared" si="27"/>
        <v>490</v>
      </c>
      <c r="J279" s="526">
        <f t="shared" si="27"/>
        <v>491</v>
      </c>
      <c r="K279" s="526">
        <f t="shared" si="27"/>
        <v>492</v>
      </c>
      <c r="L279" s="526">
        <f t="shared" si="27"/>
        <v>493</v>
      </c>
      <c r="M279" s="526">
        <f t="shared" si="27"/>
        <v>494</v>
      </c>
      <c r="N279" s="526">
        <f t="shared" si="27"/>
        <v>495</v>
      </c>
      <c r="O279" s="526">
        <f t="shared" si="27"/>
        <v>496</v>
      </c>
      <c r="P279" s="526">
        <f t="shared" si="27"/>
        <v>497</v>
      </c>
      <c r="Q279" s="526">
        <f t="shared" si="27"/>
        <v>498</v>
      </c>
      <c r="R279" s="526">
        <f t="shared" si="27"/>
        <v>499</v>
      </c>
      <c r="S279" s="526">
        <f t="shared" si="27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6"/>
        <v>507</v>
      </c>
      <c r="D280" s="526">
        <f t="shared" si="27"/>
        <v>508</v>
      </c>
      <c r="E280" s="526">
        <f t="shared" si="27"/>
        <v>509</v>
      </c>
      <c r="F280" s="526">
        <f t="shared" si="27"/>
        <v>510</v>
      </c>
      <c r="G280" s="526">
        <f t="shared" si="27"/>
        <v>511</v>
      </c>
      <c r="H280" s="526">
        <f t="shared" si="27"/>
        <v>512</v>
      </c>
      <c r="I280" s="526">
        <f t="shared" si="27"/>
        <v>513</v>
      </c>
      <c r="J280" s="526">
        <f t="shared" si="27"/>
        <v>514</v>
      </c>
      <c r="K280" s="526">
        <f t="shared" si="27"/>
        <v>515</v>
      </c>
      <c r="L280" s="526">
        <f t="shared" si="27"/>
        <v>516</v>
      </c>
      <c r="M280" s="526">
        <f t="shared" si="27"/>
        <v>517</v>
      </c>
      <c r="N280" s="526">
        <f t="shared" si="27"/>
        <v>518</v>
      </c>
      <c r="O280" s="526">
        <f t="shared" si="27"/>
        <v>519</v>
      </c>
      <c r="P280" s="526">
        <f t="shared" si="27"/>
        <v>520</v>
      </c>
      <c r="Q280" s="526">
        <f t="shared" si="27"/>
        <v>521</v>
      </c>
      <c r="R280" s="526">
        <f t="shared" si="27"/>
        <v>522</v>
      </c>
      <c r="S280" s="526">
        <f t="shared" si="27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6"/>
        <v>530</v>
      </c>
      <c r="D281" s="526">
        <f t="shared" si="27"/>
        <v>531</v>
      </c>
      <c r="E281" s="526">
        <f t="shared" si="27"/>
        <v>532</v>
      </c>
      <c r="F281" s="526">
        <f t="shared" si="27"/>
        <v>533</v>
      </c>
      <c r="G281" s="526">
        <f t="shared" si="27"/>
        <v>534</v>
      </c>
      <c r="H281" s="526">
        <f t="shared" si="27"/>
        <v>535</v>
      </c>
      <c r="I281" s="526">
        <f t="shared" si="27"/>
        <v>536</v>
      </c>
      <c r="J281" s="526">
        <f t="shared" si="27"/>
        <v>537</v>
      </c>
      <c r="K281" s="526">
        <f t="shared" si="27"/>
        <v>538</v>
      </c>
      <c r="L281" s="526">
        <f t="shared" si="27"/>
        <v>539</v>
      </c>
      <c r="M281" s="526">
        <f t="shared" si="27"/>
        <v>540</v>
      </c>
      <c r="N281" s="526">
        <f t="shared" si="27"/>
        <v>541</v>
      </c>
      <c r="O281" s="526">
        <f t="shared" si="27"/>
        <v>542</v>
      </c>
      <c r="P281" s="526">
        <f t="shared" si="27"/>
        <v>543</v>
      </c>
      <c r="Q281" s="526">
        <f t="shared" si="27"/>
        <v>544</v>
      </c>
      <c r="R281" s="526">
        <f t="shared" si="27"/>
        <v>545</v>
      </c>
      <c r="S281" s="526">
        <f t="shared" si="27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6"/>
        <v>553</v>
      </c>
      <c r="D282" s="526">
        <f t="shared" si="27"/>
        <v>554</v>
      </c>
      <c r="E282" s="526">
        <f t="shared" si="27"/>
        <v>555</v>
      </c>
      <c r="F282" s="526">
        <f t="shared" si="27"/>
        <v>556</v>
      </c>
      <c r="G282" s="526">
        <f t="shared" si="27"/>
        <v>557</v>
      </c>
      <c r="H282" s="526">
        <f t="shared" si="27"/>
        <v>558</v>
      </c>
      <c r="I282" s="526">
        <f t="shared" si="27"/>
        <v>559</v>
      </c>
      <c r="J282" s="526">
        <f t="shared" si="27"/>
        <v>560</v>
      </c>
      <c r="K282" s="526">
        <f t="shared" si="27"/>
        <v>561</v>
      </c>
      <c r="L282" s="526">
        <f t="shared" si="27"/>
        <v>562</v>
      </c>
      <c r="M282" s="526">
        <f t="shared" si="27"/>
        <v>563</v>
      </c>
      <c r="N282" s="526">
        <f t="shared" si="27"/>
        <v>564</v>
      </c>
      <c r="O282" s="526">
        <f t="shared" si="27"/>
        <v>565</v>
      </c>
      <c r="P282" s="526">
        <f t="shared" si="27"/>
        <v>566</v>
      </c>
      <c r="Q282" s="526">
        <f t="shared" si="27"/>
        <v>567</v>
      </c>
      <c r="R282" s="526">
        <f t="shared" si="27"/>
        <v>568</v>
      </c>
      <c r="S282" s="526">
        <f t="shared" si="27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6"/>
        <v>576</v>
      </c>
      <c r="D283" s="526">
        <f t="shared" si="27"/>
        <v>577</v>
      </c>
      <c r="E283" s="526">
        <f t="shared" si="27"/>
        <v>578</v>
      </c>
      <c r="F283" s="526">
        <f t="shared" si="27"/>
        <v>579</v>
      </c>
      <c r="G283" s="526">
        <f t="shared" si="27"/>
        <v>580</v>
      </c>
      <c r="H283" s="526">
        <f t="shared" si="27"/>
        <v>581</v>
      </c>
      <c r="I283" s="526">
        <f t="shared" si="27"/>
        <v>582</v>
      </c>
      <c r="J283" s="526">
        <f t="shared" si="27"/>
        <v>583</v>
      </c>
      <c r="K283" s="526">
        <f t="shared" si="27"/>
        <v>584</v>
      </c>
      <c r="L283" s="526">
        <f t="shared" si="27"/>
        <v>585</v>
      </c>
      <c r="M283" s="526">
        <f t="shared" si="27"/>
        <v>586</v>
      </c>
      <c r="N283" s="526">
        <f t="shared" si="27"/>
        <v>587</v>
      </c>
      <c r="O283" s="526">
        <f t="shared" si="27"/>
        <v>588</v>
      </c>
      <c r="P283" s="526">
        <f t="shared" si="27"/>
        <v>589</v>
      </c>
      <c r="Q283" s="526">
        <f t="shared" si="27"/>
        <v>590</v>
      </c>
      <c r="R283" s="526">
        <f t="shared" si="27"/>
        <v>591</v>
      </c>
      <c r="S283" s="526">
        <f t="shared" si="27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6"/>
        <v>599</v>
      </c>
      <c r="D284" s="526">
        <f t="shared" si="27"/>
        <v>600</v>
      </c>
      <c r="E284" s="526">
        <f t="shared" si="27"/>
        <v>601</v>
      </c>
      <c r="F284" s="526">
        <f t="shared" si="27"/>
        <v>602</v>
      </c>
      <c r="G284" s="526">
        <f t="shared" si="27"/>
        <v>603</v>
      </c>
      <c r="H284" s="526">
        <f t="shared" si="27"/>
        <v>604</v>
      </c>
      <c r="I284" s="526">
        <f t="shared" si="27"/>
        <v>605</v>
      </c>
      <c r="J284" s="526">
        <f t="shared" si="27"/>
        <v>606</v>
      </c>
      <c r="K284" s="526">
        <f t="shared" si="27"/>
        <v>607</v>
      </c>
      <c r="L284" s="526">
        <f t="shared" si="27"/>
        <v>608</v>
      </c>
      <c r="M284" s="526">
        <f t="shared" si="27"/>
        <v>609</v>
      </c>
      <c r="N284" s="526">
        <f t="shared" si="27"/>
        <v>610</v>
      </c>
      <c r="O284" s="526">
        <f t="shared" si="27"/>
        <v>611</v>
      </c>
      <c r="P284" s="526">
        <f t="shared" si="27"/>
        <v>612</v>
      </c>
      <c r="Q284" s="526">
        <f t="shared" si="27"/>
        <v>613</v>
      </c>
      <c r="R284" s="526">
        <f t="shared" si="27"/>
        <v>614</v>
      </c>
      <c r="S284" s="526">
        <f t="shared" si="27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6"/>
        <v>622</v>
      </c>
      <c r="D285" s="526">
        <f t="shared" si="27"/>
        <v>623</v>
      </c>
      <c r="E285" s="526">
        <f t="shared" si="27"/>
        <v>624</v>
      </c>
      <c r="F285" s="526">
        <f t="shared" si="27"/>
        <v>625</v>
      </c>
      <c r="G285" s="526">
        <f t="shared" si="27"/>
        <v>626</v>
      </c>
      <c r="H285" s="526">
        <f t="shared" si="27"/>
        <v>627</v>
      </c>
      <c r="I285" s="526">
        <f t="shared" si="27"/>
        <v>628</v>
      </c>
      <c r="J285" s="526">
        <f t="shared" si="27"/>
        <v>629</v>
      </c>
      <c r="K285" s="526">
        <f t="shared" si="27"/>
        <v>630</v>
      </c>
      <c r="L285" s="526">
        <f t="shared" si="27"/>
        <v>631</v>
      </c>
      <c r="M285" s="526">
        <f t="shared" si="27"/>
        <v>632</v>
      </c>
      <c r="N285" s="526">
        <f t="shared" si="27"/>
        <v>633</v>
      </c>
      <c r="O285" s="526">
        <f t="shared" si="27"/>
        <v>634</v>
      </c>
      <c r="P285" s="526">
        <f t="shared" si="27"/>
        <v>635</v>
      </c>
      <c r="Q285" s="526">
        <f t="shared" si="27"/>
        <v>636</v>
      </c>
      <c r="R285" s="526">
        <f t="shared" si="27"/>
        <v>637</v>
      </c>
      <c r="S285" s="526">
        <f t="shared" si="27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6"/>
        <v>645</v>
      </c>
      <c r="D286" s="526">
        <f t="shared" si="27"/>
        <v>646</v>
      </c>
      <c r="E286" s="526">
        <f t="shared" si="27"/>
        <v>647</v>
      </c>
      <c r="F286" s="526">
        <f t="shared" si="27"/>
        <v>648</v>
      </c>
      <c r="G286" s="526">
        <f t="shared" si="27"/>
        <v>649</v>
      </c>
      <c r="H286" s="526">
        <f t="shared" si="27"/>
        <v>650</v>
      </c>
      <c r="I286" s="526">
        <f t="shared" si="27"/>
        <v>651</v>
      </c>
      <c r="J286" s="526">
        <f t="shared" si="27"/>
        <v>652</v>
      </c>
      <c r="K286" s="526">
        <f t="shared" si="27"/>
        <v>653</v>
      </c>
      <c r="L286" s="526">
        <f t="shared" si="27"/>
        <v>654</v>
      </c>
      <c r="M286" s="526">
        <f t="shared" si="27"/>
        <v>655</v>
      </c>
      <c r="N286" s="526">
        <f t="shared" si="27"/>
        <v>656</v>
      </c>
      <c r="O286" s="526">
        <f t="shared" si="27"/>
        <v>657</v>
      </c>
      <c r="P286" s="526">
        <f t="shared" si="27"/>
        <v>658</v>
      </c>
      <c r="Q286" s="526">
        <f t="shared" si="27"/>
        <v>659</v>
      </c>
      <c r="R286" s="526">
        <f t="shared" si="27"/>
        <v>660</v>
      </c>
      <c r="S286" s="526">
        <f t="shared" si="28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125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Top Energy</v>
      </c>
      <c r="C6" s="108"/>
      <c r="D6" s="109">
        <f>VLOOKUP($B$6,$B$258:$J$286,9,FALSE)</f>
        <v>514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32.631</v>
      </c>
      <c r="E7" s="407">
        <f>D7/('Industry calcs'!D4/1000)*100</f>
        <v>1.5829957195536573</v>
      </c>
    </row>
    <row r="8" spans="2:5">
      <c r="B8" s="111" t="s">
        <v>250</v>
      </c>
      <c r="C8" s="114"/>
      <c r="D8" s="406">
        <f>VLOOKUP(D6,'AV (2011)'!A8:F214,'AV (2011)'!F214,FALSE)/1000</f>
        <v>145.83799999999999</v>
      </c>
      <c r="E8" s="407">
        <f>D8/('Industry calcs'!D5/1000)*100</f>
        <v>1.6249104141730748</v>
      </c>
    </row>
    <row r="9" spans="2:5">
      <c r="B9" s="111" t="s">
        <v>230</v>
      </c>
      <c r="C9" s="114"/>
      <c r="D9" s="406">
        <f>VLOOKUP($D$6,'FS (2011)'!$A$13:$AH$244,'FS (2011)'!S245,FALSE)/1000</f>
        <v>12.645</v>
      </c>
      <c r="E9" s="407">
        <f>D9/('Industry calcs'!D6/1000)*100</f>
        <v>2.785196528112992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14.016999999999999</v>
      </c>
      <c r="E10" s="407">
        <f>D10/('Industry calcs'!D7/1000)*100</f>
        <v>2.3953799866232703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327.38986</v>
      </c>
      <c r="E11" s="407">
        <f>D11/'Industry calcs'!D8*100</f>
        <v>1.0579477957580372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70</v>
      </c>
      <c r="E12" s="407">
        <f>D12/'Industry calcs'!D9*100</f>
        <v>1.1194183144224401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3849</v>
      </c>
      <c r="E13" s="407">
        <f>D13/'Industry calcs'!D10*100</f>
        <v>2.5733804179820949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31002</v>
      </c>
      <c r="E14" s="407">
        <f>D14/'Industry calcs'!D11*100</f>
        <v>1.5434054787359828</v>
      </c>
    </row>
    <row r="15" spans="2:5">
      <c r="B15" s="115" t="s">
        <v>195</v>
      </c>
      <c r="C15" s="116" t="s">
        <v>239</v>
      </c>
      <c r="D15" s="408">
        <f>D14/D13</f>
        <v>8.0545596258768519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Top Energy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26.281351401442784</v>
      </c>
      <c r="D20" s="409">
        <f>VLOOKUP($B$2,'MED price allocation'!$B$16:$F$44,3,FALSE)</f>
        <v>26.699792710549783</v>
      </c>
      <c r="E20" s="409">
        <f>VLOOKUP($B$2,'MED price allocation'!$B$16:$F$44,4,FALSE)</f>
        <v>26.972648001940122</v>
      </c>
      <c r="F20" s="503">
        <f>VLOOKUP($B$2,'MED price allocation'!$B$16:$F$44,5,FALSE)</f>
        <v>29.221999999999998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6.8028028855749758</v>
      </c>
      <c r="D21" s="410">
        <f>VLOOKUP($B$2,'MED price allocation'!$B$47:$F$75,3,FALSE)</f>
        <v>7.2355192532088655</v>
      </c>
      <c r="E21" s="410">
        <f>VLOOKUP($B$2,'MED price allocation'!$B$47:$F$75,4,FALSE)</f>
        <v>9.8827032416264693</v>
      </c>
      <c r="F21" s="504">
        <f>VLOOKUP($B$2,'MED price allocation'!$B$47:$F$75,5,FALSE)</f>
        <v>9.9199999999999982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9.314772889281743</v>
      </c>
      <c r="D22" s="409">
        <f>VLOOKUP($B$2,'MED price allocation'!$B$78:$F$106,3,FALSE)</f>
        <v>9.7892319308119955</v>
      </c>
      <c r="E22" s="409">
        <f>VLOOKUP($B$2,'MED price allocation'!$B$78:$F$106,4,FALSE)</f>
        <v>11.899997305381152</v>
      </c>
      <c r="F22" s="503">
        <f>VLOOKUP($B$2,'MED price allocation'!$B$78:$F$106,5,FALSE)</f>
        <v>11.939999999999998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2.5119700037067663</v>
      </c>
      <c r="D23" s="411">
        <f>VLOOKUP($B$2,'MED price allocation'!$B$109:$F$137,3,FALSE)</f>
        <v>2.5537126776031291</v>
      </c>
      <c r="E23" s="411">
        <f>VLOOKUP($B$2,'MED price allocation'!$B$109:$F$137,4,FALSE)</f>
        <v>2.0172940637546817</v>
      </c>
      <c r="F23" s="505">
        <f>VLOOKUP($B$2,'MED price allocation'!$B$109:$F$137,5,FALSE)</f>
        <v>2.0200000000000005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Top Energy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2102.508112115423</v>
      </c>
      <c r="D26" s="412">
        <f>(D20*8000)/100</f>
        <v>2135.9834168439829</v>
      </c>
      <c r="E26" s="412">
        <f>(E20*8000)/100</f>
        <v>2157.8118401552097</v>
      </c>
      <c r="F26" s="506">
        <f>(F20*8000)/100</f>
        <v>2337.7599999999998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745.18183114253941</v>
      </c>
      <c r="D27" s="412">
        <f>(D22*8000)/100</f>
        <v>783.13855446495961</v>
      </c>
      <c r="E27" s="412">
        <f>(E22*8000)/100</f>
        <v>951.99978443049213</v>
      </c>
      <c r="F27" s="506">
        <f>(F22*8000)/100</f>
        <v>955.19999999999982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544.22423084599814</v>
      </c>
      <c r="D28" s="412">
        <f>(D21*8000)/100</f>
        <v>578.84154025670932</v>
      </c>
      <c r="E28" s="412">
        <f>(E21*8000)/100</f>
        <v>790.6162593301176</v>
      </c>
      <c r="F28" s="506">
        <f>(F21*8000)/100</f>
        <v>793.59999999999991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200.9576002965413</v>
      </c>
      <c r="D29" s="413">
        <f>(D23*8000)/100</f>
        <v>204.29701420825032</v>
      </c>
      <c r="E29" s="413">
        <f>(E23*8000)/100</f>
        <v>161.38352510037453</v>
      </c>
      <c r="F29" s="507">
        <f>(F23*8000)/100</f>
        <v>161.60000000000002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Top Energy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2183.515842278654</v>
      </c>
      <c r="D32" s="122"/>
    </row>
    <row r="33" spans="2:13">
      <c r="B33" s="120" t="s">
        <v>241</v>
      </c>
      <c r="C33" s="412">
        <f>AVERAGE(C27:F27)</f>
        <v>858.8800425094978</v>
      </c>
      <c r="D33" s="414">
        <f>C33/$C$32</f>
        <v>0.39334729150084635</v>
      </c>
    </row>
    <row r="34" spans="2:13">
      <c r="B34" s="120" t="s">
        <v>222</v>
      </c>
      <c r="C34" s="412">
        <f>AVERAGE(C28:F28)</f>
        <v>676.8205076082063</v>
      </c>
      <c r="D34" s="414">
        <f>C34/$C$32</f>
        <v>0.30996821479522491</v>
      </c>
    </row>
    <row r="35" spans="2:13">
      <c r="B35" s="124" t="s">
        <v>223</v>
      </c>
      <c r="C35" s="413">
        <f>AVERAGE(C29:F29)</f>
        <v>182.05953490129153</v>
      </c>
      <c r="D35" s="415">
        <f>C35/$C$32</f>
        <v>8.337907670562146E-2</v>
      </c>
    </row>
    <row r="38" spans="2:13">
      <c r="B38" s="517" t="s">
        <v>227</v>
      </c>
      <c r="C38" s="518">
        <f>VLOOKUP($B$2,$B$258:$J$286,6,FALSE)</f>
        <v>511</v>
      </c>
      <c r="D38" s="518">
        <f>VLOOKUP($B$2,$B$258:$J$286,7,FALSE)</f>
        <v>512</v>
      </c>
      <c r="E38" s="518">
        <f>VLOOKUP($B$2,$B$258:$J$286,8,FALSE)</f>
        <v>513</v>
      </c>
      <c r="F38" s="519">
        <f>VLOOKUP($B$2,$B$258:$J$286,9,FALSE)</f>
        <v>514</v>
      </c>
    </row>
    <row r="39" spans="2:13">
      <c r="B39" s="137" t="str">
        <f>B2</f>
        <v>Top Energy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25463.61352684554</v>
      </c>
      <c r="D40" s="418">
        <f>VLOOKUP($D$38,'FS (2011)'!$A$13:$AH$244,'FS (2011)'!E245,FALSE)</f>
        <v>26480.754753243178</v>
      </c>
      <c r="E40" s="418">
        <f>VLOOKUP($E$38,'FS (2011)'!$A$13:$AH$244,'FS (2011)'!E245,FALSE)</f>
        <v>27426.029748592056</v>
      </c>
      <c r="F40" s="419">
        <f>VLOOKUP($F$38,'FS (2011)'!$A$13:$AH$244,'FS (2011)'!E245,FALSE)</f>
        <v>31490</v>
      </c>
    </row>
    <row r="41" spans="2:13" ht="30">
      <c r="B41" s="120" t="s">
        <v>198</v>
      </c>
      <c r="C41" s="417">
        <f>VLOOKUP($C$38,'FS (2011)'!$A$13:$AH$244,'FS (2011)'!$F$245,FALSE)</f>
        <v>2779.3384847880011</v>
      </c>
      <c r="D41" s="418">
        <f>VLOOKUP($D$38,'FS (2011)'!$A$13:$AH$244,'FS (2011)'!$F$245,FALSE)</f>
        <v>2767.5601619877816</v>
      </c>
      <c r="E41" s="418">
        <f>VLOOKUP($E$38,'FS (2011)'!$A$13:$AH$244,'FS (2011)'!$F$245,FALSE)</f>
        <v>1208.3387674813396</v>
      </c>
      <c r="F41" s="419">
        <f>VLOOKUP($F$38,'FS (2011)'!$A$13:$AH$244,'FS (2011)'!$F$245,FALSE)</f>
        <v>1141</v>
      </c>
    </row>
    <row r="42" spans="2:13">
      <c r="B42" s="120" t="s">
        <v>13</v>
      </c>
      <c r="C42" s="417">
        <f>VLOOKUP($C$38,'FS (2011)'!$A$13:$AH$244,'FS (2011)'!$H$245,FALSE)</f>
        <v>0</v>
      </c>
      <c r="D42" s="418">
        <f>VLOOKUP($D$38,'FS (2011)'!$A$13:$AH$244,'FS (2011)'!$H$245,FALSE)</f>
        <v>0</v>
      </c>
      <c r="E42" s="418">
        <f>VLOOKUP($E$38,'FS (2011)'!$A$13:$AH$244,'FS (2011)'!$H$245,FALSE)</f>
        <v>0</v>
      </c>
      <c r="F42" s="419">
        <f>VLOOKUP($F$38,'FS (2011)'!$A$13:$AH$244,'FS (2011)'!$H$245,FALSE)</f>
        <v>0</v>
      </c>
    </row>
    <row r="43" spans="2:13">
      <c r="B43" s="124" t="s">
        <v>5</v>
      </c>
      <c r="C43" s="420">
        <f>SUM(C40:C42)</f>
        <v>28242.952011633541</v>
      </c>
      <c r="D43" s="420">
        <f>SUM(D40:D42)</f>
        <v>29248.31491523096</v>
      </c>
      <c r="E43" s="420">
        <f>SUM(E40:E42)</f>
        <v>28634.368516073395</v>
      </c>
      <c r="F43" s="421">
        <f>SUM(F40:F42)</f>
        <v>32631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Top Energy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103.99448894134878</v>
      </c>
      <c r="E46" s="422">
        <f>IF(ISERROR(E40/$C40),"",(E40/$C40))*100</f>
        <v>107.70674680432765</v>
      </c>
      <c r="F46" s="423">
        <f>IF(ISERROR(F40/$C40),"",(F40/$C40))*100</f>
        <v>123.66665857067387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99.576218482754626</v>
      </c>
      <c r="E47" s="422">
        <f t="shared" si="0"/>
        <v>43.475768572085514</v>
      </c>
      <c r="F47" s="423">
        <f t="shared" si="0"/>
        <v>41.052934223196338</v>
      </c>
      <c r="G47" s="141"/>
    </row>
    <row r="48" spans="2:13">
      <c r="B48" s="120" t="s">
        <v>13</v>
      </c>
      <c r="C48" s="422" t="str">
        <f t="shared" si="0"/>
        <v/>
      </c>
      <c r="D48" s="422" t="str">
        <f t="shared" si="0"/>
        <v/>
      </c>
      <c r="E48" s="422" t="str">
        <f t="shared" si="0"/>
        <v/>
      </c>
      <c r="F48" s="423" t="str">
        <f t="shared" si="0"/>
        <v/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103.55969483354042</v>
      </c>
      <c r="E49" s="424">
        <f t="shared" si="0"/>
        <v>101.38589090927401</v>
      </c>
      <c r="F49" s="416">
        <f t="shared" si="0"/>
        <v>115.53678944948453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Top Energy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20458.00119757064</v>
      </c>
      <c r="D54" s="426">
        <f>VLOOKUP($D$38,'MP (2011)'!$A$14:$AR$245,'MP (2011)'!$Z$246,FALSE)</f>
        <v>21587.145739584044</v>
      </c>
      <c r="E54" s="426">
        <f>VLOOKUP($E$38,'MP (2011)'!$A$14:$AR$245,'MP (2011)'!$Z$246,FALSE)</f>
        <v>22224.875104416478</v>
      </c>
      <c r="F54" s="427">
        <f>VLOOKUP($F$38,'MP (2011)'!$A$14:$AR$245,'MP (2011)'!$Z$246,FALSE)</f>
        <v>25763.687999999998</v>
      </c>
    </row>
    <row r="55" spans="2:23">
      <c r="B55" s="111" t="s">
        <v>180</v>
      </c>
      <c r="C55" s="425">
        <f>VLOOKUP($C$38,'MP (2011)'!$A$14:$AR$245,'MP (2011)'!$AD$246,FALSE)</f>
        <v>2791.1975706424109</v>
      </c>
      <c r="D55" s="426">
        <f>VLOOKUP($D$38,'MP (2011)'!$A$14:$AR$245,'MP (2011)'!$AD$246,FALSE)</f>
        <v>2825.7142206053941</v>
      </c>
      <c r="E55" s="426">
        <f>VLOOKUP($E$38,'MP (2011)'!$A$14:$AR$245,'MP (2011)'!$AD$246,FALSE)</f>
        <v>3032.0541079464306</v>
      </c>
      <c r="F55" s="427">
        <f>VLOOKUP($F$38,'MP (2011)'!$A$14:$AR$245,'MP (2011)'!$AD$246,FALSE)</f>
        <v>2843.6651000000002</v>
      </c>
      <c r="J55" s="139"/>
    </row>
    <row r="56" spans="2:23">
      <c r="B56" s="111" t="s">
        <v>184</v>
      </c>
      <c r="C56" s="425">
        <f>VLOOKUP($C$38,'MP (2011)'!$A$14:$AR$245,'MP (2011)'!$AH$246,FALSE)</f>
        <v>528.26836987824697</v>
      </c>
      <c r="D56" s="426">
        <f>VLOOKUP($D$38,'MP (2011)'!$A$14:$AR$245,'MP (2011)'!$AH$246,FALSE)</f>
        <v>496.8113061980917</v>
      </c>
      <c r="E56" s="426">
        <f>VLOOKUP($E$38,'MP (2011)'!$A$14:$AR$245,'MP (2011)'!$AH$246,FALSE)</f>
        <v>524.70022365336411</v>
      </c>
      <c r="F56" s="427">
        <f>VLOOKUP($F$38,'MP (2011)'!$A$14:$AR$245,'MP (2011)'!$AH$246,FALSE)</f>
        <v>516.30462</v>
      </c>
    </row>
    <row r="57" spans="2:23">
      <c r="B57" s="111" t="s">
        <v>181</v>
      </c>
      <c r="C57" s="425">
        <f>VLOOKUP($C$38,'MP (2011)'!$A$14:$AR$245,'MP (2011)'!$AL$246,FALSE)</f>
        <v>1686.1463887542413</v>
      </c>
      <c r="D57" s="426">
        <f>VLOOKUP($D$38,'MP (2011)'!$A$14:$AR$245,'MP (2011)'!$AL$246,FALSE)</f>
        <v>1571.0834868556519</v>
      </c>
      <c r="E57" s="426">
        <f>VLOOKUP($E$38,'MP (2011)'!$A$14:$AR$245,'MP (2011)'!$AL$246,FALSE)</f>
        <v>1644.4003125757858</v>
      </c>
      <c r="F57" s="427">
        <f>VLOOKUP($F$38,'MP (2011)'!$A$14:$AR$245,'MP (2011)'!$AL$246,FALSE)</f>
        <v>2366.3425000000002</v>
      </c>
      <c r="W57" s="139"/>
    </row>
    <row r="58" spans="2:23">
      <c r="B58" s="147" t="s">
        <v>248</v>
      </c>
      <c r="C58" s="428">
        <f>SUM(C54:C57)</f>
        <v>25463.613526845536</v>
      </c>
      <c r="D58" s="428">
        <f>SUM(D54:D57)</f>
        <v>26480.754753243182</v>
      </c>
      <c r="E58" s="428">
        <f>SUM(E54:E57)</f>
        <v>27426.029748592056</v>
      </c>
      <c r="F58" s="429">
        <f>SUM(F54:F57)</f>
        <v>31490.000219999998</v>
      </c>
    </row>
    <row r="59" spans="2:23">
      <c r="B59" s="103" t="s">
        <v>302</v>
      </c>
    </row>
    <row r="60" spans="2:23">
      <c r="B60" s="137" t="str">
        <f>$B$2</f>
        <v>Top Energy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105.51932972878842</v>
      </c>
      <c r="E61" s="422">
        <f t="shared" si="1"/>
        <v>108.63659108132056</v>
      </c>
      <c r="F61" s="423">
        <f t="shared" si="1"/>
        <v>125.93453168366908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101.23662510766083</v>
      </c>
      <c r="E62" s="422">
        <f t="shared" si="1"/>
        <v>108.62914685213721</v>
      </c>
      <c r="F62" s="423">
        <f t="shared" si="1"/>
        <v>101.87974975005132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94.045249446336271</v>
      </c>
      <c r="E63" s="422">
        <f t="shared" si="1"/>
        <v>99.32455804126505</v>
      </c>
      <c r="F63" s="423">
        <f t="shared" si="1"/>
        <v>97.735289379334915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93.175983848970546</v>
      </c>
      <c r="E64" s="422">
        <f t="shared" si="1"/>
        <v>97.524172488410201</v>
      </c>
      <c r="F64" s="423">
        <f t="shared" si="1"/>
        <v>140.34027625254419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103.99448894134882</v>
      </c>
      <c r="E65" s="424">
        <f t="shared" si="1"/>
        <v>107.70674680432768</v>
      </c>
      <c r="F65" s="416">
        <f t="shared" si="1"/>
        <v>123.66665943465181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Top Energy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686.76361064724028</v>
      </c>
      <c r="D70" s="433">
        <f>(D54/D98)*1000</f>
        <v>713.12958738013424</v>
      </c>
      <c r="E70" s="433">
        <f>(E54/E98)*1000</f>
        <v>725.56805538234073</v>
      </c>
      <c r="F70" s="434">
        <f>(F54/F98)*1000</f>
        <v>836.23902106527305</v>
      </c>
    </row>
    <row r="71" spans="2:40">
      <c r="B71" s="111" t="s">
        <v>180</v>
      </c>
      <c r="C71" s="433">
        <f>(C55/C99)*1000</f>
        <v>16814.44319664103</v>
      </c>
      <c r="D71" s="433">
        <f t="shared" ref="C71:F73" si="2">(D55/D99)*1000</f>
        <v>17229.964759788989</v>
      </c>
      <c r="E71" s="433">
        <f t="shared" si="2"/>
        <v>17425.598321531212</v>
      </c>
      <c r="F71" s="434">
        <f t="shared" si="2"/>
        <v>16342.902873563218</v>
      </c>
    </row>
    <row r="72" spans="2:40">
      <c r="B72" s="111" t="s">
        <v>184</v>
      </c>
      <c r="C72" s="433">
        <f>(C56/C100)*1000</f>
        <v>40636.028452172846</v>
      </c>
      <c r="D72" s="433">
        <f t="shared" si="2"/>
        <v>38216.25432293013</v>
      </c>
      <c r="E72" s="433">
        <f t="shared" si="2"/>
        <v>37478.587403811725</v>
      </c>
      <c r="F72" s="434">
        <f t="shared" si="2"/>
        <v>36878.901428571429</v>
      </c>
    </row>
    <row r="73" spans="2:40">
      <c r="B73" s="115" t="s">
        <v>181</v>
      </c>
      <c r="C73" s="435">
        <f t="shared" si="2"/>
        <v>337229.27775084827</v>
      </c>
      <c r="D73" s="435">
        <f t="shared" si="2"/>
        <v>314216.6973711304</v>
      </c>
      <c r="E73" s="435">
        <f t="shared" si="2"/>
        <v>328880.06251515722</v>
      </c>
      <c r="F73" s="436">
        <f t="shared" si="2"/>
        <v>473268.5</v>
      </c>
    </row>
    <row r="74" spans="2:40">
      <c r="B74" s="103" t="s">
        <v>303</v>
      </c>
    </row>
    <row r="75" spans="2:40">
      <c r="B75" s="137" t="str">
        <f>$B$2</f>
        <v>Top Energy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103.83916333424325</v>
      </c>
      <c r="E76" s="422">
        <f t="shared" si="3"/>
        <v>105.65033501098424</v>
      </c>
      <c r="F76" s="423">
        <f t="shared" si="3"/>
        <v>121.765190831407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102.47121809677864</v>
      </c>
      <c r="E77" s="422">
        <f t="shared" si="3"/>
        <v>103.63470331870562</v>
      </c>
      <c r="F77" s="423">
        <f t="shared" si="3"/>
        <v>97.195623324761598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94.045249446336271</v>
      </c>
      <c r="E78" s="422">
        <f t="shared" si="3"/>
        <v>92.229946752603254</v>
      </c>
      <c r="F78" s="423">
        <f t="shared" si="3"/>
        <v>90.754197280810985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93.175983848970546</v>
      </c>
      <c r="E79" s="424">
        <f t="shared" si="3"/>
        <v>97.524172488410215</v>
      </c>
      <c r="F79" s="416">
        <f t="shared" si="3"/>
        <v>140.34027625254419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Top Energy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9.0510114575811365</v>
      </c>
      <c r="D84" s="437">
        <f>(D54/VLOOKUP($D$38,'MP (2011)'!$A$14:$AR$245,'MP (2011)'!$AA$246,FALSE)*100)</f>
        <v>9.5927385142025265</v>
      </c>
      <c r="E84" s="437">
        <f>(E54/VLOOKUP($E$38,'MP (2011)'!$A$14:$AR$245,'MP (2011)'!$AA$246,FALSE)*100)</f>
        <v>9.5971029775655303</v>
      </c>
      <c r="F84" s="438">
        <f>(F54/VLOOKUP($F$38,'MP (2011)'!$A$14:$AR$245,'MP (2011)'!$AA$246,FALSE)*100)</f>
        <v>11.444050158985561</v>
      </c>
    </row>
    <row r="85" spans="2:7">
      <c r="B85" s="111" t="s">
        <v>180</v>
      </c>
      <c r="C85" s="430">
        <f>(C55/VLOOKUP($C$38,'MP (2011)'!$A$14:$AR$245,'MP (2011)'!$AE$246,FALSE)*100)</f>
        <v>7.9796379846262351</v>
      </c>
      <c r="D85" s="437">
        <f>(D55/VLOOKUP($D$38,'MP (2011)'!$A$14:$AR$245,'MP (2011)'!$AE$246,FALSE)*100)</f>
        <v>8.4560625435014867</v>
      </c>
      <c r="E85" s="437">
        <f>(E55/VLOOKUP($E$38,'MP (2011)'!$A$14:$AR$245,'MP (2011)'!$AE$246,FALSE)*100)</f>
        <v>8.8690265537965622</v>
      </c>
      <c r="F85" s="438">
        <f>(F55/VLOOKUP($F$38,'MP (2011)'!$A$14:$AR$245,'MP (2011)'!$AE$246,FALSE)*100)</f>
        <v>9.1533838451044467</v>
      </c>
    </row>
    <row r="86" spans="2:7">
      <c r="B86" s="111" t="s">
        <v>184</v>
      </c>
      <c r="C86" s="430">
        <f>(C56/VLOOKUP($C$38,'MP (2011)'!$A$14:$AR$245,'MP (2011)'!$AI$246,FALSE)*100)</f>
        <v>6.1930641251846064</v>
      </c>
      <c r="D86" s="437">
        <f>(D56/VLOOKUP($D$38,'MP (2011)'!$A$14:$AR$245,'MP (2011)'!$AI$246,FALSE)*100)</f>
        <v>6.754283273714794</v>
      </c>
      <c r="E86" s="437">
        <f>(E56/VLOOKUP($E$38,'MP (2011)'!$A$14:$AR$245,'MP (2011)'!$AI$246,FALSE)*100)</f>
        <v>6.7720730982623145</v>
      </c>
      <c r="F86" s="438">
        <f>(F56/VLOOKUP($F$38,'MP (2011)'!$A$14:$AR$245,'MP (2011)'!$AI$246,FALSE)*100)</f>
        <v>7.3692321965339369</v>
      </c>
    </row>
    <row r="87" spans="2:7">
      <c r="B87" s="115" t="s">
        <v>181</v>
      </c>
      <c r="C87" s="431">
        <f>(C57/VLOOKUP($C$38,'MP (2011)'!$A$14:$AR$245,'MP (2011)'!$AM$246,FALSE)*100)</f>
        <v>3.1348003063029699</v>
      </c>
      <c r="D87" s="431">
        <f>(D57/VLOOKUP($D$38,'MP (2011)'!$A$14:$AR$245,'MP (2011)'!$AM$246,FALSE)*100)</f>
        <v>2.674742370716706</v>
      </c>
      <c r="E87" s="431">
        <f>(E57/VLOOKUP($E$38,'MP (2011)'!$A$14:$AR$245,'MP (2011)'!$AM$246,FALSE)*100)</f>
        <v>3.0281384659984272</v>
      </c>
      <c r="F87" s="432">
        <f>(F57/VLOOKUP($F$38,'MP (2011)'!$A$14:$AR$245,'MP (2011)'!$AM$246,FALSE)*100)</f>
        <v>3.6864970880420902</v>
      </c>
    </row>
    <row r="88" spans="2:7">
      <c r="B88" s="103" t="s">
        <v>304</v>
      </c>
    </row>
    <row r="89" spans="2:7">
      <c r="B89" s="137" t="str">
        <f>$B$2</f>
        <v>Top Energy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105.98526539448405</v>
      </c>
      <c r="E90" s="422">
        <f>IF(ISERROR(E84/$C84),"",(E84/$C84)*100)</f>
        <v>106.0334861196865</v>
      </c>
      <c r="F90" s="423">
        <f>IF(ISERROR(F84/$C84),"",(F84/$C84)*100)</f>
        <v>126.43946162945153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105.9705034212472</v>
      </c>
      <c r="E91" s="422">
        <f t="shared" si="4"/>
        <v>111.14572579462683</v>
      </c>
      <c r="F91" s="423">
        <f t="shared" si="4"/>
        <v>114.70926203343535</v>
      </c>
    </row>
    <row r="92" spans="2:7">
      <c r="B92" s="111" t="s">
        <v>184</v>
      </c>
      <c r="C92" s="422">
        <f t="shared" si="4"/>
        <v>100</v>
      </c>
      <c r="D92" s="422">
        <f t="shared" si="4"/>
        <v>109.06205938104119</v>
      </c>
      <c r="E92" s="422">
        <f t="shared" si="4"/>
        <v>109.34931338306542</v>
      </c>
      <c r="F92" s="423">
        <f t="shared" si="4"/>
        <v>118.99169857722522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85.324170899777869</v>
      </c>
      <c r="E93" s="424">
        <f>IF(ISERROR(E87/$C87),"",(E87/$C87)*100)</f>
        <v>96.597491709756326</v>
      </c>
      <c r="F93" s="416">
        <f>IF(ISERROR(F87/$C87),"",(F87/$C87)*100)</f>
        <v>117.59910449893265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29789</v>
      </c>
      <c r="D98" s="150">
        <f>VLOOKUP($D$38,'MP (2011)'!$A$14:$AR$245,'MP (2011)'!$AB$246,FALSE)</f>
        <v>30271</v>
      </c>
      <c r="E98" s="150">
        <f>VLOOKUP($E$38,'MP (2011)'!$A$14:$AR$245,'MP (2011)'!$AB$246,FALSE)</f>
        <v>30631</v>
      </c>
      <c r="F98" s="151">
        <f>VLOOKUP($F$38,'MP (2011)'!$A$14:$AR$245,'MP (2011)'!$AB$246,FALSE)</f>
        <v>30809</v>
      </c>
    </row>
    <row r="99" spans="2:7">
      <c r="B99" s="155" t="s">
        <v>309</v>
      </c>
      <c r="C99" s="150">
        <f>VLOOKUP($C$38,'MP (2011)'!$A$14:$AR$245,'MP (2011)'!$AF$246,FALSE)</f>
        <v>166</v>
      </c>
      <c r="D99" s="150">
        <f>VLOOKUP($D$38,'MP (2011)'!$A$14:$AR$245,'MP (2011)'!$AF$246,FALSE)</f>
        <v>164</v>
      </c>
      <c r="E99" s="150">
        <f>VLOOKUP($E$38,'MP (2011)'!$A$14:$AR$245,'MP (2011)'!$AF$246,FALSE)</f>
        <v>174</v>
      </c>
      <c r="F99" s="151">
        <f>VLOOKUP($F$38,'MP (2011)'!$A$14:$AR$245,'MP (2011)'!$AF$246,FALSE)</f>
        <v>174</v>
      </c>
    </row>
    <row r="100" spans="2:7">
      <c r="B100" s="155" t="s">
        <v>310</v>
      </c>
      <c r="C100" s="150">
        <f>VLOOKUP($C$38,'MP (2011)'!$A$14:$AR$245,'MP (2011)'!$AJ$246,FALSE)</f>
        <v>13</v>
      </c>
      <c r="D100" s="150">
        <f>VLOOKUP($D$38,'MP (2011)'!$A$14:$AR$245,'MP (2011)'!$AJ$246,FALSE)</f>
        <v>13</v>
      </c>
      <c r="E100" s="150">
        <f>VLOOKUP($E$38,'MP (2011)'!$A$14:$AR$245,'MP (2011)'!$AJ$246,FALSE)</f>
        <v>14</v>
      </c>
      <c r="F100" s="151">
        <f>VLOOKUP($F$38,'MP (2011)'!$A$14:$AR$245,'MP (2011)'!$AJ$246,FALSE)</f>
        <v>14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29973</v>
      </c>
      <c r="D102" s="152">
        <f>SUM(D98:D101)</f>
        <v>30453</v>
      </c>
      <c r="E102" s="152">
        <f>SUM(E98:E101)</f>
        <v>30824</v>
      </c>
      <c r="F102" s="157">
        <f>SUM(F98:F101)</f>
        <v>31002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101.61804693007485</v>
      </c>
      <c r="E105" s="422">
        <f t="shared" si="5"/>
        <v>102.8265467118735</v>
      </c>
      <c r="F105" s="423">
        <f t="shared" si="5"/>
        <v>103.42408271509618</v>
      </c>
    </row>
    <row r="106" spans="2:7">
      <c r="B106" s="111" t="s">
        <v>180</v>
      </c>
      <c r="C106" s="422">
        <f t="shared" si="5"/>
        <v>100</v>
      </c>
      <c r="D106" s="422">
        <f t="shared" si="5"/>
        <v>98.795180722891558</v>
      </c>
      <c r="E106" s="422">
        <f t="shared" si="5"/>
        <v>104.81927710843372</v>
      </c>
      <c r="F106" s="423">
        <f t="shared" si="5"/>
        <v>104.81927710843372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100</v>
      </c>
      <c r="E107" s="422">
        <f t="shared" si="5"/>
        <v>107.69230769230769</v>
      </c>
      <c r="F107" s="423">
        <f t="shared" si="5"/>
        <v>107.69230769230769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Top Energy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226030</v>
      </c>
      <c r="D113" s="150">
        <f>VLOOKUP($D$38,'MP (2011)'!$A$14:$AR$245,'MP (2011)'!$AA$246,FALSE)</f>
        <v>225036.32</v>
      </c>
      <c r="E113" s="150">
        <f>VLOOKUP($E$38,'MP (2011)'!$A$14:$AR$245,'MP (2011)'!$AA$246,FALSE)</f>
        <v>231579</v>
      </c>
      <c r="F113" s="151">
        <f>VLOOKUP($F$38,'MP (2011)'!$A$14:$AR$245,'MP (2011)'!$AA$246,FALSE)</f>
        <v>225127.36</v>
      </c>
    </row>
    <row r="114" spans="2:7">
      <c r="B114" s="155" t="s">
        <v>309</v>
      </c>
      <c r="C114" s="150">
        <f>VLOOKUP($C$38,'MP (2011)'!$A$14:$AR$245,'MP (2011)'!$AE$246,FALSE)</f>
        <v>34979</v>
      </c>
      <c r="D114" s="150">
        <f>VLOOKUP($D$38,'MP (2011)'!$A$14:$AR$245,'MP (2011)'!$AE$246,FALSE)</f>
        <v>33416.43</v>
      </c>
      <c r="E114" s="150">
        <f>VLOOKUP($E$38,'MP (2011)'!$A$14:$AR$245,'MP (2011)'!$AE$246,FALSE)</f>
        <v>34187</v>
      </c>
      <c r="F114" s="151">
        <f>VLOOKUP($F$38,'MP (2011)'!$A$14:$AR$245,'MP (2011)'!$AE$246,FALSE)</f>
        <v>31066.817999999999</v>
      </c>
    </row>
    <row r="115" spans="2:7">
      <c r="B115" s="155" t="s">
        <v>310</v>
      </c>
      <c r="C115" s="150">
        <f>VLOOKUP($C$38,'MP (2011)'!$A$14:$AR$245,'MP (2011)'!$AI$246,FALSE)</f>
        <v>8530</v>
      </c>
      <c r="D115" s="150">
        <f>VLOOKUP($D$38,'MP (2011)'!$A$14:$AR$245,'MP (2011)'!$AI$246,FALSE)</f>
        <v>7355.5</v>
      </c>
      <c r="E115" s="150">
        <f>VLOOKUP($E$38,'MP (2011)'!$A$14:$AR$245,'MP (2011)'!$AI$246,FALSE)</f>
        <v>7748</v>
      </c>
      <c r="F115" s="151">
        <f>VLOOKUP($F$38,'MP (2011)'!$A$14:$AR$245,'MP (2011)'!$AI$246,FALSE)</f>
        <v>7006.22</v>
      </c>
    </row>
    <row r="116" spans="2:7">
      <c r="B116" s="155" t="s">
        <v>311</v>
      </c>
      <c r="C116" s="150">
        <f>VLOOKUP($C$38,'MP (2011)'!$A$14:$AR$245,'MP (2011)'!$AM$246,FALSE)</f>
        <v>53788</v>
      </c>
      <c r="D116" s="150">
        <f>VLOOKUP($D$38,'MP (2011)'!$A$14:$AR$245,'MP (2011)'!$AM$246,FALSE)</f>
        <v>58737.75</v>
      </c>
      <c r="E116" s="150">
        <f>VLOOKUP($E$38,'MP (2011)'!$A$14:$AR$245,'MP (2011)'!$AM$246,FALSE)</f>
        <v>54304</v>
      </c>
      <c r="F116" s="151">
        <f>VLOOKUP($F$38,'MP (2011)'!$A$14:$AR$245,'MP (2011)'!$AM$246,FALSE)</f>
        <v>64189.457999999999</v>
      </c>
    </row>
    <row r="117" spans="2:7">
      <c r="B117" s="147" t="s">
        <v>254</v>
      </c>
      <c r="C117" s="158">
        <f>SUM(C113:C116)</f>
        <v>323327</v>
      </c>
      <c r="D117" s="158">
        <f>SUM(D113:D116)</f>
        <v>324546</v>
      </c>
      <c r="E117" s="158">
        <f>SUM(E113:E116)</f>
        <v>327818</v>
      </c>
      <c r="F117" s="159">
        <f>SUM(F113:F116)</f>
        <v>327389.85599999997</v>
      </c>
    </row>
    <row r="118" spans="2:7">
      <c r="B118" s="103" t="s">
        <v>306</v>
      </c>
    </row>
    <row r="119" spans="2:7">
      <c r="B119" s="137" t="str">
        <f>$B$2</f>
        <v>Top Energy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99.560376941114015</v>
      </c>
      <c r="E120" s="422">
        <f t="shared" si="6"/>
        <v>102.45498385170112</v>
      </c>
      <c r="F120" s="423">
        <f t="shared" si="6"/>
        <v>99.600654780338886</v>
      </c>
    </row>
    <row r="121" spans="2:7">
      <c r="B121" s="111" t="s">
        <v>180</v>
      </c>
      <c r="C121" s="422">
        <f t="shared" si="6"/>
        <v>100</v>
      </c>
      <c r="D121" s="422">
        <f t="shared" si="6"/>
        <v>95.532833986105942</v>
      </c>
      <c r="E121" s="422">
        <f t="shared" si="6"/>
        <v>97.735784327739509</v>
      </c>
      <c r="F121" s="423">
        <f t="shared" si="6"/>
        <v>88.815626518768397</v>
      </c>
    </row>
    <row r="122" spans="2:7">
      <c r="B122" s="111" t="s">
        <v>184</v>
      </c>
      <c r="C122" s="422">
        <f t="shared" si="6"/>
        <v>100</v>
      </c>
      <c r="D122" s="422">
        <f t="shared" si="6"/>
        <v>86.230949589683476</v>
      </c>
      <c r="E122" s="422">
        <f t="shared" si="6"/>
        <v>90.832356389214539</v>
      </c>
      <c r="F122" s="423">
        <f t="shared" si="6"/>
        <v>82.13622508792497</v>
      </c>
    </row>
    <row r="123" spans="2:7">
      <c r="B123" s="115" t="s">
        <v>181</v>
      </c>
      <c r="C123" s="424">
        <f t="shared" si="6"/>
        <v>100</v>
      </c>
      <c r="D123" s="424">
        <f t="shared" si="6"/>
        <v>109.20233137502788</v>
      </c>
      <c r="E123" s="424">
        <f t="shared" si="6"/>
        <v>100.95932178181006</v>
      </c>
      <c r="F123" s="416">
        <f t="shared" si="6"/>
        <v>119.33787833717557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Top Energy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28876.874055487438</v>
      </c>
      <c r="D128" s="433">
        <f>VLOOKUP($D$38,'FS (2011)'!$A$13:$AH$244,'FS (2011)'!$I$245,FALSE)</f>
        <v>29303.333928203712</v>
      </c>
      <c r="E128" s="433">
        <f>VLOOKUP($E$38,'FS (2011)'!$A$13:$AH$244,'FS (2011)'!$I$245,FALSE)</f>
        <v>28634.368516073398</v>
      </c>
      <c r="F128" s="440">
        <f>VLOOKUP($F$38,'FS (2011)'!$A$13:$AH$244,'FS (2011)'!$I$245,FALSE)</f>
        <v>33166.402000000002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4020.0816504519398</v>
      </c>
      <c r="D129" s="433">
        <f>VLOOKUP($D$38,'FS (2011)'!$A$13:$AH$244,'FS (2011)'!$Y$245,FALSE)+VLOOKUP($D$38,'FS (2011)'!$A$13:$AH$244,'FS (2011)'!$Z$245,FALSE)</f>
        <v>3613.419560766009</v>
      </c>
      <c r="E129" s="433">
        <f>VLOOKUP($E$38,'FS (2011)'!$A$13:$AH$244,'FS (2011)'!$Y$245,FALSE)+VLOOKUP($E$38,'FS (2011)'!$A$13:$AH$244,'FS (2011)'!$Z$245,FALSE)</f>
        <v>2656.9238093287699</v>
      </c>
      <c r="F129" s="440">
        <f>VLOOKUP($F$38,'FS (2011)'!$A$13:$AH$244,'FS (2011)'!$Y$245,FALSE)+VLOOKUP($F$38,'FS (2011)'!$A$13:$AH$244,'FS (2011)'!$Z$245,FALSE)</f>
        <v>5907.3645999999999</v>
      </c>
      <c r="G129" s="121"/>
    </row>
    <row r="130" spans="1:30">
      <c r="B130" s="162" t="s">
        <v>191</v>
      </c>
      <c r="C130" s="441">
        <f>VLOOKUP($C$38,'FS (2011)'!$A$13:$AH$244,'FS (2011)'!$J$245,FALSE)</f>
        <v>6354.3138205354844</v>
      </c>
      <c r="D130" s="433">
        <f>VLOOKUP($D$38,'FS (2011)'!$A$13:$AH$244,'FS (2011)'!$J$245,FALSE)</f>
        <v>6536.881597913376</v>
      </c>
      <c r="E130" s="433">
        <f>VLOOKUP($E$38,'FS (2011)'!$A$13:$AH$244,'FS (2011)'!$J$245,FALSE)</f>
        <v>5936.7537926760251</v>
      </c>
      <c r="F130" s="440">
        <f>VLOOKUP($F$38,'FS (2011)'!$A$13:$AH$244,'FS (2011)'!$J$245,FALSE)</f>
        <v>5429.402</v>
      </c>
    </row>
    <row r="131" spans="1:30">
      <c r="B131" s="162" t="s">
        <v>182</v>
      </c>
      <c r="C131" s="441">
        <f>VLOOKUP($C$38,'FS (2011)'!$A$13:$AH$244,'FS (2011)'!$S$245,FALSE)</f>
        <v>9321.2414815659649</v>
      </c>
      <c r="D131" s="433">
        <f>VLOOKUP($D$38,'FS (2011)'!$A$13:$AH$244,'FS (2011)'!$S$245,FALSE)</f>
        <v>10274.022101722832</v>
      </c>
      <c r="E131" s="433">
        <f>VLOOKUP($E$38,'FS (2011)'!$A$13:$AH$244,'FS (2011)'!$S$245,FALSE)</f>
        <v>11628.987092775726</v>
      </c>
      <c r="F131" s="440">
        <f>VLOOKUP($F$38,'FS (2011)'!$A$13:$AH$244,'FS (2011)'!$S$245,FALSE)</f>
        <v>12645</v>
      </c>
      <c r="I131" s="139"/>
    </row>
    <row r="132" spans="1:30">
      <c r="B132" s="162" t="s">
        <v>143</v>
      </c>
      <c r="C132" s="441">
        <f>VLOOKUP($C$38,'FS (2011)'!$A$13:$AH$244,'FS (2011)'!$U$245,FALSE)</f>
        <v>5224.4663682244582</v>
      </c>
      <c r="D132" s="433">
        <f>VLOOKUP($D$38,'FS (2011)'!$A$13:$AH$244,'FS (2011)'!$U$245,FALSE)</f>
        <v>5230.9586107488485</v>
      </c>
      <c r="E132" s="433">
        <f>VLOOKUP($E$38,'FS (2011)'!$A$13:$AH$244,'FS (2011)'!$U$245,FALSE)</f>
        <v>5337.6785858640287</v>
      </c>
      <c r="F132" s="440">
        <f>VLOOKUP($F$38,'FS (2011)'!$A$13:$AH$244,'FS (2011)'!$U$245,FALSE)</f>
        <v>5715</v>
      </c>
    </row>
    <row r="133" spans="1:30">
      <c r="B133" s="162" t="s">
        <v>196</v>
      </c>
      <c r="C133" s="441">
        <f>VLOOKUP($C$38,'FS (2011)'!$A$13:$AH$244,'FS (2011)'!$X$245,FALSE)</f>
        <v>692.33923235151542</v>
      </c>
      <c r="D133" s="433">
        <f>VLOOKUP($D$38,'FS (2011)'!$A$13:$AH$244,'FS (2011)'!$X$245,FALSE)</f>
        <v>257.49934089642386</v>
      </c>
      <c r="E133" s="433">
        <f>VLOOKUP($E$38,'FS (2011)'!$A$13:$AH$244,'FS (2011)'!$X$245,FALSE)</f>
        <v>932.18618703349398</v>
      </c>
      <c r="F133" s="440">
        <f>VLOOKUP($F$38,'FS (2011)'!$A$13:$AH$244,'FS (2011)'!$X$245,FALSE)</f>
        <v>1812.2360000000001</v>
      </c>
    </row>
    <row r="134" spans="1:30">
      <c r="B134" s="164" t="s">
        <v>258</v>
      </c>
      <c r="C134" s="442">
        <f>VLOOKUP($C$38,'FS (2011)'!$A$13:$AH$244,'FS (2011)'!$AA$245,FALSE)</f>
        <v>11304.59488950985</v>
      </c>
      <c r="D134" s="435">
        <f>VLOOKUP($D$38,'FS (2011)'!$A$13:$AH$244,'FS (2011)'!$AA$245,FALSE)</f>
        <v>10617.391609307431</v>
      </c>
      <c r="E134" s="435">
        <f>VLOOKUP($E$38,'FS (2011)'!$A$13:$AH$244,'FS (2011)'!$AA$245,FALSE)</f>
        <v>7455.6866670528943</v>
      </c>
      <c r="F134" s="443">
        <f>VLOOKUP($F$38,'FS (2011)'!$A$13:$AH$244,'FS (2011)'!$AA$245,FALSE)</f>
        <v>13472.129000000001</v>
      </c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3</v>
      </c>
      <c r="B138" s="166" t="s">
        <v>204</v>
      </c>
      <c r="C138" s="167"/>
      <c r="D138" s="444">
        <f>VLOOKUP($D$6,'FS (2011)'!$A$13:$AH$244,'FS (2011)'!$L$245,FALSE)</f>
        <v>2239</v>
      </c>
      <c r="E138" s="446">
        <f t="shared" ref="E138:E144" si="7">D138/$D$145</f>
        <v>0.17706603400553578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3973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1</v>
      </c>
      <c r="B139" s="162" t="s">
        <v>199</v>
      </c>
      <c r="C139" s="121"/>
      <c r="D139" s="441">
        <f>VLOOKUP($D$6,'FS (2011)'!$A$13:$AH$244,'FS (2011)'!K245,FALSE)</f>
        <v>3973</v>
      </c>
      <c r="E139" s="414">
        <f t="shared" si="7"/>
        <v>0.31419533412415973</v>
      </c>
      <c r="Q139" s="559"/>
      <c r="R139" s="559"/>
      <c r="S139" s="559"/>
      <c r="T139" s="559">
        <v>2</v>
      </c>
      <c r="U139" s="559" t="str">
        <f t="shared" ref="U139:U144" si="9">VLOOKUP(T139,$A$138:$E$144,2,FALSE)</f>
        <v>Routine and preventative maintenance</v>
      </c>
      <c r="V139" s="559">
        <f t="shared" ref="V139:V144" si="10">VLOOKUP(T139,$A$138:$E$144,4,FALSE)</f>
        <v>3952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2</v>
      </c>
      <c r="B140" s="162" t="s">
        <v>201</v>
      </c>
      <c r="C140" s="121"/>
      <c r="D140" s="441">
        <f>VLOOKUP($D$6,'FS (2011)'!$A$13:$AH$244,'FS (2011)'!M245,FALSE)</f>
        <v>3952</v>
      </c>
      <c r="E140" s="414">
        <f t="shared" si="7"/>
        <v>0.31253459865559508</v>
      </c>
      <c r="Q140" s="559"/>
      <c r="R140" s="559"/>
      <c r="S140" s="559"/>
      <c r="T140" s="559">
        <v>3</v>
      </c>
      <c r="U140" s="559" t="str">
        <f t="shared" si="9"/>
        <v>System management and operations</v>
      </c>
      <c r="V140" s="559">
        <f t="shared" si="10"/>
        <v>2239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5</v>
      </c>
      <c r="B141" s="162" t="s">
        <v>202</v>
      </c>
      <c r="C141" s="121"/>
      <c r="D141" s="441">
        <f>VLOOKUP($D$6,'FS (2011)'!$A$13:$AH$244,'FS (2011)'!N245,FALSE)</f>
        <v>729</v>
      </c>
      <c r="E141" s="414">
        <f t="shared" si="7"/>
        <v>5.7651245551601421E-2</v>
      </c>
      <c r="Q141" s="559"/>
      <c r="R141" s="559"/>
      <c r="S141" s="559"/>
      <c r="T141" s="559">
        <v>4</v>
      </c>
      <c r="U141" s="559" t="str">
        <f t="shared" si="9"/>
        <v>Fault and emergency maintenance</v>
      </c>
      <c r="V141" s="559">
        <f t="shared" si="10"/>
        <v>1298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4</v>
      </c>
      <c r="B142" s="162" t="s">
        <v>203</v>
      </c>
      <c r="C142" s="121"/>
      <c r="D142" s="441">
        <f>VLOOKUP($D$6,'FS (2011)'!$A$13:$AH$244,'FS (2011)'!O245,FALSE)</f>
        <v>1298</v>
      </c>
      <c r="E142" s="414">
        <f t="shared" si="7"/>
        <v>0.10264926848556742</v>
      </c>
      <c r="Q142" s="559"/>
      <c r="R142" s="559"/>
      <c r="S142" s="559"/>
      <c r="T142" s="559">
        <v>5</v>
      </c>
      <c r="U142" s="559" t="str">
        <f t="shared" si="9"/>
        <v>Refurbishment and renewal maintenance</v>
      </c>
      <c r="V142" s="559">
        <f t="shared" si="10"/>
        <v>729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8"/>
        <v>7</v>
      </c>
      <c r="B143" s="162" t="s">
        <v>13</v>
      </c>
      <c r="C143" s="121"/>
      <c r="D143" s="441">
        <f>VLOOKUP($D$6,'FS (2011)'!$A$13:$AH$244,'FS (2011)'!R245,FALSE)</f>
        <v>151</v>
      </c>
      <c r="E143" s="414">
        <f t="shared" si="7"/>
        <v>1.1941478845393436E-2</v>
      </c>
      <c r="Q143" s="559"/>
      <c r="R143" s="559"/>
      <c r="S143" s="559"/>
      <c r="T143" s="559">
        <v>6</v>
      </c>
      <c r="U143" s="559" t="str">
        <f t="shared" si="9"/>
        <v>Pass-through costs</v>
      </c>
      <c r="V143" s="559">
        <f t="shared" si="10"/>
        <v>303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6</v>
      </c>
      <c r="B144" s="162" t="s">
        <v>200</v>
      </c>
      <c r="C144" s="121"/>
      <c r="D144" s="441">
        <f>VLOOKUP($D$6,'FS (2011)'!$A$13:$AH$244,'FS (2011)'!P245,FALSE)</f>
        <v>303</v>
      </c>
      <c r="E144" s="414">
        <f t="shared" si="7"/>
        <v>2.3962040332147095E-2</v>
      </c>
      <c r="Q144" s="559"/>
      <c r="R144" s="559"/>
      <c r="S144" s="559"/>
      <c r="T144" s="559">
        <v>7</v>
      </c>
      <c r="U144" s="559" t="str">
        <f t="shared" si="9"/>
        <v>Other</v>
      </c>
      <c r="V144" s="559">
        <f t="shared" si="10"/>
        <v>151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12645</v>
      </c>
      <c r="E145" s="447">
        <f>SUM(E138:E144)</f>
        <v>0.99999999999999989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6.1109746436366565</v>
      </c>
      <c r="F149" s="455">
        <f>(VLOOKUP(F$38,'FS (2011)'!$A$13:$AH$244,'FS (2011)'!$M$245,FALSE)+VLOOKUP(F$38,'FS (2011)'!$A$13:$AH$244,'FS (2011)'!$N$245,FALSE)+VLOOKUP(F$38,'FS (2011)'!$A$13:$AH$244,'FS (2011)'!$O$245,FALSE))/1000</f>
        <v>5.9790000000000001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5.1400245210315001</v>
      </c>
      <c r="F150" s="457">
        <f>(VLOOKUP(F$38,'FS (2011)'!$A$13:$AH$244,'FS (2011)'!$L$245,FALSE)+VLOOKUP(F$38,'FS (2011)'!$A$13:$AH$244,'FS (2011)'!$K$245,FALSE))/1000</f>
        <v>6.2119999999999997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0.37798792810756915</v>
      </c>
      <c r="F151" s="457">
        <f>(VLOOKUP(F$38,'FS (2011)'!$A$13:$AH$244,'FS (2011)'!$R$245,FALSE)+VLOOKUP(F$38,'FS (2011)'!$A$13:$AH$244,'FS (2011)'!$P$245,FALSE)+VLOOKUP(F$38,'FS (2011)'!$A$13:$AH$244,'FS (2011)'!$Q$245,FALSE))/1000</f>
        <v>0.45400000000000001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9.3212414815659645</v>
      </c>
      <c r="D152" s="458">
        <f>VLOOKUP($D$38,'FS (2011)'!$A$13:$AH$244,'FS (2011)'!$S$245,FALSE)/1000</f>
        <v>10.274022101722831</v>
      </c>
      <c r="E152" s="459">
        <f>VLOOKUP($E$38,'FS (2011)'!$A$13:$AH$244,'FS (2011)'!$S$245,FALSE)/1000</f>
        <v>11.628987092775725</v>
      </c>
      <c r="F152" s="460">
        <f>VLOOKUP($F$38,'FS (2011)'!$A$13:$AH$244,'FS (2011)'!$S$245,FALSE)/1000</f>
        <v>12.645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-2.1596333045512006E-2</v>
      </c>
      <c r="D154" s="464" t="str">
        <f t="shared" ref="D154:E157" si="11">IF(ISERROR(D149/C149 - 1),"",(D149/C149 - 1))</f>
        <v/>
      </c>
      <c r="E154" s="464" t="str">
        <f t="shared" si="11"/>
        <v/>
      </c>
      <c r="F154" s="465">
        <f>IF(ISERROR(F149/E149 - 1),"",(F149/E149 - 1))</f>
        <v>-2.1596333045512006E-2</v>
      </c>
      <c r="Q154" s="559"/>
      <c r="R154" s="559" t="s">
        <v>423</v>
      </c>
      <c r="S154" s="559" t="e">
        <f t="shared" ref="S154:V157" si="12">LN(C149)</f>
        <v>#NUM!</v>
      </c>
      <c r="T154" s="559" t="e">
        <f t="shared" si="12"/>
        <v>#NUM!</v>
      </c>
      <c r="U154" s="559">
        <f t="shared" si="12"/>
        <v>1.8100862766056358</v>
      </c>
      <c r="V154" s="559">
        <f t="shared" si="12"/>
        <v>1.7882533298987673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0.20855454571904963</v>
      </c>
      <c r="D155" s="467" t="str">
        <f t="shared" si="11"/>
        <v/>
      </c>
      <c r="E155" s="467" t="str">
        <f t="shared" si="11"/>
        <v/>
      </c>
      <c r="F155" s="468">
        <f>IF(ISERROR(F150/E150 - 1),"",(F150/E150 - 1))</f>
        <v>0.20855454571904963</v>
      </c>
      <c r="Q155" s="559"/>
      <c r="R155" s="559" t="s">
        <v>423</v>
      </c>
      <c r="S155" s="559" t="e">
        <f t="shared" si="12"/>
        <v>#NUM!</v>
      </c>
      <c r="T155" s="559" t="e">
        <f t="shared" si="12"/>
        <v>#NUM!</v>
      </c>
      <c r="U155" s="559">
        <f t="shared" si="12"/>
        <v>1.6370578500843909</v>
      </c>
      <c r="V155" s="559">
        <f t="shared" si="12"/>
        <v>1.8264829052864406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0.2010965595462062</v>
      </c>
      <c r="D156" s="467" t="str">
        <f t="shared" si="11"/>
        <v/>
      </c>
      <c r="E156" s="467" t="str">
        <f t="shared" si="11"/>
        <v/>
      </c>
      <c r="F156" s="468">
        <f>IF(ISERROR(F151/E151 - 1),"",(F151/E151 - 1))</f>
        <v>0.2010965595462062</v>
      </c>
      <c r="Q156" s="559"/>
      <c r="R156" s="559" t="s">
        <v>423</v>
      </c>
      <c r="S156" s="559" t="e">
        <f t="shared" si="12"/>
        <v>#NUM!</v>
      </c>
      <c r="T156" s="559" t="e">
        <f t="shared" si="12"/>
        <v>#NUM!</v>
      </c>
      <c r="U156" s="559">
        <f t="shared" si="12"/>
        <v>-0.97289302009588341</v>
      </c>
      <c r="V156" s="559">
        <f t="shared" si="12"/>
        <v>-0.78965808094078904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0.10946514156361498</v>
      </c>
      <c r="D157" s="470">
        <f t="shared" si="11"/>
        <v>0.10221606446320708</v>
      </c>
      <c r="E157" s="470">
        <f t="shared" si="11"/>
        <v>0.13188262373172055</v>
      </c>
      <c r="F157" s="471">
        <f>IF(ISERROR(F152/E152 - 1),"",(F152/E152 - 1))</f>
        <v>8.7368994317265303E-2</v>
      </c>
      <c r="N157" s="136"/>
      <c r="O157" s="136"/>
      <c r="Q157" s="559"/>
      <c r="R157" s="559" t="s">
        <v>423</v>
      </c>
      <c r="S157" s="559">
        <f t="shared" si="12"/>
        <v>2.2322958260029506</v>
      </c>
      <c r="T157" s="559">
        <f t="shared" si="12"/>
        <v>2.3296185832713814</v>
      </c>
      <c r="U157" s="559">
        <f t="shared" si="12"/>
        <v>2.4535008683933346</v>
      </c>
      <c r="V157" s="559">
        <f t="shared" si="12"/>
        <v>2.5372618801219282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Top Energy</v>
      </c>
      <c r="C162" s="456">
        <f>(C152/C102)*1000000</f>
        <v>310.98793853020931</v>
      </c>
      <c r="D162" s="456">
        <f>(D152/D102)*1000000</f>
        <v>337.37307003325884</v>
      </c>
      <c r="E162" s="456">
        <f>(E152/E102)*1000000</f>
        <v>377.27053895586965</v>
      </c>
      <c r="F162" s="457">
        <f>(F152/F102)*1000000</f>
        <v>407.87691116702149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Top Energy</v>
      </c>
      <c r="C165" s="456">
        <f>C152/VLOOKUP(C$38,'MP (2011)'!$A$14:$AR$245,'MP (2011)'!$H$246,FALSE)*1000000</f>
        <v>2275.7976210256584</v>
      </c>
      <c r="D165" s="456">
        <f>D152/VLOOKUP(D$38,'MP (2011)'!$A$14:$AR$245,'MP (2011)'!$H$246,FALSE)*1000000</f>
        <v>2677.4684508746136</v>
      </c>
      <c r="E165" s="456">
        <f>E152/VLOOKUP(E$38,'MP (2011)'!$A$14:$AR$245,'MP (2011)'!$H$246,FALSE)*1000000</f>
        <v>3023.5475288927923</v>
      </c>
      <c r="F165" s="457">
        <f>F152/VLOOKUP(F$38,'MP (2011)'!$A$14:$AR$245,'MP (2011)'!$H$246,FALSE)*1000000</f>
        <v>3285.2689010132503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Top Energy</v>
      </c>
      <c r="C168" s="456">
        <f>(C152/C117)*1000000</f>
        <v>28.829146596374457</v>
      </c>
      <c r="D168" s="456">
        <f>(D152/D117)*1000000</f>
        <v>31.656597529234165</v>
      </c>
      <c r="E168" s="456">
        <f>(E152/E117)*1000000</f>
        <v>35.473912636815932</v>
      </c>
      <c r="F168" s="457">
        <f>(F152/F117)*1000000</f>
        <v>38.623676843548871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9.6957800576718212E-2</v>
      </c>
      <c r="D171" s="464">
        <f>IF(ISERROR(D162/C162 - 1),"",(D162/C162 - 1))</f>
        <v>8.4842941587223386E-2</v>
      </c>
      <c r="E171" s="464">
        <f>IF(ISERROR(E162/D162 - 1),"",(E162/D162 - 1))</f>
        <v>0.11825919869264512</v>
      </c>
      <c r="F171" s="465">
        <f>IF(ISERROR(F162/E162 - 1),"",(F162/E162 - 1))</f>
        <v>8.1125794491819336E-2</v>
      </c>
      <c r="H171" s="139"/>
      <c r="Q171" s="559"/>
      <c r="R171" s="559" t="s">
        <v>423</v>
      </c>
      <c r="S171" s="559">
        <f>LN(C162)</f>
        <v>5.739754128566096</v>
      </c>
      <c r="T171" s="559">
        <f>LN(D162)</f>
        <v>5.8211893507831149</v>
      </c>
      <c r="U171" s="559">
        <f>LN(E162)</f>
        <v>5.9329625400516157</v>
      </c>
      <c r="V171" s="559">
        <f>LN(F162)</f>
        <v>6.0109654405709634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0.13008322639182124</v>
      </c>
      <c r="D172" s="467">
        <f>IF(ISERROR(D165/C165 - 1),"",(D165/C165 - 1))</f>
        <v>0.17649672630729341</v>
      </c>
      <c r="E172" s="467">
        <f>IF(ISERROR(E165/D165 - 1),"",(E165/D165 - 1))</f>
        <v>0.12925608064779603</v>
      </c>
      <c r="F172" s="468">
        <f>IF(ISERROR(F165/E165 - 1),"",(F165/E165 - 1))</f>
        <v>8.6561024630659178E-2</v>
      </c>
      <c r="Q172" s="559"/>
      <c r="R172" s="559" t="s">
        <v>423</v>
      </c>
      <c r="S172" s="559">
        <f>LN(C165)</f>
        <v>7.7300858725869448</v>
      </c>
      <c r="T172" s="559">
        <f>LN(D165)</f>
        <v>7.8926270191991179</v>
      </c>
      <c r="U172" s="559">
        <f>LN(E165)</f>
        <v>8.0141860994153422</v>
      </c>
      <c r="V172" s="559">
        <f>LN(F165)</f>
        <v>8.0972037848024563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0.10420836846398518</v>
      </c>
      <c r="D173" s="470">
        <f>IF(ISERROR(D168/C168 - 1),"",(D168/C168 - 1))</f>
        <v>9.8076123183448161E-2</v>
      </c>
      <c r="E173" s="470">
        <f>IF(ISERROR(E168/D168 - 1),"",(E168/D168 - 1))</f>
        <v>0.12058513565952755</v>
      </c>
      <c r="F173" s="471">
        <f>IF(ISERROR(F168/E168 - 1),"",(F168/E168 - 1))</f>
        <v>8.8791000839981038E-2</v>
      </c>
      <c r="Q173" s="559"/>
      <c r="R173" s="559" t="s">
        <v>423</v>
      </c>
      <c r="S173" s="559">
        <f>LN(C168)</f>
        <v>3.3613869099764746</v>
      </c>
      <c r="T173" s="559">
        <f>LN(D168)</f>
        <v>3.4549465796073475</v>
      </c>
      <c r="U173" s="559">
        <f>LN(E168)</f>
        <v>3.568797571041904</v>
      </c>
      <c r="V173" s="559">
        <f>LN(F168)</f>
        <v>3.6538654781534441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Top Energy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6110.9746436366568</v>
      </c>
      <c r="X176" s="563">
        <f>D178</f>
        <v>5979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Top Energy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5903.6185170657291</v>
      </c>
      <c r="X177" s="563">
        <f t="shared" si="14"/>
        <v>5944.0905964853455</v>
      </c>
      <c r="Y177" s="563">
        <f t="shared" si="14"/>
        <v>5996.7746337332883</v>
      </c>
      <c r="Z177" s="563">
        <f t="shared" si="14"/>
        <v>3935.8968011693983</v>
      </c>
      <c r="AA177" s="563">
        <f t="shared" si="14"/>
        <v>4132.691641227877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6110.9746436366568</v>
      </c>
      <c r="D178" s="461">
        <f>VLOOKUP(F38,'FS (2011)'!$A$14:$T$246,'FS (2011)'!$M$245,FALSE)+VLOOKUP(F38,'FS (2011)'!$A$14:$AO$245,'FS (2011)'!$N$245,FALSE)+VLOOKUP(F38,'FS (2011)'!$A$14:$AO$245,'FS (2011)'!$O$245,FALSE)</f>
        <v>5979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6372</v>
      </c>
      <c r="Y178" s="563">
        <f t="shared" si="14"/>
        <v>6063.9350000000004</v>
      </c>
      <c r="Z178" s="563">
        <f t="shared" si="14"/>
        <v>3646.5129999999999</v>
      </c>
      <c r="AA178" s="563">
        <f t="shared" si="14"/>
        <v>3839.848</v>
      </c>
      <c r="AB178" s="563">
        <f>H180</f>
        <v>3961.1390000000001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5903.6185170657291</v>
      </c>
      <c r="D179" s="461">
        <f>VLOOKUP(D182,'AM (2011)'!$A$10:$N$444,'AM (2011)'!$N$445,FALSE)</f>
        <v>5944.0905964853455</v>
      </c>
      <c r="E179" s="461">
        <f>VLOOKUP(E182,'AM (2011)'!$A$10:$N$444,'AM (2011)'!$N$445,FALSE)</f>
        <v>5996.7746337332883</v>
      </c>
      <c r="F179" s="461">
        <f>VLOOKUP(F182,'AM (2011)'!$A$10:$N$444,'AM (2011)'!$N$445,FALSE)</f>
        <v>3935.8968011693983</v>
      </c>
      <c r="G179" s="461">
        <f>VLOOKUP(G182,'AM (2011)'!$A$10:$N$444,'AM (2011)'!$N$445,FALSE)</f>
        <v>4132.691641227877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5941.5714285714284</v>
      </c>
      <c r="Z179" s="563">
        <f>F181</f>
        <v>3636.7989657401422</v>
      </c>
      <c r="AA179" s="563">
        <f>G181</f>
        <v>3734.5623787976729</v>
      </c>
      <c r="AB179" s="563">
        <f>H181</f>
        <v>3930.0892049127342</v>
      </c>
      <c r="AC179" s="563">
        <f>I181</f>
        <v>4089.9323852617968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6372</v>
      </c>
      <c r="E180" s="461">
        <f>VLOOKUP(E183,'AM (2011)'!$A$10:$N$444,'AM (2011)'!$N$445,FALSE)</f>
        <v>6063.9350000000004</v>
      </c>
      <c r="F180" s="461">
        <f>VLOOKUP(F183,'AM (2011)'!$A$10:$N$444,'AM (2011)'!$N$445,FALSE)</f>
        <v>3646.5129999999999</v>
      </c>
      <c r="G180" s="461">
        <f>VLOOKUP(G183,'AM (2011)'!$A$10:$N$444,'AM (2011)'!$N$445,FALSE)</f>
        <v>3839.848</v>
      </c>
      <c r="H180" s="461">
        <f>VLOOKUP(H183,'AM (2011)'!$A$10:$N$444,'AM (2011)'!$N$445,FALSE)</f>
        <v>3961.1390000000001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5941.5714285714284</v>
      </c>
      <c r="F181" s="493">
        <f>VLOOKUP(F184,'AM (2011)'!$A$10:$N$444,'AM (2011)'!$N$445,FALSE)</f>
        <v>3636.7989657401422</v>
      </c>
      <c r="G181" s="493">
        <f>VLOOKUP(G184,'AM (2011)'!$A$10:$N$444,'AM (2011)'!$N$445,FALSE)</f>
        <v>3734.5623787976729</v>
      </c>
      <c r="H181" s="493">
        <f>VLOOKUP(H184,'AM (2011)'!$A$10:$N$444,'AM (2011)'!$N$445,FALSE)</f>
        <v>3930.0892049127342</v>
      </c>
      <c r="I181" s="494">
        <f>VLOOKUP(I184,'AM (2011)'!$A$10:$N$444,'AM (2011)'!$N$445,FALSE)</f>
        <v>4089.9323852617968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515</v>
      </c>
      <c r="D182" s="136">
        <f>VLOOKUP($B$2,$B$257:$Y$286,11,FALSE)</f>
        <v>516</v>
      </c>
      <c r="E182" s="136">
        <f>VLOOKUP($B$2,$B$257:$Y$286,12,FALSE)</f>
        <v>517</v>
      </c>
      <c r="F182" s="136">
        <f>VLOOKUP($B$2,$B$257:$Y$286,13,FALSE)</f>
        <v>518</v>
      </c>
      <c r="G182" s="136">
        <f>VLOOKUP($B$2,$B$257:$Y$286,14,FALSE)</f>
        <v>519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520</v>
      </c>
      <c r="E183" s="136">
        <f>VLOOKUP($B$2,$B$257:$Y$286,16,FALSE)</f>
        <v>521</v>
      </c>
      <c r="F183" s="136">
        <f>VLOOKUP($B$2,$B$257:$Y$286,17,FALSE)</f>
        <v>522</v>
      </c>
      <c r="G183" s="136">
        <f>VLOOKUP($B$2,$B$257:$Y$286,18,FALSE)</f>
        <v>523</v>
      </c>
      <c r="H183" s="136">
        <f>VLOOKUP($B$2,$B$257:$Y$286,19,FALSE)</f>
        <v>524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525</v>
      </c>
      <c r="F184" s="136">
        <f>VLOOKUP($B$2,$B$257:$Y$286,21,FALSE)</f>
        <v>526</v>
      </c>
      <c r="G184" s="136">
        <f>VLOOKUP($B$2,$B$257:$Y$286,22,FALSE)</f>
        <v>527</v>
      </c>
      <c r="H184" s="136">
        <f>VLOOKUP($B$2,$B$257:$Y$286,23,FALSE)</f>
        <v>528</v>
      </c>
      <c r="I184" s="136">
        <f>VLOOKUP($B$2,$B$257:$Y$286,24,FALSE)</f>
        <v>529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1</v>
      </c>
      <c r="B186" s="483" t="s">
        <v>205</v>
      </c>
      <c r="C186" s="490"/>
      <c r="D186" s="484">
        <f>VLOOKUP($D$6,'FS (2011)'!$A$13:$AH$244,'FS (2011)'!AC245,FALSE)/1000</f>
        <v>6.7130000000000001</v>
      </c>
      <c r="E186" s="495">
        <f t="shared" ref="E186:E191" si="16">D186/$D$192</f>
        <v>0.47891845616037676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System growth</v>
      </c>
      <c r="V186" s="559">
        <f t="shared" ref="V186:V191" si="18">VLOOKUP(T186,$A$186:$D$191,4,FALSE)</f>
        <v>6.7130000000000001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4</v>
      </c>
      <c r="B187" s="162" t="s">
        <v>206</v>
      </c>
      <c r="C187" s="121"/>
      <c r="D187" s="456">
        <f>VLOOKUP($D$6,'FS (2011)'!$A$13:$AH$244,'FS (2011)'!AD245,FALSE)/1000</f>
        <v>0.94599999999999995</v>
      </c>
      <c r="E187" s="468">
        <f t="shared" si="16"/>
        <v>6.7489477063565673E-2</v>
      </c>
      <c r="Q187" s="559"/>
      <c r="R187" s="559"/>
      <c r="S187" s="559"/>
      <c r="T187" s="559">
        <v>2</v>
      </c>
      <c r="U187" s="559" t="str">
        <f t="shared" si="17"/>
        <v>Asset replacement and renewal</v>
      </c>
      <c r="V187" s="559">
        <f t="shared" si="18"/>
        <v>5.0460000000000003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3</v>
      </c>
      <c r="B188" s="162" t="s">
        <v>209</v>
      </c>
      <c r="C188" s="121"/>
      <c r="D188" s="456">
        <f>VLOOKUP($D$6,'FS (2011)'!$A$13:$AH$244,'FS (2011)'!AB245,FALSE)/1000</f>
        <v>1.006</v>
      </c>
      <c r="E188" s="468">
        <f t="shared" si="16"/>
        <v>7.1769993579225241E-2</v>
      </c>
      <c r="Q188" s="559"/>
      <c r="R188" s="559"/>
      <c r="S188" s="559"/>
      <c r="T188" s="559">
        <v>3</v>
      </c>
      <c r="U188" s="559" t="str">
        <f t="shared" si="17"/>
        <v>Customer connection</v>
      </c>
      <c r="V188" s="559">
        <f t="shared" si="18"/>
        <v>1.006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2</v>
      </c>
      <c r="B189" s="162" t="s">
        <v>208</v>
      </c>
      <c r="C189" s="121"/>
      <c r="D189" s="456">
        <f>VLOOKUP($D$6,'FS (2011)'!$A$13:$AH$244,'FS (2011)'!AE245,FALSE)/1000</f>
        <v>5.0460000000000003</v>
      </c>
      <c r="E189" s="468">
        <f t="shared" si="16"/>
        <v>0.35999143896696878</v>
      </c>
      <c r="Q189" s="559"/>
      <c r="R189" s="559"/>
      <c r="S189" s="559"/>
      <c r="T189" s="559">
        <v>4</v>
      </c>
      <c r="U189" s="559" t="str">
        <f t="shared" si="17"/>
        <v>Reliability, safety and environment</v>
      </c>
      <c r="V189" s="559">
        <f t="shared" si="18"/>
        <v>0.94599999999999995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5</v>
      </c>
      <c r="B190" s="162" t="s">
        <v>312</v>
      </c>
      <c r="C190" s="121"/>
      <c r="D190" s="456">
        <f>VLOOKUP($D$6,'FS (2011)'!$A$13:$AH$244,'FS (2011)'!AH245,FALSE)/1000</f>
        <v>0.154</v>
      </c>
      <c r="E190" s="468">
        <f t="shared" si="16"/>
        <v>1.0986659056859529E-2</v>
      </c>
      <c r="Q190" s="559"/>
      <c r="R190" s="559"/>
      <c r="S190" s="559"/>
      <c r="T190" s="559">
        <v>5</v>
      </c>
      <c r="U190" s="559" t="str">
        <f t="shared" si="17"/>
        <v>Non-network capex</v>
      </c>
      <c r="V190" s="559">
        <f t="shared" si="18"/>
        <v>0.154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6</v>
      </c>
      <c r="B191" s="162" t="s">
        <v>207</v>
      </c>
      <c r="C191" s="121"/>
      <c r="D191" s="456">
        <f>VLOOKUP($D$6,'FS (2011)'!$A$13:$AH$244,'FS (2011)'!AF245,FALSE)/1000</f>
        <v>0.152</v>
      </c>
      <c r="E191" s="468">
        <f t="shared" si="16"/>
        <v>1.084397517300421E-2</v>
      </c>
      <c r="Q191" s="559"/>
      <c r="R191" s="559"/>
      <c r="S191" s="559"/>
      <c r="T191" s="559">
        <v>6</v>
      </c>
      <c r="U191" s="559" t="str">
        <f t="shared" si="17"/>
        <v>Asset relocations</v>
      </c>
      <c r="V191" s="559">
        <f t="shared" si="18"/>
        <v>0.152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14.016999999999998</v>
      </c>
      <c r="E192" s="496">
        <f>SUM(E186:E191)</f>
        <v>1.0000000000000002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6.504169541786661</v>
      </c>
      <c r="D196" s="484">
        <f>VLOOKUP($D$38,'FS (2011)'!$A$13:$AH$244,'FS (2011)'!$AG$245,FALSE)/1000</f>
        <v>10.918678838629965</v>
      </c>
      <c r="E196" s="484">
        <f>VLOOKUP($E$38,'FS (2011)'!$A$13:$AH$244,'FS (2011)'!$AG$245,FALSE)/1000</f>
        <v>8.3055460645091728</v>
      </c>
      <c r="F196" s="486">
        <f>VLOOKUP($F$38,'FS (2011)'!$A$13:$AH$244,'FS (2011)'!$AG$245,FALSE)/1000</f>
        <v>13.863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0.17896438653018162</v>
      </c>
      <c r="D197" s="456">
        <f>VLOOKUP($D$38,'FS (2011)'!$A$13:$AH$244,'FS (2011)'!$AH$245,FALSE)/1000</f>
        <v>0.19619987644999651</v>
      </c>
      <c r="E197" s="456">
        <f>VLOOKUP($E$38,'FS (2011)'!$A$13:$AH$244,'FS (2011)'!$AH$245,FALSE)/1000</f>
        <v>-4.2791086200856879E-2</v>
      </c>
      <c r="F197" s="457">
        <f>VLOOKUP($F$38,'FS (2011)'!$A$13:$AH$244,'FS (2011)'!$AH$245,FALSE)/1000</f>
        <v>0.154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6.6831339283168427</v>
      </c>
      <c r="D198" s="488">
        <f>SUM(D196:D197)</f>
        <v>11.114878715079962</v>
      </c>
      <c r="E198" s="488">
        <f>SUM(E196:E197)</f>
        <v>8.2627549783083154</v>
      </c>
      <c r="F198" s="489">
        <f>SUM(F196:F197)</f>
        <v>14.016999999999999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0.2210105626004355</v>
      </c>
      <c r="D200" s="498">
        <f t="shared" ref="D200:F202" si="20">D196/C196 - 1</f>
        <v>0.67871989936330324</v>
      </c>
      <c r="E200" s="498">
        <f t="shared" si="20"/>
        <v>-0.23932682815759776</v>
      </c>
      <c r="F200" s="495">
        <f t="shared" si="20"/>
        <v>0.66912565318716966</v>
      </c>
      <c r="Q200" s="559"/>
      <c r="R200" s="559" t="s">
        <v>423</v>
      </c>
      <c r="S200" s="559">
        <f t="shared" ref="S200:V202" si="21">LN(C196)</f>
        <v>1.8724434392161353</v>
      </c>
      <c r="T200" s="559">
        <f t="shared" si="21"/>
        <v>2.3904749775239797</v>
      </c>
      <c r="U200" s="559">
        <f t="shared" si="21"/>
        <v>2.1169234921992421</v>
      </c>
      <c r="V200" s="559">
        <f t="shared" si="21"/>
        <v>2.6292234205562388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-4.5988803667460116</v>
      </c>
      <c r="D201" s="467">
        <f t="shared" si="20"/>
        <v>9.6306814187906431E-2</v>
      </c>
      <c r="E201" s="467">
        <f t="shared" si="20"/>
        <v>-1.218099455387591</v>
      </c>
      <c r="F201" s="468">
        <f t="shared" si="20"/>
        <v>-4.5988803667460116</v>
      </c>
      <c r="Q201" s="559"/>
      <c r="R201" s="559" t="s">
        <v>423</v>
      </c>
      <c r="S201" s="559">
        <f t="shared" si="21"/>
        <v>-1.7205684508680832</v>
      </c>
      <c r="T201" s="559">
        <f t="shared" si="21"/>
        <v>-1.6286213615656673</v>
      </c>
      <c r="U201" s="559" t="e">
        <f t="shared" si="21"/>
        <v>#NUM!</v>
      </c>
      <c r="V201" s="559">
        <f t="shared" si="21"/>
        <v>-1.870802676568508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0.21234014740735674</v>
      </c>
      <c r="D202" s="500">
        <f t="shared" si="20"/>
        <v>0.66312374318664324</v>
      </c>
      <c r="E202" s="500">
        <f t="shared" si="20"/>
        <v>-0.25660412586437553</v>
      </c>
      <c r="F202" s="501">
        <f t="shared" si="20"/>
        <v>0.69640755859249581</v>
      </c>
      <c r="Q202" s="559"/>
      <c r="R202" s="559" t="s">
        <v>423</v>
      </c>
      <c r="S202" s="559">
        <f t="shared" si="21"/>
        <v>1.8995870284772929</v>
      </c>
      <c r="T202" s="559">
        <f t="shared" si="21"/>
        <v>2.4082846355329606</v>
      </c>
      <c r="U202" s="559">
        <f t="shared" si="21"/>
        <v>2.1117580644061396</v>
      </c>
      <c r="V202" s="559">
        <f t="shared" si="21"/>
        <v>2.6402708786809206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Top Energy</v>
      </c>
      <c r="C206" s="456">
        <f>(C198/C102)*1000000</f>
        <v>222.97180556890677</v>
      </c>
      <c r="D206" s="456">
        <f>(D198/D102)*1000000</f>
        <v>364.98468837487155</v>
      </c>
      <c r="E206" s="456">
        <f>(E198/E102)*1000000</f>
        <v>268.06238574838812</v>
      </c>
      <c r="F206" s="457">
        <f>(F198/F102)*1000000</f>
        <v>452.13212050835426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Top Energy</v>
      </c>
      <c r="C209" s="456">
        <f>(C198/C117)*1000000000</f>
        <v>20669.891250396173</v>
      </c>
      <c r="D209" s="456">
        <f>(D198/D117)*1000000000</f>
        <v>34247.467893857764</v>
      </c>
      <c r="E209" s="456">
        <f>(E198/E117)*1000000000</f>
        <v>25205.312027735865</v>
      </c>
      <c r="F209" s="457">
        <f>(F198/F117)*1000000000</f>
        <v>42814.399234165641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Top Energy</v>
      </c>
      <c r="C212" s="456">
        <f>(C198/VLOOKUP(C$38,'AV (2011)'!$A$11:$F$213,'AV (2011)'!$F$214,FALSE)*1000)</f>
        <v>5.1959695235725946E-2</v>
      </c>
      <c r="D212" s="456">
        <f>(D198/VLOOKUP(D$38,'AV (2011)'!$A$11:$F$213,'AV (2011)'!$F$214,FALSE)*1000)</f>
        <v>8.2711580231507459E-2</v>
      </c>
      <c r="E212" s="456">
        <f>(E198/VLOOKUP(E$38,'AV (2011)'!$A$11:$F$213,'AV (2011)'!$F$214,FALSE)*1000)</f>
        <v>6.0463896008659666E-2</v>
      </c>
      <c r="F212" s="457">
        <f>(F198/VLOOKUP(F$38,'AV (2011)'!$A$11:$F$213,'AV (2011)'!$F$214,FALSE)*1000)</f>
        <v>9.6113495796705931E-2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0.19867306491176895</v>
      </c>
      <c r="D215" s="464">
        <f>D206/C206 - 1</f>
        <v>0.63690959690451709</v>
      </c>
      <c r="E215" s="464">
        <f>E206/D206 - 1</f>
        <v>-0.26555169494380448</v>
      </c>
      <c r="F215" s="465">
        <f>F206/E206 - 1</f>
        <v>0.68666752422602051</v>
      </c>
      <c r="K215" s="139"/>
      <c r="P215" s="139"/>
      <c r="Q215" s="559"/>
      <c r="R215" s="559" t="s">
        <v>423</v>
      </c>
      <c r="S215" s="559">
        <f>LN(C206)</f>
        <v>5.4070453310404387</v>
      </c>
      <c r="T215" s="559">
        <f>LN(D206)</f>
        <v>5.8998554030446941</v>
      </c>
      <c r="U215" s="559">
        <f>LN(E206)</f>
        <v>5.5912197360644207</v>
      </c>
      <c r="V215" s="559">
        <f>LN(F206)</f>
        <v>6.1139744391299553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0.20659594072997423</v>
      </c>
      <c r="D216" s="467">
        <f>D209/C209 - 1</f>
        <v>0.6568770236370427</v>
      </c>
      <c r="E216" s="467">
        <f>E209/D209 - 1</f>
        <v>-0.26402407016326002</v>
      </c>
      <c r="F216" s="468">
        <f>F209/E209 - 1</f>
        <v>0.69862603514103605</v>
      </c>
      <c r="Q216" s="559"/>
      <c r="R216" s="559" t="s">
        <v>423</v>
      </c>
      <c r="S216" s="559">
        <f>LN(C209)</f>
        <v>9.9364333914329546</v>
      </c>
      <c r="T216" s="559">
        <f>LN(D209)</f>
        <v>10.441367910851064</v>
      </c>
      <c r="U216" s="559">
        <f>LN(E209)</f>
        <v>10.134810046036845</v>
      </c>
      <c r="V216" s="559">
        <f>LN(F209)</f>
        <v>10.664629755694573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0.16554303763279243</v>
      </c>
      <c r="D217" s="470">
        <f>D212/C212 - 1</f>
        <v>0.59184113486942524</v>
      </c>
      <c r="E217" s="470">
        <f>E212/D212 - 1</f>
        <v>-0.26897907355387396</v>
      </c>
      <c r="F217" s="471">
        <f>F212/E212 - 1</f>
        <v>0.58960143393572451</v>
      </c>
      <c r="Q217" s="559"/>
      <c r="R217" s="559" t="s">
        <v>423</v>
      </c>
      <c r="S217" s="559">
        <f>LN(C212)</f>
        <v>-2.9572869525601817</v>
      </c>
      <c r="T217" s="559">
        <f>LN(D212)</f>
        <v>-2.4923956597721926</v>
      </c>
      <c r="U217" s="559">
        <f>LN(E212)</f>
        <v>-2.8057088522650173</v>
      </c>
      <c r="V217" s="559">
        <f>LN(F212)</f>
        <v>-2.3422255379366499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Top Energy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8305.5460645091734</v>
      </c>
      <c r="X220" s="563">
        <f>D222</f>
        <v>13863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Top Energy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10273.17190320929</v>
      </c>
      <c r="X221" s="563">
        <f t="shared" si="23"/>
        <v>12721.9936945919</v>
      </c>
      <c r="Y221" s="563">
        <f t="shared" si="23"/>
        <v>13786.880439761793</v>
      </c>
      <c r="Z221" s="563">
        <f t="shared" si="23"/>
        <v>16615.676888254155</v>
      </c>
      <c r="AA221" s="563">
        <f t="shared" si="23"/>
        <v>21306.395004176655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8305.5460645091734</v>
      </c>
      <c r="D222" s="461">
        <f>VLOOKUP(D226,'FS (2011)'!$A$14:$AJ$245,'FS (2011)'!$AG$245,FALSE)</f>
        <v>13863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15454.5</v>
      </c>
      <c r="Y222" s="563">
        <f t="shared" si="23"/>
        <v>17338.5</v>
      </c>
      <c r="Z222" s="563">
        <f t="shared" si="23"/>
        <v>16409.612000000001</v>
      </c>
      <c r="AA222" s="563">
        <f t="shared" si="23"/>
        <v>15964.68</v>
      </c>
      <c r="AB222" s="563">
        <f>H224</f>
        <v>16440.343000000001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10273.17190320929</v>
      </c>
      <c r="D223" s="461">
        <f>VLOOKUP(D227,'AM (2011)'!$A$10:$N$444,'AM (2011)'!$J$445,FALSE)</f>
        <v>12721.9936945919</v>
      </c>
      <c r="E223" s="461">
        <f>VLOOKUP(E226,'AM (2011)'!$A$10:$N$444,'AM (2011)'!$J$445,FALSE)</f>
        <v>13786.880439761793</v>
      </c>
      <c r="F223" s="461">
        <f>VLOOKUP(F226,'AM (2011)'!$A$10:$N$444,'AM (2011)'!$J$445,FALSE)</f>
        <v>16615.676888254155</v>
      </c>
      <c r="G223" s="461">
        <f>VLOOKUP(G226,'AM (2011)'!$A$10:$N$444,'AM (2011)'!$J$445,FALSE)</f>
        <v>21306.395004176655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16950.715238784745</v>
      </c>
      <c r="Z223" s="563">
        <f>F225</f>
        <v>16042.596760698127</v>
      </c>
      <c r="AA223" s="563">
        <f>G225</f>
        <v>15607.616051712992</v>
      </c>
      <c r="AB223" s="563">
        <f>H225</f>
        <v>16072.640435164836</v>
      </c>
      <c r="AC223" s="563">
        <f>I225</f>
        <v>13833.522947640595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15454.5</v>
      </c>
      <c r="E224" s="461">
        <f>VLOOKUP(E227,'AM (2011)'!$A$10:$N$444,'AM (2011)'!$J$445,FALSE)</f>
        <v>17338.5</v>
      </c>
      <c r="F224" s="461">
        <f>VLOOKUP(F227,'AM (2011)'!$A$10:$N$444,'AM (2011)'!$J$445,FALSE)</f>
        <v>16409.612000000001</v>
      </c>
      <c r="G224" s="461">
        <f>VLOOKUP(G227,'AM (2011)'!$A$10:$N$444,'AM (2011)'!$J$445,FALSE)</f>
        <v>15964.68</v>
      </c>
      <c r="H224" s="461">
        <f>VLOOKUP(H227,'AM (2011)'!$A$10:$N$444,'AM (2011)'!$J$445,FALSE)</f>
        <v>16440.343000000001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16950.715238784745</v>
      </c>
      <c r="F225" s="493">
        <f>VLOOKUP(F228,'AM (2011)'!$A$10:$N$444,'AM (2011)'!$J$445,FALSE)</f>
        <v>16042.596760698127</v>
      </c>
      <c r="G225" s="493">
        <f>VLOOKUP(G228,'AM (2011)'!$A$10:$N$444,'AM (2011)'!$J$445,FALSE)</f>
        <v>15607.616051712992</v>
      </c>
      <c r="H225" s="493">
        <f>VLOOKUP(H228,'AM (2011)'!$A$10:$N$444,'AM (2011)'!$J$445,FALSE)</f>
        <v>16072.640435164836</v>
      </c>
      <c r="I225" s="494">
        <f>VLOOKUP(I228,'AM (2011)'!$A$10:$N$444,'AM (2011)'!$J$445,FALSE)</f>
        <v>13833.522947640595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513</v>
      </c>
      <c r="D226" s="136">
        <f>VLOOKUP($B$2,$B$257:$Y$286,9,FALSE)</f>
        <v>514</v>
      </c>
      <c r="E226" s="136">
        <f>VLOOKUP($B$2,$B$257:$Y$286,12,FALSE)</f>
        <v>517</v>
      </c>
      <c r="F226" s="136">
        <f>VLOOKUP($B$2,$B$257:$Y$286,13,FALSE)</f>
        <v>518</v>
      </c>
      <c r="G226" s="136">
        <f>VLOOKUP($B$2,$B$257:$Y$286,14,FALSE)</f>
        <v>519</v>
      </c>
      <c r="H226" s="136"/>
      <c r="I226" s="136"/>
    </row>
    <row r="227" spans="2:30">
      <c r="C227" s="136">
        <f>VLOOKUP($B$2,$B$257:$Y$286,10,FALSE)</f>
        <v>515</v>
      </c>
      <c r="D227" s="136">
        <f>VLOOKUP($B$2,$B$257:$Y$286,11,FALSE)</f>
        <v>516</v>
      </c>
      <c r="E227" s="136">
        <f>VLOOKUP($B$2,$B$257:$Y$286,16,FALSE)</f>
        <v>521</v>
      </c>
      <c r="F227" s="136">
        <f>VLOOKUP($B$2,$B$257:$Y$286,17,FALSE)</f>
        <v>522</v>
      </c>
      <c r="G227" s="136">
        <f>VLOOKUP($B$2,$B$257:$Y$286,18,FALSE)</f>
        <v>523</v>
      </c>
      <c r="H227" s="136">
        <f>VLOOKUP($B$2,$B$257:$Y$286,19,FALSE)</f>
        <v>524</v>
      </c>
      <c r="I227" s="136"/>
    </row>
    <row r="228" spans="2:30">
      <c r="B228" s="517" t="s">
        <v>291</v>
      </c>
      <c r="C228" s="518"/>
      <c r="D228" s="518">
        <f>VLOOKUP($B$2,$B$257:$Y$286,15,FALSE)</f>
        <v>520</v>
      </c>
      <c r="E228" s="518">
        <f>VLOOKUP($B$2,$B$257:$Y$286,20,FALSE)</f>
        <v>525</v>
      </c>
      <c r="F228" s="519">
        <f>VLOOKUP($B$2,$B$257:$Y$286,21,FALSE)</f>
        <v>526</v>
      </c>
      <c r="G228" s="136">
        <f>VLOOKUP($B$2,$B$257:$Y$286,22,FALSE)</f>
        <v>527</v>
      </c>
      <c r="H228" s="136">
        <f>VLOOKUP($B$2,$B$257:$Y$286,23,FALSE)</f>
        <v>528</v>
      </c>
      <c r="I228" s="136">
        <f>VLOOKUP($B$2,$B$257:$Y$286,24,FALSE)</f>
        <v>529</v>
      </c>
    </row>
    <row r="229" spans="2:30">
      <c r="B229" s="474" t="str">
        <f>$B$2</f>
        <v>Top Energy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818.30200000000002</v>
      </c>
      <c r="D230" s="456">
        <f>VLOOKUP(D$38,'MP (2011)'!$A$11:$AR$245,'MP (2011)'!$S$246,FALSE)+VLOOKUP(D$38,'MP (2011)'!$A$11:$AR$245,'MP (2011)'!$T$246,FALSE)</f>
        <v>915.15621999999996</v>
      </c>
      <c r="E230" s="456">
        <f>VLOOKUP(E$38,'MP (2011)'!$A$11:$AR$245,'MP (2011)'!$S$246,FALSE)+VLOOKUP(E$38,'MP (2011)'!$A$11:$AR$245,'MP (2011)'!$T$246,FALSE)</f>
        <v>463.03188299999999</v>
      </c>
      <c r="F230" s="457">
        <f>VLOOKUP(F$38,'MP (2011)'!$A$11:$AR$245,'MP (2011)'!$S$246,FALSE)+VLOOKUP(F$38,'MP (2011)'!$A$11:$AR$245,'MP (2011)'!$T$246,FALSE)</f>
        <v>440.017</v>
      </c>
    </row>
    <row r="231" spans="2:30">
      <c r="B231" s="199" t="s">
        <v>292</v>
      </c>
      <c r="C231" s="456">
        <f>IF(ISERROR(VLOOKUP(C$38,'Compliance data'!$A$7:$E$74,'Compliance data'!$D$75,FALSE)),"",(VLOOKUP(C$38,'Compliance data'!$A$7:$E$74,'Compliance data'!$D$75,FALSE)))</f>
        <v>464.4</v>
      </c>
      <c r="D231" s="456">
        <f>IF(ISERROR(VLOOKUP(D$38,'Compliance data'!$A$7:$E$74,'Compliance data'!$D$75,FALSE)),"",(VLOOKUP(D$38,'Compliance data'!$A$7:$E$74,'Compliance data'!$D$75,FALSE)))</f>
        <v>464.4</v>
      </c>
      <c r="E231" s="456">
        <f>IF(ISERROR(VLOOKUP(E$38,'Compliance data'!$A$7:$E$74,'Compliance data'!$D$75,FALSE)),"",(VLOOKUP(E$38,'Compliance data'!$A$7:$E$74,'Compliance data'!$D$75,FALSE)))</f>
        <v>464.4</v>
      </c>
      <c r="F231" s="457">
        <f>IF(ISERROR(VLOOKUP(F$38,'Compliance data'!$A$7:$E$74,'Compliance data'!$D$75,FALSE)),"",(VLOOKUP(F$38,'Compliance data'!$A$7:$E$74,'Compliance data'!$D$75,FALSE)))</f>
        <v>579.68100000000004</v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6.3956900000000001</v>
      </c>
      <c r="D237" s="456">
        <f>VLOOKUP(D$38,'MP (2011)'!$A$11:$AR$245,'MP (2011)'!$W$246,FALSE)+VLOOKUP(D$38,'MP (2011)'!$A$11:$AR$245,'MP (2011)'!$X$246,FALSE)</f>
        <v>10.88180624</v>
      </c>
      <c r="E237" s="456">
        <f>VLOOKUP(E$38,'MP (2011)'!$A$11:$AR$245,'MP (2011)'!$W$246,FALSE)+VLOOKUP(E$38,'MP (2011)'!$A$11:$AR$245,'MP (2011)'!$X$246,FALSE)</f>
        <v>4.19263034</v>
      </c>
      <c r="F237" s="457">
        <f>VLOOKUP(F$38,'MP (2011)'!$A$11:$AR$245,'MP (2011)'!$W$246,FALSE)+VLOOKUP(F$38,'MP (2011)'!$A$11:$AR$245,'MP (2011)'!$X$246,FALSE)</f>
        <v>4.9260000000000002</v>
      </c>
    </row>
    <row r="238" spans="2:30">
      <c r="B238" s="199" t="s">
        <v>292</v>
      </c>
      <c r="C238" s="456">
        <f>IF(ISERROR(VLOOKUP(C$38,'Compliance data'!$A$7:$E$74,'Compliance data'!$E$75,FALSE)),"",(VLOOKUP(C$38,'Compliance data'!$A$7:$E$74,'Compliance data'!$E$75,FALSE)))</f>
        <v>6.48</v>
      </c>
      <c r="D238" s="456">
        <f>IF(ISERROR(VLOOKUP(D$38,'Compliance data'!$A$7:$E$74,'Compliance data'!$E$75,FALSE)),"",(VLOOKUP(D$38,'Compliance data'!$A$7:$E$74,'Compliance data'!$E$75,FALSE)))</f>
        <v>6.48</v>
      </c>
      <c r="E238" s="456">
        <f>IF(ISERROR(VLOOKUP(E$38,'Compliance data'!$A$7:$E$74,'Compliance data'!$E$75,FALSE)),"",(VLOOKUP(E$38,'Compliance data'!$A$7:$E$74,'Compliance data'!$E$75,FALSE)))</f>
        <v>6.48</v>
      </c>
      <c r="F238" s="457">
        <f>IF(ISERROR(VLOOKUP(F$38,'Compliance data'!$A$7:$E$74,'Compliance data'!$E$75,FALSE)),"",(VLOOKUP(F$38,'Compliance data'!$A$7:$E$74,'Compliance data'!$E$75,FALSE)))</f>
        <v>7.6630000000000003</v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ref="T258:Y273" si="25">S258+1</f>
        <v>18</v>
      </c>
      <c r="U258" s="526">
        <f t="shared" si="25"/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4"/>
        <v>25</v>
      </c>
      <c r="E259" s="526">
        <f t="shared" si="24"/>
        <v>26</v>
      </c>
      <c r="F259" s="526">
        <f t="shared" si="24"/>
        <v>27</v>
      </c>
      <c r="G259" s="526">
        <f t="shared" si="24"/>
        <v>28</v>
      </c>
      <c r="H259" s="526">
        <f t="shared" si="24"/>
        <v>29</v>
      </c>
      <c r="I259" s="526">
        <f t="shared" si="24"/>
        <v>30</v>
      </c>
      <c r="J259" s="526">
        <f t="shared" si="24"/>
        <v>31</v>
      </c>
      <c r="K259" s="526">
        <f t="shared" si="24"/>
        <v>32</v>
      </c>
      <c r="L259" s="526">
        <f t="shared" si="24"/>
        <v>33</v>
      </c>
      <c r="M259" s="526">
        <f t="shared" si="24"/>
        <v>34</v>
      </c>
      <c r="N259" s="526">
        <f t="shared" si="24"/>
        <v>35</v>
      </c>
      <c r="O259" s="526">
        <f t="shared" si="24"/>
        <v>36</v>
      </c>
      <c r="P259" s="526">
        <f t="shared" si="24"/>
        <v>37</v>
      </c>
      <c r="Q259" s="526">
        <f t="shared" si="24"/>
        <v>38</v>
      </c>
      <c r="R259" s="526">
        <f t="shared" si="24"/>
        <v>39</v>
      </c>
      <c r="S259" s="526">
        <f t="shared" si="24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6">Y259+1</f>
        <v>47</v>
      </c>
      <c r="D260" s="526">
        <f t="shared" si="24"/>
        <v>48</v>
      </c>
      <c r="E260" s="526">
        <f t="shared" si="24"/>
        <v>49</v>
      </c>
      <c r="F260" s="526">
        <f t="shared" si="24"/>
        <v>50</v>
      </c>
      <c r="G260" s="526">
        <f t="shared" si="24"/>
        <v>51</v>
      </c>
      <c r="H260" s="526">
        <f t="shared" si="24"/>
        <v>52</v>
      </c>
      <c r="I260" s="526">
        <f t="shared" si="24"/>
        <v>53</v>
      </c>
      <c r="J260" s="526">
        <f t="shared" si="24"/>
        <v>54</v>
      </c>
      <c r="K260" s="526">
        <f t="shared" si="24"/>
        <v>55</v>
      </c>
      <c r="L260" s="526">
        <f t="shared" si="24"/>
        <v>56</v>
      </c>
      <c r="M260" s="526">
        <f t="shared" si="24"/>
        <v>57</v>
      </c>
      <c r="N260" s="526">
        <f t="shared" si="24"/>
        <v>58</v>
      </c>
      <c r="O260" s="526">
        <f t="shared" si="24"/>
        <v>59</v>
      </c>
      <c r="P260" s="526">
        <f t="shared" si="24"/>
        <v>60</v>
      </c>
      <c r="Q260" s="526">
        <f t="shared" si="24"/>
        <v>61</v>
      </c>
      <c r="R260" s="526">
        <f t="shared" si="24"/>
        <v>62</v>
      </c>
      <c r="S260" s="526">
        <f t="shared" si="24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6"/>
        <v>70</v>
      </c>
      <c r="D261" s="526">
        <f t="shared" si="24"/>
        <v>71</v>
      </c>
      <c r="E261" s="526">
        <f t="shared" si="24"/>
        <v>72</v>
      </c>
      <c r="F261" s="526">
        <f t="shared" si="24"/>
        <v>73</v>
      </c>
      <c r="G261" s="526">
        <f t="shared" si="24"/>
        <v>74</v>
      </c>
      <c r="H261" s="526">
        <f t="shared" si="24"/>
        <v>75</v>
      </c>
      <c r="I261" s="526">
        <f t="shared" si="24"/>
        <v>76</v>
      </c>
      <c r="J261" s="526">
        <f t="shared" si="24"/>
        <v>77</v>
      </c>
      <c r="K261" s="526">
        <f t="shared" si="24"/>
        <v>78</v>
      </c>
      <c r="L261" s="526">
        <f t="shared" si="24"/>
        <v>79</v>
      </c>
      <c r="M261" s="526">
        <f t="shared" si="24"/>
        <v>80</v>
      </c>
      <c r="N261" s="526">
        <f t="shared" si="24"/>
        <v>81</v>
      </c>
      <c r="O261" s="526">
        <f t="shared" si="24"/>
        <v>82</v>
      </c>
      <c r="P261" s="526">
        <f t="shared" si="24"/>
        <v>83</v>
      </c>
      <c r="Q261" s="526">
        <f t="shared" si="24"/>
        <v>84</v>
      </c>
      <c r="R261" s="526">
        <f t="shared" si="24"/>
        <v>85</v>
      </c>
      <c r="S261" s="526">
        <f t="shared" si="24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6"/>
        <v>93</v>
      </c>
      <c r="D262" s="526">
        <f t="shared" si="24"/>
        <v>94</v>
      </c>
      <c r="E262" s="526">
        <f t="shared" si="24"/>
        <v>95</v>
      </c>
      <c r="F262" s="526">
        <f t="shared" si="24"/>
        <v>96</v>
      </c>
      <c r="G262" s="526">
        <f t="shared" si="24"/>
        <v>97</v>
      </c>
      <c r="H262" s="526">
        <f t="shared" si="24"/>
        <v>98</v>
      </c>
      <c r="I262" s="526">
        <f t="shared" si="24"/>
        <v>99</v>
      </c>
      <c r="J262" s="526">
        <f t="shared" si="24"/>
        <v>100</v>
      </c>
      <c r="K262" s="526">
        <f t="shared" si="24"/>
        <v>101</v>
      </c>
      <c r="L262" s="526">
        <f t="shared" si="24"/>
        <v>102</v>
      </c>
      <c r="M262" s="526">
        <f t="shared" si="24"/>
        <v>103</v>
      </c>
      <c r="N262" s="526">
        <f t="shared" si="24"/>
        <v>104</v>
      </c>
      <c r="O262" s="526">
        <f t="shared" si="24"/>
        <v>105</v>
      </c>
      <c r="P262" s="526">
        <f t="shared" si="24"/>
        <v>106</v>
      </c>
      <c r="Q262" s="526">
        <f t="shared" si="24"/>
        <v>107</v>
      </c>
      <c r="R262" s="526">
        <f t="shared" si="24"/>
        <v>108</v>
      </c>
      <c r="S262" s="526">
        <f t="shared" si="24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6"/>
        <v>116</v>
      </c>
      <c r="D263" s="526">
        <f t="shared" si="24"/>
        <v>117</v>
      </c>
      <c r="E263" s="526">
        <f t="shared" si="24"/>
        <v>118</v>
      </c>
      <c r="F263" s="526">
        <f t="shared" si="24"/>
        <v>119</v>
      </c>
      <c r="G263" s="526">
        <f t="shared" si="24"/>
        <v>120</v>
      </c>
      <c r="H263" s="526">
        <f t="shared" si="24"/>
        <v>121</v>
      </c>
      <c r="I263" s="526">
        <f t="shared" si="24"/>
        <v>122</v>
      </c>
      <c r="J263" s="526">
        <f t="shared" si="24"/>
        <v>123</v>
      </c>
      <c r="K263" s="526">
        <f t="shared" si="24"/>
        <v>124</v>
      </c>
      <c r="L263" s="526">
        <f t="shared" si="24"/>
        <v>125</v>
      </c>
      <c r="M263" s="526">
        <f t="shared" si="24"/>
        <v>126</v>
      </c>
      <c r="N263" s="526">
        <f t="shared" si="24"/>
        <v>127</v>
      </c>
      <c r="O263" s="526">
        <f t="shared" si="24"/>
        <v>128</v>
      </c>
      <c r="P263" s="526">
        <f t="shared" si="24"/>
        <v>129</v>
      </c>
      <c r="Q263" s="526">
        <f t="shared" si="24"/>
        <v>130</v>
      </c>
      <c r="R263" s="526">
        <f t="shared" si="24"/>
        <v>131</v>
      </c>
      <c r="S263" s="526">
        <f t="shared" si="24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6"/>
        <v>139</v>
      </c>
      <c r="D264" s="526">
        <f t="shared" si="24"/>
        <v>140</v>
      </c>
      <c r="E264" s="526">
        <f t="shared" si="24"/>
        <v>141</v>
      </c>
      <c r="F264" s="526">
        <f t="shared" si="24"/>
        <v>142</v>
      </c>
      <c r="G264" s="526">
        <f t="shared" si="24"/>
        <v>143</v>
      </c>
      <c r="H264" s="526">
        <f t="shared" si="24"/>
        <v>144</v>
      </c>
      <c r="I264" s="526">
        <f t="shared" si="24"/>
        <v>145</v>
      </c>
      <c r="J264" s="526">
        <f t="shared" si="24"/>
        <v>146</v>
      </c>
      <c r="K264" s="526">
        <f t="shared" si="24"/>
        <v>147</v>
      </c>
      <c r="L264" s="526">
        <f t="shared" si="24"/>
        <v>148</v>
      </c>
      <c r="M264" s="526">
        <f t="shared" si="24"/>
        <v>149</v>
      </c>
      <c r="N264" s="526">
        <f t="shared" si="24"/>
        <v>150</v>
      </c>
      <c r="O264" s="526">
        <f t="shared" si="24"/>
        <v>151</v>
      </c>
      <c r="P264" s="526">
        <f t="shared" si="24"/>
        <v>152</v>
      </c>
      <c r="Q264" s="526">
        <f t="shared" si="24"/>
        <v>153</v>
      </c>
      <c r="R264" s="526">
        <f t="shared" si="24"/>
        <v>154</v>
      </c>
      <c r="S264" s="526">
        <f t="shared" si="24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6"/>
        <v>162</v>
      </c>
      <c r="D265" s="526">
        <f t="shared" si="24"/>
        <v>163</v>
      </c>
      <c r="E265" s="526">
        <f t="shared" si="24"/>
        <v>164</v>
      </c>
      <c r="F265" s="526">
        <f t="shared" si="24"/>
        <v>165</v>
      </c>
      <c r="G265" s="526">
        <f t="shared" si="24"/>
        <v>166</v>
      </c>
      <c r="H265" s="526">
        <f t="shared" si="24"/>
        <v>167</v>
      </c>
      <c r="I265" s="526">
        <f t="shared" si="24"/>
        <v>168</v>
      </c>
      <c r="J265" s="526">
        <f t="shared" si="24"/>
        <v>169</v>
      </c>
      <c r="K265" s="526">
        <f t="shared" si="24"/>
        <v>170</v>
      </c>
      <c r="L265" s="526">
        <f t="shared" si="24"/>
        <v>171</v>
      </c>
      <c r="M265" s="526">
        <f t="shared" si="24"/>
        <v>172</v>
      </c>
      <c r="N265" s="526">
        <f t="shared" si="24"/>
        <v>173</v>
      </c>
      <c r="O265" s="526">
        <f t="shared" si="24"/>
        <v>174</v>
      </c>
      <c r="P265" s="526">
        <f t="shared" si="24"/>
        <v>175</v>
      </c>
      <c r="Q265" s="526">
        <f t="shared" si="24"/>
        <v>176</v>
      </c>
      <c r="R265" s="526">
        <f t="shared" si="24"/>
        <v>177</v>
      </c>
      <c r="S265" s="526">
        <f t="shared" si="24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6"/>
        <v>185</v>
      </c>
      <c r="D266" s="526">
        <f t="shared" si="24"/>
        <v>186</v>
      </c>
      <c r="E266" s="526">
        <f t="shared" si="24"/>
        <v>187</v>
      </c>
      <c r="F266" s="526">
        <f t="shared" si="24"/>
        <v>188</v>
      </c>
      <c r="G266" s="526">
        <f t="shared" si="24"/>
        <v>189</v>
      </c>
      <c r="H266" s="526">
        <f t="shared" si="24"/>
        <v>190</v>
      </c>
      <c r="I266" s="526">
        <f t="shared" si="24"/>
        <v>191</v>
      </c>
      <c r="J266" s="526">
        <f t="shared" si="24"/>
        <v>192</v>
      </c>
      <c r="K266" s="526">
        <f t="shared" si="24"/>
        <v>193</v>
      </c>
      <c r="L266" s="526">
        <f t="shared" si="24"/>
        <v>194</v>
      </c>
      <c r="M266" s="526">
        <f t="shared" si="24"/>
        <v>195</v>
      </c>
      <c r="N266" s="526">
        <f t="shared" si="24"/>
        <v>196</v>
      </c>
      <c r="O266" s="526">
        <f t="shared" si="24"/>
        <v>197</v>
      </c>
      <c r="P266" s="526">
        <f t="shared" si="24"/>
        <v>198</v>
      </c>
      <c r="Q266" s="526">
        <f t="shared" si="24"/>
        <v>199</v>
      </c>
      <c r="R266" s="526">
        <f t="shared" si="24"/>
        <v>200</v>
      </c>
      <c r="S266" s="526">
        <f t="shared" si="24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6"/>
        <v>208</v>
      </c>
      <c r="D267" s="526">
        <f t="shared" si="24"/>
        <v>209</v>
      </c>
      <c r="E267" s="526">
        <f t="shared" si="24"/>
        <v>210</v>
      </c>
      <c r="F267" s="526">
        <f t="shared" si="24"/>
        <v>211</v>
      </c>
      <c r="G267" s="526">
        <f t="shared" si="24"/>
        <v>212</v>
      </c>
      <c r="H267" s="526">
        <f t="shared" si="24"/>
        <v>213</v>
      </c>
      <c r="I267" s="526">
        <f t="shared" si="24"/>
        <v>214</v>
      </c>
      <c r="J267" s="526">
        <f t="shared" si="24"/>
        <v>215</v>
      </c>
      <c r="K267" s="526">
        <f t="shared" si="24"/>
        <v>216</v>
      </c>
      <c r="L267" s="526">
        <f t="shared" si="24"/>
        <v>217</v>
      </c>
      <c r="M267" s="526">
        <f t="shared" si="24"/>
        <v>218</v>
      </c>
      <c r="N267" s="526">
        <f t="shared" si="24"/>
        <v>219</v>
      </c>
      <c r="O267" s="526">
        <f t="shared" si="24"/>
        <v>220</v>
      </c>
      <c r="P267" s="526">
        <f t="shared" si="24"/>
        <v>221</v>
      </c>
      <c r="Q267" s="526">
        <f t="shared" si="24"/>
        <v>222</v>
      </c>
      <c r="R267" s="526">
        <f t="shared" si="24"/>
        <v>223</v>
      </c>
      <c r="S267" s="526">
        <f t="shared" si="24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6"/>
        <v>231</v>
      </c>
      <c r="D268" s="526">
        <f t="shared" si="24"/>
        <v>232</v>
      </c>
      <c r="E268" s="526">
        <f t="shared" si="24"/>
        <v>233</v>
      </c>
      <c r="F268" s="526">
        <f t="shared" si="24"/>
        <v>234</v>
      </c>
      <c r="G268" s="526">
        <f t="shared" si="24"/>
        <v>235</v>
      </c>
      <c r="H268" s="526">
        <f t="shared" si="24"/>
        <v>236</v>
      </c>
      <c r="I268" s="526">
        <f t="shared" si="24"/>
        <v>237</v>
      </c>
      <c r="J268" s="526">
        <f t="shared" si="24"/>
        <v>238</v>
      </c>
      <c r="K268" s="526">
        <f t="shared" si="24"/>
        <v>239</v>
      </c>
      <c r="L268" s="526">
        <f t="shared" si="24"/>
        <v>240</v>
      </c>
      <c r="M268" s="526">
        <f t="shared" si="24"/>
        <v>241</v>
      </c>
      <c r="N268" s="526">
        <f t="shared" si="24"/>
        <v>242</v>
      </c>
      <c r="O268" s="526">
        <f t="shared" si="24"/>
        <v>243</v>
      </c>
      <c r="P268" s="526">
        <f t="shared" si="24"/>
        <v>244</v>
      </c>
      <c r="Q268" s="526">
        <f t="shared" si="24"/>
        <v>245</v>
      </c>
      <c r="R268" s="526">
        <f t="shared" si="24"/>
        <v>246</v>
      </c>
      <c r="S268" s="526">
        <f t="shared" si="24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6"/>
        <v>254</v>
      </c>
      <c r="D269" s="526">
        <f t="shared" si="24"/>
        <v>255</v>
      </c>
      <c r="E269" s="526">
        <f t="shared" si="24"/>
        <v>256</v>
      </c>
      <c r="F269" s="526">
        <f t="shared" si="24"/>
        <v>257</v>
      </c>
      <c r="G269" s="526">
        <f t="shared" si="24"/>
        <v>258</v>
      </c>
      <c r="H269" s="526">
        <f t="shared" si="24"/>
        <v>259</v>
      </c>
      <c r="I269" s="526">
        <f t="shared" si="24"/>
        <v>260</v>
      </c>
      <c r="J269" s="526">
        <f t="shared" si="24"/>
        <v>261</v>
      </c>
      <c r="K269" s="526">
        <f t="shared" si="24"/>
        <v>262</v>
      </c>
      <c r="L269" s="526">
        <f t="shared" si="24"/>
        <v>263</v>
      </c>
      <c r="M269" s="526">
        <f t="shared" si="24"/>
        <v>264</v>
      </c>
      <c r="N269" s="526">
        <f t="shared" si="24"/>
        <v>265</v>
      </c>
      <c r="O269" s="526">
        <f t="shared" si="24"/>
        <v>266</v>
      </c>
      <c r="P269" s="526">
        <f t="shared" si="24"/>
        <v>267</v>
      </c>
      <c r="Q269" s="526">
        <f t="shared" si="24"/>
        <v>268</v>
      </c>
      <c r="R269" s="526">
        <f t="shared" si="24"/>
        <v>269</v>
      </c>
      <c r="S269" s="526">
        <f t="shared" si="24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6"/>
        <v>277</v>
      </c>
      <c r="D270" s="526">
        <f t="shared" si="24"/>
        <v>278</v>
      </c>
      <c r="E270" s="526">
        <f t="shared" si="24"/>
        <v>279</v>
      </c>
      <c r="F270" s="526">
        <f t="shared" si="24"/>
        <v>280</v>
      </c>
      <c r="G270" s="526">
        <f t="shared" si="24"/>
        <v>281</v>
      </c>
      <c r="H270" s="526">
        <f t="shared" si="24"/>
        <v>282</v>
      </c>
      <c r="I270" s="526">
        <f t="shared" si="24"/>
        <v>283</v>
      </c>
      <c r="J270" s="526">
        <f t="shared" si="24"/>
        <v>284</v>
      </c>
      <c r="K270" s="526">
        <f t="shared" si="24"/>
        <v>285</v>
      </c>
      <c r="L270" s="526">
        <f t="shared" si="24"/>
        <v>286</v>
      </c>
      <c r="M270" s="526">
        <f t="shared" si="24"/>
        <v>287</v>
      </c>
      <c r="N270" s="526">
        <f t="shared" si="24"/>
        <v>288</v>
      </c>
      <c r="O270" s="526">
        <f t="shared" si="24"/>
        <v>289</v>
      </c>
      <c r="P270" s="526">
        <f t="shared" si="24"/>
        <v>290</v>
      </c>
      <c r="Q270" s="526">
        <f t="shared" si="24"/>
        <v>291</v>
      </c>
      <c r="R270" s="526">
        <f t="shared" si="24"/>
        <v>292</v>
      </c>
      <c r="S270" s="526">
        <f t="shared" si="24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6"/>
        <v>300</v>
      </c>
      <c r="D271" s="526">
        <f t="shared" si="24"/>
        <v>301</v>
      </c>
      <c r="E271" s="526">
        <f t="shared" si="24"/>
        <v>302</v>
      </c>
      <c r="F271" s="526">
        <f t="shared" si="24"/>
        <v>303</v>
      </c>
      <c r="G271" s="526">
        <f t="shared" si="24"/>
        <v>304</v>
      </c>
      <c r="H271" s="526">
        <f t="shared" si="24"/>
        <v>305</v>
      </c>
      <c r="I271" s="526">
        <f t="shared" si="24"/>
        <v>306</v>
      </c>
      <c r="J271" s="526">
        <f t="shared" si="24"/>
        <v>307</v>
      </c>
      <c r="K271" s="526">
        <f t="shared" si="24"/>
        <v>308</v>
      </c>
      <c r="L271" s="526">
        <f t="shared" si="24"/>
        <v>309</v>
      </c>
      <c r="M271" s="526">
        <f t="shared" si="24"/>
        <v>310</v>
      </c>
      <c r="N271" s="526">
        <f t="shared" si="24"/>
        <v>311</v>
      </c>
      <c r="O271" s="526">
        <f t="shared" si="24"/>
        <v>312</v>
      </c>
      <c r="P271" s="526">
        <f t="shared" si="24"/>
        <v>313</v>
      </c>
      <c r="Q271" s="526">
        <f t="shared" si="24"/>
        <v>314</v>
      </c>
      <c r="R271" s="526">
        <f t="shared" si="24"/>
        <v>315</v>
      </c>
      <c r="S271" s="526">
        <f t="shared" si="24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6"/>
        <v>323</v>
      </c>
      <c r="D272" s="526">
        <f t="shared" si="24"/>
        <v>324</v>
      </c>
      <c r="E272" s="526">
        <f t="shared" si="24"/>
        <v>325</v>
      </c>
      <c r="F272" s="526">
        <f t="shared" si="24"/>
        <v>326</v>
      </c>
      <c r="G272" s="526">
        <f t="shared" si="24"/>
        <v>327</v>
      </c>
      <c r="H272" s="526">
        <f t="shared" si="24"/>
        <v>328</v>
      </c>
      <c r="I272" s="526">
        <f t="shared" si="24"/>
        <v>329</v>
      </c>
      <c r="J272" s="526">
        <f t="shared" si="24"/>
        <v>330</v>
      </c>
      <c r="K272" s="526">
        <f t="shared" si="24"/>
        <v>331</v>
      </c>
      <c r="L272" s="526">
        <f t="shared" si="24"/>
        <v>332</v>
      </c>
      <c r="M272" s="526">
        <f t="shared" si="24"/>
        <v>333</v>
      </c>
      <c r="N272" s="526">
        <f t="shared" si="24"/>
        <v>334</v>
      </c>
      <c r="O272" s="526">
        <f t="shared" si="24"/>
        <v>335</v>
      </c>
      <c r="P272" s="526">
        <f t="shared" si="24"/>
        <v>336</v>
      </c>
      <c r="Q272" s="526">
        <f t="shared" si="24"/>
        <v>337</v>
      </c>
      <c r="R272" s="526">
        <f t="shared" si="24"/>
        <v>338</v>
      </c>
      <c r="S272" s="526">
        <f t="shared" si="24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6"/>
        <v>346</v>
      </c>
      <c r="D273" s="526">
        <f t="shared" si="24"/>
        <v>347</v>
      </c>
      <c r="E273" s="526">
        <f t="shared" si="24"/>
        <v>348</v>
      </c>
      <c r="F273" s="526">
        <f t="shared" si="24"/>
        <v>349</v>
      </c>
      <c r="G273" s="526">
        <f t="shared" si="24"/>
        <v>350</v>
      </c>
      <c r="H273" s="526">
        <f t="shared" si="24"/>
        <v>351</v>
      </c>
      <c r="I273" s="526">
        <f t="shared" si="24"/>
        <v>352</v>
      </c>
      <c r="J273" s="526">
        <f t="shared" si="24"/>
        <v>353</v>
      </c>
      <c r="K273" s="526">
        <f t="shared" si="24"/>
        <v>354</v>
      </c>
      <c r="L273" s="526">
        <f t="shared" si="24"/>
        <v>355</v>
      </c>
      <c r="M273" s="526">
        <f t="shared" si="24"/>
        <v>356</v>
      </c>
      <c r="N273" s="526">
        <f t="shared" si="24"/>
        <v>357</v>
      </c>
      <c r="O273" s="526">
        <f t="shared" si="24"/>
        <v>358</v>
      </c>
      <c r="P273" s="526">
        <f t="shared" si="24"/>
        <v>359</v>
      </c>
      <c r="Q273" s="526">
        <f t="shared" si="24"/>
        <v>360</v>
      </c>
      <c r="R273" s="526">
        <f t="shared" si="24"/>
        <v>361</v>
      </c>
      <c r="S273" s="526">
        <f t="shared" ref="D273:S286" si="27">R273+1</f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6"/>
        <v>369</v>
      </c>
      <c r="D274" s="526">
        <f t="shared" si="27"/>
        <v>370</v>
      </c>
      <c r="E274" s="526">
        <f t="shared" si="27"/>
        <v>371</v>
      </c>
      <c r="F274" s="526">
        <f t="shared" si="27"/>
        <v>372</v>
      </c>
      <c r="G274" s="526">
        <f t="shared" si="27"/>
        <v>373</v>
      </c>
      <c r="H274" s="526">
        <f t="shared" si="27"/>
        <v>374</v>
      </c>
      <c r="I274" s="526">
        <f t="shared" si="27"/>
        <v>375</v>
      </c>
      <c r="J274" s="526">
        <f t="shared" si="27"/>
        <v>376</v>
      </c>
      <c r="K274" s="526">
        <f t="shared" si="27"/>
        <v>377</v>
      </c>
      <c r="L274" s="526">
        <f t="shared" si="27"/>
        <v>378</v>
      </c>
      <c r="M274" s="526">
        <f t="shared" si="27"/>
        <v>379</v>
      </c>
      <c r="N274" s="526">
        <f t="shared" si="27"/>
        <v>380</v>
      </c>
      <c r="O274" s="526">
        <f t="shared" si="27"/>
        <v>381</v>
      </c>
      <c r="P274" s="526">
        <f t="shared" si="27"/>
        <v>382</v>
      </c>
      <c r="Q274" s="526">
        <f t="shared" si="27"/>
        <v>383</v>
      </c>
      <c r="R274" s="526">
        <f t="shared" si="27"/>
        <v>384</v>
      </c>
      <c r="S274" s="526">
        <f t="shared" si="27"/>
        <v>385</v>
      </c>
      <c r="T274" s="526">
        <f t="shared" ref="S274:Y286" si="28">S274+1</f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6"/>
        <v>392</v>
      </c>
      <c r="D275" s="526">
        <f t="shared" si="27"/>
        <v>393</v>
      </c>
      <c r="E275" s="526">
        <f t="shared" si="27"/>
        <v>394</v>
      </c>
      <c r="F275" s="526">
        <f t="shared" si="27"/>
        <v>395</v>
      </c>
      <c r="G275" s="526">
        <f t="shared" si="27"/>
        <v>396</v>
      </c>
      <c r="H275" s="526">
        <f t="shared" si="27"/>
        <v>397</v>
      </c>
      <c r="I275" s="526">
        <f t="shared" si="27"/>
        <v>398</v>
      </c>
      <c r="J275" s="526">
        <f t="shared" si="27"/>
        <v>399</v>
      </c>
      <c r="K275" s="526">
        <f t="shared" si="27"/>
        <v>400</v>
      </c>
      <c r="L275" s="526">
        <f t="shared" si="27"/>
        <v>401</v>
      </c>
      <c r="M275" s="526">
        <f t="shared" si="27"/>
        <v>402</v>
      </c>
      <c r="N275" s="526">
        <f t="shared" si="27"/>
        <v>403</v>
      </c>
      <c r="O275" s="526">
        <f t="shared" si="27"/>
        <v>404</v>
      </c>
      <c r="P275" s="526">
        <f t="shared" si="27"/>
        <v>405</v>
      </c>
      <c r="Q275" s="526">
        <f t="shared" si="27"/>
        <v>406</v>
      </c>
      <c r="R275" s="526">
        <f t="shared" si="27"/>
        <v>407</v>
      </c>
      <c r="S275" s="526">
        <f t="shared" si="27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6"/>
        <v>415</v>
      </c>
      <c r="D276" s="526">
        <f t="shared" si="27"/>
        <v>416</v>
      </c>
      <c r="E276" s="526">
        <f t="shared" si="27"/>
        <v>417</v>
      </c>
      <c r="F276" s="526">
        <f t="shared" si="27"/>
        <v>418</v>
      </c>
      <c r="G276" s="526">
        <f t="shared" si="27"/>
        <v>419</v>
      </c>
      <c r="H276" s="526">
        <f t="shared" si="27"/>
        <v>420</v>
      </c>
      <c r="I276" s="526">
        <f t="shared" si="27"/>
        <v>421</v>
      </c>
      <c r="J276" s="526">
        <f t="shared" si="27"/>
        <v>422</v>
      </c>
      <c r="K276" s="526">
        <f t="shared" si="27"/>
        <v>423</v>
      </c>
      <c r="L276" s="526">
        <f t="shared" si="27"/>
        <v>424</v>
      </c>
      <c r="M276" s="526">
        <f t="shared" si="27"/>
        <v>425</v>
      </c>
      <c r="N276" s="526">
        <f t="shared" si="27"/>
        <v>426</v>
      </c>
      <c r="O276" s="526">
        <f t="shared" si="27"/>
        <v>427</v>
      </c>
      <c r="P276" s="526">
        <f t="shared" si="27"/>
        <v>428</v>
      </c>
      <c r="Q276" s="526">
        <f t="shared" si="27"/>
        <v>429</v>
      </c>
      <c r="R276" s="526">
        <f t="shared" si="27"/>
        <v>430</v>
      </c>
      <c r="S276" s="526">
        <f t="shared" si="27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6"/>
        <v>438</v>
      </c>
      <c r="D277" s="526">
        <f t="shared" si="27"/>
        <v>439</v>
      </c>
      <c r="E277" s="526">
        <f t="shared" si="27"/>
        <v>440</v>
      </c>
      <c r="F277" s="526">
        <f t="shared" si="27"/>
        <v>441</v>
      </c>
      <c r="G277" s="526">
        <f t="shared" si="27"/>
        <v>442</v>
      </c>
      <c r="H277" s="526">
        <f t="shared" si="27"/>
        <v>443</v>
      </c>
      <c r="I277" s="526">
        <f t="shared" si="27"/>
        <v>444</v>
      </c>
      <c r="J277" s="526">
        <f t="shared" si="27"/>
        <v>445</v>
      </c>
      <c r="K277" s="526">
        <f t="shared" si="27"/>
        <v>446</v>
      </c>
      <c r="L277" s="526">
        <f t="shared" si="27"/>
        <v>447</v>
      </c>
      <c r="M277" s="526">
        <f t="shared" si="27"/>
        <v>448</v>
      </c>
      <c r="N277" s="526">
        <f t="shared" si="27"/>
        <v>449</v>
      </c>
      <c r="O277" s="526">
        <f t="shared" si="27"/>
        <v>450</v>
      </c>
      <c r="P277" s="526">
        <f t="shared" si="27"/>
        <v>451</v>
      </c>
      <c r="Q277" s="526">
        <f t="shared" si="27"/>
        <v>452</v>
      </c>
      <c r="R277" s="526">
        <f t="shared" si="27"/>
        <v>453</v>
      </c>
      <c r="S277" s="526">
        <f t="shared" si="27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6"/>
        <v>461</v>
      </c>
      <c r="D278" s="526">
        <f t="shared" si="27"/>
        <v>462</v>
      </c>
      <c r="E278" s="526">
        <f t="shared" si="27"/>
        <v>463</v>
      </c>
      <c r="F278" s="526">
        <f t="shared" si="27"/>
        <v>464</v>
      </c>
      <c r="G278" s="526">
        <f t="shared" si="27"/>
        <v>465</v>
      </c>
      <c r="H278" s="526">
        <f t="shared" si="27"/>
        <v>466</v>
      </c>
      <c r="I278" s="526">
        <f t="shared" si="27"/>
        <v>467</v>
      </c>
      <c r="J278" s="526">
        <f t="shared" si="27"/>
        <v>468</v>
      </c>
      <c r="K278" s="526">
        <f t="shared" si="27"/>
        <v>469</v>
      </c>
      <c r="L278" s="526">
        <f t="shared" si="27"/>
        <v>470</v>
      </c>
      <c r="M278" s="526">
        <f t="shared" si="27"/>
        <v>471</v>
      </c>
      <c r="N278" s="526">
        <f t="shared" si="27"/>
        <v>472</v>
      </c>
      <c r="O278" s="526">
        <f t="shared" si="27"/>
        <v>473</v>
      </c>
      <c r="P278" s="526">
        <f t="shared" si="27"/>
        <v>474</v>
      </c>
      <c r="Q278" s="526">
        <f t="shared" si="27"/>
        <v>475</v>
      </c>
      <c r="R278" s="526">
        <f t="shared" si="27"/>
        <v>476</v>
      </c>
      <c r="S278" s="526">
        <f t="shared" si="27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6"/>
        <v>484</v>
      </c>
      <c r="D279" s="526">
        <f t="shared" si="27"/>
        <v>485</v>
      </c>
      <c r="E279" s="526">
        <f t="shared" si="27"/>
        <v>486</v>
      </c>
      <c r="F279" s="526">
        <f t="shared" si="27"/>
        <v>487</v>
      </c>
      <c r="G279" s="526">
        <f t="shared" si="27"/>
        <v>488</v>
      </c>
      <c r="H279" s="526">
        <f t="shared" si="27"/>
        <v>489</v>
      </c>
      <c r="I279" s="526">
        <f t="shared" si="27"/>
        <v>490</v>
      </c>
      <c r="J279" s="526">
        <f t="shared" si="27"/>
        <v>491</v>
      </c>
      <c r="K279" s="526">
        <f t="shared" si="27"/>
        <v>492</v>
      </c>
      <c r="L279" s="526">
        <f t="shared" si="27"/>
        <v>493</v>
      </c>
      <c r="M279" s="526">
        <f t="shared" si="27"/>
        <v>494</v>
      </c>
      <c r="N279" s="526">
        <f t="shared" si="27"/>
        <v>495</v>
      </c>
      <c r="O279" s="526">
        <f t="shared" si="27"/>
        <v>496</v>
      </c>
      <c r="P279" s="526">
        <f t="shared" si="27"/>
        <v>497</v>
      </c>
      <c r="Q279" s="526">
        <f t="shared" si="27"/>
        <v>498</v>
      </c>
      <c r="R279" s="526">
        <f t="shared" si="27"/>
        <v>499</v>
      </c>
      <c r="S279" s="526">
        <f t="shared" si="27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6"/>
        <v>507</v>
      </c>
      <c r="D280" s="526">
        <f t="shared" si="27"/>
        <v>508</v>
      </c>
      <c r="E280" s="526">
        <f t="shared" si="27"/>
        <v>509</v>
      </c>
      <c r="F280" s="526">
        <f t="shared" si="27"/>
        <v>510</v>
      </c>
      <c r="G280" s="526">
        <f t="shared" si="27"/>
        <v>511</v>
      </c>
      <c r="H280" s="526">
        <f t="shared" si="27"/>
        <v>512</v>
      </c>
      <c r="I280" s="526">
        <f t="shared" si="27"/>
        <v>513</v>
      </c>
      <c r="J280" s="526">
        <f t="shared" si="27"/>
        <v>514</v>
      </c>
      <c r="K280" s="526">
        <f t="shared" si="27"/>
        <v>515</v>
      </c>
      <c r="L280" s="526">
        <f t="shared" si="27"/>
        <v>516</v>
      </c>
      <c r="M280" s="526">
        <f t="shared" si="27"/>
        <v>517</v>
      </c>
      <c r="N280" s="526">
        <f t="shared" si="27"/>
        <v>518</v>
      </c>
      <c r="O280" s="526">
        <f t="shared" si="27"/>
        <v>519</v>
      </c>
      <c r="P280" s="526">
        <f t="shared" si="27"/>
        <v>520</v>
      </c>
      <c r="Q280" s="526">
        <f t="shared" si="27"/>
        <v>521</v>
      </c>
      <c r="R280" s="526">
        <f t="shared" si="27"/>
        <v>522</v>
      </c>
      <c r="S280" s="526">
        <f t="shared" si="27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6"/>
        <v>530</v>
      </c>
      <c r="D281" s="526">
        <f t="shared" si="27"/>
        <v>531</v>
      </c>
      <c r="E281" s="526">
        <f t="shared" si="27"/>
        <v>532</v>
      </c>
      <c r="F281" s="526">
        <f t="shared" si="27"/>
        <v>533</v>
      </c>
      <c r="G281" s="526">
        <f t="shared" si="27"/>
        <v>534</v>
      </c>
      <c r="H281" s="526">
        <f t="shared" si="27"/>
        <v>535</v>
      </c>
      <c r="I281" s="526">
        <f t="shared" si="27"/>
        <v>536</v>
      </c>
      <c r="J281" s="526">
        <f t="shared" si="27"/>
        <v>537</v>
      </c>
      <c r="K281" s="526">
        <f t="shared" si="27"/>
        <v>538</v>
      </c>
      <c r="L281" s="526">
        <f t="shared" si="27"/>
        <v>539</v>
      </c>
      <c r="M281" s="526">
        <f t="shared" si="27"/>
        <v>540</v>
      </c>
      <c r="N281" s="526">
        <f t="shared" si="27"/>
        <v>541</v>
      </c>
      <c r="O281" s="526">
        <f t="shared" si="27"/>
        <v>542</v>
      </c>
      <c r="P281" s="526">
        <f t="shared" si="27"/>
        <v>543</v>
      </c>
      <c r="Q281" s="526">
        <f t="shared" si="27"/>
        <v>544</v>
      </c>
      <c r="R281" s="526">
        <f t="shared" si="27"/>
        <v>545</v>
      </c>
      <c r="S281" s="526">
        <f t="shared" si="27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6"/>
        <v>553</v>
      </c>
      <c r="D282" s="526">
        <f t="shared" si="27"/>
        <v>554</v>
      </c>
      <c r="E282" s="526">
        <f t="shared" si="27"/>
        <v>555</v>
      </c>
      <c r="F282" s="526">
        <f t="shared" si="27"/>
        <v>556</v>
      </c>
      <c r="G282" s="526">
        <f t="shared" si="27"/>
        <v>557</v>
      </c>
      <c r="H282" s="526">
        <f t="shared" si="27"/>
        <v>558</v>
      </c>
      <c r="I282" s="526">
        <f t="shared" si="27"/>
        <v>559</v>
      </c>
      <c r="J282" s="526">
        <f t="shared" si="27"/>
        <v>560</v>
      </c>
      <c r="K282" s="526">
        <f t="shared" si="27"/>
        <v>561</v>
      </c>
      <c r="L282" s="526">
        <f t="shared" si="27"/>
        <v>562</v>
      </c>
      <c r="M282" s="526">
        <f t="shared" si="27"/>
        <v>563</v>
      </c>
      <c r="N282" s="526">
        <f t="shared" si="27"/>
        <v>564</v>
      </c>
      <c r="O282" s="526">
        <f t="shared" si="27"/>
        <v>565</v>
      </c>
      <c r="P282" s="526">
        <f t="shared" si="27"/>
        <v>566</v>
      </c>
      <c r="Q282" s="526">
        <f t="shared" si="27"/>
        <v>567</v>
      </c>
      <c r="R282" s="526">
        <f t="shared" si="27"/>
        <v>568</v>
      </c>
      <c r="S282" s="526">
        <f t="shared" si="27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6"/>
        <v>576</v>
      </c>
      <c r="D283" s="526">
        <f t="shared" si="27"/>
        <v>577</v>
      </c>
      <c r="E283" s="526">
        <f t="shared" si="27"/>
        <v>578</v>
      </c>
      <c r="F283" s="526">
        <f t="shared" si="27"/>
        <v>579</v>
      </c>
      <c r="G283" s="526">
        <f t="shared" si="27"/>
        <v>580</v>
      </c>
      <c r="H283" s="526">
        <f t="shared" si="27"/>
        <v>581</v>
      </c>
      <c r="I283" s="526">
        <f t="shared" si="27"/>
        <v>582</v>
      </c>
      <c r="J283" s="526">
        <f t="shared" si="27"/>
        <v>583</v>
      </c>
      <c r="K283" s="526">
        <f t="shared" si="27"/>
        <v>584</v>
      </c>
      <c r="L283" s="526">
        <f t="shared" si="27"/>
        <v>585</v>
      </c>
      <c r="M283" s="526">
        <f t="shared" si="27"/>
        <v>586</v>
      </c>
      <c r="N283" s="526">
        <f t="shared" si="27"/>
        <v>587</v>
      </c>
      <c r="O283" s="526">
        <f t="shared" si="27"/>
        <v>588</v>
      </c>
      <c r="P283" s="526">
        <f t="shared" si="27"/>
        <v>589</v>
      </c>
      <c r="Q283" s="526">
        <f t="shared" si="27"/>
        <v>590</v>
      </c>
      <c r="R283" s="526">
        <f t="shared" si="27"/>
        <v>591</v>
      </c>
      <c r="S283" s="526">
        <f t="shared" si="27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6"/>
        <v>599</v>
      </c>
      <c r="D284" s="526">
        <f t="shared" si="27"/>
        <v>600</v>
      </c>
      <c r="E284" s="526">
        <f t="shared" si="27"/>
        <v>601</v>
      </c>
      <c r="F284" s="526">
        <f t="shared" si="27"/>
        <v>602</v>
      </c>
      <c r="G284" s="526">
        <f t="shared" si="27"/>
        <v>603</v>
      </c>
      <c r="H284" s="526">
        <f t="shared" si="27"/>
        <v>604</v>
      </c>
      <c r="I284" s="526">
        <f t="shared" si="27"/>
        <v>605</v>
      </c>
      <c r="J284" s="526">
        <f t="shared" si="27"/>
        <v>606</v>
      </c>
      <c r="K284" s="526">
        <f t="shared" si="27"/>
        <v>607</v>
      </c>
      <c r="L284" s="526">
        <f t="shared" si="27"/>
        <v>608</v>
      </c>
      <c r="M284" s="526">
        <f t="shared" si="27"/>
        <v>609</v>
      </c>
      <c r="N284" s="526">
        <f t="shared" si="27"/>
        <v>610</v>
      </c>
      <c r="O284" s="526">
        <f t="shared" si="27"/>
        <v>611</v>
      </c>
      <c r="P284" s="526">
        <f t="shared" si="27"/>
        <v>612</v>
      </c>
      <c r="Q284" s="526">
        <f t="shared" si="27"/>
        <v>613</v>
      </c>
      <c r="R284" s="526">
        <f t="shared" si="27"/>
        <v>614</v>
      </c>
      <c r="S284" s="526">
        <f t="shared" si="27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6"/>
        <v>622</v>
      </c>
      <c r="D285" s="526">
        <f t="shared" si="27"/>
        <v>623</v>
      </c>
      <c r="E285" s="526">
        <f t="shared" si="27"/>
        <v>624</v>
      </c>
      <c r="F285" s="526">
        <f t="shared" si="27"/>
        <v>625</v>
      </c>
      <c r="G285" s="526">
        <f t="shared" si="27"/>
        <v>626</v>
      </c>
      <c r="H285" s="526">
        <f t="shared" si="27"/>
        <v>627</v>
      </c>
      <c r="I285" s="526">
        <f t="shared" si="27"/>
        <v>628</v>
      </c>
      <c r="J285" s="526">
        <f t="shared" si="27"/>
        <v>629</v>
      </c>
      <c r="K285" s="526">
        <f t="shared" si="27"/>
        <v>630</v>
      </c>
      <c r="L285" s="526">
        <f t="shared" si="27"/>
        <v>631</v>
      </c>
      <c r="M285" s="526">
        <f t="shared" si="27"/>
        <v>632</v>
      </c>
      <c r="N285" s="526">
        <f t="shared" si="27"/>
        <v>633</v>
      </c>
      <c r="O285" s="526">
        <f t="shared" si="27"/>
        <v>634</v>
      </c>
      <c r="P285" s="526">
        <f t="shared" si="27"/>
        <v>635</v>
      </c>
      <c r="Q285" s="526">
        <f t="shared" si="27"/>
        <v>636</v>
      </c>
      <c r="R285" s="526">
        <f t="shared" si="27"/>
        <v>637</v>
      </c>
      <c r="S285" s="526">
        <f t="shared" si="27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6"/>
        <v>645</v>
      </c>
      <c r="D286" s="526">
        <f t="shared" si="27"/>
        <v>646</v>
      </c>
      <c r="E286" s="526">
        <f t="shared" si="27"/>
        <v>647</v>
      </c>
      <c r="F286" s="526">
        <f t="shared" si="27"/>
        <v>648</v>
      </c>
      <c r="G286" s="526">
        <f t="shared" si="27"/>
        <v>649</v>
      </c>
      <c r="H286" s="526">
        <f t="shared" si="27"/>
        <v>650</v>
      </c>
      <c r="I286" s="526">
        <f t="shared" si="27"/>
        <v>651</v>
      </c>
      <c r="J286" s="526">
        <f t="shared" si="27"/>
        <v>652</v>
      </c>
      <c r="K286" s="526">
        <f t="shared" si="27"/>
        <v>653</v>
      </c>
      <c r="L286" s="526">
        <f t="shared" si="27"/>
        <v>654</v>
      </c>
      <c r="M286" s="526">
        <f t="shared" si="27"/>
        <v>655</v>
      </c>
      <c r="N286" s="526">
        <f t="shared" si="27"/>
        <v>656</v>
      </c>
      <c r="O286" s="526">
        <f t="shared" si="27"/>
        <v>657</v>
      </c>
      <c r="P286" s="526">
        <f t="shared" si="27"/>
        <v>658</v>
      </c>
      <c r="Q286" s="526">
        <f t="shared" si="27"/>
        <v>659</v>
      </c>
      <c r="R286" s="526">
        <f t="shared" si="27"/>
        <v>660</v>
      </c>
      <c r="S286" s="526">
        <f t="shared" si="28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0" width="8.5703125" style="102" customWidth="1"/>
    <col min="21" max="21" width="29.28515625" style="102" customWidth="1"/>
    <col min="2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52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Unison</v>
      </c>
      <c r="C6" s="108"/>
      <c r="D6" s="109">
        <f>VLOOKUP($B$6,$B$258:$J$286,9,FALSE)</f>
        <v>537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111.29488428000001</v>
      </c>
      <c r="E7" s="407">
        <f>D7/('Industry calcs'!D4/1000)*100</f>
        <v>5.3991396348092184</v>
      </c>
    </row>
    <row r="8" spans="2:5">
      <c r="B8" s="111" t="s">
        <v>250</v>
      </c>
      <c r="C8" s="114"/>
      <c r="D8" s="406">
        <f>VLOOKUP(D6,'AV (2011)'!A8:F214,'AV (2011)'!F214,FALSE)/1000</f>
        <v>476.71070000000003</v>
      </c>
      <c r="E8" s="407">
        <f>D8/('Industry calcs'!D5/1000)*100</f>
        <v>5.3114564172419856</v>
      </c>
    </row>
    <row r="9" spans="2:5">
      <c r="B9" s="111" t="s">
        <v>230</v>
      </c>
      <c r="C9" s="114"/>
      <c r="D9" s="406">
        <f>VLOOKUP($D$6,'FS (2011)'!$A$13:$AH$244,'FS (2011)'!S245,FALSE)/1000</f>
        <v>29.511937999999997</v>
      </c>
      <c r="E9" s="407">
        <f>D9/('Industry calcs'!D6/1000)*100</f>
        <v>6.5003200676540818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36.242297900000004</v>
      </c>
      <c r="E10" s="407">
        <f>D10/('Industry calcs'!D7/1000)*100</f>
        <v>6.1934847013553957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1588.9458999999999</v>
      </c>
      <c r="E11" s="407">
        <f>D11/'Industry calcs'!D8*100</f>
        <v>5.1346178298978797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301.16000000000003</v>
      </c>
      <c r="E12" s="407">
        <f>D12/'Industry calcs'!D9*100</f>
        <v>4.8160574224494583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7981.866</v>
      </c>
      <c r="E13" s="407">
        <f>D13/'Industry calcs'!D10*100</f>
        <v>5.336549146104721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108978</v>
      </c>
      <c r="E14" s="407">
        <f>D14/'Industry calcs'!D11*100</f>
        <v>5.425367468604926</v>
      </c>
    </row>
    <row r="15" spans="2:5">
      <c r="B15" s="115" t="s">
        <v>195</v>
      </c>
      <c r="C15" s="116" t="s">
        <v>239</v>
      </c>
      <c r="D15" s="408">
        <f>D14/D13</f>
        <v>13.653198387444741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Unison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23.83838931004188</v>
      </c>
      <c r="D20" s="409">
        <f>VLOOKUP($B$2,'MED price allocation'!$B$16:$F$44,3,FALSE)</f>
        <v>23.9944253118897</v>
      </c>
      <c r="E20" s="409">
        <f>VLOOKUP($B$2,'MED price allocation'!$B$16:$F$44,4,FALSE)</f>
        <v>24.33766732091442</v>
      </c>
      <c r="F20" s="503">
        <f>VLOOKUP($B$2,'MED price allocation'!$B$16:$F$44,5,FALSE)</f>
        <v>25.460439141292174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6.5886669608809418</v>
      </c>
      <c r="D21" s="410">
        <f>VLOOKUP($B$2,'MED price allocation'!$B$47:$F$75,3,FALSE)</f>
        <v>6.5518223455711881</v>
      </c>
      <c r="E21" s="410">
        <f>VLOOKUP($B$2,'MED price allocation'!$B$47:$F$75,4,FALSE)</f>
        <v>7.2134117349171625</v>
      </c>
      <c r="F21" s="504">
        <f>VLOOKUP($B$2,'MED price allocation'!$B$47:$F$75,5,FALSE)</f>
        <v>7.4175997637398554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8.6063925044172294</v>
      </c>
      <c r="D22" s="409">
        <f>VLOOKUP($B$2,'MED price allocation'!$B$78:$F$106,3,FALSE)</f>
        <v>8.6280770942089333</v>
      </c>
      <c r="E22" s="409">
        <f>VLOOKUP($B$2,'MED price allocation'!$B$78:$F$106,4,FALSE)</f>
        <v>9.5071269761195811</v>
      </c>
      <c r="F22" s="503">
        <f>VLOOKUP($B$2,'MED price allocation'!$B$78:$F$106,5,FALSE)</f>
        <v>9.7158665879132844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2.0177255435362875</v>
      </c>
      <c r="D23" s="411">
        <f>VLOOKUP($B$2,'MED price allocation'!$B$109:$F$137,3,FALSE)</f>
        <v>2.0762547486377443</v>
      </c>
      <c r="E23" s="411">
        <f>VLOOKUP($B$2,'MED price allocation'!$B$109:$F$137,4,FALSE)</f>
        <v>2.2937152412024178</v>
      </c>
      <c r="F23" s="505">
        <f>VLOOKUP($B$2,'MED price allocation'!$B$109:$F$137,5,FALSE)</f>
        <v>2.2982668241734294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Unison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1907.0711448033503</v>
      </c>
      <c r="D26" s="412">
        <f>(D20*8000)/100</f>
        <v>1919.554024951176</v>
      </c>
      <c r="E26" s="412">
        <f>(E20*8000)/100</f>
        <v>1947.0133856731536</v>
      </c>
      <c r="F26" s="506">
        <f>(F20*8000)/100</f>
        <v>2036.8351313033738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688.51140035337846</v>
      </c>
      <c r="D27" s="412">
        <f>(D22*8000)/100</f>
        <v>690.24616753671467</v>
      </c>
      <c r="E27" s="412">
        <f>(E22*8000)/100</f>
        <v>760.57015808956658</v>
      </c>
      <c r="F27" s="506">
        <f>(F22*8000)/100</f>
        <v>777.26932703306272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527.0933568704753</v>
      </c>
      <c r="D28" s="412">
        <f>(D21*8000)/100</f>
        <v>524.14578764569501</v>
      </c>
      <c r="E28" s="412">
        <f>(E21*8000)/100</f>
        <v>577.07293879337305</v>
      </c>
      <c r="F28" s="506">
        <f>(F21*8000)/100</f>
        <v>593.40798109918842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161.41804348290299</v>
      </c>
      <c r="D29" s="413">
        <f>(D23*8000)/100</f>
        <v>166.10037989101954</v>
      </c>
      <c r="E29" s="413">
        <f>(E23*8000)/100</f>
        <v>183.49721929619344</v>
      </c>
      <c r="F29" s="507">
        <f>(F23*8000)/100</f>
        <v>183.86134593387436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Unison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1952.6184216827635</v>
      </c>
      <c r="D32" s="122"/>
    </row>
    <row r="33" spans="2:13">
      <c r="B33" s="120" t="s">
        <v>241</v>
      </c>
      <c r="C33" s="412">
        <f>AVERAGE(C27:F27)</f>
        <v>729.14926325318061</v>
      </c>
      <c r="D33" s="414">
        <f>C33/$C$32</f>
        <v>0.37342127635198735</v>
      </c>
    </row>
    <row r="34" spans="2:13">
      <c r="B34" s="120" t="s">
        <v>222</v>
      </c>
      <c r="C34" s="412">
        <f>AVERAGE(C28:F28)</f>
        <v>555.43001610218289</v>
      </c>
      <c r="D34" s="414">
        <f>C34/$C$32</f>
        <v>0.28445394652351697</v>
      </c>
    </row>
    <row r="35" spans="2:13">
      <c r="B35" s="124" t="s">
        <v>223</v>
      </c>
      <c r="C35" s="413">
        <f>AVERAGE(C29:F29)</f>
        <v>173.7192471509976</v>
      </c>
      <c r="D35" s="415">
        <f>C35/$C$32</f>
        <v>8.8967329828470346E-2</v>
      </c>
    </row>
    <row r="38" spans="2:13">
      <c r="B38" s="517" t="s">
        <v>227</v>
      </c>
      <c r="C38" s="518">
        <f>VLOOKUP($B$2,$B$258:$J$286,6,FALSE)</f>
        <v>534</v>
      </c>
      <c r="D38" s="518">
        <f>VLOOKUP($B$2,$B$258:$J$286,7,FALSE)</f>
        <v>535</v>
      </c>
      <c r="E38" s="518">
        <f>VLOOKUP($B$2,$B$258:$J$286,8,FALSE)</f>
        <v>536</v>
      </c>
      <c r="F38" s="519">
        <f>VLOOKUP($B$2,$B$258:$J$286,9,FALSE)</f>
        <v>537</v>
      </c>
    </row>
    <row r="39" spans="2:13">
      <c r="B39" s="137" t="str">
        <f>B2</f>
        <v>Unison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93275.729396937633</v>
      </c>
      <c r="D40" s="418">
        <f>VLOOKUP($D$38,'FS (2011)'!$A$13:$AH$244,'FS (2011)'!E245,FALSE)</f>
        <v>93428.34961438668</v>
      </c>
      <c r="E40" s="418">
        <f>VLOOKUP($E$38,'FS (2011)'!$A$13:$AH$244,'FS (2011)'!E245,FALSE)</f>
        <v>105688.23668454096</v>
      </c>
      <c r="F40" s="419">
        <f>VLOOKUP($F$38,'FS (2011)'!$A$13:$AH$244,'FS (2011)'!E245,FALSE)</f>
        <v>105661</v>
      </c>
    </row>
    <row r="41" spans="2:13" ht="30">
      <c r="B41" s="120" t="s">
        <v>198</v>
      </c>
      <c r="C41" s="417">
        <f>VLOOKUP($C$38,'FS (2011)'!$A$13:$AH$244,'FS (2011)'!$F$245,FALSE)</f>
        <v>9650.1440638989461</v>
      </c>
      <c r="D41" s="418">
        <f>VLOOKUP($D$38,'FS (2011)'!$A$13:$AH$244,'FS (2011)'!$F$245,FALSE)</f>
        <v>6310.4796052440097</v>
      </c>
      <c r="E41" s="418">
        <f>VLOOKUP($E$38,'FS (2011)'!$A$13:$AH$244,'FS (2011)'!$F$245,FALSE)</f>
        <v>6080.850737786639</v>
      </c>
      <c r="F41" s="419">
        <f>VLOOKUP($F$38,'FS (2011)'!$A$13:$AH$244,'FS (2011)'!$F$245,FALSE)</f>
        <v>5214.7259999999997</v>
      </c>
    </row>
    <row r="42" spans="2:13">
      <c r="B42" s="120" t="s">
        <v>13</v>
      </c>
      <c r="C42" s="417">
        <f>VLOOKUP($C$38,'FS (2011)'!$A$13:$AH$244,'FS (2011)'!$H$245,FALSE)</f>
        <v>143.18697994069171</v>
      </c>
      <c r="D42" s="418">
        <f>VLOOKUP($D$38,'FS (2011)'!$A$13:$AH$244,'FS (2011)'!$H$245,FALSE)</f>
        <v>105.4229377088338</v>
      </c>
      <c r="E42" s="418">
        <f>VLOOKUP($E$38,'FS (2011)'!$A$13:$AH$244,'FS (2011)'!$H$245,FALSE)</f>
        <v>460.22322626714441</v>
      </c>
      <c r="F42" s="419">
        <f>VLOOKUP($F$38,'FS (2011)'!$A$13:$AH$244,'FS (2011)'!$H$245,FALSE)</f>
        <v>419.15827999999999</v>
      </c>
    </row>
    <row r="43" spans="2:13">
      <c r="B43" s="124" t="s">
        <v>5</v>
      </c>
      <c r="C43" s="420">
        <f>SUM(C40:C42)</f>
        <v>103069.06044077726</v>
      </c>
      <c r="D43" s="420">
        <f>SUM(D40:D42)</f>
        <v>99844.252157339521</v>
      </c>
      <c r="E43" s="420">
        <f>SUM(E40:E42)</f>
        <v>112229.31064859474</v>
      </c>
      <c r="F43" s="421">
        <f>SUM(F40:F42)</f>
        <v>111294.88428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Unison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100.16362264700132</v>
      </c>
      <c r="E46" s="422">
        <f>IF(ISERROR(E40/$C40),"",(E40/$C40))*100</f>
        <v>113.30732803469328</v>
      </c>
      <c r="F46" s="423">
        <f>IF(ISERROR(F40/$C40),"",(F40/$C40))*100</f>
        <v>113.27812785076863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65.392594799195024</v>
      </c>
      <c r="E47" s="422">
        <f t="shared" si="0"/>
        <v>63.013056567051848</v>
      </c>
      <c r="F47" s="423">
        <f t="shared" si="0"/>
        <v>54.03780467390343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73.626064152271496</v>
      </c>
      <c r="E48" s="422">
        <f t="shared" si="0"/>
        <v>321.41415822707461</v>
      </c>
      <c r="F48" s="423">
        <f t="shared" si="0"/>
        <v>292.73491219216726</v>
      </c>
      <c r="G48" s="141"/>
      <c r="H48" s="141"/>
    </row>
    <row r="49" spans="2:25">
      <c r="B49" s="124" t="s">
        <v>5</v>
      </c>
      <c r="C49" s="424">
        <f t="shared" si="0"/>
        <v>100</v>
      </c>
      <c r="D49" s="424">
        <f t="shared" si="0"/>
        <v>96.871215988923566</v>
      </c>
      <c r="E49" s="424">
        <f t="shared" si="0"/>
        <v>108.88748783450966</v>
      </c>
      <c r="F49" s="416">
        <f t="shared" si="0"/>
        <v>107.9808856353641</v>
      </c>
    </row>
    <row r="52" spans="2:25">
      <c r="B52" s="517" t="s">
        <v>247</v>
      </c>
      <c r="C52" s="510"/>
      <c r="D52" s="510"/>
      <c r="E52" s="510"/>
      <c r="F52" s="511"/>
      <c r="U52" s="533" t="s">
        <v>247</v>
      </c>
      <c r="V52" s="510"/>
      <c r="W52" s="510"/>
      <c r="X52" s="510"/>
      <c r="Y52" s="511"/>
    </row>
    <row r="53" spans="2:25">
      <c r="B53" s="107" t="str">
        <f>$B$2</f>
        <v>Unison</v>
      </c>
      <c r="C53" s="144">
        <v>2008</v>
      </c>
      <c r="D53" s="144">
        <v>2009</v>
      </c>
      <c r="E53" s="144">
        <v>2010</v>
      </c>
      <c r="F53" s="145">
        <v>2011</v>
      </c>
      <c r="U53" s="154" t="str">
        <f>$B$2</f>
        <v>Unison</v>
      </c>
      <c r="V53" s="144">
        <v>2008</v>
      </c>
      <c r="W53" s="144">
        <v>2009</v>
      </c>
      <c r="X53" s="144">
        <v>2010</v>
      </c>
      <c r="Y53" s="145">
        <v>2011</v>
      </c>
    </row>
    <row r="54" spans="2:25">
      <c r="B54" s="111" t="s">
        <v>185</v>
      </c>
      <c r="C54" s="425">
        <f>VLOOKUP($C$38,'MP (2011)'!$A$14:$AR$245,'MP (2011)'!$Z$246,FALSE)</f>
        <v>57945.755335747475</v>
      </c>
      <c r="D54" s="426">
        <f>VLOOKUP($D$38,'MP (2011)'!$A$14:$AR$245,'MP (2011)'!$Z$246,FALSE)</f>
        <v>59164.81186684053</v>
      </c>
      <c r="E54" s="426">
        <f>VLOOKUP($E$38,'MP (2011)'!$A$14:$AR$245,'MP (2011)'!$Z$246,FALSE)</f>
        <v>69113.707038344422</v>
      </c>
      <c r="F54" s="427">
        <f>VLOOKUP($F$38,'MP (2011)'!$A$14:$AR$245,'MP (2011)'!$Z$246,FALSE)</f>
        <v>68243</v>
      </c>
      <c r="U54" s="170" t="s">
        <v>477</v>
      </c>
      <c r="V54" s="425">
        <f>C54+C55</f>
        <v>79360.547580051876</v>
      </c>
      <c r="W54" s="426">
        <f t="shared" ref="W54:X54" si="1">D54+D55</f>
        <v>78805.379736975738</v>
      </c>
      <c r="X54" s="426">
        <f t="shared" si="1"/>
        <v>92169.089882784072</v>
      </c>
      <c r="Y54" s="427">
        <f>F54+F55</f>
        <v>86723</v>
      </c>
    </row>
    <row r="55" spans="2:25">
      <c r="B55" s="111" t="s">
        <v>180</v>
      </c>
      <c r="C55" s="425">
        <f>VLOOKUP($C$38,'MP (2011)'!$A$14:$AR$245,'MP (2011)'!$AD$246,FALSE)</f>
        <v>21414.792244304408</v>
      </c>
      <c r="D55" s="426">
        <f>VLOOKUP($D$38,'MP (2011)'!$A$14:$AR$245,'MP (2011)'!$AD$246,FALSE)</f>
        <v>19640.567870135212</v>
      </c>
      <c r="E55" s="426">
        <f>VLOOKUP($E$38,'MP (2011)'!$A$14:$AR$245,'MP (2011)'!$AD$246,FALSE)</f>
        <v>23055.382844439649</v>
      </c>
      <c r="F55" s="427">
        <f>VLOOKUP($F$38,'MP (2011)'!$A$14:$AR$245,'MP (2011)'!$AD$246,FALSE)</f>
        <v>18480</v>
      </c>
      <c r="J55" s="139"/>
      <c r="U55" s="170" t="s">
        <v>478</v>
      </c>
      <c r="V55" s="425">
        <f>C56</f>
        <v>10967.951019360724</v>
      </c>
      <c r="W55" s="426">
        <f t="shared" ref="W55:X55" si="2">D56</f>
        <v>12617.899530509983</v>
      </c>
      <c r="X55" s="426">
        <f t="shared" si="2"/>
        <v>11592.076724421329</v>
      </c>
      <c r="Y55" s="427">
        <f>F56</f>
        <v>17024</v>
      </c>
    </row>
    <row r="56" spans="2:25">
      <c r="B56" s="111" t="s">
        <v>184</v>
      </c>
      <c r="C56" s="425">
        <f>VLOOKUP($C$38,'MP (2011)'!$A$14:$AR$245,'MP (2011)'!$AH$246,FALSE)</f>
        <v>10967.951019360724</v>
      </c>
      <c r="D56" s="426">
        <f>VLOOKUP($D$38,'MP (2011)'!$A$14:$AR$245,'MP (2011)'!$AH$246,FALSE)</f>
        <v>12617.899530509983</v>
      </c>
      <c r="E56" s="426">
        <f>VLOOKUP($E$38,'MP (2011)'!$A$14:$AR$245,'MP (2011)'!$AH$246,FALSE)</f>
        <v>11592.076724421329</v>
      </c>
      <c r="F56" s="427">
        <f>VLOOKUP($F$38,'MP (2011)'!$A$14:$AR$245,'MP (2011)'!$AH$246,FALSE)</f>
        <v>17024</v>
      </c>
      <c r="U56" s="170"/>
      <c r="V56" s="425"/>
      <c r="W56" s="426"/>
      <c r="X56" s="426"/>
      <c r="Y56" s="427"/>
    </row>
    <row r="57" spans="2:25">
      <c r="B57" s="111" t="s">
        <v>181</v>
      </c>
      <c r="C57" s="425">
        <f>VLOOKUP($C$38,'MP (2011)'!$A$14:$AR$245,'MP (2011)'!$AL$246,FALSE)</f>
        <v>2947.2307975250205</v>
      </c>
      <c r="D57" s="426">
        <f>VLOOKUP($D$38,'MP (2011)'!$A$14:$AR$245,'MP (2011)'!$AL$246,FALSE)</f>
        <v>2005.0704507104119</v>
      </c>
      <c r="E57" s="426">
        <f>VLOOKUP($E$38,'MP (2011)'!$A$14:$AR$245,'MP (2011)'!$AL$246,FALSE)</f>
        <v>1927.064983158632</v>
      </c>
      <c r="F57" s="427">
        <f>VLOOKUP($F$38,'MP (2011)'!$A$14:$AR$245,'MP (2011)'!$AL$246,FALSE)</f>
        <v>1914</v>
      </c>
      <c r="U57" s="170" t="s">
        <v>181</v>
      </c>
      <c r="V57" s="425">
        <f>C57</f>
        <v>2947.2307975250205</v>
      </c>
      <c r="W57" s="426">
        <f>D57</f>
        <v>2005.0704507104119</v>
      </c>
      <c r="X57" s="426">
        <f>E57</f>
        <v>1927.064983158632</v>
      </c>
      <c r="Y57" s="427">
        <f>F57</f>
        <v>1914</v>
      </c>
    </row>
    <row r="58" spans="2:25">
      <c r="B58" s="147" t="s">
        <v>248</v>
      </c>
      <c r="C58" s="428">
        <f>SUM(C54:C57)</f>
        <v>93275.729396937619</v>
      </c>
      <c r="D58" s="428">
        <f>SUM(D54:D57)</f>
        <v>93428.349718196128</v>
      </c>
      <c r="E58" s="428">
        <f>SUM(E54:E57)</f>
        <v>105688.23159036404</v>
      </c>
      <c r="F58" s="429">
        <f>SUM(F54:F57)</f>
        <v>105661</v>
      </c>
      <c r="U58" s="208" t="s">
        <v>248</v>
      </c>
      <c r="V58" s="428">
        <f>SUM(V54:V57)</f>
        <v>93275.729396937619</v>
      </c>
      <c r="W58" s="428">
        <f>SUM(W54:W57)</f>
        <v>93428.349718196128</v>
      </c>
      <c r="X58" s="428">
        <f>SUM(X54:X57)</f>
        <v>105688.23159036404</v>
      </c>
      <c r="Y58" s="429">
        <f>SUM(Y54:Y57)</f>
        <v>105661</v>
      </c>
    </row>
    <row r="59" spans="2:25">
      <c r="B59" s="103" t="s">
        <v>302</v>
      </c>
      <c r="U59" s="102" t="s">
        <v>302</v>
      </c>
    </row>
    <row r="60" spans="2:25">
      <c r="B60" s="137" t="str">
        <f>$B$2</f>
        <v>Unison</v>
      </c>
      <c r="C60" s="144">
        <v>2008</v>
      </c>
      <c r="D60" s="126">
        <v>2009</v>
      </c>
      <c r="E60" s="126">
        <v>2010</v>
      </c>
      <c r="F60" s="127">
        <v>2011</v>
      </c>
      <c r="U60" s="154" t="str">
        <f>$B$2</f>
        <v>Unison</v>
      </c>
      <c r="V60" s="144">
        <v>2008</v>
      </c>
      <c r="W60" s="126">
        <v>2009</v>
      </c>
      <c r="X60" s="126">
        <v>2010</v>
      </c>
      <c r="Y60" s="127">
        <v>2011</v>
      </c>
    </row>
    <row r="61" spans="2:25">
      <c r="B61" s="111" t="s">
        <v>185</v>
      </c>
      <c r="C61" s="422">
        <f t="shared" ref="C61:F65" si="3">IF(ISERROR(C54/$C54),"",(C54/$C54)*100)</f>
        <v>100</v>
      </c>
      <c r="D61" s="422">
        <f t="shared" si="3"/>
        <v>102.10378918012137</v>
      </c>
      <c r="E61" s="422">
        <f t="shared" si="3"/>
        <v>119.27311437721011</v>
      </c>
      <c r="F61" s="423">
        <f t="shared" si="3"/>
        <v>117.7704900118888</v>
      </c>
      <c r="G61" s="141"/>
      <c r="U61" s="170" t="s">
        <v>477</v>
      </c>
      <c r="V61" s="422">
        <f>IF(ISERROR(V54/$V54),"",(V54/$V54)*100)</f>
        <v>100</v>
      </c>
      <c r="W61" s="422">
        <f t="shared" ref="W61:X61" si="4">IF(ISERROR(W54/$V54),"",(W54/$V54)*100)</f>
        <v>99.300448572993858</v>
      </c>
      <c r="X61" s="422">
        <f t="shared" si="4"/>
        <v>116.13968488537969</v>
      </c>
      <c r="Y61" s="423">
        <f>IF(ISERROR(Y54/$V54),"",(Y54/$V54)*100)</f>
        <v>109.27721978294258</v>
      </c>
    </row>
    <row r="62" spans="2:25">
      <c r="B62" s="111" t="s">
        <v>180</v>
      </c>
      <c r="C62" s="422">
        <f t="shared" si="3"/>
        <v>100</v>
      </c>
      <c r="D62" s="422">
        <f t="shared" si="3"/>
        <v>91.714958735398994</v>
      </c>
      <c r="E62" s="422">
        <f t="shared" si="3"/>
        <v>107.66101571950379</v>
      </c>
      <c r="F62" s="423">
        <f t="shared" si="3"/>
        <v>86.295490468346898</v>
      </c>
      <c r="G62" s="141"/>
      <c r="U62" s="170" t="s">
        <v>478</v>
      </c>
      <c r="V62" s="422">
        <f t="shared" ref="V62:Y65" si="5">IF(ISERROR(V55/$V55),"",(V55/$V55)*100)</f>
        <v>100</v>
      </c>
      <c r="W62" s="422">
        <f t="shared" si="5"/>
        <v>115.04336141031955</v>
      </c>
      <c r="X62" s="422">
        <f t="shared" si="5"/>
        <v>105.69044941902908</v>
      </c>
      <c r="Y62" s="423">
        <f t="shared" si="5"/>
        <v>155.21586456712913</v>
      </c>
    </row>
    <row r="63" spans="2:25">
      <c r="B63" s="111" t="s">
        <v>184</v>
      </c>
      <c r="C63" s="422">
        <f t="shared" si="3"/>
        <v>100</v>
      </c>
      <c r="D63" s="422">
        <f t="shared" si="3"/>
        <v>115.04336141031955</v>
      </c>
      <c r="E63" s="422">
        <f t="shared" si="3"/>
        <v>105.69044941902908</v>
      </c>
      <c r="F63" s="423">
        <f t="shared" si="3"/>
        <v>155.21586456712913</v>
      </c>
      <c r="G63" s="141"/>
      <c r="U63" s="170"/>
      <c r="V63" s="422" t="str">
        <f t="shared" si="5"/>
        <v/>
      </c>
      <c r="W63" s="422" t="str">
        <f t="shared" si="5"/>
        <v/>
      </c>
      <c r="X63" s="422" t="str">
        <f t="shared" si="5"/>
        <v/>
      </c>
      <c r="Y63" s="423" t="str">
        <f t="shared" si="5"/>
        <v/>
      </c>
    </row>
    <row r="64" spans="2:25">
      <c r="B64" s="111" t="s">
        <v>181</v>
      </c>
      <c r="C64" s="422">
        <f t="shared" si="3"/>
        <v>100</v>
      </c>
      <c r="D64" s="422">
        <f t="shared" si="3"/>
        <v>68.032352688299767</v>
      </c>
      <c r="E64" s="422">
        <f t="shared" si="3"/>
        <v>65.385615024683943</v>
      </c>
      <c r="F64" s="423">
        <f t="shared" si="3"/>
        <v>64.942318111201502</v>
      </c>
      <c r="G64" s="141"/>
      <c r="U64" s="170" t="s">
        <v>181</v>
      </c>
      <c r="V64" s="422">
        <f t="shared" si="5"/>
        <v>100</v>
      </c>
      <c r="W64" s="422">
        <f t="shared" si="5"/>
        <v>68.032352688299767</v>
      </c>
      <c r="X64" s="422">
        <f t="shared" si="5"/>
        <v>65.385615024683943</v>
      </c>
      <c r="Y64" s="423">
        <f t="shared" si="5"/>
        <v>64.942318111201502</v>
      </c>
    </row>
    <row r="65" spans="2:40">
      <c r="B65" s="115" t="s">
        <v>248</v>
      </c>
      <c r="C65" s="424">
        <f t="shared" si="3"/>
        <v>100</v>
      </c>
      <c r="D65" s="424">
        <f t="shared" si="3"/>
        <v>100.16362275829442</v>
      </c>
      <c r="E65" s="424">
        <f t="shared" si="3"/>
        <v>113.3073225732759</v>
      </c>
      <c r="F65" s="416">
        <f t="shared" si="3"/>
        <v>113.27812785076866</v>
      </c>
      <c r="G65" s="141"/>
      <c r="U65" s="208" t="s">
        <v>248</v>
      </c>
      <c r="V65" s="424">
        <f t="shared" si="5"/>
        <v>100</v>
      </c>
      <c r="W65" s="424">
        <f t="shared" si="5"/>
        <v>100.16362275829442</v>
      </c>
      <c r="X65" s="424">
        <f t="shared" si="5"/>
        <v>113.3073225732759</v>
      </c>
      <c r="Y65" s="416">
        <f t="shared" si="5"/>
        <v>113.27812785076866</v>
      </c>
    </row>
    <row r="68" spans="2:40">
      <c r="B68" s="517" t="s">
        <v>251</v>
      </c>
      <c r="C68" s="510"/>
      <c r="D68" s="510"/>
      <c r="E68" s="510"/>
      <c r="F68" s="511"/>
      <c r="U68" s="533" t="s">
        <v>251</v>
      </c>
      <c r="V68" s="510"/>
      <c r="W68" s="510"/>
      <c r="X68" s="510"/>
      <c r="Y68" s="511"/>
    </row>
    <row r="69" spans="2:40">
      <c r="B69" s="137" t="str">
        <f>$B$2</f>
        <v>Unison</v>
      </c>
      <c r="C69" s="144">
        <v>2008</v>
      </c>
      <c r="D69" s="144">
        <v>2009</v>
      </c>
      <c r="E69" s="144">
        <v>2010</v>
      </c>
      <c r="F69" s="145">
        <v>2011</v>
      </c>
      <c r="U69" s="154" t="str">
        <f>$B$2</f>
        <v>Unison</v>
      </c>
      <c r="V69" s="144">
        <v>2008</v>
      </c>
      <c r="W69" s="144">
        <v>2009</v>
      </c>
      <c r="X69" s="144">
        <v>2010</v>
      </c>
      <c r="Y69" s="145">
        <v>2011</v>
      </c>
    </row>
    <row r="70" spans="2:40">
      <c r="B70" s="111" t="s">
        <v>185</v>
      </c>
      <c r="C70" s="426">
        <f t="shared" ref="C70:F73" si="6">(C54/C98)*1000</f>
        <v>570.05170030248371</v>
      </c>
      <c r="D70" s="433">
        <f t="shared" si="6"/>
        <v>586.36497028612735</v>
      </c>
      <c r="E70" s="433">
        <f t="shared" si="6"/>
        <v>682.66519530965138</v>
      </c>
      <c r="F70" s="434">
        <f t="shared" si="6"/>
        <v>669.6464492831841</v>
      </c>
      <c r="U70" s="170" t="s">
        <v>477</v>
      </c>
      <c r="V70" s="426">
        <f t="shared" ref="V70:Y71" si="7">V54*1000/V98</f>
        <v>736.27880782338957</v>
      </c>
      <c r="W70" s="433">
        <f t="shared" si="7"/>
        <v>735.76998241905915</v>
      </c>
      <c r="X70" s="433">
        <f t="shared" si="7"/>
        <v>854.48560592206991</v>
      </c>
      <c r="Y70" s="434">
        <f t="shared" si="7"/>
        <v>799.90222935517488</v>
      </c>
    </row>
    <row r="71" spans="2:40">
      <c r="B71" s="111" t="s">
        <v>180</v>
      </c>
      <c r="C71" s="433">
        <f t="shared" si="6"/>
        <v>3490.0248116532607</v>
      </c>
      <c r="D71" s="433">
        <f t="shared" si="6"/>
        <v>3165.28088156893</v>
      </c>
      <c r="E71" s="433">
        <f t="shared" si="6"/>
        <v>3480.5831588827973</v>
      </c>
      <c r="F71" s="434">
        <f t="shared" si="6"/>
        <v>2839.5820528580207</v>
      </c>
      <c r="U71" s="170" t="s">
        <v>478</v>
      </c>
      <c r="V71" s="433">
        <f t="shared" si="7"/>
        <v>31426.793751749923</v>
      </c>
      <c r="W71" s="433">
        <f t="shared" si="7"/>
        <v>33828.148875361891</v>
      </c>
      <c r="X71" s="433">
        <f t="shared" si="7"/>
        <v>33894.961182518506</v>
      </c>
      <c r="Y71" s="434">
        <f t="shared" si="7"/>
        <v>30618.705035971223</v>
      </c>
    </row>
    <row r="72" spans="2:40">
      <c r="B72" s="111" t="s">
        <v>184</v>
      </c>
      <c r="C72" s="433">
        <f t="shared" si="6"/>
        <v>31426.793751749927</v>
      </c>
      <c r="D72" s="433">
        <f t="shared" si="6"/>
        <v>33828.148875361883</v>
      </c>
      <c r="E72" s="433">
        <f t="shared" si="6"/>
        <v>33894.961182518506</v>
      </c>
      <c r="F72" s="434">
        <f t="shared" si="6"/>
        <v>30618.705035971223</v>
      </c>
      <c r="U72" s="170"/>
      <c r="V72" s="433"/>
      <c r="W72" s="433"/>
      <c r="X72" s="433"/>
      <c r="Y72" s="434"/>
    </row>
    <row r="73" spans="2:40">
      <c r="B73" s="115" t="s">
        <v>181</v>
      </c>
      <c r="C73" s="435">
        <f t="shared" si="6"/>
        <v>589446.15950500406</v>
      </c>
      <c r="D73" s="435">
        <f t="shared" si="6"/>
        <v>401014.09014208242</v>
      </c>
      <c r="E73" s="435">
        <f t="shared" si="6"/>
        <v>385412.99663172639</v>
      </c>
      <c r="F73" s="436">
        <f t="shared" si="6"/>
        <v>382800</v>
      </c>
      <c r="U73" s="208" t="s">
        <v>181</v>
      </c>
      <c r="V73" s="435">
        <f>V57*1000/V101</f>
        <v>589446.15950500406</v>
      </c>
      <c r="W73" s="435">
        <f>W57*1000/W101</f>
        <v>401014.09014208236</v>
      </c>
      <c r="X73" s="435">
        <f>X57*1000/X101</f>
        <v>385412.99663172639</v>
      </c>
      <c r="Y73" s="436">
        <f>Y57*1000/Y101</f>
        <v>382800</v>
      </c>
    </row>
    <row r="74" spans="2:40">
      <c r="B74" s="103" t="s">
        <v>303</v>
      </c>
      <c r="U74" s="102" t="s">
        <v>303</v>
      </c>
    </row>
    <row r="75" spans="2:40">
      <c r="B75" s="137" t="str">
        <f>$B$2</f>
        <v>Unison</v>
      </c>
      <c r="C75" s="140">
        <v>2008</v>
      </c>
      <c r="D75" s="144">
        <v>2009</v>
      </c>
      <c r="E75" s="144">
        <v>2010</v>
      </c>
      <c r="F75" s="145">
        <v>2011</v>
      </c>
      <c r="U75" s="154" t="str">
        <f>$B$2</f>
        <v>Unison</v>
      </c>
      <c r="V75" s="140">
        <v>2008</v>
      </c>
      <c r="W75" s="144">
        <v>2009</v>
      </c>
      <c r="X75" s="144">
        <v>2010</v>
      </c>
      <c r="Y75" s="145">
        <v>2011</v>
      </c>
      <c r="AN75" s="139"/>
    </row>
    <row r="76" spans="2:40">
      <c r="B76" s="111" t="s">
        <v>185</v>
      </c>
      <c r="C76" s="422">
        <f t="shared" ref="C76:F79" si="8">IF(ISERROR(C70/$C70),"",(C70/$C70)*100)</f>
        <v>100</v>
      </c>
      <c r="D76" s="422">
        <f t="shared" si="8"/>
        <v>102.86171762578506</v>
      </c>
      <c r="E76" s="422">
        <f t="shared" si="8"/>
        <v>119.75496168986288</v>
      </c>
      <c r="F76" s="423">
        <f t="shared" si="8"/>
        <v>117.47117830327547</v>
      </c>
      <c r="U76" s="170" t="s">
        <v>477</v>
      </c>
      <c r="V76" s="422">
        <f>IF(ISERROR(V70/$V70),"",(V70/$V70)*100)</f>
        <v>100</v>
      </c>
      <c r="W76" s="422">
        <f t="shared" ref="W76:X79" si="9">IF(ISERROR(W70/$V70),"",(W70/$V70)*100)</f>
        <v>99.930892292576686</v>
      </c>
      <c r="X76" s="422">
        <f t="shared" si="9"/>
        <v>116.05462453117821</v>
      </c>
      <c r="Y76" s="423">
        <f>IF(ISERROR(Y70/$V70),"",(Y70/$V70)*100)</f>
        <v>108.64121320018307</v>
      </c>
      <c r="AN76" s="139"/>
    </row>
    <row r="77" spans="2:40">
      <c r="B77" s="111" t="s">
        <v>180</v>
      </c>
      <c r="C77" s="422">
        <f t="shared" si="8"/>
        <v>100</v>
      </c>
      <c r="D77" s="422">
        <f t="shared" si="8"/>
        <v>90.695082481935245</v>
      </c>
      <c r="E77" s="422">
        <f t="shared" si="8"/>
        <v>99.72946745997514</v>
      </c>
      <c r="F77" s="423">
        <f t="shared" si="8"/>
        <v>81.362804166222574</v>
      </c>
      <c r="I77" s="139" t="s">
        <v>190</v>
      </c>
      <c r="U77" s="170" t="s">
        <v>478</v>
      </c>
      <c r="V77" s="422">
        <f>IF(ISERROR(V71/$V71),"",(V71/$V71)*100)</f>
        <v>100</v>
      </c>
      <c r="W77" s="422">
        <f t="shared" si="9"/>
        <v>107.64110759303358</v>
      </c>
      <c r="X77" s="422">
        <f t="shared" si="9"/>
        <v>107.85370423169927</v>
      </c>
      <c r="Y77" s="423">
        <f>IF(ISERROR(Y71/$V71),"",(Y71/$V71)*100)</f>
        <v>97.428663190518108</v>
      </c>
      <c r="AN77" s="139"/>
    </row>
    <row r="78" spans="2:40">
      <c r="B78" s="111" t="s">
        <v>184</v>
      </c>
      <c r="C78" s="422">
        <f t="shared" si="8"/>
        <v>100</v>
      </c>
      <c r="D78" s="422">
        <f t="shared" si="8"/>
        <v>107.64110759303355</v>
      </c>
      <c r="E78" s="422">
        <f t="shared" si="8"/>
        <v>107.85370423169924</v>
      </c>
      <c r="F78" s="423">
        <f t="shared" si="8"/>
        <v>97.428663190518094</v>
      </c>
      <c r="G78" s="141"/>
      <c r="U78" s="170"/>
      <c r="V78" s="422" t="str">
        <f>IF(ISERROR(V72/$V72),"",(V72/$V72)*100)</f>
        <v/>
      </c>
      <c r="W78" s="422" t="str">
        <f t="shared" si="9"/>
        <v/>
      </c>
      <c r="X78" s="422" t="str">
        <f t="shared" si="9"/>
        <v/>
      </c>
      <c r="Y78" s="423" t="str">
        <f>IF(ISERROR(Y72/$V72),"",(Y72/$V72)*100)</f>
        <v/>
      </c>
      <c r="AN78" s="139"/>
    </row>
    <row r="79" spans="2:40">
      <c r="B79" s="115" t="s">
        <v>181</v>
      </c>
      <c r="C79" s="424">
        <f t="shared" si="8"/>
        <v>100</v>
      </c>
      <c r="D79" s="424">
        <f t="shared" si="8"/>
        <v>68.032352688299781</v>
      </c>
      <c r="E79" s="424">
        <f t="shared" si="8"/>
        <v>65.385615024683943</v>
      </c>
      <c r="F79" s="416">
        <f t="shared" si="8"/>
        <v>64.942318111201516</v>
      </c>
      <c r="G79" s="141"/>
      <c r="U79" s="208" t="s">
        <v>181</v>
      </c>
      <c r="V79" s="424">
        <f>IF(ISERROR(V73/$V73),"",(V73/$V73)*100)</f>
        <v>100</v>
      </c>
      <c r="W79" s="424">
        <f t="shared" si="9"/>
        <v>68.032352688299767</v>
      </c>
      <c r="X79" s="424">
        <f t="shared" si="9"/>
        <v>65.385615024683943</v>
      </c>
      <c r="Y79" s="416">
        <f>IF(ISERROR(Y73/$V73),"",(Y73/$V73)*100)</f>
        <v>64.942318111201516</v>
      </c>
      <c r="AN79" s="139"/>
    </row>
    <row r="82" spans="2:25">
      <c r="B82" s="517" t="s">
        <v>252</v>
      </c>
      <c r="C82" s="510"/>
      <c r="D82" s="510"/>
      <c r="E82" s="510"/>
      <c r="F82" s="511"/>
      <c r="U82" s="533" t="s">
        <v>252</v>
      </c>
      <c r="V82" s="510"/>
      <c r="W82" s="510"/>
      <c r="X82" s="510"/>
      <c r="Y82" s="511"/>
    </row>
    <row r="83" spans="2:25">
      <c r="B83" s="137" t="str">
        <f>$B$2</f>
        <v>Unison</v>
      </c>
      <c r="C83" s="144">
        <v>2008</v>
      </c>
      <c r="D83" s="144">
        <v>2009</v>
      </c>
      <c r="E83" s="144">
        <v>2010</v>
      </c>
      <c r="F83" s="145">
        <v>2011</v>
      </c>
      <c r="U83" s="154" t="str">
        <f>$B$2</f>
        <v>Unison</v>
      </c>
      <c r="V83" s="144">
        <v>2008</v>
      </c>
      <c r="W83" s="144">
        <v>2009</v>
      </c>
      <c r="X83" s="144">
        <v>2010</v>
      </c>
      <c r="Y83" s="145">
        <v>2011</v>
      </c>
    </row>
    <row r="84" spans="2:25">
      <c r="B84" s="111" t="s">
        <v>185</v>
      </c>
      <c r="C84" s="430">
        <f>(C54/VLOOKUP($C$38,'MP (2011)'!$A$14:$AR$245,'MP (2011)'!$AA$246,FALSE)*100)</f>
        <v>7.7204856536869748</v>
      </c>
      <c r="D84" s="437">
        <f>(D54/VLOOKUP($D$38,'MP (2011)'!$A$14:$AR$245,'MP (2011)'!$AA$246,FALSE)*100)</f>
        <v>7.9255818739645534</v>
      </c>
      <c r="E84" s="437">
        <f>(E54/VLOOKUP($E$38,'MP (2011)'!$A$14:$AR$245,'MP (2011)'!$AA$246,FALSE)*100)</f>
        <v>8.8252311609418257</v>
      </c>
      <c r="F84" s="438">
        <f>(F54/VLOOKUP($F$38,'MP (2011)'!$A$14:$AR$245,'MP (2011)'!$AA$246,FALSE)*100)</f>
        <v>9.0335535297581533</v>
      </c>
      <c r="U84" s="170" t="s">
        <v>477</v>
      </c>
      <c r="V84" s="430">
        <f t="shared" ref="V84:Y85" si="10">V54*100/V113</f>
        <v>7.0962821478813396</v>
      </c>
      <c r="W84" s="437">
        <f t="shared" si="10"/>
        <v>7.3766894998912935</v>
      </c>
      <c r="X84" s="437">
        <f t="shared" si="10"/>
        <v>7.983324213912975</v>
      </c>
      <c r="Y84" s="438">
        <f t="shared" si="10"/>
        <v>7.3305381608047195</v>
      </c>
    </row>
    <row r="85" spans="2:25">
      <c r="B85" s="111" t="s">
        <v>180</v>
      </c>
      <c r="C85" s="430">
        <f>(C55/VLOOKUP($C$38,'MP (2011)'!$A$14:$AR$245,'MP (2011)'!$AE$246,FALSE)*100)</f>
        <v>5.8224911309275509</v>
      </c>
      <c r="D85" s="437">
        <f>(D55/VLOOKUP($D$38,'MP (2011)'!$A$14:$AR$245,'MP (2011)'!$AE$246,FALSE)*100)</f>
        <v>6.1033753455921484</v>
      </c>
      <c r="E85" s="437">
        <f>(E55/VLOOKUP($E$38,'MP (2011)'!$A$14:$AR$245,'MP (2011)'!$AE$246,FALSE)*100)</f>
        <v>6.2079876516652845</v>
      </c>
      <c r="F85" s="438">
        <f>(F55/VLOOKUP($F$38,'MP (2011)'!$A$14:$AR$245,'MP (2011)'!$AE$246,FALSE)*100)</f>
        <v>4.3218148703827381</v>
      </c>
      <c r="U85" s="170" t="s">
        <v>478</v>
      </c>
      <c r="V85" s="430">
        <f t="shared" si="10"/>
        <v>3.066307410030181</v>
      </c>
      <c r="W85" s="437">
        <f t="shared" si="10"/>
        <v>3.1417812224987647</v>
      </c>
      <c r="X85" s="437">
        <f t="shared" si="10"/>
        <v>3.2117649352789672</v>
      </c>
      <c r="Y85" s="438">
        <f t="shared" si="10"/>
        <v>5.3359096817047131</v>
      </c>
    </row>
    <row r="86" spans="2:25">
      <c r="B86" s="111" t="s">
        <v>184</v>
      </c>
      <c r="C86" s="430">
        <f>(C56/VLOOKUP($C$38,'MP (2011)'!$A$14:$AR$245,'MP (2011)'!$AI$246,FALSE)*100)</f>
        <v>3.0663074100301815</v>
      </c>
      <c r="D86" s="437">
        <f>(D56/VLOOKUP($D$38,'MP (2011)'!$A$14:$AR$245,'MP (2011)'!$AI$246,FALSE)*100)</f>
        <v>3.1417812224987651</v>
      </c>
      <c r="E86" s="437">
        <f>(E56/VLOOKUP($E$38,'MP (2011)'!$A$14:$AR$245,'MP (2011)'!$AI$246,FALSE)*100)</f>
        <v>3.2117649352789677</v>
      </c>
      <c r="F86" s="438">
        <f>(F56/VLOOKUP($F$38,'MP (2011)'!$A$14:$AR$245,'MP (2011)'!$AI$246,FALSE)*100)</f>
        <v>5.3359096817047122</v>
      </c>
      <c r="U86" s="170"/>
      <c r="V86" s="430"/>
      <c r="W86" s="437"/>
      <c r="X86" s="437"/>
      <c r="Y86" s="438"/>
    </row>
    <row r="87" spans="2:25">
      <c r="B87" s="115" t="s">
        <v>181</v>
      </c>
      <c r="C87" s="431">
        <f>(C57/VLOOKUP($C$38,'MP (2011)'!$A$14:$AR$245,'MP (2011)'!$AM$246,FALSE)*100)</f>
        <v>3.1690586607306011</v>
      </c>
      <c r="D87" s="431">
        <f>(D57/VLOOKUP($D$38,'MP (2011)'!$A$14:$AR$245,'MP (2011)'!$AM$246,FALSE)*100)</f>
        <v>2.16542336390535</v>
      </c>
      <c r="E87" s="431">
        <f>(E57/VLOOKUP($E$38,'MP (2011)'!$A$14:$AR$245,'MP (2011)'!$AM$246,FALSE)*100)</f>
        <v>2.3117379185070308</v>
      </c>
      <c r="F87" s="432">
        <f>(F57/VLOOKUP($F$38,'MP (2011)'!$A$14:$AR$245,'MP (2011)'!$AM$246,FALSE)*100)</f>
        <v>2.2034764526594079</v>
      </c>
      <c r="U87" s="208" t="s">
        <v>181</v>
      </c>
      <c r="V87" s="431">
        <f>V57*100/V116</f>
        <v>3.1690586607306006</v>
      </c>
      <c r="W87" s="431">
        <f>W57*100/W116</f>
        <v>2.16542336390535</v>
      </c>
      <c r="X87" s="431">
        <f>X57*100/X116</f>
        <v>2.3117379185070308</v>
      </c>
      <c r="Y87" s="432">
        <f>Y57*100/Y116</f>
        <v>2.2034764526594079</v>
      </c>
    </row>
    <row r="88" spans="2:25">
      <c r="B88" s="103" t="s">
        <v>304</v>
      </c>
      <c r="U88" s="102" t="s">
        <v>304</v>
      </c>
    </row>
    <row r="89" spans="2:25">
      <c r="B89" s="137" t="str">
        <f>$B$2</f>
        <v>Unison</v>
      </c>
      <c r="C89" s="140">
        <v>2008</v>
      </c>
      <c r="D89" s="144">
        <v>2009</v>
      </c>
      <c r="E89" s="144">
        <v>2010</v>
      </c>
      <c r="F89" s="145">
        <v>2011</v>
      </c>
      <c r="U89" s="154" t="str">
        <f>$B$2</f>
        <v>Unison</v>
      </c>
      <c r="V89" s="140">
        <v>2008</v>
      </c>
      <c r="W89" s="144">
        <v>2009</v>
      </c>
      <c r="X89" s="144">
        <v>2010</v>
      </c>
      <c r="Y89" s="145">
        <v>2011</v>
      </c>
    </row>
    <row r="90" spans="2:25">
      <c r="B90" s="111" t="s">
        <v>185</v>
      </c>
      <c r="C90" s="422">
        <f>IF(ISERROR(C84/$C84),"",(C84/$C84)*100)</f>
        <v>100</v>
      </c>
      <c r="D90" s="422">
        <f>IF(ISERROR(D84/$C84),"",(D84/$C84)*100)</f>
        <v>102.65651967346943</v>
      </c>
      <c r="E90" s="422">
        <f>IF(ISERROR(E84/$C84),"",(E84/$C84)*100)</f>
        <v>114.30927478930386</v>
      </c>
      <c r="F90" s="423">
        <f>IF(ISERROR(F84/$C84),"",(F84/$C84)*100)</f>
        <v>117.00758132286812</v>
      </c>
      <c r="U90" s="170" t="s">
        <v>477</v>
      </c>
      <c r="V90" s="422">
        <f>IF(ISERROR(V84/$V84),"",(V84/$V84)*100)</f>
        <v>100</v>
      </c>
      <c r="W90" s="422">
        <f t="shared" ref="W90:Y90" si="11">IF(ISERROR(W84/$V84),"",(W84/$V84)*100)</f>
        <v>103.95146847555479</v>
      </c>
      <c r="X90" s="422">
        <f t="shared" si="11"/>
        <v>112.50009579025082</v>
      </c>
      <c r="Y90" s="423">
        <f t="shared" si="11"/>
        <v>103.3011090602326</v>
      </c>
    </row>
    <row r="91" spans="2:25">
      <c r="B91" s="111" t="s">
        <v>180</v>
      </c>
      <c r="C91" s="422">
        <f t="shared" ref="C91:F92" si="12">IF(ISERROR(C85/$C85),"",(C85/$C85)*100)</f>
        <v>100</v>
      </c>
      <c r="D91" s="422">
        <f t="shared" si="12"/>
        <v>104.82412438848749</v>
      </c>
      <c r="E91" s="422">
        <f t="shared" si="12"/>
        <v>106.62081765466462</v>
      </c>
      <c r="F91" s="423">
        <f t="shared" si="12"/>
        <v>74.226216463025381</v>
      </c>
      <c r="U91" s="170" t="s">
        <v>478</v>
      </c>
      <c r="V91" s="422">
        <f t="shared" ref="V91:Y93" si="13">IF(ISERROR(V85/$V85),"",(V85/$V85)*100)</f>
        <v>100</v>
      </c>
      <c r="W91" s="422">
        <f t="shared" si="13"/>
        <v>102.46139092974506</v>
      </c>
      <c r="X91" s="422">
        <f t="shared" si="13"/>
        <v>104.74373589461321</v>
      </c>
      <c r="Y91" s="423">
        <f t="shared" si="13"/>
        <v>174.01744079052378</v>
      </c>
    </row>
    <row r="92" spans="2:25">
      <c r="B92" s="111" t="s">
        <v>184</v>
      </c>
      <c r="C92" s="422">
        <f t="shared" si="12"/>
        <v>100</v>
      </c>
      <c r="D92" s="422">
        <f t="shared" si="12"/>
        <v>102.46139092974506</v>
      </c>
      <c r="E92" s="422">
        <f t="shared" si="12"/>
        <v>104.74373589461321</v>
      </c>
      <c r="F92" s="423">
        <f t="shared" si="12"/>
        <v>174.01744079052369</v>
      </c>
      <c r="G92" s="141"/>
      <c r="U92" s="170"/>
      <c r="V92" s="422" t="str">
        <f t="shared" si="13"/>
        <v/>
      </c>
      <c r="W92" s="422" t="str">
        <f t="shared" si="13"/>
        <v/>
      </c>
      <c r="X92" s="422" t="str">
        <f t="shared" si="13"/>
        <v/>
      </c>
      <c r="Y92" s="423" t="str">
        <f t="shared" si="13"/>
        <v/>
      </c>
    </row>
    <row r="93" spans="2:25">
      <c r="B93" s="115" t="s">
        <v>181</v>
      </c>
      <c r="C93" s="424">
        <f>IF(ISERROR(C87/$C87),"",(C87/$C87)*100)</f>
        <v>100</v>
      </c>
      <c r="D93" s="424">
        <f>IF(ISERROR(D87/$C87),"",(D87/$C87)*100)</f>
        <v>68.330176109966018</v>
      </c>
      <c r="E93" s="424">
        <f>IF(ISERROR(E87/$C87),"",(E87/$C87)*100)</f>
        <v>72.947148222686366</v>
      </c>
      <c r="F93" s="416">
        <f>IF(ISERROR(F87/$C87),"",(F87/$C87)*100)</f>
        <v>69.530945575851661</v>
      </c>
      <c r="G93" s="141"/>
      <c r="U93" s="208" t="s">
        <v>181</v>
      </c>
      <c r="V93" s="424">
        <f t="shared" si="13"/>
        <v>100</v>
      </c>
      <c r="W93" s="424">
        <f t="shared" si="13"/>
        <v>68.330176109966018</v>
      </c>
      <c r="X93" s="424">
        <f t="shared" si="13"/>
        <v>72.94714822268638</v>
      </c>
      <c r="Y93" s="416">
        <f t="shared" si="13"/>
        <v>69.530945575851675</v>
      </c>
    </row>
    <row r="96" spans="2:25">
      <c r="B96" s="517" t="s">
        <v>253</v>
      </c>
      <c r="C96" s="510"/>
      <c r="D96" s="510"/>
      <c r="E96" s="510"/>
      <c r="F96" s="511"/>
      <c r="U96" s="533" t="s">
        <v>253</v>
      </c>
      <c r="V96" s="510"/>
      <c r="W96" s="510"/>
      <c r="X96" s="510"/>
      <c r="Y96" s="511"/>
    </row>
    <row r="97" spans="2:25">
      <c r="B97" s="154"/>
      <c r="C97" s="144">
        <v>2008</v>
      </c>
      <c r="D97" s="144">
        <v>2009</v>
      </c>
      <c r="E97" s="144">
        <v>2010</v>
      </c>
      <c r="F97" s="145">
        <v>2011</v>
      </c>
      <c r="U97" s="154"/>
      <c r="V97" s="144">
        <v>2008</v>
      </c>
      <c r="W97" s="144">
        <v>2009</v>
      </c>
      <c r="X97" s="144">
        <v>2010</v>
      </c>
      <c r="Y97" s="145">
        <v>2011</v>
      </c>
    </row>
    <row r="98" spans="2:25">
      <c r="B98" s="155" t="s">
        <v>308</v>
      </c>
      <c r="C98" s="150">
        <f>VLOOKUP($C$38,'MP (2011)'!$A$14:$AR$245,'MP (2011)'!$AB$246,FALSE)</f>
        <v>101650</v>
      </c>
      <c r="D98" s="150">
        <f>VLOOKUP($D$38,'MP (2011)'!$A$14:$AR$245,'MP (2011)'!$AB$246,FALSE)</f>
        <v>100901</v>
      </c>
      <c r="E98" s="150">
        <f>VLOOKUP($E$38,'MP (2011)'!$A$14:$AR$245,'MP (2011)'!$AB$246,FALSE)</f>
        <v>101241</v>
      </c>
      <c r="F98" s="151">
        <f>VLOOKUP($F$38,'MP (2011)'!$A$14:$AR$245,'MP (2011)'!$AB$246,FALSE)</f>
        <v>101909</v>
      </c>
      <c r="U98" s="170" t="s">
        <v>477</v>
      </c>
      <c r="V98" s="150">
        <f>C98+C99</f>
        <v>107786</v>
      </c>
      <c r="W98" s="150">
        <f t="shared" ref="W98:X98" si="14">D98+D99</f>
        <v>107106</v>
      </c>
      <c r="X98" s="150">
        <f t="shared" si="14"/>
        <v>107865</v>
      </c>
      <c r="Y98" s="151">
        <f>F98+F99</f>
        <v>108417</v>
      </c>
    </row>
    <row r="99" spans="2:25">
      <c r="B99" s="155" t="s">
        <v>309</v>
      </c>
      <c r="C99" s="150">
        <f>VLOOKUP($C$38,'MP (2011)'!$A$14:$AR$245,'MP (2011)'!$AF$246,FALSE)</f>
        <v>6136</v>
      </c>
      <c r="D99" s="150">
        <f>VLOOKUP($D$38,'MP (2011)'!$A$14:$AR$245,'MP (2011)'!$AF$246,FALSE)</f>
        <v>6205</v>
      </c>
      <c r="E99" s="150">
        <f>VLOOKUP($E$38,'MP (2011)'!$A$14:$AR$245,'MP (2011)'!$AF$246,FALSE)</f>
        <v>6624</v>
      </c>
      <c r="F99" s="151">
        <f>VLOOKUP($F$38,'MP (2011)'!$A$14:$AR$245,'MP (2011)'!$AF$246,FALSE)</f>
        <v>6508</v>
      </c>
      <c r="U99" s="170" t="s">
        <v>478</v>
      </c>
      <c r="V99" s="150">
        <f>C100</f>
        <v>349</v>
      </c>
      <c r="W99" s="150">
        <f t="shared" ref="W99:X99" si="15">D100</f>
        <v>373</v>
      </c>
      <c r="X99" s="150">
        <f t="shared" si="15"/>
        <v>342</v>
      </c>
      <c r="Y99" s="151">
        <f>F100</f>
        <v>556</v>
      </c>
    </row>
    <row r="100" spans="2:25">
      <c r="B100" s="155" t="s">
        <v>310</v>
      </c>
      <c r="C100" s="150">
        <f>VLOOKUP($C$38,'MP (2011)'!$A$14:$AR$245,'MP (2011)'!$AJ$246,FALSE)</f>
        <v>349</v>
      </c>
      <c r="D100" s="150">
        <f>VLOOKUP($D$38,'MP (2011)'!$A$14:$AR$245,'MP (2011)'!$AJ$246,FALSE)</f>
        <v>373</v>
      </c>
      <c r="E100" s="150">
        <f>VLOOKUP($E$38,'MP (2011)'!$A$14:$AR$245,'MP (2011)'!$AJ$246,FALSE)</f>
        <v>342</v>
      </c>
      <c r="F100" s="151">
        <f>VLOOKUP($F$38,'MP (2011)'!$A$14:$AR$245,'MP (2011)'!$AJ$246,FALSE)</f>
        <v>556</v>
      </c>
      <c r="U100" s="170"/>
      <c r="V100" s="150"/>
      <c r="W100" s="150"/>
      <c r="X100" s="150"/>
      <c r="Y100" s="151"/>
    </row>
    <row r="101" spans="2:25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  <c r="U101" s="170" t="s">
        <v>181</v>
      </c>
      <c r="V101" s="150">
        <f>C101</f>
        <v>5</v>
      </c>
      <c r="W101" s="150">
        <f>D101</f>
        <v>5</v>
      </c>
      <c r="X101" s="150">
        <f>E101</f>
        <v>5</v>
      </c>
      <c r="Y101" s="151">
        <f>F101</f>
        <v>5</v>
      </c>
    </row>
    <row r="102" spans="2:25">
      <c r="B102" s="156" t="s">
        <v>254</v>
      </c>
      <c r="C102" s="152">
        <f>SUM(C98:C101)</f>
        <v>108140</v>
      </c>
      <c r="D102" s="152">
        <f>SUM(D98:D101)</f>
        <v>107484</v>
      </c>
      <c r="E102" s="152">
        <f>SUM(E98:E101)</f>
        <v>108212</v>
      </c>
      <c r="F102" s="157">
        <f>SUM(F98:F101)</f>
        <v>108978</v>
      </c>
      <c r="U102" s="208" t="s">
        <v>254</v>
      </c>
      <c r="V102" s="152">
        <f>SUM(V98:V101)</f>
        <v>108140</v>
      </c>
      <c r="W102" s="152">
        <f>SUM(W98:W101)</f>
        <v>107484</v>
      </c>
      <c r="X102" s="152">
        <f>SUM(X98:X101)</f>
        <v>108212</v>
      </c>
      <c r="Y102" s="157">
        <f>SUM(Y98:Y101)</f>
        <v>108978</v>
      </c>
    </row>
    <row r="103" spans="2:25">
      <c r="B103" s="103" t="s">
        <v>305</v>
      </c>
      <c r="U103" s="102" t="s">
        <v>305</v>
      </c>
    </row>
    <row r="104" spans="2:25">
      <c r="B104" s="137"/>
      <c r="C104" s="140">
        <v>2008</v>
      </c>
      <c r="D104" s="144">
        <v>2009</v>
      </c>
      <c r="E104" s="144">
        <v>2010</v>
      </c>
      <c r="F104" s="145">
        <v>2011</v>
      </c>
      <c r="U104" s="154"/>
      <c r="V104" s="536">
        <v>2008</v>
      </c>
      <c r="W104" s="534">
        <v>2009</v>
      </c>
      <c r="X104" s="534">
        <v>2010</v>
      </c>
      <c r="Y104" s="535">
        <v>2011</v>
      </c>
    </row>
    <row r="105" spans="2:25">
      <c r="B105" s="111" t="s">
        <v>185</v>
      </c>
      <c r="C105" s="422">
        <f t="shared" ref="C105:F108" si="16">IF(ISERROR(C98/$C98),"",(C98/$C98)*100)</f>
        <v>100</v>
      </c>
      <c r="D105" s="422">
        <f t="shared" si="16"/>
        <v>99.263157894736835</v>
      </c>
      <c r="E105" s="422">
        <f t="shared" si="16"/>
        <v>99.597638957206101</v>
      </c>
      <c r="F105" s="423">
        <f t="shared" si="16"/>
        <v>100.25479586817512</v>
      </c>
      <c r="U105" s="170" t="s">
        <v>477</v>
      </c>
      <c r="V105" s="422">
        <f>IF(ISERROR(V98/$V98),"",(V98/$V98)*100)</f>
        <v>100</v>
      </c>
      <c r="W105" s="422">
        <f t="shared" ref="W105:Y105" si="17">IF(ISERROR(W98/$V98),"",(W98/$V98)*100)</f>
        <v>99.369120293915728</v>
      </c>
      <c r="X105" s="422">
        <f t="shared" si="17"/>
        <v>100.07329337761861</v>
      </c>
      <c r="Y105" s="423">
        <f t="shared" si="17"/>
        <v>100.58541925667525</v>
      </c>
    </row>
    <row r="106" spans="2:25">
      <c r="B106" s="111" t="s">
        <v>180</v>
      </c>
      <c r="C106" s="422">
        <f t="shared" si="16"/>
        <v>100</v>
      </c>
      <c r="D106" s="422">
        <f t="shared" si="16"/>
        <v>101.1245110821382</v>
      </c>
      <c r="E106" s="422">
        <f t="shared" si="16"/>
        <v>107.95306388526727</v>
      </c>
      <c r="F106" s="423">
        <f t="shared" si="16"/>
        <v>106.06258148631029</v>
      </c>
      <c r="G106" s="141"/>
      <c r="U106" s="170" t="s">
        <v>478</v>
      </c>
      <c r="V106" s="422">
        <f t="shared" ref="V106:Y108" si="18">IF(ISERROR(V99/$V99),"",(V99/$V99)*100)</f>
        <v>100</v>
      </c>
      <c r="W106" s="422">
        <f t="shared" si="18"/>
        <v>106.87679083094557</v>
      </c>
      <c r="X106" s="422">
        <f t="shared" si="18"/>
        <v>97.994269340974213</v>
      </c>
      <c r="Y106" s="423">
        <f t="shared" si="18"/>
        <v>159.31232091690543</v>
      </c>
    </row>
    <row r="107" spans="2:25">
      <c r="B107" s="111" t="s">
        <v>184</v>
      </c>
      <c r="C107" s="422">
        <f t="shared" si="16"/>
        <v>100</v>
      </c>
      <c r="D107" s="422">
        <f t="shared" si="16"/>
        <v>106.87679083094557</v>
      </c>
      <c r="E107" s="422">
        <f t="shared" si="16"/>
        <v>97.994269340974213</v>
      </c>
      <c r="F107" s="423">
        <f t="shared" si="16"/>
        <v>159.31232091690543</v>
      </c>
      <c r="G107" s="141"/>
      <c r="U107" s="170"/>
      <c r="V107" s="422" t="str">
        <f t="shared" si="18"/>
        <v/>
      </c>
      <c r="W107" s="422" t="str">
        <f t="shared" si="18"/>
        <v/>
      </c>
      <c r="X107" s="422" t="str">
        <f t="shared" si="18"/>
        <v/>
      </c>
      <c r="Y107" s="423" t="str">
        <f t="shared" si="18"/>
        <v/>
      </c>
    </row>
    <row r="108" spans="2:25">
      <c r="B108" s="115" t="s">
        <v>181</v>
      </c>
      <c r="C108" s="424">
        <f t="shared" si="16"/>
        <v>100</v>
      </c>
      <c r="D108" s="424">
        <f t="shared" si="16"/>
        <v>100</v>
      </c>
      <c r="E108" s="424">
        <f t="shared" si="16"/>
        <v>100</v>
      </c>
      <c r="F108" s="416">
        <f t="shared" si="16"/>
        <v>100</v>
      </c>
      <c r="U108" s="170" t="s">
        <v>181</v>
      </c>
      <c r="V108" s="422">
        <f t="shared" si="18"/>
        <v>100</v>
      </c>
      <c r="W108" s="422">
        <f t="shared" si="18"/>
        <v>100</v>
      </c>
      <c r="X108" s="422">
        <f t="shared" si="18"/>
        <v>100</v>
      </c>
      <c r="Y108" s="423">
        <f t="shared" si="18"/>
        <v>100</v>
      </c>
    </row>
    <row r="109" spans="2:25">
      <c r="U109" s="208"/>
      <c r="V109" s="205"/>
      <c r="W109" s="205"/>
      <c r="X109" s="205"/>
      <c r="Y109" s="206"/>
    </row>
    <row r="111" spans="2:25">
      <c r="B111" s="517" t="s">
        <v>255</v>
      </c>
      <c r="C111" s="510"/>
      <c r="D111" s="510"/>
      <c r="E111" s="510"/>
      <c r="F111" s="511"/>
      <c r="U111" s="533" t="s">
        <v>255</v>
      </c>
      <c r="V111" s="510"/>
      <c r="W111" s="510"/>
      <c r="X111" s="510"/>
      <c r="Y111" s="511"/>
    </row>
    <row r="112" spans="2:25">
      <c r="B112" s="137" t="str">
        <f>$B$2</f>
        <v>Unison</v>
      </c>
      <c r="C112" s="144">
        <v>2008</v>
      </c>
      <c r="D112" s="144">
        <v>2009</v>
      </c>
      <c r="E112" s="144">
        <v>2010</v>
      </c>
      <c r="F112" s="145">
        <v>2011</v>
      </c>
      <c r="U112" s="154" t="str">
        <f>$B$2</f>
        <v>Unison</v>
      </c>
      <c r="V112" s="144">
        <v>2008</v>
      </c>
      <c r="W112" s="144">
        <v>2009</v>
      </c>
      <c r="X112" s="144">
        <v>2010</v>
      </c>
      <c r="Y112" s="145">
        <v>2011</v>
      </c>
    </row>
    <row r="113" spans="2:25">
      <c r="B113" s="155" t="s">
        <v>308</v>
      </c>
      <c r="C113" s="146">
        <f>VLOOKUP($C$38,'MP (2011)'!$A$14:$AR$245,'MP (2011)'!$AA$246,FALSE)</f>
        <v>750545.47</v>
      </c>
      <c r="D113" s="150">
        <f>VLOOKUP($D$38,'MP (2011)'!$A$14:$AR$245,'MP (2011)'!$AA$246,FALSE)</f>
        <v>746504.33</v>
      </c>
      <c r="E113" s="150">
        <f>VLOOKUP($E$38,'MP (2011)'!$A$14:$AR$245,'MP (2011)'!$AA$246,FALSE)</f>
        <v>783137.64</v>
      </c>
      <c r="F113" s="151">
        <f>VLOOKUP($F$38,'MP (2011)'!$A$14:$AR$245,'MP (2011)'!$AA$246,FALSE)</f>
        <v>755439.15</v>
      </c>
      <c r="U113" s="170" t="s">
        <v>477</v>
      </c>
      <c r="V113" s="426">
        <f>C113+C114</f>
        <v>1118339.8</v>
      </c>
      <c r="W113" s="433">
        <f t="shared" ref="W113:X113" si="19">D113+D114</f>
        <v>1068302.79</v>
      </c>
      <c r="X113" s="433">
        <f t="shared" si="19"/>
        <v>1154520.19</v>
      </c>
      <c r="Y113" s="434">
        <f>F113+F114</f>
        <v>1183037.29</v>
      </c>
    </row>
    <row r="114" spans="2:25">
      <c r="B114" s="155" t="s">
        <v>309</v>
      </c>
      <c r="C114" s="150">
        <f>VLOOKUP($C$38,'MP (2011)'!$A$14:$AR$245,'MP (2011)'!$AE$246,FALSE)</f>
        <v>367794.33</v>
      </c>
      <c r="D114" s="150">
        <f>VLOOKUP($D$38,'MP (2011)'!$A$14:$AR$245,'MP (2011)'!$AE$246,FALSE)</f>
        <v>321798.46000000002</v>
      </c>
      <c r="E114" s="150">
        <f>VLOOKUP($E$38,'MP (2011)'!$A$14:$AR$245,'MP (2011)'!$AE$246,FALSE)</f>
        <v>371382.55</v>
      </c>
      <c r="F114" s="151">
        <f>VLOOKUP($F$38,'MP (2011)'!$A$14:$AR$245,'MP (2011)'!$AE$246,FALSE)</f>
        <v>427598.14</v>
      </c>
      <c r="U114" s="170" t="s">
        <v>478</v>
      </c>
      <c r="V114" s="433">
        <f>C115</f>
        <v>357692.48</v>
      </c>
      <c r="W114" s="433">
        <f t="shared" ref="W114:X114" si="20">D115</f>
        <v>401616.11</v>
      </c>
      <c r="X114" s="433">
        <f t="shared" si="20"/>
        <v>360925.44</v>
      </c>
      <c r="Y114" s="434">
        <f>F115</f>
        <v>319045.88</v>
      </c>
    </row>
    <row r="115" spans="2:25">
      <c r="B115" s="155" t="s">
        <v>310</v>
      </c>
      <c r="C115" s="150">
        <f>VLOOKUP($C$38,'MP (2011)'!$A$14:$AR$245,'MP (2011)'!$AI$246,FALSE)</f>
        <v>357692.48</v>
      </c>
      <c r="D115" s="150">
        <f>VLOOKUP($D$38,'MP (2011)'!$A$14:$AR$245,'MP (2011)'!$AI$246,FALSE)</f>
        <v>401616.11</v>
      </c>
      <c r="E115" s="150">
        <f>VLOOKUP($E$38,'MP (2011)'!$A$14:$AR$245,'MP (2011)'!$AI$246,FALSE)</f>
        <v>360925.44</v>
      </c>
      <c r="F115" s="151">
        <f>VLOOKUP($F$38,'MP (2011)'!$A$14:$AR$245,'MP (2011)'!$AI$246,FALSE)</f>
        <v>319045.88</v>
      </c>
      <c r="U115" s="170"/>
      <c r="V115" s="433"/>
      <c r="W115" s="433"/>
      <c r="X115" s="433"/>
      <c r="Y115" s="434"/>
    </row>
    <row r="116" spans="2:25">
      <c r="B116" s="155" t="s">
        <v>311</v>
      </c>
      <c r="C116" s="150">
        <f>VLOOKUP($C$38,'MP (2011)'!$A$14:$AR$245,'MP (2011)'!$AM$246,FALSE)</f>
        <v>93000.197</v>
      </c>
      <c r="D116" s="150">
        <f>VLOOKUP($D$38,'MP (2011)'!$A$14:$AR$245,'MP (2011)'!$AM$246,FALSE)</f>
        <v>92594.846999999994</v>
      </c>
      <c r="E116" s="150">
        <f>VLOOKUP($E$38,'MP (2011)'!$A$14:$AR$245,'MP (2011)'!$AM$246,FALSE)</f>
        <v>83360.010999999999</v>
      </c>
      <c r="F116" s="151">
        <f>VLOOKUP($F$38,'MP (2011)'!$A$14:$AR$245,'MP (2011)'!$AM$246,FALSE)</f>
        <v>86862.739000000001</v>
      </c>
      <c r="U116" s="170" t="s">
        <v>181</v>
      </c>
      <c r="V116" s="433">
        <f>C116</f>
        <v>93000.197</v>
      </c>
      <c r="W116" s="433">
        <f>D116</f>
        <v>92594.846999999994</v>
      </c>
      <c r="X116" s="433">
        <f>E116</f>
        <v>83360.010999999999</v>
      </c>
      <c r="Y116" s="434">
        <f>F116</f>
        <v>86862.739000000001</v>
      </c>
    </row>
    <row r="117" spans="2:25">
      <c r="B117" s="147" t="s">
        <v>254</v>
      </c>
      <c r="C117" s="158">
        <f>SUM(C113:C116)</f>
        <v>1569032.477</v>
      </c>
      <c r="D117" s="158">
        <f>SUM(D113:D116)</f>
        <v>1562513.747</v>
      </c>
      <c r="E117" s="158">
        <f>SUM(E113:E116)</f>
        <v>1598805.6409999998</v>
      </c>
      <c r="F117" s="159">
        <f>SUM(F113:F116)</f>
        <v>1588945.909</v>
      </c>
      <c r="U117" s="208" t="s">
        <v>254</v>
      </c>
      <c r="V117" s="445">
        <f>SUM(V113:V116)</f>
        <v>1569032.477</v>
      </c>
      <c r="W117" s="445">
        <f>SUM(W113:W116)</f>
        <v>1562513.747</v>
      </c>
      <c r="X117" s="445">
        <f>SUM(X113:X116)</f>
        <v>1598805.6409999998</v>
      </c>
      <c r="Y117" s="537">
        <f>SUM(Y113:Y116)</f>
        <v>1588945.909</v>
      </c>
    </row>
    <row r="118" spans="2:25">
      <c r="B118" s="103" t="s">
        <v>306</v>
      </c>
      <c r="U118" s="102" t="s">
        <v>306</v>
      </c>
    </row>
    <row r="119" spans="2:25">
      <c r="B119" s="137" t="str">
        <f>$B$2</f>
        <v>Unison</v>
      </c>
      <c r="C119" s="144">
        <v>2008</v>
      </c>
      <c r="D119" s="144">
        <v>2009</v>
      </c>
      <c r="E119" s="144">
        <v>2010</v>
      </c>
      <c r="F119" s="145">
        <v>2011</v>
      </c>
      <c r="U119" s="154"/>
      <c r="V119" s="534">
        <v>2008</v>
      </c>
      <c r="W119" s="534">
        <v>2009</v>
      </c>
      <c r="X119" s="534">
        <v>2010</v>
      </c>
      <c r="Y119" s="535">
        <v>2011</v>
      </c>
    </row>
    <row r="120" spans="2:25">
      <c r="B120" s="111" t="s">
        <v>185</v>
      </c>
      <c r="C120" s="422">
        <f t="shared" ref="C120:F123" si="21">IF(ISERROR(C113/$C113),"",(C113/$C113)*100)</f>
        <v>100</v>
      </c>
      <c r="D120" s="422">
        <f t="shared" si="21"/>
        <v>99.461572927753465</v>
      </c>
      <c r="E120" s="422">
        <f t="shared" si="21"/>
        <v>104.34246442124287</v>
      </c>
      <c r="F120" s="423">
        <f t="shared" si="21"/>
        <v>100.65201645944251</v>
      </c>
      <c r="U120" s="170" t="s">
        <v>477</v>
      </c>
      <c r="V120" s="422">
        <f>IF(ISERROR(V113/$V113),"",(V113/$V113)*100)</f>
        <v>100</v>
      </c>
      <c r="W120" s="422">
        <f t="shared" ref="W120:Y120" si="22">IF(ISERROR(W113/$V113),"",(W113/$V113)*100)</f>
        <v>95.525777585667612</v>
      </c>
      <c r="X120" s="422">
        <f t="shared" si="22"/>
        <v>103.23518755211967</v>
      </c>
      <c r="Y120" s="423">
        <f t="shared" si="22"/>
        <v>105.78513703974409</v>
      </c>
    </row>
    <row r="121" spans="2:25">
      <c r="B121" s="111" t="s">
        <v>180</v>
      </c>
      <c r="C121" s="422">
        <f t="shared" si="21"/>
        <v>100</v>
      </c>
      <c r="D121" s="422">
        <f t="shared" si="21"/>
        <v>87.494132930216736</v>
      </c>
      <c r="E121" s="422">
        <f t="shared" si="21"/>
        <v>100.97560503447673</v>
      </c>
      <c r="F121" s="423">
        <f t="shared" si="21"/>
        <v>116.26012287900143</v>
      </c>
      <c r="U121" s="170" t="s">
        <v>478</v>
      </c>
      <c r="V121" s="422">
        <f t="shared" ref="V121:Y123" si="23">IF(ISERROR(V114/$V114),"",(V114/$V114)*100)</f>
        <v>100</v>
      </c>
      <c r="W121" s="422">
        <f t="shared" si="23"/>
        <v>112.27971860073771</v>
      </c>
      <c r="X121" s="422">
        <f t="shared" si="23"/>
        <v>100.90383784417274</v>
      </c>
      <c r="Y121" s="423">
        <f t="shared" si="23"/>
        <v>89.195579398258531</v>
      </c>
    </row>
    <row r="122" spans="2:25">
      <c r="B122" s="111" t="s">
        <v>184</v>
      </c>
      <c r="C122" s="422">
        <f t="shared" si="21"/>
        <v>100</v>
      </c>
      <c r="D122" s="422">
        <f t="shared" si="21"/>
        <v>112.27971860073771</v>
      </c>
      <c r="E122" s="422">
        <f t="shared" si="21"/>
        <v>100.90383784417274</v>
      </c>
      <c r="F122" s="423">
        <f t="shared" si="21"/>
        <v>89.195579398258531</v>
      </c>
      <c r="U122" s="170"/>
      <c r="V122" s="422" t="str">
        <f t="shared" si="23"/>
        <v/>
      </c>
      <c r="W122" s="422" t="str">
        <f t="shared" si="23"/>
        <v/>
      </c>
      <c r="X122" s="422" t="str">
        <f t="shared" si="23"/>
        <v/>
      </c>
      <c r="Y122" s="423" t="str">
        <f t="shared" si="23"/>
        <v/>
      </c>
    </row>
    <row r="123" spans="2:25">
      <c r="B123" s="115" t="s">
        <v>181</v>
      </c>
      <c r="C123" s="424">
        <f t="shared" si="21"/>
        <v>100</v>
      </c>
      <c r="D123" s="424">
        <f t="shared" si="21"/>
        <v>99.564140708218062</v>
      </c>
      <c r="E123" s="424">
        <f t="shared" si="21"/>
        <v>89.634230559748161</v>
      </c>
      <c r="F123" s="416">
        <f t="shared" si="21"/>
        <v>93.400596775079947</v>
      </c>
      <c r="U123" s="170" t="s">
        <v>181</v>
      </c>
      <c r="V123" s="422">
        <f t="shared" si="23"/>
        <v>100</v>
      </c>
      <c r="W123" s="422">
        <f t="shared" si="23"/>
        <v>99.564140708218062</v>
      </c>
      <c r="X123" s="422">
        <f t="shared" si="23"/>
        <v>89.634230559748161</v>
      </c>
      <c r="Y123" s="423">
        <f t="shared" si="23"/>
        <v>93.400596775079947</v>
      </c>
    </row>
    <row r="124" spans="2:25">
      <c r="U124" s="208"/>
      <c r="V124" s="205"/>
      <c r="W124" s="205"/>
      <c r="X124" s="205"/>
      <c r="Y124" s="206"/>
    </row>
    <row r="126" spans="2:25">
      <c r="B126" s="517" t="s">
        <v>256</v>
      </c>
      <c r="C126" s="510"/>
      <c r="D126" s="510"/>
      <c r="E126" s="510"/>
      <c r="F126" s="511"/>
    </row>
    <row r="127" spans="2:25">
      <c r="B127" s="137" t="str">
        <f>$B$2</f>
        <v>Unison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25">
      <c r="B128" s="162" t="s">
        <v>259</v>
      </c>
      <c r="C128" s="439">
        <f>VLOOKUP($C$38,'FS (2011)'!$A$13:$AH$244,'FS (2011)'!$I$245,FALSE)</f>
        <v>103069.06060249209</v>
      </c>
      <c r="D128" s="433">
        <f>VLOOKUP($D$38,'FS (2011)'!$A$13:$AH$244,'FS (2011)'!$I$245,FALSE)</f>
        <v>99844.251669435078</v>
      </c>
      <c r="E128" s="433">
        <f>VLOOKUP($E$38,'FS (2011)'!$A$13:$AH$244,'FS (2011)'!$I$245,FALSE)</f>
        <v>112229.30249791166</v>
      </c>
      <c r="F128" s="440">
        <f>VLOOKUP($F$38,'FS (2011)'!$A$13:$AH$244,'FS (2011)'!$I$245,FALSE)</f>
        <v>111294.88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11960.586692138802</v>
      </c>
      <c r="D129" s="433">
        <f>VLOOKUP($D$38,'FS (2011)'!$A$13:$AH$244,'FS (2011)'!$Y$245,FALSE)+VLOOKUP($D$38,'FS (2011)'!$A$13:$AH$244,'FS (2011)'!$Z$245,FALSE)</f>
        <v>11235.83749605326</v>
      </c>
      <c r="E129" s="433">
        <f>VLOOKUP($E$38,'FS (2011)'!$A$13:$AH$244,'FS (2011)'!$Y$245,FALSE)+VLOOKUP($E$38,'FS (2011)'!$A$13:$AH$244,'FS (2011)'!$Z$245,FALSE)</f>
        <v>8177.1225773220867</v>
      </c>
      <c r="F129" s="440">
        <f>VLOOKUP($F$38,'FS (2011)'!$A$13:$AH$244,'FS (2011)'!$Y$245,FALSE)+VLOOKUP($F$38,'FS (2011)'!$A$13:$AH$244,'FS (2011)'!$Z$245,FALSE)</f>
        <v>17465.698</v>
      </c>
      <c r="G129" s="121"/>
    </row>
    <row r="130" spans="1:30">
      <c r="B130" s="162" t="s">
        <v>191</v>
      </c>
      <c r="C130" s="441">
        <f>VLOOKUP($C$38,'FS (2011)'!$A$13:$AH$244,'FS (2011)'!$J$245,FALSE)</f>
        <v>23318.980863676537</v>
      </c>
      <c r="D130" s="433">
        <f>VLOOKUP($D$38,'FS (2011)'!$A$13:$AH$244,'FS (2011)'!$J$245,FALSE)</f>
        <v>24735.979356716307</v>
      </c>
      <c r="E130" s="433">
        <f>VLOOKUP($E$38,'FS (2011)'!$A$13:$AH$244,'FS (2011)'!$J$245,FALSE)</f>
        <v>26871.342143030364</v>
      </c>
      <c r="F130" s="440">
        <f>VLOOKUP($F$38,'FS (2011)'!$A$13:$AH$244,'FS (2011)'!$J$245,FALSE)</f>
        <v>26618.598000000002</v>
      </c>
    </row>
    <row r="131" spans="1:30">
      <c r="B131" s="162" t="s">
        <v>182</v>
      </c>
      <c r="C131" s="441">
        <f>VLOOKUP($C$38,'FS (2011)'!$A$13:$AH$244,'FS (2011)'!$S$245,FALSE)</f>
        <v>23567.704705597218</v>
      </c>
      <c r="D131" s="433">
        <f>VLOOKUP($D$38,'FS (2011)'!$A$13:$AH$244,'FS (2011)'!$S$245,FALSE)</f>
        <v>22274.996554053123</v>
      </c>
      <c r="E131" s="433">
        <f>VLOOKUP($E$38,'FS (2011)'!$A$13:$AH$244,'FS (2011)'!$S$245,FALSE)</f>
        <v>26258.94056937296</v>
      </c>
      <c r="F131" s="440">
        <f>VLOOKUP($F$38,'FS (2011)'!$A$13:$AH$244,'FS (2011)'!$S$245,FALSE)</f>
        <v>29511.937999999998</v>
      </c>
      <c r="I131" s="139"/>
    </row>
    <row r="132" spans="1:30">
      <c r="B132" s="162" t="s">
        <v>143</v>
      </c>
      <c r="C132" s="441">
        <f>VLOOKUP($C$38,'FS (2011)'!$A$13:$AH$244,'FS (2011)'!$U$245,FALSE)</f>
        <v>18110.519948960678</v>
      </c>
      <c r="D132" s="433">
        <f>VLOOKUP($D$38,'FS (2011)'!$A$13:$AH$244,'FS (2011)'!$U$245,FALSE)</f>
        <v>18232.68530908092</v>
      </c>
      <c r="E132" s="433">
        <f>VLOOKUP($E$38,'FS (2011)'!$A$13:$AH$244,'FS (2011)'!$U$245,FALSE)</f>
        <v>18949.436505348818</v>
      </c>
      <c r="F132" s="440">
        <f>VLOOKUP($F$38,'FS (2011)'!$A$13:$AH$244,'FS (2011)'!$U$245,FALSE)</f>
        <v>19426.688999999998</v>
      </c>
    </row>
    <row r="133" spans="1:30">
      <c r="B133" s="162" t="s">
        <v>196</v>
      </c>
      <c r="C133" s="441">
        <f>VLOOKUP($C$38,'FS (2011)'!$A$13:$AH$244,'FS (2011)'!$X$245,FALSE)</f>
        <v>5089.415853183541</v>
      </c>
      <c r="D133" s="433">
        <f>VLOOKUP($D$38,'FS (2011)'!$A$13:$AH$244,'FS (2011)'!$X$245,FALSE)</f>
        <v>4045.2146917152845</v>
      </c>
      <c r="E133" s="433">
        <f>VLOOKUP($E$38,'FS (2011)'!$A$13:$AH$244,'FS (2011)'!$X$245,FALSE)</f>
        <v>5839.1041264315154</v>
      </c>
      <c r="F133" s="440">
        <f>VLOOKUP($F$38,'FS (2011)'!$A$13:$AH$244,'FS (2011)'!$X$245,FALSE)</f>
        <v>3478.5428999999999</v>
      </c>
    </row>
    <row r="134" spans="1:30">
      <c r="B134" s="164" t="s">
        <v>258</v>
      </c>
      <c r="C134" s="442">
        <f>VLOOKUP($C$38,'FS (2011)'!$A$13:$AH$244,'FS (2011)'!$AA$245,FALSE)</f>
        <v>44943.026677882008</v>
      </c>
      <c r="D134" s="435">
        <f>VLOOKUP($D$38,'FS (2011)'!$A$13:$AH$244,'FS (2011)'!$AA$245,FALSE)</f>
        <v>41791.213150113246</v>
      </c>
      <c r="E134" s="435">
        <f>VLOOKUP($E$38,'FS (2011)'!$A$13:$AH$244,'FS (2011)'!$AA$245,FALSE)</f>
        <v>42487.604685672704</v>
      </c>
      <c r="F134" s="443">
        <f>VLOOKUP($F$38,'FS (2011)'!$A$13:$AH$244,'FS (2011)'!$AA$245,FALSE)</f>
        <v>49724.815000000002</v>
      </c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2</v>
      </c>
      <c r="B138" s="166" t="s">
        <v>204</v>
      </c>
      <c r="C138" s="167"/>
      <c r="D138" s="444">
        <f>VLOOKUP($D$6,'FS (2011)'!$A$13:$AH$244,'FS (2011)'!$L$245,FALSE)</f>
        <v>4433.0780000000004</v>
      </c>
      <c r="E138" s="446">
        <f t="shared" ref="E138:E144" si="24">D138/$D$145</f>
        <v>0.15021304448317932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15380.415999999999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25">RANK(D139,$D$138:$D$144)</f>
        <v>1</v>
      </c>
      <c r="B139" s="162" t="s">
        <v>199</v>
      </c>
      <c r="C139" s="121"/>
      <c r="D139" s="441">
        <f>VLOOKUP($D$6,'FS (2011)'!$A$13:$AH$244,'FS (2011)'!K245,FALSE)</f>
        <v>15380.415999999999</v>
      </c>
      <c r="E139" s="414">
        <f t="shared" si="24"/>
        <v>0.52115913881456688</v>
      </c>
      <c r="Q139" s="559"/>
      <c r="R139" s="559"/>
      <c r="S139" s="559"/>
      <c r="T139" s="559">
        <v>2</v>
      </c>
      <c r="U139" s="559" t="str">
        <f t="shared" ref="U139:U144" si="26">VLOOKUP(T139,$A$138:$E$144,2,FALSE)</f>
        <v>System management and operations</v>
      </c>
      <c r="V139" s="559">
        <f t="shared" ref="V139:V144" si="27">VLOOKUP(T139,$A$138:$E$144,4,FALSE)</f>
        <v>4433.0780000000004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25"/>
        <v>3</v>
      </c>
      <c r="B140" s="162" t="s">
        <v>201</v>
      </c>
      <c r="C140" s="121"/>
      <c r="D140" s="441">
        <f>VLOOKUP($D$6,'FS (2011)'!$A$13:$AH$244,'FS (2011)'!M245,FALSE)</f>
        <v>4305.4694</v>
      </c>
      <c r="E140" s="414">
        <f t="shared" si="24"/>
        <v>0.14588907898827119</v>
      </c>
      <c r="Q140" s="559"/>
      <c r="R140" s="559"/>
      <c r="S140" s="559"/>
      <c r="T140" s="559">
        <v>3</v>
      </c>
      <c r="U140" s="559" t="str">
        <f t="shared" si="26"/>
        <v>Routine and preventative maintenance</v>
      </c>
      <c r="V140" s="559">
        <f t="shared" si="27"/>
        <v>4305.4694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25"/>
        <v>5</v>
      </c>
      <c r="B141" s="162" t="s">
        <v>202</v>
      </c>
      <c r="C141" s="121"/>
      <c r="D141" s="441">
        <f>VLOOKUP($D$6,'FS (2011)'!$A$13:$AH$244,'FS (2011)'!N245,FALSE)</f>
        <v>1243.4704999999999</v>
      </c>
      <c r="E141" s="414">
        <f t="shared" si="24"/>
        <v>4.2134492000822275E-2</v>
      </c>
      <c r="Q141" s="559"/>
      <c r="R141" s="559"/>
      <c r="S141" s="559"/>
      <c r="T141" s="559">
        <v>4</v>
      </c>
      <c r="U141" s="559" t="str">
        <f t="shared" si="26"/>
        <v>Fault and emergency maintenance</v>
      </c>
      <c r="V141" s="559">
        <f t="shared" si="27"/>
        <v>3463.739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25"/>
        <v>4</v>
      </c>
      <c r="B142" s="162" t="s">
        <v>203</v>
      </c>
      <c r="C142" s="121"/>
      <c r="D142" s="441">
        <f>VLOOKUP($D$6,'FS (2011)'!$A$13:$AH$244,'FS (2011)'!O245,FALSE)</f>
        <v>3463.739</v>
      </c>
      <c r="E142" s="414">
        <f t="shared" si="24"/>
        <v>0.11736738683260772</v>
      </c>
      <c r="Q142" s="559"/>
      <c r="R142" s="559"/>
      <c r="S142" s="559"/>
      <c r="T142" s="559">
        <v>5</v>
      </c>
      <c r="U142" s="559" t="str">
        <f t="shared" si="26"/>
        <v>Refurbishment and renewal maintenance</v>
      </c>
      <c r="V142" s="559">
        <f t="shared" si="27"/>
        <v>1243.4704999999999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25"/>
        <v>7</v>
      </c>
      <c r="B143" s="162" t="s">
        <v>13</v>
      </c>
      <c r="C143" s="121"/>
      <c r="D143" s="441">
        <f>VLOOKUP($D$6,'FS (2011)'!$A$13:$AH$244,'FS (2011)'!R245,FALSE)</f>
        <v>-2.1940000000000001E-11</v>
      </c>
      <c r="E143" s="414">
        <f t="shared" si="24"/>
        <v>-7.4342797396322694E-16</v>
      </c>
      <c r="Q143" s="559"/>
      <c r="R143" s="559"/>
      <c r="S143" s="559"/>
      <c r="T143" s="559">
        <v>6</v>
      </c>
      <c r="U143" s="559" t="str">
        <f t="shared" si="26"/>
        <v>Pass-through costs</v>
      </c>
      <c r="V143" s="559">
        <f t="shared" si="27"/>
        <v>685.76472999999999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25"/>
        <v>6</v>
      </c>
      <c r="B144" s="162" t="s">
        <v>200</v>
      </c>
      <c r="C144" s="121"/>
      <c r="D144" s="441">
        <f>VLOOKUP($D$6,'FS (2011)'!$A$13:$AH$244,'FS (2011)'!P245,FALSE)</f>
        <v>685.76472999999999</v>
      </c>
      <c r="E144" s="414">
        <f t="shared" si="24"/>
        <v>2.3236858880553296E-2</v>
      </c>
      <c r="Q144" s="559"/>
      <c r="R144" s="559"/>
      <c r="S144" s="559"/>
      <c r="T144" s="559">
        <v>7</v>
      </c>
      <c r="U144" s="559" t="str">
        <f t="shared" si="26"/>
        <v>Other</v>
      </c>
      <c r="V144" s="559">
        <f t="shared" si="27"/>
        <v>-2.1940000000000001E-11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29511.937629999979</v>
      </c>
      <c r="E145" s="447">
        <f>SUM(E138:E144)</f>
        <v>0.99999999999999989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8.3247290197171449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9.5611149839670162</v>
      </c>
      <c r="F149" s="455">
        <f>(VLOOKUP(F$38,'FS (2011)'!$A$13:$AH$244,'FS (2011)'!$M$245,FALSE)+VLOOKUP(F$38,'FS (2011)'!$A$13:$AH$244,'FS (2011)'!$N$245,FALSE)+VLOOKUP(F$38,'FS (2011)'!$A$13:$AH$244,'FS (2011)'!$O$245,FALSE))/1000</f>
        <v>9.0126788999999992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14.15388969051353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16.226542901026644</v>
      </c>
      <c r="F150" s="457">
        <f>(VLOOKUP(F$38,'FS (2011)'!$A$13:$AH$244,'FS (2011)'!$L$245,FALSE)+VLOOKUP(F$38,'FS (2011)'!$A$13:$AH$244,'FS (2011)'!$K$245,FALSE))/1000</f>
        <v>19.813493999999999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1.0890856395939665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0.47128268437929449</v>
      </c>
      <c r="F151" s="457">
        <f>(VLOOKUP(F$38,'FS (2011)'!$A$13:$AH$244,'FS (2011)'!$R$245,FALSE)+VLOOKUP(F$38,'FS (2011)'!$A$13:$AH$244,'FS (2011)'!$P$245,FALSE)+VLOOKUP(F$38,'FS (2011)'!$A$13:$AH$244,'FS (2011)'!$Q$245,FALSE))/1000</f>
        <v>0.68576472999997806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23.567704705597219</v>
      </c>
      <c r="D152" s="458">
        <f>VLOOKUP($D$38,'FS (2011)'!$A$13:$AH$244,'FS (2011)'!$S$245,FALSE)/1000</f>
        <v>22.274996554053121</v>
      </c>
      <c r="E152" s="459">
        <f>VLOOKUP($E$38,'FS (2011)'!$A$13:$AH$244,'FS (2011)'!$S$245,FALSE)/1000</f>
        <v>26.25894056937296</v>
      </c>
      <c r="F152" s="460">
        <f>VLOOKUP($F$38,'FS (2011)'!$A$13:$AH$244,'FS (2011)'!$S$245,FALSE)/1000</f>
        <v>29.511937999999997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-5.7361101177706431E-2</v>
      </c>
      <c r="D154" s="464">
        <f t="shared" ref="D154:E157" si="28">IF(ISERROR(D149/C149 - 1),"",(D149/C149 - 1))</f>
        <v>-1</v>
      </c>
      <c r="E154" s="464" t="str">
        <f t="shared" si="28"/>
        <v/>
      </c>
      <c r="F154" s="465">
        <f>IF(ISERROR(F149/E149 - 1),"",(F149/E149 - 1))</f>
        <v>-5.7361101177706431E-2</v>
      </c>
      <c r="Q154" s="559"/>
      <c r="R154" s="559" t="s">
        <v>423</v>
      </c>
      <c r="S154" s="559">
        <f t="shared" ref="S154:V157" si="29">LN(C149)</f>
        <v>2.1192304851526123</v>
      </c>
      <c r="T154" s="559" t="e">
        <f t="shared" si="29"/>
        <v>#NUM!</v>
      </c>
      <c r="U154" s="559">
        <f t="shared" si="29"/>
        <v>2.257704350384619</v>
      </c>
      <c r="V154" s="559">
        <f t="shared" si="29"/>
        <v>2.198632352622099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30">IFERROR(EXP(SLOPE(S155:V155,$C$148:$F$148))-1,(IFERROR(EXP(SLOPE(T155:V155,$D$148:$F$148))-1,F155)))</f>
        <v>0.22105454753066422</v>
      </c>
      <c r="D155" s="467">
        <f t="shared" si="28"/>
        <v>-1</v>
      </c>
      <c r="E155" s="467" t="str">
        <f t="shared" si="28"/>
        <v/>
      </c>
      <c r="F155" s="468">
        <f>IF(ISERROR(F150/E150 - 1),"",(F150/E150 - 1))</f>
        <v>0.22105454753066422</v>
      </c>
      <c r="Q155" s="559"/>
      <c r="R155" s="559" t="s">
        <v>423</v>
      </c>
      <c r="S155" s="559">
        <f t="shared" si="29"/>
        <v>2.6499894761029132</v>
      </c>
      <c r="T155" s="559" t="e">
        <f t="shared" si="29"/>
        <v>#NUM!</v>
      </c>
      <c r="U155" s="559">
        <f t="shared" si="29"/>
        <v>2.7866483521230312</v>
      </c>
      <c r="V155" s="559">
        <f t="shared" si="29"/>
        <v>2.9863632207260129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30"/>
        <v>0.45510274985631671</v>
      </c>
      <c r="D156" s="467">
        <f t="shared" si="28"/>
        <v>-1</v>
      </c>
      <c r="E156" s="467" t="str">
        <f t="shared" si="28"/>
        <v/>
      </c>
      <c r="F156" s="468">
        <f>IF(ISERROR(F151/E151 - 1),"",(F151/E151 - 1))</f>
        <v>0.45510274985631671</v>
      </c>
      <c r="Q156" s="559"/>
      <c r="R156" s="559" t="s">
        <v>423</v>
      </c>
      <c r="S156" s="559">
        <f t="shared" si="29"/>
        <v>8.5338481440969699E-2</v>
      </c>
      <c r="T156" s="559" t="e">
        <f t="shared" si="29"/>
        <v>#NUM!</v>
      </c>
      <c r="U156" s="559">
        <f t="shared" si="29"/>
        <v>-0.7522971858519476</v>
      </c>
      <c r="V156" s="559">
        <f t="shared" si="29"/>
        <v>-0.37722066926390796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30"/>
        <v>8.7552141820899099E-2</v>
      </c>
      <c r="D157" s="470">
        <f t="shared" si="28"/>
        <v>-5.4850829458885975E-2</v>
      </c>
      <c r="E157" s="470">
        <f t="shared" si="28"/>
        <v>0.1788527331823504</v>
      </c>
      <c r="F157" s="471">
        <f>IF(ISERROR(F152/E152 - 1),"",(F152/E152 - 1))</f>
        <v>0.12388151845018314</v>
      </c>
      <c r="N157" s="136"/>
      <c r="O157" s="136"/>
      <c r="Q157" s="559"/>
      <c r="R157" s="559" t="s">
        <v>423</v>
      </c>
      <c r="S157" s="559">
        <f t="shared" si="29"/>
        <v>3.1598773301779826</v>
      </c>
      <c r="T157" s="559">
        <f t="shared" si="29"/>
        <v>3.1034648186566645</v>
      </c>
      <c r="U157" s="559">
        <f t="shared" si="29"/>
        <v>3.2680065241679328</v>
      </c>
      <c r="V157" s="559">
        <f t="shared" si="29"/>
        <v>3.3847948594518313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Unison</v>
      </c>
      <c r="C162" s="456">
        <f>(C152/C102)*1000000</f>
        <v>217.93697711852431</v>
      </c>
      <c r="D162" s="456">
        <f>(D152/D102)*1000000</f>
        <v>207.24011531067993</v>
      </c>
      <c r="E162" s="456">
        <f>(E152/E102)*1000000</f>
        <v>242.66200208269842</v>
      </c>
      <c r="F162" s="457">
        <f>(F152/F102)*1000000</f>
        <v>270.80638293967587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Unison</v>
      </c>
      <c r="C165" s="456">
        <f>C152/VLOOKUP(C$38,'MP (2011)'!$A$14:$AR$245,'MP (2011)'!$H$246,FALSE)*1000000</f>
        <v>3000.7263439772369</v>
      </c>
      <c r="D165" s="456">
        <f>D152/VLOOKUP(D$38,'MP (2011)'!$A$14:$AR$245,'MP (2011)'!$H$246,FALSE)*1000000</f>
        <v>2821.40551666284</v>
      </c>
      <c r="E165" s="456">
        <f>E152/VLOOKUP(E$38,'MP (2011)'!$A$14:$AR$245,'MP (2011)'!$H$246,FALSE)*1000000</f>
        <v>3303.4269177724191</v>
      </c>
      <c r="F165" s="457">
        <f>F152/VLOOKUP(F$38,'MP (2011)'!$A$14:$AR$245,'MP (2011)'!$H$246,FALSE)*1000000</f>
        <v>3697.3732708617254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Unison</v>
      </c>
      <c r="C168" s="456">
        <f>(C152/C117)*1000000</f>
        <v>15.02053338670135</v>
      </c>
      <c r="D168" s="456">
        <f>(D152/D117)*1000000</f>
        <v>14.255872370288413</v>
      </c>
      <c r="E168" s="456">
        <f>(E152/E117)*1000000</f>
        <v>16.424098024165627</v>
      </c>
      <c r="F168" s="457">
        <f>(F152/F117)*1000000</f>
        <v>18.57328045771758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8.4304317966225062E-2</v>
      </c>
      <c r="D171" s="464">
        <f>IF(ISERROR(D162/C162 - 1),"",(D162/C162 - 1))</f>
        <v>-4.9082362934798951E-2</v>
      </c>
      <c r="E171" s="464">
        <f>IF(ISERROR(E162/D162 - 1),"",(E162/D162 - 1))</f>
        <v>0.17092196034979268</v>
      </c>
      <c r="F171" s="465">
        <f>IF(ISERROR(F162/E162 - 1),"",(F162/E162 - 1))</f>
        <v>0.11598182086780096</v>
      </c>
      <c r="H171" s="139"/>
      <c r="Q171" s="559"/>
      <c r="R171" s="559" t="s">
        <v>423</v>
      </c>
      <c r="S171" s="559">
        <f>LN(C162)</f>
        <v>5.3842059252062606</v>
      </c>
      <c r="T171" s="559">
        <f>LN(D162)</f>
        <v>5.3338780983577427</v>
      </c>
      <c r="U171" s="559">
        <f>LN(E162)</f>
        <v>5.4916695371571453</v>
      </c>
      <c r="V171" s="559">
        <f>LN(F162)</f>
        <v>5.6014041114386073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8.1558440936241317E-2</v>
      </c>
      <c r="D172" s="467">
        <f>IF(ISERROR(D165/C165 - 1),"",(D165/C165 - 1))</f>
        <v>-5.9759140540860067E-2</v>
      </c>
      <c r="E172" s="467">
        <f>IF(ISERROR(E165/D165 - 1),"",(E165/D165 - 1))</f>
        <v>0.17084442426401525</v>
      </c>
      <c r="F172" s="468">
        <f>IF(ISERROR(F165/E165 - 1),"",(F165/E165 - 1))</f>
        <v>0.11925384241736281</v>
      </c>
      <c r="Q172" s="559"/>
      <c r="R172" s="559" t="s">
        <v>423</v>
      </c>
      <c r="S172" s="559">
        <f>LN(C165)</f>
        <v>8.0066096530043023</v>
      </c>
      <c r="T172" s="559">
        <f>LN(D165)</f>
        <v>7.9449904499311961</v>
      </c>
      <c r="U172" s="559">
        <f>LN(E165)</f>
        <v>8.1027156685590942</v>
      </c>
      <c r="V172" s="559">
        <f>LN(F165)</f>
        <v>8.2153779197208312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8.096031843222784E-2</v>
      </c>
      <c r="D173" s="470">
        <f>IF(ISERROR(D168/C168 - 1),"",(D168/C168 - 1))</f>
        <v>-5.0907713909143948E-2</v>
      </c>
      <c r="E173" s="470">
        <f>IF(ISERROR(E168/D168 - 1),"",(E168/D168 - 1))</f>
        <v>0.1520935090858524</v>
      </c>
      <c r="F173" s="471">
        <f>IF(ISERROR(F168/E168 - 1),"",(F168/E168 - 1))</f>
        <v>0.13085543147573464</v>
      </c>
      <c r="Q173" s="559"/>
      <c r="R173" s="559" t="s">
        <v>423</v>
      </c>
      <c r="S173" s="559">
        <f>LN(C168)</f>
        <v>2.709418157469865</v>
      </c>
      <c r="T173" s="559">
        <f>LN(D168)</f>
        <v>2.6571689179869478</v>
      </c>
      <c r="U173" s="559">
        <f>LN(E168)</f>
        <v>2.7987496480479224</v>
      </c>
      <c r="V173" s="559">
        <f>LN(F168)</f>
        <v>2.9217240133828875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Unison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9561.1149839670161</v>
      </c>
      <c r="X176" s="563">
        <f>D178</f>
        <v>9012.678899999999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Unison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31">C179</f>
        <v>9388.5680795451462</v>
      </c>
      <c r="X177" s="563">
        <f t="shared" si="31"/>
        <v>9607.6176874781049</v>
      </c>
      <c r="Y177" s="563">
        <f t="shared" si="31"/>
        <v>9800.1775753819602</v>
      </c>
      <c r="Z177" s="563">
        <f t="shared" si="31"/>
        <v>9995.7939694430206</v>
      </c>
      <c r="AA177" s="563">
        <f t="shared" si="31"/>
        <v>10195.48570504702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9561.1149839670161</v>
      </c>
      <c r="D178" s="461">
        <f>VLOOKUP(F38,'FS (2011)'!$A$14:$T$246,'FS (2011)'!$M$245,FALSE)+VLOOKUP(F38,'FS (2011)'!$A$14:$AO$245,'FS (2011)'!$N$245,FALSE)+VLOOKUP(F38,'FS (2011)'!$A$14:$AO$245,'FS (2011)'!$O$245,FALSE)</f>
        <v>9012.678899999999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31"/>
        <v>11036</v>
      </c>
      <c r="Y178" s="563">
        <f t="shared" si="31"/>
        <v>11036</v>
      </c>
      <c r="Z178" s="563">
        <f t="shared" si="31"/>
        <v>11036</v>
      </c>
      <c r="AA178" s="563">
        <f t="shared" si="31"/>
        <v>11036</v>
      </c>
      <c r="AB178" s="563">
        <f>H180</f>
        <v>11036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9388.5680795451462</v>
      </c>
      <c r="D179" s="461">
        <f>VLOOKUP(D182,'AM (2011)'!$A$10:$N$444,'AM (2011)'!$N$445,FALSE)</f>
        <v>9607.6176874781049</v>
      </c>
      <c r="E179" s="461">
        <f>VLOOKUP(E182,'AM (2011)'!$A$10:$N$444,'AM (2011)'!$N$445,FALSE)</f>
        <v>9800.1775753819602</v>
      </c>
      <c r="F179" s="461">
        <f>VLOOKUP(F182,'AM (2011)'!$A$10:$N$444,'AM (2011)'!$N$445,FALSE)</f>
        <v>9995.7939694430206</v>
      </c>
      <c r="G179" s="461">
        <f>VLOOKUP(G182,'AM (2011)'!$A$10:$N$444,'AM (2011)'!$N$445,FALSE)</f>
        <v>10195.48570504702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9372.578409825468</v>
      </c>
      <c r="Z179" s="563">
        <f>F181</f>
        <v>9372.578409825468</v>
      </c>
      <c r="AA179" s="563">
        <f>G181</f>
        <v>9372.578409825468</v>
      </c>
      <c r="AB179" s="563">
        <f>H181</f>
        <v>9372.578409825468</v>
      </c>
      <c r="AC179" s="563">
        <f>I181</f>
        <v>9269.926826115061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11036</v>
      </c>
      <c r="E180" s="461">
        <f>VLOOKUP(E183,'AM (2011)'!$A$10:$N$444,'AM (2011)'!$N$445,FALSE)</f>
        <v>11036</v>
      </c>
      <c r="F180" s="461">
        <f>VLOOKUP(F183,'AM (2011)'!$A$10:$N$444,'AM (2011)'!$N$445,FALSE)</f>
        <v>11036</v>
      </c>
      <c r="G180" s="461">
        <f>VLOOKUP(G183,'AM (2011)'!$A$10:$N$444,'AM (2011)'!$N$445,FALSE)</f>
        <v>11036</v>
      </c>
      <c r="H180" s="461">
        <f>VLOOKUP(H183,'AM (2011)'!$A$10:$N$444,'AM (2011)'!$N$445,FALSE)</f>
        <v>11036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9372.578409825468</v>
      </c>
      <c r="F181" s="493">
        <f>VLOOKUP(F184,'AM (2011)'!$A$10:$N$444,'AM (2011)'!$N$445,FALSE)</f>
        <v>9372.578409825468</v>
      </c>
      <c r="G181" s="493">
        <f>VLOOKUP(G184,'AM (2011)'!$A$10:$N$444,'AM (2011)'!$N$445,FALSE)</f>
        <v>9372.578409825468</v>
      </c>
      <c r="H181" s="493">
        <f>VLOOKUP(H184,'AM (2011)'!$A$10:$N$444,'AM (2011)'!$N$445,FALSE)</f>
        <v>9372.578409825468</v>
      </c>
      <c r="I181" s="494">
        <f>VLOOKUP(I184,'AM (2011)'!$A$10:$N$444,'AM (2011)'!$N$445,FALSE)</f>
        <v>9269.926826115061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538</v>
      </c>
      <c r="D182" s="136">
        <f>VLOOKUP($B$2,$B$257:$Y$286,11,FALSE)</f>
        <v>539</v>
      </c>
      <c r="E182" s="136">
        <f>VLOOKUP($B$2,$B$257:$Y$286,12,FALSE)</f>
        <v>540</v>
      </c>
      <c r="F182" s="136">
        <f>VLOOKUP($B$2,$B$257:$Y$286,13,FALSE)</f>
        <v>541</v>
      </c>
      <c r="G182" s="136">
        <f>VLOOKUP($B$2,$B$257:$Y$286,14,FALSE)</f>
        <v>542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543</v>
      </c>
      <c r="E183" s="136">
        <f>VLOOKUP($B$2,$B$257:$Y$286,16,FALSE)</f>
        <v>544</v>
      </c>
      <c r="F183" s="136">
        <f>VLOOKUP($B$2,$B$257:$Y$286,17,FALSE)</f>
        <v>545</v>
      </c>
      <c r="G183" s="136">
        <f>VLOOKUP($B$2,$B$257:$Y$286,18,FALSE)</f>
        <v>546</v>
      </c>
      <c r="H183" s="136">
        <f>VLOOKUP($B$2,$B$257:$Y$286,19,FALSE)</f>
        <v>547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548</v>
      </c>
      <c r="F184" s="136">
        <f>VLOOKUP($B$2,$B$257:$Y$286,21,FALSE)</f>
        <v>549</v>
      </c>
      <c r="G184" s="136">
        <f>VLOOKUP($B$2,$B$257:$Y$286,22,FALSE)</f>
        <v>550</v>
      </c>
      <c r="H184" s="136">
        <f>VLOOKUP($B$2,$B$257:$Y$286,23,FALSE)</f>
        <v>551</v>
      </c>
      <c r="I184" s="136">
        <f>VLOOKUP($B$2,$B$257:$Y$286,24,FALSE)</f>
        <v>552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32">RANK(D186,$D$186:$D$191)</f>
        <v>5</v>
      </c>
      <c r="B186" s="483" t="s">
        <v>205</v>
      </c>
      <c r="C186" s="490"/>
      <c r="D186" s="484">
        <f>VLOOKUP($D$6,'FS (2011)'!$A$13:$AH$244,'FS (2011)'!AC245,FALSE)/1000</f>
        <v>2.6640722999999999</v>
      </c>
      <c r="E186" s="495">
        <f t="shared" ref="E186:E191" si="33">D186/$D$192</f>
        <v>7.350726868240072E-2</v>
      </c>
      <c r="Q186" s="559"/>
      <c r="R186" s="559"/>
      <c r="S186" s="559"/>
      <c r="T186" s="559">
        <v>1</v>
      </c>
      <c r="U186" s="559" t="str">
        <f t="shared" ref="U186:U191" si="34">VLOOKUP(T186,$A$186:$D$191,2,FALSE)</f>
        <v>Asset replacement and renewal</v>
      </c>
      <c r="V186" s="559">
        <f t="shared" ref="V186:V191" si="35">VLOOKUP(T186,$A$186:$D$191,4,FALSE)</f>
        <v>9.9209472999999999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32"/>
        <v>4</v>
      </c>
      <c r="B187" s="162" t="s">
        <v>206</v>
      </c>
      <c r="C187" s="121"/>
      <c r="D187" s="456">
        <f>VLOOKUP($D$6,'FS (2011)'!$A$13:$AH$244,'FS (2011)'!AD245,FALSE)/1000</f>
        <v>5.2612479999999993</v>
      </c>
      <c r="E187" s="468">
        <f t="shared" si="33"/>
        <v>0.14516872171252387</v>
      </c>
      <c r="Q187" s="559"/>
      <c r="R187" s="559"/>
      <c r="S187" s="559"/>
      <c r="T187" s="559">
        <v>2</v>
      </c>
      <c r="U187" s="559" t="str">
        <f t="shared" si="34"/>
        <v>Non-network capex</v>
      </c>
      <c r="V187" s="559">
        <f t="shared" si="35"/>
        <v>8.7846109000000006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32"/>
        <v>3</v>
      </c>
      <c r="B188" s="162" t="s">
        <v>209</v>
      </c>
      <c r="C188" s="121"/>
      <c r="D188" s="456">
        <f>VLOOKUP($D$6,'FS (2011)'!$A$13:$AH$244,'FS (2011)'!AB245,FALSE)/1000</f>
        <v>8.641350000000001</v>
      </c>
      <c r="E188" s="468">
        <f t="shared" si="33"/>
        <v>0.23843273181011776</v>
      </c>
      <c r="Q188" s="559"/>
      <c r="R188" s="559"/>
      <c r="S188" s="559"/>
      <c r="T188" s="559">
        <v>3</v>
      </c>
      <c r="U188" s="559" t="str">
        <f t="shared" si="34"/>
        <v>Customer connection</v>
      </c>
      <c r="V188" s="559">
        <f t="shared" si="35"/>
        <v>8.641350000000001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32"/>
        <v>1</v>
      </c>
      <c r="B189" s="162" t="s">
        <v>208</v>
      </c>
      <c r="C189" s="121"/>
      <c r="D189" s="456">
        <f>VLOOKUP($D$6,'FS (2011)'!$A$13:$AH$244,'FS (2011)'!AE245,FALSE)/1000</f>
        <v>9.9209472999999999</v>
      </c>
      <c r="E189" s="468">
        <f t="shared" si="33"/>
        <v>0.27373946974526103</v>
      </c>
      <c r="Q189" s="559"/>
      <c r="R189" s="559"/>
      <c r="S189" s="559"/>
      <c r="T189" s="559">
        <v>4</v>
      </c>
      <c r="U189" s="559" t="str">
        <f t="shared" si="34"/>
        <v>Reliability, safety and environment</v>
      </c>
      <c r="V189" s="559">
        <f t="shared" si="35"/>
        <v>5.2612479999999993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32"/>
        <v>2</v>
      </c>
      <c r="B190" s="162" t="s">
        <v>312</v>
      </c>
      <c r="C190" s="121"/>
      <c r="D190" s="456">
        <f>VLOOKUP($D$6,'FS (2011)'!$A$13:$AH$244,'FS (2011)'!AH245,FALSE)/1000</f>
        <v>8.7846109000000006</v>
      </c>
      <c r="E190" s="468">
        <f t="shared" si="33"/>
        <v>0.24238559655330905</v>
      </c>
      <c r="Q190" s="559"/>
      <c r="R190" s="559"/>
      <c r="S190" s="559"/>
      <c r="T190" s="559">
        <v>5</v>
      </c>
      <c r="U190" s="559" t="str">
        <f t="shared" si="34"/>
        <v>System growth</v>
      </c>
      <c r="V190" s="559">
        <f t="shared" si="35"/>
        <v>2.6640722999999999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32"/>
        <v>6</v>
      </c>
      <c r="B191" s="162" t="s">
        <v>207</v>
      </c>
      <c r="C191" s="121"/>
      <c r="D191" s="456">
        <f>VLOOKUP($D$6,'FS (2011)'!$A$13:$AH$244,'FS (2011)'!AF245,FALSE)/1000</f>
        <v>0.97006899999999996</v>
      </c>
      <c r="E191" s="468">
        <f t="shared" si="33"/>
        <v>2.676621149638761E-2</v>
      </c>
      <c r="Q191" s="559"/>
      <c r="R191" s="559"/>
      <c r="S191" s="559"/>
      <c r="T191" s="559">
        <v>6</v>
      </c>
      <c r="U191" s="559" t="str">
        <f t="shared" si="34"/>
        <v>Asset relocations</v>
      </c>
      <c r="V191" s="559">
        <f t="shared" si="35"/>
        <v>0.97006899999999996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36.242297499999999</v>
      </c>
      <c r="E192" s="496">
        <f>SUM(E186:E191)</f>
        <v>1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37.046706110461628</v>
      </c>
      <c r="D196" s="484">
        <f>VLOOKUP($D$38,'FS (2011)'!$A$13:$AH$244,'FS (2011)'!$AG$245,FALSE)/1000</f>
        <v>32.316922506692279</v>
      </c>
      <c r="E196" s="484">
        <f>VLOOKUP($E$38,'FS (2011)'!$A$13:$AH$244,'FS (2011)'!$AG$245,FALSE)/1000</f>
        <v>34.788458235563574</v>
      </c>
      <c r="F196" s="486">
        <f>VLOOKUP($F$38,'FS (2011)'!$A$13:$AH$244,'FS (2011)'!$AG$245,FALSE)/1000</f>
        <v>27.457687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2.149728835790254</v>
      </c>
      <c r="D197" s="456">
        <f>VLOOKUP($D$38,'FS (2011)'!$A$13:$AH$244,'FS (2011)'!$AH$245,FALSE)/1000</f>
        <v>1.3381039192806641</v>
      </c>
      <c r="E197" s="456">
        <f>VLOOKUP($E$38,'FS (2011)'!$A$13:$AH$244,'FS (2011)'!$AH$245,FALSE)/1000</f>
        <v>2.3152553250518713</v>
      </c>
      <c r="F197" s="457">
        <f>VLOOKUP($F$38,'FS (2011)'!$A$13:$AH$244,'FS (2011)'!$AH$245,FALSE)/1000</f>
        <v>8.7846109000000006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39.196434946251884</v>
      </c>
      <c r="D198" s="488">
        <f>SUM(D196:D197)</f>
        <v>33.655026425972942</v>
      </c>
      <c r="E198" s="488">
        <f>SUM(E196:E197)</f>
        <v>37.103713560615446</v>
      </c>
      <c r="F198" s="489">
        <f>SUM(F196:F197)</f>
        <v>36.242297899999997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36">IFERROR(EXP(SLOPE(S200:V200,$C$148:$F$148))-1,(IFERROR(EXP(SLOPE(T200:V200,$D$148:$F$148))-1,F200)))</f>
        <v>-7.9179830405603502E-2</v>
      </c>
      <c r="D200" s="498">
        <f t="shared" ref="D200:F202" si="37">D196/C196 - 1</f>
        <v>-0.12767082691958154</v>
      </c>
      <c r="E200" s="498">
        <f t="shared" si="37"/>
        <v>7.6478065891313785E-2</v>
      </c>
      <c r="F200" s="495">
        <f t="shared" si="37"/>
        <v>-0.21072423462760614</v>
      </c>
      <c r="Q200" s="559"/>
      <c r="R200" s="559" t="s">
        <v>423</v>
      </c>
      <c r="S200" s="559">
        <f t="shared" ref="S200:V202" si="38">LN(C196)</f>
        <v>3.6121794438887393</v>
      </c>
      <c r="T200" s="559">
        <f t="shared" si="38"/>
        <v>3.4755910096480784</v>
      </c>
      <c r="U200" s="559">
        <f t="shared" si="38"/>
        <v>3.5492856718715227</v>
      </c>
      <c r="V200" s="559">
        <f t="shared" si="38"/>
        <v>3.3126461651825299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36"/>
        <v>0.61143413577537831</v>
      </c>
      <c r="D201" s="467">
        <f t="shared" si="37"/>
        <v>-0.37754757855831222</v>
      </c>
      <c r="E201" s="467">
        <f t="shared" si="37"/>
        <v>0.73025076131344324</v>
      </c>
      <c r="F201" s="468">
        <f t="shared" si="37"/>
        <v>2.7942298652539277</v>
      </c>
      <c r="Q201" s="559"/>
      <c r="R201" s="559" t="s">
        <v>423</v>
      </c>
      <c r="S201" s="559">
        <f t="shared" si="38"/>
        <v>0.76534171129715722</v>
      </c>
      <c r="T201" s="559">
        <f t="shared" si="38"/>
        <v>0.29125362631387769</v>
      </c>
      <c r="U201" s="559">
        <f t="shared" si="38"/>
        <v>0.83951997305560666</v>
      </c>
      <c r="V201" s="559">
        <f t="shared" si="38"/>
        <v>2.1730014292523618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36"/>
        <v>-1.3658079297494519E-2</v>
      </c>
      <c r="D202" s="500">
        <f t="shared" si="37"/>
        <v>-0.14137531966561756</v>
      </c>
      <c r="E202" s="500">
        <f t="shared" si="37"/>
        <v>0.10247168107944238</v>
      </c>
      <c r="F202" s="501">
        <f t="shared" si="37"/>
        <v>-2.321642708911531E-2</v>
      </c>
      <c r="Q202" s="559"/>
      <c r="R202" s="559" t="s">
        <v>423</v>
      </c>
      <c r="S202" s="559">
        <f t="shared" si="38"/>
        <v>3.6685857974119704</v>
      </c>
      <c r="T202" s="559">
        <f t="shared" si="38"/>
        <v>3.5161624186643574</v>
      </c>
      <c r="U202" s="559">
        <f t="shared" si="38"/>
        <v>3.6137170605775841</v>
      </c>
      <c r="V202" s="559">
        <f t="shared" si="38"/>
        <v>3.590226887001231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Unison</v>
      </c>
      <c r="C206" s="456">
        <f>(C198/C102)*1000000</f>
        <v>362.4600975240603</v>
      </c>
      <c r="D206" s="456">
        <f>(D198/D102)*1000000</f>
        <v>313.1166166682757</v>
      </c>
      <c r="E206" s="456">
        <f>(E198/E102)*1000000</f>
        <v>342.87984290665958</v>
      </c>
      <c r="F206" s="457">
        <f>(F198/F102)*1000000</f>
        <v>332.56526913688998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Unison</v>
      </c>
      <c r="C209" s="456">
        <f>(C198/C117)*1000000000</f>
        <v>24981.277010400521</v>
      </c>
      <c r="D209" s="456">
        <f>(D198/D117)*1000000000</f>
        <v>21539.027410536404</v>
      </c>
      <c r="E209" s="456">
        <f>(E198/E117)*1000000000</f>
        <v>23207.144514081338</v>
      </c>
      <c r="F209" s="457">
        <f>(F198/F117)*1000000000</f>
        <v>22809.019296829942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Unison</v>
      </c>
      <c r="C212" s="456">
        <f>(C198/VLOOKUP(C$38,'AV (2011)'!$A$11:$F$213,'AV (2011)'!$F$214,FALSE)*1000)</f>
        <v>9.5908715226034155E-2</v>
      </c>
      <c r="D212" s="456">
        <f>(D198/VLOOKUP(D$38,'AV (2011)'!$A$11:$F$213,'AV (2011)'!$F$214,FALSE)*1000)</f>
        <v>7.9827415196667709E-2</v>
      </c>
      <c r="E212" s="456">
        <f>(E198/VLOOKUP(E$38,'AV (2011)'!$A$11:$F$213,'AV (2011)'!$F$214,FALSE)*1000)</f>
        <v>8.2033766327087212E-2</v>
      </c>
      <c r="F212" s="457">
        <f>(F198/VLOOKUP(F$38,'AV (2011)'!$A$11:$F$213,'AV (2011)'!$F$214,FALSE)*1000)</f>
        <v>7.6025769717356875E-2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39">IFERROR(EXP(SLOPE(S215:V215,$C$195:$F$195))-1,(IFERROR(EXP(SLOPE(T215:V215,$D$195:$F$195))-1,F215)))</f>
        <v>-1.6603652843567573E-2</v>
      </c>
      <c r="D215" s="464">
        <f>D206/C206 - 1</f>
        <v>-0.13613493234937168</v>
      </c>
      <c r="E215" s="464">
        <f>E206/D206 - 1</f>
        <v>9.5054764435947625E-2</v>
      </c>
      <c r="F215" s="465">
        <f>F206/E206 - 1</f>
        <v>-3.0082181799696794E-2</v>
      </c>
      <c r="K215" s="139"/>
      <c r="P215" s="139"/>
      <c r="Q215" s="559"/>
      <c r="R215" s="559" t="s">
        <v>423</v>
      </c>
      <c r="S215" s="559">
        <f>LN(C206)</f>
        <v>5.8929143924402485</v>
      </c>
      <c r="T215" s="559">
        <f>LN(D206)</f>
        <v>5.7465756983654357</v>
      </c>
      <c r="U215" s="559">
        <f>LN(E206)</f>
        <v>5.8373800735667967</v>
      </c>
      <c r="V215" s="559">
        <f>LN(F206)</f>
        <v>5.8068361389880065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39"/>
        <v>-1.9636451728656579E-2</v>
      </c>
      <c r="D216" s="467">
        <f>D209/C209 - 1</f>
        <v>-0.13779318000560969</v>
      </c>
      <c r="E216" s="467">
        <f>E209/D209 - 1</f>
        <v>7.7446259376081628E-2</v>
      </c>
      <c r="F216" s="468">
        <f>F209/E209 - 1</f>
        <v>-1.7155286683798066E-2</v>
      </c>
      <c r="Q216" s="559"/>
      <c r="R216" s="559" t="s">
        <v>423</v>
      </c>
      <c r="S216" s="559">
        <f>LN(C209)</f>
        <v>10.12588190368599</v>
      </c>
      <c r="T216" s="559">
        <f>LN(D209)</f>
        <v>9.9776217969767771</v>
      </c>
      <c r="U216" s="559">
        <f>LN(E209)</f>
        <v>10.05221546343971</v>
      </c>
      <c r="V216" s="559">
        <f>LN(F209)</f>
        <v>10.034911319914425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-6.4777634707633425E-2</v>
      </c>
      <c r="D217" s="470">
        <f>D212/C212 - 1</f>
        <v>-0.16767297936862802</v>
      </c>
      <c r="E217" s="470">
        <f>E212/D212 - 1</f>
        <v>2.7639015054963245E-2</v>
      </c>
      <c r="F217" s="471">
        <f>F212/E212 - 1</f>
        <v>-7.3238093028364593E-2</v>
      </c>
      <c r="Q217" s="559"/>
      <c r="R217" s="559" t="s">
        <v>423</v>
      </c>
      <c r="S217" s="559">
        <f>LN(C212)</f>
        <v>-2.344358422952538</v>
      </c>
      <c r="T217" s="559">
        <f>LN(D212)</f>
        <v>-2.5278882846953388</v>
      </c>
      <c r="U217" s="559">
        <f>LN(E212)</f>
        <v>-2.5006243320011703</v>
      </c>
      <c r="V217" s="559">
        <f>LN(F212)</f>
        <v>-2.5766829209404398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Unison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34788.458235563572</v>
      </c>
      <c r="X220" s="563">
        <f>D222</f>
        <v>27457.687000000002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Unison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40">C223</f>
        <v>35480.942308210499</v>
      </c>
      <c r="X221" s="563">
        <f t="shared" si="40"/>
        <v>28833.04141629166</v>
      </c>
      <c r="Y221" s="563">
        <f t="shared" si="40"/>
        <v>28221.740184850849</v>
      </c>
      <c r="Z221" s="563">
        <f t="shared" si="40"/>
        <v>26184.069413381472</v>
      </c>
      <c r="AA221" s="563">
        <f t="shared" si="40"/>
        <v>26285.952951954943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34788.458235563572</v>
      </c>
      <c r="D222" s="461">
        <f>VLOOKUP(D226,'FS (2011)'!$A$14:$AJ$245,'FS (2011)'!$AG$245,FALSE)</f>
        <v>27457.687000000002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40"/>
        <v>41400</v>
      </c>
      <c r="Y222" s="563">
        <f t="shared" si="40"/>
        <v>49500</v>
      </c>
      <c r="Z222" s="563">
        <f t="shared" si="40"/>
        <v>44900</v>
      </c>
      <c r="AA222" s="563">
        <f t="shared" si="40"/>
        <v>46800</v>
      </c>
      <c r="AB222" s="563">
        <f>H224</f>
        <v>29800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35480.942308210499</v>
      </c>
      <c r="D223" s="461">
        <f>VLOOKUP(D227,'AM (2011)'!$A$10:$N$444,'AM (2011)'!$J$445,FALSE)</f>
        <v>28833.04141629166</v>
      </c>
      <c r="E223" s="461">
        <f>VLOOKUP(E226,'AM (2011)'!$A$10:$N$444,'AM (2011)'!$J$445,FALSE)</f>
        <v>28221.740184850849</v>
      </c>
      <c r="F223" s="461">
        <f>VLOOKUP(F226,'AM (2011)'!$A$10:$N$444,'AM (2011)'!$J$445,FALSE)</f>
        <v>26184.069413381472</v>
      </c>
      <c r="G223" s="461">
        <f>VLOOKUP(G226,'AM (2011)'!$A$10:$N$444,'AM (2011)'!$J$445,FALSE)</f>
        <v>26285.952951954943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31728.138073691014</v>
      </c>
      <c r="Z223" s="563">
        <f>F225</f>
        <v>51204.56522301228</v>
      </c>
      <c r="AA223" s="563">
        <f>G225</f>
        <v>46544.183322559795</v>
      </c>
      <c r="AB223" s="563">
        <f>H225</f>
        <v>50231.819263089848</v>
      </c>
      <c r="AC223" s="563">
        <f>I225</f>
        <v>30496.319069166126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41400</v>
      </c>
      <c r="E224" s="461">
        <f>VLOOKUP(E227,'AM (2011)'!$A$10:$N$444,'AM (2011)'!$J$445,FALSE)</f>
        <v>49500</v>
      </c>
      <c r="F224" s="461">
        <f>VLOOKUP(F227,'AM (2011)'!$A$10:$N$444,'AM (2011)'!$J$445,FALSE)</f>
        <v>44900</v>
      </c>
      <c r="G224" s="461">
        <f>VLOOKUP(G227,'AM (2011)'!$A$10:$N$444,'AM (2011)'!$J$445,FALSE)</f>
        <v>46800</v>
      </c>
      <c r="H224" s="461">
        <f>VLOOKUP(H227,'AM (2011)'!$A$10:$N$444,'AM (2011)'!$J$445,FALSE)</f>
        <v>29800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31728.138073691014</v>
      </c>
      <c r="F225" s="493">
        <f>VLOOKUP(F228,'AM (2011)'!$A$10:$N$444,'AM (2011)'!$J$445,FALSE)</f>
        <v>51204.56522301228</v>
      </c>
      <c r="G225" s="493">
        <f>VLOOKUP(G228,'AM (2011)'!$A$10:$N$444,'AM (2011)'!$J$445,FALSE)</f>
        <v>46544.183322559795</v>
      </c>
      <c r="H225" s="493">
        <f>VLOOKUP(H228,'AM (2011)'!$A$10:$N$444,'AM (2011)'!$J$445,FALSE)</f>
        <v>50231.819263089848</v>
      </c>
      <c r="I225" s="494">
        <f>VLOOKUP(I228,'AM (2011)'!$A$10:$N$444,'AM (2011)'!$J$445,FALSE)</f>
        <v>30496.319069166126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536</v>
      </c>
      <c r="D226" s="136">
        <f>VLOOKUP($B$2,$B$257:$Y$286,9,FALSE)</f>
        <v>537</v>
      </c>
      <c r="E226" s="136">
        <f>VLOOKUP($B$2,$B$257:$Y$286,12,FALSE)</f>
        <v>540</v>
      </c>
      <c r="F226" s="136">
        <f>VLOOKUP($B$2,$B$257:$Y$286,13,FALSE)</f>
        <v>541</v>
      </c>
      <c r="G226" s="136">
        <f>VLOOKUP($B$2,$B$257:$Y$286,14,FALSE)</f>
        <v>542</v>
      </c>
      <c r="H226" s="136"/>
      <c r="I226" s="136"/>
    </row>
    <row r="227" spans="2:30">
      <c r="C227" s="136">
        <f>VLOOKUP($B$2,$B$257:$Y$286,10,FALSE)</f>
        <v>538</v>
      </c>
      <c r="D227" s="136">
        <f>VLOOKUP($B$2,$B$257:$Y$286,11,FALSE)</f>
        <v>539</v>
      </c>
      <c r="E227" s="136">
        <f>VLOOKUP($B$2,$B$257:$Y$286,16,FALSE)</f>
        <v>544</v>
      </c>
      <c r="F227" s="136">
        <f>VLOOKUP($B$2,$B$257:$Y$286,17,FALSE)</f>
        <v>545</v>
      </c>
      <c r="G227" s="136">
        <f>VLOOKUP($B$2,$B$257:$Y$286,18,FALSE)</f>
        <v>546</v>
      </c>
      <c r="H227" s="136">
        <f>VLOOKUP($B$2,$B$257:$Y$286,19,FALSE)</f>
        <v>547</v>
      </c>
      <c r="I227" s="136"/>
    </row>
    <row r="228" spans="2:30">
      <c r="B228" s="517" t="s">
        <v>291</v>
      </c>
      <c r="C228" s="518"/>
      <c r="D228" s="518">
        <f>VLOOKUP($B$2,$B$257:$Y$286,15,FALSE)</f>
        <v>543</v>
      </c>
      <c r="E228" s="518">
        <f>VLOOKUP($B$2,$B$257:$Y$286,20,FALSE)</f>
        <v>548</v>
      </c>
      <c r="F228" s="519">
        <f>VLOOKUP($B$2,$B$257:$Y$286,21,FALSE)</f>
        <v>549</v>
      </c>
      <c r="G228" s="136">
        <f>VLOOKUP($B$2,$B$257:$Y$286,22,FALSE)</f>
        <v>550</v>
      </c>
      <c r="H228" s="136">
        <f>VLOOKUP($B$2,$B$257:$Y$286,23,FALSE)</f>
        <v>551</v>
      </c>
      <c r="I228" s="136">
        <f>VLOOKUP($B$2,$B$257:$Y$286,24,FALSE)</f>
        <v>552</v>
      </c>
    </row>
    <row r="229" spans="2:30">
      <c r="B229" s="474" t="str">
        <f>$B$2</f>
        <v>Unison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117.79870700000001</v>
      </c>
      <c r="D230" s="456">
        <f>VLOOKUP(D$38,'MP (2011)'!$A$11:$AR$245,'MP (2011)'!$S$246,FALSE)+VLOOKUP(D$38,'MP (2011)'!$A$11:$AR$245,'MP (2011)'!$T$246,FALSE)</f>
        <v>129.24463</v>
      </c>
      <c r="E230" s="456">
        <f>VLOOKUP(E$38,'MP (2011)'!$A$11:$AR$245,'MP (2011)'!$S$246,FALSE)+VLOOKUP(E$38,'MP (2011)'!$A$11:$AR$245,'MP (2011)'!$T$246,FALSE)</f>
        <v>110.88</v>
      </c>
      <c r="F230" s="457">
        <f>VLOOKUP(F$38,'MP (2011)'!$A$11:$AR$245,'MP (2011)'!$S$246,FALSE)+VLOOKUP(F$38,'MP (2011)'!$A$11:$AR$245,'MP (2011)'!$T$246,FALSE)</f>
        <v>127.98</v>
      </c>
    </row>
    <row r="231" spans="2:30">
      <c r="B231" s="199" t="s">
        <v>292</v>
      </c>
      <c r="C231" s="456">
        <f>IF(ISERROR(VLOOKUP(C$38,'Compliance data'!$A$7:$E$74,'Compliance data'!$D$75,FALSE)),"",(VLOOKUP(C$38,'Compliance data'!$A$7:$E$74,'Compliance data'!$D$75,FALSE)))</f>
        <v>152.69999999999999</v>
      </c>
      <c r="D231" s="456">
        <f>IF(ISERROR(VLOOKUP(D$38,'Compliance data'!$A$7:$E$74,'Compliance data'!$D$75,FALSE)),"",(VLOOKUP(D$38,'Compliance data'!$A$7:$E$74,'Compliance data'!$D$75,FALSE)))</f>
        <v>152.69999999999999</v>
      </c>
      <c r="E231" s="456">
        <f>IF(ISERROR(VLOOKUP(E$38,'Compliance data'!$A$7:$E$74,'Compliance data'!$D$75,FALSE)),"",(VLOOKUP(E$38,'Compliance data'!$A$7:$E$74,'Compliance data'!$D$75,FALSE)))</f>
        <v>152.69999999999999</v>
      </c>
      <c r="F231" s="457">
        <f>IF(ISERROR(VLOOKUP(F$38,'Compliance data'!$A$7:$E$74,'Compliance data'!$D$75,FALSE)),"",(VLOOKUP(F$38,'Compliance data'!$A$7:$E$74,'Compliance data'!$D$75,FALSE)))</f>
        <v>147.8587</v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2.0245850000000001</v>
      </c>
      <c r="D237" s="456">
        <f>VLOOKUP(D$38,'MP (2011)'!$A$11:$AR$245,'MP (2011)'!$W$246,FALSE)+VLOOKUP(D$38,'MP (2011)'!$A$11:$AR$245,'MP (2011)'!$X$246,FALSE)</f>
        <v>2.0699540000000001</v>
      </c>
      <c r="E237" s="456">
        <f>VLOOKUP(E$38,'MP (2011)'!$A$11:$AR$245,'MP (2011)'!$W$246,FALSE)+VLOOKUP(E$38,'MP (2011)'!$A$11:$AR$245,'MP (2011)'!$X$246,FALSE)</f>
        <v>1.5899999999999999</v>
      </c>
      <c r="F237" s="457">
        <f>VLOOKUP(F$38,'MP (2011)'!$A$11:$AR$245,'MP (2011)'!$W$246,FALSE)+VLOOKUP(F$38,'MP (2011)'!$A$11:$AR$245,'MP (2011)'!$X$246,FALSE)</f>
        <v>1.8199999999999998</v>
      </c>
    </row>
    <row r="238" spans="2:30">
      <c r="B238" s="199" t="s">
        <v>292</v>
      </c>
      <c r="C238" s="456">
        <f>IF(ISERROR(VLOOKUP(C$38,'Compliance data'!$A$7:$E$74,'Compliance data'!$E$75,FALSE)),"",(VLOOKUP(C$38,'Compliance data'!$A$7:$E$74,'Compliance data'!$E$75,FALSE)))</f>
        <v>2.39</v>
      </c>
      <c r="D238" s="456">
        <f>IF(ISERROR(VLOOKUP(D$38,'Compliance data'!$A$7:$E$74,'Compliance data'!$E$75,FALSE)),"",(VLOOKUP(D$38,'Compliance data'!$A$7:$E$74,'Compliance data'!$E$75,FALSE)))</f>
        <v>2.39</v>
      </c>
      <c r="E238" s="456">
        <f>IF(ISERROR(VLOOKUP(E$38,'Compliance data'!$A$7:$E$74,'Compliance data'!$E$75,FALSE)),"",(VLOOKUP(E$38,'Compliance data'!$A$7:$E$74,'Compliance data'!$E$75,FALSE)))</f>
        <v>2.39</v>
      </c>
      <c r="F238" s="457">
        <f>IF(ISERROR(VLOOKUP(F$38,'Compliance data'!$A$7:$E$74,'Compliance data'!$E$75,FALSE)),"",(VLOOKUP(F$38,'Compliance data'!$A$7:$E$74,'Compliance data'!$E$75,FALSE)))</f>
        <v>2.7012999999999998</v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41">C258+1</f>
        <v>2</v>
      </c>
      <c r="E258" s="526">
        <f t="shared" si="41"/>
        <v>3</v>
      </c>
      <c r="F258" s="526">
        <f t="shared" si="41"/>
        <v>4</v>
      </c>
      <c r="G258" s="526">
        <f t="shared" si="41"/>
        <v>5</v>
      </c>
      <c r="H258" s="526">
        <f t="shared" si="41"/>
        <v>6</v>
      </c>
      <c r="I258" s="526">
        <f t="shared" si="41"/>
        <v>7</v>
      </c>
      <c r="J258" s="526">
        <f t="shared" si="41"/>
        <v>8</v>
      </c>
      <c r="K258" s="526">
        <f t="shared" si="41"/>
        <v>9</v>
      </c>
      <c r="L258" s="526">
        <f t="shared" si="41"/>
        <v>10</v>
      </c>
      <c r="M258" s="526">
        <f t="shared" si="41"/>
        <v>11</v>
      </c>
      <c r="N258" s="526">
        <f t="shared" si="41"/>
        <v>12</v>
      </c>
      <c r="O258" s="526">
        <f t="shared" si="41"/>
        <v>13</v>
      </c>
      <c r="P258" s="526">
        <f t="shared" si="41"/>
        <v>14</v>
      </c>
      <c r="Q258" s="526">
        <f t="shared" si="41"/>
        <v>15</v>
      </c>
      <c r="R258" s="526">
        <f t="shared" si="41"/>
        <v>16</v>
      </c>
      <c r="S258" s="526">
        <f t="shared" si="41"/>
        <v>17</v>
      </c>
      <c r="T258" s="526">
        <f t="shared" ref="T258:Y273" si="42">S258+1</f>
        <v>18</v>
      </c>
      <c r="U258" s="526">
        <f t="shared" si="42"/>
        <v>19</v>
      </c>
      <c r="V258" s="526">
        <f t="shared" si="42"/>
        <v>20</v>
      </c>
      <c r="W258" s="526">
        <f t="shared" si="42"/>
        <v>21</v>
      </c>
      <c r="X258" s="526">
        <f t="shared" si="42"/>
        <v>22</v>
      </c>
      <c r="Y258" s="526">
        <f t="shared" si="42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41"/>
        <v>25</v>
      </c>
      <c r="E259" s="526">
        <f t="shared" si="41"/>
        <v>26</v>
      </c>
      <c r="F259" s="526">
        <f t="shared" si="41"/>
        <v>27</v>
      </c>
      <c r="G259" s="526">
        <f t="shared" si="41"/>
        <v>28</v>
      </c>
      <c r="H259" s="526">
        <f t="shared" si="41"/>
        <v>29</v>
      </c>
      <c r="I259" s="526">
        <f t="shared" si="41"/>
        <v>30</v>
      </c>
      <c r="J259" s="526">
        <f t="shared" si="41"/>
        <v>31</v>
      </c>
      <c r="K259" s="526">
        <f t="shared" si="41"/>
        <v>32</v>
      </c>
      <c r="L259" s="526">
        <f t="shared" si="41"/>
        <v>33</v>
      </c>
      <c r="M259" s="526">
        <f t="shared" si="41"/>
        <v>34</v>
      </c>
      <c r="N259" s="526">
        <f t="shared" si="41"/>
        <v>35</v>
      </c>
      <c r="O259" s="526">
        <f t="shared" si="41"/>
        <v>36</v>
      </c>
      <c r="P259" s="526">
        <f t="shared" si="41"/>
        <v>37</v>
      </c>
      <c r="Q259" s="526">
        <f t="shared" si="41"/>
        <v>38</v>
      </c>
      <c r="R259" s="526">
        <f t="shared" si="41"/>
        <v>39</v>
      </c>
      <c r="S259" s="526">
        <f t="shared" si="41"/>
        <v>40</v>
      </c>
      <c r="T259" s="526">
        <f t="shared" si="42"/>
        <v>41</v>
      </c>
      <c r="U259" s="526">
        <f t="shared" si="42"/>
        <v>42</v>
      </c>
      <c r="V259" s="526">
        <f t="shared" si="42"/>
        <v>43</v>
      </c>
      <c r="W259" s="526">
        <f t="shared" si="42"/>
        <v>44</v>
      </c>
      <c r="X259" s="526">
        <f t="shared" si="42"/>
        <v>45</v>
      </c>
      <c r="Y259" s="526">
        <f t="shared" si="42"/>
        <v>46</v>
      </c>
    </row>
    <row r="260" spans="2:25" s="526" customFormat="1" ht="15.75">
      <c r="B260" s="530" t="s">
        <v>31</v>
      </c>
      <c r="C260" s="526">
        <f t="shared" ref="C260:C286" si="43">Y259+1</f>
        <v>47</v>
      </c>
      <c r="D260" s="526">
        <f t="shared" si="41"/>
        <v>48</v>
      </c>
      <c r="E260" s="526">
        <f t="shared" si="41"/>
        <v>49</v>
      </c>
      <c r="F260" s="526">
        <f t="shared" si="41"/>
        <v>50</v>
      </c>
      <c r="G260" s="526">
        <f t="shared" si="41"/>
        <v>51</v>
      </c>
      <c r="H260" s="526">
        <f t="shared" si="41"/>
        <v>52</v>
      </c>
      <c r="I260" s="526">
        <f t="shared" si="41"/>
        <v>53</v>
      </c>
      <c r="J260" s="526">
        <f t="shared" si="41"/>
        <v>54</v>
      </c>
      <c r="K260" s="526">
        <f t="shared" si="41"/>
        <v>55</v>
      </c>
      <c r="L260" s="526">
        <f t="shared" si="41"/>
        <v>56</v>
      </c>
      <c r="M260" s="526">
        <f t="shared" si="41"/>
        <v>57</v>
      </c>
      <c r="N260" s="526">
        <f t="shared" si="41"/>
        <v>58</v>
      </c>
      <c r="O260" s="526">
        <f t="shared" si="41"/>
        <v>59</v>
      </c>
      <c r="P260" s="526">
        <f t="shared" si="41"/>
        <v>60</v>
      </c>
      <c r="Q260" s="526">
        <f t="shared" si="41"/>
        <v>61</v>
      </c>
      <c r="R260" s="526">
        <f t="shared" si="41"/>
        <v>62</v>
      </c>
      <c r="S260" s="526">
        <f t="shared" si="41"/>
        <v>63</v>
      </c>
      <c r="T260" s="526">
        <f t="shared" si="42"/>
        <v>64</v>
      </c>
      <c r="U260" s="526">
        <f t="shared" si="42"/>
        <v>65</v>
      </c>
      <c r="V260" s="526">
        <f t="shared" si="42"/>
        <v>66</v>
      </c>
      <c r="W260" s="526">
        <f t="shared" si="42"/>
        <v>67</v>
      </c>
      <c r="X260" s="526">
        <f t="shared" si="42"/>
        <v>68</v>
      </c>
      <c r="Y260" s="526">
        <f t="shared" si="42"/>
        <v>69</v>
      </c>
    </row>
    <row r="261" spans="2:25" s="526" customFormat="1" ht="15.75">
      <c r="B261" s="530" t="s">
        <v>32</v>
      </c>
      <c r="C261" s="526">
        <f t="shared" si="43"/>
        <v>70</v>
      </c>
      <c r="D261" s="526">
        <f t="shared" si="41"/>
        <v>71</v>
      </c>
      <c r="E261" s="526">
        <f t="shared" si="41"/>
        <v>72</v>
      </c>
      <c r="F261" s="526">
        <f t="shared" si="41"/>
        <v>73</v>
      </c>
      <c r="G261" s="526">
        <f t="shared" si="41"/>
        <v>74</v>
      </c>
      <c r="H261" s="526">
        <f t="shared" si="41"/>
        <v>75</v>
      </c>
      <c r="I261" s="526">
        <f t="shared" si="41"/>
        <v>76</v>
      </c>
      <c r="J261" s="526">
        <f t="shared" si="41"/>
        <v>77</v>
      </c>
      <c r="K261" s="526">
        <f t="shared" si="41"/>
        <v>78</v>
      </c>
      <c r="L261" s="526">
        <f t="shared" si="41"/>
        <v>79</v>
      </c>
      <c r="M261" s="526">
        <f t="shared" si="41"/>
        <v>80</v>
      </c>
      <c r="N261" s="526">
        <f t="shared" si="41"/>
        <v>81</v>
      </c>
      <c r="O261" s="526">
        <f t="shared" si="41"/>
        <v>82</v>
      </c>
      <c r="P261" s="526">
        <f t="shared" si="41"/>
        <v>83</v>
      </c>
      <c r="Q261" s="526">
        <f t="shared" si="41"/>
        <v>84</v>
      </c>
      <c r="R261" s="526">
        <f t="shared" si="41"/>
        <v>85</v>
      </c>
      <c r="S261" s="526">
        <f t="shared" si="41"/>
        <v>86</v>
      </c>
      <c r="T261" s="526">
        <f t="shared" si="42"/>
        <v>87</v>
      </c>
      <c r="U261" s="526">
        <f t="shared" si="42"/>
        <v>88</v>
      </c>
      <c r="V261" s="526">
        <f t="shared" si="42"/>
        <v>89</v>
      </c>
      <c r="W261" s="526">
        <f t="shared" si="42"/>
        <v>90</v>
      </c>
      <c r="X261" s="526">
        <f t="shared" si="42"/>
        <v>91</v>
      </c>
      <c r="Y261" s="526">
        <f t="shared" si="42"/>
        <v>92</v>
      </c>
    </row>
    <row r="262" spans="2:25" s="526" customFormat="1" ht="15.75">
      <c r="B262" s="530" t="s">
        <v>33</v>
      </c>
      <c r="C262" s="526">
        <f t="shared" si="43"/>
        <v>93</v>
      </c>
      <c r="D262" s="526">
        <f t="shared" si="41"/>
        <v>94</v>
      </c>
      <c r="E262" s="526">
        <f t="shared" si="41"/>
        <v>95</v>
      </c>
      <c r="F262" s="526">
        <f t="shared" si="41"/>
        <v>96</v>
      </c>
      <c r="G262" s="526">
        <f t="shared" si="41"/>
        <v>97</v>
      </c>
      <c r="H262" s="526">
        <f t="shared" si="41"/>
        <v>98</v>
      </c>
      <c r="I262" s="526">
        <f t="shared" si="41"/>
        <v>99</v>
      </c>
      <c r="J262" s="526">
        <f t="shared" si="41"/>
        <v>100</v>
      </c>
      <c r="K262" s="526">
        <f t="shared" si="41"/>
        <v>101</v>
      </c>
      <c r="L262" s="526">
        <f t="shared" si="41"/>
        <v>102</v>
      </c>
      <c r="M262" s="526">
        <f t="shared" si="41"/>
        <v>103</v>
      </c>
      <c r="N262" s="526">
        <f t="shared" si="41"/>
        <v>104</v>
      </c>
      <c r="O262" s="526">
        <f t="shared" si="41"/>
        <v>105</v>
      </c>
      <c r="P262" s="526">
        <f t="shared" si="41"/>
        <v>106</v>
      </c>
      <c r="Q262" s="526">
        <f t="shared" si="41"/>
        <v>107</v>
      </c>
      <c r="R262" s="526">
        <f t="shared" si="41"/>
        <v>108</v>
      </c>
      <c r="S262" s="526">
        <f t="shared" si="41"/>
        <v>109</v>
      </c>
      <c r="T262" s="526">
        <f t="shared" si="42"/>
        <v>110</v>
      </c>
      <c r="U262" s="526">
        <f t="shared" si="42"/>
        <v>111</v>
      </c>
      <c r="V262" s="526">
        <f t="shared" si="42"/>
        <v>112</v>
      </c>
      <c r="W262" s="526">
        <f t="shared" si="42"/>
        <v>113</v>
      </c>
      <c r="X262" s="526">
        <f t="shared" si="42"/>
        <v>114</v>
      </c>
      <c r="Y262" s="526">
        <f t="shared" si="42"/>
        <v>115</v>
      </c>
    </row>
    <row r="263" spans="2:25" s="526" customFormat="1" ht="15.75">
      <c r="B263" s="530" t="s">
        <v>34</v>
      </c>
      <c r="C263" s="526">
        <f t="shared" si="43"/>
        <v>116</v>
      </c>
      <c r="D263" s="526">
        <f t="shared" si="41"/>
        <v>117</v>
      </c>
      <c r="E263" s="526">
        <f t="shared" si="41"/>
        <v>118</v>
      </c>
      <c r="F263" s="526">
        <f t="shared" si="41"/>
        <v>119</v>
      </c>
      <c r="G263" s="526">
        <f t="shared" si="41"/>
        <v>120</v>
      </c>
      <c r="H263" s="526">
        <f t="shared" si="41"/>
        <v>121</v>
      </c>
      <c r="I263" s="526">
        <f t="shared" si="41"/>
        <v>122</v>
      </c>
      <c r="J263" s="526">
        <f t="shared" si="41"/>
        <v>123</v>
      </c>
      <c r="K263" s="526">
        <f t="shared" si="41"/>
        <v>124</v>
      </c>
      <c r="L263" s="526">
        <f t="shared" si="41"/>
        <v>125</v>
      </c>
      <c r="M263" s="526">
        <f t="shared" si="41"/>
        <v>126</v>
      </c>
      <c r="N263" s="526">
        <f t="shared" si="41"/>
        <v>127</v>
      </c>
      <c r="O263" s="526">
        <f t="shared" si="41"/>
        <v>128</v>
      </c>
      <c r="P263" s="526">
        <f t="shared" si="41"/>
        <v>129</v>
      </c>
      <c r="Q263" s="526">
        <f t="shared" si="41"/>
        <v>130</v>
      </c>
      <c r="R263" s="526">
        <f t="shared" si="41"/>
        <v>131</v>
      </c>
      <c r="S263" s="526">
        <f t="shared" si="41"/>
        <v>132</v>
      </c>
      <c r="T263" s="526">
        <f t="shared" si="42"/>
        <v>133</v>
      </c>
      <c r="U263" s="526">
        <f t="shared" si="42"/>
        <v>134</v>
      </c>
      <c r="V263" s="526">
        <f t="shared" si="42"/>
        <v>135</v>
      </c>
      <c r="W263" s="526">
        <f t="shared" si="42"/>
        <v>136</v>
      </c>
      <c r="X263" s="526">
        <f t="shared" si="42"/>
        <v>137</v>
      </c>
      <c r="Y263" s="526">
        <f t="shared" si="42"/>
        <v>138</v>
      </c>
    </row>
    <row r="264" spans="2:25" s="526" customFormat="1" ht="15.75">
      <c r="B264" s="530" t="s">
        <v>35</v>
      </c>
      <c r="C264" s="526">
        <f t="shared" si="43"/>
        <v>139</v>
      </c>
      <c r="D264" s="526">
        <f t="shared" si="41"/>
        <v>140</v>
      </c>
      <c r="E264" s="526">
        <f t="shared" si="41"/>
        <v>141</v>
      </c>
      <c r="F264" s="526">
        <f t="shared" si="41"/>
        <v>142</v>
      </c>
      <c r="G264" s="526">
        <f t="shared" si="41"/>
        <v>143</v>
      </c>
      <c r="H264" s="526">
        <f t="shared" si="41"/>
        <v>144</v>
      </c>
      <c r="I264" s="526">
        <f t="shared" si="41"/>
        <v>145</v>
      </c>
      <c r="J264" s="526">
        <f t="shared" si="41"/>
        <v>146</v>
      </c>
      <c r="K264" s="526">
        <f t="shared" si="41"/>
        <v>147</v>
      </c>
      <c r="L264" s="526">
        <f t="shared" si="41"/>
        <v>148</v>
      </c>
      <c r="M264" s="526">
        <f t="shared" si="41"/>
        <v>149</v>
      </c>
      <c r="N264" s="526">
        <f t="shared" si="41"/>
        <v>150</v>
      </c>
      <c r="O264" s="526">
        <f t="shared" si="41"/>
        <v>151</v>
      </c>
      <c r="P264" s="526">
        <f t="shared" si="41"/>
        <v>152</v>
      </c>
      <c r="Q264" s="526">
        <f t="shared" si="41"/>
        <v>153</v>
      </c>
      <c r="R264" s="526">
        <f t="shared" si="41"/>
        <v>154</v>
      </c>
      <c r="S264" s="526">
        <f t="shared" si="41"/>
        <v>155</v>
      </c>
      <c r="T264" s="526">
        <f t="shared" si="42"/>
        <v>156</v>
      </c>
      <c r="U264" s="526">
        <f t="shared" si="42"/>
        <v>157</v>
      </c>
      <c r="V264" s="526">
        <f t="shared" si="42"/>
        <v>158</v>
      </c>
      <c r="W264" s="526">
        <f t="shared" si="42"/>
        <v>159</v>
      </c>
      <c r="X264" s="526">
        <f t="shared" si="42"/>
        <v>160</v>
      </c>
      <c r="Y264" s="526">
        <f t="shared" si="42"/>
        <v>161</v>
      </c>
    </row>
    <row r="265" spans="2:25" s="526" customFormat="1" ht="15.75">
      <c r="B265" s="530" t="s">
        <v>115</v>
      </c>
      <c r="C265" s="526">
        <f t="shared" si="43"/>
        <v>162</v>
      </c>
      <c r="D265" s="526">
        <f t="shared" si="41"/>
        <v>163</v>
      </c>
      <c r="E265" s="526">
        <f t="shared" si="41"/>
        <v>164</v>
      </c>
      <c r="F265" s="526">
        <f t="shared" si="41"/>
        <v>165</v>
      </c>
      <c r="G265" s="526">
        <f t="shared" si="41"/>
        <v>166</v>
      </c>
      <c r="H265" s="526">
        <f t="shared" si="41"/>
        <v>167</v>
      </c>
      <c r="I265" s="526">
        <f t="shared" si="41"/>
        <v>168</v>
      </c>
      <c r="J265" s="526">
        <f t="shared" si="41"/>
        <v>169</v>
      </c>
      <c r="K265" s="526">
        <f t="shared" si="41"/>
        <v>170</v>
      </c>
      <c r="L265" s="526">
        <f t="shared" si="41"/>
        <v>171</v>
      </c>
      <c r="M265" s="526">
        <f t="shared" si="41"/>
        <v>172</v>
      </c>
      <c r="N265" s="526">
        <f t="shared" si="41"/>
        <v>173</v>
      </c>
      <c r="O265" s="526">
        <f t="shared" si="41"/>
        <v>174</v>
      </c>
      <c r="P265" s="526">
        <f t="shared" si="41"/>
        <v>175</v>
      </c>
      <c r="Q265" s="526">
        <f t="shared" si="41"/>
        <v>176</v>
      </c>
      <c r="R265" s="526">
        <f t="shared" si="41"/>
        <v>177</v>
      </c>
      <c r="S265" s="526">
        <f t="shared" si="41"/>
        <v>178</v>
      </c>
      <c r="T265" s="526">
        <f t="shared" si="42"/>
        <v>179</v>
      </c>
      <c r="U265" s="526">
        <f t="shared" si="42"/>
        <v>180</v>
      </c>
      <c r="V265" s="526">
        <f t="shared" si="42"/>
        <v>181</v>
      </c>
      <c r="W265" s="526">
        <f t="shared" si="42"/>
        <v>182</v>
      </c>
      <c r="X265" s="526">
        <f t="shared" si="42"/>
        <v>183</v>
      </c>
      <c r="Y265" s="526">
        <f t="shared" si="42"/>
        <v>184</v>
      </c>
    </row>
    <row r="266" spans="2:25" s="526" customFormat="1" ht="15.75">
      <c r="B266" s="530" t="s">
        <v>116</v>
      </c>
      <c r="C266" s="526">
        <f t="shared" si="43"/>
        <v>185</v>
      </c>
      <c r="D266" s="526">
        <f t="shared" si="41"/>
        <v>186</v>
      </c>
      <c r="E266" s="526">
        <f t="shared" si="41"/>
        <v>187</v>
      </c>
      <c r="F266" s="526">
        <f t="shared" si="41"/>
        <v>188</v>
      </c>
      <c r="G266" s="526">
        <f t="shared" si="41"/>
        <v>189</v>
      </c>
      <c r="H266" s="526">
        <f t="shared" si="41"/>
        <v>190</v>
      </c>
      <c r="I266" s="526">
        <f t="shared" si="41"/>
        <v>191</v>
      </c>
      <c r="J266" s="526">
        <f t="shared" si="41"/>
        <v>192</v>
      </c>
      <c r="K266" s="526">
        <f t="shared" si="41"/>
        <v>193</v>
      </c>
      <c r="L266" s="526">
        <f t="shared" si="41"/>
        <v>194</v>
      </c>
      <c r="M266" s="526">
        <f t="shared" si="41"/>
        <v>195</v>
      </c>
      <c r="N266" s="526">
        <f t="shared" si="41"/>
        <v>196</v>
      </c>
      <c r="O266" s="526">
        <f t="shared" si="41"/>
        <v>197</v>
      </c>
      <c r="P266" s="526">
        <f t="shared" si="41"/>
        <v>198</v>
      </c>
      <c r="Q266" s="526">
        <f t="shared" si="41"/>
        <v>199</v>
      </c>
      <c r="R266" s="526">
        <f t="shared" si="41"/>
        <v>200</v>
      </c>
      <c r="S266" s="526">
        <f t="shared" si="41"/>
        <v>201</v>
      </c>
      <c r="T266" s="526">
        <f t="shared" si="42"/>
        <v>202</v>
      </c>
      <c r="U266" s="526">
        <f t="shared" si="42"/>
        <v>203</v>
      </c>
      <c r="V266" s="526">
        <f t="shared" si="42"/>
        <v>204</v>
      </c>
      <c r="W266" s="526">
        <f t="shared" si="42"/>
        <v>205</v>
      </c>
      <c r="X266" s="526">
        <f t="shared" si="42"/>
        <v>206</v>
      </c>
      <c r="Y266" s="526">
        <f t="shared" si="42"/>
        <v>207</v>
      </c>
    </row>
    <row r="267" spans="2:25" s="526" customFormat="1" ht="15.75">
      <c r="B267" s="530" t="s">
        <v>38</v>
      </c>
      <c r="C267" s="526">
        <f t="shared" si="43"/>
        <v>208</v>
      </c>
      <c r="D267" s="526">
        <f t="shared" si="41"/>
        <v>209</v>
      </c>
      <c r="E267" s="526">
        <f t="shared" si="41"/>
        <v>210</v>
      </c>
      <c r="F267" s="526">
        <f t="shared" si="41"/>
        <v>211</v>
      </c>
      <c r="G267" s="526">
        <f t="shared" si="41"/>
        <v>212</v>
      </c>
      <c r="H267" s="526">
        <f t="shared" si="41"/>
        <v>213</v>
      </c>
      <c r="I267" s="526">
        <f t="shared" si="41"/>
        <v>214</v>
      </c>
      <c r="J267" s="526">
        <f t="shared" si="41"/>
        <v>215</v>
      </c>
      <c r="K267" s="526">
        <f t="shared" si="41"/>
        <v>216</v>
      </c>
      <c r="L267" s="526">
        <f t="shared" si="41"/>
        <v>217</v>
      </c>
      <c r="M267" s="526">
        <f t="shared" si="41"/>
        <v>218</v>
      </c>
      <c r="N267" s="526">
        <f t="shared" si="41"/>
        <v>219</v>
      </c>
      <c r="O267" s="526">
        <f t="shared" si="41"/>
        <v>220</v>
      </c>
      <c r="P267" s="526">
        <f t="shared" si="41"/>
        <v>221</v>
      </c>
      <c r="Q267" s="526">
        <f t="shared" si="41"/>
        <v>222</v>
      </c>
      <c r="R267" s="526">
        <f t="shared" si="41"/>
        <v>223</v>
      </c>
      <c r="S267" s="526">
        <f t="shared" si="41"/>
        <v>224</v>
      </c>
      <c r="T267" s="526">
        <f t="shared" si="42"/>
        <v>225</v>
      </c>
      <c r="U267" s="526">
        <f t="shared" si="42"/>
        <v>226</v>
      </c>
      <c r="V267" s="526">
        <f t="shared" si="42"/>
        <v>227</v>
      </c>
      <c r="W267" s="526">
        <f t="shared" si="42"/>
        <v>228</v>
      </c>
      <c r="X267" s="526">
        <f t="shared" si="42"/>
        <v>229</v>
      </c>
      <c r="Y267" s="526">
        <f t="shared" si="42"/>
        <v>230</v>
      </c>
    </row>
    <row r="268" spans="2:25" s="526" customFormat="1" ht="15.75">
      <c r="B268" s="530" t="s">
        <v>39</v>
      </c>
      <c r="C268" s="526">
        <f t="shared" si="43"/>
        <v>231</v>
      </c>
      <c r="D268" s="526">
        <f t="shared" si="41"/>
        <v>232</v>
      </c>
      <c r="E268" s="526">
        <f t="shared" si="41"/>
        <v>233</v>
      </c>
      <c r="F268" s="526">
        <f t="shared" si="41"/>
        <v>234</v>
      </c>
      <c r="G268" s="526">
        <f t="shared" si="41"/>
        <v>235</v>
      </c>
      <c r="H268" s="526">
        <f t="shared" si="41"/>
        <v>236</v>
      </c>
      <c r="I268" s="526">
        <f t="shared" si="41"/>
        <v>237</v>
      </c>
      <c r="J268" s="526">
        <f t="shared" si="41"/>
        <v>238</v>
      </c>
      <c r="K268" s="526">
        <f t="shared" si="41"/>
        <v>239</v>
      </c>
      <c r="L268" s="526">
        <f t="shared" si="41"/>
        <v>240</v>
      </c>
      <c r="M268" s="526">
        <f t="shared" si="41"/>
        <v>241</v>
      </c>
      <c r="N268" s="526">
        <f t="shared" si="41"/>
        <v>242</v>
      </c>
      <c r="O268" s="526">
        <f t="shared" si="41"/>
        <v>243</v>
      </c>
      <c r="P268" s="526">
        <f t="shared" si="41"/>
        <v>244</v>
      </c>
      <c r="Q268" s="526">
        <f t="shared" si="41"/>
        <v>245</v>
      </c>
      <c r="R268" s="526">
        <f t="shared" si="41"/>
        <v>246</v>
      </c>
      <c r="S268" s="526">
        <f t="shared" si="41"/>
        <v>247</v>
      </c>
      <c r="T268" s="526">
        <f t="shared" si="42"/>
        <v>248</v>
      </c>
      <c r="U268" s="526">
        <f t="shared" si="42"/>
        <v>249</v>
      </c>
      <c r="V268" s="526">
        <f t="shared" si="42"/>
        <v>250</v>
      </c>
      <c r="W268" s="526">
        <f t="shared" si="42"/>
        <v>251</v>
      </c>
      <c r="X268" s="526">
        <f t="shared" si="42"/>
        <v>252</v>
      </c>
      <c r="Y268" s="526">
        <f t="shared" si="42"/>
        <v>253</v>
      </c>
    </row>
    <row r="269" spans="2:25" s="526" customFormat="1" ht="15.75">
      <c r="B269" s="530" t="s">
        <v>40</v>
      </c>
      <c r="C269" s="526">
        <f t="shared" si="43"/>
        <v>254</v>
      </c>
      <c r="D269" s="526">
        <f t="shared" si="41"/>
        <v>255</v>
      </c>
      <c r="E269" s="526">
        <f t="shared" si="41"/>
        <v>256</v>
      </c>
      <c r="F269" s="526">
        <f t="shared" si="41"/>
        <v>257</v>
      </c>
      <c r="G269" s="526">
        <f t="shared" si="41"/>
        <v>258</v>
      </c>
      <c r="H269" s="526">
        <f t="shared" si="41"/>
        <v>259</v>
      </c>
      <c r="I269" s="526">
        <f t="shared" si="41"/>
        <v>260</v>
      </c>
      <c r="J269" s="526">
        <f t="shared" si="41"/>
        <v>261</v>
      </c>
      <c r="K269" s="526">
        <f t="shared" si="41"/>
        <v>262</v>
      </c>
      <c r="L269" s="526">
        <f t="shared" si="41"/>
        <v>263</v>
      </c>
      <c r="M269" s="526">
        <f t="shared" si="41"/>
        <v>264</v>
      </c>
      <c r="N269" s="526">
        <f t="shared" si="41"/>
        <v>265</v>
      </c>
      <c r="O269" s="526">
        <f t="shared" si="41"/>
        <v>266</v>
      </c>
      <c r="P269" s="526">
        <f t="shared" si="41"/>
        <v>267</v>
      </c>
      <c r="Q269" s="526">
        <f t="shared" si="41"/>
        <v>268</v>
      </c>
      <c r="R269" s="526">
        <f t="shared" si="41"/>
        <v>269</v>
      </c>
      <c r="S269" s="526">
        <f t="shared" si="41"/>
        <v>270</v>
      </c>
      <c r="T269" s="526">
        <f t="shared" si="42"/>
        <v>271</v>
      </c>
      <c r="U269" s="526">
        <f t="shared" si="42"/>
        <v>272</v>
      </c>
      <c r="V269" s="526">
        <f t="shared" si="42"/>
        <v>273</v>
      </c>
      <c r="W269" s="526">
        <f t="shared" si="42"/>
        <v>274</v>
      </c>
      <c r="X269" s="526">
        <f t="shared" si="42"/>
        <v>275</v>
      </c>
      <c r="Y269" s="526">
        <f t="shared" si="42"/>
        <v>276</v>
      </c>
    </row>
    <row r="270" spans="2:25" s="526" customFormat="1" ht="15.75">
      <c r="B270" s="530" t="s">
        <v>41</v>
      </c>
      <c r="C270" s="526">
        <f t="shared" si="43"/>
        <v>277</v>
      </c>
      <c r="D270" s="526">
        <f t="shared" si="41"/>
        <v>278</v>
      </c>
      <c r="E270" s="526">
        <f t="shared" si="41"/>
        <v>279</v>
      </c>
      <c r="F270" s="526">
        <f t="shared" si="41"/>
        <v>280</v>
      </c>
      <c r="G270" s="526">
        <f t="shared" si="41"/>
        <v>281</v>
      </c>
      <c r="H270" s="526">
        <f t="shared" si="41"/>
        <v>282</v>
      </c>
      <c r="I270" s="526">
        <f t="shared" si="41"/>
        <v>283</v>
      </c>
      <c r="J270" s="526">
        <f t="shared" si="41"/>
        <v>284</v>
      </c>
      <c r="K270" s="526">
        <f t="shared" si="41"/>
        <v>285</v>
      </c>
      <c r="L270" s="526">
        <f t="shared" si="41"/>
        <v>286</v>
      </c>
      <c r="M270" s="526">
        <f t="shared" si="41"/>
        <v>287</v>
      </c>
      <c r="N270" s="526">
        <f t="shared" si="41"/>
        <v>288</v>
      </c>
      <c r="O270" s="526">
        <f t="shared" si="41"/>
        <v>289</v>
      </c>
      <c r="P270" s="526">
        <f t="shared" si="41"/>
        <v>290</v>
      </c>
      <c r="Q270" s="526">
        <f t="shared" si="41"/>
        <v>291</v>
      </c>
      <c r="R270" s="526">
        <f t="shared" si="41"/>
        <v>292</v>
      </c>
      <c r="S270" s="526">
        <f t="shared" si="41"/>
        <v>293</v>
      </c>
      <c r="T270" s="526">
        <f t="shared" si="42"/>
        <v>294</v>
      </c>
      <c r="U270" s="526">
        <f t="shared" si="42"/>
        <v>295</v>
      </c>
      <c r="V270" s="526">
        <f t="shared" si="42"/>
        <v>296</v>
      </c>
      <c r="W270" s="526">
        <f t="shared" si="42"/>
        <v>297</v>
      </c>
      <c r="X270" s="526">
        <f t="shared" si="42"/>
        <v>298</v>
      </c>
      <c r="Y270" s="526">
        <f t="shared" si="42"/>
        <v>299</v>
      </c>
    </row>
    <row r="271" spans="2:25" s="526" customFormat="1" ht="15.75">
      <c r="B271" s="530" t="s">
        <v>42</v>
      </c>
      <c r="C271" s="526">
        <f t="shared" si="43"/>
        <v>300</v>
      </c>
      <c r="D271" s="526">
        <f t="shared" si="41"/>
        <v>301</v>
      </c>
      <c r="E271" s="526">
        <f t="shared" si="41"/>
        <v>302</v>
      </c>
      <c r="F271" s="526">
        <f t="shared" si="41"/>
        <v>303</v>
      </c>
      <c r="G271" s="526">
        <f t="shared" si="41"/>
        <v>304</v>
      </c>
      <c r="H271" s="526">
        <f t="shared" si="41"/>
        <v>305</v>
      </c>
      <c r="I271" s="526">
        <f t="shared" si="41"/>
        <v>306</v>
      </c>
      <c r="J271" s="526">
        <f t="shared" si="41"/>
        <v>307</v>
      </c>
      <c r="K271" s="526">
        <f t="shared" si="41"/>
        <v>308</v>
      </c>
      <c r="L271" s="526">
        <f t="shared" si="41"/>
        <v>309</v>
      </c>
      <c r="M271" s="526">
        <f t="shared" si="41"/>
        <v>310</v>
      </c>
      <c r="N271" s="526">
        <f t="shared" si="41"/>
        <v>311</v>
      </c>
      <c r="O271" s="526">
        <f t="shared" si="41"/>
        <v>312</v>
      </c>
      <c r="P271" s="526">
        <f t="shared" si="41"/>
        <v>313</v>
      </c>
      <c r="Q271" s="526">
        <f t="shared" si="41"/>
        <v>314</v>
      </c>
      <c r="R271" s="526">
        <f t="shared" si="41"/>
        <v>315</v>
      </c>
      <c r="S271" s="526">
        <f t="shared" si="41"/>
        <v>316</v>
      </c>
      <c r="T271" s="526">
        <f t="shared" si="42"/>
        <v>317</v>
      </c>
      <c r="U271" s="526">
        <f t="shared" si="42"/>
        <v>318</v>
      </c>
      <c r="V271" s="526">
        <f t="shared" si="42"/>
        <v>319</v>
      </c>
      <c r="W271" s="526">
        <f t="shared" si="42"/>
        <v>320</v>
      </c>
      <c r="X271" s="526">
        <f t="shared" si="42"/>
        <v>321</v>
      </c>
      <c r="Y271" s="526">
        <f t="shared" si="42"/>
        <v>322</v>
      </c>
    </row>
    <row r="272" spans="2:25" s="526" customFormat="1" ht="15.75">
      <c r="B272" s="530" t="s">
        <v>43</v>
      </c>
      <c r="C272" s="526">
        <f t="shared" si="43"/>
        <v>323</v>
      </c>
      <c r="D272" s="526">
        <f t="shared" si="41"/>
        <v>324</v>
      </c>
      <c r="E272" s="526">
        <f t="shared" si="41"/>
        <v>325</v>
      </c>
      <c r="F272" s="526">
        <f t="shared" si="41"/>
        <v>326</v>
      </c>
      <c r="G272" s="526">
        <f t="shared" si="41"/>
        <v>327</v>
      </c>
      <c r="H272" s="526">
        <f t="shared" si="41"/>
        <v>328</v>
      </c>
      <c r="I272" s="526">
        <f t="shared" si="41"/>
        <v>329</v>
      </c>
      <c r="J272" s="526">
        <f t="shared" si="41"/>
        <v>330</v>
      </c>
      <c r="K272" s="526">
        <f t="shared" si="41"/>
        <v>331</v>
      </c>
      <c r="L272" s="526">
        <f t="shared" si="41"/>
        <v>332</v>
      </c>
      <c r="M272" s="526">
        <f t="shared" si="41"/>
        <v>333</v>
      </c>
      <c r="N272" s="526">
        <f t="shared" si="41"/>
        <v>334</v>
      </c>
      <c r="O272" s="526">
        <f t="shared" si="41"/>
        <v>335</v>
      </c>
      <c r="P272" s="526">
        <f t="shared" si="41"/>
        <v>336</v>
      </c>
      <c r="Q272" s="526">
        <f t="shared" si="41"/>
        <v>337</v>
      </c>
      <c r="R272" s="526">
        <f t="shared" si="41"/>
        <v>338</v>
      </c>
      <c r="S272" s="526">
        <f t="shared" si="41"/>
        <v>339</v>
      </c>
      <c r="T272" s="526">
        <f t="shared" si="42"/>
        <v>340</v>
      </c>
      <c r="U272" s="526">
        <f t="shared" si="42"/>
        <v>341</v>
      </c>
      <c r="V272" s="526">
        <f t="shared" si="42"/>
        <v>342</v>
      </c>
      <c r="W272" s="526">
        <f t="shared" si="42"/>
        <v>343</v>
      </c>
      <c r="X272" s="526">
        <f t="shared" si="42"/>
        <v>344</v>
      </c>
      <c r="Y272" s="526">
        <f t="shared" si="42"/>
        <v>345</v>
      </c>
    </row>
    <row r="273" spans="2:25" s="526" customFormat="1" ht="15.75">
      <c r="B273" s="530" t="s">
        <v>44</v>
      </c>
      <c r="C273" s="526">
        <f t="shared" si="43"/>
        <v>346</v>
      </c>
      <c r="D273" s="526">
        <f t="shared" si="41"/>
        <v>347</v>
      </c>
      <c r="E273" s="526">
        <f t="shared" si="41"/>
        <v>348</v>
      </c>
      <c r="F273" s="526">
        <f t="shared" si="41"/>
        <v>349</v>
      </c>
      <c r="G273" s="526">
        <f t="shared" si="41"/>
        <v>350</v>
      </c>
      <c r="H273" s="526">
        <f t="shared" si="41"/>
        <v>351</v>
      </c>
      <c r="I273" s="526">
        <f t="shared" si="41"/>
        <v>352</v>
      </c>
      <c r="J273" s="526">
        <f t="shared" si="41"/>
        <v>353</v>
      </c>
      <c r="K273" s="526">
        <f t="shared" si="41"/>
        <v>354</v>
      </c>
      <c r="L273" s="526">
        <f t="shared" si="41"/>
        <v>355</v>
      </c>
      <c r="M273" s="526">
        <f t="shared" si="41"/>
        <v>356</v>
      </c>
      <c r="N273" s="526">
        <f t="shared" si="41"/>
        <v>357</v>
      </c>
      <c r="O273" s="526">
        <f t="shared" si="41"/>
        <v>358</v>
      </c>
      <c r="P273" s="526">
        <f t="shared" si="41"/>
        <v>359</v>
      </c>
      <c r="Q273" s="526">
        <f t="shared" si="41"/>
        <v>360</v>
      </c>
      <c r="R273" s="526">
        <f t="shared" si="41"/>
        <v>361</v>
      </c>
      <c r="S273" s="526">
        <f t="shared" ref="D273:S286" si="44">R273+1</f>
        <v>362</v>
      </c>
      <c r="T273" s="526">
        <f t="shared" si="42"/>
        <v>363</v>
      </c>
      <c r="U273" s="526">
        <f t="shared" si="42"/>
        <v>364</v>
      </c>
      <c r="V273" s="526">
        <f t="shared" si="42"/>
        <v>365</v>
      </c>
      <c r="W273" s="526">
        <f t="shared" si="42"/>
        <v>366</v>
      </c>
      <c r="X273" s="526">
        <f t="shared" si="42"/>
        <v>367</v>
      </c>
      <c r="Y273" s="526">
        <f t="shared" si="42"/>
        <v>368</v>
      </c>
    </row>
    <row r="274" spans="2:25" s="526" customFormat="1" ht="15.75">
      <c r="B274" s="530" t="s">
        <v>45</v>
      </c>
      <c r="C274" s="526">
        <f t="shared" si="43"/>
        <v>369</v>
      </c>
      <c r="D274" s="526">
        <f t="shared" si="44"/>
        <v>370</v>
      </c>
      <c r="E274" s="526">
        <f t="shared" si="44"/>
        <v>371</v>
      </c>
      <c r="F274" s="526">
        <f t="shared" si="44"/>
        <v>372</v>
      </c>
      <c r="G274" s="526">
        <f t="shared" si="44"/>
        <v>373</v>
      </c>
      <c r="H274" s="526">
        <f t="shared" si="44"/>
        <v>374</v>
      </c>
      <c r="I274" s="526">
        <f t="shared" si="44"/>
        <v>375</v>
      </c>
      <c r="J274" s="526">
        <f t="shared" si="44"/>
        <v>376</v>
      </c>
      <c r="K274" s="526">
        <f t="shared" si="44"/>
        <v>377</v>
      </c>
      <c r="L274" s="526">
        <f t="shared" si="44"/>
        <v>378</v>
      </c>
      <c r="M274" s="526">
        <f t="shared" si="44"/>
        <v>379</v>
      </c>
      <c r="N274" s="526">
        <f t="shared" si="44"/>
        <v>380</v>
      </c>
      <c r="O274" s="526">
        <f t="shared" si="44"/>
        <v>381</v>
      </c>
      <c r="P274" s="526">
        <f t="shared" si="44"/>
        <v>382</v>
      </c>
      <c r="Q274" s="526">
        <f t="shared" si="44"/>
        <v>383</v>
      </c>
      <c r="R274" s="526">
        <f t="shared" si="44"/>
        <v>384</v>
      </c>
      <c r="S274" s="526">
        <f t="shared" si="44"/>
        <v>385</v>
      </c>
      <c r="T274" s="526">
        <f t="shared" ref="S274:Y286" si="45">S274+1</f>
        <v>386</v>
      </c>
      <c r="U274" s="526">
        <f t="shared" si="45"/>
        <v>387</v>
      </c>
      <c r="V274" s="526">
        <f t="shared" si="45"/>
        <v>388</v>
      </c>
      <c r="W274" s="526">
        <f t="shared" si="45"/>
        <v>389</v>
      </c>
      <c r="X274" s="526">
        <f t="shared" si="45"/>
        <v>390</v>
      </c>
      <c r="Y274" s="526">
        <f t="shared" si="45"/>
        <v>391</v>
      </c>
    </row>
    <row r="275" spans="2:25" s="526" customFormat="1" ht="15.75">
      <c r="B275" s="530" t="s">
        <v>295</v>
      </c>
      <c r="C275" s="526">
        <f t="shared" si="43"/>
        <v>392</v>
      </c>
      <c r="D275" s="526">
        <f t="shared" si="44"/>
        <v>393</v>
      </c>
      <c r="E275" s="526">
        <f t="shared" si="44"/>
        <v>394</v>
      </c>
      <c r="F275" s="526">
        <f t="shared" si="44"/>
        <v>395</v>
      </c>
      <c r="G275" s="526">
        <f t="shared" si="44"/>
        <v>396</v>
      </c>
      <c r="H275" s="526">
        <f t="shared" si="44"/>
        <v>397</v>
      </c>
      <c r="I275" s="526">
        <f t="shared" si="44"/>
        <v>398</v>
      </c>
      <c r="J275" s="526">
        <f t="shared" si="44"/>
        <v>399</v>
      </c>
      <c r="K275" s="526">
        <f t="shared" si="44"/>
        <v>400</v>
      </c>
      <c r="L275" s="526">
        <f t="shared" si="44"/>
        <v>401</v>
      </c>
      <c r="M275" s="526">
        <f t="shared" si="44"/>
        <v>402</v>
      </c>
      <c r="N275" s="526">
        <f t="shared" si="44"/>
        <v>403</v>
      </c>
      <c r="O275" s="526">
        <f t="shared" si="44"/>
        <v>404</v>
      </c>
      <c r="P275" s="526">
        <f t="shared" si="44"/>
        <v>405</v>
      </c>
      <c r="Q275" s="526">
        <f t="shared" si="44"/>
        <v>406</v>
      </c>
      <c r="R275" s="526">
        <f t="shared" si="44"/>
        <v>407</v>
      </c>
      <c r="S275" s="526">
        <f t="shared" si="44"/>
        <v>408</v>
      </c>
      <c r="T275" s="526">
        <f t="shared" si="45"/>
        <v>409</v>
      </c>
      <c r="U275" s="526">
        <f t="shared" si="45"/>
        <v>410</v>
      </c>
      <c r="V275" s="526">
        <f t="shared" si="45"/>
        <v>411</v>
      </c>
      <c r="W275" s="526">
        <f t="shared" si="45"/>
        <v>412</v>
      </c>
      <c r="X275" s="526">
        <f t="shared" si="45"/>
        <v>413</v>
      </c>
      <c r="Y275" s="526">
        <f t="shared" si="45"/>
        <v>414</v>
      </c>
    </row>
    <row r="276" spans="2:25" s="526" customFormat="1" ht="15.75">
      <c r="B276" s="530" t="s">
        <v>47</v>
      </c>
      <c r="C276" s="526">
        <f t="shared" si="43"/>
        <v>415</v>
      </c>
      <c r="D276" s="526">
        <f t="shared" si="44"/>
        <v>416</v>
      </c>
      <c r="E276" s="526">
        <f t="shared" si="44"/>
        <v>417</v>
      </c>
      <c r="F276" s="526">
        <f t="shared" si="44"/>
        <v>418</v>
      </c>
      <c r="G276" s="526">
        <f t="shared" si="44"/>
        <v>419</v>
      </c>
      <c r="H276" s="526">
        <f t="shared" si="44"/>
        <v>420</v>
      </c>
      <c r="I276" s="526">
        <f t="shared" si="44"/>
        <v>421</v>
      </c>
      <c r="J276" s="526">
        <f t="shared" si="44"/>
        <v>422</v>
      </c>
      <c r="K276" s="526">
        <f t="shared" si="44"/>
        <v>423</v>
      </c>
      <c r="L276" s="526">
        <f t="shared" si="44"/>
        <v>424</v>
      </c>
      <c r="M276" s="526">
        <f t="shared" si="44"/>
        <v>425</v>
      </c>
      <c r="N276" s="526">
        <f t="shared" si="44"/>
        <v>426</v>
      </c>
      <c r="O276" s="526">
        <f t="shared" si="44"/>
        <v>427</v>
      </c>
      <c r="P276" s="526">
        <f t="shared" si="44"/>
        <v>428</v>
      </c>
      <c r="Q276" s="526">
        <f t="shared" si="44"/>
        <v>429</v>
      </c>
      <c r="R276" s="526">
        <f t="shared" si="44"/>
        <v>430</v>
      </c>
      <c r="S276" s="526">
        <f t="shared" si="44"/>
        <v>431</v>
      </c>
      <c r="T276" s="526">
        <f t="shared" si="45"/>
        <v>432</v>
      </c>
      <c r="U276" s="526">
        <f t="shared" si="45"/>
        <v>433</v>
      </c>
      <c r="V276" s="526">
        <f t="shared" si="45"/>
        <v>434</v>
      </c>
      <c r="W276" s="526">
        <f t="shared" si="45"/>
        <v>435</v>
      </c>
      <c r="X276" s="526">
        <f t="shared" si="45"/>
        <v>436</v>
      </c>
      <c r="Y276" s="526">
        <f t="shared" si="45"/>
        <v>437</v>
      </c>
    </row>
    <row r="277" spans="2:25" s="526" customFormat="1" ht="15.75">
      <c r="B277" s="530" t="s">
        <v>48</v>
      </c>
      <c r="C277" s="526">
        <f t="shared" si="43"/>
        <v>438</v>
      </c>
      <c r="D277" s="526">
        <f t="shared" si="44"/>
        <v>439</v>
      </c>
      <c r="E277" s="526">
        <f t="shared" si="44"/>
        <v>440</v>
      </c>
      <c r="F277" s="526">
        <f t="shared" si="44"/>
        <v>441</v>
      </c>
      <c r="G277" s="526">
        <f t="shared" si="44"/>
        <v>442</v>
      </c>
      <c r="H277" s="526">
        <f t="shared" si="44"/>
        <v>443</v>
      </c>
      <c r="I277" s="526">
        <f t="shared" si="44"/>
        <v>444</v>
      </c>
      <c r="J277" s="526">
        <f t="shared" si="44"/>
        <v>445</v>
      </c>
      <c r="K277" s="526">
        <f t="shared" si="44"/>
        <v>446</v>
      </c>
      <c r="L277" s="526">
        <f t="shared" si="44"/>
        <v>447</v>
      </c>
      <c r="M277" s="526">
        <f t="shared" si="44"/>
        <v>448</v>
      </c>
      <c r="N277" s="526">
        <f t="shared" si="44"/>
        <v>449</v>
      </c>
      <c r="O277" s="526">
        <f t="shared" si="44"/>
        <v>450</v>
      </c>
      <c r="P277" s="526">
        <f t="shared" si="44"/>
        <v>451</v>
      </c>
      <c r="Q277" s="526">
        <f t="shared" si="44"/>
        <v>452</v>
      </c>
      <c r="R277" s="526">
        <f t="shared" si="44"/>
        <v>453</v>
      </c>
      <c r="S277" s="526">
        <f t="shared" si="44"/>
        <v>454</v>
      </c>
      <c r="T277" s="526">
        <f t="shared" si="45"/>
        <v>455</v>
      </c>
      <c r="U277" s="526">
        <f t="shared" si="45"/>
        <v>456</v>
      </c>
      <c r="V277" s="526">
        <f t="shared" si="45"/>
        <v>457</v>
      </c>
      <c r="W277" s="526">
        <f t="shared" si="45"/>
        <v>458</v>
      </c>
      <c r="X277" s="526">
        <f t="shared" si="45"/>
        <v>459</v>
      </c>
      <c r="Y277" s="526">
        <f t="shared" si="45"/>
        <v>460</v>
      </c>
    </row>
    <row r="278" spans="2:25" s="526" customFormat="1" ht="15.75">
      <c r="B278" s="530" t="s">
        <v>176</v>
      </c>
      <c r="C278" s="526">
        <f t="shared" si="43"/>
        <v>461</v>
      </c>
      <c r="D278" s="526">
        <f t="shared" si="44"/>
        <v>462</v>
      </c>
      <c r="E278" s="526">
        <f t="shared" si="44"/>
        <v>463</v>
      </c>
      <c r="F278" s="526">
        <f t="shared" si="44"/>
        <v>464</v>
      </c>
      <c r="G278" s="526">
        <f t="shared" si="44"/>
        <v>465</v>
      </c>
      <c r="H278" s="526">
        <f t="shared" si="44"/>
        <v>466</v>
      </c>
      <c r="I278" s="526">
        <f t="shared" si="44"/>
        <v>467</v>
      </c>
      <c r="J278" s="526">
        <f t="shared" si="44"/>
        <v>468</v>
      </c>
      <c r="K278" s="526">
        <f t="shared" si="44"/>
        <v>469</v>
      </c>
      <c r="L278" s="526">
        <f t="shared" si="44"/>
        <v>470</v>
      </c>
      <c r="M278" s="526">
        <f t="shared" si="44"/>
        <v>471</v>
      </c>
      <c r="N278" s="526">
        <f t="shared" si="44"/>
        <v>472</v>
      </c>
      <c r="O278" s="526">
        <f t="shared" si="44"/>
        <v>473</v>
      </c>
      <c r="P278" s="526">
        <f t="shared" si="44"/>
        <v>474</v>
      </c>
      <c r="Q278" s="526">
        <f t="shared" si="44"/>
        <v>475</v>
      </c>
      <c r="R278" s="526">
        <f t="shared" si="44"/>
        <v>476</v>
      </c>
      <c r="S278" s="526">
        <f t="shared" si="44"/>
        <v>477</v>
      </c>
      <c r="T278" s="526">
        <f t="shared" si="45"/>
        <v>478</v>
      </c>
      <c r="U278" s="526">
        <f t="shared" si="45"/>
        <v>479</v>
      </c>
      <c r="V278" s="526">
        <f t="shared" si="45"/>
        <v>480</v>
      </c>
      <c r="W278" s="526">
        <f t="shared" si="45"/>
        <v>481</v>
      </c>
      <c r="X278" s="526">
        <f t="shared" si="45"/>
        <v>482</v>
      </c>
      <c r="Y278" s="526">
        <f t="shared" si="45"/>
        <v>483</v>
      </c>
    </row>
    <row r="279" spans="2:25" s="526" customFormat="1" ht="15.75">
      <c r="B279" s="530" t="s">
        <v>124</v>
      </c>
      <c r="C279" s="526">
        <f t="shared" si="43"/>
        <v>484</v>
      </c>
      <c r="D279" s="526">
        <f t="shared" si="44"/>
        <v>485</v>
      </c>
      <c r="E279" s="526">
        <f t="shared" si="44"/>
        <v>486</v>
      </c>
      <c r="F279" s="526">
        <f t="shared" si="44"/>
        <v>487</v>
      </c>
      <c r="G279" s="526">
        <f t="shared" si="44"/>
        <v>488</v>
      </c>
      <c r="H279" s="526">
        <f t="shared" si="44"/>
        <v>489</v>
      </c>
      <c r="I279" s="526">
        <f t="shared" si="44"/>
        <v>490</v>
      </c>
      <c r="J279" s="526">
        <f t="shared" si="44"/>
        <v>491</v>
      </c>
      <c r="K279" s="526">
        <f t="shared" si="44"/>
        <v>492</v>
      </c>
      <c r="L279" s="526">
        <f t="shared" si="44"/>
        <v>493</v>
      </c>
      <c r="M279" s="526">
        <f t="shared" si="44"/>
        <v>494</v>
      </c>
      <c r="N279" s="526">
        <f t="shared" si="44"/>
        <v>495</v>
      </c>
      <c r="O279" s="526">
        <f t="shared" si="44"/>
        <v>496</v>
      </c>
      <c r="P279" s="526">
        <f t="shared" si="44"/>
        <v>497</v>
      </c>
      <c r="Q279" s="526">
        <f t="shared" si="44"/>
        <v>498</v>
      </c>
      <c r="R279" s="526">
        <f t="shared" si="44"/>
        <v>499</v>
      </c>
      <c r="S279" s="526">
        <f t="shared" si="44"/>
        <v>500</v>
      </c>
      <c r="T279" s="526">
        <f t="shared" si="45"/>
        <v>501</v>
      </c>
      <c r="U279" s="526">
        <f t="shared" si="45"/>
        <v>502</v>
      </c>
      <c r="V279" s="526">
        <f t="shared" si="45"/>
        <v>503</v>
      </c>
      <c r="W279" s="526">
        <f t="shared" si="45"/>
        <v>504</v>
      </c>
      <c r="X279" s="526">
        <f t="shared" si="45"/>
        <v>505</v>
      </c>
      <c r="Y279" s="526">
        <f t="shared" si="45"/>
        <v>506</v>
      </c>
    </row>
    <row r="280" spans="2:25" s="526" customFormat="1" ht="15.75">
      <c r="B280" s="530" t="s">
        <v>125</v>
      </c>
      <c r="C280" s="526">
        <f t="shared" si="43"/>
        <v>507</v>
      </c>
      <c r="D280" s="526">
        <f t="shared" si="44"/>
        <v>508</v>
      </c>
      <c r="E280" s="526">
        <f t="shared" si="44"/>
        <v>509</v>
      </c>
      <c r="F280" s="526">
        <f t="shared" si="44"/>
        <v>510</v>
      </c>
      <c r="G280" s="526">
        <f t="shared" si="44"/>
        <v>511</v>
      </c>
      <c r="H280" s="526">
        <f t="shared" si="44"/>
        <v>512</v>
      </c>
      <c r="I280" s="526">
        <f t="shared" si="44"/>
        <v>513</v>
      </c>
      <c r="J280" s="526">
        <f t="shared" si="44"/>
        <v>514</v>
      </c>
      <c r="K280" s="526">
        <f t="shared" si="44"/>
        <v>515</v>
      </c>
      <c r="L280" s="526">
        <f t="shared" si="44"/>
        <v>516</v>
      </c>
      <c r="M280" s="526">
        <f t="shared" si="44"/>
        <v>517</v>
      </c>
      <c r="N280" s="526">
        <f t="shared" si="44"/>
        <v>518</v>
      </c>
      <c r="O280" s="526">
        <f t="shared" si="44"/>
        <v>519</v>
      </c>
      <c r="P280" s="526">
        <f t="shared" si="44"/>
        <v>520</v>
      </c>
      <c r="Q280" s="526">
        <f t="shared" si="44"/>
        <v>521</v>
      </c>
      <c r="R280" s="526">
        <f t="shared" si="44"/>
        <v>522</v>
      </c>
      <c r="S280" s="526">
        <f t="shared" si="44"/>
        <v>523</v>
      </c>
      <c r="T280" s="526">
        <f t="shared" si="45"/>
        <v>524</v>
      </c>
      <c r="U280" s="526">
        <f t="shared" si="45"/>
        <v>525</v>
      </c>
      <c r="V280" s="526">
        <f t="shared" si="45"/>
        <v>526</v>
      </c>
      <c r="W280" s="526">
        <f t="shared" si="45"/>
        <v>527</v>
      </c>
      <c r="X280" s="526">
        <f t="shared" si="45"/>
        <v>528</v>
      </c>
      <c r="Y280" s="526">
        <f t="shared" si="45"/>
        <v>529</v>
      </c>
    </row>
    <row r="281" spans="2:25" s="526" customFormat="1" ht="15.75">
      <c r="B281" s="530" t="s">
        <v>52</v>
      </c>
      <c r="C281" s="526">
        <f t="shared" si="43"/>
        <v>530</v>
      </c>
      <c r="D281" s="526">
        <f t="shared" si="44"/>
        <v>531</v>
      </c>
      <c r="E281" s="526">
        <f t="shared" si="44"/>
        <v>532</v>
      </c>
      <c r="F281" s="526">
        <f t="shared" si="44"/>
        <v>533</v>
      </c>
      <c r="G281" s="526">
        <f t="shared" si="44"/>
        <v>534</v>
      </c>
      <c r="H281" s="526">
        <f t="shared" si="44"/>
        <v>535</v>
      </c>
      <c r="I281" s="526">
        <f t="shared" si="44"/>
        <v>536</v>
      </c>
      <c r="J281" s="526">
        <f t="shared" si="44"/>
        <v>537</v>
      </c>
      <c r="K281" s="526">
        <f t="shared" si="44"/>
        <v>538</v>
      </c>
      <c r="L281" s="526">
        <f t="shared" si="44"/>
        <v>539</v>
      </c>
      <c r="M281" s="526">
        <f t="shared" si="44"/>
        <v>540</v>
      </c>
      <c r="N281" s="526">
        <f t="shared" si="44"/>
        <v>541</v>
      </c>
      <c r="O281" s="526">
        <f t="shared" si="44"/>
        <v>542</v>
      </c>
      <c r="P281" s="526">
        <f t="shared" si="44"/>
        <v>543</v>
      </c>
      <c r="Q281" s="526">
        <f t="shared" si="44"/>
        <v>544</v>
      </c>
      <c r="R281" s="526">
        <f t="shared" si="44"/>
        <v>545</v>
      </c>
      <c r="S281" s="526">
        <f t="shared" si="44"/>
        <v>546</v>
      </c>
      <c r="T281" s="526">
        <f t="shared" si="45"/>
        <v>547</v>
      </c>
      <c r="U281" s="526">
        <f t="shared" si="45"/>
        <v>548</v>
      </c>
      <c r="V281" s="526">
        <f t="shared" si="45"/>
        <v>549</v>
      </c>
      <c r="W281" s="526">
        <f t="shared" si="45"/>
        <v>550</v>
      </c>
      <c r="X281" s="526">
        <f t="shared" si="45"/>
        <v>551</v>
      </c>
      <c r="Y281" s="526">
        <f t="shared" si="45"/>
        <v>552</v>
      </c>
    </row>
    <row r="282" spans="2:25" s="526" customFormat="1" ht="15.75">
      <c r="B282" s="530" t="s">
        <v>53</v>
      </c>
      <c r="C282" s="526">
        <f t="shared" si="43"/>
        <v>553</v>
      </c>
      <c r="D282" s="526">
        <f t="shared" si="44"/>
        <v>554</v>
      </c>
      <c r="E282" s="526">
        <f t="shared" si="44"/>
        <v>555</v>
      </c>
      <c r="F282" s="526">
        <f t="shared" si="44"/>
        <v>556</v>
      </c>
      <c r="G282" s="526">
        <f t="shared" si="44"/>
        <v>557</v>
      </c>
      <c r="H282" s="526">
        <f t="shared" si="44"/>
        <v>558</v>
      </c>
      <c r="I282" s="526">
        <f t="shared" si="44"/>
        <v>559</v>
      </c>
      <c r="J282" s="526">
        <f t="shared" si="44"/>
        <v>560</v>
      </c>
      <c r="K282" s="526">
        <f t="shared" si="44"/>
        <v>561</v>
      </c>
      <c r="L282" s="526">
        <f t="shared" si="44"/>
        <v>562</v>
      </c>
      <c r="M282" s="526">
        <f t="shared" si="44"/>
        <v>563</v>
      </c>
      <c r="N282" s="526">
        <f t="shared" si="44"/>
        <v>564</v>
      </c>
      <c r="O282" s="526">
        <f t="shared" si="44"/>
        <v>565</v>
      </c>
      <c r="P282" s="526">
        <f t="shared" si="44"/>
        <v>566</v>
      </c>
      <c r="Q282" s="526">
        <f t="shared" si="44"/>
        <v>567</v>
      </c>
      <c r="R282" s="526">
        <f t="shared" si="44"/>
        <v>568</v>
      </c>
      <c r="S282" s="526">
        <f t="shared" si="44"/>
        <v>569</v>
      </c>
      <c r="T282" s="526">
        <f t="shared" si="45"/>
        <v>570</v>
      </c>
      <c r="U282" s="526">
        <f t="shared" si="45"/>
        <v>571</v>
      </c>
      <c r="V282" s="526">
        <f t="shared" si="45"/>
        <v>572</v>
      </c>
      <c r="W282" s="526">
        <f t="shared" si="45"/>
        <v>573</v>
      </c>
      <c r="X282" s="526">
        <f t="shared" si="45"/>
        <v>574</v>
      </c>
      <c r="Y282" s="526">
        <f t="shared" si="45"/>
        <v>575</v>
      </c>
    </row>
    <row r="283" spans="2:25" s="526" customFormat="1" ht="15.75">
      <c r="B283" s="530" t="s">
        <v>54</v>
      </c>
      <c r="C283" s="526">
        <f t="shared" si="43"/>
        <v>576</v>
      </c>
      <c r="D283" s="526">
        <f t="shared" si="44"/>
        <v>577</v>
      </c>
      <c r="E283" s="526">
        <f t="shared" si="44"/>
        <v>578</v>
      </c>
      <c r="F283" s="526">
        <f t="shared" si="44"/>
        <v>579</v>
      </c>
      <c r="G283" s="526">
        <f t="shared" si="44"/>
        <v>580</v>
      </c>
      <c r="H283" s="526">
        <f t="shared" si="44"/>
        <v>581</v>
      </c>
      <c r="I283" s="526">
        <f t="shared" si="44"/>
        <v>582</v>
      </c>
      <c r="J283" s="526">
        <f t="shared" si="44"/>
        <v>583</v>
      </c>
      <c r="K283" s="526">
        <f t="shared" si="44"/>
        <v>584</v>
      </c>
      <c r="L283" s="526">
        <f t="shared" si="44"/>
        <v>585</v>
      </c>
      <c r="M283" s="526">
        <f t="shared" si="44"/>
        <v>586</v>
      </c>
      <c r="N283" s="526">
        <f t="shared" si="44"/>
        <v>587</v>
      </c>
      <c r="O283" s="526">
        <f t="shared" si="44"/>
        <v>588</v>
      </c>
      <c r="P283" s="526">
        <f t="shared" si="44"/>
        <v>589</v>
      </c>
      <c r="Q283" s="526">
        <f t="shared" si="44"/>
        <v>590</v>
      </c>
      <c r="R283" s="526">
        <f t="shared" si="44"/>
        <v>591</v>
      </c>
      <c r="S283" s="526">
        <f t="shared" si="44"/>
        <v>592</v>
      </c>
      <c r="T283" s="526">
        <f t="shared" si="45"/>
        <v>593</v>
      </c>
      <c r="U283" s="526">
        <f t="shared" si="45"/>
        <v>594</v>
      </c>
      <c r="V283" s="526">
        <f t="shared" si="45"/>
        <v>595</v>
      </c>
      <c r="W283" s="526">
        <f t="shared" si="45"/>
        <v>596</v>
      </c>
      <c r="X283" s="526">
        <f t="shared" si="45"/>
        <v>597</v>
      </c>
      <c r="Y283" s="526">
        <f t="shared" si="45"/>
        <v>598</v>
      </c>
    </row>
    <row r="284" spans="2:25" s="526" customFormat="1" ht="15.75">
      <c r="B284" s="530" t="s">
        <v>55</v>
      </c>
      <c r="C284" s="526">
        <f t="shared" si="43"/>
        <v>599</v>
      </c>
      <c r="D284" s="526">
        <f t="shared" si="44"/>
        <v>600</v>
      </c>
      <c r="E284" s="526">
        <f t="shared" si="44"/>
        <v>601</v>
      </c>
      <c r="F284" s="526">
        <f t="shared" si="44"/>
        <v>602</v>
      </c>
      <c r="G284" s="526">
        <f t="shared" si="44"/>
        <v>603</v>
      </c>
      <c r="H284" s="526">
        <f t="shared" si="44"/>
        <v>604</v>
      </c>
      <c r="I284" s="526">
        <f t="shared" si="44"/>
        <v>605</v>
      </c>
      <c r="J284" s="526">
        <f t="shared" si="44"/>
        <v>606</v>
      </c>
      <c r="K284" s="526">
        <f t="shared" si="44"/>
        <v>607</v>
      </c>
      <c r="L284" s="526">
        <f t="shared" si="44"/>
        <v>608</v>
      </c>
      <c r="M284" s="526">
        <f t="shared" si="44"/>
        <v>609</v>
      </c>
      <c r="N284" s="526">
        <f t="shared" si="44"/>
        <v>610</v>
      </c>
      <c r="O284" s="526">
        <f t="shared" si="44"/>
        <v>611</v>
      </c>
      <c r="P284" s="526">
        <f t="shared" si="44"/>
        <v>612</v>
      </c>
      <c r="Q284" s="526">
        <f t="shared" si="44"/>
        <v>613</v>
      </c>
      <c r="R284" s="526">
        <f t="shared" si="44"/>
        <v>614</v>
      </c>
      <c r="S284" s="526">
        <f t="shared" si="44"/>
        <v>615</v>
      </c>
      <c r="T284" s="526">
        <f t="shared" si="45"/>
        <v>616</v>
      </c>
      <c r="U284" s="526">
        <f t="shared" si="45"/>
        <v>617</v>
      </c>
      <c r="V284" s="526">
        <f t="shared" si="45"/>
        <v>618</v>
      </c>
      <c r="W284" s="526">
        <f t="shared" si="45"/>
        <v>619</v>
      </c>
      <c r="X284" s="526">
        <f t="shared" si="45"/>
        <v>620</v>
      </c>
      <c r="Y284" s="526">
        <f t="shared" si="45"/>
        <v>621</v>
      </c>
    </row>
    <row r="285" spans="2:25" s="526" customFormat="1" ht="15.75">
      <c r="B285" s="530" t="s">
        <v>214</v>
      </c>
      <c r="C285" s="526">
        <f t="shared" si="43"/>
        <v>622</v>
      </c>
      <c r="D285" s="526">
        <f t="shared" si="44"/>
        <v>623</v>
      </c>
      <c r="E285" s="526">
        <f t="shared" si="44"/>
        <v>624</v>
      </c>
      <c r="F285" s="526">
        <f t="shared" si="44"/>
        <v>625</v>
      </c>
      <c r="G285" s="526">
        <f t="shared" si="44"/>
        <v>626</v>
      </c>
      <c r="H285" s="526">
        <f t="shared" si="44"/>
        <v>627</v>
      </c>
      <c r="I285" s="526">
        <f t="shared" si="44"/>
        <v>628</v>
      </c>
      <c r="J285" s="526">
        <f t="shared" si="44"/>
        <v>629</v>
      </c>
      <c r="K285" s="526">
        <f t="shared" si="44"/>
        <v>630</v>
      </c>
      <c r="L285" s="526">
        <f t="shared" si="44"/>
        <v>631</v>
      </c>
      <c r="M285" s="526">
        <f t="shared" si="44"/>
        <v>632</v>
      </c>
      <c r="N285" s="526">
        <f t="shared" si="44"/>
        <v>633</v>
      </c>
      <c r="O285" s="526">
        <f t="shared" si="44"/>
        <v>634</v>
      </c>
      <c r="P285" s="526">
        <f t="shared" si="44"/>
        <v>635</v>
      </c>
      <c r="Q285" s="526">
        <f t="shared" si="44"/>
        <v>636</v>
      </c>
      <c r="R285" s="526">
        <f t="shared" si="44"/>
        <v>637</v>
      </c>
      <c r="S285" s="526">
        <f t="shared" si="44"/>
        <v>638</v>
      </c>
      <c r="T285" s="526">
        <f t="shared" si="45"/>
        <v>639</v>
      </c>
      <c r="U285" s="526">
        <f t="shared" si="45"/>
        <v>640</v>
      </c>
      <c r="V285" s="526">
        <f t="shared" si="45"/>
        <v>641</v>
      </c>
      <c r="W285" s="526">
        <f t="shared" si="45"/>
        <v>642</v>
      </c>
      <c r="X285" s="526">
        <f t="shared" si="45"/>
        <v>643</v>
      </c>
      <c r="Y285" s="526">
        <f t="shared" si="45"/>
        <v>644</v>
      </c>
    </row>
    <row r="286" spans="2:25" s="526" customFormat="1" ht="15.75">
      <c r="B286" s="530" t="s">
        <v>57</v>
      </c>
      <c r="C286" s="526">
        <f t="shared" si="43"/>
        <v>645</v>
      </c>
      <c r="D286" s="526">
        <f t="shared" si="44"/>
        <v>646</v>
      </c>
      <c r="E286" s="526">
        <f t="shared" si="44"/>
        <v>647</v>
      </c>
      <c r="F286" s="526">
        <f t="shared" si="44"/>
        <v>648</v>
      </c>
      <c r="G286" s="526">
        <f t="shared" si="44"/>
        <v>649</v>
      </c>
      <c r="H286" s="526">
        <f t="shared" si="44"/>
        <v>650</v>
      </c>
      <c r="I286" s="526">
        <f t="shared" si="44"/>
        <v>651</v>
      </c>
      <c r="J286" s="526">
        <f t="shared" si="44"/>
        <v>652</v>
      </c>
      <c r="K286" s="526">
        <f t="shared" si="44"/>
        <v>653</v>
      </c>
      <c r="L286" s="526">
        <f t="shared" si="44"/>
        <v>654</v>
      </c>
      <c r="M286" s="526">
        <f t="shared" si="44"/>
        <v>655</v>
      </c>
      <c r="N286" s="526">
        <f t="shared" si="44"/>
        <v>656</v>
      </c>
      <c r="O286" s="526">
        <f t="shared" si="44"/>
        <v>657</v>
      </c>
      <c r="P286" s="526">
        <f t="shared" si="44"/>
        <v>658</v>
      </c>
      <c r="Q286" s="526">
        <f t="shared" si="44"/>
        <v>659</v>
      </c>
      <c r="R286" s="526">
        <f t="shared" si="44"/>
        <v>660</v>
      </c>
      <c r="S286" s="526">
        <f t="shared" si="45"/>
        <v>661</v>
      </c>
      <c r="T286" s="526">
        <f t="shared" si="45"/>
        <v>662</v>
      </c>
      <c r="U286" s="526">
        <f t="shared" si="45"/>
        <v>663</v>
      </c>
      <c r="V286" s="526">
        <f t="shared" si="45"/>
        <v>664</v>
      </c>
      <c r="W286" s="526">
        <f t="shared" si="45"/>
        <v>665</v>
      </c>
      <c r="X286" s="526">
        <f t="shared" si="45"/>
        <v>666</v>
      </c>
      <c r="Y286" s="526">
        <f t="shared" si="45"/>
        <v>667</v>
      </c>
    </row>
  </sheetData>
  <sheetProtection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53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Vector</v>
      </c>
      <c r="C6" s="108"/>
      <c r="D6" s="109">
        <f>VLOOKUP($B$6,$B$258:$J$286,9,FALSE)</f>
        <v>560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576.80600000000004</v>
      </c>
      <c r="E7" s="407">
        <f>D7/('Industry calcs'!D4/1000)*100</f>
        <v>27.982024118564151</v>
      </c>
    </row>
    <row r="8" spans="2:5">
      <c r="B8" s="111" t="s">
        <v>250</v>
      </c>
      <c r="C8" s="114"/>
      <c r="D8" s="406">
        <f>VLOOKUP(D6,'AV (2011)'!A8:F214,'AV (2011)'!F214,FALSE)/1000</f>
        <v>2328.2706000000003</v>
      </c>
      <c r="E8" s="407">
        <f>D8/('Industry calcs'!D5/1000)*100</f>
        <v>25.941326300093216</v>
      </c>
    </row>
    <row r="9" spans="2:5">
      <c r="B9" s="111" t="s">
        <v>230</v>
      </c>
      <c r="C9" s="114"/>
      <c r="D9" s="406">
        <f>VLOOKUP($D$6,'FS (2011)'!$A$13:$AH$244,'FS (2011)'!S245,FALSE)/1000</f>
        <v>92.14</v>
      </c>
      <c r="E9" s="407">
        <f>D9/('Industry calcs'!D6/1000)*100</f>
        <v>20.294820727586487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149.63200000000001</v>
      </c>
      <c r="E10" s="407">
        <f>D10/('Industry calcs'!D7/1000)*100</f>
        <v>25.570771075009858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8289</v>
      </c>
      <c r="E11" s="407">
        <f>D11/'Industry calcs'!D8*100</f>
        <v>26.785586086992343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1722</v>
      </c>
      <c r="E12" s="407">
        <f>D12/'Industry calcs'!D9*100</f>
        <v>27.537690534792027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17719.784</v>
      </c>
      <c r="E13" s="407">
        <f>D13/'Industry calcs'!D10*100</f>
        <v>11.847166837223288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531185</v>
      </c>
      <c r="E14" s="407">
        <f>D14/'Industry calcs'!D11*100</f>
        <v>26.444546778348908</v>
      </c>
    </row>
    <row r="15" spans="2:5">
      <c r="B15" s="115" t="s">
        <v>195</v>
      </c>
      <c r="C15" s="116" t="s">
        <v>239</v>
      </c>
      <c r="D15" s="408">
        <f>D14/D13</f>
        <v>29.976945542902779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Vector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23.037177526908799</v>
      </c>
      <c r="D20" s="409">
        <f>VLOOKUP($B$2,'MED price allocation'!$B$16:$F$44,3,FALSE)</f>
        <v>24.08795203904883</v>
      </c>
      <c r="E20" s="409">
        <f>VLOOKUP($B$2,'MED price allocation'!$B$16:$F$44,4,FALSE)</f>
        <v>23.910191324410366</v>
      </c>
      <c r="F20" s="503">
        <f>VLOOKUP($B$2,'MED price allocation'!$B$16:$F$44,5,FALSE)</f>
        <v>25.240894047165213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6.5146651037307519</v>
      </c>
      <c r="D21" s="410">
        <f>VLOOKUP($B$2,'MED price allocation'!$B$47:$F$75,3,FALSE)</f>
        <v>7.3958205071405043</v>
      </c>
      <c r="E21" s="410">
        <f>VLOOKUP($B$2,'MED price allocation'!$B$47:$F$75,4,FALSE)</f>
        <v>7.5348109179237568</v>
      </c>
      <c r="F21" s="504">
        <f>VLOOKUP($B$2,'MED price allocation'!$B$47:$F$75,5,FALSE)</f>
        <v>7.8135537790146579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8.5749160316802726</v>
      </c>
      <c r="D22" s="409">
        <f>VLOOKUP($B$2,'MED price allocation'!$B$78:$F$106,3,FALSE)</f>
        <v>9.6016703013368314</v>
      </c>
      <c r="E22" s="409">
        <f>VLOOKUP($B$2,'MED price allocation'!$B$78:$F$106,4,FALSE)</f>
        <v>9.9159936613735269</v>
      </c>
      <c r="F22" s="503">
        <f>VLOOKUP($B$2,'MED price allocation'!$B$78:$F$106,5,FALSE)</f>
        <v>10.280173917329552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2.0602509279495211</v>
      </c>
      <c r="D23" s="411">
        <f>VLOOKUP($B$2,'MED price allocation'!$B$109:$F$137,3,FALSE)</f>
        <v>2.2058497941963271</v>
      </c>
      <c r="E23" s="411">
        <f>VLOOKUP($B$2,'MED price allocation'!$B$109:$F$137,4,FALSE)</f>
        <v>2.3811827434497701</v>
      </c>
      <c r="F23" s="505">
        <f>VLOOKUP($B$2,'MED price allocation'!$B$109:$F$137,5,FALSE)</f>
        <v>2.466620138314894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Vector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1842.974202152704</v>
      </c>
      <c r="D26" s="412">
        <f>(D20*8000)/100</f>
        <v>1927.0361631239064</v>
      </c>
      <c r="E26" s="412">
        <f>(E20*8000)/100</f>
        <v>1912.8153059528295</v>
      </c>
      <c r="F26" s="506">
        <f>(F20*8000)/100</f>
        <v>2019.271523773217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685.99328253442172</v>
      </c>
      <c r="D27" s="412">
        <f>(D22*8000)/100</f>
        <v>768.13362410694651</v>
      </c>
      <c r="E27" s="412">
        <f>(E22*8000)/100</f>
        <v>793.27949290988215</v>
      </c>
      <c r="F27" s="506">
        <f>(F22*8000)/100</f>
        <v>822.41391338636413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521.17320829846017</v>
      </c>
      <c r="D28" s="412">
        <f>(D21*8000)/100</f>
        <v>591.66564057124037</v>
      </c>
      <c r="E28" s="412">
        <f>(E21*8000)/100</f>
        <v>602.78487343390054</v>
      </c>
      <c r="F28" s="506">
        <f>(F21*8000)/100</f>
        <v>625.08430232117269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164.8200742359617</v>
      </c>
      <c r="D29" s="413">
        <f>(D23*8000)/100</f>
        <v>176.46798353570614</v>
      </c>
      <c r="E29" s="413">
        <f>(E23*8000)/100</f>
        <v>190.49461947598161</v>
      </c>
      <c r="F29" s="507">
        <f>(F23*8000)/100</f>
        <v>197.32961106519153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Vector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1925.5242987506642</v>
      </c>
      <c r="D32" s="122"/>
    </row>
    <row r="33" spans="2:13">
      <c r="B33" s="120" t="s">
        <v>241</v>
      </c>
      <c r="C33" s="412">
        <f>AVERAGE(C27:F27)</f>
        <v>767.45507823440369</v>
      </c>
      <c r="D33" s="414">
        <f>C33/$C$32</f>
        <v>0.39856940716476585</v>
      </c>
    </row>
    <row r="34" spans="2:13">
      <c r="B34" s="120" t="s">
        <v>222</v>
      </c>
      <c r="C34" s="412">
        <f>AVERAGE(C28:F28)</f>
        <v>585.17700615619344</v>
      </c>
      <c r="D34" s="414">
        <f>C34/$C$32</f>
        <v>0.30390528259543292</v>
      </c>
    </row>
    <row r="35" spans="2:13">
      <c r="B35" s="124" t="s">
        <v>223</v>
      </c>
      <c r="C35" s="413">
        <f>AVERAGE(C29:F29)</f>
        <v>182.27807207821024</v>
      </c>
      <c r="D35" s="415">
        <f>C35/$C$32</f>
        <v>9.4664124569332889E-2</v>
      </c>
    </row>
    <row r="38" spans="2:13">
      <c r="B38" s="517" t="s">
        <v>227</v>
      </c>
      <c r="C38" s="518">
        <f>VLOOKUP($B$2,$B$258:$J$286,6,FALSE)</f>
        <v>557</v>
      </c>
      <c r="D38" s="518">
        <f>VLOOKUP($B$2,$B$258:$J$286,7,FALSE)</f>
        <v>558</v>
      </c>
      <c r="E38" s="518">
        <f>VLOOKUP($B$2,$B$258:$J$286,8,FALSE)</f>
        <v>559</v>
      </c>
      <c r="F38" s="519">
        <f>VLOOKUP($B$2,$B$258:$J$286,9,FALSE)</f>
        <v>560</v>
      </c>
    </row>
    <row r="39" spans="2:13">
      <c r="B39" s="137" t="str">
        <f>B2</f>
        <v>Vector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646015.09869122633</v>
      </c>
      <c r="D40" s="418">
        <f>VLOOKUP($D$38,'FS (2011)'!$A$13:$AH$244,'FS (2011)'!E245,FALSE)</f>
        <v>557350.65702793584</v>
      </c>
      <c r="E40" s="418">
        <f>VLOOKUP($E$38,'FS (2011)'!$A$13:$AH$244,'FS (2011)'!E245,FALSE)</f>
        <v>542376.16177413706</v>
      </c>
      <c r="F40" s="419">
        <f>VLOOKUP($F$38,'FS (2011)'!$A$13:$AH$244,'FS (2011)'!E245,FALSE)</f>
        <v>538136</v>
      </c>
    </row>
    <row r="41" spans="2:13" ht="30">
      <c r="B41" s="120" t="s">
        <v>198</v>
      </c>
      <c r="C41" s="417">
        <f>VLOOKUP($C$38,'FS (2011)'!$A$13:$AH$244,'FS (2011)'!$F$245,FALSE)</f>
        <v>26407.270096946191</v>
      </c>
      <c r="D41" s="418">
        <f>VLOOKUP($D$38,'FS (2011)'!$A$13:$AH$244,'FS (2011)'!$F$245,FALSE)</f>
        <v>20948.748713020792</v>
      </c>
      <c r="E41" s="418">
        <f>VLOOKUP($E$38,'FS (2011)'!$A$13:$AH$244,'FS (2011)'!$F$245,FALSE)</f>
        <v>20744.087528765052</v>
      </c>
      <c r="F41" s="419">
        <f>VLOOKUP($F$38,'FS (2011)'!$A$13:$AH$244,'FS (2011)'!$F$245,FALSE)</f>
        <v>24683</v>
      </c>
    </row>
    <row r="42" spans="2:13">
      <c r="B42" s="120" t="s">
        <v>13</v>
      </c>
      <c r="C42" s="417">
        <f>VLOOKUP($C$38,'FS (2011)'!$A$13:$AH$244,'FS (2011)'!$H$245,FALSE)</f>
        <v>11236.121605885204</v>
      </c>
      <c r="D42" s="418">
        <f>VLOOKUP($D$38,'FS (2011)'!$A$13:$AH$244,'FS (2011)'!$H$245,FALSE)</f>
        <v>14919.495366874868</v>
      </c>
      <c r="E42" s="418">
        <f>VLOOKUP($E$38,'FS (2011)'!$A$13:$AH$244,'FS (2011)'!$H$245,FALSE)</f>
        <v>16623.388453288779</v>
      </c>
      <c r="F42" s="419">
        <f>VLOOKUP($F$38,'FS (2011)'!$A$13:$AH$244,'FS (2011)'!$H$245,FALSE)</f>
        <v>13987</v>
      </c>
    </row>
    <row r="43" spans="2:13">
      <c r="B43" s="124" t="s">
        <v>5</v>
      </c>
      <c r="C43" s="420">
        <f>SUM(C40:C42)</f>
        <v>683658.49039405771</v>
      </c>
      <c r="D43" s="420">
        <f>SUM(D40:D42)</f>
        <v>593218.90110783151</v>
      </c>
      <c r="E43" s="420">
        <f>SUM(E40:E42)</f>
        <v>579743.63775619096</v>
      </c>
      <c r="F43" s="421">
        <f>SUM(F40:F42)</f>
        <v>576806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Vector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 t="shared" ref="C46:F49" si="0">IF(ISERROR(C40/$E40),"",(C40/$E40))*100</f>
        <v>119.10831342182917</v>
      </c>
      <c r="D46" s="422">
        <f t="shared" si="0"/>
        <v>102.7609058637121</v>
      </c>
      <c r="E46" s="422">
        <f t="shared" si="0"/>
        <v>100</v>
      </c>
      <c r="F46" s="423">
        <f t="shared" si="0"/>
        <v>99.218224901281189</v>
      </c>
    </row>
    <row r="47" spans="2:13" ht="30">
      <c r="B47" s="120" t="s">
        <v>198</v>
      </c>
      <c r="C47" s="422">
        <f t="shared" si="0"/>
        <v>127.30022499340217</v>
      </c>
      <c r="D47" s="422">
        <f t="shared" si="0"/>
        <v>100.98660008049013</v>
      </c>
      <c r="E47" s="422">
        <f t="shared" si="0"/>
        <v>100</v>
      </c>
      <c r="F47" s="423">
        <f t="shared" si="0"/>
        <v>118.9881211490889</v>
      </c>
      <c r="G47" s="141"/>
    </row>
    <row r="48" spans="2:13">
      <c r="B48" s="120" t="s">
        <v>13</v>
      </c>
      <c r="C48" s="422">
        <f t="shared" si="0"/>
        <v>67.592245933844168</v>
      </c>
      <c r="D48" s="422">
        <f t="shared" si="0"/>
        <v>89.750025446365527</v>
      </c>
      <c r="E48" s="422">
        <f t="shared" si="0"/>
        <v>100</v>
      </c>
      <c r="F48" s="423">
        <f t="shared" si="0"/>
        <v>84.140486996998533</v>
      </c>
      <c r="G48" s="141"/>
      <c r="H48" s="141"/>
    </row>
    <row r="49" spans="2:23">
      <c r="B49" s="124" t="s">
        <v>5</v>
      </c>
      <c r="C49" s="424">
        <f t="shared" si="0"/>
        <v>117.92427650263716</v>
      </c>
      <c r="D49" s="424">
        <f t="shared" si="0"/>
        <v>102.32434863861455</v>
      </c>
      <c r="E49" s="424">
        <f t="shared" si="0"/>
        <v>100</v>
      </c>
      <c r="F49" s="416">
        <f t="shared" si="0"/>
        <v>99.49328676247994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Vector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377077.57430355565</v>
      </c>
      <c r="D54" s="426">
        <f>VLOOKUP($D$38,'MP (2011)'!$A$14:$AR$245,'MP (2011)'!$Z$246,FALSE)</f>
        <v>319362.53222595912</v>
      </c>
      <c r="E54" s="426">
        <f>VLOOKUP($E$38,'MP (2011)'!$A$14:$AR$245,'MP (2011)'!$Z$246,FALSE)</f>
        <v>341872.75058338494</v>
      </c>
      <c r="F54" s="427">
        <f>VLOOKUP($F$38,'MP (2011)'!$A$14:$AR$245,'MP (2011)'!$Z$246,FALSE)</f>
        <v>335766</v>
      </c>
    </row>
    <row r="55" spans="2:23">
      <c r="B55" s="111" t="s">
        <v>180</v>
      </c>
      <c r="C55" s="425">
        <f>VLOOKUP($C$38,'MP (2011)'!$A$14:$AR$245,'MP (2011)'!$AD$246,FALSE)</f>
        <v>92846.046685865818</v>
      </c>
      <c r="D55" s="426">
        <f>VLOOKUP($D$38,'MP (2011)'!$A$14:$AR$245,'MP (2011)'!$AD$246,FALSE)</f>
        <v>64996.140023337204</v>
      </c>
      <c r="E55" s="426">
        <f>VLOOKUP($E$38,'MP (2011)'!$A$14:$AR$245,'MP (2011)'!$AD$246,FALSE)</f>
        <v>66269.037134542319</v>
      </c>
      <c r="F55" s="427">
        <f>VLOOKUP($F$38,'MP (2011)'!$A$14:$AR$245,'MP (2011)'!$AD$246,FALSE)</f>
        <v>67061</v>
      </c>
      <c r="J55" s="139"/>
    </row>
    <row r="56" spans="2:23">
      <c r="B56" s="111" t="s">
        <v>184</v>
      </c>
      <c r="C56" s="425">
        <f>VLOOKUP($C$38,'MP (2011)'!$A$14:$AR$245,'MP (2011)'!$AH$246,FALSE)</f>
        <v>162780.45377947591</v>
      </c>
      <c r="D56" s="426">
        <f>VLOOKUP($D$38,'MP (2011)'!$A$14:$AR$245,'MP (2011)'!$AH$246,FALSE)</f>
        <v>114918.1085867252</v>
      </c>
      <c r="E56" s="426">
        <f>VLOOKUP($E$38,'MP (2011)'!$A$14:$AR$245,'MP (2011)'!$AH$246,FALSE)</f>
        <v>123033.80724313544</v>
      </c>
      <c r="F56" s="427">
        <f>VLOOKUP($F$38,'MP (2011)'!$A$14:$AR$245,'MP (2011)'!$AH$246,FALSE)</f>
        <v>124576</v>
      </c>
    </row>
    <row r="57" spans="2:23">
      <c r="B57" s="111" t="s">
        <v>181</v>
      </c>
      <c r="C57" s="425">
        <f>VLOOKUP($C$38,'MP (2011)'!$A$14:$AR$245,'MP (2011)'!$AL$246,FALSE)</f>
        <v>13311.01853183542</v>
      </c>
      <c r="D57" s="426">
        <f>VLOOKUP($D$38,'MP (2011)'!$A$14:$AR$245,'MP (2011)'!$AL$246,FALSE)</f>
        <v>9683.3462832040605</v>
      </c>
      <c r="E57" s="426">
        <f>VLOOKUP($E$38,'MP (2011)'!$A$14:$AR$245,'MP (2011)'!$AL$246,FALSE)</f>
        <v>11200.568850745061</v>
      </c>
      <c r="F57" s="427">
        <f>VLOOKUP($F$38,'MP (2011)'!$A$14:$AR$245,'MP (2011)'!$AL$246,FALSE)</f>
        <v>10733</v>
      </c>
      <c r="W57" s="139"/>
    </row>
    <row r="58" spans="2:23">
      <c r="B58" s="147" t="s">
        <v>248</v>
      </c>
      <c r="C58" s="428">
        <f>SUM(C54:C57)</f>
        <v>646015.09330073278</v>
      </c>
      <c r="D58" s="428">
        <f>SUM(D54:D57)</f>
        <v>508960.12711922557</v>
      </c>
      <c r="E58" s="428">
        <f>SUM(E54:E57)</f>
        <v>542376.16381180775</v>
      </c>
      <c r="F58" s="429">
        <f>SUM(F54:F57)</f>
        <v>538136</v>
      </c>
    </row>
    <row r="59" spans="2:23">
      <c r="B59" s="103" t="s">
        <v>302</v>
      </c>
    </row>
    <row r="60" spans="2:23">
      <c r="B60" s="137" t="str">
        <f>$B$2</f>
        <v>Vector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IF(ISERROR(C54/$E54),"",(C54/$E54)*100)</f>
        <v>110.29763959253722</v>
      </c>
      <c r="D61" s="422">
        <f t="shared" si="1"/>
        <v>93.415614927187534</v>
      </c>
      <c r="E61" s="422">
        <f t="shared" si="1"/>
        <v>100</v>
      </c>
      <c r="F61" s="423">
        <f t="shared" si="1"/>
        <v>98.213735791178408</v>
      </c>
      <c r="G61" s="141"/>
    </row>
    <row r="62" spans="2:23">
      <c r="B62" s="111" t="s">
        <v>180</v>
      </c>
      <c r="C62" s="422">
        <f t="shared" si="1"/>
        <v>140.10471662258453</v>
      </c>
      <c r="D62" s="422">
        <f t="shared" si="1"/>
        <v>98.079197818098933</v>
      </c>
      <c r="E62" s="422">
        <f t="shared" si="1"/>
        <v>100</v>
      </c>
      <c r="F62" s="423">
        <f t="shared" si="1"/>
        <v>101.19507223841173</v>
      </c>
      <c r="G62" s="141"/>
    </row>
    <row r="63" spans="2:23">
      <c r="B63" s="111" t="s">
        <v>184</v>
      </c>
      <c r="C63" s="422">
        <f t="shared" si="1"/>
        <v>132.305467437738</v>
      </c>
      <c r="D63" s="422">
        <f t="shared" si="1"/>
        <v>93.403684045660512</v>
      </c>
      <c r="E63" s="422">
        <f t="shared" si="1"/>
        <v>100</v>
      </c>
      <c r="F63" s="423">
        <f t="shared" si="1"/>
        <v>101.25347072599074</v>
      </c>
      <c r="G63" s="141"/>
    </row>
    <row r="64" spans="2:23">
      <c r="B64" s="111" t="s">
        <v>181</v>
      </c>
      <c r="C64" s="422">
        <f t="shared" si="1"/>
        <v>118.84234371676553</v>
      </c>
      <c r="D64" s="422">
        <f t="shared" si="1"/>
        <v>86.45405793438718</v>
      </c>
      <c r="E64" s="422">
        <f t="shared" si="1"/>
        <v>100</v>
      </c>
      <c r="F64" s="423">
        <f t="shared" si="1"/>
        <v>95.825490142726466</v>
      </c>
      <c r="G64" s="141"/>
    </row>
    <row r="65" spans="2:40">
      <c r="B65" s="115" t="s">
        <v>248</v>
      </c>
      <c r="C65" s="424">
        <f t="shared" si="1"/>
        <v>119.10831198048102</v>
      </c>
      <c r="D65" s="424">
        <f t="shared" si="1"/>
        <v>93.838955521618985</v>
      </c>
      <c r="E65" s="424">
        <f t="shared" si="1"/>
        <v>100</v>
      </c>
      <c r="F65" s="416">
        <f t="shared" si="1"/>
        <v>99.218224528524999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Vector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596.67666351282537</v>
      </c>
      <c r="D70" s="433">
        <f>(D54/D98)*1000</f>
        <v>656.55850660841611</v>
      </c>
      <c r="E70" s="433">
        <f>(E54/E98)*1000</f>
        <v>696.51613849642456</v>
      </c>
      <c r="F70" s="434">
        <f>(F54/F98)*1000</f>
        <v>694.3052109181142</v>
      </c>
    </row>
    <row r="71" spans="2:40">
      <c r="B71" s="111" t="s">
        <v>180</v>
      </c>
      <c r="C71" s="433">
        <f>(C55/C99)*1000</f>
        <v>2255.7348015094999</v>
      </c>
      <c r="D71" s="433">
        <f t="shared" ref="C71:F73" si="2">(D55/D99)*1000</f>
        <v>2151.9050464619654</v>
      </c>
      <c r="E71" s="433">
        <f t="shared" si="2"/>
        <v>2162.0394685286656</v>
      </c>
      <c r="F71" s="434">
        <f t="shared" si="2"/>
        <v>1611.2299079791453</v>
      </c>
    </row>
    <row r="72" spans="2:40">
      <c r="B72" s="111" t="s">
        <v>184</v>
      </c>
      <c r="C72" s="433">
        <f>(C56/C100)*1000</f>
        <v>25143.730554534475</v>
      </c>
      <c r="D72" s="433">
        <f t="shared" si="2"/>
        <v>20841.15135776663</v>
      </c>
      <c r="E72" s="433">
        <f t="shared" si="2"/>
        <v>21961.125716268867</v>
      </c>
      <c r="F72" s="434">
        <f t="shared" si="2"/>
        <v>20923.076923076922</v>
      </c>
    </row>
    <row r="73" spans="2:40">
      <c r="B73" s="115" t="s">
        <v>181</v>
      </c>
      <c r="C73" s="435">
        <f t="shared" si="2"/>
        <v>887401.23545569461</v>
      </c>
      <c r="D73" s="435">
        <f t="shared" si="2"/>
        <v>968334.62832040607</v>
      </c>
      <c r="E73" s="435">
        <f t="shared" si="2"/>
        <v>1120056.8850745063</v>
      </c>
      <c r="F73" s="436">
        <f t="shared" si="2"/>
        <v>1073300</v>
      </c>
    </row>
    <row r="74" spans="2:40">
      <c r="B74" s="103" t="s">
        <v>303</v>
      </c>
    </row>
    <row r="75" spans="2:40">
      <c r="B75" s="137" t="str">
        <f>$B$2</f>
        <v>Vector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IF(ISERROR(C70/$E70),"",(C70/$E70)*100)</f>
        <v>85.665877721207792</v>
      </c>
      <c r="D76" s="422">
        <f t="shared" si="3"/>
        <v>94.263215210739361</v>
      </c>
      <c r="E76" s="422">
        <f t="shared" si="3"/>
        <v>100</v>
      </c>
      <c r="F76" s="423">
        <f t="shared" si="3"/>
        <v>99.682573388308967</v>
      </c>
      <c r="AN76" s="139"/>
    </row>
    <row r="77" spans="2:40">
      <c r="B77" s="111" t="s">
        <v>180</v>
      </c>
      <c r="C77" s="422">
        <f t="shared" si="3"/>
        <v>104.3336550671111</v>
      </c>
      <c r="D77" s="422">
        <f t="shared" si="3"/>
        <v>99.531256380180849</v>
      </c>
      <c r="E77" s="422">
        <f t="shared" si="3"/>
        <v>100</v>
      </c>
      <c r="F77" s="423">
        <f t="shared" si="3"/>
        <v>74.5236121464349</v>
      </c>
      <c r="I77" s="139" t="s">
        <v>190</v>
      </c>
      <c r="AN77" s="139"/>
    </row>
    <row r="78" spans="2:40">
      <c r="B78" s="111" t="s">
        <v>184</v>
      </c>
      <c r="C78" s="422">
        <f t="shared" si="3"/>
        <v>114.49199316730802</v>
      </c>
      <c r="D78" s="422">
        <f t="shared" si="3"/>
        <v>94.900196041988153</v>
      </c>
      <c r="E78" s="422">
        <f t="shared" si="3"/>
        <v>100</v>
      </c>
      <c r="F78" s="423">
        <f t="shared" si="3"/>
        <v>95.27324415604545</v>
      </c>
      <c r="G78" s="141"/>
      <c r="AN78" s="139"/>
    </row>
    <row r="79" spans="2:40">
      <c r="B79" s="115" t="s">
        <v>181</v>
      </c>
      <c r="C79" s="424">
        <f t="shared" si="3"/>
        <v>79.228229144510337</v>
      </c>
      <c r="D79" s="424">
        <f t="shared" si="3"/>
        <v>86.45405793438718</v>
      </c>
      <c r="E79" s="424">
        <f t="shared" si="3"/>
        <v>100</v>
      </c>
      <c r="F79" s="416">
        <f t="shared" si="3"/>
        <v>95.825490142726451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Vector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7.8893006561889925</v>
      </c>
      <c r="D84" s="437">
        <f>(D54/VLOOKUP($D$38,'MP (2011)'!$A$14:$AR$245,'MP (2011)'!$AA$246,FALSE)*100)</f>
        <v>8.8003799494775539</v>
      </c>
      <c r="E84" s="437">
        <f>(E54/VLOOKUP($E$38,'MP (2011)'!$A$14:$AR$245,'MP (2011)'!$AA$246,FALSE)*100)</f>
        <v>9.1273867344494324</v>
      </c>
      <c r="F84" s="438">
        <f>(F54/VLOOKUP($F$38,'MP (2011)'!$A$14:$AR$245,'MP (2011)'!$AA$246,FALSE)*100)</f>
        <v>9.2253088098805982</v>
      </c>
    </row>
    <row r="85" spans="2:7">
      <c r="B85" s="111" t="s">
        <v>180</v>
      </c>
      <c r="C85" s="430">
        <f>(C55/VLOOKUP($C$38,'MP (2011)'!$A$14:$AR$245,'MP (2011)'!$AE$246,FALSE)*100)</f>
        <v>6.8335452437762827</v>
      </c>
      <c r="D85" s="437">
        <f>(D55/VLOOKUP($D$38,'MP (2011)'!$A$14:$AR$245,'MP (2011)'!$AE$246,FALSE)*100)</f>
        <v>6.7713199881794068</v>
      </c>
      <c r="E85" s="437">
        <f>(E55/VLOOKUP($E$38,'MP (2011)'!$A$14:$AR$245,'MP (2011)'!$AE$246,FALSE)*100)</f>
        <v>7.0335704804879704</v>
      </c>
      <c r="F85" s="438">
        <f>(F55/VLOOKUP($F$38,'MP (2011)'!$A$14:$AR$245,'MP (2011)'!$AE$246,FALSE)*100)</f>
        <v>7.063498918266446</v>
      </c>
    </row>
    <row r="86" spans="2:7">
      <c r="B86" s="111" t="s">
        <v>184</v>
      </c>
      <c r="C86" s="430">
        <f>(C56/VLOOKUP($C$38,'MP (2011)'!$A$14:$AR$245,'MP (2011)'!$AI$246,FALSE)*100)</f>
        <v>4.1434865639200238</v>
      </c>
      <c r="D86" s="437">
        <f>(D56/VLOOKUP($D$38,'MP (2011)'!$A$14:$AR$245,'MP (2011)'!$AI$246,FALSE)*100)</f>
        <v>3.625012257699499</v>
      </c>
      <c r="E86" s="437">
        <f>(E56/VLOOKUP($E$38,'MP (2011)'!$A$14:$AR$245,'MP (2011)'!$AI$246,FALSE)*100)</f>
        <v>3.8776522509159994</v>
      </c>
      <c r="F86" s="438">
        <f>(F56/VLOOKUP($F$38,'MP (2011)'!$A$14:$AR$245,'MP (2011)'!$AI$246,FALSE)*100)</f>
        <v>3.9005939688831694</v>
      </c>
    </row>
    <row r="87" spans="2:7">
      <c r="B87" s="115" t="s">
        <v>181</v>
      </c>
      <c r="C87" s="431">
        <f>(C57/VLOOKUP($C$38,'MP (2011)'!$A$14:$AR$245,'MP (2011)'!$AM$246,FALSE)*100)</f>
        <v>2.2822430953001764</v>
      </c>
      <c r="D87" s="431">
        <f>(D57/VLOOKUP($D$38,'MP (2011)'!$A$14:$AR$245,'MP (2011)'!$AM$246,FALSE)*100)</f>
        <v>1.9954265879495754</v>
      </c>
      <c r="E87" s="431">
        <f>(E57/VLOOKUP($E$38,'MP (2011)'!$A$14:$AR$245,'MP (2011)'!$AM$246,FALSE)*100)</f>
        <v>2.4874909104580647</v>
      </c>
      <c r="F87" s="432">
        <f>(F57/VLOOKUP($F$38,'MP (2011)'!$A$14:$AR$245,'MP (2011)'!$AM$246,FALSE)*100)</f>
        <v>2.1190062999618964</v>
      </c>
    </row>
    <row r="88" spans="2:7">
      <c r="B88" s="103" t="s">
        <v>304</v>
      </c>
    </row>
    <row r="89" spans="2:7">
      <c r="B89" s="137" t="str">
        <f>$B$2</f>
        <v>Vector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 t="shared" ref="C90:F93" si="4">IF(ISERROR(C84/$E84),"",(C84/$E84)*100)</f>
        <v>86.435481323613246</v>
      </c>
      <c r="D90" s="422">
        <f t="shared" si="4"/>
        <v>96.417301090818697</v>
      </c>
      <c r="E90" s="422">
        <f t="shared" si="4"/>
        <v>100</v>
      </c>
      <c r="F90" s="423">
        <f t="shared" si="4"/>
        <v>101.07283802341342</v>
      </c>
    </row>
    <row r="91" spans="2:7">
      <c r="B91" s="111" t="s">
        <v>180</v>
      </c>
      <c r="C91" s="422">
        <f t="shared" si="4"/>
        <v>97.156135176769993</v>
      </c>
      <c r="D91" s="422">
        <f t="shared" si="4"/>
        <v>96.271445732489909</v>
      </c>
      <c r="E91" s="422">
        <f t="shared" si="4"/>
        <v>100</v>
      </c>
      <c r="F91" s="423">
        <f t="shared" si="4"/>
        <v>100.42550846488993</v>
      </c>
    </row>
    <row r="92" spans="2:7">
      <c r="B92" s="111" t="s">
        <v>184</v>
      </c>
      <c r="C92" s="422">
        <f t="shared" si="4"/>
        <v>106.85554804305175</v>
      </c>
      <c r="D92" s="422">
        <f t="shared" si="4"/>
        <v>93.484717636636432</v>
      </c>
      <c r="E92" s="422">
        <f t="shared" si="4"/>
        <v>100</v>
      </c>
      <c r="F92" s="423">
        <f t="shared" si="4"/>
        <v>100.59163938596481</v>
      </c>
      <c r="G92" s="141"/>
    </row>
    <row r="93" spans="2:7">
      <c r="B93" s="115" t="s">
        <v>181</v>
      </c>
      <c r="C93" s="424">
        <f t="shared" si="4"/>
        <v>91.74880140084241</v>
      </c>
      <c r="D93" s="424">
        <f t="shared" si="4"/>
        <v>80.218447414632891</v>
      </c>
      <c r="E93" s="424">
        <f t="shared" si="4"/>
        <v>100</v>
      </c>
      <c r="F93" s="416">
        <f t="shared" si="4"/>
        <v>85.186494191919977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631963</v>
      </c>
      <c r="D98" s="150">
        <f>VLOOKUP($D$38,'MP (2011)'!$A$14:$AR$245,'MP (2011)'!$AB$246,FALSE)</f>
        <v>486419</v>
      </c>
      <c r="E98" s="150">
        <f>VLOOKUP($E$38,'MP (2011)'!$A$14:$AR$245,'MP (2011)'!$AB$246,FALSE)</f>
        <v>490832.49</v>
      </c>
      <c r="F98" s="151">
        <f>VLOOKUP($F$38,'MP (2011)'!$A$14:$AR$245,'MP (2011)'!$AB$246,FALSE)</f>
        <v>483600</v>
      </c>
    </row>
    <row r="99" spans="2:7">
      <c r="B99" s="155" t="s">
        <v>309</v>
      </c>
      <c r="C99" s="150">
        <f>VLOOKUP($C$38,'MP (2011)'!$A$14:$AR$245,'MP (2011)'!$AF$246,FALSE)</f>
        <v>41160.000999999997</v>
      </c>
      <c r="D99" s="150">
        <f>VLOOKUP($D$38,'MP (2011)'!$A$14:$AR$245,'MP (2011)'!$AF$246,FALSE)</f>
        <v>30204</v>
      </c>
      <c r="E99" s="150">
        <f>VLOOKUP($E$38,'MP (2011)'!$A$14:$AR$245,'MP (2011)'!$AF$246,FALSE)</f>
        <v>30651.169000000002</v>
      </c>
      <c r="F99" s="151">
        <f>VLOOKUP($F$38,'MP (2011)'!$A$14:$AR$245,'MP (2011)'!$AF$246,FALSE)</f>
        <v>41621</v>
      </c>
    </row>
    <row r="100" spans="2:7">
      <c r="B100" s="155" t="s">
        <v>310</v>
      </c>
      <c r="C100" s="150">
        <f>VLOOKUP($C$38,'MP (2011)'!$A$14:$AR$245,'MP (2011)'!$AJ$246,FALSE)</f>
        <v>6473.9976999999999</v>
      </c>
      <c r="D100" s="150">
        <f>VLOOKUP($D$38,'MP (2011)'!$A$14:$AR$245,'MP (2011)'!$AJ$246,FALSE)</f>
        <v>5514</v>
      </c>
      <c r="E100" s="150">
        <f>VLOOKUP($E$38,'MP (2011)'!$A$14:$AR$245,'MP (2011)'!$AJ$246,FALSE)</f>
        <v>5602.3451999999997</v>
      </c>
      <c r="F100" s="151">
        <f>VLOOKUP($F$38,'MP (2011)'!$A$14:$AR$245,'MP (2011)'!$AJ$246,FALSE)</f>
        <v>5954</v>
      </c>
    </row>
    <row r="101" spans="2:7">
      <c r="B101" s="111" t="s">
        <v>181</v>
      </c>
      <c r="C101" s="150">
        <f>VLOOKUP($C$38,'MP (2011)'!$A$14:$AR$245,'MP (2011)'!$AN$246,FALSE)</f>
        <v>15</v>
      </c>
      <c r="D101" s="150">
        <f>VLOOKUP($D$38,'MP (2011)'!$A$14:$AR$245,'MP (2011)'!$AN$246,FALSE)</f>
        <v>10</v>
      </c>
      <c r="E101" s="150">
        <f>VLOOKUP($E$38,'MP (2011)'!$A$14:$AR$245,'MP (2011)'!$AN$246,FALSE)</f>
        <v>10</v>
      </c>
      <c r="F101" s="151">
        <f>VLOOKUP($F$38,'MP (2011)'!$A$14:$AR$245,'MP (2011)'!$AN$246,FALSE)</f>
        <v>10</v>
      </c>
    </row>
    <row r="102" spans="2:7">
      <c r="B102" s="156" t="s">
        <v>254</v>
      </c>
      <c r="C102" s="152">
        <f>SUM(C98:C101)</f>
        <v>679611.9987</v>
      </c>
      <c r="D102" s="152">
        <f>SUM(D98:D101)</f>
        <v>522147</v>
      </c>
      <c r="E102" s="152">
        <f>SUM(E98:E101)</f>
        <v>527096.00419999997</v>
      </c>
      <c r="F102" s="157">
        <f>SUM(F98:F101)</f>
        <v>531185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IF(ISERROR(C98/$E98),"",(C98/$E98)*100)</f>
        <v>128.75329422467533</v>
      </c>
      <c r="D105" s="422">
        <f t="shared" si="5"/>
        <v>99.100815432979999</v>
      </c>
      <c r="E105" s="422">
        <f t="shared" si="5"/>
        <v>100</v>
      </c>
      <c r="F105" s="423">
        <f t="shared" si="5"/>
        <v>98.526485074368239</v>
      </c>
    </row>
    <row r="106" spans="2:7">
      <c r="B106" s="111" t="s">
        <v>180</v>
      </c>
      <c r="C106" s="422">
        <f t="shared" si="5"/>
        <v>134.28525678743279</v>
      </c>
      <c r="D106" s="422">
        <f t="shared" si="5"/>
        <v>98.541102951081569</v>
      </c>
      <c r="E106" s="422">
        <f t="shared" si="5"/>
        <v>100</v>
      </c>
      <c r="F106" s="423">
        <f t="shared" si="5"/>
        <v>135.78927446454</v>
      </c>
      <c r="G106" s="141"/>
    </row>
    <row r="107" spans="2:7">
      <c r="B107" s="111" t="s">
        <v>184</v>
      </c>
      <c r="C107" s="422">
        <f t="shared" si="5"/>
        <v>115.55870744987295</v>
      </c>
      <c r="D107" s="422">
        <f t="shared" si="5"/>
        <v>98.423067539643938</v>
      </c>
      <c r="E107" s="422">
        <f t="shared" si="5"/>
        <v>100</v>
      </c>
      <c r="F107" s="423">
        <f t="shared" si="5"/>
        <v>106.27692131502357</v>
      </c>
      <c r="G107" s="141"/>
    </row>
    <row r="108" spans="2:7">
      <c r="B108" s="115" t="s">
        <v>181</v>
      </c>
      <c r="C108" s="424">
        <f t="shared" si="5"/>
        <v>150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Vector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4779607.0999999996</v>
      </c>
      <c r="D113" s="150">
        <f>VLOOKUP($D$38,'MP (2011)'!$A$14:$AR$245,'MP (2011)'!$AA$246,FALSE)</f>
        <v>3628963</v>
      </c>
      <c r="E113" s="150">
        <f>VLOOKUP($E$38,'MP (2011)'!$A$14:$AR$245,'MP (2011)'!$AA$246,FALSE)</f>
        <v>3745571</v>
      </c>
      <c r="F113" s="151">
        <f>VLOOKUP($F$38,'MP (2011)'!$A$14:$AR$245,'MP (2011)'!$AA$246,FALSE)</f>
        <v>3639618</v>
      </c>
    </row>
    <row r="114" spans="2:7">
      <c r="B114" s="155" t="s">
        <v>309</v>
      </c>
      <c r="C114" s="150">
        <f>VLOOKUP($C$38,'MP (2011)'!$A$14:$AR$245,'MP (2011)'!$AE$246,FALSE)</f>
        <v>1358680.5</v>
      </c>
      <c r="D114" s="150">
        <f>VLOOKUP($D$38,'MP (2011)'!$A$14:$AR$245,'MP (2011)'!$AE$246,FALSE)</f>
        <v>959874</v>
      </c>
      <c r="E114" s="150">
        <f>VLOOKUP($E$38,'MP (2011)'!$A$14:$AR$245,'MP (2011)'!$AE$246,FALSE)</f>
        <v>942182.03</v>
      </c>
      <c r="F114" s="151">
        <f>VLOOKUP($F$38,'MP (2011)'!$A$14:$AR$245,'MP (2011)'!$AE$246,FALSE)</f>
        <v>949402</v>
      </c>
    </row>
    <row r="115" spans="2:7">
      <c r="B115" s="155" t="s">
        <v>310</v>
      </c>
      <c r="C115" s="150">
        <f>VLOOKUP($C$38,'MP (2011)'!$A$14:$AR$245,'MP (2011)'!$AI$246,FALSE)</f>
        <v>3928586.5</v>
      </c>
      <c r="D115" s="150">
        <f>VLOOKUP($D$38,'MP (2011)'!$A$14:$AR$245,'MP (2011)'!$AI$246,FALSE)</f>
        <v>3170144</v>
      </c>
      <c r="E115" s="150">
        <f>VLOOKUP($E$38,'MP (2011)'!$A$14:$AR$245,'MP (2011)'!$AI$246,FALSE)</f>
        <v>3172894.3</v>
      </c>
      <c r="F115" s="151">
        <f>VLOOKUP($F$38,'MP (2011)'!$A$14:$AR$245,'MP (2011)'!$AI$246,FALSE)</f>
        <v>3193770</v>
      </c>
    </row>
    <row r="116" spans="2:7">
      <c r="B116" s="155" t="s">
        <v>311</v>
      </c>
      <c r="C116" s="150">
        <f>VLOOKUP($C$38,'MP (2011)'!$A$14:$AR$245,'MP (2011)'!$AM$246,FALSE)</f>
        <v>583242.80000000005</v>
      </c>
      <c r="D116" s="150">
        <f>VLOOKUP($D$38,'MP (2011)'!$A$14:$AR$245,'MP (2011)'!$AM$246,FALSE)</f>
        <v>485277</v>
      </c>
      <c r="E116" s="150">
        <f>VLOOKUP($E$38,'MP (2011)'!$A$14:$AR$245,'MP (2011)'!$AM$246,FALSE)</f>
        <v>450275.77</v>
      </c>
      <c r="F116" s="151">
        <f>VLOOKUP($F$38,'MP (2011)'!$A$14:$AR$245,'MP (2011)'!$AM$246,FALSE)</f>
        <v>506511</v>
      </c>
    </row>
    <row r="117" spans="2:7">
      <c r="B117" s="147" t="s">
        <v>254</v>
      </c>
      <c r="C117" s="158">
        <f>SUM(C113:C116)</f>
        <v>10650116.9</v>
      </c>
      <c r="D117" s="158">
        <f>SUM(D113:D116)</f>
        <v>8244258</v>
      </c>
      <c r="E117" s="158">
        <f>SUM(E113:E116)</f>
        <v>8310923.0999999996</v>
      </c>
      <c r="F117" s="159">
        <f>SUM(F113:F116)</f>
        <v>8289301</v>
      </c>
    </row>
    <row r="118" spans="2:7">
      <c r="B118" s="103" t="s">
        <v>306</v>
      </c>
    </row>
    <row r="119" spans="2:7">
      <c r="B119" s="137" t="str">
        <f>$B$2</f>
        <v>Vector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IF(ISERROR(C113/$E113),"",(C113/$E113)*100)</f>
        <v>127.60690159123935</v>
      </c>
      <c r="D120" s="422">
        <f t="shared" si="6"/>
        <v>96.88677640872379</v>
      </c>
      <c r="E120" s="422">
        <f t="shared" si="6"/>
        <v>100</v>
      </c>
      <c r="F120" s="423">
        <f t="shared" si="6"/>
        <v>97.171245719277508</v>
      </c>
    </row>
    <row r="121" spans="2:7">
      <c r="B121" s="111" t="s">
        <v>180</v>
      </c>
      <c r="C121" s="422">
        <f t="shared" si="6"/>
        <v>144.20573272873821</v>
      </c>
      <c r="D121" s="422">
        <f t="shared" si="6"/>
        <v>101.87776559482884</v>
      </c>
      <c r="E121" s="422">
        <f t="shared" si="6"/>
        <v>100</v>
      </c>
      <c r="F121" s="423">
        <f t="shared" si="6"/>
        <v>100.76630308901136</v>
      </c>
    </row>
    <row r="122" spans="2:7">
      <c r="B122" s="111" t="s">
        <v>184</v>
      </c>
      <c r="C122" s="422">
        <f t="shared" si="6"/>
        <v>123.81712495118418</v>
      </c>
      <c r="D122" s="422">
        <f t="shared" si="6"/>
        <v>99.913318889948528</v>
      </c>
      <c r="E122" s="422">
        <f t="shared" si="6"/>
        <v>100</v>
      </c>
      <c r="F122" s="423">
        <f t="shared" si="6"/>
        <v>100.65793871544982</v>
      </c>
    </row>
    <row r="123" spans="2:7">
      <c r="B123" s="115" t="s">
        <v>181</v>
      </c>
      <c r="C123" s="424">
        <f t="shared" si="6"/>
        <v>129.53013216767138</v>
      </c>
      <c r="D123" s="424">
        <f t="shared" si="6"/>
        <v>107.77328746781112</v>
      </c>
      <c r="E123" s="424">
        <f t="shared" si="6"/>
        <v>100</v>
      </c>
      <c r="F123" s="416">
        <f t="shared" si="6"/>
        <v>112.48906420170022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Vector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683658.48931595904</v>
      </c>
      <c r="D128" s="433">
        <f>VLOOKUP($D$38,'FS (2011)'!$A$13:$AH$244,'FS (2011)'!$I$245,FALSE)</f>
        <v>593078.7583389387</v>
      </c>
      <c r="E128" s="433">
        <f>VLOOKUP($E$38,'FS (2011)'!$A$13:$AH$244,'FS (2011)'!$I$245,FALSE)</f>
        <v>579743.64081269689</v>
      </c>
      <c r="F128" s="440">
        <f>VLOOKUP($F$38,'FS (2011)'!$A$13:$AH$244,'FS (2011)'!$I$245,FALSE)</f>
        <v>576806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79695.79746856376</v>
      </c>
      <c r="D129" s="433">
        <f>VLOOKUP($D$38,'FS (2011)'!$A$13:$AH$244,'FS (2011)'!$Y$245,FALSE)+VLOOKUP($D$38,'FS (2011)'!$A$13:$AH$244,'FS (2011)'!$Z$245,FALSE)</f>
        <v>73559.879497288755</v>
      </c>
      <c r="E129" s="433">
        <f>VLOOKUP($E$38,'FS (2011)'!$A$13:$AH$244,'FS (2011)'!$Y$245,FALSE)+VLOOKUP($E$38,'FS (2011)'!$A$13:$AH$244,'FS (2011)'!$Z$245,FALSE)</f>
        <v>42824.766861038501</v>
      </c>
      <c r="F129" s="440">
        <f>VLOOKUP($F$38,'FS (2011)'!$A$13:$AH$244,'FS (2011)'!$Y$245,FALSE)+VLOOKUP($F$38,'FS (2011)'!$A$13:$AH$244,'FS (2011)'!$Z$245,FALSE)</f>
        <v>96300.592000000004</v>
      </c>
      <c r="G129" s="121"/>
    </row>
    <row r="130" spans="1:30">
      <c r="B130" s="162" t="s">
        <v>191</v>
      </c>
      <c r="C130" s="441">
        <f>VLOOKUP($C$38,'FS (2011)'!$A$13:$AH$244,'FS (2011)'!$J$245,FALSE)</f>
        <v>162608.66953038119</v>
      </c>
      <c r="D130" s="433">
        <f>VLOOKUP($D$38,'FS (2011)'!$A$13:$AH$244,'FS (2011)'!$J$245,FALSE)</f>
        <v>147475.86903699633</v>
      </c>
      <c r="E130" s="433">
        <f>VLOOKUP($E$38,'FS (2011)'!$A$13:$AH$244,'FS (2011)'!$J$245,FALSE)</f>
        <v>147452.08210773082</v>
      </c>
      <c r="F130" s="440">
        <f>VLOOKUP($F$38,'FS (2011)'!$A$13:$AH$244,'FS (2011)'!$J$245,FALSE)</f>
        <v>142508</v>
      </c>
    </row>
    <row r="131" spans="1:30">
      <c r="B131" s="162" t="s">
        <v>182</v>
      </c>
      <c r="C131" s="441">
        <f>VLOOKUP($C$38,'FS (2011)'!$A$13:$AH$244,'FS (2011)'!$S$245,FALSE)</f>
        <v>124435.44729263493</v>
      </c>
      <c r="D131" s="433">
        <f>VLOOKUP($D$38,'FS (2011)'!$A$13:$AH$244,'FS (2011)'!$S$245,FALSE)</f>
        <v>97103.367423982403</v>
      </c>
      <c r="E131" s="433">
        <f>VLOOKUP($E$38,'FS (2011)'!$A$13:$AH$244,'FS (2011)'!$S$245,FALSE)</f>
        <v>91819.854508097327</v>
      </c>
      <c r="F131" s="440">
        <f>VLOOKUP($F$38,'FS (2011)'!$A$13:$AH$244,'FS (2011)'!$S$245,FALSE)</f>
        <v>92140</v>
      </c>
      <c r="I131" s="139"/>
    </row>
    <row r="132" spans="1:30">
      <c r="B132" s="162" t="s">
        <v>143</v>
      </c>
      <c r="C132" s="441">
        <f>VLOOKUP($C$38,'FS (2011)'!$A$13:$AH$244,'FS (2011)'!$U$245,FALSE)</f>
        <v>96129.532159904178</v>
      </c>
      <c r="D132" s="433">
        <f>VLOOKUP($D$38,'FS (2011)'!$A$13:$AH$244,'FS (2011)'!$U$245,FALSE)</f>
        <v>81448.207644175956</v>
      </c>
      <c r="E132" s="433">
        <f>VLOOKUP($E$38,'FS (2011)'!$A$13:$AH$244,'FS (2011)'!$U$245,FALSE)</f>
        <v>80478.35423378511</v>
      </c>
      <c r="F132" s="440">
        <f>VLOOKUP($F$38,'FS (2011)'!$A$13:$AH$244,'FS (2011)'!$U$245,FALSE)</f>
        <v>87227.600999999995</v>
      </c>
    </row>
    <row r="133" spans="1:30">
      <c r="B133" s="162" t="s">
        <v>196</v>
      </c>
      <c r="C133" s="441">
        <f>VLOOKUP($C$38,'FS (2011)'!$A$13:$AH$244,'FS (2011)'!$X$245,FALSE)</f>
        <v>51967.007983234005</v>
      </c>
      <c r="D133" s="433">
        <f>VLOOKUP($D$38,'FS (2011)'!$A$13:$AH$244,'FS (2011)'!$X$245,FALSE)</f>
        <v>51682.220912073564</v>
      </c>
      <c r="E133" s="433">
        <f>VLOOKUP($E$38,'FS (2011)'!$A$13:$AH$244,'FS (2011)'!$X$245,FALSE)</f>
        <v>57584.539323650664</v>
      </c>
      <c r="F133" s="440">
        <f>VLOOKUP($F$38,'FS (2011)'!$A$13:$AH$244,'FS (2011)'!$X$245,FALSE)</f>
        <v>51895.324000000001</v>
      </c>
    </row>
    <row r="134" spans="1:30">
      <c r="B134" s="164" t="s">
        <v>258</v>
      </c>
      <c r="C134" s="442">
        <f>VLOOKUP($C$38,'FS (2011)'!$A$13:$AH$244,'FS (2011)'!$AA$245,FALSE)</f>
        <v>328213.6341307633</v>
      </c>
      <c r="D134" s="435">
        <f>VLOOKUP($D$38,'FS (2011)'!$A$13:$AH$244,'FS (2011)'!$AA$245,FALSE)</f>
        <v>288928.97281899914</v>
      </c>
      <c r="E134" s="435">
        <f>VLOOKUP($E$38,'FS (2011)'!$A$13:$AH$244,'FS (2011)'!$AA$245,FALSE)</f>
        <v>245233.56527444691</v>
      </c>
      <c r="F134" s="443">
        <f>VLOOKUP($F$38,'FS (2011)'!$A$13:$AH$244,'FS (2011)'!$AA$245,FALSE)</f>
        <v>299335.67</v>
      </c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6</v>
      </c>
      <c r="B138" s="166" t="s">
        <v>204</v>
      </c>
      <c r="C138" s="167"/>
      <c r="D138" s="444">
        <f>VLOOKUP($D$6,'FS (2011)'!$A$13:$AH$244,'FS (2011)'!$L$245,FALSE)</f>
        <v>3898</v>
      </c>
      <c r="E138" s="446">
        <f t="shared" ref="E138:E144" si="7">D138/$D$145</f>
        <v>4.2305187757759932E-2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42398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1</v>
      </c>
      <c r="B139" s="162" t="s">
        <v>199</v>
      </c>
      <c r="C139" s="121"/>
      <c r="D139" s="441">
        <f>VLOOKUP($D$6,'FS (2011)'!$A$13:$AH$244,'FS (2011)'!K245,FALSE)</f>
        <v>42398</v>
      </c>
      <c r="E139" s="414">
        <f t="shared" si="7"/>
        <v>0.46014760147601474</v>
      </c>
      <c r="Q139" s="559"/>
      <c r="R139" s="559"/>
      <c r="S139" s="559"/>
      <c r="T139" s="559">
        <v>2</v>
      </c>
      <c r="U139" s="559" t="str">
        <f t="shared" ref="U139:U144" si="9">VLOOKUP(T139,$A$138:$E$144,2,FALSE)</f>
        <v>Routine and preventative maintenance</v>
      </c>
      <c r="V139" s="559">
        <f t="shared" ref="V139:V144" si="10">VLOOKUP(T139,$A$138:$E$144,4,FALSE)</f>
        <v>15159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2</v>
      </c>
      <c r="B140" s="162" t="s">
        <v>201</v>
      </c>
      <c r="C140" s="121"/>
      <c r="D140" s="441">
        <f>VLOOKUP($D$6,'FS (2011)'!$A$13:$AH$244,'FS (2011)'!M245,FALSE)</f>
        <v>15159</v>
      </c>
      <c r="E140" s="414">
        <f t="shared" si="7"/>
        <v>0.16452138050792273</v>
      </c>
      <c r="Q140" s="559"/>
      <c r="R140" s="559"/>
      <c r="S140" s="559"/>
      <c r="T140" s="559">
        <v>3</v>
      </c>
      <c r="U140" s="559" t="str">
        <f t="shared" si="9"/>
        <v>Fault and emergency maintenance</v>
      </c>
      <c r="V140" s="559">
        <f t="shared" si="10"/>
        <v>13148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4</v>
      </c>
      <c r="B141" s="162" t="s">
        <v>202</v>
      </c>
      <c r="C141" s="121"/>
      <c r="D141" s="441">
        <f>VLOOKUP($D$6,'FS (2011)'!$A$13:$AH$244,'FS (2011)'!N245,FALSE)</f>
        <v>10315</v>
      </c>
      <c r="E141" s="414">
        <f t="shared" si="7"/>
        <v>0.11194920772737139</v>
      </c>
      <c r="Q141" s="559"/>
      <c r="R141" s="559"/>
      <c r="S141" s="559"/>
      <c r="T141" s="559">
        <v>4</v>
      </c>
      <c r="U141" s="559" t="str">
        <f t="shared" si="9"/>
        <v>Refurbishment and renewal maintenance</v>
      </c>
      <c r="V141" s="559">
        <f t="shared" si="10"/>
        <v>10315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3</v>
      </c>
      <c r="B142" s="162" t="s">
        <v>203</v>
      </c>
      <c r="C142" s="121"/>
      <c r="D142" s="441">
        <f>VLOOKUP($D$6,'FS (2011)'!$A$13:$AH$244,'FS (2011)'!O245,FALSE)</f>
        <v>13148</v>
      </c>
      <c r="E142" s="414">
        <f t="shared" si="7"/>
        <v>0.14269589754721076</v>
      </c>
      <c r="Q142" s="559"/>
      <c r="R142" s="559"/>
      <c r="S142" s="559"/>
      <c r="T142" s="559">
        <v>5</v>
      </c>
      <c r="U142" s="559" t="str">
        <f t="shared" si="9"/>
        <v>Pass-through costs</v>
      </c>
      <c r="V142" s="559">
        <f t="shared" si="10"/>
        <v>6791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8"/>
        <v>7</v>
      </c>
      <c r="B143" s="162" t="s">
        <v>13</v>
      </c>
      <c r="C143" s="121"/>
      <c r="D143" s="441">
        <f>VLOOKUP($D$6,'FS (2011)'!$A$13:$AH$244,'FS (2011)'!R245,FALSE)</f>
        <v>431</v>
      </c>
      <c r="E143" s="414">
        <f t="shared" si="7"/>
        <v>4.6776644237030603E-3</v>
      </c>
      <c r="Q143" s="559"/>
      <c r="R143" s="559"/>
      <c r="S143" s="559"/>
      <c r="T143" s="559">
        <v>6</v>
      </c>
      <c r="U143" s="559" t="str">
        <f t="shared" si="9"/>
        <v>System management and operations</v>
      </c>
      <c r="V143" s="559">
        <f t="shared" si="10"/>
        <v>3898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5</v>
      </c>
      <c r="B144" s="162" t="s">
        <v>200</v>
      </c>
      <c r="C144" s="121"/>
      <c r="D144" s="441">
        <f>VLOOKUP($D$6,'FS (2011)'!$A$13:$AH$244,'FS (2011)'!P245,FALSE)</f>
        <v>6791</v>
      </c>
      <c r="E144" s="414">
        <f t="shared" si="7"/>
        <v>7.3703060560017367E-2</v>
      </c>
      <c r="Q144" s="559"/>
      <c r="R144" s="559"/>
      <c r="S144" s="559"/>
      <c r="T144" s="559">
        <v>7</v>
      </c>
      <c r="U144" s="559" t="str">
        <f t="shared" si="9"/>
        <v>Other</v>
      </c>
      <c r="V144" s="559">
        <f t="shared" si="10"/>
        <v>431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92140</v>
      </c>
      <c r="E145" s="447">
        <f>SUM(E138:E144)</f>
        <v>1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41.763413436986333</v>
      </c>
      <c r="F149" s="455">
        <f>(VLOOKUP(F$38,'FS (2011)'!$A$13:$AH$244,'FS (2011)'!$M$245,FALSE)+VLOOKUP(F$38,'FS (2011)'!$A$13:$AH$244,'FS (2011)'!$N$245,FALSE)+VLOOKUP(F$38,'FS (2011)'!$A$13:$AH$244,'FS (2011)'!$O$245,FALSE))/1000</f>
        <v>38.622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40.648792242461802</v>
      </c>
      <c r="F150" s="457">
        <f>(VLOOKUP(F$38,'FS (2011)'!$A$13:$AH$244,'FS (2011)'!$L$245,FALSE)+VLOOKUP(F$38,'FS (2011)'!$A$13:$AH$244,'FS (2011)'!$K$245,FALSE))/1000</f>
        <v>46.295999999999999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9.4076484211150326</v>
      </c>
      <c r="F151" s="457">
        <f>(VLOOKUP(F$38,'FS (2011)'!$A$13:$AH$244,'FS (2011)'!$R$245,FALSE)+VLOOKUP(F$38,'FS (2011)'!$A$13:$AH$244,'FS (2011)'!$P$245,FALSE)+VLOOKUP(F$38,'FS (2011)'!$A$13:$AH$244,'FS (2011)'!$Q$245,FALSE))/1000</f>
        <v>7.2220000000000004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124.43544729263493</v>
      </c>
      <c r="D152" s="458">
        <f>VLOOKUP($D$38,'FS (2011)'!$A$13:$AH$244,'FS (2011)'!$S$245,FALSE)/1000</f>
        <v>97.103367423982405</v>
      </c>
      <c r="E152" s="459">
        <f>VLOOKUP($E$38,'FS (2011)'!$A$13:$AH$244,'FS (2011)'!$S$245,FALSE)/1000</f>
        <v>91.819854508097322</v>
      </c>
      <c r="F152" s="460">
        <f>VLOOKUP($F$38,'FS (2011)'!$A$13:$AH$244,'FS (2011)'!$S$245,FALSE)/1000</f>
        <v>92.14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-7.521926917506816E-2</v>
      </c>
      <c r="D154" s="464" t="str">
        <f t="shared" ref="D154:E157" si="11">IF(ISERROR(D149/C149 - 1),"",(D149/C149 - 1))</f>
        <v/>
      </c>
      <c r="E154" s="464" t="str">
        <f t="shared" si="11"/>
        <v/>
      </c>
      <c r="F154" s="465">
        <f>IF(ISERROR(F149/E149 - 1),"",(F149/E149 - 1))</f>
        <v>-7.521926917506816E-2</v>
      </c>
      <c r="Q154" s="559"/>
      <c r="R154" s="559" t="s">
        <v>423</v>
      </c>
      <c r="S154" s="559" t="e">
        <f t="shared" ref="S154:V157" si="12">LN(C149)</f>
        <v>#NUM!</v>
      </c>
      <c r="T154" s="559" t="e">
        <f t="shared" si="12"/>
        <v>#NUM!</v>
      </c>
      <c r="U154" s="559">
        <f t="shared" si="12"/>
        <v>3.7320206796253363</v>
      </c>
      <c r="V154" s="559">
        <f t="shared" si="12"/>
        <v>3.6538220622985338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0.13892682773583398</v>
      </c>
      <c r="D155" s="467" t="str">
        <f t="shared" si="11"/>
        <v/>
      </c>
      <c r="E155" s="467" t="str">
        <f t="shared" si="11"/>
        <v/>
      </c>
      <c r="F155" s="468">
        <f>IF(ISERROR(F150/E150 - 1),"",(F150/E150 - 1))</f>
        <v>0.13892682773583398</v>
      </c>
      <c r="Q155" s="559"/>
      <c r="R155" s="559" t="s">
        <v>423</v>
      </c>
      <c r="S155" s="559" t="e">
        <f t="shared" si="12"/>
        <v>#NUM!</v>
      </c>
      <c r="T155" s="559" t="e">
        <f t="shared" si="12"/>
        <v>#NUM!</v>
      </c>
      <c r="U155" s="559">
        <f t="shared" si="12"/>
        <v>3.7049691244198844</v>
      </c>
      <c r="V155" s="559">
        <f t="shared" si="12"/>
        <v>3.8350555642715376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-0.232326754070597</v>
      </c>
      <c r="D156" s="467" t="str">
        <f t="shared" si="11"/>
        <v/>
      </c>
      <c r="E156" s="467" t="str">
        <f t="shared" si="11"/>
        <v/>
      </c>
      <c r="F156" s="468">
        <f>IF(ISERROR(F151/E151 - 1),"",(F151/E151 - 1))</f>
        <v>-0.232326754070597</v>
      </c>
      <c r="Q156" s="559"/>
      <c r="R156" s="559" t="s">
        <v>423</v>
      </c>
      <c r="S156" s="559" t="e">
        <f t="shared" si="12"/>
        <v>#NUM!</v>
      </c>
      <c r="T156" s="559" t="e">
        <f t="shared" si="12"/>
        <v>#NUM!</v>
      </c>
      <c r="U156" s="559">
        <f t="shared" si="12"/>
        <v>2.241523020253378</v>
      </c>
      <c r="V156" s="559">
        <f t="shared" si="12"/>
        <v>1.977131922855266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-9.1298051420774295E-2</v>
      </c>
      <c r="D157" s="470">
        <f t="shared" si="11"/>
        <v>-0.21964866493689417</v>
      </c>
      <c r="E157" s="470">
        <f t="shared" si="11"/>
        <v>-5.4411222350463695E-2</v>
      </c>
      <c r="F157" s="471">
        <f>IF(ISERROR(F152/E152 - 1),"",(F152/E152 - 1))</f>
        <v>3.4866695620221488E-3</v>
      </c>
      <c r="N157" s="136"/>
      <c r="O157" s="136"/>
      <c r="Q157" s="559"/>
      <c r="R157" s="559" t="s">
        <v>423</v>
      </c>
      <c r="S157" s="559">
        <f t="shared" si="12"/>
        <v>4.823787085797929</v>
      </c>
      <c r="T157" s="559">
        <f t="shared" si="12"/>
        <v>4.5757760546545674</v>
      </c>
      <c r="U157" s="559">
        <f t="shared" si="12"/>
        <v>4.5198285542859207</v>
      </c>
      <c r="V157" s="559">
        <f t="shared" si="12"/>
        <v>4.5233091595077708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Vector</v>
      </c>
      <c r="C162" s="456">
        <f>(C152/C102)*1000000</f>
        <v>183.09777863054515</v>
      </c>
      <c r="D162" s="456">
        <f>(D152/D102)*1000000</f>
        <v>185.96940597950848</v>
      </c>
      <c r="E162" s="456">
        <f>(E152/E102)*1000000</f>
        <v>174.19948885299732</v>
      </c>
      <c r="F162" s="457">
        <f>(F152/F102)*1000000</f>
        <v>173.46122349087418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Vector</v>
      </c>
      <c r="C165" s="456">
        <f>C152/VLOOKUP(C$38,'MP (2011)'!$A$14:$AR$245,'MP (2011)'!$H$246,FALSE)*1000000</f>
        <v>5653.5149617649095</v>
      </c>
      <c r="D165" s="456">
        <f>D152/VLOOKUP(D$38,'MP (2011)'!$A$14:$AR$245,'MP (2011)'!$H$246,FALSE)*1000000</f>
        <v>5537.0569324275766</v>
      </c>
      <c r="E165" s="456">
        <f>E152/VLOOKUP(E$38,'MP (2011)'!$A$14:$AR$245,'MP (2011)'!$H$246,FALSE)*1000000</f>
        <v>5207.8438640389495</v>
      </c>
      <c r="F165" s="457">
        <f>F152/VLOOKUP(F$38,'MP (2011)'!$A$14:$AR$245,'MP (2011)'!$H$246,FALSE)*1000000</f>
        <v>5199.8376503912241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Vector</v>
      </c>
      <c r="C168" s="456">
        <f>(C152/C117)*1000000</f>
        <v>11.683951308800651</v>
      </c>
      <c r="D168" s="456">
        <f>(D152/D117)*1000000</f>
        <v>11.778302841078288</v>
      </c>
      <c r="E168" s="456">
        <f>(E152/E117)*1000000</f>
        <v>11.048093383043975</v>
      </c>
      <c r="F168" s="457">
        <f>(F152/F117)*1000000</f>
        <v>11.115533143265036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-2.2500967489769597E-2</v>
      </c>
      <c r="D171" s="464">
        <f>IF(ISERROR(D162/C162 - 1),"",(D162/C162 - 1))</f>
        <v>1.5683572845292204E-2</v>
      </c>
      <c r="E171" s="464">
        <f>IF(ISERROR(E162/D162 - 1),"",(E162/D162 - 1))</f>
        <v>-6.3289534450672313E-2</v>
      </c>
      <c r="F171" s="465">
        <f>IF(ISERROR(F162/E162 - 1),"",(F162/E162 - 1))</f>
        <v>-4.2380455131308947E-3</v>
      </c>
      <c r="H171" s="139"/>
      <c r="Q171" s="559"/>
      <c r="R171" s="559" t="s">
        <v>423</v>
      </c>
      <c r="S171" s="559">
        <f>LN(C162)</f>
        <v>5.21002031960548</v>
      </c>
      <c r="T171" s="559">
        <f>LN(D162)</f>
        <v>5.2255821762030905</v>
      </c>
      <c r="U171" s="559">
        <f>LN(E162)</f>
        <v>5.1602011301603508</v>
      </c>
      <c r="V171" s="559">
        <f>LN(F162)</f>
        <v>5.1559540786781897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-3.0742281415650385E-2</v>
      </c>
      <c r="D172" s="467">
        <f>IF(ISERROR(D165/C165 - 1),"",(D165/C165 - 1))</f>
        <v>-2.0599225459726589E-2</v>
      </c>
      <c r="E172" s="467">
        <f>IF(ISERROR(E165/D165 - 1),"",(E165/D165 - 1))</f>
        <v>-5.9456327143866394E-2</v>
      </c>
      <c r="F172" s="468">
        <f>IF(ISERROR(F165/E165 - 1),"",(F165/E165 - 1))</f>
        <v>-1.5373374964271491E-3</v>
      </c>
      <c r="Q172" s="559"/>
      <c r="R172" s="559" t="s">
        <v>423</v>
      </c>
      <c r="S172" s="559">
        <f>LN(C165)</f>
        <v>8.6400327478323824</v>
      </c>
      <c r="T172" s="559">
        <f>LN(D165)</f>
        <v>8.619218398949549</v>
      </c>
      <c r="U172" s="559">
        <f>LN(E165)</f>
        <v>8.5579212034157521</v>
      </c>
      <c r="V172" s="559">
        <f>LN(F165)</f>
        <v>8.5563826830035197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-2.1135384181668493E-2</v>
      </c>
      <c r="D173" s="470">
        <f>IF(ISERROR(D168/C168 - 1),"",(D168/C168 - 1))</f>
        <v>8.0753102939215005E-3</v>
      </c>
      <c r="E173" s="470">
        <f>IF(ISERROR(E168/D168 - 1),"",(E168/D168 - 1))</f>
        <v>-6.1996152407256644E-2</v>
      </c>
      <c r="F173" s="471">
        <f>IF(ISERROR(F168/E168 - 1),"",(F168/E168 - 1))</f>
        <v>6.1041989674492925E-3</v>
      </c>
      <c r="Q173" s="559"/>
      <c r="R173" s="559" t="s">
        <v>423</v>
      </c>
      <c r="S173" s="559">
        <f>LN(C168)</f>
        <v>2.4582162171769149</v>
      </c>
      <c r="T173" s="559">
        <f>LN(D168)</f>
        <v>2.4662590966284212</v>
      </c>
      <c r="U173" s="559">
        <f>LN(E168)</f>
        <v>2.4022578685553362</v>
      </c>
      <c r="V173" s="559">
        <f>LN(F168)</f>
        <v>2.4083435123715393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Vector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41763.413436986331</v>
      </c>
      <c r="X176" s="563">
        <f>D178</f>
        <v>38622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Vector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45077.352806445524</v>
      </c>
      <c r="X177" s="563">
        <f t="shared" si="14"/>
        <v>44793.097733825547</v>
      </c>
      <c r="Y177" s="563">
        <f t="shared" si="14"/>
        <v>43925.04998517959</v>
      </c>
      <c r="Z177" s="563">
        <f t="shared" si="14"/>
        <v>43413.594621540775</v>
      </c>
      <c r="AA177" s="563">
        <f t="shared" si="14"/>
        <v>42834.896122443475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41763.413436986331</v>
      </c>
      <c r="D178" s="461">
        <f>VLOOKUP(F38,'FS (2011)'!$A$14:$T$246,'FS (2011)'!$M$245,FALSE)+VLOOKUP(F38,'FS (2011)'!$A$14:$AO$245,'FS (2011)'!$N$245,FALSE)+VLOOKUP(F38,'FS (2011)'!$A$14:$AO$245,'FS (2011)'!$O$245,FALSE)</f>
        <v>38622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40400</v>
      </c>
      <c r="Y178" s="563">
        <f t="shared" si="14"/>
        <v>40400</v>
      </c>
      <c r="Z178" s="563">
        <f t="shared" si="14"/>
        <v>40400</v>
      </c>
      <c r="AA178" s="563">
        <f t="shared" si="14"/>
        <v>40400</v>
      </c>
      <c r="AB178" s="563">
        <f>H180</f>
        <v>40400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45077.352806445524</v>
      </c>
      <c r="D179" s="461">
        <f>VLOOKUP(D182,'AM (2011)'!$A$10:$N$444,'AM (2011)'!$N$445,FALSE)</f>
        <v>44793.097733825547</v>
      </c>
      <c r="E179" s="461">
        <f>VLOOKUP(E182,'AM (2011)'!$A$10:$N$444,'AM (2011)'!$N$445,FALSE)</f>
        <v>43925.04998517959</v>
      </c>
      <c r="F179" s="461">
        <f>VLOOKUP(F182,'AM (2011)'!$A$10:$N$444,'AM (2011)'!$N$445,FALSE)</f>
        <v>43413.594621540775</v>
      </c>
      <c r="G179" s="461">
        <f>VLOOKUP(G182,'AM (2011)'!$A$10:$N$444,'AM (2011)'!$N$445,FALSE)</f>
        <v>42834.896122443475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43211.428571428572</v>
      </c>
      <c r="Z179" s="563">
        <f>F181</f>
        <v>43895.772462831286</v>
      </c>
      <c r="AA179" s="563">
        <f>G181</f>
        <v>43700.245636716223</v>
      </c>
      <c r="AB179" s="563">
        <f>H181</f>
        <v>43993.535875888818</v>
      </c>
      <c r="AC179" s="563">
        <f>I181</f>
        <v>43211.428571428572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40400</v>
      </c>
      <c r="E180" s="461">
        <f>VLOOKUP(E183,'AM (2011)'!$A$10:$N$444,'AM (2011)'!$N$445,FALSE)</f>
        <v>40400</v>
      </c>
      <c r="F180" s="461">
        <f>VLOOKUP(F183,'AM (2011)'!$A$10:$N$444,'AM (2011)'!$N$445,FALSE)</f>
        <v>40400</v>
      </c>
      <c r="G180" s="461">
        <f>VLOOKUP(G183,'AM (2011)'!$A$10:$N$444,'AM (2011)'!$N$445,FALSE)</f>
        <v>40400</v>
      </c>
      <c r="H180" s="461">
        <f>VLOOKUP(H183,'AM (2011)'!$A$10:$N$444,'AM (2011)'!$N$445,FALSE)</f>
        <v>40400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43211.428571428572</v>
      </c>
      <c r="F181" s="493">
        <f>VLOOKUP(F184,'AM (2011)'!$A$10:$N$444,'AM (2011)'!$N$445,FALSE)</f>
        <v>43895.772462831286</v>
      </c>
      <c r="G181" s="493">
        <f>VLOOKUP(G184,'AM (2011)'!$A$10:$N$444,'AM (2011)'!$N$445,FALSE)</f>
        <v>43700.245636716223</v>
      </c>
      <c r="H181" s="493">
        <f>VLOOKUP(H184,'AM (2011)'!$A$10:$N$444,'AM (2011)'!$N$445,FALSE)</f>
        <v>43993.535875888818</v>
      </c>
      <c r="I181" s="494">
        <f>VLOOKUP(I184,'AM (2011)'!$A$10:$N$444,'AM (2011)'!$N$445,FALSE)</f>
        <v>43211.428571428572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561</v>
      </c>
      <c r="D182" s="136">
        <f>VLOOKUP($B$2,$B$257:$Y$286,11,FALSE)</f>
        <v>562</v>
      </c>
      <c r="E182" s="136">
        <f>VLOOKUP($B$2,$B$257:$Y$286,12,FALSE)</f>
        <v>563</v>
      </c>
      <c r="F182" s="136">
        <f>VLOOKUP($B$2,$B$257:$Y$286,13,FALSE)</f>
        <v>564</v>
      </c>
      <c r="G182" s="136">
        <f>VLOOKUP($B$2,$B$257:$Y$286,14,FALSE)</f>
        <v>565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566</v>
      </c>
      <c r="E183" s="136">
        <f>VLOOKUP($B$2,$B$257:$Y$286,16,FALSE)</f>
        <v>567</v>
      </c>
      <c r="F183" s="136">
        <f>VLOOKUP($B$2,$B$257:$Y$286,17,FALSE)</f>
        <v>568</v>
      </c>
      <c r="G183" s="136">
        <f>VLOOKUP($B$2,$B$257:$Y$286,18,FALSE)</f>
        <v>569</v>
      </c>
      <c r="H183" s="136">
        <f>VLOOKUP($B$2,$B$257:$Y$286,19,FALSE)</f>
        <v>570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571</v>
      </c>
      <c r="F184" s="136">
        <f>VLOOKUP($B$2,$B$257:$Y$286,21,FALSE)</f>
        <v>572</v>
      </c>
      <c r="G184" s="136">
        <f>VLOOKUP($B$2,$B$257:$Y$286,22,FALSE)</f>
        <v>573</v>
      </c>
      <c r="H184" s="136">
        <f>VLOOKUP($B$2,$B$257:$Y$286,23,FALSE)</f>
        <v>574</v>
      </c>
      <c r="I184" s="136">
        <f>VLOOKUP($B$2,$B$257:$Y$286,24,FALSE)</f>
        <v>575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2</v>
      </c>
      <c r="B186" s="483" t="s">
        <v>205</v>
      </c>
      <c r="C186" s="490"/>
      <c r="D186" s="484">
        <f>VLOOKUP($D$6,'FS (2011)'!$A$13:$AH$244,'FS (2011)'!AC245,FALSE)/1000</f>
        <v>31.097999999999999</v>
      </c>
      <c r="E186" s="495">
        <f t="shared" ref="E186:E191" si="16">D186/$D$192</f>
        <v>0.20782987596236102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Asset replacement and renewal</v>
      </c>
      <c r="V186" s="559">
        <f t="shared" ref="V186:V191" si="18">VLOOKUP(T186,$A$186:$D$191,4,FALSE)</f>
        <v>56.100999999999999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6</v>
      </c>
      <c r="B187" s="162" t="s">
        <v>206</v>
      </c>
      <c r="C187" s="121"/>
      <c r="D187" s="456">
        <f>VLOOKUP($D$6,'FS (2011)'!$A$13:$AH$244,'FS (2011)'!AD245,FALSE)/1000</f>
        <v>2.5870000000000002</v>
      </c>
      <c r="E187" s="468">
        <f t="shared" si="16"/>
        <v>1.7289082549187342E-2</v>
      </c>
      <c r="Q187" s="559"/>
      <c r="R187" s="559"/>
      <c r="S187" s="559"/>
      <c r="T187" s="559">
        <v>2</v>
      </c>
      <c r="U187" s="559" t="str">
        <f t="shared" si="17"/>
        <v>System growth</v>
      </c>
      <c r="V187" s="559">
        <f t="shared" si="18"/>
        <v>31.097999999999999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3</v>
      </c>
      <c r="B188" s="162" t="s">
        <v>209</v>
      </c>
      <c r="C188" s="121"/>
      <c r="D188" s="456">
        <f>VLOOKUP($D$6,'FS (2011)'!$A$13:$AH$244,'FS (2011)'!AB245,FALSE)/1000</f>
        <v>25.748999999999999</v>
      </c>
      <c r="E188" s="468">
        <f t="shared" si="16"/>
        <v>0.17208217493584263</v>
      </c>
      <c r="Q188" s="559"/>
      <c r="R188" s="559"/>
      <c r="S188" s="559"/>
      <c r="T188" s="559">
        <v>3</v>
      </c>
      <c r="U188" s="559" t="str">
        <f t="shared" si="17"/>
        <v>Customer connection</v>
      </c>
      <c r="V188" s="559">
        <f t="shared" si="18"/>
        <v>25.748999999999999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1</v>
      </c>
      <c r="B189" s="162" t="s">
        <v>208</v>
      </c>
      <c r="C189" s="121"/>
      <c r="D189" s="456">
        <f>VLOOKUP($D$6,'FS (2011)'!$A$13:$AH$244,'FS (2011)'!AE245,FALSE)/1000</f>
        <v>56.100999999999999</v>
      </c>
      <c r="E189" s="468">
        <f t="shared" si="16"/>
        <v>0.37492648631308817</v>
      </c>
      <c r="Q189" s="559"/>
      <c r="R189" s="559"/>
      <c r="S189" s="559"/>
      <c r="T189" s="559">
        <v>4</v>
      </c>
      <c r="U189" s="559" t="str">
        <f t="shared" si="17"/>
        <v>Asset relocations</v>
      </c>
      <c r="V189" s="559">
        <f t="shared" si="18"/>
        <v>17.056999999999999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5</v>
      </c>
      <c r="B190" s="162" t="s">
        <v>312</v>
      </c>
      <c r="C190" s="121"/>
      <c r="D190" s="456">
        <f>VLOOKUP($D$6,'FS (2011)'!$A$13:$AH$244,'FS (2011)'!AH245,FALSE)/1000</f>
        <v>17.04</v>
      </c>
      <c r="E190" s="468">
        <f t="shared" si="16"/>
        <v>0.11387938408896493</v>
      </c>
      <c r="Q190" s="559"/>
      <c r="R190" s="559"/>
      <c r="S190" s="559"/>
      <c r="T190" s="559">
        <v>5</v>
      </c>
      <c r="U190" s="559" t="str">
        <f t="shared" si="17"/>
        <v>Non-network capex</v>
      </c>
      <c r="V190" s="559">
        <f t="shared" si="18"/>
        <v>17.04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4</v>
      </c>
      <c r="B191" s="162" t="s">
        <v>207</v>
      </c>
      <c r="C191" s="121"/>
      <c r="D191" s="456">
        <f>VLOOKUP($D$6,'FS (2011)'!$A$13:$AH$244,'FS (2011)'!AF245,FALSE)/1000</f>
        <v>17.056999999999999</v>
      </c>
      <c r="E191" s="468">
        <f t="shared" si="16"/>
        <v>0.11399299615055604</v>
      </c>
      <c r="Q191" s="559"/>
      <c r="R191" s="559"/>
      <c r="S191" s="559"/>
      <c r="T191" s="559">
        <v>6</v>
      </c>
      <c r="U191" s="559" t="str">
        <f t="shared" si="17"/>
        <v>Reliability, safety and environment</v>
      </c>
      <c r="V191" s="559">
        <f t="shared" si="18"/>
        <v>2.5870000000000002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149.63199999999998</v>
      </c>
      <c r="E192" s="496">
        <f>SUM(E186:E191)</f>
        <v>1.0000000000000002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171.62044277608277</v>
      </c>
      <c r="D196" s="484">
        <f>VLOOKUP($D$38,'FS (2011)'!$A$13:$AH$244,'FS (2011)'!$AG$245,FALSE)/1000</f>
        <v>144.28476628457679</v>
      </c>
      <c r="E196" s="484">
        <f>VLOOKUP($E$38,'FS (2011)'!$A$13:$AH$244,'FS (2011)'!$AG$245,FALSE)/1000</f>
        <v>116.16353533992616</v>
      </c>
      <c r="F196" s="486">
        <f>VLOOKUP($F$38,'FS (2011)'!$A$13:$AH$244,'FS (2011)'!$AG$245,FALSE)/1000</f>
        <v>132.59200000000001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8.4070137720623883</v>
      </c>
      <c r="D197" s="456">
        <f>VLOOKUP($D$38,'FS (2011)'!$A$13:$AH$244,'FS (2011)'!$AH$245,FALSE)/1000</f>
        <v>3.8720927997803543</v>
      </c>
      <c r="E197" s="456">
        <f>VLOOKUP($E$38,'FS (2011)'!$A$13:$AH$244,'FS (2011)'!$AH$245,FALSE)/1000</f>
        <v>1.6770030449192959</v>
      </c>
      <c r="F197" s="457">
        <f>VLOOKUP($F$38,'FS (2011)'!$A$13:$AH$244,'FS (2011)'!$AH$245,FALSE)/1000</f>
        <v>17.04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180.02745654814515</v>
      </c>
      <c r="D198" s="488">
        <f>SUM(D196:D197)</f>
        <v>148.15685908435714</v>
      </c>
      <c r="E198" s="488">
        <f>SUM(E196:E197)</f>
        <v>117.84053838484544</v>
      </c>
      <c r="F198" s="489">
        <f>SUM(F196:F197)</f>
        <v>149.63200000000001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-9.433116165596489E-2</v>
      </c>
      <c r="D200" s="498">
        <f t="shared" ref="D200:F202" si="20">D196/C196 - 1</f>
        <v>-0.15927983898265241</v>
      </c>
      <c r="E200" s="498">
        <f t="shared" si="20"/>
        <v>-0.194900900966817</v>
      </c>
      <c r="F200" s="495">
        <f t="shared" si="20"/>
        <v>0.14142531571546701</v>
      </c>
      <c r="Q200" s="559"/>
      <c r="R200" s="559" t="s">
        <v>423</v>
      </c>
      <c r="S200" s="559">
        <f t="shared" ref="S200:V202" si="21">LN(C196)</f>
        <v>5.1452853103551526</v>
      </c>
      <c r="T200" s="559">
        <f t="shared" si="21"/>
        <v>4.9717888904534941</v>
      </c>
      <c r="U200" s="559">
        <f t="shared" si="21"/>
        <v>4.7549989857022439</v>
      </c>
      <c r="V200" s="559">
        <f t="shared" si="21"/>
        <v>4.8872767441066864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0.13686045182981155</v>
      </c>
      <c r="D201" s="467">
        <f t="shared" si="20"/>
        <v>-0.5394211423028914</v>
      </c>
      <c r="E201" s="467">
        <f t="shared" si="20"/>
        <v>-0.56690008952925286</v>
      </c>
      <c r="F201" s="468">
        <f t="shared" si="20"/>
        <v>9.1609833396695066</v>
      </c>
      <c r="Q201" s="559"/>
      <c r="R201" s="559" t="s">
        <v>423</v>
      </c>
      <c r="S201" s="559">
        <f t="shared" si="21"/>
        <v>2.1290663303179165</v>
      </c>
      <c r="T201" s="559">
        <f t="shared" si="21"/>
        <v>1.3537951360125515</v>
      </c>
      <c r="U201" s="559">
        <f t="shared" si="21"/>
        <v>0.51700829853369645</v>
      </c>
      <c r="V201" s="559">
        <f t="shared" si="21"/>
        <v>2.8355635214011694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-7.5380568741210796E-2</v>
      </c>
      <c r="D202" s="500">
        <f t="shared" si="20"/>
        <v>-0.17703187099832629</v>
      </c>
      <c r="E202" s="500">
        <f t="shared" si="20"/>
        <v>-0.20462313312305214</v>
      </c>
      <c r="F202" s="501">
        <f t="shared" si="20"/>
        <v>0.26978374378543246</v>
      </c>
      <c r="Q202" s="559"/>
      <c r="R202" s="559" t="s">
        <v>423</v>
      </c>
      <c r="S202" s="559">
        <f t="shared" si="21"/>
        <v>5.193109375636304</v>
      </c>
      <c r="T202" s="559">
        <f t="shared" si="21"/>
        <v>4.9982715711885266</v>
      </c>
      <c r="U202" s="559">
        <f t="shared" si="21"/>
        <v>4.7693323409223281</v>
      </c>
      <c r="V202" s="559">
        <f t="shared" si="21"/>
        <v>5.008178946409549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Vector</v>
      </c>
      <c r="C206" s="456">
        <f>(C198/C102)*1000000</f>
        <v>264.89740748031494</v>
      </c>
      <c r="D206" s="456">
        <f>(D198/D102)*1000000</f>
        <v>283.745495204142</v>
      </c>
      <c r="E206" s="456">
        <f>(E198/E102)*1000000</f>
        <v>223.56560749060873</v>
      </c>
      <c r="F206" s="457">
        <f>(F198/F102)*1000000</f>
        <v>281.69470146935629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Vector</v>
      </c>
      <c r="C209" s="456">
        <f>(C198/C117)*1000000000</f>
        <v>16903.80098533427</v>
      </c>
      <c r="D209" s="456">
        <f>(D198/D117)*1000000000</f>
        <v>17970.914918523551</v>
      </c>
      <c r="E209" s="456">
        <f>(E198/E117)*1000000000</f>
        <v>14178.99515696944</v>
      </c>
      <c r="F209" s="457">
        <f>(F198/F117)*1000000000</f>
        <v>18051.220482885106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Vector</v>
      </c>
      <c r="C212" s="456">
        <f>(C198/VLOOKUP(C$38,'AV (2011)'!$A$11:$F$213,'AV (2011)'!$F$214,FALSE)*1000)</f>
        <v>6.9526970201792021E-2</v>
      </c>
      <c r="D212" s="456">
        <f>(D198/VLOOKUP(D$38,'AV (2011)'!$A$11:$F$213,'AV (2011)'!$F$214,FALSE)*1000)</f>
        <v>6.9021897042078964E-2</v>
      </c>
      <c r="E212" s="456">
        <f>(E198/VLOOKUP(E$38,'AV (2011)'!$A$11:$F$213,'AV (2011)'!$F$214,FALSE)*1000)</f>
        <v>5.3357169419277269E-2</v>
      </c>
      <c r="F212" s="457">
        <f>(F198/VLOOKUP(F$38,'AV (2011)'!$A$11:$F$213,'AV (2011)'!$F$214,FALSE)*1000)</f>
        <v>6.4267443827190879E-2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-5.3783851693521845E-3</v>
      </c>
      <c r="D215" s="464">
        <f>D206/C206 - 1</f>
        <v>7.1152405390104478E-2</v>
      </c>
      <c r="E215" s="464">
        <f>E206/D206 - 1</f>
        <v>-0.21209107714727449</v>
      </c>
      <c r="F215" s="465">
        <f>F206/E206 - 1</f>
        <v>0.2600091070858892</v>
      </c>
      <c r="K215" s="139"/>
      <c r="P215" s="139"/>
      <c r="Q215" s="559"/>
      <c r="R215" s="559" t="s">
        <v>423</v>
      </c>
      <c r="S215" s="559">
        <f>LN(C206)</f>
        <v>5.579342609443855</v>
      </c>
      <c r="T215" s="559">
        <f>LN(D206)</f>
        <v>5.6480776927370488</v>
      </c>
      <c r="U215" s="559">
        <f>LN(E206)</f>
        <v>5.4097049167967572</v>
      </c>
      <c r="V215" s="559">
        <f>LN(F206)</f>
        <v>5.640823865579967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-3.9888813131682133E-3</v>
      </c>
      <c r="D216" s="467">
        <f>D209/C209 - 1</f>
        <v>6.3128637997756254E-2</v>
      </c>
      <c r="E216" s="467">
        <f>E209/D209 - 1</f>
        <v>-0.21100315586300966</v>
      </c>
      <c r="F216" s="468">
        <f>F209/E209 - 1</f>
        <v>0.27309589170797777</v>
      </c>
      <c r="Q216" s="559"/>
      <c r="R216" s="559" t="s">
        <v>423</v>
      </c>
      <c r="S216" s="559">
        <f>LN(C209)</f>
        <v>9.7352937859974276</v>
      </c>
      <c r="T216" s="559">
        <f>LN(D209)</f>
        <v>9.7965098921445168</v>
      </c>
      <c r="U216" s="559">
        <f>LN(E209)</f>
        <v>9.5595169341738799</v>
      </c>
      <c r="V216" s="559">
        <f>LN(F209)</f>
        <v>9.8009685782554534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-4.8142566761199324E-2</v>
      </c>
      <c r="D217" s="470">
        <f>D212/C212 - 1</f>
        <v>-7.2644206736919292E-3</v>
      </c>
      <c r="E217" s="470">
        <f>E212/D212 - 1</f>
        <v>-0.22695301482733443</v>
      </c>
      <c r="F217" s="471">
        <f>F212/E212 - 1</f>
        <v>0.20447625926670443</v>
      </c>
      <c r="Q217" s="559"/>
      <c r="R217" s="559" t="s">
        <v>423</v>
      </c>
      <c r="S217" s="559">
        <f>LN(C212)</f>
        <v>-2.6660405412299371</v>
      </c>
      <c r="T217" s="559">
        <f>LN(D212)</f>
        <v>-2.6733314762933147</v>
      </c>
      <c r="U217" s="559">
        <f>LN(E212)</f>
        <v>-2.9307469256469223</v>
      </c>
      <c r="V217" s="559">
        <f>LN(F212)</f>
        <v>-2.7447020928001722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Vector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116163.53533992615</v>
      </c>
      <c r="X220" s="563">
        <f>D222</f>
        <v>132592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Vector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105013.40087844573</v>
      </c>
      <c r="X221" s="563">
        <f t="shared" si="23"/>
        <v>90660.047964215453</v>
      </c>
      <c r="Y221" s="563">
        <f t="shared" si="23"/>
        <v>104175.91819137182</v>
      </c>
      <c r="Z221" s="563">
        <f t="shared" si="23"/>
        <v>127065.0739672873</v>
      </c>
      <c r="AA221" s="563">
        <f t="shared" si="23"/>
        <v>144631.83368812478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116163.53533992615</v>
      </c>
      <c r="D222" s="461">
        <f>VLOOKUP(D226,'FS (2011)'!$A$14:$AJ$245,'FS (2011)'!$AG$245,FALSE)</f>
        <v>132592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136100</v>
      </c>
      <c r="Y222" s="563">
        <f t="shared" si="23"/>
        <v>147300</v>
      </c>
      <c r="Z222" s="563">
        <f t="shared" si="23"/>
        <v>155800</v>
      </c>
      <c r="AA222" s="563">
        <f t="shared" si="23"/>
        <v>162700</v>
      </c>
      <c r="AB222" s="563">
        <f>H224</f>
        <v>153300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105013.40087844573</v>
      </c>
      <c r="D223" s="461">
        <f>VLOOKUP(D227,'AM (2011)'!$A$10:$N$444,'AM (2011)'!$J$445,FALSE)</f>
        <v>90660.047964215453</v>
      </c>
      <c r="E223" s="461">
        <f>VLOOKUP(E226,'AM (2011)'!$A$10:$N$444,'AM (2011)'!$J$445,FALSE)</f>
        <v>104175.91819137182</v>
      </c>
      <c r="F223" s="461">
        <f>VLOOKUP(F226,'AM (2011)'!$A$10:$N$444,'AM (2011)'!$J$445,FALSE)</f>
        <v>127065.0739672873</v>
      </c>
      <c r="G223" s="461">
        <f>VLOOKUP(G226,'AM (2011)'!$A$10:$N$444,'AM (2011)'!$J$445,FALSE)</f>
        <v>144631.83368812478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158572.2559793148</v>
      </c>
      <c r="Z223" s="563">
        <f>F225</f>
        <v>157790.14867485454</v>
      </c>
      <c r="AA223" s="563">
        <f>G225</f>
        <v>149675.78539107949</v>
      </c>
      <c r="AB223" s="563">
        <f>H225</f>
        <v>141952.47575953457</v>
      </c>
      <c r="AC223" s="563">
        <f>I225</f>
        <v>143418.92695539753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136100</v>
      </c>
      <c r="E224" s="461">
        <f>VLOOKUP(E227,'AM (2011)'!$A$10:$N$444,'AM (2011)'!$J$445,FALSE)</f>
        <v>147300</v>
      </c>
      <c r="F224" s="461">
        <f>VLOOKUP(F227,'AM (2011)'!$A$10:$N$444,'AM (2011)'!$J$445,FALSE)</f>
        <v>155800</v>
      </c>
      <c r="G224" s="461">
        <f>VLOOKUP(G227,'AM (2011)'!$A$10:$N$444,'AM (2011)'!$J$445,FALSE)</f>
        <v>162700</v>
      </c>
      <c r="H224" s="461">
        <f>VLOOKUP(H227,'AM (2011)'!$A$10:$N$444,'AM (2011)'!$J$445,FALSE)</f>
        <v>153300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158572.2559793148</v>
      </c>
      <c r="F225" s="493">
        <f>VLOOKUP(F228,'AM (2011)'!$A$10:$N$444,'AM (2011)'!$J$445,FALSE)</f>
        <v>157790.14867485454</v>
      </c>
      <c r="G225" s="493">
        <f>VLOOKUP(G228,'AM (2011)'!$A$10:$N$444,'AM (2011)'!$J$445,FALSE)</f>
        <v>149675.78539107949</v>
      </c>
      <c r="H225" s="493">
        <f>VLOOKUP(H228,'AM (2011)'!$A$10:$N$444,'AM (2011)'!$J$445,FALSE)</f>
        <v>141952.47575953457</v>
      </c>
      <c r="I225" s="494">
        <f>VLOOKUP(I228,'AM (2011)'!$A$10:$N$444,'AM (2011)'!$J$445,FALSE)</f>
        <v>143418.92695539753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559</v>
      </c>
      <c r="D226" s="136">
        <f>VLOOKUP($B$2,$B$257:$Y$286,9,FALSE)</f>
        <v>560</v>
      </c>
      <c r="E226" s="136">
        <f>VLOOKUP($B$2,$B$257:$Y$286,12,FALSE)</f>
        <v>563</v>
      </c>
      <c r="F226" s="136">
        <f>VLOOKUP($B$2,$B$257:$Y$286,13,FALSE)</f>
        <v>564</v>
      </c>
      <c r="G226" s="136">
        <f>VLOOKUP($B$2,$B$257:$Y$286,14,FALSE)</f>
        <v>565</v>
      </c>
      <c r="H226" s="136"/>
      <c r="I226" s="136"/>
    </row>
    <row r="227" spans="2:30">
      <c r="C227" s="136">
        <f>VLOOKUP($B$2,$B$257:$Y$286,10,FALSE)</f>
        <v>561</v>
      </c>
      <c r="D227" s="136">
        <f>VLOOKUP($B$2,$B$257:$Y$286,11,FALSE)</f>
        <v>562</v>
      </c>
      <c r="E227" s="136">
        <f>VLOOKUP($B$2,$B$257:$Y$286,16,FALSE)</f>
        <v>567</v>
      </c>
      <c r="F227" s="136">
        <f>VLOOKUP($B$2,$B$257:$Y$286,17,FALSE)</f>
        <v>568</v>
      </c>
      <c r="G227" s="136">
        <f>VLOOKUP($B$2,$B$257:$Y$286,18,FALSE)</f>
        <v>569</v>
      </c>
      <c r="H227" s="136">
        <f>VLOOKUP($B$2,$B$257:$Y$286,19,FALSE)</f>
        <v>570</v>
      </c>
      <c r="I227" s="136"/>
    </row>
    <row r="228" spans="2:30">
      <c r="B228" s="517" t="s">
        <v>291</v>
      </c>
      <c r="C228" s="518"/>
      <c r="D228" s="518">
        <f>VLOOKUP($B$2,$B$257:$Y$286,15,FALSE)</f>
        <v>566</v>
      </c>
      <c r="E228" s="518">
        <f>VLOOKUP($B$2,$B$257:$Y$286,20,FALSE)</f>
        <v>571</v>
      </c>
      <c r="F228" s="519">
        <f>VLOOKUP($B$2,$B$257:$Y$286,21,FALSE)</f>
        <v>572</v>
      </c>
      <c r="G228" s="136">
        <f>VLOOKUP($B$2,$B$257:$Y$286,22,FALSE)</f>
        <v>573</v>
      </c>
      <c r="H228" s="136">
        <f>VLOOKUP($B$2,$B$257:$Y$286,23,FALSE)</f>
        <v>574</v>
      </c>
      <c r="I228" s="136">
        <f>VLOOKUP($B$2,$B$257:$Y$286,24,FALSE)</f>
        <v>575</v>
      </c>
    </row>
    <row r="229" spans="2:30">
      <c r="B229" s="474" t="str">
        <f>$B$2</f>
        <v>Vector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199.4297133</v>
      </c>
      <c r="D230" s="456">
        <f>VLOOKUP(D$38,'MP (2011)'!$A$11:$AR$245,'MP (2011)'!$S$246,FALSE)+VLOOKUP(D$38,'MP (2011)'!$A$11:$AR$245,'MP (2011)'!$T$246,FALSE)</f>
        <v>153.44</v>
      </c>
      <c r="E230" s="456">
        <f>VLOOKUP(E$38,'MP (2011)'!$A$11:$AR$245,'MP (2011)'!$S$246,FALSE)+VLOOKUP(E$38,'MP (2011)'!$A$11:$AR$245,'MP (2011)'!$T$246,FALSE)</f>
        <v>66.779208300000008</v>
      </c>
      <c r="F230" s="457">
        <f>VLOOKUP(F$38,'MP (2011)'!$A$11:$AR$245,'MP (2011)'!$S$246,FALSE)+VLOOKUP(F$38,'MP (2011)'!$A$11:$AR$245,'MP (2011)'!$T$246,FALSE)</f>
        <v>123.15</v>
      </c>
    </row>
    <row r="231" spans="2:30">
      <c r="B231" s="199" t="s">
        <v>292</v>
      </c>
      <c r="C231" s="456">
        <f>IF(ISERROR(VLOOKUP(C$38,'Compliance data'!$A$7:$E$74,'Compliance data'!$D$75,FALSE)),"",(VLOOKUP(C$38,'Compliance data'!$A$7:$E$74,'Compliance data'!$D$75,FALSE)))</f>
        <v>85.456789999999998</v>
      </c>
      <c r="D231" s="456">
        <f>IF(ISERROR(VLOOKUP(D$38,'Compliance data'!$A$7:$E$74,'Compliance data'!$D$75,FALSE)),"",(VLOOKUP(D$38,'Compliance data'!$A$7:$E$74,'Compliance data'!$D$75,FALSE)))</f>
        <v>85.46</v>
      </c>
      <c r="E231" s="456">
        <f>IF(ISERROR(VLOOKUP(E$38,'Compliance data'!$A$7:$E$74,'Compliance data'!$D$75,FALSE)),"",(VLOOKUP(E$38,'Compliance data'!$A$7:$E$74,'Compliance data'!$D$75,FALSE)))</f>
        <v>85.46</v>
      </c>
      <c r="F231" s="457">
        <f>IF(ISERROR(VLOOKUP(F$38,'Compliance data'!$A$7:$E$74,'Compliance data'!$D$75,FALSE)),"",(VLOOKUP(F$38,'Compliance data'!$A$7:$E$74,'Compliance data'!$D$75,FALSE)))</f>
        <v>127.35</v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1.49237474</v>
      </c>
      <c r="D237" s="456">
        <f>VLOOKUP(D$38,'MP (2011)'!$A$11:$AR$245,'MP (2011)'!$W$246,FALSE)+VLOOKUP(D$38,'MP (2011)'!$A$11:$AR$245,'MP (2011)'!$X$246,FALSE)</f>
        <v>1.68</v>
      </c>
      <c r="E237" s="456">
        <f>VLOOKUP(E$38,'MP (2011)'!$A$11:$AR$245,'MP (2011)'!$W$246,FALSE)+VLOOKUP(E$38,'MP (2011)'!$A$11:$AR$245,'MP (2011)'!$X$246,FALSE)</f>
        <v>1.01823792</v>
      </c>
      <c r="F237" s="457">
        <f>VLOOKUP(F$38,'MP (2011)'!$A$11:$AR$245,'MP (2011)'!$W$246,FALSE)+VLOOKUP(F$38,'MP (2011)'!$A$11:$AR$245,'MP (2011)'!$X$246,FALSE)</f>
        <v>1.24</v>
      </c>
    </row>
    <row r="238" spans="2:30">
      <c r="B238" s="199" t="s">
        <v>292</v>
      </c>
      <c r="C238" s="456">
        <f>IF(ISERROR(VLOOKUP(C$38,'Compliance data'!$A$7:$E$74,'Compliance data'!$E$75,FALSE)),"",(VLOOKUP(C$38,'Compliance data'!$A$7:$E$74,'Compliance data'!$E$75,FALSE)))</f>
        <v>1.312757</v>
      </c>
      <c r="D238" s="456">
        <f>IF(ISERROR(VLOOKUP(D$38,'Compliance data'!$A$7:$E$74,'Compliance data'!$E$75,FALSE)),"",(VLOOKUP(D$38,'Compliance data'!$A$7:$E$74,'Compliance data'!$E$75,FALSE)))</f>
        <v>1.3129999999999999</v>
      </c>
      <c r="E238" s="456">
        <f>IF(ISERROR(VLOOKUP(E$38,'Compliance data'!$A$7:$E$74,'Compliance data'!$E$75,FALSE)),"",(VLOOKUP(E$38,'Compliance data'!$A$7:$E$74,'Compliance data'!$E$75,FALSE)))</f>
        <v>1.3129999999999999</v>
      </c>
      <c r="F238" s="457">
        <f>IF(ISERROR(VLOOKUP(F$38,'Compliance data'!$A$7:$E$74,'Compliance data'!$E$75,FALSE)),"",(VLOOKUP(F$38,'Compliance data'!$A$7:$E$74,'Compliance data'!$E$75,FALSE)))</f>
        <v>1.86</v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ref="T258:Y273" si="25">S258+1</f>
        <v>18</v>
      </c>
      <c r="U258" s="526">
        <f t="shared" si="25"/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4"/>
        <v>25</v>
      </c>
      <c r="E259" s="526">
        <f t="shared" si="24"/>
        <v>26</v>
      </c>
      <c r="F259" s="526">
        <f t="shared" si="24"/>
        <v>27</v>
      </c>
      <c r="G259" s="526">
        <f t="shared" si="24"/>
        <v>28</v>
      </c>
      <c r="H259" s="526">
        <f t="shared" si="24"/>
        <v>29</v>
      </c>
      <c r="I259" s="526">
        <f t="shared" si="24"/>
        <v>30</v>
      </c>
      <c r="J259" s="526">
        <f t="shared" si="24"/>
        <v>31</v>
      </c>
      <c r="K259" s="526">
        <f t="shared" si="24"/>
        <v>32</v>
      </c>
      <c r="L259" s="526">
        <f t="shared" si="24"/>
        <v>33</v>
      </c>
      <c r="M259" s="526">
        <f t="shared" si="24"/>
        <v>34</v>
      </c>
      <c r="N259" s="526">
        <f t="shared" si="24"/>
        <v>35</v>
      </c>
      <c r="O259" s="526">
        <f t="shared" si="24"/>
        <v>36</v>
      </c>
      <c r="P259" s="526">
        <f t="shared" si="24"/>
        <v>37</v>
      </c>
      <c r="Q259" s="526">
        <f t="shared" si="24"/>
        <v>38</v>
      </c>
      <c r="R259" s="526">
        <f t="shared" si="24"/>
        <v>39</v>
      </c>
      <c r="S259" s="526">
        <f t="shared" si="24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6">Y259+1</f>
        <v>47</v>
      </c>
      <c r="D260" s="526">
        <f t="shared" si="24"/>
        <v>48</v>
      </c>
      <c r="E260" s="526">
        <f t="shared" si="24"/>
        <v>49</v>
      </c>
      <c r="F260" s="526">
        <f t="shared" si="24"/>
        <v>50</v>
      </c>
      <c r="G260" s="526">
        <f t="shared" si="24"/>
        <v>51</v>
      </c>
      <c r="H260" s="526">
        <f t="shared" si="24"/>
        <v>52</v>
      </c>
      <c r="I260" s="526">
        <f t="shared" si="24"/>
        <v>53</v>
      </c>
      <c r="J260" s="526">
        <f t="shared" si="24"/>
        <v>54</v>
      </c>
      <c r="K260" s="526">
        <f t="shared" si="24"/>
        <v>55</v>
      </c>
      <c r="L260" s="526">
        <f t="shared" si="24"/>
        <v>56</v>
      </c>
      <c r="M260" s="526">
        <f t="shared" si="24"/>
        <v>57</v>
      </c>
      <c r="N260" s="526">
        <f t="shared" si="24"/>
        <v>58</v>
      </c>
      <c r="O260" s="526">
        <f t="shared" si="24"/>
        <v>59</v>
      </c>
      <c r="P260" s="526">
        <f t="shared" si="24"/>
        <v>60</v>
      </c>
      <c r="Q260" s="526">
        <f t="shared" si="24"/>
        <v>61</v>
      </c>
      <c r="R260" s="526">
        <f t="shared" si="24"/>
        <v>62</v>
      </c>
      <c r="S260" s="526">
        <f t="shared" si="24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6"/>
        <v>70</v>
      </c>
      <c r="D261" s="526">
        <f t="shared" si="24"/>
        <v>71</v>
      </c>
      <c r="E261" s="526">
        <f t="shared" si="24"/>
        <v>72</v>
      </c>
      <c r="F261" s="526">
        <f t="shared" si="24"/>
        <v>73</v>
      </c>
      <c r="G261" s="526">
        <f t="shared" si="24"/>
        <v>74</v>
      </c>
      <c r="H261" s="526">
        <f t="shared" si="24"/>
        <v>75</v>
      </c>
      <c r="I261" s="526">
        <f t="shared" si="24"/>
        <v>76</v>
      </c>
      <c r="J261" s="526">
        <f t="shared" si="24"/>
        <v>77</v>
      </c>
      <c r="K261" s="526">
        <f t="shared" si="24"/>
        <v>78</v>
      </c>
      <c r="L261" s="526">
        <f t="shared" si="24"/>
        <v>79</v>
      </c>
      <c r="M261" s="526">
        <f t="shared" si="24"/>
        <v>80</v>
      </c>
      <c r="N261" s="526">
        <f t="shared" si="24"/>
        <v>81</v>
      </c>
      <c r="O261" s="526">
        <f t="shared" si="24"/>
        <v>82</v>
      </c>
      <c r="P261" s="526">
        <f t="shared" si="24"/>
        <v>83</v>
      </c>
      <c r="Q261" s="526">
        <f t="shared" si="24"/>
        <v>84</v>
      </c>
      <c r="R261" s="526">
        <f t="shared" si="24"/>
        <v>85</v>
      </c>
      <c r="S261" s="526">
        <f t="shared" si="24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6"/>
        <v>93</v>
      </c>
      <c r="D262" s="526">
        <f t="shared" si="24"/>
        <v>94</v>
      </c>
      <c r="E262" s="526">
        <f t="shared" si="24"/>
        <v>95</v>
      </c>
      <c r="F262" s="526">
        <f t="shared" si="24"/>
        <v>96</v>
      </c>
      <c r="G262" s="526">
        <f t="shared" si="24"/>
        <v>97</v>
      </c>
      <c r="H262" s="526">
        <f t="shared" si="24"/>
        <v>98</v>
      </c>
      <c r="I262" s="526">
        <f t="shared" si="24"/>
        <v>99</v>
      </c>
      <c r="J262" s="526">
        <f t="shared" si="24"/>
        <v>100</v>
      </c>
      <c r="K262" s="526">
        <f t="shared" si="24"/>
        <v>101</v>
      </c>
      <c r="L262" s="526">
        <f t="shared" si="24"/>
        <v>102</v>
      </c>
      <c r="M262" s="526">
        <f t="shared" si="24"/>
        <v>103</v>
      </c>
      <c r="N262" s="526">
        <f t="shared" si="24"/>
        <v>104</v>
      </c>
      <c r="O262" s="526">
        <f t="shared" si="24"/>
        <v>105</v>
      </c>
      <c r="P262" s="526">
        <f t="shared" si="24"/>
        <v>106</v>
      </c>
      <c r="Q262" s="526">
        <f t="shared" si="24"/>
        <v>107</v>
      </c>
      <c r="R262" s="526">
        <f t="shared" si="24"/>
        <v>108</v>
      </c>
      <c r="S262" s="526">
        <f t="shared" si="24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6"/>
        <v>116</v>
      </c>
      <c r="D263" s="526">
        <f t="shared" si="24"/>
        <v>117</v>
      </c>
      <c r="E263" s="526">
        <f t="shared" si="24"/>
        <v>118</v>
      </c>
      <c r="F263" s="526">
        <f t="shared" si="24"/>
        <v>119</v>
      </c>
      <c r="G263" s="526">
        <f t="shared" si="24"/>
        <v>120</v>
      </c>
      <c r="H263" s="526">
        <f t="shared" si="24"/>
        <v>121</v>
      </c>
      <c r="I263" s="526">
        <f t="shared" si="24"/>
        <v>122</v>
      </c>
      <c r="J263" s="526">
        <f t="shared" si="24"/>
        <v>123</v>
      </c>
      <c r="K263" s="526">
        <f t="shared" si="24"/>
        <v>124</v>
      </c>
      <c r="L263" s="526">
        <f t="shared" si="24"/>
        <v>125</v>
      </c>
      <c r="M263" s="526">
        <f t="shared" si="24"/>
        <v>126</v>
      </c>
      <c r="N263" s="526">
        <f t="shared" si="24"/>
        <v>127</v>
      </c>
      <c r="O263" s="526">
        <f t="shared" si="24"/>
        <v>128</v>
      </c>
      <c r="P263" s="526">
        <f t="shared" si="24"/>
        <v>129</v>
      </c>
      <c r="Q263" s="526">
        <f t="shared" si="24"/>
        <v>130</v>
      </c>
      <c r="R263" s="526">
        <f t="shared" si="24"/>
        <v>131</v>
      </c>
      <c r="S263" s="526">
        <f t="shared" si="24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6"/>
        <v>139</v>
      </c>
      <c r="D264" s="526">
        <f t="shared" si="24"/>
        <v>140</v>
      </c>
      <c r="E264" s="526">
        <f t="shared" si="24"/>
        <v>141</v>
      </c>
      <c r="F264" s="526">
        <f t="shared" si="24"/>
        <v>142</v>
      </c>
      <c r="G264" s="526">
        <f t="shared" si="24"/>
        <v>143</v>
      </c>
      <c r="H264" s="526">
        <f t="shared" si="24"/>
        <v>144</v>
      </c>
      <c r="I264" s="526">
        <f t="shared" si="24"/>
        <v>145</v>
      </c>
      <c r="J264" s="526">
        <f t="shared" si="24"/>
        <v>146</v>
      </c>
      <c r="K264" s="526">
        <f t="shared" si="24"/>
        <v>147</v>
      </c>
      <c r="L264" s="526">
        <f t="shared" si="24"/>
        <v>148</v>
      </c>
      <c r="M264" s="526">
        <f t="shared" si="24"/>
        <v>149</v>
      </c>
      <c r="N264" s="526">
        <f t="shared" si="24"/>
        <v>150</v>
      </c>
      <c r="O264" s="526">
        <f t="shared" si="24"/>
        <v>151</v>
      </c>
      <c r="P264" s="526">
        <f t="shared" si="24"/>
        <v>152</v>
      </c>
      <c r="Q264" s="526">
        <f t="shared" si="24"/>
        <v>153</v>
      </c>
      <c r="R264" s="526">
        <f t="shared" si="24"/>
        <v>154</v>
      </c>
      <c r="S264" s="526">
        <f t="shared" si="24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6"/>
        <v>162</v>
      </c>
      <c r="D265" s="526">
        <f t="shared" si="24"/>
        <v>163</v>
      </c>
      <c r="E265" s="526">
        <f t="shared" si="24"/>
        <v>164</v>
      </c>
      <c r="F265" s="526">
        <f t="shared" si="24"/>
        <v>165</v>
      </c>
      <c r="G265" s="526">
        <f t="shared" si="24"/>
        <v>166</v>
      </c>
      <c r="H265" s="526">
        <f t="shared" si="24"/>
        <v>167</v>
      </c>
      <c r="I265" s="526">
        <f t="shared" si="24"/>
        <v>168</v>
      </c>
      <c r="J265" s="526">
        <f t="shared" si="24"/>
        <v>169</v>
      </c>
      <c r="K265" s="526">
        <f t="shared" si="24"/>
        <v>170</v>
      </c>
      <c r="L265" s="526">
        <f t="shared" si="24"/>
        <v>171</v>
      </c>
      <c r="M265" s="526">
        <f t="shared" si="24"/>
        <v>172</v>
      </c>
      <c r="N265" s="526">
        <f t="shared" si="24"/>
        <v>173</v>
      </c>
      <c r="O265" s="526">
        <f t="shared" si="24"/>
        <v>174</v>
      </c>
      <c r="P265" s="526">
        <f t="shared" si="24"/>
        <v>175</v>
      </c>
      <c r="Q265" s="526">
        <f t="shared" si="24"/>
        <v>176</v>
      </c>
      <c r="R265" s="526">
        <f t="shared" si="24"/>
        <v>177</v>
      </c>
      <c r="S265" s="526">
        <f t="shared" si="24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6"/>
        <v>185</v>
      </c>
      <c r="D266" s="526">
        <f t="shared" si="24"/>
        <v>186</v>
      </c>
      <c r="E266" s="526">
        <f t="shared" si="24"/>
        <v>187</v>
      </c>
      <c r="F266" s="526">
        <f t="shared" si="24"/>
        <v>188</v>
      </c>
      <c r="G266" s="526">
        <f t="shared" si="24"/>
        <v>189</v>
      </c>
      <c r="H266" s="526">
        <f t="shared" si="24"/>
        <v>190</v>
      </c>
      <c r="I266" s="526">
        <f t="shared" si="24"/>
        <v>191</v>
      </c>
      <c r="J266" s="526">
        <f t="shared" si="24"/>
        <v>192</v>
      </c>
      <c r="K266" s="526">
        <f t="shared" si="24"/>
        <v>193</v>
      </c>
      <c r="L266" s="526">
        <f t="shared" si="24"/>
        <v>194</v>
      </c>
      <c r="M266" s="526">
        <f t="shared" si="24"/>
        <v>195</v>
      </c>
      <c r="N266" s="526">
        <f t="shared" si="24"/>
        <v>196</v>
      </c>
      <c r="O266" s="526">
        <f t="shared" si="24"/>
        <v>197</v>
      </c>
      <c r="P266" s="526">
        <f t="shared" si="24"/>
        <v>198</v>
      </c>
      <c r="Q266" s="526">
        <f t="shared" si="24"/>
        <v>199</v>
      </c>
      <c r="R266" s="526">
        <f t="shared" si="24"/>
        <v>200</v>
      </c>
      <c r="S266" s="526">
        <f t="shared" si="24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6"/>
        <v>208</v>
      </c>
      <c r="D267" s="526">
        <f t="shared" si="24"/>
        <v>209</v>
      </c>
      <c r="E267" s="526">
        <f t="shared" si="24"/>
        <v>210</v>
      </c>
      <c r="F267" s="526">
        <f t="shared" si="24"/>
        <v>211</v>
      </c>
      <c r="G267" s="526">
        <f t="shared" si="24"/>
        <v>212</v>
      </c>
      <c r="H267" s="526">
        <f t="shared" si="24"/>
        <v>213</v>
      </c>
      <c r="I267" s="526">
        <f t="shared" si="24"/>
        <v>214</v>
      </c>
      <c r="J267" s="526">
        <f t="shared" si="24"/>
        <v>215</v>
      </c>
      <c r="K267" s="526">
        <f t="shared" si="24"/>
        <v>216</v>
      </c>
      <c r="L267" s="526">
        <f t="shared" si="24"/>
        <v>217</v>
      </c>
      <c r="M267" s="526">
        <f t="shared" si="24"/>
        <v>218</v>
      </c>
      <c r="N267" s="526">
        <f t="shared" si="24"/>
        <v>219</v>
      </c>
      <c r="O267" s="526">
        <f t="shared" si="24"/>
        <v>220</v>
      </c>
      <c r="P267" s="526">
        <f t="shared" si="24"/>
        <v>221</v>
      </c>
      <c r="Q267" s="526">
        <f t="shared" si="24"/>
        <v>222</v>
      </c>
      <c r="R267" s="526">
        <f t="shared" si="24"/>
        <v>223</v>
      </c>
      <c r="S267" s="526">
        <f t="shared" si="24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6"/>
        <v>231</v>
      </c>
      <c r="D268" s="526">
        <f t="shared" si="24"/>
        <v>232</v>
      </c>
      <c r="E268" s="526">
        <f t="shared" si="24"/>
        <v>233</v>
      </c>
      <c r="F268" s="526">
        <f t="shared" si="24"/>
        <v>234</v>
      </c>
      <c r="G268" s="526">
        <f t="shared" si="24"/>
        <v>235</v>
      </c>
      <c r="H268" s="526">
        <f t="shared" si="24"/>
        <v>236</v>
      </c>
      <c r="I268" s="526">
        <f t="shared" si="24"/>
        <v>237</v>
      </c>
      <c r="J268" s="526">
        <f t="shared" si="24"/>
        <v>238</v>
      </c>
      <c r="K268" s="526">
        <f t="shared" si="24"/>
        <v>239</v>
      </c>
      <c r="L268" s="526">
        <f t="shared" si="24"/>
        <v>240</v>
      </c>
      <c r="M268" s="526">
        <f t="shared" si="24"/>
        <v>241</v>
      </c>
      <c r="N268" s="526">
        <f t="shared" si="24"/>
        <v>242</v>
      </c>
      <c r="O268" s="526">
        <f t="shared" si="24"/>
        <v>243</v>
      </c>
      <c r="P268" s="526">
        <f t="shared" si="24"/>
        <v>244</v>
      </c>
      <c r="Q268" s="526">
        <f t="shared" si="24"/>
        <v>245</v>
      </c>
      <c r="R268" s="526">
        <f t="shared" si="24"/>
        <v>246</v>
      </c>
      <c r="S268" s="526">
        <f t="shared" si="24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6"/>
        <v>254</v>
      </c>
      <c r="D269" s="526">
        <f t="shared" si="24"/>
        <v>255</v>
      </c>
      <c r="E269" s="526">
        <f t="shared" si="24"/>
        <v>256</v>
      </c>
      <c r="F269" s="526">
        <f t="shared" si="24"/>
        <v>257</v>
      </c>
      <c r="G269" s="526">
        <f t="shared" si="24"/>
        <v>258</v>
      </c>
      <c r="H269" s="526">
        <f t="shared" si="24"/>
        <v>259</v>
      </c>
      <c r="I269" s="526">
        <f t="shared" si="24"/>
        <v>260</v>
      </c>
      <c r="J269" s="526">
        <f t="shared" si="24"/>
        <v>261</v>
      </c>
      <c r="K269" s="526">
        <f t="shared" si="24"/>
        <v>262</v>
      </c>
      <c r="L269" s="526">
        <f t="shared" si="24"/>
        <v>263</v>
      </c>
      <c r="M269" s="526">
        <f t="shared" si="24"/>
        <v>264</v>
      </c>
      <c r="N269" s="526">
        <f t="shared" si="24"/>
        <v>265</v>
      </c>
      <c r="O269" s="526">
        <f t="shared" si="24"/>
        <v>266</v>
      </c>
      <c r="P269" s="526">
        <f t="shared" si="24"/>
        <v>267</v>
      </c>
      <c r="Q269" s="526">
        <f t="shared" si="24"/>
        <v>268</v>
      </c>
      <c r="R269" s="526">
        <f t="shared" si="24"/>
        <v>269</v>
      </c>
      <c r="S269" s="526">
        <f t="shared" si="24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6"/>
        <v>277</v>
      </c>
      <c r="D270" s="526">
        <f t="shared" si="24"/>
        <v>278</v>
      </c>
      <c r="E270" s="526">
        <f t="shared" si="24"/>
        <v>279</v>
      </c>
      <c r="F270" s="526">
        <f t="shared" si="24"/>
        <v>280</v>
      </c>
      <c r="G270" s="526">
        <f t="shared" si="24"/>
        <v>281</v>
      </c>
      <c r="H270" s="526">
        <f t="shared" si="24"/>
        <v>282</v>
      </c>
      <c r="I270" s="526">
        <f t="shared" si="24"/>
        <v>283</v>
      </c>
      <c r="J270" s="526">
        <f t="shared" si="24"/>
        <v>284</v>
      </c>
      <c r="K270" s="526">
        <f t="shared" si="24"/>
        <v>285</v>
      </c>
      <c r="L270" s="526">
        <f t="shared" si="24"/>
        <v>286</v>
      </c>
      <c r="M270" s="526">
        <f t="shared" si="24"/>
        <v>287</v>
      </c>
      <c r="N270" s="526">
        <f t="shared" si="24"/>
        <v>288</v>
      </c>
      <c r="O270" s="526">
        <f t="shared" si="24"/>
        <v>289</v>
      </c>
      <c r="P270" s="526">
        <f t="shared" si="24"/>
        <v>290</v>
      </c>
      <c r="Q270" s="526">
        <f t="shared" si="24"/>
        <v>291</v>
      </c>
      <c r="R270" s="526">
        <f t="shared" si="24"/>
        <v>292</v>
      </c>
      <c r="S270" s="526">
        <f t="shared" si="24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6"/>
        <v>300</v>
      </c>
      <c r="D271" s="526">
        <f t="shared" si="24"/>
        <v>301</v>
      </c>
      <c r="E271" s="526">
        <f t="shared" si="24"/>
        <v>302</v>
      </c>
      <c r="F271" s="526">
        <f t="shared" si="24"/>
        <v>303</v>
      </c>
      <c r="G271" s="526">
        <f t="shared" si="24"/>
        <v>304</v>
      </c>
      <c r="H271" s="526">
        <f t="shared" si="24"/>
        <v>305</v>
      </c>
      <c r="I271" s="526">
        <f t="shared" si="24"/>
        <v>306</v>
      </c>
      <c r="J271" s="526">
        <f t="shared" si="24"/>
        <v>307</v>
      </c>
      <c r="K271" s="526">
        <f t="shared" si="24"/>
        <v>308</v>
      </c>
      <c r="L271" s="526">
        <f t="shared" si="24"/>
        <v>309</v>
      </c>
      <c r="M271" s="526">
        <f t="shared" si="24"/>
        <v>310</v>
      </c>
      <c r="N271" s="526">
        <f t="shared" si="24"/>
        <v>311</v>
      </c>
      <c r="O271" s="526">
        <f t="shared" si="24"/>
        <v>312</v>
      </c>
      <c r="P271" s="526">
        <f t="shared" si="24"/>
        <v>313</v>
      </c>
      <c r="Q271" s="526">
        <f t="shared" si="24"/>
        <v>314</v>
      </c>
      <c r="R271" s="526">
        <f t="shared" si="24"/>
        <v>315</v>
      </c>
      <c r="S271" s="526">
        <f t="shared" si="24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6"/>
        <v>323</v>
      </c>
      <c r="D272" s="526">
        <f t="shared" si="24"/>
        <v>324</v>
      </c>
      <c r="E272" s="526">
        <f t="shared" si="24"/>
        <v>325</v>
      </c>
      <c r="F272" s="526">
        <f t="shared" si="24"/>
        <v>326</v>
      </c>
      <c r="G272" s="526">
        <f t="shared" si="24"/>
        <v>327</v>
      </c>
      <c r="H272" s="526">
        <f t="shared" si="24"/>
        <v>328</v>
      </c>
      <c r="I272" s="526">
        <f t="shared" si="24"/>
        <v>329</v>
      </c>
      <c r="J272" s="526">
        <f t="shared" si="24"/>
        <v>330</v>
      </c>
      <c r="K272" s="526">
        <f t="shared" si="24"/>
        <v>331</v>
      </c>
      <c r="L272" s="526">
        <f t="shared" si="24"/>
        <v>332</v>
      </c>
      <c r="M272" s="526">
        <f t="shared" si="24"/>
        <v>333</v>
      </c>
      <c r="N272" s="526">
        <f t="shared" si="24"/>
        <v>334</v>
      </c>
      <c r="O272" s="526">
        <f t="shared" si="24"/>
        <v>335</v>
      </c>
      <c r="P272" s="526">
        <f t="shared" si="24"/>
        <v>336</v>
      </c>
      <c r="Q272" s="526">
        <f t="shared" si="24"/>
        <v>337</v>
      </c>
      <c r="R272" s="526">
        <f t="shared" si="24"/>
        <v>338</v>
      </c>
      <c r="S272" s="526">
        <f t="shared" si="24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6"/>
        <v>346</v>
      </c>
      <c r="D273" s="526">
        <f t="shared" si="24"/>
        <v>347</v>
      </c>
      <c r="E273" s="526">
        <f t="shared" si="24"/>
        <v>348</v>
      </c>
      <c r="F273" s="526">
        <f t="shared" si="24"/>
        <v>349</v>
      </c>
      <c r="G273" s="526">
        <f t="shared" si="24"/>
        <v>350</v>
      </c>
      <c r="H273" s="526">
        <f t="shared" si="24"/>
        <v>351</v>
      </c>
      <c r="I273" s="526">
        <f t="shared" si="24"/>
        <v>352</v>
      </c>
      <c r="J273" s="526">
        <f t="shared" si="24"/>
        <v>353</v>
      </c>
      <c r="K273" s="526">
        <f t="shared" si="24"/>
        <v>354</v>
      </c>
      <c r="L273" s="526">
        <f t="shared" si="24"/>
        <v>355</v>
      </c>
      <c r="M273" s="526">
        <f t="shared" si="24"/>
        <v>356</v>
      </c>
      <c r="N273" s="526">
        <f t="shared" si="24"/>
        <v>357</v>
      </c>
      <c r="O273" s="526">
        <f t="shared" si="24"/>
        <v>358</v>
      </c>
      <c r="P273" s="526">
        <f t="shared" si="24"/>
        <v>359</v>
      </c>
      <c r="Q273" s="526">
        <f t="shared" si="24"/>
        <v>360</v>
      </c>
      <c r="R273" s="526">
        <f t="shared" si="24"/>
        <v>361</v>
      </c>
      <c r="S273" s="526">
        <f t="shared" ref="D273:S286" si="27">R273+1</f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6"/>
        <v>369</v>
      </c>
      <c r="D274" s="526">
        <f t="shared" si="27"/>
        <v>370</v>
      </c>
      <c r="E274" s="526">
        <f t="shared" si="27"/>
        <v>371</v>
      </c>
      <c r="F274" s="526">
        <f t="shared" si="27"/>
        <v>372</v>
      </c>
      <c r="G274" s="526">
        <f t="shared" si="27"/>
        <v>373</v>
      </c>
      <c r="H274" s="526">
        <f t="shared" si="27"/>
        <v>374</v>
      </c>
      <c r="I274" s="526">
        <f t="shared" si="27"/>
        <v>375</v>
      </c>
      <c r="J274" s="526">
        <f t="shared" si="27"/>
        <v>376</v>
      </c>
      <c r="K274" s="526">
        <f t="shared" si="27"/>
        <v>377</v>
      </c>
      <c r="L274" s="526">
        <f t="shared" si="27"/>
        <v>378</v>
      </c>
      <c r="M274" s="526">
        <f t="shared" si="27"/>
        <v>379</v>
      </c>
      <c r="N274" s="526">
        <f t="shared" si="27"/>
        <v>380</v>
      </c>
      <c r="O274" s="526">
        <f t="shared" si="27"/>
        <v>381</v>
      </c>
      <c r="P274" s="526">
        <f t="shared" si="27"/>
        <v>382</v>
      </c>
      <c r="Q274" s="526">
        <f t="shared" si="27"/>
        <v>383</v>
      </c>
      <c r="R274" s="526">
        <f t="shared" si="27"/>
        <v>384</v>
      </c>
      <c r="S274" s="526">
        <f t="shared" si="27"/>
        <v>385</v>
      </c>
      <c r="T274" s="526">
        <f t="shared" ref="S274:Y286" si="28">S274+1</f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6"/>
        <v>392</v>
      </c>
      <c r="D275" s="526">
        <f t="shared" si="27"/>
        <v>393</v>
      </c>
      <c r="E275" s="526">
        <f t="shared" si="27"/>
        <v>394</v>
      </c>
      <c r="F275" s="526">
        <f t="shared" si="27"/>
        <v>395</v>
      </c>
      <c r="G275" s="526">
        <f t="shared" si="27"/>
        <v>396</v>
      </c>
      <c r="H275" s="526">
        <f t="shared" si="27"/>
        <v>397</v>
      </c>
      <c r="I275" s="526">
        <f t="shared" si="27"/>
        <v>398</v>
      </c>
      <c r="J275" s="526">
        <f t="shared" si="27"/>
        <v>399</v>
      </c>
      <c r="K275" s="526">
        <f t="shared" si="27"/>
        <v>400</v>
      </c>
      <c r="L275" s="526">
        <f t="shared" si="27"/>
        <v>401</v>
      </c>
      <c r="M275" s="526">
        <f t="shared" si="27"/>
        <v>402</v>
      </c>
      <c r="N275" s="526">
        <f t="shared" si="27"/>
        <v>403</v>
      </c>
      <c r="O275" s="526">
        <f t="shared" si="27"/>
        <v>404</v>
      </c>
      <c r="P275" s="526">
        <f t="shared" si="27"/>
        <v>405</v>
      </c>
      <c r="Q275" s="526">
        <f t="shared" si="27"/>
        <v>406</v>
      </c>
      <c r="R275" s="526">
        <f t="shared" si="27"/>
        <v>407</v>
      </c>
      <c r="S275" s="526">
        <f t="shared" si="27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6"/>
        <v>415</v>
      </c>
      <c r="D276" s="526">
        <f t="shared" si="27"/>
        <v>416</v>
      </c>
      <c r="E276" s="526">
        <f t="shared" si="27"/>
        <v>417</v>
      </c>
      <c r="F276" s="526">
        <f t="shared" si="27"/>
        <v>418</v>
      </c>
      <c r="G276" s="526">
        <f t="shared" si="27"/>
        <v>419</v>
      </c>
      <c r="H276" s="526">
        <f t="shared" si="27"/>
        <v>420</v>
      </c>
      <c r="I276" s="526">
        <f t="shared" si="27"/>
        <v>421</v>
      </c>
      <c r="J276" s="526">
        <f t="shared" si="27"/>
        <v>422</v>
      </c>
      <c r="K276" s="526">
        <f t="shared" si="27"/>
        <v>423</v>
      </c>
      <c r="L276" s="526">
        <f t="shared" si="27"/>
        <v>424</v>
      </c>
      <c r="M276" s="526">
        <f t="shared" si="27"/>
        <v>425</v>
      </c>
      <c r="N276" s="526">
        <f t="shared" si="27"/>
        <v>426</v>
      </c>
      <c r="O276" s="526">
        <f t="shared" si="27"/>
        <v>427</v>
      </c>
      <c r="P276" s="526">
        <f t="shared" si="27"/>
        <v>428</v>
      </c>
      <c r="Q276" s="526">
        <f t="shared" si="27"/>
        <v>429</v>
      </c>
      <c r="R276" s="526">
        <f t="shared" si="27"/>
        <v>430</v>
      </c>
      <c r="S276" s="526">
        <f t="shared" si="27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6"/>
        <v>438</v>
      </c>
      <c r="D277" s="526">
        <f t="shared" si="27"/>
        <v>439</v>
      </c>
      <c r="E277" s="526">
        <f t="shared" si="27"/>
        <v>440</v>
      </c>
      <c r="F277" s="526">
        <f t="shared" si="27"/>
        <v>441</v>
      </c>
      <c r="G277" s="526">
        <f t="shared" si="27"/>
        <v>442</v>
      </c>
      <c r="H277" s="526">
        <f t="shared" si="27"/>
        <v>443</v>
      </c>
      <c r="I277" s="526">
        <f t="shared" si="27"/>
        <v>444</v>
      </c>
      <c r="J277" s="526">
        <f t="shared" si="27"/>
        <v>445</v>
      </c>
      <c r="K277" s="526">
        <f t="shared" si="27"/>
        <v>446</v>
      </c>
      <c r="L277" s="526">
        <f t="shared" si="27"/>
        <v>447</v>
      </c>
      <c r="M277" s="526">
        <f t="shared" si="27"/>
        <v>448</v>
      </c>
      <c r="N277" s="526">
        <f t="shared" si="27"/>
        <v>449</v>
      </c>
      <c r="O277" s="526">
        <f t="shared" si="27"/>
        <v>450</v>
      </c>
      <c r="P277" s="526">
        <f t="shared" si="27"/>
        <v>451</v>
      </c>
      <c r="Q277" s="526">
        <f t="shared" si="27"/>
        <v>452</v>
      </c>
      <c r="R277" s="526">
        <f t="shared" si="27"/>
        <v>453</v>
      </c>
      <c r="S277" s="526">
        <f t="shared" si="27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6"/>
        <v>461</v>
      </c>
      <c r="D278" s="526">
        <f t="shared" si="27"/>
        <v>462</v>
      </c>
      <c r="E278" s="526">
        <f t="shared" si="27"/>
        <v>463</v>
      </c>
      <c r="F278" s="526">
        <f t="shared" si="27"/>
        <v>464</v>
      </c>
      <c r="G278" s="526">
        <f t="shared" si="27"/>
        <v>465</v>
      </c>
      <c r="H278" s="526">
        <f t="shared" si="27"/>
        <v>466</v>
      </c>
      <c r="I278" s="526">
        <f t="shared" si="27"/>
        <v>467</v>
      </c>
      <c r="J278" s="526">
        <f t="shared" si="27"/>
        <v>468</v>
      </c>
      <c r="K278" s="526">
        <f t="shared" si="27"/>
        <v>469</v>
      </c>
      <c r="L278" s="526">
        <f t="shared" si="27"/>
        <v>470</v>
      </c>
      <c r="M278" s="526">
        <f t="shared" si="27"/>
        <v>471</v>
      </c>
      <c r="N278" s="526">
        <f t="shared" si="27"/>
        <v>472</v>
      </c>
      <c r="O278" s="526">
        <f t="shared" si="27"/>
        <v>473</v>
      </c>
      <c r="P278" s="526">
        <f t="shared" si="27"/>
        <v>474</v>
      </c>
      <c r="Q278" s="526">
        <f t="shared" si="27"/>
        <v>475</v>
      </c>
      <c r="R278" s="526">
        <f t="shared" si="27"/>
        <v>476</v>
      </c>
      <c r="S278" s="526">
        <f t="shared" si="27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6"/>
        <v>484</v>
      </c>
      <c r="D279" s="526">
        <f t="shared" si="27"/>
        <v>485</v>
      </c>
      <c r="E279" s="526">
        <f t="shared" si="27"/>
        <v>486</v>
      </c>
      <c r="F279" s="526">
        <f t="shared" si="27"/>
        <v>487</v>
      </c>
      <c r="G279" s="526">
        <f t="shared" si="27"/>
        <v>488</v>
      </c>
      <c r="H279" s="526">
        <f t="shared" si="27"/>
        <v>489</v>
      </c>
      <c r="I279" s="526">
        <f t="shared" si="27"/>
        <v>490</v>
      </c>
      <c r="J279" s="526">
        <f t="shared" si="27"/>
        <v>491</v>
      </c>
      <c r="K279" s="526">
        <f t="shared" si="27"/>
        <v>492</v>
      </c>
      <c r="L279" s="526">
        <f t="shared" si="27"/>
        <v>493</v>
      </c>
      <c r="M279" s="526">
        <f t="shared" si="27"/>
        <v>494</v>
      </c>
      <c r="N279" s="526">
        <f t="shared" si="27"/>
        <v>495</v>
      </c>
      <c r="O279" s="526">
        <f t="shared" si="27"/>
        <v>496</v>
      </c>
      <c r="P279" s="526">
        <f t="shared" si="27"/>
        <v>497</v>
      </c>
      <c r="Q279" s="526">
        <f t="shared" si="27"/>
        <v>498</v>
      </c>
      <c r="R279" s="526">
        <f t="shared" si="27"/>
        <v>499</v>
      </c>
      <c r="S279" s="526">
        <f t="shared" si="27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6"/>
        <v>507</v>
      </c>
      <c r="D280" s="526">
        <f t="shared" si="27"/>
        <v>508</v>
      </c>
      <c r="E280" s="526">
        <f t="shared" si="27"/>
        <v>509</v>
      </c>
      <c r="F280" s="526">
        <f t="shared" si="27"/>
        <v>510</v>
      </c>
      <c r="G280" s="526">
        <f t="shared" si="27"/>
        <v>511</v>
      </c>
      <c r="H280" s="526">
        <f t="shared" si="27"/>
        <v>512</v>
      </c>
      <c r="I280" s="526">
        <f t="shared" si="27"/>
        <v>513</v>
      </c>
      <c r="J280" s="526">
        <f t="shared" si="27"/>
        <v>514</v>
      </c>
      <c r="K280" s="526">
        <f t="shared" si="27"/>
        <v>515</v>
      </c>
      <c r="L280" s="526">
        <f t="shared" si="27"/>
        <v>516</v>
      </c>
      <c r="M280" s="526">
        <f t="shared" si="27"/>
        <v>517</v>
      </c>
      <c r="N280" s="526">
        <f t="shared" si="27"/>
        <v>518</v>
      </c>
      <c r="O280" s="526">
        <f t="shared" si="27"/>
        <v>519</v>
      </c>
      <c r="P280" s="526">
        <f t="shared" si="27"/>
        <v>520</v>
      </c>
      <c r="Q280" s="526">
        <f t="shared" si="27"/>
        <v>521</v>
      </c>
      <c r="R280" s="526">
        <f t="shared" si="27"/>
        <v>522</v>
      </c>
      <c r="S280" s="526">
        <f t="shared" si="27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6"/>
        <v>530</v>
      </c>
      <c r="D281" s="526">
        <f t="shared" si="27"/>
        <v>531</v>
      </c>
      <c r="E281" s="526">
        <f t="shared" si="27"/>
        <v>532</v>
      </c>
      <c r="F281" s="526">
        <f t="shared" si="27"/>
        <v>533</v>
      </c>
      <c r="G281" s="526">
        <f t="shared" si="27"/>
        <v>534</v>
      </c>
      <c r="H281" s="526">
        <f t="shared" si="27"/>
        <v>535</v>
      </c>
      <c r="I281" s="526">
        <f t="shared" si="27"/>
        <v>536</v>
      </c>
      <c r="J281" s="526">
        <f t="shared" si="27"/>
        <v>537</v>
      </c>
      <c r="K281" s="526">
        <f t="shared" si="27"/>
        <v>538</v>
      </c>
      <c r="L281" s="526">
        <f t="shared" si="27"/>
        <v>539</v>
      </c>
      <c r="M281" s="526">
        <f t="shared" si="27"/>
        <v>540</v>
      </c>
      <c r="N281" s="526">
        <f t="shared" si="27"/>
        <v>541</v>
      </c>
      <c r="O281" s="526">
        <f t="shared" si="27"/>
        <v>542</v>
      </c>
      <c r="P281" s="526">
        <f t="shared" si="27"/>
        <v>543</v>
      </c>
      <c r="Q281" s="526">
        <f t="shared" si="27"/>
        <v>544</v>
      </c>
      <c r="R281" s="526">
        <f t="shared" si="27"/>
        <v>545</v>
      </c>
      <c r="S281" s="526">
        <f t="shared" si="27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6"/>
        <v>553</v>
      </c>
      <c r="D282" s="526">
        <f t="shared" si="27"/>
        <v>554</v>
      </c>
      <c r="E282" s="526">
        <f t="shared" si="27"/>
        <v>555</v>
      </c>
      <c r="F282" s="526">
        <f t="shared" si="27"/>
        <v>556</v>
      </c>
      <c r="G282" s="526">
        <f t="shared" si="27"/>
        <v>557</v>
      </c>
      <c r="H282" s="526">
        <f t="shared" si="27"/>
        <v>558</v>
      </c>
      <c r="I282" s="526">
        <f t="shared" si="27"/>
        <v>559</v>
      </c>
      <c r="J282" s="526">
        <f t="shared" si="27"/>
        <v>560</v>
      </c>
      <c r="K282" s="526">
        <f t="shared" si="27"/>
        <v>561</v>
      </c>
      <c r="L282" s="526">
        <f t="shared" si="27"/>
        <v>562</v>
      </c>
      <c r="M282" s="526">
        <f t="shared" si="27"/>
        <v>563</v>
      </c>
      <c r="N282" s="526">
        <f t="shared" si="27"/>
        <v>564</v>
      </c>
      <c r="O282" s="526">
        <f t="shared" si="27"/>
        <v>565</v>
      </c>
      <c r="P282" s="526">
        <f t="shared" si="27"/>
        <v>566</v>
      </c>
      <c r="Q282" s="526">
        <f t="shared" si="27"/>
        <v>567</v>
      </c>
      <c r="R282" s="526">
        <f t="shared" si="27"/>
        <v>568</v>
      </c>
      <c r="S282" s="526">
        <f t="shared" si="27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6"/>
        <v>576</v>
      </c>
      <c r="D283" s="526">
        <f t="shared" si="27"/>
        <v>577</v>
      </c>
      <c r="E283" s="526">
        <f t="shared" si="27"/>
        <v>578</v>
      </c>
      <c r="F283" s="526">
        <f t="shared" si="27"/>
        <v>579</v>
      </c>
      <c r="G283" s="526">
        <f t="shared" si="27"/>
        <v>580</v>
      </c>
      <c r="H283" s="526">
        <f t="shared" si="27"/>
        <v>581</v>
      </c>
      <c r="I283" s="526">
        <f t="shared" si="27"/>
        <v>582</v>
      </c>
      <c r="J283" s="526">
        <f t="shared" si="27"/>
        <v>583</v>
      </c>
      <c r="K283" s="526">
        <f t="shared" si="27"/>
        <v>584</v>
      </c>
      <c r="L283" s="526">
        <f t="shared" si="27"/>
        <v>585</v>
      </c>
      <c r="M283" s="526">
        <f t="shared" si="27"/>
        <v>586</v>
      </c>
      <c r="N283" s="526">
        <f t="shared" si="27"/>
        <v>587</v>
      </c>
      <c r="O283" s="526">
        <f t="shared" si="27"/>
        <v>588</v>
      </c>
      <c r="P283" s="526">
        <f t="shared" si="27"/>
        <v>589</v>
      </c>
      <c r="Q283" s="526">
        <f t="shared" si="27"/>
        <v>590</v>
      </c>
      <c r="R283" s="526">
        <f t="shared" si="27"/>
        <v>591</v>
      </c>
      <c r="S283" s="526">
        <f t="shared" si="27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6"/>
        <v>599</v>
      </c>
      <c r="D284" s="526">
        <f t="shared" si="27"/>
        <v>600</v>
      </c>
      <c r="E284" s="526">
        <f t="shared" si="27"/>
        <v>601</v>
      </c>
      <c r="F284" s="526">
        <f t="shared" si="27"/>
        <v>602</v>
      </c>
      <c r="G284" s="526">
        <f t="shared" si="27"/>
        <v>603</v>
      </c>
      <c r="H284" s="526">
        <f t="shared" si="27"/>
        <v>604</v>
      </c>
      <c r="I284" s="526">
        <f t="shared" si="27"/>
        <v>605</v>
      </c>
      <c r="J284" s="526">
        <f t="shared" si="27"/>
        <v>606</v>
      </c>
      <c r="K284" s="526">
        <f t="shared" si="27"/>
        <v>607</v>
      </c>
      <c r="L284" s="526">
        <f t="shared" si="27"/>
        <v>608</v>
      </c>
      <c r="M284" s="526">
        <f t="shared" si="27"/>
        <v>609</v>
      </c>
      <c r="N284" s="526">
        <f t="shared" si="27"/>
        <v>610</v>
      </c>
      <c r="O284" s="526">
        <f t="shared" si="27"/>
        <v>611</v>
      </c>
      <c r="P284" s="526">
        <f t="shared" si="27"/>
        <v>612</v>
      </c>
      <c r="Q284" s="526">
        <f t="shared" si="27"/>
        <v>613</v>
      </c>
      <c r="R284" s="526">
        <f t="shared" si="27"/>
        <v>614</v>
      </c>
      <c r="S284" s="526">
        <f t="shared" si="27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6"/>
        <v>622</v>
      </c>
      <c r="D285" s="526">
        <f t="shared" si="27"/>
        <v>623</v>
      </c>
      <c r="E285" s="526">
        <f t="shared" si="27"/>
        <v>624</v>
      </c>
      <c r="F285" s="526">
        <f t="shared" si="27"/>
        <v>625</v>
      </c>
      <c r="G285" s="526">
        <f t="shared" si="27"/>
        <v>626</v>
      </c>
      <c r="H285" s="526">
        <f t="shared" si="27"/>
        <v>627</v>
      </c>
      <c r="I285" s="526">
        <f t="shared" si="27"/>
        <v>628</v>
      </c>
      <c r="J285" s="526">
        <f t="shared" si="27"/>
        <v>629</v>
      </c>
      <c r="K285" s="526">
        <f t="shared" si="27"/>
        <v>630</v>
      </c>
      <c r="L285" s="526">
        <f t="shared" si="27"/>
        <v>631</v>
      </c>
      <c r="M285" s="526">
        <f t="shared" si="27"/>
        <v>632</v>
      </c>
      <c r="N285" s="526">
        <f t="shared" si="27"/>
        <v>633</v>
      </c>
      <c r="O285" s="526">
        <f t="shared" si="27"/>
        <v>634</v>
      </c>
      <c r="P285" s="526">
        <f t="shared" si="27"/>
        <v>635</v>
      </c>
      <c r="Q285" s="526">
        <f t="shared" si="27"/>
        <v>636</v>
      </c>
      <c r="R285" s="526">
        <f t="shared" si="27"/>
        <v>637</v>
      </c>
      <c r="S285" s="526">
        <f t="shared" si="27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6"/>
        <v>645</v>
      </c>
      <c r="D286" s="526">
        <f t="shared" si="27"/>
        <v>646</v>
      </c>
      <c r="E286" s="526">
        <f t="shared" si="27"/>
        <v>647</v>
      </c>
      <c r="F286" s="526">
        <f t="shared" si="27"/>
        <v>648</v>
      </c>
      <c r="G286" s="526">
        <f t="shared" si="27"/>
        <v>649</v>
      </c>
      <c r="H286" s="526">
        <f t="shared" si="27"/>
        <v>650</v>
      </c>
      <c r="I286" s="526">
        <f t="shared" si="27"/>
        <v>651</v>
      </c>
      <c r="J286" s="526">
        <f t="shared" si="27"/>
        <v>652</v>
      </c>
      <c r="K286" s="526">
        <f t="shared" si="27"/>
        <v>653</v>
      </c>
      <c r="L286" s="526">
        <f t="shared" si="27"/>
        <v>654</v>
      </c>
      <c r="M286" s="526">
        <f t="shared" si="27"/>
        <v>655</v>
      </c>
      <c r="N286" s="526">
        <f t="shared" si="27"/>
        <v>656</v>
      </c>
      <c r="O286" s="526">
        <f t="shared" si="27"/>
        <v>657</v>
      </c>
      <c r="P286" s="526">
        <f t="shared" si="27"/>
        <v>658</v>
      </c>
      <c r="Q286" s="526">
        <f t="shared" si="27"/>
        <v>659</v>
      </c>
      <c r="R286" s="526">
        <f t="shared" si="27"/>
        <v>660</v>
      </c>
      <c r="S286" s="526">
        <f t="shared" si="28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54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Waipa</v>
      </c>
      <c r="C6" s="108"/>
      <c r="D6" s="109">
        <f>VLOOKUP($B$6,$B$258:$J$286,9,FALSE)</f>
        <v>583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16.83098146</v>
      </c>
      <c r="E7" s="407">
        <f>D7/('Industry calcs'!D4/1000)*100</f>
        <v>0.81650490659394315</v>
      </c>
    </row>
    <row r="8" spans="2:5">
      <c r="B8" s="111" t="s">
        <v>250</v>
      </c>
      <c r="C8" s="114"/>
      <c r="D8" s="406">
        <f>VLOOKUP(D6,'AV (2011)'!A8:F214,'AV (2011)'!F214,FALSE)/1000</f>
        <v>85.001254000000003</v>
      </c>
      <c r="E8" s="407">
        <f>D8/('Industry calcs'!D5/1000)*100</f>
        <v>0.94707430739841991</v>
      </c>
    </row>
    <row r="9" spans="2:5">
      <c r="B9" s="111" t="s">
        <v>230</v>
      </c>
      <c r="C9" s="114"/>
      <c r="D9" s="406">
        <f>VLOOKUP($D$6,'FS (2011)'!$A$13:$AH$244,'FS (2011)'!S245,FALSE)/1000</f>
        <v>5.4180295999999997</v>
      </c>
      <c r="E9" s="407">
        <f>D9/('Industry calcs'!D6/1000)*100</f>
        <v>1.1933789822960399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5.2698606000000003</v>
      </c>
      <c r="E10" s="407">
        <f>D10/('Industry calcs'!D7/1000)*100</f>
        <v>0.90057206346111862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334.26598000000001</v>
      </c>
      <c r="E11" s="407">
        <f>D11/'Industry calcs'!D8*100</f>
        <v>1.0801677142288408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71.665779999999998</v>
      </c>
      <c r="E12" s="407">
        <f>D12/'Industry calcs'!D9*100</f>
        <v>1.1460569521338488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2084.1127000000001</v>
      </c>
      <c r="E13" s="407">
        <f>D13/'Industry calcs'!D10*100</f>
        <v>1.3934047313712112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23510</v>
      </c>
      <c r="E14" s="407">
        <f>D14/'Industry calcs'!D11*100</f>
        <v>1.1704232889840318</v>
      </c>
    </row>
    <row r="15" spans="2:5">
      <c r="B15" s="115" t="s">
        <v>195</v>
      </c>
      <c r="C15" s="116" t="s">
        <v>239</v>
      </c>
      <c r="D15" s="408">
        <f>D14/D13</f>
        <v>11.280579980151744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Waipa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21.220576354632986</v>
      </c>
      <c r="D20" s="409">
        <f>VLOOKUP($B$2,'MED price allocation'!$B$16:$F$44,3,FALSE)</f>
        <v>21.428002379481544</v>
      </c>
      <c r="E20" s="409">
        <f>VLOOKUP($B$2,'MED price allocation'!$B$16:$F$44,4,FALSE)</f>
        <v>21.538180054431297</v>
      </c>
      <c r="F20" s="503">
        <f>VLOOKUP($B$2,'MED price allocation'!$B$16:$F$44,5,FALSE)</f>
        <v>22.298888888888886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4.5172336118160308</v>
      </c>
      <c r="D21" s="410">
        <f>VLOOKUP($B$2,'MED price allocation'!$B$47:$F$75,3,FALSE)</f>
        <v>4.5676161713226708</v>
      </c>
      <c r="E21" s="410">
        <f>VLOOKUP($B$2,'MED price allocation'!$B$47:$F$75,4,FALSE)</f>
        <v>4.7070194820942577</v>
      </c>
      <c r="F21" s="504">
        <f>VLOOKUP($B$2,'MED price allocation'!$B$47:$F$75,5,FALSE)</f>
        <v>4.83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5.6815802229762484</v>
      </c>
      <c r="D22" s="409">
        <f>VLOOKUP($B$2,'MED price allocation'!$B$78:$F$106,3,FALSE)</f>
        <v>6.2700912897247569</v>
      </c>
      <c r="E22" s="409">
        <f>VLOOKUP($B$2,'MED price allocation'!$B$78:$F$106,4,FALSE)</f>
        <v>6.4390396378432273</v>
      </c>
      <c r="F22" s="503">
        <f>VLOOKUP($B$2,'MED price allocation'!$B$78:$F$106,5,FALSE)</f>
        <v>6.61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1.1643466111602181</v>
      </c>
      <c r="D23" s="411">
        <f>VLOOKUP($B$2,'MED price allocation'!$B$109:$F$137,3,FALSE)</f>
        <v>1.7024751184020863</v>
      </c>
      <c r="E23" s="411">
        <f>VLOOKUP($B$2,'MED price allocation'!$B$109:$F$137,4,FALSE)</f>
        <v>1.7320201557489689</v>
      </c>
      <c r="F23" s="505">
        <f>VLOOKUP($B$2,'MED price allocation'!$B$109:$F$137,5,FALSE)</f>
        <v>1.7800000000000002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Waipa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1697.646108370639</v>
      </c>
      <c r="D26" s="412">
        <f>(D20*8000)/100</f>
        <v>1714.2401903585235</v>
      </c>
      <c r="E26" s="412">
        <f>(E20*8000)/100</f>
        <v>1723.0544043545037</v>
      </c>
      <c r="F26" s="506">
        <f>(F20*8000)/100</f>
        <v>1783.911111111111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454.52641783809986</v>
      </c>
      <c r="D27" s="412">
        <f>(D22*8000)/100</f>
        <v>501.60730317798055</v>
      </c>
      <c r="E27" s="412">
        <f>(E22*8000)/100</f>
        <v>515.12317102745817</v>
      </c>
      <c r="F27" s="506">
        <f>(F22*8000)/100</f>
        <v>528.79999999999995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361.37868894528248</v>
      </c>
      <c r="D28" s="412">
        <f>(D21*8000)/100</f>
        <v>365.4092937058137</v>
      </c>
      <c r="E28" s="412">
        <f>(E21*8000)/100</f>
        <v>376.56155856754066</v>
      </c>
      <c r="F28" s="506">
        <f>(F21*8000)/100</f>
        <v>386.4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93.147728892817454</v>
      </c>
      <c r="D29" s="413">
        <f>(D23*8000)/100</f>
        <v>136.19800947216692</v>
      </c>
      <c r="E29" s="413">
        <f>(E23*8000)/100</f>
        <v>138.56161245991751</v>
      </c>
      <c r="F29" s="507">
        <f>(F23*8000)/100</f>
        <v>142.4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Waipa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1729.7129535486943</v>
      </c>
      <c r="D32" s="122"/>
    </row>
    <row r="33" spans="2:13">
      <c r="B33" s="120" t="s">
        <v>241</v>
      </c>
      <c r="C33" s="412">
        <f>AVERAGE(C27:F27)</f>
        <v>500.01422301088468</v>
      </c>
      <c r="D33" s="414">
        <f>C33/$C$32</f>
        <v>0.28907352632415173</v>
      </c>
    </row>
    <row r="34" spans="2:13">
      <c r="B34" s="120" t="s">
        <v>222</v>
      </c>
      <c r="C34" s="412">
        <f>AVERAGE(C28:F28)</f>
        <v>372.43738530465919</v>
      </c>
      <c r="D34" s="414">
        <f>C34/$C$32</f>
        <v>0.21531745168501132</v>
      </c>
    </row>
    <row r="35" spans="2:13">
      <c r="B35" s="124" t="s">
        <v>223</v>
      </c>
      <c r="C35" s="413">
        <f>AVERAGE(C29:F29)</f>
        <v>127.57683770622546</v>
      </c>
      <c r="D35" s="415">
        <f>C35/$C$32</f>
        <v>7.3756074639140384E-2</v>
      </c>
    </row>
    <row r="38" spans="2:13">
      <c r="B38" s="517" t="s">
        <v>227</v>
      </c>
      <c r="C38" s="518">
        <f>VLOOKUP($B$2,$B$258:$J$286,6,FALSE)</f>
        <v>580</v>
      </c>
      <c r="D38" s="518">
        <f>VLOOKUP($B$2,$B$258:$J$286,7,FALSE)</f>
        <v>581</v>
      </c>
      <c r="E38" s="518">
        <f>VLOOKUP($B$2,$B$258:$J$286,8,FALSE)</f>
        <v>582</v>
      </c>
      <c r="F38" s="519">
        <f>VLOOKUP($B$2,$B$258:$J$286,9,FALSE)</f>
        <v>583</v>
      </c>
    </row>
    <row r="39" spans="2:13">
      <c r="B39" s="137" t="str">
        <f>B2</f>
        <v>Waipa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16869.812683983917</v>
      </c>
      <c r="D40" s="418">
        <f>VLOOKUP($D$38,'FS (2011)'!$A$13:$AH$244,'FS (2011)'!E245,FALSE)</f>
        <v>18061.352988400024</v>
      </c>
      <c r="E40" s="418">
        <f>VLOOKUP($E$38,'FS (2011)'!$A$13:$AH$244,'FS (2011)'!E245,FALSE)</f>
        <v>19629.010914823095</v>
      </c>
      <c r="F40" s="419">
        <f>VLOOKUP($F$38,'FS (2011)'!$A$13:$AH$244,'FS (2011)'!E245,FALSE)</f>
        <v>19847.906999999999</v>
      </c>
    </row>
    <row r="41" spans="2:13" ht="30">
      <c r="B41" s="120" t="s">
        <v>198</v>
      </c>
      <c r="C41" s="417">
        <f>VLOOKUP($C$38,'FS (2011)'!$A$13:$AH$244,'FS (2011)'!$F$245,FALSE)</f>
        <v>2245.5929422029599</v>
      </c>
      <c r="D41" s="418">
        <f>VLOOKUP($D$38,'FS (2011)'!$A$13:$AH$244,'FS (2011)'!$F$245,FALSE)</f>
        <v>1323.8061387603811</v>
      </c>
      <c r="E41" s="418">
        <f>VLOOKUP($E$38,'FS (2011)'!$A$13:$AH$244,'FS (2011)'!$F$245,FALSE)</f>
        <v>1240.2773210368891</v>
      </c>
      <c r="F41" s="419">
        <f>VLOOKUP($F$38,'FS (2011)'!$A$13:$AH$244,'FS (2011)'!$F$245,FALSE)</f>
        <v>689.40782999999999</v>
      </c>
    </row>
    <row r="42" spans="2:13">
      <c r="B42" s="120" t="s">
        <v>13</v>
      </c>
      <c r="C42" s="417">
        <f>VLOOKUP($C$38,'FS (2011)'!$A$13:$AH$244,'FS (2011)'!$H$245,FALSE)</f>
        <v>65.588474742664872</v>
      </c>
      <c r="D42" s="418">
        <f>VLOOKUP($D$38,'FS (2011)'!$A$13:$AH$244,'FS (2011)'!$H$245,FALSE)</f>
        <v>71.405335987370421</v>
      </c>
      <c r="E42" s="418">
        <f>VLOOKUP($E$38,'FS (2011)'!$A$13:$AH$244,'FS (2011)'!$H$245,FALSE)</f>
        <v>76.281203788634087</v>
      </c>
      <c r="F42" s="419">
        <f>VLOOKUP($F$38,'FS (2011)'!$A$13:$AH$244,'FS (2011)'!$H$245,FALSE)</f>
        <v>75.296629999999993</v>
      </c>
    </row>
    <row r="43" spans="2:13">
      <c r="B43" s="124" t="s">
        <v>5</v>
      </c>
      <c r="C43" s="420">
        <f>SUM(C40:C42)</f>
        <v>19180.99410092954</v>
      </c>
      <c r="D43" s="420">
        <f>SUM(D40:D42)</f>
        <v>19456.564463147773</v>
      </c>
      <c r="E43" s="420">
        <f>SUM(E40:E42)</f>
        <v>20945.569439648618</v>
      </c>
      <c r="F43" s="421">
        <f>SUM(F40:F42)</f>
        <v>20612.61146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Waipa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107.0631507695835</v>
      </c>
      <c r="E46" s="422">
        <f>IF(ISERROR(E40/$C40),"",(E40/$C40))*100</f>
        <v>116.35583205650374</v>
      </c>
      <c r="F46" s="423">
        <f>IF(ISERROR(F40/$C40),"",(F40/$C40))*100</f>
        <v>117.65339290840771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58.951295841788131</v>
      </c>
      <c r="E47" s="422">
        <f t="shared" si="0"/>
        <v>55.231618238885218</v>
      </c>
      <c r="F47" s="423">
        <f t="shared" si="0"/>
        <v>30.700480797008595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108.86872467690077</v>
      </c>
      <c r="E48" s="422">
        <f t="shared" si="0"/>
        <v>116.30275606792495</v>
      </c>
      <c r="F48" s="423">
        <f t="shared" si="0"/>
        <v>114.80161765527386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101.43668446363205</v>
      </c>
      <c r="E49" s="424">
        <f t="shared" si="0"/>
        <v>109.19960315630128</v>
      </c>
      <c r="F49" s="416">
        <f t="shared" si="0"/>
        <v>107.46372868651829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Waipa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8442.7501569958076</v>
      </c>
      <c r="D54" s="426">
        <f>VLOOKUP($D$38,'MP (2011)'!$A$14:$AR$245,'MP (2011)'!$Z$246,FALSE)</f>
        <v>10744.415976937329</v>
      </c>
      <c r="E54" s="426">
        <f>VLOOKUP($E$38,'MP (2011)'!$A$14:$AR$245,'MP (2011)'!$Z$246,FALSE)</f>
        <v>10990.399412034167</v>
      </c>
      <c r="F54" s="427">
        <f>VLOOKUP($F$38,'MP (2011)'!$A$14:$AR$245,'MP (2011)'!$Z$246,FALSE)</f>
        <v>11746.689</v>
      </c>
    </row>
    <row r="55" spans="2:23">
      <c r="B55" s="111" t="s">
        <v>180</v>
      </c>
      <c r="C55" s="425">
        <f>VLOOKUP($C$38,'MP (2011)'!$A$14:$AR$245,'MP (2011)'!$AD$246,FALSE)</f>
        <v>5093.2216494539653</v>
      </c>
      <c r="D55" s="426">
        <f>VLOOKUP($D$38,'MP (2011)'!$A$14:$AR$245,'MP (2011)'!$AD$246,FALSE)</f>
        <v>4673.5125113048234</v>
      </c>
      <c r="E55" s="426">
        <f>VLOOKUP($E$38,'MP (2011)'!$A$14:$AR$245,'MP (2011)'!$AD$246,FALSE)</f>
        <v>5543.7915314866204</v>
      </c>
      <c r="F55" s="427">
        <f>VLOOKUP($F$38,'MP (2011)'!$A$14:$AR$245,'MP (2011)'!$AD$246,FALSE)</f>
        <v>5495.9745999999996</v>
      </c>
      <c r="J55" s="139"/>
    </row>
    <row r="56" spans="2:23">
      <c r="B56" s="111" t="s">
        <v>184</v>
      </c>
      <c r="C56" s="425">
        <f>VLOOKUP($C$38,'MP (2011)'!$A$14:$AR$245,'MP (2011)'!$AH$246,FALSE)</f>
        <v>1308.8184152433635</v>
      </c>
      <c r="D56" s="426">
        <f>VLOOKUP($D$38,'MP (2011)'!$A$14:$AR$245,'MP (2011)'!$AH$246,FALSE)</f>
        <v>1053.6921631409155</v>
      </c>
      <c r="E56" s="426">
        <f>VLOOKUP($E$38,'MP (2011)'!$A$14:$AR$245,'MP (2011)'!$AH$246,FALSE)</f>
        <v>1463.7696625528815</v>
      </c>
      <c r="F56" s="427">
        <f>VLOOKUP($F$38,'MP (2011)'!$A$14:$AR$245,'MP (2011)'!$AH$246,FALSE)</f>
        <v>1061.0476000000001</v>
      </c>
    </row>
    <row r="57" spans="2:23">
      <c r="B57" s="111" t="s">
        <v>181</v>
      </c>
      <c r="C57" s="425">
        <f>VLOOKUP($C$38,'MP (2011)'!$A$14:$AR$245,'MP (2011)'!$AL$246,FALSE)</f>
        <v>2025.0222466710386</v>
      </c>
      <c r="D57" s="426">
        <f>VLOOKUP($D$38,'MP (2011)'!$A$14:$AR$245,'MP (2011)'!$AL$246,FALSE)</f>
        <v>1589.7323370169534</v>
      </c>
      <c r="E57" s="426">
        <f>VLOOKUP($E$38,'MP (2011)'!$A$14:$AR$245,'MP (2011)'!$AL$246,FALSE)</f>
        <v>1631.0507162835816</v>
      </c>
      <c r="F57" s="427">
        <f>VLOOKUP($F$38,'MP (2011)'!$A$14:$AR$245,'MP (2011)'!$AL$246,FALSE)</f>
        <v>1544.1962000000001</v>
      </c>
      <c r="W57" s="139"/>
    </row>
    <row r="58" spans="2:23">
      <c r="B58" s="147" t="s">
        <v>248</v>
      </c>
      <c r="C58" s="428">
        <f>SUM(C54:C57)</f>
        <v>16869.812468364176</v>
      </c>
      <c r="D58" s="428">
        <f>SUM(D54:D57)</f>
        <v>18061.352988400024</v>
      </c>
      <c r="E58" s="428">
        <f>SUM(E54:E57)</f>
        <v>19629.011322357248</v>
      </c>
      <c r="F58" s="429">
        <f>SUM(F54:F57)</f>
        <v>19847.9074</v>
      </c>
    </row>
    <row r="59" spans="2:23">
      <c r="B59" s="103" t="s">
        <v>302</v>
      </c>
    </row>
    <row r="60" spans="2:23">
      <c r="B60" s="137" t="str">
        <f>$B$2</f>
        <v>Waipa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127.26203875681814</v>
      </c>
      <c r="E61" s="422">
        <f t="shared" si="1"/>
        <v>130.17558506012799</v>
      </c>
      <c r="F61" s="423">
        <f t="shared" si="1"/>
        <v>139.13344326867818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91.759456645792397</v>
      </c>
      <c r="E62" s="422">
        <f t="shared" si="1"/>
        <v>108.84646129784986</v>
      </c>
      <c r="F62" s="423">
        <f t="shared" si="1"/>
        <v>107.9076266117186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80.507131537035292</v>
      </c>
      <c r="E63" s="422">
        <f t="shared" si="1"/>
        <v>111.83901796497157</v>
      </c>
      <c r="F63" s="423">
        <f t="shared" si="1"/>
        <v>81.069122167165375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78.504438142856742</v>
      </c>
      <c r="E64" s="422">
        <f t="shared" si="1"/>
        <v>80.544829518040501</v>
      </c>
      <c r="F64" s="423">
        <f t="shared" si="1"/>
        <v>76.255764722512311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107.06315213799995</v>
      </c>
      <c r="E65" s="424">
        <f t="shared" si="1"/>
        <v>116.35583595945347</v>
      </c>
      <c r="F65" s="416">
        <f t="shared" si="1"/>
        <v>117.65339678328151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Waipa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402.0165781151282</v>
      </c>
      <c r="D70" s="433">
        <f>(D54/D98)*1000</f>
        <v>507.41043574674518</v>
      </c>
      <c r="E70" s="433">
        <f>(E54/E98)*1000</f>
        <v>515.30379838869874</v>
      </c>
      <c r="F70" s="434">
        <f>(F54/F98)*1000</f>
        <v>540.32608095676176</v>
      </c>
    </row>
    <row r="71" spans="2:40">
      <c r="B71" s="111" t="s">
        <v>180</v>
      </c>
      <c r="C71" s="433">
        <f>(C55/C99)*1000</f>
        <v>3120.8465989301258</v>
      </c>
      <c r="D71" s="433">
        <f t="shared" ref="C71:F73" si="2">(D55/D99)*1000</f>
        <v>2811.9810537333474</v>
      </c>
      <c r="E71" s="433">
        <f t="shared" si="2"/>
        <v>3117.9929873378069</v>
      </c>
      <c r="F71" s="434">
        <f t="shared" si="2"/>
        <v>3219.6687756297597</v>
      </c>
    </row>
    <row r="72" spans="2:40">
      <c r="B72" s="111" t="s">
        <v>184</v>
      </c>
      <c r="C72" s="433">
        <f>(C56/C100)*1000</f>
        <v>20450.287738177554</v>
      </c>
      <c r="D72" s="433">
        <f t="shared" si="2"/>
        <v>19158.039329834824</v>
      </c>
      <c r="E72" s="433">
        <f t="shared" si="2"/>
        <v>22519.533270044332</v>
      </c>
      <c r="F72" s="434">
        <f t="shared" si="2"/>
        <v>18293.924137931037</v>
      </c>
    </row>
    <row r="73" spans="2:40">
      <c r="B73" s="115" t="s">
        <v>181</v>
      </c>
      <c r="C73" s="435">
        <f t="shared" si="2"/>
        <v>405004.44933420775</v>
      </c>
      <c r="D73" s="435">
        <f t="shared" si="2"/>
        <v>317946.46740339068</v>
      </c>
      <c r="E73" s="435">
        <f t="shared" si="2"/>
        <v>326210.14325671631</v>
      </c>
      <c r="F73" s="436">
        <f t="shared" si="2"/>
        <v>308839.24</v>
      </c>
    </row>
    <row r="74" spans="2:40">
      <c r="B74" s="103" t="s">
        <v>303</v>
      </c>
    </row>
    <row r="75" spans="2:40">
      <c r="B75" s="137" t="str">
        <f>$B$2</f>
        <v>Waipa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126.21629638403485</v>
      </c>
      <c r="E76" s="422">
        <f t="shared" si="3"/>
        <v>128.17973845872788</v>
      </c>
      <c r="F76" s="423">
        <f t="shared" si="3"/>
        <v>134.40393017872634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90.103148764099387</v>
      </c>
      <c r="E77" s="422">
        <f t="shared" si="3"/>
        <v>99.908562901063533</v>
      </c>
      <c r="F77" s="423">
        <f t="shared" si="3"/>
        <v>103.16651823686276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93.681025788550158</v>
      </c>
      <c r="E78" s="422">
        <f t="shared" si="3"/>
        <v>110.11841768858741</v>
      </c>
      <c r="F78" s="423">
        <f t="shared" si="3"/>
        <v>89.455583081010076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78.504438142856742</v>
      </c>
      <c r="E79" s="424">
        <f t="shared" si="3"/>
        <v>80.544829518040501</v>
      </c>
      <c r="F79" s="416">
        <f t="shared" si="3"/>
        <v>76.255764722512296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Waipa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5.8445392105878309</v>
      </c>
      <c r="D84" s="437">
        <f>(D54/VLOOKUP($D$38,'MP (2011)'!$A$14:$AR$245,'MP (2011)'!$AA$246,FALSE)*100)</f>
        <v>6.8283975710665912</v>
      </c>
      <c r="E84" s="437">
        <f>(E54/VLOOKUP($E$38,'MP (2011)'!$A$14:$AR$245,'MP (2011)'!$AA$246,FALSE)*100)</f>
        <v>7.1384395886421785</v>
      </c>
      <c r="F84" s="438">
        <f>(F54/VLOOKUP($F$38,'MP (2011)'!$A$14:$AR$245,'MP (2011)'!$AA$246,FALSE)*100)</f>
        <v>7.0798987150490431</v>
      </c>
    </row>
    <row r="85" spans="2:7">
      <c r="B85" s="111" t="s">
        <v>180</v>
      </c>
      <c r="C85" s="430">
        <f>(C55/VLOOKUP($C$38,'MP (2011)'!$A$14:$AR$245,'MP (2011)'!$AE$246,FALSE)*100)</f>
        <v>6.2555841978733691</v>
      </c>
      <c r="D85" s="437">
        <f>(D55/VLOOKUP($D$38,'MP (2011)'!$A$14:$AR$245,'MP (2011)'!$AE$246,FALSE)*100)</f>
        <v>6.1661208424839629</v>
      </c>
      <c r="E85" s="437">
        <f>(E55/VLOOKUP($E$38,'MP (2011)'!$A$14:$AR$245,'MP (2011)'!$AE$246,FALSE)*100)</f>
        <v>6.3728068400153939</v>
      </c>
      <c r="F85" s="438">
        <f>(F55/VLOOKUP($F$38,'MP (2011)'!$A$14:$AR$245,'MP (2011)'!$AE$246,FALSE)*100)</f>
        <v>6.516652150764819</v>
      </c>
    </row>
    <row r="86" spans="2:7">
      <c r="B86" s="111" t="s">
        <v>184</v>
      </c>
      <c r="C86" s="430">
        <f>(C56/VLOOKUP($C$38,'MP (2011)'!$A$14:$AR$245,'MP (2011)'!$AI$246,FALSE)*100)</f>
        <v>5.3768040478423806</v>
      </c>
      <c r="D86" s="437">
        <f>(D56/VLOOKUP($D$38,'MP (2011)'!$A$14:$AR$245,'MP (2011)'!$AI$246,FALSE)*100)</f>
        <v>5.5799314746322546</v>
      </c>
      <c r="E86" s="437">
        <f>(E56/VLOOKUP($E$38,'MP (2011)'!$A$14:$AR$245,'MP (2011)'!$AI$246,FALSE)*100)</f>
        <v>5.9867848027437924</v>
      </c>
      <c r="F86" s="438">
        <f>(F56/VLOOKUP($F$38,'MP (2011)'!$A$14:$AR$245,'MP (2011)'!$AI$246,FALSE)*100)</f>
        <v>6.6847194295222776</v>
      </c>
    </row>
    <row r="87" spans="2:7">
      <c r="B87" s="115" t="s">
        <v>181</v>
      </c>
      <c r="C87" s="431">
        <f>(C57/VLOOKUP($C$38,'MP (2011)'!$A$14:$AR$245,'MP (2011)'!$AM$246,FALSE)*100)</f>
        <v>2.952561886724697</v>
      </c>
      <c r="D87" s="431">
        <f>(D57/VLOOKUP($D$38,'MP (2011)'!$A$14:$AR$245,'MP (2011)'!$AM$246,FALSE)*100)</f>
        <v>2.3923631713963296</v>
      </c>
      <c r="E87" s="431">
        <f>(E57/VLOOKUP($E$38,'MP (2011)'!$A$14:$AR$245,'MP (2011)'!$AM$246,FALSE)*100)</f>
        <v>2.2411339167835025</v>
      </c>
      <c r="F87" s="432">
        <f>(F57/VLOOKUP($F$38,'MP (2011)'!$A$14:$AR$245,'MP (2011)'!$AM$246,FALSE)*100)</f>
        <v>2.2662180535956753</v>
      </c>
    </row>
    <row r="88" spans="2:7">
      <c r="B88" s="103" t="s">
        <v>304</v>
      </c>
    </row>
    <row r="89" spans="2:7">
      <c r="B89" s="137" t="str">
        <f>$B$2</f>
        <v>Waipa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116.83380545546559</v>
      </c>
      <c r="E90" s="422">
        <f>IF(ISERROR(E84/$C84),"",(E84/$C84)*100)</f>
        <v>122.13862088067351</v>
      </c>
      <c r="F90" s="423">
        <f>IF(ISERROR(F84/$C84),"",(F84/$C84)*100)</f>
        <v>121.136987193503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98.56986409966602</v>
      </c>
      <c r="E91" s="422">
        <f t="shared" si="4"/>
        <v>101.87388800844333</v>
      </c>
      <c r="F91" s="423">
        <f t="shared" si="4"/>
        <v>104.17335846874545</v>
      </c>
    </row>
    <row r="92" spans="2:7">
      <c r="B92" s="111" t="s">
        <v>184</v>
      </c>
      <c r="C92" s="422">
        <f t="shared" si="4"/>
        <v>100</v>
      </c>
      <c r="D92" s="422">
        <f t="shared" si="4"/>
        <v>103.77784693253579</v>
      </c>
      <c r="E92" s="422">
        <f t="shared" si="4"/>
        <v>111.34467147163724</v>
      </c>
      <c r="F92" s="423">
        <f t="shared" si="4"/>
        <v>124.32514501257938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81.026690148405294</v>
      </c>
      <c r="E93" s="424">
        <f>IF(ISERROR(E87/$C87),"",(E87/$C87)*100)</f>
        <v>75.904722839513866</v>
      </c>
      <c r="F93" s="416">
        <f>IF(ISERROR(F87/$C87),"",(F87/$C87)*100)</f>
        <v>76.754294762966381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21001</v>
      </c>
      <c r="D98" s="150">
        <f>VLOOKUP($D$38,'MP (2011)'!$A$14:$AR$245,'MP (2011)'!$AB$246,FALSE)</f>
        <v>21175</v>
      </c>
      <c r="E98" s="150">
        <f>VLOOKUP($E$38,'MP (2011)'!$A$14:$AR$245,'MP (2011)'!$AB$246,FALSE)</f>
        <v>21328</v>
      </c>
      <c r="F98" s="151">
        <f>VLOOKUP($F$38,'MP (2011)'!$A$14:$AR$245,'MP (2011)'!$AB$246,FALSE)</f>
        <v>21740</v>
      </c>
    </row>
    <row r="99" spans="2:7">
      <c r="B99" s="155" t="s">
        <v>309</v>
      </c>
      <c r="C99" s="150">
        <f>VLOOKUP($C$38,'MP (2011)'!$A$14:$AR$245,'MP (2011)'!$AF$246,FALSE)</f>
        <v>1632</v>
      </c>
      <c r="D99" s="150">
        <f>VLOOKUP($D$38,'MP (2011)'!$A$14:$AR$245,'MP (2011)'!$AF$246,FALSE)</f>
        <v>1662</v>
      </c>
      <c r="E99" s="150">
        <f>VLOOKUP($E$38,'MP (2011)'!$A$14:$AR$245,'MP (2011)'!$AF$246,FALSE)</f>
        <v>1778</v>
      </c>
      <c r="F99" s="151">
        <f>VLOOKUP($F$38,'MP (2011)'!$A$14:$AR$245,'MP (2011)'!$AF$246,FALSE)</f>
        <v>1707</v>
      </c>
    </row>
    <row r="100" spans="2:7">
      <c r="B100" s="155" t="s">
        <v>310</v>
      </c>
      <c r="C100" s="150">
        <f>VLOOKUP($C$38,'MP (2011)'!$A$14:$AR$245,'MP (2011)'!$AJ$246,FALSE)</f>
        <v>64</v>
      </c>
      <c r="D100" s="150">
        <f>VLOOKUP($D$38,'MP (2011)'!$A$14:$AR$245,'MP (2011)'!$AJ$246,FALSE)</f>
        <v>55</v>
      </c>
      <c r="E100" s="150">
        <f>VLOOKUP($E$38,'MP (2011)'!$A$14:$AR$245,'MP (2011)'!$AJ$246,FALSE)</f>
        <v>65</v>
      </c>
      <c r="F100" s="151">
        <f>VLOOKUP($F$38,'MP (2011)'!$A$14:$AR$245,'MP (2011)'!$AJ$246,FALSE)</f>
        <v>58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22702</v>
      </c>
      <c r="D102" s="152">
        <f>SUM(D98:D101)</f>
        <v>22897</v>
      </c>
      <c r="E102" s="152">
        <f>SUM(E98:E101)</f>
        <v>23176</v>
      </c>
      <c r="F102" s="157">
        <f>SUM(F98:F101)</f>
        <v>23510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100.82853197466788</v>
      </c>
      <c r="E105" s="422">
        <f t="shared" si="5"/>
        <v>101.55706871101376</v>
      </c>
      <c r="F105" s="423">
        <f t="shared" si="5"/>
        <v>103.51888005333079</v>
      </c>
    </row>
    <row r="106" spans="2:7">
      <c r="B106" s="111" t="s">
        <v>180</v>
      </c>
      <c r="C106" s="422">
        <f t="shared" si="5"/>
        <v>100</v>
      </c>
      <c r="D106" s="422">
        <f t="shared" si="5"/>
        <v>101.83823529411764</v>
      </c>
      <c r="E106" s="422">
        <f t="shared" si="5"/>
        <v>108.94607843137254</v>
      </c>
      <c r="F106" s="423">
        <f t="shared" si="5"/>
        <v>104.59558823529412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85.9375</v>
      </c>
      <c r="E107" s="422">
        <f t="shared" si="5"/>
        <v>101.5625</v>
      </c>
      <c r="F107" s="423">
        <f t="shared" si="5"/>
        <v>90.625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Waipa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144455.35999999999</v>
      </c>
      <c r="D113" s="150">
        <f>VLOOKUP($D$38,'MP (2011)'!$A$14:$AR$245,'MP (2011)'!$AA$246,FALSE)</f>
        <v>157349.01</v>
      </c>
      <c r="E113" s="150">
        <f>VLOOKUP($E$38,'MP (2011)'!$A$14:$AR$245,'MP (2011)'!$AA$246,FALSE)</f>
        <v>153960.81</v>
      </c>
      <c r="F113" s="151">
        <f>VLOOKUP($F$38,'MP (2011)'!$A$14:$AR$245,'MP (2011)'!$AA$246,FALSE)</f>
        <v>165916.06</v>
      </c>
    </row>
    <row r="114" spans="2:7">
      <c r="B114" s="155" t="s">
        <v>309</v>
      </c>
      <c r="C114" s="150">
        <f>VLOOKUP($C$38,'MP (2011)'!$A$14:$AR$245,'MP (2011)'!$AE$246,FALSE)</f>
        <v>81418.801000000007</v>
      </c>
      <c r="D114" s="150">
        <f>VLOOKUP($D$38,'MP (2011)'!$A$14:$AR$245,'MP (2011)'!$AE$246,FALSE)</f>
        <v>75793.398000000001</v>
      </c>
      <c r="E114" s="150">
        <f>VLOOKUP($E$38,'MP (2011)'!$A$14:$AR$245,'MP (2011)'!$AE$246,FALSE)</f>
        <v>86991.362999999998</v>
      </c>
      <c r="F114" s="151">
        <f>VLOOKUP($F$38,'MP (2011)'!$A$14:$AR$245,'MP (2011)'!$AE$246,FALSE)</f>
        <v>84337.394</v>
      </c>
    </row>
    <row r="115" spans="2:7">
      <c r="B115" s="155" t="s">
        <v>310</v>
      </c>
      <c r="C115" s="150">
        <f>VLOOKUP($C$38,'MP (2011)'!$A$14:$AR$245,'MP (2011)'!$AI$246,FALSE)</f>
        <v>24341.94</v>
      </c>
      <c r="D115" s="150">
        <f>VLOOKUP($D$38,'MP (2011)'!$A$14:$AR$245,'MP (2011)'!$AI$246,FALSE)</f>
        <v>18883.603999999999</v>
      </c>
      <c r="E115" s="150">
        <f>VLOOKUP($E$38,'MP (2011)'!$A$14:$AR$245,'MP (2011)'!$AI$246,FALSE)</f>
        <v>24450.012999999999</v>
      </c>
      <c r="F115" s="151">
        <f>VLOOKUP($F$38,'MP (2011)'!$A$14:$AR$245,'MP (2011)'!$AI$246,FALSE)</f>
        <v>15872.732</v>
      </c>
    </row>
    <row r="116" spans="2:7">
      <c r="B116" s="155" t="s">
        <v>311</v>
      </c>
      <c r="C116" s="150">
        <f>VLOOKUP($C$38,'MP (2011)'!$A$14:$AR$245,'MP (2011)'!$AM$246,FALSE)</f>
        <v>68585.259999999995</v>
      </c>
      <c r="D116" s="150">
        <f>VLOOKUP($D$38,'MP (2011)'!$A$14:$AR$245,'MP (2011)'!$AM$246,FALSE)</f>
        <v>66450.293000000005</v>
      </c>
      <c r="E116" s="150">
        <f>VLOOKUP($E$38,'MP (2011)'!$A$14:$AR$245,'MP (2011)'!$AM$246,FALSE)</f>
        <v>72777.922999999995</v>
      </c>
      <c r="F116" s="151">
        <f>VLOOKUP($F$38,'MP (2011)'!$A$14:$AR$245,'MP (2011)'!$AM$246,FALSE)</f>
        <v>68139.789000000004</v>
      </c>
    </row>
    <row r="117" spans="2:7">
      <c r="B117" s="147" t="s">
        <v>254</v>
      </c>
      <c r="C117" s="158">
        <f>SUM(C113:C116)</f>
        <v>318801.36099999998</v>
      </c>
      <c r="D117" s="158">
        <f>SUM(D113:D116)</f>
        <v>318476.30499999999</v>
      </c>
      <c r="E117" s="158">
        <f>SUM(E113:E116)</f>
        <v>338180.109</v>
      </c>
      <c r="F117" s="159">
        <f>SUM(F113:F116)</f>
        <v>334265.97499999998</v>
      </c>
    </row>
    <row r="118" spans="2:7">
      <c r="B118" s="103" t="s">
        <v>306</v>
      </c>
    </row>
    <row r="119" spans="2:7">
      <c r="B119" s="137" t="str">
        <f>$B$2</f>
        <v>Waipa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108.92569856874819</v>
      </c>
      <c r="E120" s="422">
        <f t="shared" si="6"/>
        <v>106.58019889327748</v>
      </c>
      <c r="F120" s="423">
        <f t="shared" si="6"/>
        <v>114.85628501427709</v>
      </c>
    </row>
    <row r="121" spans="2:7">
      <c r="B121" s="111" t="s">
        <v>180</v>
      </c>
      <c r="C121" s="422">
        <f t="shared" si="6"/>
        <v>100</v>
      </c>
      <c r="D121" s="422">
        <f t="shared" si="6"/>
        <v>93.090781329486788</v>
      </c>
      <c r="E121" s="422">
        <f t="shared" si="6"/>
        <v>106.84431842714066</v>
      </c>
      <c r="F121" s="423">
        <f t="shared" si="6"/>
        <v>103.58466713357765</v>
      </c>
    </row>
    <row r="122" spans="2:7">
      <c r="B122" s="111" t="s">
        <v>184</v>
      </c>
      <c r="C122" s="422">
        <f t="shared" si="6"/>
        <v>100</v>
      </c>
      <c r="D122" s="422">
        <f t="shared" si="6"/>
        <v>77.576413383649793</v>
      </c>
      <c r="E122" s="422">
        <f t="shared" si="6"/>
        <v>100.44397858182215</v>
      </c>
      <c r="F122" s="423">
        <f t="shared" si="6"/>
        <v>65.207341732006569</v>
      </c>
    </row>
    <row r="123" spans="2:7">
      <c r="B123" s="115" t="s">
        <v>181</v>
      </c>
      <c r="C123" s="424">
        <f t="shared" si="6"/>
        <v>100</v>
      </c>
      <c r="D123" s="424">
        <f t="shared" si="6"/>
        <v>96.887134349275655</v>
      </c>
      <c r="E123" s="424">
        <f t="shared" si="6"/>
        <v>106.11306715174661</v>
      </c>
      <c r="F123" s="416">
        <f t="shared" si="6"/>
        <v>99.350485804092614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Waipa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19180.994348892247</v>
      </c>
      <c r="D128" s="433">
        <f>VLOOKUP($D$38,'FS (2011)'!$A$13:$AH$244,'FS (2011)'!$I$245,FALSE)</f>
        <v>19456.564566957233</v>
      </c>
      <c r="E128" s="433">
        <f>VLOOKUP($E$38,'FS (2011)'!$A$13:$AH$244,'FS (2011)'!$I$245,FALSE)</f>
        <v>20945.570376977175</v>
      </c>
      <c r="F128" s="440">
        <f>VLOOKUP($F$38,'FS (2011)'!$A$13:$AH$244,'FS (2011)'!$I$245,FALSE)</f>
        <v>20612.612000000001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2473.7624009010292</v>
      </c>
      <c r="D129" s="433">
        <f>VLOOKUP($D$38,'FS (2011)'!$A$13:$AH$244,'FS (2011)'!$Y$245,FALSE)+VLOOKUP($D$38,'FS (2011)'!$A$13:$AH$244,'FS (2011)'!$Z$245,FALSE)</f>
        <v>2234.342982524538</v>
      </c>
      <c r="E129" s="433">
        <f>VLOOKUP($E$38,'FS (2011)'!$A$13:$AH$244,'FS (2011)'!$Y$245,FALSE)+VLOOKUP($E$38,'FS (2011)'!$A$13:$AH$244,'FS (2011)'!$Z$245,FALSE)</f>
        <v>1595.8287619304247</v>
      </c>
      <c r="F129" s="440">
        <f>VLOOKUP($F$38,'FS (2011)'!$A$13:$AH$244,'FS (2011)'!$Y$245,FALSE)+VLOOKUP($F$38,'FS (2011)'!$A$13:$AH$244,'FS (2011)'!$Z$245,FALSE)</f>
        <v>3507.8973000000001</v>
      </c>
      <c r="G129" s="121"/>
    </row>
    <row r="130" spans="1:30">
      <c r="B130" s="162" t="s">
        <v>191</v>
      </c>
      <c r="C130" s="441">
        <f>VLOOKUP($C$38,'FS (2011)'!$A$13:$AH$244,'FS (2011)'!$J$245,FALSE)</f>
        <v>4403.4925803370306</v>
      </c>
      <c r="D130" s="433">
        <f>VLOOKUP($D$38,'FS (2011)'!$A$13:$AH$244,'FS (2011)'!$J$245,FALSE)</f>
        <v>5195.9821937264041</v>
      </c>
      <c r="E130" s="433">
        <f>VLOOKUP($E$38,'FS (2011)'!$A$13:$AH$244,'FS (2011)'!$J$245,FALSE)</f>
        <v>5565.2535026541982</v>
      </c>
      <c r="F130" s="440">
        <f>VLOOKUP($F$38,'FS (2011)'!$A$13:$AH$244,'FS (2011)'!$J$245,FALSE)</f>
        <v>5510.2291999999998</v>
      </c>
    </row>
    <row r="131" spans="1:30">
      <c r="B131" s="162" t="s">
        <v>182</v>
      </c>
      <c r="C131" s="441">
        <f>VLOOKUP($C$38,'FS (2011)'!$A$13:$AH$244,'FS (2011)'!$S$245,FALSE)</f>
        <v>4254.8018525562429</v>
      </c>
      <c r="D131" s="433">
        <f>VLOOKUP($D$38,'FS (2011)'!$A$13:$AH$244,'FS (2011)'!$S$245,FALSE)</f>
        <v>4827.4134591529946</v>
      </c>
      <c r="E131" s="433">
        <f>VLOOKUP($E$38,'FS (2011)'!$A$13:$AH$244,'FS (2011)'!$S$245,FALSE)</f>
        <v>5149.7775265285218</v>
      </c>
      <c r="F131" s="440">
        <f>VLOOKUP($F$38,'FS (2011)'!$A$13:$AH$244,'FS (2011)'!$S$245,FALSE)</f>
        <v>5418.0295999999998</v>
      </c>
      <c r="I131" s="139"/>
    </row>
    <row r="132" spans="1:30">
      <c r="B132" s="162" t="s">
        <v>143</v>
      </c>
      <c r="C132" s="441">
        <f>VLOOKUP($C$38,'FS (2011)'!$A$13:$AH$244,'FS (2011)'!$U$245,FALSE)</f>
        <v>3109.8010759601948</v>
      </c>
      <c r="D132" s="433">
        <f>VLOOKUP($D$38,'FS (2011)'!$A$13:$AH$244,'FS (2011)'!$U$245,FALSE)</f>
        <v>3294.5221987233158</v>
      </c>
      <c r="E132" s="433">
        <f>VLOOKUP($E$38,'FS (2011)'!$A$13:$AH$244,'FS (2011)'!$U$245,FALSE)</f>
        <v>3323.4355265554682</v>
      </c>
      <c r="F132" s="440">
        <f>VLOOKUP($F$38,'FS (2011)'!$A$13:$AH$244,'FS (2011)'!$U$245,FALSE)</f>
        <v>3422.1142</v>
      </c>
    </row>
    <row r="133" spans="1:30">
      <c r="B133" s="162" t="s">
        <v>196</v>
      </c>
      <c r="C133" s="441">
        <f>VLOOKUP($C$38,'FS (2011)'!$A$13:$AH$244,'FS (2011)'!$X$245,FALSE)</f>
        <v>-61.959568596846388</v>
      </c>
      <c r="D133" s="433">
        <f>VLOOKUP($D$38,'FS (2011)'!$A$13:$AH$244,'FS (2011)'!$X$245,FALSE)</f>
        <v>-56.754114365845275</v>
      </c>
      <c r="E133" s="433">
        <f>VLOOKUP($E$38,'FS (2011)'!$A$13:$AH$244,'FS (2011)'!$X$245,FALSE)</f>
        <v>414.86040597396993</v>
      </c>
      <c r="F133" s="440">
        <f>VLOOKUP($F$38,'FS (2011)'!$A$13:$AH$244,'FS (2011)'!$X$245,FALSE)</f>
        <v>248.05146999999999</v>
      </c>
    </row>
    <row r="134" spans="1:30">
      <c r="B134" s="164" t="s">
        <v>258</v>
      </c>
      <c r="C134" s="442">
        <f>VLOOKUP($C$38,'FS (2011)'!$A$13:$AH$244,'FS (2011)'!$AA$245,FALSE)</f>
        <v>9948.6207599441132</v>
      </c>
      <c r="D134" s="435">
        <f>VLOOKUP($D$38,'FS (2011)'!$A$13:$AH$244,'FS (2011)'!$AA$245,FALSE)</f>
        <v>8429.7441973779914</v>
      </c>
      <c r="E134" s="435">
        <f>VLOOKUP($E$38,'FS (2011)'!$A$13:$AH$244,'FS (2011)'!$AA$245,FALSE)</f>
        <v>8088.0718817331781</v>
      </c>
      <c r="F134" s="443">
        <f>VLOOKUP($F$38,'FS (2011)'!$A$13:$AH$244,'FS (2011)'!$AA$245,FALSE)</f>
        <v>9522.0843999999997</v>
      </c>
      <c r="Q134" s="559"/>
      <c r="R134" s="559"/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3</v>
      </c>
      <c r="B138" s="166" t="s">
        <v>204</v>
      </c>
      <c r="C138" s="167"/>
      <c r="D138" s="444">
        <f>VLOOKUP($D$6,'FS (2011)'!$A$13:$AH$244,'FS (2011)'!$L$245,FALSE)</f>
        <v>1043.4775999999999</v>
      </c>
      <c r="E138" s="446">
        <f t="shared" ref="E138:E144" si="7">D138/$D$145</f>
        <v>0.19259355836668002</v>
      </c>
      <c r="Q138" s="559"/>
      <c r="R138" s="559"/>
      <c r="S138" s="559"/>
      <c r="T138" s="559">
        <v>1</v>
      </c>
      <c r="U138" s="559" t="str">
        <f>VLOOKUP(T138,$A$138:$E$144,2,FALSE)</f>
        <v>Routine and preventative maintenance</v>
      </c>
      <c r="V138" s="559">
        <f>VLOOKUP(T138,$A$138:$E$144,4,FALSE)</f>
        <v>1950.3819000000001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2</v>
      </c>
      <c r="B139" s="162" t="s">
        <v>199</v>
      </c>
      <c r="C139" s="121"/>
      <c r="D139" s="441">
        <f>VLOOKUP($D$6,'FS (2011)'!$A$13:$AH$244,'FS (2011)'!K245,FALSE)</f>
        <v>1688.8442</v>
      </c>
      <c r="E139" s="414">
        <f t="shared" si="7"/>
        <v>0.31170819000324401</v>
      </c>
      <c r="Q139" s="559"/>
      <c r="R139" s="559"/>
      <c r="S139" s="559"/>
      <c r="T139" s="559">
        <v>2</v>
      </c>
      <c r="U139" s="559" t="str">
        <f t="shared" ref="U139:U144" si="9">VLOOKUP(T139,$A$138:$E$144,2,FALSE)</f>
        <v>General management, admin and overheads</v>
      </c>
      <c r="V139" s="559">
        <f t="shared" ref="V139:V144" si="10">VLOOKUP(T139,$A$138:$E$144,4,FALSE)</f>
        <v>1688.8442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1</v>
      </c>
      <c r="B140" s="162" t="s">
        <v>201</v>
      </c>
      <c r="C140" s="121"/>
      <c r="D140" s="441">
        <f>VLOOKUP($D$6,'FS (2011)'!$A$13:$AH$244,'FS (2011)'!M245,FALSE)</f>
        <v>1950.3819000000001</v>
      </c>
      <c r="E140" s="414">
        <f t="shared" si="7"/>
        <v>0.35997992701996318</v>
      </c>
      <c r="Q140" s="559"/>
      <c r="R140" s="559"/>
      <c r="S140" s="559"/>
      <c r="T140" s="559">
        <v>3</v>
      </c>
      <c r="U140" s="559" t="str">
        <f t="shared" si="9"/>
        <v>System management and operations</v>
      </c>
      <c r="V140" s="559">
        <f t="shared" si="10"/>
        <v>1043.4775999999999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6</v>
      </c>
      <c r="B141" s="162" t="s">
        <v>202</v>
      </c>
      <c r="C141" s="121"/>
      <c r="D141" s="441">
        <f>VLOOKUP($D$6,'FS (2011)'!$A$13:$AH$244,'FS (2011)'!N245,FALSE)</f>
        <v>119.87846</v>
      </c>
      <c r="E141" s="414">
        <f t="shared" si="7"/>
        <v>2.2125840729995273E-2</v>
      </c>
      <c r="Q141" s="559"/>
      <c r="R141" s="559"/>
      <c r="S141" s="559"/>
      <c r="T141" s="559">
        <v>4</v>
      </c>
      <c r="U141" s="559" t="str">
        <f t="shared" si="9"/>
        <v>Fault and emergency maintenance</v>
      </c>
      <c r="V141" s="559">
        <f t="shared" si="10"/>
        <v>493.31535000000002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4</v>
      </c>
      <c r="B142" s="162" t="s">
        <v>203</v>
      </c>
      <c r="C142" s="121"/>
      <c r="D142" s="441">
        <f>VLOOKUP($D$6,'FS (2011)'!$A$13:$AH$244,'FS (2011)'!O245,FALSE)</f>
        <v>493.31535000000002</v>
      </c>
      <c r="E142" s="414">
        <f t="shared" si="7"/>
        <v>9.1050693041617947E-2</v>
      </c>
      <c r="Q142" s="559"/>
      <c r="R142" s="559"/>
      <c r="S142" s="559"/>
      <c r="T142" s="559">
        <v>5</v>
      </c>
      <c r="U142" s="559" t="str">
        <f t="shared" si="9"/>
        <v>Pass-through costs</v>
      </c>
      <c r="V142" s="559">
        <f t="shared" si="10"/>
        <v>122.13209000000001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8"/>
        <v>7</v>
      </c>
      <c r="B143" s="162" t="s">
        <v>13</v>
      </c>
      <c r="C143" s="121"/>
      <c r="D143" s="441">
        <f>VLOOKUP($D$6,'FS (2011)'!$A$13:$AH$244,'FS (2011)'!R245,FALSE)</f>
        <v>0</v>
      </c>
      <c r="E143" s="414">
        <f t="shared" si="7"/>
        <v>0</v>
      </c>
      <c r="Q143" s="559"/>
      <c r="R143" s="559"/>
      <c r="S143" s="559"/>
      <c r="T143" s="559">
        <v>6</v>
      </c>
      <c r="U143" s="559" t="str">
        <f t="shared" si="9"/>
        <v>Refurbishment and renewal maintenance</v>
      </c>
      <c r="V143" s="559">
        <f t="shared" si="10"/>
        <v>119.87846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5</v>
      </c>
      <c r="B144" s="162" t="s">
        <v>200</v>
      </c>
      <c r="C144" s="121"/>
      <c r="D144" s="441">
        <f>VLOOKUP($D$6,'FS (2011)'!$A$13:$AH$244,'FS (2011)'!P245,FALSE)</f>
        <v>122.13209000000001</v>
      </c>
      <c r="E144" s="414">
        <f t="shared" si="7"/>
        <v>2.2541790838499665E-2</v>
      </c>
      <c r="Q144" s="559"/>
      <c r="R144" s="559"/>
      <c r="S144" s="559"/>
      <c r="T144" s="559">
        <v>7</v>
      </c>
      <c r="U144" s="559" t="str">
        <f t="shared" si="9"/>
        <v>Other</v>
      </c>
      <c r="V144" s="559">
        <f t="shared" si="10"/>
        <v>0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5418.0295999999998</v>
      </c>
      <c r="E145" s="447">
        <f>SUM(E138:E144)</f>
        <v>1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1.6946154794502579</v>
      </c>
      <c r="D149" s="454">
        <f>(VLOOKUP(D$38,'FS (2011)'!$A$13:$AH$244,'FS (2011)'!$M$245,FALSE)+VLOOKUP(D$38,'FS (2011)'!$A$13:$AH$244,'FS (2011)'!$N$245,FALSE)+VLOOKUP(D$38,'FS (2011)'!$A$13:$AH$244,'FS (2011)'!$O$245,FALSE))/1000</f>
        <v>2.1672681722863607</v>
      </c>
      <c r="E149" s="454">
        <f>(VLOOKUP(E$38,'FS (2011)'!$A$13:$AH$244,'FS (2011)'!$M$245,FALSE)+VLOOKUP(E$38,'FS (2011)'!$A$13:$AH$244,'FS (2011)'!$N$245,FALSE)+VLOOKUP(E$38,'FS (2011)'!$A$13:$AH$244,'FS (2011)'!$O$245,FALSE))/1000</f>
        <v>2.5603475269165474</v>
      </c>
      <c r="F149" s="455">
        <f>(VLOOKUP(F$38,'FS (2011)'!$A$13:$AH$244,'FS (2011)'!$M$245,FALSE)+VLOOKUP(F$38,'FS (2011)'!$A$13:$AH$244,'FS (2011)'!$N$245,FALSE)+VLOOKUP(F$38,'FS (2011)'!$A$13:$AH$244,'FS (2011)'!$O$245,FALSE))/1000</f>
        <v>2.5635757100000003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2.4273020710301956</v>
      </c>
      <c r="D150" s="456">
        <f>(VLOOKUP(D$38,'FS (2011)'!$A$13:$AH$244,'FS (2011)'!$L$245,FALSE)+VLOOKUP(D$38,'FS (2011)'!$A$13:$AH$244,'FS (2011)'!$K$245,FALSE))/1000</f>
        <v>2.5036275517139126</v>
      </c>
      <c r="E150" s="456">
        <f>(VLOOKUP(E$38,'FS (2011)'!$A$13:$AH$244,'FS (2011)'!$L$245,FALSE)+VLOOKUP(E$38,'FS (2011)'!$A$13:$AH$244,'FS (2011)'!$K$245,FALSE))/1000</f>
        <v>2.4400155284794263</v>
      </c>
      <c r="F150" s="457">
        <f>(VLOOKUP(F$38,'FS (2011)'!$A$13:$AH$244,'FS (2011)'!$L$245,FALSE)+VLOOKUP(F$38,'FS (2011)'!$A$13:$AH$244,'FS (2011)'!$K$245,FALSE))/1000</f>
        <v>2.7323217999999998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0.13288428051381485</v>
      </c>
      <c r="D151" s="456">
        <f>(VLOOKUP(D$38,'FS (2011)'!$A$13:$AH$244,'FS (2011)'!$R$245,FALSE)+VLOOKUP(D$38,'FS (2011)'!$A$13:$AH$244,'FS (2011)'!$P$245,FALSE)+VLOOKUP(D$38,'FS (2011)'!$A$13:$AH$244,'FS (2011)'!$Q$245,FALSE))/1000</f>
        <v>0.15651777667650488</v>
      </c>
      <c r="E151" s="456">
        <f>(VLOOKUP(E$38,'FS (2011)'!$A$13:$AH$244,'FS (2011)'!$R$245,FALSE)+VLOOKUP(E$38,'FS (2011)'!$A$13:$AH$244,'FS (2011)'!$P$245,FALSE)+VLOOKUP(E$38,'FS (2011)'!$A$13:$AH$244,'FS (2011)'!$Q$245,FALSE))/1000</f>
        <v>0.14941457301608685</v>
      </c>
      <c r="F151" s="457">
        <f>(VLOOKUP(F$38,'FS (2011)'!$A$13:$AH$244,'FS (2011)'!$R$245,FALSE)+VLOOKUP(F$38,'FS (2011)'!$A$13:$AH$244,'FS (2011)'!$P$245,FALSE)+VLOOKUP(F$38,'FS (2011)'!$A$13:$AH$244,'FS (2011)'!$Q$245,FALSE))/1000</f>
        <v>0.12213209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4.254801852556243</v>
      </c>
      <c r="D152" s="458">
        <f>VLOOKUP($D$38,'FS (2011)'!$A$13:$AH$244,'FS (2011)'!$S$245,FALSE)/1000</f>
        <v>4.8274134591529947</v>
      </c>
      <c r="E152" s="459">
        <f>VLOOKUP($E$38,'FS (2011)'!$A$13:$AH$244,'FS (2011)'!$S$245,FALSE)/1000</f>
        <v>5.1497775265285215</v>
      </c>
      <c r="F152" s="460">
        <f>VLOOKUP($F$38,'FS (2011)'!$A$13:$AH$244,'FS (2011)'!$S$245,FALSE)/1000</f>
        <v>5.4180295999999997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0.15125391511032316</v>
      </c>
      <c r="D154" s="464">
        <f t="shared" ref="D154:E157" si="11">IF(ISERROR(D149/C149 - 1),"",(D149/C149 - 1))</f>
        <v>0.27891441956462826</v>
      </c>
      <c r="E154" s="464">
        <f t="shared" si="11"/>
        <v>0.18137088877907881</v>
      </c>
      <c r="F154" s="465">
        <f>IF(ISERROR(F149/E149 - 1),"",(F149/E149 - 1))</f>
        <v>1.2608378548284449E-3</v>
      </c>
      <c r="Q154" s="559"/>
      <c r="R154" s="559" t="s">
        <v>423</v>
      </c>
      <c r="S154" s="559">
        <f t="shared" ref="S154:V157" si="12">LN(C149)</f>
        <v>0.52745585931518979</v>
      </c>
      <c r="T154" s="559">
        <f t="shared" si="12"/>
        <v>0.77346746768306185</v>
      </c>
      <c r="U154" s="559">
        <f t="shared" si="12"/>
        <v>0.94014300197968326</v>
      </c>
      <c r="V154" s="559">
        <f t="shared" si="12"/>
        <v>0.94140304564595556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3.3486226411456377E-2</v>
      </c>
      <c r="D155" s="467">
        <f t="shared" si="11"/>
        <v>3.144457444941029E-2</v>
      </c>
      <c r="E155" s="467">
        <f t="shared" si="11"/>
        <v>-2.5407941844600379E-2</v>
      </c>
      <c r="F155" s="468">
        <f>IF(ISERROR(F150/E150 - 1),"",(F150/E150 - 1))</f>
        <v>0.11979688985944015</v>
      </c>
      <c r="Q155" s="559"/>
      <c r="R155" s="559" t="s">
        <v>423</v>
      </c>
      <c r="S155" s="559">
        <f t="shared" si="12"/>
        <v>0.8867803817232297</v>
      </c>
      <c r="T155" s="559">
        <f t="shared" si="12"/>
        <v>0.91774070084645398</v>
      </c>
      <c r="U155" s="559">
        <f t="shared" si="12"/>
        <v>0.89200440341577192</v>
      </c>
      <c r="V155" s="559">
        <f t="shared" si="12"/>
        <v>1.0051517239373911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-2.9512864850899434E-2</v>
      </c>
      <c r="D156" s="467">
        <f t="shared" si="11"/>
        <v>0.1778502022309032</v>
      </c>
      <c r="E156" s="467">
        <f t="shared" si="11"/>
        <v>-4.5382727836079106E-2</v>
      </c>
      <c r="F156" s="468">
        <f>IF(ISERROR(F151/E151 - 1),"",(F151/E151 - 1))</f>
        <v>-0.18259586374583059</v>
      </c>
      <c r="Q156" s="559"/>
      <c r="R156" s="559" t="s">
        <v>423</v>
      </c>
      <c r="S156" s="559">
        <f t="shared" si="12"/>
        <v>-2.0182766008168369</v>
      </c>
      <c r="T156" s="559">
        <f t="shared" si="12"/>
        <v>-1.854585686465418</v>
      </c>
      <c r="U156" s="559">
        <f t="shared" si="12"/>
        <v>-1.9010304674254501</v>
      </c>
      <c r="V156" s="559">
        <f t="shared" si="12"/>
        <v>-2.1026521150330937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8.2171288162804945E-2</v>
      </c>
      <c r="D157" s="470">
        <f t="shared" si="11"/>
        <v>0.13458008773140229</v>
      </c>
      <c r="E157" s="470">
        <f t="shared" si="11"/>
        <v>6.6777803497297228E-2</v>
      </c>
      <c r="F157" s="471">
        <f>IF(ISERROR(F152/E152 - 1),"",(F152/E152 - 1))</f>
        <v>5.2090031479924415E-2</v>
      </c>
      <c r="N157" s="136"/>
      <c r="O157" s="136"/>
      <c r="Q157" s="559"/>
      <c r="R157" s="559" t="s">
        <v>423</v>
      </c>
      <c r="S157" s="559">
        <f t="shared" si="12"/>
        <v>1.4480481927991142</v>
      </c>
      <c r="T157" s="559">
        <f t="shared" si="12"/>
        <v>1.5743108085214215</v>
      </c>
      <c r="U157" s="559">
        <f t="shared" si="12"/>
        <v>1.6389535150102268</v>
      </c>
      <c r="V157" s="559">
        <f t="shared" si="12"/>
        <v>1.6897322069185592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Waipa</v>
      </c>
      <c r="C162" s="456">
        <f>(C152/C102)*1000000</f>
        <v>187.41969221021245</v>
      </c>
      <c r="D162" s="456">
        <f>(D152/D102)*1000000</f>
        <v>210.8317010592215</v>
      </c>
      <c r="E162" s="456">
        <f>(E152/E102)*1000000</f>
        <v>222.20303445497589</v>
      </c>
      <c r="F162" s="457">
        <f>(F152/F102)*1000000</f>
        <v>230.45638451722672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Waipa</v>
      </c>
      <c r="C165" s="456">
        <f>C152/VLOOKUP(C$38,'MP (2011)'!$A$14:$AR$245,'MP (2011)'!$H$246,FALSE)*1000000</f>
        <v>2117.4706242913821</v>
      </c>
      <c r="D165" s="456">
        <f>D152/VLOOKUP(D$38,'MP (2011)'!$A$14:$AR$245,'MP (2011)'!$H$246,FALSE)*1000000</f>
        <v>2345.8517935229493</v>
      </c>
      <c r="E165" s="456">
        <f>E152/VLOOKUP(E$38,'MP (2011)'!$A$14:$AR$245,'MP (2011)'!$H$246,FALSE)*1000000</f>
        <v>2484.819282397832</v>
      </c>
      <c r="F165" s="457">
        <f>F152/VLOOKUP(F$38,'MP (2011)'!$A$14:$AR$245,'MP (2011)'!$H$246,FALSE)*1000000</f>
        <v>2599.6816774831796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Waipa</v>
      </c>
      <c r="C168" s="456">
        <f>(C152/C117)*1000000</f>
        <v>13.346247453931802</v>
      </c>
      <c r="D168" s="456">
        <f>(D152/D117)*1000000</f>
        <v>15.157841834270824</v>
      </c>
      <c r="E168" s="456">
        <f>(E152/E117)*1000000</f>
        <v>15.227913734360177</v>
      </c>
      <c r="F168" s="457">
        <f>(F152/F117)*1000000</f>
        <v>16.208737966824174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6.9580470274800632E-2</v>
      </c>
      <c r="D171" s="464">
        <f>IF(ISERROR(D162/C162 - 1),"",(D162/C162 - 1))</f>
        <v>0.12491755040740249</v>
      </c>
      <c r="E171" s="464">
        <f>IF(ISERROR(E162/D162 - 1),"",(E162/D162 - 1))</f>
        <v>5.393559573168849E-2</v>
      </c>
      <c r="F171" s="465">
        <f>IF(ISERROR(F162/E162 - 1),"",(F162/E162 - 1))</f>
        <v>3.7143282415088574E-2</v>
      </c>
      <c r="H171" s="139"/>
      <c r="Q171" s="559"/>
      <c r="R171" s="559" t="s">
        <v>423</v>
      </c>
      <c r="S171" s="559">
        <f>LN(C162)</f>
        <v>5.2333504454481039</v>
      </c>
      <c r="T171" s="559">
        <f>LN(D162)</f>
        <v>5.3510601898919985</v>
      </c>
      <c r="U171" s="559">
        <f>LN(E162)</f>
        <v>5.4035915335253142</v>
      </c>
      <c r="V171" s="559">
        <f>LN(F162)</f>
        <v>5.4400616233487185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6.9621829140015024E-2</v>
      </c>
      <c r="D172" s="467">
        <f>IF(ISERROR(D165/C165 - 1),"",(D165/C165 - 1))</f>
        <v>0.10785564938261927</v>
      </c>
      <c r="E172" s="467">
        <f>IF(ISERROR(E165/D165 - 1),"",(E165/D165 - 1))</f>
        <v>5.9239671175553843E-2</v>
      </c>
      <c r="F172" s="468">
        <f>IF(ISERROR(F165/E165 - 1),"",(F165/E165 - 1))</f>
        <v>4.6225653470664652E-2</v>
      </c>
      <c r="Q172" s="559"/>
      <c r="R172" s="559" t="s">
        <v>423</v>
      </c>
      <c r="S172" s="559">
        <f>LN(C165)</f>
        <v>7.6579775536041872</v>
      </c>
      <c r="T172" s="559">
        <f>LN(D165)</f>
        <v>7.7604038531014625</v>
      </c>
      <c r="U172" s="559">
        <f>LN(E165)</f>
        <v>7.8179552125051019</v>
      </c>
      <c r="V172" s="559">
        <f>LN(F165)</f>
        <v>7.8631442847769577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6.0516212808073844E-2</v>
      </c>
      <c r="D173" s="470">
        <f>IF(ISERROR(D168/C168 - 1),"",(D168/C168 - 1))</f>
        <v>0.13573810815303933</v>
      </c>
      <c r="E173" s="470">
        <f>IF(ISERROR(E168/D168 - 1),"",(E168/D168 - 1))</f>
        <v>4.6228150983160798E-3</v>
      </c>
      <c r="F173" s="471">
        <f>IF(ISERROR(F168/E168 - 1),"",(F168/E168 - 1))</f>
        <v>6.4409626267508457E-2</v>
      </c>
      <c r="Q173" s="559"/>
      <c r="R173" s="559" t="s">
        <v>423</v>
      </c>
      <c r="S173" s="559">
        <f>LN(C168)</f>
        <v>2.5912352557400506</v>
      </c>
      <c r="T173" s="559">
        <f>LN(D168)</f>
        <v>2.7185180108632263</v>
      </c>
      <c r="U173" s="559">
        <f>LN(E168)</f>
        <v>2.7231301735685718</v>
      </c>
      <c r="V173" s="559">
        <f>LN(F168)</f>
        <v>2.7855504774930311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Waipa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6" t="s">
        <v>280</v>
      </c>
      <c r="W176" s="563">
        <f>C178</f>
        <v>2560.3475269165474</v>
      </c>
      <c r="X176" s="563">
        <f>D178</f>
        <v>2563.5757100000001</v>
      </c>
      <c r="Y176" s="563"/>
      <c r="Z176" s="563"/>
      <c r="AA176" s="563"/>
      <c r="AB176" s="563"/>
      <c r="AC176" s="563"/>
      <c r="AD176" s="559"/>
    </row>
    <row r="177" spans="1:30" s="103" customFormat="1">
      <c r="B177" s="478" t="str">
        <f>$B$2</f>
        <v>Waipa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1911.3351836382742</v>
      </c>
      <c r="X177" s="563">
        <f t="shared" si="14"/>
        <v>1776.8489127212954</v>
      </c>
      <c r="Y177" s="563">
        <f t="shared" si="14"/>
        <v>1776.8489127212954</v>
      </c>
      <c r="Z177" s="563">
        <f t="shared" si="14"/>
        <v>1776.8489127212954</v>
      </c>
      <c r="AA177" s="563">
        <f t="shared" si="14"/>
        <v>1776.8489127212954</v>
      </c>
      <c r="AB177" s="563"/>
      <c r="AC177" s="563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2560.3475269165474</v>
      </c>
      <c r="D178" s="461">
        <f>VLOOKUP(F38,'FS (2011)'!$A$14:$T$246,'FS (2011)'!$M$245,FALSE)+VLOOKUP(F38,'FS (2011)'!$A$14:$AO$245,'FS (2011)'!$N$245,FALSE)+VLOOKUP(F38,'FS (2011)'!$A$14:$AO$245,'FS (2011)'!$O$245,FALSE)</f>
        <v>2563.5757100000001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3"/>
      <c r="X178" s="563">
        <f t="shared" si="14"/>
        <v>1744</v>
      </c>
      <c r="Y178" s="563">
        <f t="shared" si="14"/>
        <v>1744</v>
      </c>
      <c r="Z178" s="563">
        <f t="shared" si="14"/>
        <v>1744</v>
      </c>
      <c r="AA178" s="563">
        <f t="shared" si="14"/>
        <v>1744</v>
      </c>
      <c r="AB178" s="563">
        <f>H180</f>
        <v>1744</v>
      </c>
      <c r="AC178" s="563"/>
      <c r="AD178" s="559"/>
    </row>
    <row r="179" spans="1:30">
      <c r="B179" s="199" t="s">
        <v>277</v>
      </c>
      <c r="C179" s="461">
        <f>VLOOKUP(C182,'AM (2011)'!$A$10:$N$444,'AM (2011)'!$N$445,FALSE)</f>
        <v>1911.3351836382742</v>
      </c>
      <c r="D179" s="461">
        <f>VLOOKUP(D182,'AM (2011)'!$A$10:$N$444,'AM (2011)'!$N$445,FALSE)</f>
        <v>1776.8489127212954</v>
      </c>
      <c r="E179" s="461">
        <f>VLOOKUP(E182,'AM (2011)'!$A$10:$N$444,'AM (2011)'!$N$445,FALSE)</f>
        <v>1776.8489127212954</v>
      </c>
      <c r="F179" s="461">
        <f>VLOOKUP(F182,'AM (2011)'!$A$10:$N$444,'AM (2011)'!$N$445,FALSE)</f>
        <v>1776.8489127212954</v>
      </c>
      <c r="G179" s="461">
        <f>VLOOKUP(G182,'AM (2011)'!$A$10:$N$444,'AM (2011)'!$N$445,FALSE)</f>
        <v>1776.8489127212954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3"/>
      <c r="X179" s="563"/>
      <c r="Y179" s="563">
        <f>E181</f>
        <v>2115.6002585649644</v>
      </c>
      <c r="Z179" s="563">
        <f>F181</f>
        <v>2115.6002585649644</v>
      </c>
      <c r="AA179" s="563">
        <f>G181</f>
        <v>2115.6002585649644</v>
      </c>
      <c r="AB179" s="563">
        <f>H181</f>
        <v>2115.6002585649644</v>
      </c>
      <c r="AC179" s="563">
        <f>I181</f>
        <v>2115.6002585649644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1744</v>
      </c>
      <c r="E180" s="461">
        <f>VLOOKUP(E183,'AM (2011)'!$A$10:$N$444,'AM (2011)'!$N$445,FALSE)</f>
        <v>1744</v>
      </c>
      <c r="F180" s="461">
        <f>VLOOKUP(F183,'AM (2011)'!$A$10:$N$444,'AM (2011)'!$N$445,FALSE)</f>
        <v>1744</v>
      </c>
      <c r="G180" s="461">
        <f>VLOOKUP(G183,'AM (2011)'!$A$10:$N$444,'AM (2011)'!$N$445,FALSE)</f>
        <v>1744</v>
      </c>
      <c r="H180" s="461">
        <f>VLOOKUP(H183,'AM (2011)'!$A$10:$N$444,'AM (2011)'!$N$445,FALSE)</f>
        <v>1744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2115.6002585649644</v>
      </c>
      <c r="F181" s="493">
        <f>VLOOKUP(F184,'AM (2011)'!$A$10:$N$444,'AM (2011)'!$N$445,FALSE)</f>
        <v>2115.6002585649644</v>
      </c>
      <c r="G181" s="493">
        <f>VLOOKUP(G184,'AM (2011)'!$A$10:$N$444,'AM (2011)'!$N$445,FALSE)</f>
        <v>2115.6002585649644</v>
      </c>
      <c r="H181" s="493">
        <f>VLOOKUP(H184,'AM (2011)'!$A$10:$N$444,'AM (2011)'!$N$445,FALSE)</f>
        <v>2115.6002585649644</v>
      </c>
      <c r="I181" s="494">
        <f>VLOOKUP(I184,'AM (2011)'!$A$10:$N$444,'AM (2011)'!$N$445,FALSE)</f>
        <v>2115.6002585649644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584</v>
      </c>
      <c r="D182" s="136">
        <f>VLOOKUP($B$2,$B$257:$Y$286,11,FALSE)</f>
        <v>585</v>
      </c>
      <c r="E182" s="136">
        <f>VLOOKUP($B$2,$B$257:$Y$286,12,FALSE)</f>
        <v>586</v>
      </c>
      <c r="F182" s="136">
        <f>VLOOKUP($B$2,$B$257:$Y$286,13,FALSE)</f>
        <v>587</v>
      </c>
      <c r="G182" s="136">
        <f>VLOOKUP($B$2,$B$257:$Y$286,14,FALSE)</f>
        <v>588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589</v>
      </c>
      <c r="E183" s="136">
        <f>VLOOKUP($B$2,$B$257:$Y$286,16,FALSE)</f>
        <v>590</v>
      </c>
      <c r="F183" s="136">
        <f>VLOOKUP($B$2,$B$257:$Y$286,17,FALSE)</f>
        <v>591</v>
      </c>
      <c r="G183" s="136">
        <f>VLOOKUP($B$2,$B$257:$Y$286,18,FALSE)</f>
        <v>592</v>
      </c>
      <c r="H183" s="136">
        <f>VLOOKUP($B$2,$B$257:$Y$286,19,FALSE)</f>
        <v>593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594</v>
      </c>
      <c r="F184" s="136">
        <f>VLOOKUP($B$2,$B$257:$Y$286,21,FALSE)</f>
        <v>595</v>
      </c>
      <c r="G184" s="136">
        <f>VLOOKUP($B$2,$B$257:$Y$286,22,FALSE)</f>
        <v>596</v>
      </c>
      <c r="H184" s="136">
        <f>VLOOKUP($B$2,$B$257:$Y$286,23,FALSE)</f>
        <v>597</v>
      </c>
      <c r="I184" s="136">
        <f>VLOOKUP($B$2,$B$257:$Y$286,24,FALSE)</f>
        <v>598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4</v>
      </c>
      <c r="B186" s="483" t="s">
        <v>205</v>
      </c>
      <c r="C186" s="490"/>
      <c r="D186" s="484">
        <f>VLOOKUP($D$6,'FS (2011)'!$A$13:$AH$244,'FS (2011)'!AC245,FALSE)/1000</f>
        <v>0.44531968999999999</v>
      </c>
      <c r="E186" s="495">
        <f t="shared" ref="E186:E191" si="16">D186/$D$192</f>
        <v>8.450312478615124E-2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Reliability, safety and environment</v>
      </c>
      <c r="V186" s="559">
        <f t="shared" ref="V186:V191" si="18">VLOOKUP(T186,$A$186:$D$191,4,FALSE)</f>
        <v>1.6173276000000001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1</v>
      </c>
      <c r="B187" s="162" t="s">
        <v>206</v>
      </c>
      <c r="C187" s="121"/>
      <c r="D187" s="456">
        <f>VLOOKUP($D$6,'FS (2011)'!$A$13:$AH$244,'FS (2011)'!AD245,FALSE)/1000</f>
        <v>1.6173276000000001</v>
      </c>
      <c r="E187" s="468">
        <f t="shared" si="16"/>
        <v>0.30690139931357291</v>
      </c>
      <c r="Q187" s="559"/>
      <c r="R187" s="559"/>
      <c r="S187" s="559"/>
      <c r="T187" s="559">
        <v>2</v>
      </c>
      <c r="U187" s="559" t="str">
        <f t="shared" si="17"/>
        <v>Customer connection</v>
      </c>
      <c r="V187" s="559">
        <f t="shared" si="18"/>
        <v>1.4022140999999999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2</v>
      </c>
      <c r="B188" s="162" t="s">
        <v>209</v>
      </c>
      <c r="C188" s="121"/>
      <c r="D188" s="456">
        <f>VLOOKUP($D$6,'FS (2011)'!$A$13:$AH$244,'FS (2011)'!AB245,FALSE)/1000</f>
        <v>1.4022140999999999</v>
      </c>
      <c r="E188" s="468">
        <f t="shared" si="16"/>
        <v>0.26608181881470533</v>
      </c>
      <c r="Q188" s="559"/>
      <c r="R188" s="559"/>
      <c r="S188" s="559"/>
      <c r="T188" s="559">
        <v>3</v>
      </c>
      <c r="U188" s="559" t="str">
        <f t="shared" si="17"/>
        <v>Non-network capex</v>
      </c>
      <c r="V188" s="559">
        <f t="shared" si="18"/>
        <v>1.3355119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5</v>
      </c>
      <c r="B189" s="162" t="s">
        <v>208</v>
      </c>
      <c r="C189" s="121"/>
      <c r="D189" s="456">
        <f>VLOOKUP($D$6,'FS (2011)'!$A$13:$AH$244,'FS (2011)'!AE245,FALSE)/1000</f>
        <v>0.39328686000000002</v>
      </c>
      <c r="E189" s="468">
        <f t="shared" si="16"/>
        <v>7.4629461381628084E-2</v>
      </c>
      <c r="Q189" s="559"/>
      <c r="R189" s="559"/>
      <c r="S189" s="559"/>
      <c r="T189" s="559">
        <v>4</v>
      </c>
      <c r="U189" s="559" t="str">
        <f t="shared" si="17"/>
        <v>System growth</v>
      </c>
      <c r="V189" s="559">
        <f t="shared" si="18"/>
        <v>0.44531968999999999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3</v>
      </c>
      <c r="B190" s="162" t="s">
        <v>312</v>
      </c>
      <c r="C190" s="121"/>
      <c r="D190" s="456">
        <f>VLOOKUP($D$6,'FS (2011)'!$A$13:$AH$244,'FS (2011)'!AH245,FALSE)/1000</f>
        <v>1.3355119</v>
      </c>
      <c r="E190" s="468">
        <f t="shared" si="16"/>
        <v>0.25342452012191496</v>
      </c>
      <c r="Q190" s="559"/>
      <c r="R190" s="559"/>
      <c r="S190" s="559"/>
      <c r="T190" s="559">
        <v>5</v>
      </c>
      <c r="U190" s="559" t="str">
        <f t="shared" si="17"/>
        <v>Asset replacement and renewal</v>
      </c>
      <c r="V190" s="559">
        <f t="shared" si="18"/>
        <v>0.39328686000000002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6</v>
      </c>
      <c r="B191" s="162" t="s">
        <v>207</v>
      </c>
      <c r="C191" s="121"/>
      <c r="D191" s="456">
        <f>VLOOKUP($D$6,'FS (2011)'!$A$13:$AH$244,'FS (2011)'!AF245,FALSE)/1000</f>
        <v>7.6200475000000004E-2</v>
      </c>
      <c r="E191" s="468">
        <f t="shared" si="16"/>
        <v>1.4459675582027371E-2</v>
      </c>
      <c r="Q191" s="559"/>
      <c r="R191" s="559"/>
      <c r="S191" s="559"/>
      <c r="T191" s="559">
        <v>6</v>
      </c>
      <c r="U191" s="559" t="str">
        <f t="shared" si="17"/>
        <v>Asset relocations</v>
      </c>
      <c r="V191" s="559">
        <f t="shared" si="18"/>
        <v>7.6200475000000004E-2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5.2698606250000006</v>
      </c>
      <c r="E192" s="496">
        <f>SUM(E186:E191)</f>
        <v>0.99999999999999989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5.2065582861053281</v>
      </c>
      <c r="D196" s="484">
        <f>VLOOKUP($D$38,'FS (2011)'!$A$13:$AH$244,'FS (2011)'!$AG$245,FALSE)/1000</f>
        <v>4.861524831958266</v>
      </c>
      <c r="E196" s="484">
        <f>VLOOKUP($E$38,'FS (2011)'!$A$13:$AH$244,'FS (2011)'!$AG$245,FALSE)/1000</f>
        <v>3.6297320839104303</v>
      </c>
      <c r="F196" s="486">
        <f>VLOOKUP($F$38,'FS (2011)'!$A$13:$AH$244,'FS (2011)'!$AG$245,FALSE)/1000</f>
        <v>3.9343487000000001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9.1236626426392173E-2</v>
      </c>
      <c r="D197" s="456">
        <f>VLOOKUP($D$38,'FS (2011)'!$A$13:$AH$244,'FS (2011)'!$AH$245,FALSE)/1000</f>
        <v>7.9918531674102511E-2</v>
      </c>
      <c r="E197" s="456">
        <f>VLOOKUP($E$38,'FS (2011)'!$A$13:$AH$244,'FS (2011)'!$AH$245,FALSE)/1000</f>
        <v>3.9176462019347352E-2</v>
      </c>
      <c r="F197" s="457">
        <f>VLOOKUP($F$38,'FS (2011)'!$A$13:$AH$244,'FS (2011)'!$AH$245,FALSE)/1000</f>
        <v>1.3355119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5.2977949125317201</v>
      </c>
      <c r="D198" s="488">
        <f>SUM(D196:D197)</f>
        <v>4.9414433636323682</v>
      </c>
      <c r="E198" s="488">
        <f>SUM(E196:E197)</f>
        <v>3.6689085459297779</v>
      </c>
      <c r="F198" s="489">
        <f>SUM(F196:F197)</f>
        <v>5.2698606000000003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-0.10709174017226053</v>
      </c>
      <c r="D200" s="498">
        <f t="shared" ref="D200:F202" si="20">D196/C196 - 1</f>
        <v>-6.6269008275168684E-2</v>
      </c>
      <c r="E200" s="498">
        <f t="shared" si="20"/>
        <v>-0.25337580093191836</v>
      </c>
      <c r="F200" s="495">
        <f t="shared" si="20"/>
        <v>8.392261716501026E-2</v>
      </c>
      <c r="Q200" s="559"/>
      <c r="R200" s="559" t="s">
        <v>423</v>
      </c>
      <c r="S200" s="559">
        <f t="shared" ref="S200:V202" si="21">LN(C196)</f>
        <v>1.6499190397979697</v>
      </c>
      <c r="T200" s="559">
        <f t="shared" si="21"/>
        <v>1.5813521401344568</v>
      </c>
      <c r="U200" s="559">
        <f t="shared" si="21"/>
        <v>1.2891588394676754</v>
      </c>
      <c r="V200" s="559">
        <f t="shared" si="21"/>
        <v>1.3697453535578592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1.0829619410849269</v>
      </c>
      <c r="D201" s="467">
        <f t="shared" si="20"/>
        <v>-0.12405209613291512</v>
      </c>
      <c r="E201" s="467">
        <f t="shared" si="20"/>
        <v>-0.50979502252238662</v>
      </c>
      <c r="F201" s="468">
        <f t="shared" si="20"/>
        <v>33.08965054936445</v>
      </c>
      <c r="Q201" s="559"/>
      <c r="R201" s="559" t="s">
        <v>423</v>
      </c>
      <c r="S201" s="559">
        <f t="shared" si="21"/>
        <v>-2.3942988569712309</v>
      </c>
      <c r="T201" s="559">
        <f t="shared" si="21"/>
        <v>-2.526747517256779</v>
      </c>
      <c r="U201" s="559">
        <f t="shared" si="21"/>
        <v>-3.2396791712233557</v>
      </c>
      <c r="V201" s="559">
        <f t="shared" si="21"/>
        <v>0.28931466404858436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-3.0875658183183163E-2</v>
      </c>
      <c r="D202" s="500">
        <f t="shared" si="20"/>
        <v>-6.7264126826883541E-2</v>
      </c>
      <c r="E202" s="500">
        <f t="shared" si="20"/>
        <v>-0.25752289848510423</v>
      </c>
      <c r="F202" s="501">
        <f t="shared" si="20"/>
        <v>0.43635648968309404</v>
      </c>
      <c r="Q202" s="559"/>
      <c r="R202" s="559" t="s">
        <v>423</v>
      </c>
      <c r="S202" s="559">
        <f t="shared" si="21"/>
        <v>1.6672906797441991</v>
      </c>
      <c r="T202" s="559">
        <f t="shared" si="21"/>
        <v>1.5976574673968458</v>
      </c>
      <c r="U202" s="559">
        <f t="shared" si="21"/>
        <v>1.2998942189054317</v>
      </c>
      <c r="V202" s="559">
        <f t="shared" si="21"/>
        <v>1.6620039105905178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Waipa</v>
      </c>
      <c r="C206" s="456">
        <f>(C198/C102)*1000000</f>
        <v>233.3624752238446</v>
      </c>
      <c r="D206" s="456">
        <f>(D198/D102)*1000000</f>
        <v>215.81182528856917</v>
      </c>
      <c r="E206" s="456">
        <f>(E198/E102)*1000000</f>
        <v>158.30637495382197</v>
      </c>
      <c r="F206" s="457">
        <f>(F198/F102)*1000000</f>
        <v>224.15400255210551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Waipa</v>
      </c>
      <c r="C209" s="456">
        <f>(C198/C117)*1000000000</f>
        <v>16617.85538152618</v>
      </c>
      <c r="D209" s="456">
        <f>(D198/D117)*1000000000</f>
        <v>15515.89014960585</v>
      </c>
      <c r="E209" s="456">
        <f>(E198/E117)*1000000000</f>
        <v>10848.977950769358</v>
      </c>
      <c r="F209" s="457">
        <f>(F198/F117)*1000000000</f>
        <v>15765.471194009502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Waipa</v>
      </c>
      <c r="C212" s="456">
        <f>(C198/VLOOKUP(C$38,'AV (2011)'!$A$11:$F$213,'AV (2011)'!$F$214,FALSE)*1000)</f>
        <v>6.6700611471793292E-2</v>
      </c>
      <c r="D212" s="456">
        <f>(D198/VLOOKUP(D$38,'AV (2011)'!$A$11:$F$213,'AV (2011)'!$F$214,FALSE)*1000)</f>
        <v>6.1260165463779229E-2</v>
      </c>
      <c r="E212" s="456">
        <f>(E198/VLOOKUP(E$38,'AV (2011)'!$A$11:$F$213,'AV (2011)'!$F$214,FALSE)*1000)</f>
        <v>4.5213801488870511E-2</v>
      </c>
      <c r="F212" s="457">
        <f>(F198/VLOOKUP(F$38,'AV (2011)'!$A$11:$F$213,'AV (2011)'!$F$214,FALSE)*1000)</f>
        <v>6.1997445355335586E-2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-4.2151200449105808E-2</v>
      </c>
      <c r="D215" s="464">
        <f>D206/C206 - 1</f>
        <v>-7.5207678177224513E-2</v>
      </c>
      <c r="E215" s="464">
        <f>E206/D206 - 1</f>
        <v>-0.26646107208376901</v>
      </c>
      <c r="F215" s="465">
        <f>F206/E206 - 1</f>
        <v>0.41595057443196026</v>
      </c>
      <c r="K215" s="139"/>
      <c r="P215" s="139"/>
      <c r="Q215" s="559"/>
      <c r="R215" s="559" t="s">
        <v>423</v>
      </c>
      <c r="S215" s="559">
        <f>LN(C206)</f>
        <v>5.4525929323931885</v>
      </c>
      <c r="T215" s="559">
        <f>LN(D206)</f>
        <v>5.374406848767423</v>
      </c>
      <c r="U215" s="559">
        <f>LN(E206)</f>
        <v>5.0645322374205195</v>
      </c>
      <c r="V215" s="559">
        <f>LN(F206)</f>
        <v>5.4123333270206766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-5.0268577658782898E-2</v>
      </c>
      <c r="D216" s="467">
        <f>D209/C209 - 1</f>
        <v>-6.6312120705140365E-2</v>
      </c>
      <c r="E216" s="467">
        <f>E209/D209 - 1</f>
        <v>-0.30078275586109671</v>
      </c>
      <c r="F216" s="468">
        <f>F209/E209 - 1</f>
        <v>0.45317570609418456</v>
      </c>
      <c r="Q216" s="559"/>
      <c r="R216" s="559" t="s">
        <v>423</v>
      </c>
      <c r="S216" s="559">
        <f>LN(C209)</f>
        <v>9.7182330216672721</v>
      </c>
      <c r="T216" s="559">
        <f>LN(D209)</f>
        <v>9.6496199487207868</v>
      </c>
      <c r="U216" s="559">
        <f>LN(E209)</f>
        <v>9.2918261564459144</v>
      </c>
      <c r="V216" s="559">
        <f>LN(F209)</f>
        <v>9.6655774601471265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-5.0964453224989548E-2</v>
      </c>
      <c r="D217" s="470">
        <f>D212/C212 - 1</f>
        <v>-8.1565159418587108E-2</v>
      </c>
      <c r="E217" s="470">
        <f>E212/D212 - 1</f>
        <v>-0.2619379796549246</v>
      </c>
      <c r="F217" s="471">
        <f>F212/E212 - 1</f>
        <v>0.37120620947115923</v>
      </c>
      <c r="Q217" s="559"/>
      <c r="R217" s="559" t="s">
        <v>423</v>
      </c>
      <c r="S217" s="559">
        <f>LN(C212)</f>
        <v>-2.7075411586094273</v>
      </c>
      <c r="T217" s="559">
        <f>LN(D212)</f>
        <v>-2.7926254765726797</v>
      </c>
      <c r="U217" s="559">
        <f>LN(E212)</f>
        <v>-3.0963528960774123</v>
      </c>
      <c r="V217" s="559">
        <f>LN(F212)</f>
        <v>-2.7806620987321518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Waipa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6" t="s">
        <v>280</v>
      </c>
      <c r="W220" s="563">
        <f>C222</f>
        <v>3629.7320839104304</v>
      </c>
      <c r="X220" s="563">
        <f>D222</f>
        <v>3934.3487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Waipa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4850.6752714828481</v>
      </c>
      <c r="X221" s="563">
        <f t="shared" si="23"/>
        <v>3584.2628870146314</v>
      </c>
      <c r="Y221" s="563">
        <f t="shared" si="23"/>
        <v>3584.2628870146314</v>
      </c>
      <c r="Z221" s="563">
        <f t="shared" si="23"/>
        <v>3584.2628870146314</v>
      </c>
      <c r="AA221" s="563">
        <f t="shared" si="23"/>
        <v>3584.2628870146314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3629.7320839104304</v>
      </c>
      <c r="D222" s="461">
        <f>VLOOKUP(D226,'FS (2011)'!$A$14:$AJ$245,'FS (2011)'!$AG$245,FALSE)</f>
        <v>3934.3487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3518</v>
      </c>
      <c r="Y222" s="563">
        <f t="shared" si="23"/>
        <v>3518</v>
      </c>
      <c r="Z222" s="563">
        <f t="shared" si="23"/>
        <v>3518</v>
      </c>
      <c r="AA222" s="563">
        <f t="shared" si="23"/>
        <v>3518</v>
      </c>
      <c r="AB222" s="563">
        <f>H224</f>
        <v>3648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4850.6752714828481</v>
      </c>
      <c r="D223" s="461">
        <f>VLOOKUP(D227,'AM (2011)'!$A$10:$N$444,'AM (2011)'!$J$445,FALSE)</f>
        <v>3584.2628870146314</v>
      </c>
      <c r="E223" s="461">
        <f>VLOOKUP(E226,'AM (2011)'!$A$10:$N$444,'AM (2011)'!$J$445,FALSE)</f>
        <v>3584.2628870146314</v>
      </c>
      <c r="F223" s="461">
        <f>VLOOKUP(F226,'AM (2011)'!$A$10:$N$444,'AM (2011)'!$J$445,FALSE)</f>
        <v>3584.2628870146314</v>
      </c>
      <c r="G223" s="461">
        <f>VLOOKUP(G226,'AM (2011)'!$A$10:$N$444,'AM (2011)'!$J$445,FALSE)</f>
        <v>3584.2628870146314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4678.956948933419</v>
      </c>
      <c r="Z223" s="563">
        <f>F225</f>
        <v>5645.8371040723978</v>
      </c>
      <c r="AA223" s="563">
        <f>G225</f>
        <v>5039.7039431157073</v>
      </c>
      <c r="AB223" s="563">
        <f>H225</f>
        <v>4809.9599224305102</v>
      </c>
      <c r="AC223" s="563">
        <f>I225</f>
        <v>5026.0170652876532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3518</v>
      </c>
      <c r="E224" s="461">
        <f>VLOOKUP(E227,'AM (2011)'!$A$10:$N$444,'AM (2011)'!$J$445,FALSE)</f>
        <v>3518</v>
      </c>
      <c r="F224" s="461">
        <f>VLOOKUP(F227,'AM (2011)'!$A$10:$N$444,'AM (2011)'!$J$445,FALSE)</f>
        <v>3518</v>
      </c>
      <c r="G224" s="461">
        <f>VLOOKUP(G227,'AM (2011)'!$A$10:$N$444,'AM (2011)'!$J$445,FALSE)</f>
        <v>3518</v>
      </c>
      <c r="H224" s="461">
        <f>VLOOKUP(H227,'AM (2011)'!$A$10:$N$444,'AM (2011)'!$J$445,FALSE)</f>
        <v>3648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4678.956948933419</v>
      </c>
      <c r="F225" s="493">
        <f>VLOOKUP(F228,'AM (2011)'!$A$10:$N$444,'AM (2011)'!$J$445,FALSE)</f>
        <v>5645.8371040723978</v>
      </c>
      <c r="G225" s="493">
        <f>VLOOKUP(G228,'AM (2011)'!$A$10:$N$444,'AM (2011)'!$J$445,FALSE)</f>
        <v>5039.7039431157073</v>
      </c>
      <c r="H225" s="493">
        <f>VLOOKUP(H228,'AM (2011)'!$A$10:$N$444,'AM (2011)'!$J$445,FALSE)</f>
        <v>4809.9599224305102</v>
      </c>
      <c r="I225" s="494">
        <f>VLOOKUP(I228,'AM (2011)'!$A$10:$N$444,'AM (2011)'!$J$445,FALSE)</f>
        <v>5026.0170652876532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582</v>
      </c>
      <c r="D226" s="136">
        <f>VLOOKUP($B$2,$B$257:$Y$286,9,FALSE)</f>
        <v>583</v>
      </c>
      <c r="E226" s="136">
        <f>VLOOKUP($B$2,$B$257:$Y$286,12,FALSE)</f>
        <v>586</v>
      </c>
      <c r="F226" s="136">
        <f>VLOOKUP($B$2,$B$257:$Y$286,13,FALSE)</f>
        <v>587</v>
      </c>
      <c r="G226" s="136">
        <f>VLOOKUP($B$2,$B$257:$Y$286,14,FALSE)</f>
        <v>588</v>
      </c>
      <c r="H226" s="136"/>
      <c r="I226" s="136"/>
    </row>
    <row r="227" spans="2:30">
      <c r="C227" s="136">
        <f>VLOOKUP($B$2,$B$257:$Y$286,10,FALSE)</f>
        <v>584</v>
      </c>
      <c r="D227" s="136">
        <f>VLOOKUP($B$2,$B$257:$Y$286,11,FALSE)</f>
        <v>585</v>
      </c>
      <c r="E227" s="136">
        <f>VLOOKUP($B$2,$B$257:$Y$286,16,FALSE)</f>
        <v>590</v>
      </c>
      <c r="F227" s="136">
        <f>VLOOKUP($B$2,$B$257:$Y$286,17,FALSE)</f>
        <v>591</v>
      </c>
      <c r="G227" s="136">
        <f>VLOOKUP($B$2,$B$257:$Y$286,18,FALSE)</f>
        <v>592</v>
      </c>
      <c r="H227" s="136">
        <f>VLOOKUP($B$2,$B$257:$Y$286,19,FALSE)</f>
        <v>593</v>
      </c>
      <c r="I227" s="136"/>
    </row>
    <row r="228" spans="2:30">
      <c r="B228" s="517" t="s">
        <v>291</v>
      </c>
      <c r="C228" s="518"/>
      <c r="D228" s="518">
        <f>VLOOKUP($B$2,$B$257:$Y$286,15,FALSE)</f>
        <v>589</v>
      </c>
      <c r="E228" s="518">
        <f>VLOOKUP($B$2,$B$257:$Y$286,20,FALSE)</f>
        <v>594</v>
      </c>
      <c r="F228" s="519">
        <f>VLOOKUP($B$2,$B$257:$Y$286,21,FALSE)</f>
        <v>595</v>
      </c>
      <c r="G228" s="136">
        <f>VLOOKUP($B$2,$B$257:$Y$286,22,FALSE)</f>
        <v>596</v>
      </c>
      <c r="H228" s="136">
        <f>VLOOKUP($B$2,$B$257:$Y$286,23,FALSE)</f>
        <v>597</v>
      </c>
      <c r="I228" s="136">
        <f>VLOOKUP($B$2,$B$257:$Y$286,24,FALSE)</f>
        <v>598</v>
      </c>
    </row>
    <row r="229" spans="2:30">
      <c r="B229" s="474" t="str">
        <f>$B$2</f>
        <v>Waipa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112.67</v>
      </c>
      <c r="D230" s="456">
        <f>VLOOKUP(D$38,'MP (2011)'!$A$11:$AR$245,'MP (2011)'!$S$246,FALSE)+VLOOKUP(D$38,'MP (2011)'!$A$11:$AR$245,'MP (2011)'!$T$246,FALSE)</f>
        <v>234.45000000000002</v>
      </c>
      <c r="E230" s="456">
        <f>VLOOKUP(E$38,'MP (2011)'!$A$11:$AR$245,'MP (2011)'!$S$246,FALSE)+VLOOKUP(E$38,'MP (2011)'!$A$11:$AR$245,'MP (2011)'!$T$246,FALSE)</f>
        <v>126.82000000000001</v>
      </c>
      <c r="F230" s="457">
        <f>VLOOKUP(F$38,'MP (2011)'!$A$11:$AR$245,'MP (2011)'!$S$246,FALSE)+VLOOKUP(F$38,'MP (2011)'!$A$11:$AR$245,'MP (2011)'!$T$246,FALSE)</f>
        <v>114.27000000000001</v>
      </c>
    </row>
    <row r="231" spans="2:30">
      <c r="B231" s="199" t="s">
        <v>292</v>
      </c>
      <c r="C231" s="456" t="str">
        <f>IF(ISERROR(VLOOKUP(C$38,'Compliance data'!$A$7:$E$74,'Compliance data'!$D$75,FALSE)),"",(VLOOKUP(C$38,'Compliance data'!$A$7:$E$74,'Compliance data'!$D$75,FALSE)))</f>
        <v/>
      </c>
      <c r="D231" s="456" t="str">
        <f>IF(ISERROR(VLOOKUP(D$38,'Compliance data'!$A$7:$E$74,'Compliance data'!$D$75,FALSE)),"",(VLOOKUP(D$38,'Compliance data'!$A$7:$E$74,'Compliance data'!$D$75,FALSE)))</f>
        <v/>
      </c>
      <c r="E231" s="456" t="str">
        <f>IF(ISERROR(VLOOKUP(E$38,'Compliance data'!$A$7:$E$74,'Compliance data'!$D$75,FALSE)),"",(VLOOKUP(E$38,'Compliance data'!$A$7:$E$74,'Compliance data'!$D$75,FALSE)))</f>
        <v/>
      </c>
      <c r="F231" s="457" t="str">
        <f>IF(ISERROR(VLOOKUP(F$38,'Compliance data'!$A$7:$E$74,'Compliance data'!$D$75,FALSE)),"",(VLOOKUP(F$38,'Compliance data'!$A$7:$E$74,'Compliance data'!$D$75,FALSE)))</f>
        <v/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1.8783999999999998</v>
      </c>
      <c r="D237" s="456">
        <f>VLOOKUP(D$38,'MP (2011)'!$A$11:$AR$245,'MP (2011)'!$W$246,FALSE)+VLOOKUP(D$38,'MP (2011)'!$A$11:$AR$245,'MP (2011)'!$X$246,FALSE)</f>
        <v>2.5291000000000001</v>
      </c>
      <c r="E237" s="456">
        <f>VLOOKUP(E$38,'MP (2011)'!$A$11:$AR$245,'MP (2011)'!$W$246,FALSE)+VLOOKUP(E$38,'MP (2011)'!$A$11:$AR$245,'MP (2011)'!$X$246,FALSE)</f>
        <v>1.9085000000000001</v>
      </c>
      <c r="F237" s="457">
        <f>VLOOKUP(F$38,'MP (2011)'!$A$11:$AR$245,'MP (2011)'!$W$246,FALSE)+VLOOKUP(F$38,'MP (2011)'!$A$11:$AR$245,'MP (2011)'!$X$246,FALSE)</f>
        <v>1.5618999999999998</v>
      </c>
    </row>
    <row r="238" spans="2:30">
      <c r="B238" s="199" t="s">
        <v>292</v>
      </c>
      <c r="C238" s="456" t="str">
        <f>IF(ISERROR(VLOOKUP(C$38,'Compliance data'!$A$7:$E$74,'Compliance data'!$E$75,FALSE)),"",(VLOOKUP(C$38,'Compliance data'!$A$7:$E$74,'Compliance data'!$E$75,FALSE)))</f>
        <v/>
      </c>
      <c r="D238" s="456" t="str">
        <f>IF(ISERROR(VLOOKUP(D$38,'Compliance data'!$A$7:$E$74,'Compliance data'!$E$75,FALSE)),"",(VLOOKUP(D$38,'Compliance data'!$A$7:$E$74,'Compliance data'!$E$75,FALSE)))</f>
        <v/>
      </c>
      <c r="E238" s="456" t="str">
        <f>IF(ISERROR(VLOOKUP(E$38,'Compliance data'!$A$7:$E$74,'Compliance data'!$E$75,FALSE)),"",(VLOOKUP(E$38,'Compliance data'!$A$7:$E$74,'Compliance data'!$E$75,FALSE)))</f>
        <v/>
      </c>
      <c r="F238" s="457" t="str">
        <f>IF(ISERROR(VLOOKUP(F$38,'Compliance data'!$A$7:$E$74,'Compliance data'!$E$75,FALSE)),"",(VLOOKUP(F$38,'Compliance data'!$A$7:$E$74,'Compliance data'!$E$75,FALSE)))</f>
        <v/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ref="T258:Y273" si="25">S258+1</f>
        <v>18</v>
      </c>
      <c r="U258" s="526">
        <f t="shared" si="25"/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4"/>
        <v>25</v>
      </c>
      <c r="E259" s="526">
        <f t="shared" si="24"/>
        <v>26</v>
      </c>
      <c r="F259" s="526">
        <f t="shared" si="24"/>
        <v>27</v>
      </c>
      <c r="G259" s="526">
        <f t="shared" si="24"/>
        <v>28</v>
      </c>
      <c r="H259" s="526">
        <f t="shared" si="24"/>
        <v>29</v>
      </c>
      <c r="I259" s="526">
        <f t="shared" si="24"/>
        <v>30</v>
      </c>
      <c r="J259" s="526">
        <f t="shared" si="24"/>
        <v>31</v>
      </c>
      <c r="K259" s="526">
        <f t="shared" si="24"/>
        <v>32</v>
      </c>
      <c r="L259" s="526">
        <f t="shared" si="24"/>
        <v>33</v>
      </c>
      <c r="M259" s="526">
        <f t="shared" si="24"/>
        <v>34</v>
      </c>
      <c r="N259" s="526">
        <f t="shared" si="24"/>
        <v>35</v>
      </c>
      <c r="O259" s="526">
        <f t="shared" si="24"/>
        <v>36</v>
      </c>
      <c r="P259" s="526">
        <f t="shared" si="24"/>
        <v>37</v>
      </c>
      <c r="Q259" s="526">
        <f t="shared" si="24"/>
        <v>38</v>
      </c>
      <c r="R259" s="526">
        <f t="shared" si="24"/>
        <v>39</v>
      </c>
      <c r="S259" s="526">
        <f t="shared" si="24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6">Y259+1</f>
        <v>47</v>
      </c>
      <c r="D260" s="526">
        <f t="shared" si="24"/>
        <v>48</v>
      </c>
      <c r="E260" s="526">
        <f t="shared" si="24"/>
        <v>49</v>
      </c>
      <c r="F260" s="526">
        <f t="shared" si="24"/>
        <v>50</v>
      </c>
      <c r="G260" s="526">
        <f t="shared" si="24"/>
        <v>51</v>
      </c>
      <c r="H260" s="526">
        <f t="shared" si="24"/>
        <v>52</v>
      </c>
      <c r="I260" s="526">
        <f t="shared" si="24"/>
        <v>53</v>
      </c>
      <c r="J260" s="526">
        <f t="shared" si="24"/>
        <v>54</v>
      </c>
      <c r="K260" s="526">
        <f t="shared" si="24"/>
        <v>55</v>
      </c>
      <c r="L260" s="526">
        <f t="shared" si="24"/>
        <v>56</v>
      </c>
      <c r="M260" s="526">
        <f t="shared" si="24"/>
        <v>57</v>
      </c>
      <c r="N260" s="526">
        <f t="shared" si="24"/>
        <v>58</v>
      </c>
      <c r="O260" s="526">
        <f t="shared" si="24"/>
        <v>59</v>
      </c>
      <c r="P260" s="526">
        <f t="shared" si="24"/>
        <v>60</v>
      </c>
      <c r="Q260" s="526">
        <f t="shared" si="24"/>
        <v>61</v>
      </c>
      <c r="R260" s="526">
        <f t="shared" si="24"/>
        <v>62</v>
      </c>
      <c r="S260" s="526">
        <f t="shared" si="24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6"/>
        <v>70</v>
      </c>
      <c r="D261" s="526">
        <f t="shared" si="24"/>
        <v>71</v>
      </c>
      <c r="E261" s="526">
        <f t="shared" si="24"/>
        <v>72</v>
      </c>
      <c r="F261" s="526">
        <f t="shared" si="24"/>
        <v>73</v>
      </c>
      <c r="G261" s="526">
        <f t="shared" si="24"/>
        <v>74</v>
      </c>
      <c r="H261" s="526">
        <f t="shared" si="24"/>
        <v>75</v>
      </c>
      <c r="I261" s="526">
        <f t="shared" si="24"/>
        <v>76</v>
      </c>
      <c r="J261" s="526">
        <f t="shared" si="24"/>
        <v>77</v>
      </c>
      <c r="K261" s="526">
        <f t="shared" si="24"/>
        <v>78</v>
      </c>
      <c r="L261" s="526">
        <f t="shared" si="24"/>
        <v>79</v>
      </c>
      <c r="M261" s="526">
        <f t="shared" si="24"/>
        <v>80</v>
      </c>
      <c r="N261" s="526">
        <f t="shared" si="24"/>
        <v>81</v>
      </c>
      <c r="O261" s="526">
        <f t="shared" si="24"/>
        <v>82</v>
      </c>
      <c r="P261" s="526">
        <f t="shared" si="24"/>
        <v>83</v>
      </c>
      <c r="Q261" s="526">
        <f t="shared" si="24"/>
        <v>84</v>
      </c>
      <c r="R261" s="526">
        <f t="shared" si="24"/>
        <v>85</v>
      </c>
      <c r="S261" s="526">
        <f t="shared" si="24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6"/>
        <v>93</v>
      </c>
      <c r="D262" s="526">
        <f t="shared" si="24"/>
        <v>94</v>
      </c>
      <c r="E262" s="526">
        <f t="shared" si="24"/>
        <v>95</v>
      </c>
      <c r="F262" s="526">
        <f t="shared" si="24"/>
        <v>96</v>
      </c>
      <c r="G262" s="526">
        <f t="shared" si="24"/>
        <v>97</v>
      </c>
      <c r="H262" s="526">
        <f t="shared" si="24"/>
        <v>98</v>
      </c>
      <c r="I262" s="526">
        <f t="shared" si="24"/>
        <v>99</v>
      </c>
      <c r="J262" s="526">
        <f t="shared" si="24"/>
        <v>100</v>
      </c>
      <c r="K262" s="526">
        <f t="shared" si="24"/>
        <v>101</v>
      </c>
      <c r="L262" s="526">
        <f t="shared" si="24"/>
        <v>102</v>
      </c>
      <c r="M262" s="526">
        <f t="shared" si="24"/>
        <v>103</v>
      </c>
      <c r="N262" s="526">
        <f t="shared" si="24"/>
        <v>104</v>
      </c>
      <c r="O262" s="526">
        <f t="shared" si="24"/>
        <v>105</v>
      </c>
      <c r="P262" s="526">
        <f t="shared" si="24"/>
        <v>106</v>
      </c>
      <c r="Q262" s="526">
        <f t="shared" si="24"/>
        <v>107</v>
      </c>
      <c r="R262" s="526">
        <f t="shared" si="24"/>
        <v>108</v>
      </c>
      <c r="S262" s="526">
        <f t="shared" si="24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6"/>
        <v>116</v>
      </c>
      <c r="D263" s="526">
        <f t="shared" si="24"/>
        <v>117</v>
      </c>
      <c r="E263" s="526">
        <f t="shared" si="24"/>
        <v>118</v>
      </c>
      <c r="F263" s="526">
        <f t="shared" si="24"/>
        <v>119</v>
      </c>
      <c r="G263" s="526">
        <f t="shared" si="24"/>
        <v>120</v>
      </c>
      <c r="H263" s="526">
        <f t="shared" si="24"/>
        <v>121</v>
      </c>
      <c r="I263" s="526">
        <f t="shared" si="24"/>
        <v>122</v>
      </c>
      <c r="J263" s="526">
        <f t="shared" si="24"/>
        <v>123</v>
      </c>
      <c r="K263" s="526">
        <f t="shared" si="24"/>
        <v>124</v>
      </c>
      <c r="L263" s="526">
        <f t="shared" si="24"/>
        <v>125</v>
      </c>
      <c r="M263" s="526">
        <f t="shared" si="24"/>
        <v>126</v>
      </c>
      <c r="N263" s="526">
        <f t="shared" si="24"/>
        <v>127</v>
      </c>
      <c r="O263" s="526">
        <f t="shared" si="24"/>
        <v>128</v>
      </c>
      <c r="P263" s="526">
        <f t="shared" si="24"/>
        <v>129</v>
      </c>
      <c r="Q263" s="526">
        <f t="shared" si="24"/>
        <v>130</v>
      </c>
      <c r="R263" s="526">
        <f t="shared" si="24"/>
        <v>131</v>
      </c>
      <c r="S263" s="526">
        <f t="shared" si="24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6"/>
        <v>139</v>
      </c>
      <c r="D264" s="526">
        <f t="shared" si="24"/>
        <v>140</v>
      </c>
      <c r="E264" s="526">
        <f t="shared" si="24"/>
        <v>141</v>
      </c>
      <c r="F264" s="526">
        <f t="shared" si="24"/>
        <v>142</v>
      </c>
      <c r="G264" s="526">
        <f t="shared" si="24"/>
        <v>143</v>
      </c>
      <c r="H264" s="526">
        <f t="shared" si="24"/>
        <v>144</v>
      </c>
      <c r="I264" s="526">
        <f t="shared" si="24"/>
        <v>145</v>
      </c>
      <c r="J264" s="526">
        <f t="shared" si="24"/>
        <v>146</v>
      </c>
      <c r="K264" s="526">
        <f t="shared" si="24"/>
        <v>147</v>
      </c>
      <c r="L264" s="526">
        <f t="shared" si="24"/>
        <v>148</v>
      </c>
      <c r="M264" s="526">
        <f t="shared" si="24"/>
        <v>149</v>
      </c>
      <c r="N264" s="526">
        <f t="shared" si="24"/>
        <v>150</v>
      </c>
      <c r="O264" s="526">
        <f t="shared" si="24"/>
        <v>151</v>
      </c>
      <c r="P264" s="526">
        <f t="shared" si="24"/>
        <v>152</v>
      </c>
      <c r="Q264" s="526">
        <f t="shared" si="24"/>
        <v>153</v>
      </c>
      <c r="R264" s="526">
        <f t="shared" si="24"/>
        <v>154</v>
      </c>
      <c r="S264" s="526">
        <f t="shared" si="24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6"/>
        <v>162</v>
      </c>
      <c r="D265" s="526">
        <f t="shared" si="24"/>
        <v>163</v>
      </c>
      <c r="E265" s="526">
        <f t="shared" si="24"/>
        <v>164</v>
      </c>
      <c r="F265" s="526">
        <f t="shared" si="24"/>
        <v>165</v>
      </c>
      <c r="G265" s="526">
        <f t="shared" si="24"/>
        <v>166</v>
      </c>
      <c r="H265" s="526">
        <f t="shared" si="24"/>
        <v>167</v>
      </c>
      <c r="I265" s="526">
        <f t="shared" si="24"/>
        <v>168</v>
      </c>
      <c r="J265" s="526">
        <f t="shared" si="24"/>
        <v>169</v>
      </c>
      <c r="K265" s="526">
        <f t="shared" si="24"/>
        <v>170</v>
      </c>
      <c r="L265" s="526">
        <f t="shared" si="24"/>
        <v>171</v>
      </c>
      <c r="M265" s="526">
        <f t="shared" si="24"/>
        <v>172</v>
      </c>
      <c r="N265" s="526">
        <f t="shared" si="24"/>
        <v>173</v>
      </c>
      <c r="O265" s="526">
        <f t="shared" si="24"/>
        <v>174</v>
      </c>
      <c r="P265" s="526">
        <f t="shared" si="24"/>
        <v>175</v>
      </c>
      <c r="Q265" s="526">
        <f t="shared" si="24"/>
        <v>176</v>
      </c>
      <c r="R265" s="526">
        <f t="shared" si="24"/>
        <v>177</v>
      </c>
      <c r="S265" s="526">
        <f t="shared" si="24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6"/>
        <v>185</v>
      </c>
      <c r="D266" s="526">
        <f t="shared" si="24"/>
        <v>186</v>
      </c>
      <c r="E266" s="526">
        <f t="shared" si="24"/>
        <v>187</v>
      </c>
      <c r="F266" s="526">
        <f t="shared" si="24"/>
        <v>188</v>
      </c>
      <c r="G266" s="526">
        <f t="shared" si="24"/>
        <v>189</v>
      </c>
      <c r="H266" s="526">
        <f t="shared" si="24"/>
        <v>190</v>
      </c>
      <c r="I266" s="526">
        <f t="shared" si="24"/>
        <v>191</v>
      </c>
      <c r="J266" s="526">
        <f t="shared" si="24"/>
        <v>192</v>
      </c>
      <c r="K266" s="526">
        <f t="shared" si="24"/>
        <v>193</v>
      </c>
      <c r="L266" s="526">
        <f t="shared" si="24"/>
        <v>194</v>
      </c>
      <c r="M266" s="526">
        <f t="shared" si="24"/>
        <v>195</v>
      </c>
      <c r="N266" s="526">
        <f t="shared" si="24"/>
        <v>196</v>
      </c>
      <c r="O266" s="526">
        <f t="shared" si="24"/>
        <v>197</v>
      </c>
      <c r="P266" s="526">
        <f t="shared" si="24"/>
        <v>198</v>
      </c>
      <c r="Q266" s="526">
        <f t="shared" si="24"/>
        <v>199</v>
      </c>
      <c r="R266" s="526">
        <f t="shared" si="24"/>
        <v>200</v>
      </c>
      <c r="S266" s="526">
        <f t="shared" si="24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6"/>
        <v>208</v>
      </c>
      <c r="D267" s="526">
        <f t="shared" si="24"/>
        <v>209</v>
      </c>
      <c r="E267" s="526">
        <f t="shared" si="24"/>
        <v>210</v>
      </c>
      <c r="F267" s="526">
        <f t="shared" si="24"/>
        <v>211</v>
      </c>
      <c r="G267" s="526">
        <f t="shared" si="24"/>
        <v>212</v>
      </c>
      <c r="H267" s="526">
        <f t="shared" si="24"/>
        <v>213</v>
      </c>
      <c r="I267" s="526">
        <f t="shared" si="24"/>
        <v>214</v>
      </c>
      <c r="J267" s="526">
        <f t="shared" si="24"/>
        <v>215</v>
      </c>
      <c r="K267" s="526">
        <f t="shared" si="24"/>
        <v>216</v>
      </c>
      <c r="L267" s="526">
        <f t="shared" si="24"/>
        <v>217</v>
      </c>
      <c r="M267" s="526">
        <f t="shared" si="24"/>
        <v>218</v>
      </c>
      <c r="N267" s="526">
        <f t="shared" si="24"/>
        <v>219</v>
      </c>
      <c r="O267" s="526">
        <f t="shared" si="24"/>
        <v>220</v>
      </c>
      <c r="P267" s="526">
        <f t="shared" si="24"/>
        <v>221</v>
      </c>
      <c r="Q267" s="526">
        <f t="shared" si="24"/>
        <v>222</v>
      </c>
      <c r="R267" s="526">
        <f t="shared" si="24"/>
        <v>223</v>
      </c>
      <c r="S267" s="526">
        <f t="shared" si="24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6"/>
        <v>231</v>
      </c>
      <c r="D268" s="526">
        <f t="shared" si="24"/>
        <v>232</v>
      </c>
      <c r="E268" s="526">
        <f t="shared" si="24"/>
        <v>233</v>
      </c>
      <c r="F268" s="526">
        <f t="shared" si="24"/>
        <v>234</v>
      </c>
      <c r="G268" s="526">
        <f t="shared" si="24"/>
        <v>235</v>
      </c>
      <c r="H268" s="526">
        <f t="shared" si="24"/>
        <v>236</v>
      </c>
      <c r="I268" s="526">
        <f t="shared" si="24"/>
        <v>237</v>
      </c>
      <c r="J268" s="526">
        <f t="shared" si="24"/>
        <v>238</v>
      </c>
      <c r="K268" s="526">
        <f t="shared" si="24"/>
        <v>239</v>
      </c>
      <c r="L268" s="526">
        <f t="shared" si="24"/>
        <v>240</v>
      </c>
      <c r="M268" s="526">
        <f t="shared" si="24"/>
        <v>241</v>
      </c>
      <c r="N268" s="526">
        <f t="shared" si="24"/>
        <v>242</v>
      </c>
      <c r="O268" s="526">
        <f t="shared" si="24"/>
        <v>243</v>
      </c>
      <c r="P268" s="526">
        <f t="shared" si="24"/>
        <v>244</v>
      </c>
      <c r="Q268" s="526">
        <f t="shared" si="24"/>
        <v>245</v>
      </c>
      <c r="R268" s="526">
        <f t="shared" si="24"/>
        <v>246</v>
      </c>
      <c r="S268" s="526">
        <f t="shared" si="24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6"/>
        <v>254</v>
      </c>
      <c r="D269" s="526">
        <f t="shared" si="24"/>
        <v>255</v>
      </c>
      <c r="E269" s="526">
        <f t="shared" si="24"/>
        <v>256</v>
      </c>
      <c r="F269" s="526">
        <f t="shared" si="24"/>
        <v>257</v>
      </c>
      <c r="G269" s="526">
        <f t="shared" si="24"/>
        <v>258</v>
      </c>
      <c r="H269" s="526">
        <f t="shared" si="24"/>
        <v>259</v>
      </c>
      <c r="I269" s="526">
        <f t="shared" si="24"/>
        <v>260</v>
      </c>
      <c r="J269" s="526">
        <f t="shared" si="24"/>
        <v>261</v>
      </c>
      <c r="K269" s="526">
        <f t="shared" si="24"/>
        <v>262</v>
      </c>
      <c r="L269" s="526">
        <f t="shared" si="24"/>
        <v>263</v>
      </c>
      <c r="M269" s="526">
        <f t="shared" si="24"/>
        <v>264</v>
      </c>
      <c r="N269" s="526">
        <f t="shared" si="24"/>
        <v>265</v>
      </c>
      <c r="O269" s="526">
        <f t="shared" si="24"/>
        <v>266</v>
      </c>
      <c r="P269" s="526">
        <f t="shared" si="24"/>
        <v>267</v>
      </c>
      <c r="Q269" s="526">
        <f t="shared" si="24"/>
        <v>268</v>
      </c>
      <c r="R269" s="526">
        <f t="shared" si="24"/>
        <v>269</v>
      </c>
      <c r="S269" s="526">
        <f t="shared" si="24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6"/>
        <v>277</v>
      </c>
      <c r="D270" s="526">
        <f t="shared" si="24"/>
        <v>278</v>
      </c>
      <c r="E270" s="526">
        <f t="shared" si="24"/>
        <v>279</v>
      </c>
      <c r="F270" s="526">
        <f t="shared" si="24"/>
        <v>280</v>
      </c>
      <c r="G270" s="526">
        <f t="shared" si="24"/>
        <v>281</v>
      </c>
      <c r="H270" s="526">
        <f t="shared" si="24"/>
        <v>282</v>
      </c>
      <c r="I270" s="526">
        <f t="shared" si="24"/>
        <v>283</v>
      </c>
      <c r="J270" s="526">
        <f t="shared" si="24"/>
        <v>284</v>
      </c>
      <c r="K270" s="526">
        <f t="shared" si="24"/>
        <v>285</v>
      </c>
      <c r="L270" s="526">
        <f t="shared" si="24"/>
        <v>286</v>
      </c>
      <c r="M270" s="526">
        <f t="shared" si="24"/>
        <v>287</v>
      </c>
      <c r="N270" s="526">
        <f t="shared" si="24"/>
        <v>288</v>
      </c>
      <c r="O270" s="526">
        <f t="shared" si="24"/>
        <v>289</v>
      </c>
      <c r="P270" s="526">
        <f t="shared" si="24"/>
        <v>290</v>
      </c>
      <c r="Q270" s="526">
        <f t="shared" si="24"/>
        <v>291</v>
      </c>
      <c r="R270" s="526">
        <f t="shared" si="24"/>
        <v>292</v>
      </c>
      <c r="S270" s="526">
        <f t="shared" si="24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6"/>
        <v>300</v>
      </c>
      <c r="D271" s="526">
        <f t="shared" si="24"/>
        <v>301</v>
      </c>
      <c r="E271" s="526">
        <f t="shared" si="24"/>
        <v>302</v>
      </c>
      <c r="F271" s="526">
        <f t="shared" si="24"/>
        <v>303</v>
      </c>
      <c r="G271" s="526">
        <f t="shared" si="24"/>
        <v>304</v>
      </c>
      <c r="H271" s="526">
        <f t="shared" si="24"/>
        <v>305</v>
      </c>
      <c r="I271" s="526">
        <f t="shared" si="24"/>
        <v>306</v>
      </c>
      <c r="J271" s="526">
        <f t="shared" si="24"/>
        <v>307</v>
      </c>
      <c r="K271" s="526">
        <f t="shared" si="24"/>
        <v>308</v>
      </c>
      <c r="L271" s="526">
        <f t="shared" si="24"/>
        <v>309</v>
      </c>
      <c r="M271" s="526">
        <f t="shared" si="24"/>
        <v>310</v>
      </c>
      <c r="N271" s="526">
        <f t="shared" si="24"/>
        <v>311</v>
      </c>
      <c r="O271" s="526">
        <f t="shared" si="24"/>
        <v>312</v>
      </c>
      <c r="P271" s="526">
        <f t="shared" si="24"/>
        <v>313</v>
      </c>
      <c r="Q271" s="526">
        <f t="shared" si="24"/>
        <v>314</v>
      </c>
      <c r="R271" s="526">
        <f t="shared" si="24"/>
        <v>315</v>
      </c>
      <c r="S271" s="526">
        <f t="shared" si="24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6"/>
        <v>323</v>
      </c>
      <c r="D272" s="526">
        <f t="shared" si="24"/>
        <v>324</v>
      </c>
      <c r="E272" s="526">
        <f t="shared" si="24"/>
        <v>325</v>
      </c>
      <c r="F272" s="526">
        <f t="shared" si="24"/>
        <v>326</v>
      </c>
      <c r="G272" s="526">
        <f t="shared" si="24"/>
        <v>327</v>
      </c>
      <c r="H272" s="526">
        <f t="shared" si="24"/>
        <v>328</v>
      </c>
      <c r="I272" s="526">
        <f t="shared" si="24"/>
        <v>329</v>
      </c>
      <c r="J272" s="526">
        <f t="shared" si="24"/>
        <v>330</v>
      </c>
      <c r="K272" s="526">
        <f t="shared" si="24"/>
        <v>331</v>
      </c>
      <c r="L272" s="526">
        <f t="shared" si="24"/>
        <v>332</v>
      </c>
      <c r="M272" s="526">
        <f t="shared" si="24"/>
        <v>333</v>
      </c>
      <c r="N272" s="526">
        <f t="shared" si="24"/>
        <v>334</v>
      </c>
      <c r="O272" s="526">
        <f t="shared" si="24"/>
        <v>335</v>
      </c>
      <c r="P272" s="526">
        <f t="shared" si="24"/>
        <v>336</v>
      </c>
      <c r="Q272" s="526">
        <f t="shared" si="24"/>
        <v>337</v>
      </c>
      <c r="R272" s="526">
        <f t="shared" si="24"/>
        <v>338</v>
      </c>
      <c r="S272" s="526">
        <f t="shared" si="24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6"/>
        <v>346</v>
      </c>
      <c r="D273" s="526">
        <f t="shared" si="24"/>
        <v>347</v>
      </c>
      <c r="E273" s="526">
        <f t="shared" si="24"/>
        <v>348</v>
      </c>
      <c r="F273" s="526">
        <f t="shared" si="24"/>
        <v>349</v>
      </c>
      <c r="G273" s="526">
        <f t="shared" si="24"/>
        <v>350</v>
      </c>
      <c r="H273" s="526">
        <f t="shared" si="24"/>
        <v>351</v>
      </c>
      <c r="I273" s="526">
        <f t="shared" si="24"/>
        <v>352</v>
      </c>
      <c r="J273" s="526">
        <f t="shared" si="24"/>
        <v>353</v>
      </c>
      <c r="K273" s="526">
        <f t="shared" si="24"/>
        <v>354</v>
      </c>
      <c r="L273" s="526">
        <f t="shared" si="24"/>
        <v>355</v>
      </c>
      <c r="M273" s="526">
        <f t="shared" si="24"/>
        <v>356</v>
      </c>
      <c r="N273" s="526">
        <f t="shared" si="24"/>
        <v>357</v>
      </c>
      <c r="O273" s="526">
        <f t="shared" si="24"/>
        <v>358</v>
      </c>
      <c r="P273" s="526">
        <f t="shared" si="24"/>
        <v>359</v>
      </c>
      <c r="Q273" s="526">
        <f t="shared" si="24"/>
        <v>360</v>
      </c>
      <c r="R273" s="526">
        <f t="shared" si="24"/>
        <v>361</v>
      </c>
      <c r="S273" s="526">
        <f t="shared" ref="D273:S286" si="27">R273+1</f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6"/>
        <v>369</v>
      </c>
      <c r="D274" s="526">
        <f t="shared" si="27"/>
        <v>370</v>
      </c>
      <c r="E274" s="526">
        <f t="shared" si="27"/>
        <v>371</v>
      </c>
      <c r="F274" s="526">
        <f t="shared" si="27"/>
        <v>372</v>
      </c>
      <c r="G274" s="526">
        <f t="shared" si="27"/>
        <v>373</v>
      </c>
      <c r="H274" s="526">
        <f t="shared" si="27"/>
        <v>374</v>
      </c>
      <c r="I274" s="526">
        <f t="shared" si="27"/>
        <v>375</v>
      </c>
      <c r="J274" s="526">
        <f t="shared" si="27"/>
        <v>376</v>
      </c>
      <c r="K274" s="526">
        <f t="shared" si="27"/>
        <v>377</v>
      </c>
      <c r="L274" s="526">
        <f t="shared" si="27"/>
        <v>378</v>
      </c>
      <c r="M274" s="526">
        <f t="shared" si="27"/>
        <v>379</v>
      </c>
      <c r="N274" s="526">
        <f t="shared" si="27"/>
        <v>380</v>
      </c>
      <c r="O274" s="526">
        <f t="shared" si="27"/>
        <v>381</v>
      </c>
      <c r="P274" s="526">
        <f t="shared" si="27"/>
        <v>382</v>
      </c>
      <c r="Q274" s="526">
        <f t="shared" si="27"/>
        <v>383</v>
      </c>
      <c r="R274" s="526">
        <f t="shared" si="27"/>
        <v>384</v>
      </c>
      <c r="S274" s="526">
        <f t="shared" si="27"/>
        <v>385</v>
      </c>
      <c r="T274" s="526">
        <f t="shared" ref="S274:Y286" si="28">S274+1</f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6"/>
        <v>392</v>
      </c>
      <c r="D275" s="526">
        <f t="shared" si="27"/>
        <v>393</v>
      </c>
      <c r="E275" s="526">
        <f t="shared" si="27"/>
        <v>394</v>
      </c>
      <c r="F275" s="526">
        <f t="shared" si="27"/>
        <v>395</v>
      </c>
      <c r="G275" s="526">
        <f t="shared" si="27"/>
        <v>396</v>
      </c>
      <c r="H275" s="526">
        <f t="shared" si="27"/>
        <v>397</v>
      </c>
      <c r="I275" s="526">
        <f t="shared" si="27"/>
        <v>398</v>
      </c>
      <c r="J275" s="526">
        <f t="shared" si="27"/>
        <v>399</v>
      </c>
      <c r="K275" s="526">
        <f t="shared" si="27"/>
        <v>400</v>
      </c>
      <c r="L275" s="526">
        <f t="shared" si="27"/>
        <v>401</v>
      </c>
      <c r="M275" s="526">
        <f t="shared" si="27"/>
        <v>402</v>
      </c>
      <c r="N275" s="526">
        <f t="shared" si="27"/>
        <v>403</v>
      </c>
      <c r="O275" s="526">
        <f t="shared" si="27"/>
        <v>404</v>
      </c>
      <c r="P275" s="526">
        <f t="shared" si="27"/>
        <v>405</v>
      </c>
      <c r="Q275" s="526">
        <f t="shared" si="27"/>
        <v>406</v>
      </c>
      <c r="R275" s="526">
        <f t="shared" si="27"/>
        <v>407</v>
      </c>
      <c r="S275" s="526">
        <f t="shared" si="27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6"/>
        <v>415</v>
      </c>
      <c r="D276" s="526">
        <f t="shared" si="27"/>
        <v>416</v>
      </c>
      <c r="E276" s="526">
        <f t="shared" si="27"/>
        <v>417</v>
      </c>
      <c r="F276" s="526">
        <f t="shared" si="27"/>
        <v>418</v>
      </c>
      <c r="G276" s="526">
        <f t="shared" si="27"/>
        <v>419</v>
      </c>
      <c r="H276" s="526">
        <f t="shared" si="27"/>
        <v>420</v>
      </c>
      <c r="I276" s="526">
        <f t="shared" si="27"/>
        <v>421</v>
      </c>
      <c r="J276" s="526">
        <f t="shared" si="27"/>
        <v>422</v>
      </c>
      <c r="K276" s="526">
        <f t="shared" si="27"/>
        <v>423</v>
      </c>
      <c r="L276" s="526">
        <f t="shared" si="27"/>
        <v>424</v>
      </c>
      <c r="M276" s="526">
        <f t="shared" si="27"/>
        <v>425</v>
      </c>
      <c r="N276" s="526">
        <f t="shared" si="27"/>
        <v>426</v>
      </c>
      <c r="O276" s="526">
        <f t="shared" si="27"/>
        <v>427</v>
      </c>
      <c r="P276" s="526">
        <f t="shared" si="27"/>
        <v>428</v>
      </c>
      <c r="Q276" s="526">
        <f t="shared" si="27"/>
        <v>429</v>
      </c>
      <c r="R276" s="526">
        <f t="shared" si="27"/>
        <v>430</v>
      </c>
      <c r="S276" s="526">
        <f t="shared" si="27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6"/>
        <v>438</v>
      </c>
      <c r="D277" s="526">
        <f t="shared" si="27"/>
        <v>439</v>
      </c>
      <c r="E277" s="526">
        <f t="shared" si="27"/>
        <v>440</v>
      </c>
      <c r="F277" s="526">
        <f t="shared" si="27"/>
        <v>441</v>
      </c>
      <c r="G277" s="526">
        <f t="shared" si="27"/>
        <v>442</v>
      </c>
      <c r="H277" s="526">
        <f t="shared" si="27"/>
        <v>443</v>
      </c>
      <c r="I277" s="526">
        <f t="shared" si="27"/>
        <v>444</v>
      </c>
      <c r="J277" s="526">
        <f t="shared" si="27"/>
        <v>445</v>
      </c>
      <c r="K277" s="526">
        <f t="shared" si="27"/>
        <v>446</v>
      </c>
      <c r="L277" s="526">
        <f t="shared" si="27"/>
        <v>447</v>
      </c>
      <c r="M277" s="526">
        <f t="shared" si="27"/>
        <v>448</v>
      </c>
      <c r="N277" s="526">
        <f t="shared" si="27"/>
        <v>449</v>
      </c>
      <c r="O277" s="526">
        <f t="shared" si="27"/>
        <v>450</v>
      </c>
      <c r="P277" s="526">
        <f t="shared" si="27"/>
        <v>451</v>
      </c>
      <c r="Q277" s="526">
        <f t="shared" si="27"/>
        <v>452</v>
      </c>
      <c r="R277" s="526">
        <f t="shared" si="27"/>
        <v>453</v>
      </c>
      <c r="S277" s="526">
        <f t="shared" si="27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6"/>
        <v>461</v>
      </c>
      <c r="D278" s="526">
        <f t="shared" si="27"/>
        <v>462</v>
      </c>
      <c r="E278" s="526">
        <f t="shared" si="27"/>
        <v>463</v>
      </c>
      <c r="F278" s="526">
        <f t="shared" si="27"/>
        <v>464</v>
      </c>
      <c r="G278" s="526">
        <f t="shared" si="27"/>
        <v>465</v>
      </c>
      <c r="H278" s="526">
        <f t="shared" si="27"/>
        <v>466</v>
      </c>
      <c r="I278" s="526">
        <f t="shared" si="27"/>
        <v>467</v>
      </c>
      <c r="J278" s="526">
        <f t="shared" si="27"/>
        <v>468</v>
      </c>
      <c r="K278" s="526">
        <f t="shared" si="27"/>
        <v>469</v>
      </c>
      <c r="L278" s="526">
        <f t="shared" si="27"/>
        <v>470</v>
      </c>
      <c r="M278" s="526">
        <f t="shared" si="27"/>
        <v>471</v>
      </c>
      <c r="N278" s="526">
        <f t="shared" si="27"/>
        <v>472</v>
      </c>
      <c r="O278" s="526">
        <f t="shared" si="27"/>
        <v>473</v>
      </c>
      <c r="P278" s="526">
        <f t="shared" si="27"/>
        <v>474</v>
      </c>
      <c r="Q278" s="526">
        <f t="shared" si="27"/>
        <v>475</v>
      </c>
      <c r="R278" s="526">
        <f t="shared" si="27"/>
        <v>476</v>
      </c>
      <c r="S278" s="526">
        <f t="shared" si="27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6"/>
        <v>484</v>
      </c>
      <c r="D279" s="526">
        <f t="shared" si="27"/>
        <v>485</v>
      </c>
      <c r="E279" s="526">
        <f t="shared" si="27"/>
        <v>486</v>
      </c>
      <c r="F279" s="526">
        <f t="shared" si="27"/>
        <v>487</v>
      </c>
      <c r="G279" s="526">
        <f t="shared" si="27"/>
        <v>488</v>
      </c>
      <c r="H279" s="526">
        <f t="shared" si="27"/>
        <v>489</v>
      </c>
      <c r="I279" s="526">
        <f t="shared" si="27"/>
        <v>490</v>
      </c>
      <c r="J279" s="526">
        <f t="shared" si="27"/>
        <v>491</v>
      </c>
      <c r="K279" s="526">
        <f t="shared" si="27"/>
        <v>492</v>
      </c>
      <c r="L279" s="526">
        <f t="shared" si="27"/>
        <v>493</v>
      </c>
      <c r="M279" s="526">
        <f t="shared" si="27"/>
        <v>494</v>
      </c>
      <c r="N279" s="526">
        <f t="shared" si="27"/>
        <v>495</v>
      </c>
      <c r="O279" s="526">
        <f t="shared" si="27"/>
        <v>496</v>
      </c>
      <c r="P279" s="526">
        <f t="shared" si="27"/>
        <v>497</v>
      </c>
      <c r="Q279" s="526">
        <f t="shared" si="27"/>
        <v>498</v>
      </c>
      <c r="R279" s="526">
        <f t="shared" si="27"/>
        <v>499</v>
      </c>
      <c r="S279" s="526">
        <f t="shared" si="27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6"/>
        <v>507</v>
      </c>
      <c r="D280" s="526">
        <f t="shared" si="27"/>
        <v>508</v>
      </c>
      <c r="E280" s="526">
        <f t="shared" si="27"/>
        <v>509</v>
      </c>
      <c r="F280" s="526">
        <f t="shared" si="27"/>
        <v>510</v>
      </c>
      <c r="G280" s="526">
        <f t="shared" si="27"/>
        <v>511</v>
      </c>
      <c r="H280" s="526">
        <f t="shared" si="27"/>
        <v>512</v>
      </c>
      <c r="I280" s="526">
        <f t="shared" si="27"/>
        <v>513</v>
      </c>
      <c r="J280" s="526">
        <f t="shared" si="27"/>
        <v>514</v>
      </c>
      <c r="K280" s="526">
        <f t="shared" si="27"/>
        <v>515</v>
      </c>
      <c r="L280" s="526">
        <f t="shared" si="27"/>
        <v>516</v>
      </c>
      <c r="M280" s="526">
        <f t="shared" si="27"/>
        <v>517</v>
      </c>
      <c r="N280" s="526">
        <f t="shared" si="27"/>
        <v>518</v>
      </c>
      <c r="O280" s="526">
        <f t="shared" si="27"/>
        <v>519</v>
      </c>
      <c r="P280" s="526">
        <f t="shared" si="27"/>
        <v>520</v>
      </c>
      <c r="Q280" s="526">
        <f t="shared" si="27"/>
        <v>521</v>
      </c>
      <c r="R280" s="526">
        <f t="shared" si="27"/>
        <v>522</v>
      </c>
      <c r="S280" s="526">
        <f t="shared" si="27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6"/>
        <v>530</v>
      </c>
      <c r="D281" s="526">
        <f t="shared" si="27"/>
        <v>531</v>
      </c>
      <c r="E281" s="526">
        <f t="shared" si="27"/>
        <v>532</v>
      </c>
      <c r="F281" s="526">
        <f t="shared" si="27"/>
        <v>533</v>
      </c>
      <c r="G281" s="526">
        <f t="shared" si="27"/>
        <v>534</v>
      </c>
      <c r="H281" s="526">
        <f t="shared" si="27"/>
        <v>535</v>
      </c>
      <c r="I281" s="526">
        <f t="shared" si="27"/>
        <v>536</v>
      </c>
      <c r="J281" s="526">
        <f t="shared" si="27"/>
        <v>537</v>
      </c>
      <c r="K281" s="526">
        <f t="shared" si="27"/>
        <v>538</v>
      </c>
      <c r="L281" s="526">
        <f t="shared" si="27"/>
        <v>539</v>
      </c>
      <c r="M281" s="526">
        <f t="shared" si="27"/>
        <v>540</v>
      </c>
      <c r="N281" s="526">
        <f t="shared" si="27"/>
        <v>541</v>
      </c>
      <c r="O281" s="526">
        <f t="shared" si="27"/>
        <v>542</v>
      </c>
      <c r="P281" s="526">
        <f t="shared" si="27"/>
        <v>543</v>
      </c>
      <c r="Q281" s="526">
        <f t="shared" si="27"/>
        <v>544</v>
      </c>
      <c r="R281" s="526">
        <f t="shared" si="27"/>
        <v>545</v>
      </c>
      <c r="S281" s="526">
        <f t="shared" si="27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6"/>
        <v>553</v>
      </c>
      <c r="D282" s="526">
        <f t="shared" si="27"/>
        <v>554</v>
      </c>
      <c r="E282" s="526">
        <f t="shared" si="27"/>
        <v>555</v>
      </c>
      <c r="F282" s="526">
        <f t="shared" si="27"/>
        <v>556</v>
      </c>
      <c r="G282" s="526">
        <f t="shared" si="27"/>
        <v>557</v>
      </c>
      <c r="H282" s="526">
        <f t="shared" si="27"/>
        <v>558</v>
      </c>
      <c r="I282" s="526">
        <f t="shared" si="27"/>
        <v>559</v>
      </c>
      <c r="J282" s="526">
        <f t="shared" si="27"/>
        <v>560</v>
      </c>
      <c r="K282" s="526">
        <f t="shared" si="27"/>
        <v>561</v>
      </c>
      <c r="L282" s="526">
        <f t="shared" si="27"/>
        <v>562</v>
      </c>
      <c r="M282" s="526">
        <f t="shared" si="27"/>
        <v>563</v>
      </c>
      <c r="N282" s="526">
        <f t="shared" si="27"/>
        <v>564</v>
      </c>
      <c r="O282" s="526">
        <f t="shared" si="27"/>
        <v>565</v>
      </c>
      <c r="P282" s="526">
        <f t="shared" si="27"/>
        <v>566</v>
      </c>
      <c r="Q282" s="526">
        <f t="shared" si="27"/>
        <v>567</v>
      </c>
      <c r="R282" s="526">
        <f t="shared" si="27"/>
        <v>568</v>
      </c>
      <c r="S282" s="526">
        <f t="shared" si="27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6"/>
        <v>576</v>
      </c>
      <c r="D283" s="526">
        <f t="shared" si="27"/>
        <v>577</v>
      </c>
      <c r="E283" s="526">
        <f t="shared" si="27"/>
        <v>578</v>
      </c>
      <c r="F283" s="526">
        <f t="shared" si="27"/>
        <v>579</v>
      </c>
      <c r="G283" s="526">
        <f t="shared" si="27"/>
        <v>580</v>
      </c>
      <c r="H283" s="526">
        <f t="shared" si="27"/>
        <v>581</v>
      </c>
      <c r="I283" s="526">
        <f t="shared" si="27"/>
        <v>582</v>
      </c>
      <c r="J283" s="526">
        <f t="shared" si="27"/>
        <v>583</v>
      </c>
      <c r="K283" s="526">
        <f t="shared" si="27"/>
        <v>584</v>
      </c>
      <c r="L283" s="526">
        <f t="shared" si="27"/>
        <v>585</v>
      </c>
      <c r="M283" s="526">
        <f t="shared" si="27"/>
        <v>586</v>
      </c>
      <c r="N283" s="526">
        <f t="shared" si="27"/>
        <v>587</v>
      </c>
      <c r="O283" s="526">
        <f t="shared" si="27"/>
        <v>588</v>
      </c>
      <c r="P283" s="526">
        <f t="shared" si="27"/>
        <v>589</v>
      </c>
      <c r="Q283" s="526">
        <f t="shared" si="27"/>
        <v>590</v>
      </c>
      <c r="R283" s="526">
        <f t="shared" si="27"/>
        <v>591</v>
      </c>
      <c r="S283" s="526">
        <f t="shared" si="27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6"/>
        <v>599</v>
      </c>
      <c r="D284" s="526">
        <f t="shared" si="27"/>
        <v>600</v>
      </c>
      <c r="E284" s="526">
        <f t="shared" si="27"/>
        <v>601</v>
      </c>
      <c r="F284" s="526">
        <f t="shared" si="27"/>
        <v>602</v>
      </c>
      <c r="G284" s="526">
        <f t="shared" si="27"/>
        <v>603</v>
      </c>
      <c r="H284" s="526">
        <f t="shared" si="27"/>
        <v>604</v>
      </c>
      <c r="I284" s="526">
        <f t="shared" si="27"/>
        <v>605</v>
      </c>
      <c r="J284" s="526">
        <f t="shared" si="27"/>
        <v>606</v>
      </c>
      <c r="K284" s="526">
        <f t="shared" si="27"/>
        <v>607</v>
      </c>
      <c r="L284" s="526">
        <f t="shared" si="27"/>
        <v>608</v>
      </c>
      <c r="M284" s="526">
        <f t="shared" si="27"/>
        <v>609</v>
      </c>
      <c r="N284" s="526">
        <f t="shared" si="27"/>
        <v>610</v>
      </c>
      <c r="O284" s="526">
        <f t="shared" si="27"/>
        <v>611</v>
      </c>
      <c r="P284" s="526">
        <f t="shared" si="27"/>
        <v>612</v>
      </c>
      <c r="Q284" s="526">
        <f t="shared" si="27"/>
        <v>613</v>
      </c>
      <c r="R284" s="526">
        <f t="shared" si="27"/>
        <v>614</v>
      </c>
      <c r="S284" s="526">
        <f t="shared" si="27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6"/>
        <v>622</v>
      </c>
      <c r="D285" s="526">
        <f t="shared" si="27"/>
        <v>623</v>
      </c>
      <c r="E285" s="526">
        <f t="shared" si="27"/>
        <v>624</v>
      </c>
      <c r="F285" s="526">
        <f t="shared" si="27"/>
        <v>625</v>
      </c>
      <c r="G285" s="526">
        <f t="shared" si="27"/>
        <v>626</v>
      </c>
      <c r="H285" s="526">
        <f t="shared" si="27"/>
        <v>627</v>
      </c>
      <c r="I285" s="526">
        <f t="shared" si="27"/>
        <v>628</v>
      </c>
      <c r="J285" s="526">
        <f t="shared" si="27"/>
        <v>629</v>
      </c>
      <c r="K285" s="526">
        <f t="shared" si="27"/>
        <v>630</v>
      </c>
      <c r="L285" s="526">
        <f t="shared" si="27"/>
        <v>631</v>
      </c>
      <c r="M285" s="526">
        <f t="shared" si="27"/>
        <v>632</v>
      </c>
      <c r="N285" s="526">
        <f t="shared" si="27"/>
        <v>633</v>
      </c>
      <c r="O285" s="526">
        <f t="shared" si="27"/>
        <v>634</v>
      </c>
      <c r="P285" s="526">
        <f t="shared" si="27"/>
        <v>635</v>
      </c>
      <c r="Q285" s="526">
        <f t="shared" si="27"/>
        <v>636</v>
      </c>
      <c r="R285" s="526">
        <f t="shared" si="27"/>
        <v>637</v>
      </c>
      <c r="S285" s="526">
        <f t="shared" si="27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6"/>
        <v>645</v>
      </c>
      <c r="D286" s="526">
        <f t="shared" si="27"/>
        <v>646</v>
      </c>
      <c r="E286" s="526">
        <f t="shared" si="27"/>
        <v>647</v>
      </c>
      <c r="F286" s="526">
        <f t="shared" si="27"/>
        <v>648</v>
      </c>
      <c r="G286" s="526">
        <f t="shared" si="27"/>
        <v>649</v>
      </c>
      <c r="H286" s="526">
        <f t="shared" si="27"/>
        <v>650</v>
      </c>
      <c r="I286" s="526">
        <f t="shared" si="27"/>
        <v>651</v>
      </c>
      <c r="J286" s="526">
        <f t="shared" si="27"/>
        <v>652</v>
      </c>
      <c r="K286" s="526">
        <f t="shared" si="27"/>
        <v>653</v>
      </c>
      <c r="L286" s="526">
        <f t="shared" si="27"/>
        <v>654</v>
      </c>
      <c r="M286" s="526">
        <f t="shared" si="27"/>
        <v>655</v>
      </c>
      <c r="N286" s="526">
        <f t="shared" si="27"/>
        <v>656</v>
      </c>
      <c r="O286" s="526">
        <f t="shared" si="27"/>
        <v>657</v>
      </c>
      <c r="P286" s="526">
        <f t="shared" si="27"/>
        <v>658</v>
      </c>
      <c r="Q286" s="526">
        <f t="shared" si="27"/>
        <v>659</v>
      </c>
      <c r="R286" s="526">
        <f t="shared" si="27"/>
        <v>660</v>
      </c>
      <c r="S286" s="526">
        <f t="shared" si="28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55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WEL</v>
      </c>
      <c r="C6" s="108"/>
      <c r="D6" s="109">
        <f>VLOOKUP($B$6,$B$258:$J$286,9,FALSE)</f>
        <v>606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79.2515523</v>
      </c>
      <c r="E7" s="407">
        <f>D7/('Industry calcs'!D4/1000)*100</f>
        <v>3.8446528779039189</v>
      </c>
    </row>
    <row r="8" spans="2:5">
      <c r="B8" s="111" t="s">
        <v>250</v>
      </c>
      <c r="C8" s="114"/>
      <c r="D8" s="406">
        <f>VLOOKUP(D6,'AV (2011)'!A8:F214,'AV (2011)'!F214,FALSE)/1000</f>
        <v>379.33994000000001</v>
      </c>
      <c r="E8" s="407">
        <f>D8/('Industry calcs'!D5/1000)*100</f>
        <v>4.2265624804083259</v>
      </c>
    </row>
    <row r="9" spans="2:5">
      <c r="B9" s="111" t="s">
        <v>230</v>
      </c>
      <c r="C9" s="114"/>
      <c r="D9" s="406">
        <f>VLOOKUP($D$6,'FS (2011)'!$A$13:$AH$244,'FS (2011)'!S245,FALSE)/1000</f>
        <v>17.772210999999999</v>
      </c>
      <c r="E9" s="407">
        <f>D9/('Industry calcs'!D6/1000)*100</f>
        <v>3.9145196025378826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50.329418100000005</v>
      </c>
      <c r="E10" s="407">
        <f>D10/('Industry calcs'!D7/1000)*100</f>
        <v>8.6008476032770904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1177.3904</v>
      </c>
      <c r="E11" s="407">
        <f>D11/'Industry calcs'!D8*100</f>
        <v>3.8046919914583603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248.94558000000001</v>
      </c>
      <c r="E12" s="407">
        <f>D12/'Industry calcs'!D9*100</f>
        <v>3.9810605935216672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5053.3154000000004</v>
      </c>
      <c r="E13" s="407">
        <f>D13/'Industry calcs'!D10*100</f>
        <v>3.3785666137301522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83614</v>
      </c>
      <c r="E14" s="407">
        <f>D14/'Industry calcs'!D11*100</f>
        <v>4.1626445293539271</v>
      </c>
    </row>
    <row r="15" spans="2:5">
      <c r="B15" s="115" t="s">
        <v>195</v>
      </c>
      <c r="C15" s="116" t="s">
        <v>239</v>
      </c>
      <c r="D15" s="408">
        <f>D14/D13</f>
        <v>16.546364788550502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WEL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22.941940634712441</v>
      </c>
      <c r="D20" s="409">
        <f>VLOOKUP($B$2,'MED price allocation'!$B$16:$F$44,3,FALSE)</f>
        <v>23.47873351440926</v>
      </c>
      <c r="E20" s="409">
        <f>VLOOKUP($B$2,'MED price allocation'!$B$16:$F$44,4,FALSE)</f>
        <v>23.296237114482377</v>
      </c>
      <c r="F20" s="503">
        <f>VLOOKUP($B$2,'MED price allocation'!$B$16:$F$44,5,FALSE)</f>
        <v>24.47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6.6626500527501351</v>
      </c>
      <c r="D21" s="410">
        <f>VLOOKUP($B$2,'MED price allocation'!$B$47:$F$75,3,FALSE)</f>
        <v>6.4154245315395677</v>
      </c>
      <c r="E21" s="410">
        <f>VLOOKUP($B$2,'MED price allocation'!$B$47:$F$75,4,FALSE)</f>
        <v>6.6020532995607768</v>
      </c>
      <c r="F21" s="504">
        <f>VLOOKUP($B$2,'MED price allocation'!$B$47:$F$75,5,FALSE)</f>
        <v>6.8799999999999981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8.4307319437712049</v>
      </c>
      <c r="D22" s="409">
        <f>VLOOKUP($B$2,'MED price allocation'!$B$78:$F$106,3,FALSE)</f>
        <v>8.5850422129178359</v>
      </c>
      <c r="E22" s="409">
        <f>VLOOKUP($B$2,'MED price allocation'!$B$78:$F$106,4,FALSE)</f>
        <v>8.8944329174638241</v>
      </c>
      <c r="F22" s="503">
        <f>VLOOKUP($B$2,'MED price allocation'!$B$78:$F$106,5,FALSE)</f>
        <v>9.0399999999999974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1.7680818910210714</v>
      </c>
      <c r="D23" s="411">
        <f>VLOOKUP($B$2,'MED price allocation'!$B$109:$F$137,3,FALSE)</f>
        <v>2.1696176813782682</v>
      </c>
      <c r="E23" s="411">
        <f>VLOOKUP($B$2,'MED price allocation'!$B$109:$F$137,4,FALSE)</f>
        <v>2.2923796179030473</v>
      </c>
      <c r="F23" s="505">
        <f>VLOOKUP($B$2,'MED price allocation'!$B$109:$F$137,5,FALSE)</f>
        <v>2.1599999999999997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WEL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1835.3552507769955</v>
      </c>
      <c r="D26" s="412">
        <f>(D20*8000)/100</f>
        <v>1878.298681152741</v>
      </c>
      <c r="E26" s="412">
        <f>(E20*8000)/100</f>
        <v>1863.6989691585902</v>
      </c>
      <c r="F26" s="506">
        <f>(F20*8000)/100</f>
        <v>1957.6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674.45855550169642</v>
      </c>
      <c r="D27" s="412">
        <f>(D22*8000)/100</f>
        <v>686.80337703342684</v>
      </c>
      <c r="E27" s="412">
        <f>(E22*8000)/100</f>
        <v>711.55463339710593</v>
      </c>
      <c r="F27" s="506">
        <f>(F22*8000)/100</f>
        <v>723.19999999999982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533.01200422001079</v>
      </c>
      <c r="D28" s="412">
        <f>(D21*8000)/100</f>
        <v>513.23396252316536</v>
      </c>
      <c r="E28" s="412">
        <f>(E21*8000)/100</f>
        <v>528.16426396486213</v>
      </c>
      <c r="F28" s="506">
        <f>(F21*8000)/100</f>
        <v>550.39999999999986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141.44655128168571</v>
      </c>
      <c r="D29" s="413">
        <f>(D23*8000)/100</f>
        <v>173.56941451026145</v>
      </c>
      <c r="E29" s="413">
        <f>(E23*8000)/100</f>
        <v>183.3903694322438</v>
      </c>
      <c r="F29" s="507">
        <f>(F23*8000)/100</f>
        <v>172.79999999999995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WEL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1883.7382252720818</v>
      </c>
      <c r="D32" s="122"/>
    </row>
    <row r="33" spans="2:13">
      <c r="B33" s="120" t="s">
        <v>241</v>
      </c>
      <c r="C33" s="412">
        <f>AVERAGE(C27:F27)</f>
        <v>699.00414148305731</v>
      </c>
      <c r="D33" s="414">
        <f>C33/$C$32</f>
        <v>0.3710728657014406</v>
      </c>
    </row>
    <row r="34" spans="2:13">
      <c r="B34" s="120" t="s">
        <v>222</v>
      </c>
      <c r="C34" s="412">
        <f>AVERAGE(C28:F28)</f>
        <v>531.20255767700951</v>
      </c>
      <c r="D34" s="414">
        <f>C34/$C$32</f>
        <v>0.28199383043272064</v>
      </c>
    </row>
    <row r="35" spans="2:13">
      <c r="B35" s="124" t="s">
        <v>223</v>
      </c>
      <c r="C35" s="413">
        <f>AVERAGE(C29:F29)</f>
        <v>167.80158380604774</v>
      </c>
      <c r="D35" s="415">
        <f>C35/$C$32</f>
        <v>8.9079035268719978E-2</v>
      </c>
    </row>
    <row r="38" spans="2:13">
      <c r="B38" s="517" t="s">
        <v>227</v>
      </c>
      <c r="C38" s="518">
        <f>VLOOKUP($B$2,$B$258:$J$286,6,FALSE)</f>
        <v>603</v>
      </c>
      <c r="D38" s="518">
        <f>VLOOKUP($B$2,$B$258:$J$286,7,FALSE)</f>
        <v>604</v>
      </c>
      <c r="E38" s="518">
        <f>VLOOKUP($B$2,$B$258:$J$286,8,FALSE)</f>
        <v>605</v>
      </c>
      <c r="F38" s="519">
        <f>VLOOKUP($B$2,$B$258:$J$286,9,FALSE)</f>
        <v>606</v>
      </c>
    </row>
    <row r="39" spans="2:13">
      <c r="B39" s="137" t="str">
        <f>B2</f>
        <v>WEL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71887.806606883183</v>
      </c>
      <c r="D40" s="418">
        <f>VLOOKUP($D$38,'FS (2011)'!$A$13:$AH$244,'FS (2011)'!E245,FALSE)</f>
        <v>77252.569829089145</v>
      </c>
      <c r="E40" s="418">
        <f>VLOOKUP($E$38,'FS (2011)'!$A$13:$AH$244,'FS (2011)'!E245,FALSE)</f>
        <v>80319.321161919637</v>
      </c>
      <c r="F40" s="419">
        <f>VLOOKUP($F$38,'FS (2011)'!$A$13:$AH$244,'FS (2011)'!E245,FALSE)</f>
        <v>79115.964000000007</v>
      </c>
    </row>
    <row r="41" spans="2:13" ht="30">
      <c r="B41" s="120" t="s">
        <v>198</v>
      </c>
      <c r="C41" s="417">
        <f>VLOOKUP($C$38,'FS (2011)'!$A$13:$AH$244,'FS (2011)'!$F$245,FALSE)</f>
        <v>8869.0468834364583</v>
      </c>
      <c r="D41" s="418">
        <f>VLOOKUP($D$38,'FS (2011)'!$A$13:$AH$244,'FS (2011)'!$F$245,FALSE)</f>
        <v>6773.6535326240628</v>
      </c>
      <c r="E41" s="418">
        <f>VLOOKUP($E$38,'FS (2011)'!$A$13:$AH$244,'FS (2011)'!$F$245,FALSE)</f>
        <v>5615.6010871439721</v>
      </c>
      <c r="F41" s="419">
        <f>VLOOKUP($F$38,'FS (2011)'!$A$13:$AH$244,'FS (2011)'!$F$245,FALSE)</f>
        <v>5479.0478999999996</v>
      </c>
    </row>
    <row r="42" spans="2:13">
      <c r="B42" s="120" t="s">
        <v>13</v>
      </c>
      <c r="C42" s="417">
        <f>VLOOKUP($C$38,'FS (2011)'!$A$13:$AH$244,'FS (2011)'!$H$245,FALSE)</f>
        <v>1520.7431903281913</v>
      </c>
      <c r="D42" s="418">
        <f>VLOOKUP($D$38,'FS (2011)'!$A$13:$AH$244,'FS (2011)'!$H$245,FALSE)</f>
        <v>1663.100917482325</v>
      </c>
      <c r="E42" s="418">
        <f>VLOOKUP($E$38,'FS (2011)'!$A$13:$AH$244,'FS (2011)'!$H$245,FALSE)</f>
        <v>1789.2834929535716</v>
      </c>
      <c r="F42" s="419">
        <f>VLOOKUP($F$38,'FS (2011)'!$A$13:$AH$244,'FS (2011)'!$H$245,FALSE)</f>
        <v>2481.8393999999998</v>
      </c>
    </row>
    <row r="43" spans="2:13">
      <c r="B43" s="124" t="s">
        <v>5</v>
      </c>
      <c r="C43" s="420">
        <f>SUM(C40:C42)</f>
        <v>82277.596680647839</v>
      </c>
      <c r="D43" s="420">
        <f>SUM(D40:D42)</f>
        <v>85689.324279195527</v>
      </c>
      <c r="E43" s="420">
        <f>SUM(E40:E42)</f>
        <v>87724.205742017191</v>
      </c>
      <c r="F43" s="421">
        <f>SUM(F40:F42)</f>
        <v>87076.851300000009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WEL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107.46268870260995</v>
      </c>
      <c r="E46" s="422">
        <f>IF(ISERROR(E40/$C40),"",(E40/$C40))*100</f>
        <v>111.72871305024508</v>
      </c>
      <c r="F46" s="423">
        <f>IF(ISERROR(F40/$C40),"",(F40/$C40))*100</f>
        <v>110.05477525923671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76.374086433958496</v>
      </c>
      <c r="E47" s="422">
        <f t="shared" si="0"/>
        <v>63.31684972408349</v>
      </c>
      <c r="F47" s="423">
        <f t="shared" si="0"/>
        <v>61.777189499725047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109.36106293682705</v>
      </c>
      <c r="E48" s="422">
        <f t="shared" si="0"/>
        <v>117.65849121227541</v>
      </c>
      <c r="F48" s="423">
        <f t="shared" si="0"/>
        <v>163.19911315627161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104.14660580302311</v>
      </c>
      <c r="E49" s="424">
        <f t="shared" si="0"/>
        <v>106.61979600900328</v>
      </c>
      <c r="F49" s="416">
        <f t="shared" si="0"/>
        <v>105.83300292299494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WEL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51664.317753984767</v>
      </c>
      <c r="D54" s="426">
        <f>VLOOKUP($D$38,'MP (2011)'!$A$14:$AR$245,'MP (2011)'!$Z$246,FALSE)</f>
        <v>56901.032778090448</v>
      </c>
      <c r="E54" s="426">
        <f>VLOOKUP($E$38,'MP (2011)'!$A$14:$AR$245,'MP (2011)'!$Z$246,FALSE)</f>
        <v>60061.016382743655</v>
      </c>
      <c r="F54" s="427">
        <f>VLOOKUP($F$38,'MP (2011)'!$A$14:$AR$245,'MP (2011)'!$Z$246,FALSE)</f>
        <v>56916.506000000001</v>
      </c>
    </row>
    <row r="55" spans="2:23">
      <c r="B55" s="111" t="s">
        <v>180</v>
      </c>
      <c r="C55" s="425">
        <f>VLOOKUP($C$38,'MP (2011)'!$A$14:$AR$245,'MP (2011)'!$AD$246,FALSE)</f>
        <v>1392.7665121895584</v>
      </c>
      <c r="D55" s="426">
        <f>VLOOKUP($D$38,'MP (2011)'!$A$14:$AR$245,'MP (2011)'!$AD$246,FALSE)</f>
        <v>1407.5561841169604</v>
      </c>
      <c r="E55" s="426">
        <f>VLOOKUP($E$38,'MP (2011)'!$A$14:$AR$245,'MP (2011)'!$AD$246,FALSE)</f>
        <v>1270.7252165395703</v>
      </c>
      <c r="F55" s="427">
        <f>VLOOKUP($F$38,'MP (2011)'!$A$14:$AR$245,'MP (2011)'!$AD$246,FALSE)</f>
        <v>1569.3579999999999</v>
      </c>
      <c r="J55" s="139"/>
    </row>
    <row r="56" spans="2:23">
      <c r="B56" s="111" t="s">
        <v>184</v>
      </c>
      <c r="C56" s="425">
        <f>VLOOKUP($C$38,'MP (2011)'!$A$14:$AR$245,'MP (2011)'!$AH$246,FALSE)</f>
        <v>16191.831979983461</v>
      </c>
      <c r="D56" s="426">
        <f>VLOOKUP($D$38,'MP (2011)'!$A$14:$AR$245,'MP (2011)'!$AH$246,FALSE)</f>
        <v>16265.489843091491</v>
      </c>
      <c r="E56" s="426">
        <f>VLOOKUP($E$38,'MP (2011)'!$A$14:$AR$245,'MP (2011)'!$AH$246,FALSE)</f>
        <v>16200.836665409175</v>
      </c>
      <c r="F56" s="427">
        <f>VLOOKUP($F$38,'MP (2011)'!$A$14:$AR$245,'MP (2011)'!$AH$246,FALSE)</f>
        <v>17632.895</v>
      </c>
    </row>
    <row r="57" spans="2:23">
      <c r="B57" s="111" t="s">
        <v>181</v>
      </c>
      <c r="C57" s="425">
        <f>VLOOKUP($C$38,'MP (2011)'!$A$14:$AR$245,'MP (2011)'!$AL$246,FALSE)</f>
        <v>2638.8903607253851</v>
      </c>
      <c r="D57" s="426">
        <f>VLOOKUP($D$38,'MP (2011)'!$A$14:$AR$245,'MP (2011)'!$AL$246,FALSE)</f>
        <v>2678.4912314091557</v>
      </c>
      <c r="E57" s="426">
        <f>VLOOKUP($E$38,'MP (2011)'!$A$14:$AR$245,'MP (2011)'!$AL$246,FALSE)</f>
        <v>2786.7425915766207</v>
      </c>
      <c r="F57" s="427">
        <f>VLOOKUP($F$38,'MP (2011)'!$A$14:$AR$245,'MP (2011)'!$AL$246,FALSE)</f>
        <v>2997.2055</v>
      </c>
      <c r="W57" s="139"/>
    </row>
    <row r="58" spans="2:23">
      <c r="B58" s="147" t="s">
        <v>248</v>
      </c>
      <c r="C58" s="428">
        <f>SUM(C54:C57)</f>
        <v>71887.806606883169</v>
      </c>
      <c r="D58" s="428">
        <f>SUM(D54:D57)</f>
        <v>77252.570036708043</v>
      </c>
      <c r="E58" s="428">
        <f>SUM(E54:E57)</f>
        <v>80319.320856269027</v>
      </c>
      <c r="F58" s="429">
        <f>SUM(F54:F57)</f>
        <v>79115.964500000002</v>
      </c>
    </row>
    <row r="59" spans="2:23">
      <c r="B59" s="103" t="s">
        <v>302</v>
      </c>
    </row>
    <row r="60" spans="2:23">
      <c r="B60" s="137" t="str">
        <f>$B$2</f>
        <v>WEL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110.13603827895662</v>
      </c>
      <c r="E61" s="422">
        <f t="shared" si="1"/>
        <v>116.25241364599511</v>
      </c>
      <c r="F61" s="423">
        <f t="shared" si="1"/>
        <v>110.16598781198488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101.06189169526709</v>
      </c>
      <c r="E62" s="422">
        <f t="shared" si="1"/>
        <v>91.237490664667988</v>
      </c>
      <c r="F62" s="423">
        <f t="shared" si="1"/>
        <v>112.67918823901239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100.45490753114959</v>
      </c>
      <c r="E63" s="422">
        <f t="shared" si="1"/>
        <v>100.05561251769932</v>
      </c>
      <c r="F63" s="423">
        <f t="shared" si="1"/>
        <v>108.8999380786436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101.50066373628668</v>
      </c>
      <c r="E64" s="422">
        <f t="shared" si="1"/>
        <v>105.60281825466191</v>
      </c>
      <c r="F64" s="423">
        <f t="shared" si="1"/>
        <v>113.57825033610416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107.4626889914196</v>
      </c>
      <c r="E65" s="424">
        <f t="shared" si="1"/>
        <v>111.72871262506786</v>
      </c>
      <c r="F65" s="416">
        <f t="shared" si="1"/>
        <v>110.05477595476496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WEL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639.81371600867828</v>
      </c>
      <c r="D70" s="433">
        <f>(D54/D98)*1000</f>
        <v>684.24383143244211</v>
      </c>
      <c r="E70" s="433">
        <f>(E54/E98)*1000</f>
        <v>717.18928154210585</v>
      </c>
      <c r="F70" s="434">
        <f>(F54/F98)*1000</f>
        <v>685.48501162216519</v>
      </c>
    </row>
    <row r="71" spans="2:40">
      <c r="B71" s="111" t="s">
        <v>180</v>
      </c>
      <c r="C71" s="433">
        <f>(C55/C99)*1000</f>
        <v>8597.3241493182613</v>
      </c>
      <c r="D71" s="433">
        <f t="shared" ref="C71:F73" si="2">(D55/D99)*1000</f>
        <v>9199.7136216794806</v>
      </c>
      <c r="E71" s="433">
        <f t="shared" si="2"/>
        <v>8585.9811928349336</v>
      </c>
      <c r="F71" s="434">
        <f t="shared" si="2"/>
        <v>8767.363128491621</v>
      </c>
    </row>
    <row r="72" spans="2:40">
      <c r="B72" s="111" t="s">
        <v>184</v>
      </c>
      <c r="C72" s="433">
        <f>(C56/C100)*1000</f>
        <v>40888.464595917831</v>
      </c>
      <c r="D72" s="433">
        <f t="shared" si="2"/>
        <v>40868.064932390684</v>
      </c>
      <c r="E72" s="433">
        <f t="shared" si="2"/>
        <v>42859.356257696229</v>
      </c>
      <c r="F72" s="434">
        <f t="shared" si="2"/>
        <v>44192.719298245611</v>
      </c>
    </row>
    <row r="73" spans="2:40">
      <c r="B73" s="115" t="s">
        <v>181</v>
      </c>
      <c r="C73" s="435">
        <f t="shared" si="2"/>
        <v>527778.07214507693</v>
      </c>
      <c r="D73" s="435">
        <f t="shared" si="2"/>
        <v>535698.24628183118</v>
      </c>
      <c r="E73" s="435">
        <f t="shared" si="2"/>
        <v>557348.51831532409</v>
      </c>
      <c r="F73" s="436">
        <f t="shared" si="2"/>
        <v>599441.1</v>
      </c>
    </row>
    <row r="74" spans="2:40">
      <c r="B74" s="103" t="s">
        <v>303</v>
      </c>
    </row>
    <row r="75" spans="2:40">
      <c r="B75" s="137" t="str">
        <f>$B$2</f>
        <v>WEL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106.94422678227818</v>
      </c>
      <c r="E76" s="422">
        <f t="shared" si="3"/>
        <v>112.09345214043178</v>
      </c>
      <c r="F76" s="423">
        <f t="shared" si="3"/>
        <v>107.1382176515996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107.00670885381223</v>
      </c>
      <c r="E77" s="422">
        <f t="shared" si="3"/>
        <v>99.868064105920368</v>
      </c>
      <c r="F77" s="423">
        <f t="shared" si="3"/>
        <v>101.97781281966488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99.950109000842303</v>
      </c>
      <c r="E78" s="422">
        <f t="shared" si="3"/>
        <v>104.82016549473263</v>
      </c>
      <c r="F78" s="423">
        <f t="shared" si="3"/>
        <v>108.08114155173649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101.5006637362867</v>
      </c>
      <c r="E79" s="424">
        <f t="shared" si="3"/>
        <v>105.60281825466194</v>
      </c>
      <c r="F79" s="416">
        <f t="shared" si="3"/>
        <v>113.57825033610418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WEL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7.2721212402534334</v>
      </c>
      <c r="D84" s="437">
        <f>(D54/VLOOKUP($D$38,'MP (2011)'!$A$14:$AR$245,'MP (2011)'!$AA$246,FALSE)*100)</f>
        <v>7.9622147263834497</v>
      </c>
      <c r="E84" s="437">
        <f>(E54/VLOOKUP($E$38,'MP (2011)'!$A$14:$AR$245,'MP (2011)'!$AA$246,FALSE)*100)</f>
        <v>8.0337792338966949</v>
      </c>
      <c r="F84" s="438">
        <f>(F54/VLOOKUP($F$38,'MP (2011)'!$A$14:$AR$245,'MP (2011)'!$AA$246,FALSE)*100)</f>
        <v>7.8903820029134373</v>
      </c>
    </row>
    <row r="85" spans="2:7">
      <c r="B85" s="111" t="s">
        <v>180</v>
      </c>
      <c r="C85" s="430">
        <f>(C55/VLOOKUP($C$38,'MP (2011)'!$A$14:$AR$245,'MP (2011)'!$AE$246,FALSE)*100)</f>
        <v>5.9788044919104912</v>
      </c>
      <c r="D85" s="437">
        <f>(D55/VLOOKUP($D$38,'MP (2011)'!$A$14:$AR$245,'MP (2011)'!$AE$246,FALSE)*100)</f>
        <v>6.1486641074842332</v>
      </c>
      <c r="E85" s="437">
        <f>(E55/VLOOKUP($E$38,'MP (2011)'!$A$14:$AR$245,'MP (2011)'!$AE$246,FALSE)*100)</f>
        <v>6.3378552805105928</v>
      </c>
      <c r="F85" s="438">
        <f>(F55/VLOOKUP($F$38,'MP (2011)'!$A$14:$AR$245,'MP (2011)'!$AE$246,FALSE)*100)</f>
        <v>6.3059748601288987</v>
      </c>
    </row>
    <row r="86" spans="2:7">
      <c r="B86" s="111" t="s">
        <v>184</v>
      </c>
      <c r="C86" s="430">
        <f>(C56/VLOOKUP($C$38,'MP (2011)'!$A$14:$AR$245,'MP (2011)'!$AI$246,FALSE)*100)</f>
        <v>4.6985626839609136</v>
      </c>
      <c r="D86" s="437">
        <f>(D56/VLOOKUP($D$38,'MP (2011)'!$A$14:$AR$245,'MP (2011)'!$AI$246,FALSE)*100)</f>
        <v>4.8328590776251419</v>
      </c>
      <c r="E86" s="437">
        <f>(E56/VLOOKUP($E$38,'MP (2011)'!$A$14:$AR$245,'MP (2011)'!$AI$246,FALSE)*100)</f>
        <v>5.0187440923709685</v>
      </c>
      <c r="F86" s="438">
        <f>(F56/VLOOKUP($F$38,'MP (2011)'!$A$14:$AR$245,'MP (2011)'!$AI$246,FALSE)*100)</f>
        <v>5.0102360530527292</v>
      </c>
    </row>
    <row r="87" spans="2:7">
      <c r="B87" s="115" t="s">
        <v>181</v>
      </c>
      <c r="C87" s="431">
        <f>(C57/VLOOKUP($C$38,'MP (2011)'!$A$14:$AR$245,'MP (2011)'!$AM$246,FALSE)*100)</f>
        <v>3.2223199346480325</v>
      </c>
      <c r="D87" s="431">
        <f>(D57/VLOOKUP($D$38,'MP (2011)'!$A$14:$AR$245,'MP (2011)'!$AM$246,FALSE)*100)</f>
        <v>3.414218211780188</v>
      </c>
      <c r="E87" s="431">
        <f>(E57/VLOOKUP($E$38,'MP (2011)'!$A$14:$AR$245,'MP (2011)'!$AM$246,FALSE)*100)</f>
        <v>3.7528601928521041</v>
      </c>
      <c r="F87" s="432">
        <f>(F57/VLOOKUP($F$38,'MP (2011)'!$A$14:$AR$245,'MP (2011)'!$AM$246,FALSE)*100)</f>
        <v>3.783116662409638</v>
      </c>
    </row>
    <row r="88" spans="2:7">
      <c r="B88" s="103" t="s">
        <v>304</v>
      </c>
    </row>
    <row r="89" spans="2:7">
      <c r="B89" s="137" t="str">
        <f>$B$2</f>
        <v>WEL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109.48957619559663</v>
      </c>
      <c r="E90" s="422">
        <f>IF(ISERROR(E84/$C84),"",(E84/$C84)*100)</f>
        <v>110.47367017792895</v>
      </c>
      <c r="F90" s="423">
        <f>IF(ISERROR(F84/$C84),"",(F84/$C84)*100)</f>
        <v>108.50179393651662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102.84102977114517</v>
      </c>
      <c r="E91" s="422">
        <f t="shared" si="4"/>
        <v>106.00539437417478</v>
      </c>
      <c r="F91" s="423">
        <f t="shared" si="4"/>
        <v>105.47217037555048</v>
      </c>
    </row>
    <row r="92" spans="2:7">
      <c r="B92" s="111" t="s">
        <v>184</v>
      </c>
      <c r="C92" s="422">
        <f t="shared" si="4"/>
        <v>100</v>
      </c>
      <c r="D92" s="422">
        <f t="shared" si="4"/>
        <v>102.85824416310683</v>
      </c>
      <c r="E92" s="422">
        <f t="shared" si="4"/>
        <v>106.81445433308852</v>
      </c>
      <c r="F92" s="423">
        <f t="shared" si="4"/>
        <v>106.63337684427941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105.95528318180847</v>
      </c>
      <c r="E93" s="424">
        <f>IF(ISERROR(E87/$C87),"",(E87/$C87)*100)</f>
        <v>116.46454321619126</v>
      </c>
      <c r="F93" s="416">
        <f>IF(ISERROR(F87/$C87),"",(F87/$C87)*100)</f>
        <v>117.40350862531159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80749</v>
      </c>
      <c r="D98" s="150">
        <f>VLOOKUP($D$38,'MP (2011)'!$A$14:$AR$245,'MP (2011)'!$AB$246,FALSE)</f>
        <v>83159</v>
      </c>
      <c r="E98" s="150">
        <f>VLOOKUP($E$38,'MP (2011)'!$A$14:$AR$245,'MP (2011)'!$AB$246,FALSE)</f>
        <v>83745</v>
      </c>
      <c r="F98" s="151">
        <f>VLOOKUP($F$38,'MP (2011)'!$A$14:$AR$245,'MP (2011)'!$AB$246,FALSE)</f>
        <v>83031</v>
      </c>
    </row>
    <row r="99" spans="2:7">
      <c r="B99" s="155" t="s">
        <v>309</v>
      </c>
      <c r="C99" s="150">
        <f>VLOOKUP($C$38,'MP (2011)'!$A$14:$AR$245,'MP (2011)'!$AF$246,FALSE)</f>
        <v>162</v>
      </c>
      <c r="D99" s="150">
        <f>VLOOKUP($D$38,'MP (2011)'!$A$14:$AR$245,'MP (2011)'!$AF$246,FALSE)</f>
        <v>153</v>
      </c>
      <c r="E99" s="150">
        <f>VLOOKUP($E$38,'MP (2011)'!$A$14:$AR$245,'MP (2011)'!$AF$246,FALSE)</f>
        <v>148</v>
      </c>
      <c r="F99" s="151">
        <f>VLOOKUP($F$38,'MP (2011)'!$A$14:$AR$245,'MP (2011)'!$AF$246,FALSE)</f>
        <v>179</v>
      </c>
    </row>
    <row r="100" spans="2:7">
      <c r="B100" s="155" t="s">
        <v>310</v>
      </c>
      <c r="C100" s="150">
        <f>VLOOKUP($C$38,'MP (2011)'!$A$14:$AR$245,'MP (2011)'!$AJ$246,FALSE)</f>
        <v>396</v>
      </c>
      <c r="D100" s="150">
        <f>VLOOKUP($D$38,'MP (2011)'!$A$14:$AR$245,'MP (2011)'!$AJ$246,FALSE)</f>
        <v>398</v>
      </c>
      <c r="E100" s="150">
        <f>VLOOKUP($E$38,'MP (2011)'!$A$14:$AR$245,'MP (2011)'!$AJ$246,FALSE)</f>
        <v>378</v>
      </c>
      <c r="F100" s="151">
        <f>VLOOKUP($F$38,'MP (2011)'!$A$14:$AR$245,'MP (2011)'!$AJ$246,FALSE)</f>
        <v>399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81312</v>
      </c>
      <c r="D102" s="152">
        <f>SUM(D98:D101)</f>
        <v>83715</v>
      </c>
      <c r="E102" s="152">
        <f>SUM(E98:E101)</f>
        <v>84276</v>
      </c>
      <c r="F102" s="157">
        <f>SUM(F98:F101)</f>
        <v>83614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102.98455708429826</v>
      </c>
      <c r="E105" s="422">
        <f t="shared" si="5"/>
        <v>103.71026266579153</v>
      </c>
      <c r="F105" s="423">
        <f t="shared" si="5"/>
        <v>102.82604118936459</v>
      </c>
    </row>
    <row r="106" spans="2:7">
      <c r="B106" s="111" t="s">
        <v>180</v>
      </c>
      <c r="C106" s="422">
        <f t="shared" si="5"/>
        <v>100</v>
      </c>
      <c r="D106" s="422">
        <f t="shared" si="5"/>
        <v>94.444444444444443</v>
      </c>
      <c r="E106" s="422">
        <f t="shared" si="5"/>
        <v>91.358024691358025</v>
      </c>
      <c r="F106" s="423">
        <f t="shared" si="5"/>
        <v>110.49382716049382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100.50505050505049</v>
      </c>
      <c r="E107" s="422">
        <f t="shared" si="5"/>
        <v>95.454545454545453</v>
      </c>
      <c r="F107" s="423">
        <f t="shared" si="5"/>
        <v>100.75757575757575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WEL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710443.57</v>
      </c>
      <c r="D113" s="150">
        <f>VLOOKUP($D$38,'MP (2011)'!$A$14:$AR$245,'MP (2011)'!$AA$246,FALSE)</f>
        <v>714638.26</v>
      </c>
      <c r="E113" s="150">
        <f>VLOOKUP($E$38,'MP (2011)'!$A$14:$AR$245,'MP (2011)'!$AA$246,FALSE)</f>
        <v>747606.01</v>
      </c>
      <c r="F113" s="151">
        <f>VLOOKUP($F$38,'MP (2011)'!$A$14:$AR$245,'MP (2011)'!$AA$246,FALSE)</f>
        <v>721340.31</v>
      </c>
    </row>
    <row r="114" spans="2:7">
      <c r="B114" s="155" t="s">
        <v>309</v>
      </c>
      <c r="C114" s="150">
        <f>VLOOKUP($C$38,'MP (2011)'!$A$14:$AR$245,'MP (2011)'!$AE$246,FALSE)</f>
        <v>23295.066999999999</v>
      </c>
      <c r="D114" s="150">
        <f>VLOOKUP($D$38,'MP (2011)'!$A$14:$AR$245,'MP (2011)'!$AE$246,FALSE)</f>
        <v>22892.064999999999</v>
      </c>
      <c r="E114" s="150">
        <f>VLOOKUP($E$38,'MP (2011)'!$A$14:$AR$245,'MP (2011)'!$AE$246,FALSE)</f>
        <v>20049.767</v>
      </c>
      <c r="F114" s="151">
        <f>VLOOKUP($F$38,'MP (2011)'!$A$14:$AR$245,'MP (2011)'!$AE$246,FALSE)</f>
        <v>24886.842000000001</v>
      </c>
    </row>
    <row r="115" spans="2:7">
      <c r="B115" s="155" t="s">
        <v>310</v>
      </c>
      <c r="C115" s="150">
        <f>VLOOKUP($C$38,'MP (2011)'!$A$14:$AR$245,'MP (2011)'!$AI$246,FALSE)</f>
        <v>344612.45</v>
      </c>
      <c r="D115" s="150">
        <f>VLOOKUP($D$38,'MP (2011)'!$A$14:$AR$245,'MP (2011)'!$AI$246,FALSE)</f>
        <v>336560.4</v>
      </c>
      <c r="E115" s="150">
        <f>VLOOKUP($E$38,'MP (2011)'!$A$14:$AR$245,'MP (2011)'!$AI$246,FALSE)</f>
        <v>322806.59000000003</v>
      </c>
      <c r="F115" s="151">
        <f>VLOOKUP($F$38,'MP (2011)'!$A$14:$AR$245,'MP (2011)'!$AI$246,FALSE)</f>
        <v>351937.41</v>
      </c>
    </row>
    <row r="116" spans="2:7">
      <c r="B116" s="155" t="s">
        <v>311</v>
      </c>
      <c r="C116" s="150">
        <f>VLOOKUP($C$38,'MP (2011)'!$A$14:$AR$245,'MP (2011)'!$AM$246,FALSE)</f>
        <v>81894.114000000001</v>
      </c>
      <c r="D116" s="150">
        <f>VLOOKUP($D$38,'MP (2011)'!$A$14:$AR$245,'MP (2011)'!$AM$246,FALSE)</f>
        <v>78451.085000000006</v>
      </c>
      <c r="E116" s="150">
        <f>VLOOKUP($E$38,'MP (2011)'!$A$14:$AR$245,'MP (2011)'!$AM$246,FALSE)</f>
        <v>74256.498999999996</v>
      </c>
      <c r="F116" s="151">
        <f>VLOOKUP($F$38,'MP (2011)'!$A$14:$AR$245,'MP (2011)'!$AM$246,FALSE)</f>
        <v>79225.827999999994</v>
      </c>
    </row>
    <row r="117" spans="2:7">
      <c r="B117" s="147" t="s">
        <v>254</v>
      </c>
      <c r="C117" s="158">
        <f>SUM(C113:C116)</f>
        <v>1160245.2010000001</v>
      </c>
      <c r="D117" s="158">
        <f>SUM(D113:D116)</f>
        <v>1152541.81</v>
      </c>
      <c r="E117" s="158">
        <f>SUM(E113:E116)</f>
        <v>1164718.8660000002</v>
      </c>
      <c r="F117" s="159">
        <f>SUM(F113:F116)</f>
        <v>1177390.3899999999</v>
      </c>
    </row>
    <row r="118" spans="2:7">
      <c r="B118" s="103" t="s">
        <v>306</v>
      </c>
    </row>
    <row r="119" spans="2:7">
      <c r="B119" s="137" t="str">
        <f>$B$2</f>
        <v>WEL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100.59043253780172</v>
      </c>
      <c r="E120" s="422">
        <f t="shared" si="6"/>
        <v>105.23087850594524</v>
      </c>
      <c r="F120" s="423">
        <f t="shared" si="6"/>
        <v>101.53379388035</v>
      </c>
    </row>
    <row r="121" spans="2:7">
      <c r="B121" s="111" t="s">
        <v>180</v>
      </c>
      <c r="C121" s="422">
        <f t="shared" si="6"/>
        <v>100</v>
      </c>
      <c r="D121" s="422">
        <f t="shared" si="6"/>
        <v>98.270011414863063</v>
      </c>
      <c r="E121" s="422">
        <f t="shared" si="6"/>
        <v>86.06872433549988</v>
      </c>
      <c r="F121" s="423">
        <f t="shared" si="6"/>
        <v>106.83309904195598</v>
      </c>
    </row>
    <row r="122" spans="2:7">
      <c r="B122" s="111" t="s">
        <v>184</v>
      </c>
      <c r="C122" s="422">
        <f t="shared" si="6"/>
        <v>100</v>
      </c>
      <c r="D122" s="422">
        <f t="shared" si="6"/>
        <v>97.663447736725701</v>
      </c>
      <c r="E122" s="422">
        <f t="shared" si="6"/>
        <v>93.672352812557989</v>
      </c>
      <c r="F122" s="423">
        <f t="shared" si="6"/>
        <v>102.12556452908186</v>
      </c>
    </row>
    <row r="123" spans="2:7">
      <c r="B123" s="115" t="s">
        <v>181</v>
      </c>
      <c r="C123" s="424">
        <f t="shared" si="6"/>
        <v>100</v>
      </c>
      <c r="D123" s="424">
        <f t="shared" si="6"/>
        <v>95.795755235840275</v>
      </c>
      <c r="E123" s="424">
        <f t="shared" si="6"/>
        <v>90.673792502352484</v>
      </c>
      <c r="F123" s="416">
        <f t="shared" si="6"/>
        <v>96.741785374221152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WEL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82867.3159225571</v>
      </c>
      <c r="D128" s="433">
        <f>VLOOKUP($D$38,'FS (2011)'!$A$13:$AH$244,'FS (2011)'!$I$245,FALSE)</f>
        <v>87631.718731278714</v>
      </c>
      <c r="E128" s="433">
        <f>VLOOKUP($E$38,'FS (2011)'!$A$13:$AH$244,'FS (2011)'!$I$245,FALSE)</f>
        <v>88225.070108054206</v>
      </c>
      <c r="F128" s="440">
        <f>VLOOKUP($F$38,'FS (2011)'!$A$13:$AH$244,'FS (2011)'!$I$245,FALSE)</f>
        <v>87980.683000000005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9082.2897420090667</v>
      </c>
      <c r="D129" s="433">
        <f>VLOOKUP($D$38,'FS (2011)'!$A$13:$AH$244,'FS (2011)'!$Y$245,FALSE)+VLOOKUP($D$38,'FS (2011)'!$A$13:$AH$244,'FS (2011)'!$Z$245,FALSE)</f>
        <v>8599.4504467018978</v>
      </c>
      <c r="E129" s="433">
        <f>VLOOKUP($E$38,'FS (2011)'!$A$13:$AH$244,'FS (2011)'!$Y$245,FALSE)+VLOOKUP($E$38,'FS (2011)'!$A$13:$AH$244,'FS (2011)'!$Z$245,FALSE)</f>
        <v>6279.9139538411782</v>
      </c>
      <c r="F129" s="440">
        <f>VLOOKUP($F$38,'FS (2011)'!$A$13:$AH$244,'FS (2011)'!$Y$245,FALSE)+VLOOKUP($F$38,'FS (2011)'!$A$13:$AH$244,'FS (2011)'!$Z$245,FALSE)</f>
        <v>14111.218999999999</v>
      </c>
      <c r="G129" s="121"/>
    </row>
    <row r="130" spans="1:30">
      <c r="B130" s="162" t="s">
        <v>191</v>
      </c>
      <c r="C130" s="441">
        <f>VLOOKUP($C$38,'FS (2011)'!$A$13:$AH$244,'FS (2011)'!$J$245,FALSE)</f>
        <v>17287.312879587123</v>
      </c>
      <c r="D130" s="433">
        <f>VLOOKUP($D$38,'FS (2011)'!$A$13:$AH$244,'FS (2011)'!$J$245,FALSE)</f>
        <v>19196.445054567914</v>
      </c>
      <c r="E130" s="433">
        <f>VLOOKUP($E$38,'FS (2011)'!$A$13:$AH$244,'FS (2011)'!$J$245,FALSE)</f>
        <v>20080.226617444958</v>
      </c>
      <c r="F130" s="440">
        <f>VLOOKUP($F$38,'FS (2011)'!$A$13:$AH$244,'FS (2011)'!$J$245,FALSE)</f>
        <v>20554</v>
      </c>
    </row>
    <row r="131" spans="1:30">
      <c r="B131" s="162" t="s">
        <v>182</v>
      </c>
      <c r="C131" s="441">
        <f>VLOOKUP($C$38,'FS (2011)'!$A$13:$AH$244,'FS (2011)'!$S$245,FALSE)</f>
        <v>16134.894352599013</v>
      </c>
      <c r="D131" s="433">
        <f>VLOOKUP($D$38,'FS (2011)'!$A$13:$AH$244,'FS (2011)'!$S$245,FALSE)</f>
        <v>16709.469401606144</v>
      </c>
      <c r="E131" s="433">
        <f>VLOOKUP($E$38,'FS (2011)'!$A$13:$AH$244,'FS (2011)'!$S$245,FALSE)</f>
        <v>17248.510186737083</v>
      </c>
      <c r="F131" s="440">
        <f>VLOOKUP($F$38,'FS (2011)'!$A$13:$AH$244,'FS (2011)'!$S$245,FALSE)</f>
        <v>17772.210999999999</v>
      </c>
      <c r="I131" s="139"/>
    </row>
    <row r="132" spans="1:30">
      <c r="B132" s="162" t="s">
        <v>143</v>
      </c>
      <c r="C132" s="441">
        <f>VLOOKUP($C$38,'FS (2011)'!$A$13:$AH$244,'FS (2011)'!$U$245,FALSE)</f>
        <v>12520.971622708219</v>
      </c>
      <c r="D132" s="433">
        <f>VLOOKUP($D$38,'FS (2011)'!$A$13:$AH$244,'FS (2011)'!$U$245,FALSE)</f>
        <v>15271.262021552608</v>
      </c>
      <c r="E132" s="433">
        <f>VLOOKUP($E$38,'FS (2011)'!$A$13:$AH$244,'FS (2011)'!$U$245,FALSE)</f>
        <v>14513.230600630539</v>
      </c>
      <c r="F132" s="440">
        <f>VLOOKUP($F$38,'FS (2011)'!$A$13:$AH$244,'FS (2011)'!$U$245,FALSE)</f>
        <v>13960.723</v>
      </c>
    </row>
    <row r="133" spans="1:30">
      <c r="B133" s="162" t="s">
        <v>196</v>
      </c>
      <c r="C133" s="441">
        <f>VLOOKUP($C$38,'FS (2011)'!$A$13:$AH$244,'FS (2011)'!$X$245,FALSE)</f>
        <v>1690.9045774286446</v>
      </c>
      <c r="D133" s="433">
        <f>VLOOKUP($D$38,'FS (2011)'!$A$13:$AH$244,'FS (2011)'!$X$245,FALSE)</f>
        <v>3061.0596057382099</v>
      </c>
      <c r="E133" s="433">
        <f>VLOOKUP($E$38,'FS (2011)'!$A$13:$AH$244,'FS (2011)'!$X$245,FALSE)</f>
        <v>3917.7814013904226</v>
      </c>
      <c r="F133" s="440">
        <f>VLOOKUP($F$38,'FS (2011)'!$A$13:$AH$244,'FS (2011)'!$X$245,FALSE)</f>
        <v>3720.0151000000001</v>
      </c>
    </row>
    <row r="134" spans="1:30">
      <c r="B134" s="164" t="s">
        <v>258</v>
      </c>
      <c r="C134" s="442">
        <f>VLOOKUP($C$38,'FS (2011)'!$A$13:$AH$244,'FS (2011)'!$AA$245,FALSE)</f>
        <v>44315.522555672775</v>
      </c>
      <c r="D134" s="435">
        <f>VLOOKUP($D$38,'FS (2011)'!$A$13:$AH$244,'FS (2011)'!$AA$245,FALSE)</f>
        <v>41992.933613563036</v>
      </c>
      <c r="E134" s="435">
        <f>VLOOKUP($E$38,'FS (2011)'!$A$13:$AH$244,'FS (2011)'!$AA$245,FALSE)</f>
        <v>38745.234848158223</v>
      </c>
      <c r="F134" s="443">
        <f>VLOOKUP($F$38,'FS (2011)'!$A$13:$AH$244,'FS (2011)'!$AA$245,FALSE)</f>
        <v>46084.951999999997</v>
      </c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2</v>
      </c>
      <c r="B138" s="166" t="s">
        <v>204</v>
      </c>
      <c r="C138" s="167"/>
      <c r="D138" s="444">
        <f>VLOOKUP($D$6,'FS (2011)'!$A$13:$AH$244,'FS (2011)'!$L$245,FALSE)</f>
        <v>3425.5081</v>
      </c>
      <c r="E138" s="446">
        <f t="shared" ref="E138:E144" si="7">D138/$D$145</f>
        <v>0.19274518191216869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5322.7161999999998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1</v>
      </c>
      <c r="B139" s="162" t="s">
        <v>199</v>
      </c>
      <c r="C139" s="121"/>
      <c r="D139" s="441">
        <f>VLOOKUP($D$6,'FS (2011)'!$A$13:$AH$244,'FS (2011)'!K245,FALSE)</f>
        <v>5322.7161999999998</v>
      </c>
      <c r="E139" s="414">
        <f t="shared" si="7"/>
        <v>0.29949656292911619</v>
      </c>
      <c r="Q139" s="559"/>
      <c r="R139" s="559"/>
      <c r="S139" s="559"/>
      <c r="T139" s="559">
        <v>2</v>
      </c>
      <c r="U139" s="559" t="str">
        <f t="shared" ref="U139:U144" si="9">VLOOKUP(T139,$A$138:$E$144,2,FALSE)</f>
        <v>System management and operations</v>
      </c>
      <c r="V139" s="559">
        <f t="shared" ref="V139:V144" si="10">VLOOKUP(T139,$A$138:$E$144,4,FALSE)</f>
        <v>3425.5081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3</v>
      </c>
      <c r="B140" s="162" t="s">
        <v>201</v>
      </c>
      <c r="C140" s="121"/>
      <c r="D140" s="441">
        <f>VLOOKUP($D$6,'FS (2011)'!$A$13:$AH$244,'FS (2011)'!M245,FALSE)</f>
        <v>3052.9521</v>
      </c>
      <c r="E140" s="414">
        <f t="shared" si="7"/>
        <v>0.17178234314601021</v>
      </c>
      <c r="Q140" s="559"/>
      <c r="R140" s="559"/>
      <c r="S140" s="559"/>
      <c r="T140" s="559">
        <v>3</v>
      </c>
      <c r="U140" s="559" t="str">
        <f t="shared" si="9"/>
        <v>Routine and preventative maintenance</v>
      </c>
      <c r="V140" s="559">
        <f t="shared" si="10"/>
        <v>3052.9521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5</v>
      </c>
      <c r="B141" s="162" t="s">
        <v>202</v>
      </c>
      <c r="C141" s="121"/>
      <c r="D141" s="441">
        <f>VLOOKUP($D$6,'FS (2011)'!$A$13:$AH$244,'FS (2011)'!N245,FALSE)</f>
        <v>1579.5706</v>
      </c>
      <c r="E141" s="414">
        <f t="shared" si="7"/>
        <v>8.887867544091152E-2</v>
      </c>
      <c r="Q141" s="559"/>
      <c r="R141" s="559"/>
      <c r="S141" s="559"/>
      <c r="T141" s="559">
        <v>4</v>
      </c>
      <c r="U141" s="559" t="str">
        <f t="shared" si="9"/>
        <v>Fault and emergency maintenance</v>
      </c>
      <c r="V141" s="559">
        <f t="shared" si="10"/>
        <v>2428.0556000000001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4</v>
      </c>
      <c r="B142" s="162" t="s">
        <v>203</v>
      </c>
      <c r="C142" s="121"/>
      <c r="D142" s="441">
        <f>VLOOKUP($D$6,'FS (2011)'!$A$13:$AH$244,'FS (2011)'!O245,FALSE)</f>
        <v>2428.0556000000001</v>
      </c>
      <c r="E142" s="414">
        <f t="shared" si="7"/>
        <v>0.13662090546942801</v>
      </c>
      <c r="Q142" s="559"/>
      <c r="R142" s="559"/>
      <c r="S142" s="559"/>
      <c r="T142" s="559">
        <v>5</v>
      </c>
      <c r="U142" s="559" t="str">
        <f t="shared" si="9"/>
        <v>Refurbishment and renewal maintenance</v>
      </c>
      <c r="V142" s="559">
        <f t="shared" si="10"/>
        <v>1579.5706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8"/>
        <v>6</v>
      </c>
      <c r="B143" s="162" t="s">
        <v>13</v>
      </c>
      <c r="C143" s="121"/>
      <c r="D143" s="441">
        <f>VLOOKUP($D$6,'FS (2011)'!$A$13:$AH$244,'FS (2011)'!R245,FALSE)</f>
        <v>1475.4087</v>
      </c>
      <c r="E143" s="414">
        <f t="shared" si="7"/>
        <v>8.3017733420713946E-2</v>
      </c>
      <c r="Q143" s="559"/>
      <c r="R143" s="559"/>
      <c r="S143" s="559"/>
      <c r="T143" s="559">
        <v>6</v>
      </c>
      <c r="U143" s="559" t="str">
        <f t="shared" si="9"/>
        <v>Other</v>
      </c>
      <c r="V143" s="559">
        <f t="shared" si="10"/>
        <v>1475.4087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7</v>
      </c>
      <c r="B144" s="162" t="s">
        <v>200</v>
      </c>
      <c r="C144" s="121"/>
      <c r="D144" s="441">
        <f>VLOOKUP($D$6,'FS (2011)'!$A$13:$AH$244,'FS (2011)'!P245,FALSE)</f>
        <v>488</v>
      </c>
      <c r="E144" s="414">
        <f t="shared" si="7"/>
        <v>2.7458597681651469E-2</v>
      </c>
      <c r="Q144" s="559"/>
      <c r="R144" s="559"/>
      <c r="S144" s="559"/>
      <c r="T144" s="559">
        <v>7</v>
      </c>
      <c r="U144" s="559" t="str">
        <f t="shared" si="9"/>
        <v>Pass-through costs</v>
      </c>
      <c r="V144" s="559">
        <f t="shared" si="10"/>
        <v>488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17772.211299999999</v>
      </c>
      <c r="E145" s="447">
        <f>SUM(E138:E144)</f>
        <v>1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6.4111778522001552</v>
      </c>
      <c r="F149" s="455">
        <f>(VLOOKUP(F$38,'FS (2011)'!$A$13:$AH$244,'FS (2011)'!$M$245,FALSE)+VLOOKUP(F$38,'FS (2011)'!$A$13:$AH$244,'FS (2011)'!$N$245,FALSE)+VLOOKUP(F$38,'FS (2011)'!$A$13:$AH$244,'FS (2011)'!$O$245,FALSE))/1000</f>
        <v>7.0605782999999995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9.3543818732451296</v>
      </c>
      <c r="F150" s="457">
        <f>(VLOOKUP(F$38,'FS (2011)'!$A$13:$AH$244,'FS (2011)'!$L$245,FALSE)+VLOOKUP(F$38,'FS (2011)'!$A$13:$AH$244,'FS (2011)'!$K$245,FALSE))/1000</f>
        <v>8.7482243000000004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1.4829507567540618</v>
      </c>
      <c r="F151" s="457">
        <f>(VLOOKUP(F$38,'FS (2011)'!$A$13:$AH$244,'FS (2011)'!$R$245,FALSE)+VLOOKUP(F$38,'FS (2011)'!$A$13:$AH$244,'FS (2011)'!$P$245,FALSE)+VLOOKUP(F$38,'FS (2011)'!$A$13:$AH$244,'FS (2011)'!$Q$245,FALSE))/1000</f>
        <v>1.9634087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16.134894352599012</v>
      </c>
      <c r="D152" s="458">
        <f>VLOOKUP($D$38,'FS (2011)'!$A$13:$AH$244,'FS (2011)'!$S$245,FALSE)/1000</f>
        <v>16.709469401606142</v>
      </c>
      <c r="E152" s="459">
        <f>VLOOKUP($E$38,'FS (2011)'!$A$13:$AH$244,'FS (2011)'!$S$245,FALSE)/1000</f>
        <v>17.248510186737082</v>
      </c>
      <c r="F152" s="460">
        <f>VLOOKUP($F$38,'FS (2011)'!$A$13:$AH$244,'FS (2011)'!$S$245,FALSE)/1000</f>
        <v>17.772210999999999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0.1012919096569731</v>
      </c>
      <c r="D154" s="464" t="str">
        <f t="shared" ref="D154:E157" si="11">IF(ISERROR(D149/C149 - 1),"",(D149/C149 - 1))</f>
        <v/>
      </c>
      <c r="E154" s="464" t="str">
        <f t="shared" si="11"/>
        <v/>
      </c>
      <c r="F154" s="465">
        <f>IF(ISERROR(F149/E149 - 1),"",(F149/E149 - 1))</f>
        <v>0.1012919096569731</v>
      </c>
      <c r="Q154" s="559"/>
      <c r="R154" s="559" t="s">
        <v>423</v>
      </c>
      <c r="S154" s="559" t="e">
        <f t="shared" ref="S154:V157" si="12">LN(C149)</f>
        <v>#NUM!</v>
      </c>
      <c r="T154" s="559" t="e">
        <f t="shared" si="12"/>
        <v>#NUM!</v>
      </c>
      <c r="U154" s="559">
        <f t="shared" si="12"/>
        <v>1.8580430063455098</v>
      </c>
      <c r="V154" s="559">
        <f t="shared" si="12"/>
        <v>1.9545269603318343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-6.4799318806817885E-2</v>
      </c>
      <c r="D155" s="467" t="str">
        <f t="shared" si="11"/>
        <v/>
      </c>
      <c r="E155" s="467" t="str">
        <f t="shared" si="11"/>
        <v/>
      </c>
      <c r="F155" s="468">
        <f>IF(ISERROR(F150/E150 - 1),"",(F150/E150 - 1))</f>
        <v>-6.4799318806817885E-2</v>
      </c>
      <c r="Q155" s="559"/>
      <c r="R155" s="559" t="s">
        <v>423</v>
      </c>
      <c r="S155" s="559" t="e">
        <f t="shared" si="12"/>
        <v>#NUM!</v>
      </c>
      <c r="T155" s="559" t="e">
        <f t="shared" si="12"/>
        <v>#NUM!</v>
      </c>
      <c r="U155" s="559">
        <f t="shared" si="12"/>
        <v>2.2358448830636295</v>
      </c>
      <c r="V155" s="559">
        <f t="shared" si="12"/>
        <v>2.1688507426321375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0.32398779329502658</v>
      </c>
      <c r="D156" s="467" t="str">
        <f t="shared" si="11"/>
        <v/>
      </c>
      <c r="E156" s="467" t="str">
        <f t="shared" si="11"/>
        <v/>
      </c>
      <c r="F156" s="468">
        <f>IF(ISERROR(F151/E151 - 1),"",(F151/E151 - 1))</f>
        <v>0.32398779329502658</v>
      </c>
      <c r="Q156" s="559"/>
      <c r="R156" s="559" t="s">
        <v>423</v>
      </c>
      <c r="S156" s="559" t="e">
        <f t="shared" si="12"/>
        <v>#NUM!</v>
      </c>
      <c r="T156" s="559" t="e">
        <f t="shared" si="12"/>
        <v>#NUM!</v>
      </c>
      <c r="U156" s="559">
        <f t="shared" si="12"/>
        <v>0.39403385744876801</v>
      </c>
      <c r="V156" s="559">
        <f t="shared" si="12"/>
        <v>0.67468209535539414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3.2693618717268613E-2</v>
      </c>
      <c r="D157" s="470">
        <f t="shared" si="11"/>
        <v>3.5610710330717277E-2</v>
      </c>
      <c r="E157" s="470">
        <f t="shared" si="11"/>
        <v>3.225959916352128E-2</v>
      </c>
      <c r="F157" s="471">
        <f>IF(ISERROR(F152/E152 - 1),"",(F152/E152 - 1))</f>
        <v>3.036208968735199E-2</v>
      </c>
      <c r="N157" s="136"/>
      <c r="O157" s="136"/>
      <c r="Q157" s="559"/>
      <c r="R157" s="559" t="s">
        <v>423</v>
      </c>
      <c r="S157" s="559">
        <f t="shared" si="12"/>
        <v>2.7809842777662825</v>
      </c>
      <c r="T157" s="559">
        <f t="shared" si="12"/>
        <v>2.8159755887582194</v>
      </c>
      <c r="U157" s="559">
        <f t="shared" si="12"/>
        <v>2.8477257737613559</v>
      </c>
      <c r="V157" s="559">
        <f t="shared" si="12"/>
        <v>2.877636057611781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WEL</v>
      </c>
      <c r="C162" s="456">
        <f>(C152/C102)*1000000</f>
        <v>198.43189630803587</v>
      </c>
      <c r="D162" s="456">
        <f>(D152/D102)*1000000</f>
        <v>199.59946725922643</v>
      </c>
      <c r="E162" s="456">
        <f>(E152/E102)*1000000</f>
        <v>204.66692992948268</v>
      </c>
      <c r="F162" s="457">
        <f>(F152/F102)*1000000</f>
        <v>212.55066137249742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WEL</v>
      </c>
      <c r="C165" s="456">
        <f>C152/VLOOKUP(C$38,'MP (2011)'!$A$14:$AR$245,'MP (2011)'!$H$246,FALSE)*1000000</f>
        <v>3193.4792729465926</v>
      </c>
      <c r="D165" s="456">
        <f>D152/VLOOKUP(D$38,'MP (2011)'!$A$14:$AR$245,'MP (2011)'!$H$246,FALSE)*1000000</f>
        <v>3233.0687850175377</v>
      </c>
      <c r="E165" s="456">
        <f>E152/VLOOKUP(E$38,'MP (2011)'!$A$14:$AR$245,'MP (2011)'!$H$246,FALSE)*1000000</f>
        <v>3420.2875642944837</v>
      </c>
      <c r="F165" s="457">
        <f>F152/VLOOKUP(F$38,'MP (2011)'!$A$14:$AR$245,'MP (2011)'!$H$246,FALSE)*1000000</f>
        <v>3516.9407791170124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WEL</v>
      </c>
      <c r="C168" s="456">
        <f>(C152/C117)*1000000</f>
        <v>13.906452135025043</v>
      </c>
      <c r="D168" s="456">
        <f>(D152/D117)*1000000</f>
        <v>14.497929061338036</v>
      </c>
      <c r="E168" s="456">
        <f>(E152/E117)*1000000</f>
        <v>14.809161841753047</v>
      </c>
      <c r="F168" s="457">
        <f>(F152/F117)*1000000</f>
        <v>15.09457793349239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2.3396961269267269E-2</v>
      </c>
      <c r="D171" s="464">
        <f>IF(ISERROR(D162/C162 - 1),"",(D162/C162 - 1))</f>
        <v>5.8839882746375416E-3</v>
      </c>
      <c r="E171" s="464">
        <f>IF(ISERROR(E162/D162 - 1),"",(E162/D162 - 1))</f>
        <v>2.538815729239885E-2</v>
      </c>
      <c r="F171" s="465">
        <f>IF(ISERROR(F162/E162 - 1),"",(F162/E162 - 1))</f>
        <v>3.851981092270762E-2</v>
      </c>
      <c r="H171" s="139"/>
      <c r="Q171" s="559"/>
      <c r="R171" s="559" t="s">
        <v>423</v>
      </c>
      <c r="S171" s="559">
        <f>LN(C162)</f>
        <v>5.2904459496106657</v>
      </c>
      <c r="T171" s="559">
        <f>LN(D162)</f>
        <v>5.2963126948318502</v>
      </c>
      <c r="U171" s="559">
        <f>LN(E162)</f>
        <v>5.3213839257786093</v>
      </c>
      <c r="V171" s="559">
        <f>LN(F162)</f>
        <v>5.359180366408979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3.517804803171809E-2</v>
      </c>
      <c r="D172" s="467">
        <f>IF(ISERROR(D165/C165 - 1),"",(D165/C165 - 1))</f>
        <v>1.2396984194112504E-2</v>
      </c>
      <c r="E172" s="467">
        <f>IF(ISERROR(E165/D165 - 1),"",(E165/D165 - 1))</f>
        <v>5.7907453174068646E-2</v>
      </c>
      <c r="F172" s="468">
        <f>IF(ISERROR(F165/E165 - 1),"",(F165/E165 - 1))</f>
        <v>2.8258797836627547E-2</v>
      </c>
      <c r="Q172" s="559"/>
      <c r="R172" s="559" t="s">
        <v>423</v>
      </c>
      <c r="S172" s="559">
        <f>LN(C165)</f>
        <v>8.0688662825927917</v>
      </c>
      <c r="T172" s="559">
        <f>LN(D165)</f>
        <v>8.0811870534092609</v>
      </c>
      <c r="U172" s="559">
        <f>LN(E165)</f>
        <v>8.1374799096489046</v>
      </c>
      <c r="V172" s="559">
        <f>LN(F165)</f>
        <v>8.1653467938667639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2.7078976161437174E-2</v>
      </c>
      <c r="D173" s="470">
        <f>IF(ISERROR(D168/C168 - 1),"",(D168/C168 - 1))</f>
        <v>4.2532553995083155E-2</v>
      </c>
      <c r="E173" s="470">
        <f>IF(ISERROR(E168/D168 - 1),"",(E168/D168 - 1))</f>
        <v>2.1467395729296568E-2</v>
      </c>
      <c r="F173" s="471">
        <f>IF(ISERROR(F168/E168 - 1),"",(F168/E168 - 1))</f>
        <v>1.9272940277729855E-2</v>
      </c>
      <c r="Q173" s="559"/>
      <c r="R173" s="559" t="s">
        <v>423</v>
      </c>
      <c r="S173" s="559">
        <f>LN(C168)</f>
        <v>2.6323529148132363</v>
      </c>
      <c r="T173" s="559">
        <f>LN(D168)</f>
        <v>2.6740058158703044</v>
      </c>
      <c r="U173" s="559">
        <f>LN(E168)</f>
        <v>2.6952460326034586</v>
      </c>
      <c r="V173" s="559">
        <f>LN(F168)</f>
        <v>2.7143356020850455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WEL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6411.177852200155</v>
      </c>
      <c r="X176" s="563">
        <f>D178</f>
        <v>7060.5782999999992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WEL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5955.548630654127</v>
      </c>
      <c r="X177" s="563">
        <f t="shared" si="14"/>
        <v>5795.6820646578335</v>
      </c>
      <c r="Y177" s="563">
        <f t="shared" si="14"/>
        <v>5746.8916191914323</v>
      </c>
      <c r="Z177" s="563">
        <f t="shared" si="14"/>
        <v>5515.396526872124</v>
      </c>
      <c r="AA177" s="563">
        <f t="shared" si="14"/>
        <v>5544.463175235087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6411.177852200155</v>
      </c>
      <c r="D178" s="461">
        <f>VLOOKUP(F38,'FS (2011)'!$A$14:$T$246,'FS (2011)'!$M$245,FALSE)+VLOOKUP(F38,'FS (2011)'!$A$14:$AO$245,'FS (2011)'!$N$245,FALSE)+VLOOKUP(F38,'FS (2011)'!$A$14:$AO$245,'FS (2011)'!$O$245,FALSE)</f>
        <v>7060.5782999999992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7046.2655277411013</v>
      </c>
      <c r="Y178" s="563">
        <f t="shared" si="14"/>
        <v>6600.7186252054644</v>
      </c>
      <c r="Z178" s="563">
        <f t="shared" si="14"/>
        <v>6534.4943251327095</v>
      </c>
      <c r="AA178" s="563">
        <f t="shared" si="14"/>
        <v>6279.7854786990374</v>
      </c>
      <c r="AB178" s="563">
        <f>H180</f>
        <v>6300.1621864137314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5955.548630654127</v>
      </c>
      <c r="D179" s="461">
        <f>VLOOKUP(D182,'AM (2011)'!$A$10:$N$444,'AM (2011)'!$N$445,FALSE)</f>
        <v>5795.6820646578335</v>
      </c>
      <c r="E179" s="461">
        <f>VLOOKUP(E182,'AM (2011)'!$A$10:$N$444,'AM (2011)'!$N$445,FALSE)</f>
        <v>5746.8916191914323</v>
      </c>
      <c r="F179" s="461">
        <f>VLOOKUP(F182,'AM (2011)'!$A$10:$N$444,'AM (2011)'!$N$445,FALSE)</f>
        <v>5515.396526872124</v>
      </c>
      <c r="G179" s="461">
        <f>VLOOKUP(G182,'AM (2011)'!$A$10:$N$444,'AM (2011)'!$N$445,FALSE)</f>
        <v>5544.463175235087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7001.4408837561732</v>
      </c>
      <c r="Z179" s="563">
        <f>F181</f>
        <v>6992.2674161791856</v>
      </c>
      <c r="AA179" s="563">
        <f>G181</f>
        <v>6708.4276405946985</v>
      </c>
      <c r="AB179" s="563">
        <f>H181</f>
        <v>6749.4882740788617</v>
      </c>
      <c r="AC179" s="563">
        <f>I181</f>
        <v>6712.3577297996117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7046.2655277411013</v>
      </c>
      <c r="E180" s="461">
        <f>VLOOKUP(E183,'AM (2011)'!$A$10:$N$444,'AM (2011)'!$N$445,FALSE)</f>
        <v>6600.7186252054644</v>
      </c>
      <c r="F180" s="461">
        <f>VLOOKUP(F183,'AM (2011)'!$A$10:$N$444,'AM (2011)'!$N$445,FALSE)</f>
        <v>6534.4943251327095</v>
      </c>
      <c r="G180" s="461">
        <f>VLOOKUP(G183,'AM (2011)'!$A$10:$N$444,'AM (2011)'!$N$445,FALSE)</f>
        <v>6279.7854786990374</v>
      </c>
      <c r="H180" s="461">
        <f>VLOOKUP(H183,'AM (2011)'!$A$10:$N$444,'AM (2011)'!$N$445,FALSE)</f>
        <v>6300.1621864137314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7001.4408837561732</v>
      </c>
      <c r="F181" s="493">
        <f>VLOOKUP(F184,'AM (2011)'!$A$10:$N$444,'AM (2011)'!$N$445,FALSE)</f>
        <v>6992.2674161791856</v>
      </c>
      <c r="G181" s="493">
        <f>VLOOKUP(G184,'AM (2011)'!$A$10:$N$444,'AM (2011)'!$N$445,FALSE)</f>
        <v>6708.4276405946985</v>
      </c>
      <c r="H181" s="493">
        <f>VLOOKUP(H184,'AM (2011)'!$A$10:$N$444,'AM (2011)'!$N$445,FALSE)</f>
        <v>6749.4882740788617</v>
      </c>
      <c r="I181" s="494">
        <f>VLOOKUP(I184,'AM (2011)'!$A$10:$N$444,'AM (2011)'!$N$445,FALSE)</f>
        <v>6712.3577297996117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607</v>
      </c>
      <c r="D182" s="136">
        <f>VLOOKUP($B$2,$B$257:$Y$286,11,FALSE)</f>
        <v>608</v>
      </c>
      <c r="E182" s="136">
        <f>VLOOKUP($B$2,$B$257:$Y$286,12,FALSE)</f>
        <v>609</v>
      </c>
      <c r="F182" s="136">
        <f>VLOOKUP($B$2,$B$257:$Y$286,13,FALSE)</f>
        <v>610</v>
      </c>
      <c r="G182" s="136">
        <f>VLOOKUP($B$2,$B$257:$Y$286,14,FALSE)</f>
        <v>611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612</v>
      </c>
      <c r="E183" s="136">
        <f>VLOOKUP($B$2,$B$257:$Y$286,16,FALSE)</f>
        <v>613</v>
      </c>
      <c r="F183" s="136">
        <f>VLOOKUP($B$2,$B$257:$Y$286,17,FALSE)</f>
        <v>614</v>
      </c>
      <c r="G183" s="136">
        <f>VLOOKUP($B$2,$B$257:$Y$286,18,FALSE)</f>
        <v>615</v>
      </c>
      <c r="H183" s="136">
        <f>VLOOKUP($B$2,$B$257:$Y$286,19,FALSE)</f>
        <v>616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617</v>
      </c>
      <c r="F184" s="136">
        <f>VLOOKUP($B$2,$B$257:$Y$286,21,FALSE)</f>
        <v>618</v>
      </c>
      <c r="G184" s="136">
        <f>VLOOKUP($B$2,$B$257:$Y$286,22,FALSE)</f>
        <v>619</v>
      </c>
      <c r="H184" s="136">
        <f>VLOOKUP($B$2,$B$257:$Y$286,23,FALSE)</f>
        <v>620</v>
      </c>
      <c r="I184" s="136">
        <f>VLOOKUP($B$2,$B$257:$Y$286,24,FALSE)</f>
        <v>621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1</v>
      </c>
      <c r="B186" s="483" t="s">
        <v>205</v>
      </c>
      <c r="C186" s="490"/>
      <c r="D186" s="484">
        <f>VLOOKUP($D$6,'FS (2011)'!$A$13:$AH$244,'FS (2011)'!AC245,FALSE)/1000</f>
        <v>29.089894000000001</v>
      </c>
      <c r="E186" s="495">
        <f t="shared" ref="E186:E191" si="16">D186/$D$192</f>
        <v>0.5779898785341917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System growth</v>
      </c>
      <c r="V186" s="559">
        <f t="shared" ref="V186:V191" si="18">VLOOKUP(T186,$A$186:$D$191,4,FALSE)</f>
        <v>29.089894000000001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6</v>
      </c>
      <c r="B187" s="162" t="s">
        <v>206</v>
      </c>
      <c r="C187" s="121"/>
      <c r="D187" s="456">
        <f>VLOOKUP($D$6,'FS (2011)'!$A$13:$AH$244,'FS (2011)'!AD245,FALSE)/1000</f>
        <v>0.67901775999999991</v>
      </c>
      <c r="E187" s="468">
        <f t="shared" si="16"/>
        <v>1.3491468639416799E-2</v>
      </c>
      <c r="Q187" s="559"/>
      <c r="R187" s="559"/>
      <c r="S187" s="559"/>
      <c r="T187" s="559">
        <v>2</v>
      </c>
      <c r="U187" s="559" t="str">
        <f t="shared" si="17"/>
        <v>Non-network capex</v>
      </c>
      <c r="V187" s="559">
        <f t="shared" si="18"/>
        <v>6.4022380999999999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4</v>
      </c>
      <c r="B188" s="162" t="s">
        <v>209</v>
      </c>
      <c r="C188" s="121"/>
      <c r="D188" s="456">
        <f>VLOOKUP($D$6,'FS (2011)'!$A$13:$AH$244,'FS (2011)'!AB245,FALSE)/1000</f>
        <v>5.1376058999999996</v>
      </c>
      <c r="E188" s="468">
        <f t="shared" si="16"/>
        <v>0.10207958166150576</v>
      </c>
      <c r="Q188" s="559"/>
      <c r="R188" s="559"/>
      <c r="S188" s="559"/>
      <c r="T188" s="559">
        <v>3</v>
      </c>
      <c r="U188" s="559" t="str">
        <f t="shared" si="17"/>
        <v>Asset replacement and renewal</v>
      </c>
      <c r="V188" s="559">
        <f t="shared" si="18"/>
        <v>5.5189244999999998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3</v>
      </c>
      <c r="B189" s="162" t="s">
        <v>208</v>
      </c>
      <c r="C189" s="121"/>
      <c r="D189" s="456">
        <f>VLOOKUP($D$6,'FS (2011)'!$A$13:$AH$244,'FS (2011)'!AE245,FALSE)/1000</f>
        <v>5.5189244999999998</v>
      </c>
      <c r="E189" s="468">
        <f t="shared" si="16"/>
        <v>0.10965603729578301</v>
      </c>
      <c r="Q189" s="559"/>
      <c r="R189" s="559"/>
      <c r="S189" s="559"/>
      <c r="T189" s="559">
        <v>4</v>
      </c>
      <c r="U189" s="559" t="str">
        <f t="shared" si="17"/>
        <v>Customer connection</v>
      </c>
      <c r="V189" s="559">
        <f t="shared" si="18"/>
        <v>5.1376058999999996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2</v>
      </c>
      <c r="B190" s="162" t="s">
        <v>312</v>
      </c>
      <c r="C190" s="121"/>
      <c r="D190" s="456">
        <f>VLOOKUP($D$6,'FS (2011)'!$A$13:$AH$244,'FS (2011)'!AH245,FALSE)/1000</f>
        <v>6.4022380999999999</v>
      </c>
      <c r="E190" s="468">
        <f t="shared" si="16"/>
        <v>0.12720667946627698</v>
      </c>
      <c r="Q190" s="559"/>
      <c r="R190" s="559"/>
      <c r="S190" s="559"/>
      <c r="T190" s="559">
        <v>5</v>
      </c>
      <c r="U190" s="559" t="str">
        <f t="shared" si="17"/>
        <v>Asset relocations</v>
      </c>
      <c r="V190" s="559">
        <f t="shared" si="18"/>
        <v>3.5017374000000001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5</v>
      </c>
      <c r="B191" s="162" t="s">
        <v>207</v>
      </c>
      <c r="C191" s="121"/>
      <c r="D191" s="456">
        <f>VLOOKUP($D$6,'FS (2011)'!$A$13:$AH$244,'FS (2011)'!AF245,FALSE)/1000</f>
        <v>3.5017374000000001</v>
      </c>
      <c r="E191" s="468">
        <f t="shared" si="16"/>
        <v>6.9576354402825821E-2</v>
      </c>
      <c r="Q191" s="559"/>
      <c r="R191" s="559"/>
      <c r="S191" s="559"/>
      <c r="T191" s="559">
        <v>6</v>
      </c>
      <c r="U191" s="559" t="str">
        <f t="shared" si="17"/>
        <v>Reliability, safety and environment</v>
      </c>
      <c r="V191" s="559">
        <f t="shared" si="18"/>
        <v>0.67901775999999991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50.329417659999997</v>
      </c>
      <c r="E192" s="496">
        <f>SUM(E186:E191)</f>
        <v>1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34.092297331698553</v>
      </c>
      <c r="D196" s="484">
        <f>VLOOKUP($D$38,'FS (2011)'!$A$13:$AH$244,'FS (2011)'!$AG$245,FALSE)/1000</f>
        <v>33.399980081817546</v>
      </c>
      <c r="E196" s="484">
        <f>VLOOKUP($E$38,'FS (2011)'!$A$13:$AH$244,'FS (2011)'!$AG$245,FALSE)/1000</f>
        <v>29.410509162242999</v>
      </c>
      <c r="F196" s="486">
        <f>VLOOKUP($F$38,'FS (2011)'!$A$13:$AH$244,'FS (2011)'!$AG$245,FALSE)/1000</f>
        <v>43.92718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2.6294758637050548</v>
      </c>
      <c r="D197" s="456">
        <f>VLOOKUP($D$38,'FS (2011)'!$A$13:$AH$244,'FS (2011)'!$AH$245,FALSE)/1000</f>
        <v>4.968892048157044</v>
      </c>
      <c r="E197" s="456">
        <f>VLOOKUP($E$38,'FS (2011)'!$A$13:$AH$244,'FS (2011)'!$AH$245,FALSE)/1000</f>
        <v>2.5133500361887311</v>
      </c>
      <c r="F197" s="457">
        <f>VLOOKUP($F$38,'FS (2011)'!$A$13:$AH$244,'FS (2011)'!$AH$245,FALSE)/1000</f>
        <v>6.4022380999999999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36.721773195403607</v>
      </c>
      <c r="D198" s="488">
        <f>SUM(D196:D197)</f>
        <v>38.368872129974591</v>
      </c>
      <c r="E198" s="488">
        <f>SUM(E196:E197)</f>
        <v>31.923859198431728</v>
      </c>
      <c r="F198" s="489">
        <f>SUM(F196:F197)</f>
        <v>50.329418099999998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6.5365798310461853E-2</v>
      </c>
      <c r="D200" s="498">
        <f t="shared" ref="D200:F202" si="20">D196/C196 - 1</f>
        <v>-2.0307145721074615E-2</v>
      </c>
      <c r="E200" s="498">
        <f t="shared" si="20"/>
        <v>-0.11944530834455069</v>
      </c>
      <c r="F200" s="495">
        <f t="shared" si="20"/>
        <v>0.49358787900188417</v>
      </c>
      <c r="Q200" s="559"/>
      <c r="R200" s="559" t="s">
        <v>423</v>
      </c>
      <c r="S200" s="559">
        <f t="shared" ref="S200:V202" si="21">LN(C196)</f>
        <v>3.5290714740727576</v>
      </c>
      <c r="T200" s="559">
        <f t="shared" si="21"/>
        <v>3.5085553036297088</v>
      </c>
      <c r="U200" s="559">
        <f t="shared" si="21"/>
        <v>3.3813520649710584</v>
      </c>
      <c r="V200" s="559">
        <f t="shared" si="21"/>
        <v>3.7825332628928545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0.21993904500941319</v>
      </c>
      <c r="D201" s="467">
        <f t="shared" si="20"/>
        <v>0.88968916457580338</v>
      </c>
      <c r="E201" s="467">
        <f t="shared" si="20"/>
        <v>-0.49418300662802095</v>
      </c>
      <c r="F201" s="468">
        <f t="shared" si="20"/>
        <v>1.5472926603205726</v>
      </c>
      <c r="Q201" s="559"/>
      <c r="R201" s="559" t="s">
        <v>423</v>
      </c>
      <c r="S201" s="559">
        <f t="shared" si="21"/>
        <v>0.96678453496161054</v>
      </c>
      <c r="T201" s="559">
        <f t="shared" si="21"/>
        <v>1.6031968873202029</v>
      </c>
      <c r="U201" s="559">
        <f t="shared" si="21"/>
        <v>0.92161653902810659</v>
      </c>
      <c r="V201" s="559">
        <f t="shared" si="21"/>
        <v>1.85664763235874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7.9153229946720804E-2</v>
      </c>
      <c r="D202" s="500">
        <f t="shared" si="20"/>
        <v>4.4853469515386823E-2</v>
      </c>
      <c r="E202" s="500">
        <f t="shared" si="20"/>
        <v>-0.16797504262596974</v>
      </c>
      <c r="F202" s="501">
        <f t="shared" si="20"/>
        <v>0.57654554817960268</v>
      </c>
      <c r="Q202" s="559"/>
      <c r="R202" s="559" t="s">
        <v>423</v>
      </c>
      <c r="S202" s="559">
        <f t="shared" si="21"/>
        <v>3.6033698542215573</v>
      </c>
      <c r="T202" s="559">
        <f t="shared" si="21"/>
        <v>3.6472465092470716</v>
      </c>
      <c r="U202" s="559">
        <f t="shared" si="21"/>
        <v>3.4633536674800331</v>
      </c>
      <c r="V202" s="559">
        <f t="shared" si="21"/>
        <v>3.9185897590286043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WEL</v>
      </c>
      <c r="C206" s="456">
        <f>(C198/C102)*1000000</f>
        <v>451.61566798754927</v>
      </c>
      <c r="D206" s="456">
        <f>(D198/D102)*1000000</f>
        <v>458.32732640476127</v>
      </c>
      <c r="E206" s="456">
        <f>(E198/E102)*1000000</f>
        <v>378.80130996288062</v>
      </c>
      <c r="F206" s="457">
        <f>(F198/F102)*1000000</f>
        <v>601.92573133685744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WEL</v>
      </c>
      <c r="C209" s="456">
        <f>(C198/C117)*1000000000</f>
        <v>31650.010845770874</v>
      </c>
      <c r="D209" s="456">
        <f>(D198/D117)*1000000000</f>
        <v>33290.655312517112</v>
      </c>
      <c r="E209" s="456">
        <f>(E198/E117)*1000000000</f>
        <v>27409.068514591851</v>
      </c>
      <c r="F209" s="457">
        <f>(F198/F117)*1000000000</f>
        <v>42746.584758518373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WEL</v>
      </c>
      <c r="C212" s="456">
        <f>(C198/VLOOKUP(C$38,'AV (2011)'!$A$11:$F$213,'AV (2011)'!$F$214,FALSE)*1000)</f>
        <v>0.11989387182175221</v>
      </c>
      <c r="D212" s="456">
        <f>(D198/VLOOKUP(D$38,'AV (2011)'!$A$11:$F$213,'AV (2011)'!$F$214,FALSE)*1000)</f>
        <v>0.11989781869245725</v>
      </c>
      <c r="E212" s="456">
        <f>(E198/VLOOKUP(E$38,'AV (2011)'!$A$11:$F$213,'AV (2011)'!$F$214,FALSE)*1000)</f>
        <v>9.6666204216508872E-2</v>
      </c>
      <c r="F212" s="457">
        <f>(F198/VLOOKUP(F$38,'AV (2011)'!$A$11:$F$213,'AV (2011)'!$F$214,FALSE)*1000)</f>
        <v>0.13267629583112181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6.9438327355204388E-2</v>
      </c>
      <c r="D215" s="464">
        <f>D206/C206 - 1</f>
        <v>1.4861438371081892E-2</v>
      </c>
      <c r="E215" s="464">
        <f>E206/D206 - 1</f>
        <v>-0.17351358267398842</v>
      </c>
      <c r="F215" s="465">
        <f>F206/E206 - 1</f>
        <v>0.58902758650924714</v>
      </c>
      <c r="K215" s="139"/>
      <c r="P215" s="139"/>
      <c r="Q215" s="559"/>
      <c r="R215" s="559" t="s">
        <v>423</v>
      </c>
      <c r="S215" s="559">
        <f>LN(C206)</f>
        <v>6.1128315260659409</v>
      </c>
      <c r="T215" s="559">
        <f>LN(D206)</f>
        <v>6.1275836153207015</v>
      </c>
      <c r="U215" s="559">
        <f>LN(E206)</f>
        <v>5.9370118194972861</v>
      </c>
      <c r="V215" s="559">
        <f>LN(F206)</f>
        <v>6.4001340678258023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7.3285991552580754E-2</v>
      </c>
      <c r="D216" s="467">
        <f>D209/C209 - 1</f>
        <v>5.183709019061733E-2</v>
      </c>
      <c r="E216" s="467">
        <f>E209/D209 - 1</f>
        <v>-0.17667380658961718</v>
      </c>
      <c r="F216" s="468">
        <f>F209/E209 - 1</f>
        <v>0.55957816427658758</v>
      </c>
      <c r="Q216" s="559"/>
      <c r="R216" s="559" t="s">
        <v>423</v>
      </c>
      <c r="S216" s="559">
        <f>LN(C209)</f>
        <v>10.362493770250648</v>
      </c>
      <c r="T216" s="559">
        <f>LN(D209)</f>
        <v>10.413032015341294</v>
      </c>
      <c r="U216" s="559">
        <f>LN(E209)</f>
        <v>10.218629205304273</v>
      </c>
      <c r="V216" s="559">
        <f>LN(F209)</f>
        <v>10.663044582484007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8.8933144242917539E-3</v>
      </c>
      <c r="D217" s="470">
        <f>D212/C212 - 1</f>
        <v>3.2919703443212711E-5</v>
      </c>
      <c r="E217" s="470">
        <f>E212/D212 - 1</f>
        <v>-0.19376177756443103</v>
      </c>
      <c r="F217" s="471">
        <f>F212/E212 - 1</f>
        <v>0.37251997123999048</v>
      </c>
      <c r="Q217" s="559"/>
      <c r="R217" s="559" t="s">
        <v>423</v>
      </c>
      <c r="S217" s="559">
        <f>LN(C212)</f>
        <v>-2.1211483289992188</v>
      </c>
      <c r="T217" s="559">
        <f>LN(D212)</f>
        <v>-2.1211154098376173</v>
      </c>
      <c r="U217" s="559">
        <f>LN(E212)</f>
        <v>-2.33649142864832</v>
      </c>
      <c r="V217" s="559">
        <f>LN(F212)</f>
        <v>-2.0198429833581071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WEL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29410.509162242997</v>
      </c>
      <c r="X220" s="563">
        <f>D222</f>
        <v>43927.18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WEL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28579.594590277651</v>
      </c>
      <c r="X221" s="563">
        <f t="shared" si="23"/>
        <v>26213.227072975078</v>
      </c>
      <c r="Y221" s="563">
        <f t="shared" si="23"/>
        <v>25364.511252333268</v>
      </c>
      <c r="Z221" s="563">
        <f t="shared" si="23"/>
        <v>26253.467909243576</v>
      </c>
      <c r="AA221" s="563">
        <f t="shared" si="23"/>
        <v>23526.322014564532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29410.509162242997</v>
      </c>
      <c r="D222" s="461">
        <f>VLOOKUP(D226,'FS (2011)'!$A$14:$AJ$245,'FS (2011)'!$AG$245,FALSE)</f>
        <v>43927.18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35650.367801577289</v>
      </c>
      <c r="Y222" s="563">
        <f t="shared" si="23"/>
        <v>26128.323122444919</v>
      </c>
      <c r="Z222" s="563">
        <f t="shared" si="23"/>
        <v>27363.18609770991</v>
      </c>
      <c r="AA222" s="563">
        <f t="shared" si="23"/>
        <v>28083.601143572712</v>
      </c>
      <c r="AB222" s="563">
        <f>H224</f>
        <v>30198.605479605696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28579.594590277651</v>
      </c>
      <c r="D223" s="461">
        <f>VLOOKUP(D227,'AM (2011)'!$A$10:$N$444,'AM (2011)'!$J$445,FALSE)</f>
        <v>26213.227072975078</v>
      </c>
      <c r="E223" s="461">
        <f>VLOOKUP(E226,'AM (2011)'!$A$10:$N$444,'AM (2011)'!$J$445,FALSE)</f>
        <v>25364.511252333268</v>
      </c>
      <c r="F223" s="461">
        <f>VLOOKUP(F226,'AM (2011)'!$A$10:$N$444,'AM (2011)'!$J$445,FALSE)</f>
        <v>26253.467909243576</v>
      </c>
      <c r="G223" s="461">
        <f>VLOOKUP(G226,'AM (2011)'!$A$10:$N$444,'AM (2011)'!$J$445,FALSE)</f>
        <v>23526.322014564532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39172.946606820944</v>
      </c>
      <c r="Z223" s="563">
        <f>F225</f>
        <v>38107.78332832062</v>
      </c>
      <c r="AA223" s="563">
        <f>G225</f>
        <v>38402.215444157722</v>
      </c>
      <c r="AB223" s="563">
        <f>H225</f>
        <v>31278.448614802845</v>
      </c>
      <c r="AC223" s="563">
        <f>I225</f>
        <v>28940.093441952165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35650.367801577289</v>
      </c>
      <c r="E224" s="461">
        <f>VLOOKUP(E227,'AM (2011)'!$A$10:$N$444,'AM (2011)'!$J$445,FALSE)</f>
        <v>26128.323122444919</v>
      </c>
      <c r="F224" s="461">
        <f>VLOOKUP(F227,'AM (2011)'!$A$10:$N$444,'AM (2011)'!$J$445,FALSE)</f>
        <v>27363.18609770991</v>
      </c>
      <c r="G224" s="461">
        <f>VLOOKUP(G227,'AM (2011)'!$A$10:$N$444,'AM (2011)'!$J$445,FALSE)</f>
        <v>28083.601143572712</v>
      </c>
      <c r="H224" s="461">
        <f>VLOOKUP(H227,'AM (2011)'!$A$10:$N$444,'AM (2011)'!$J$445,FALSE)</f>
        <v>30198.605479605696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9">
      <c r="B225" s="477" t="s">
        <v>279</v>
      </c>
      <c r="C225" s="493"/>
      <c r="D225" s="493"/>
      <c r="E225" s="493">
        <f>VLOOKUP(E228,'AM (2011)'!$A$10:$N$444,'AM (2011)'!$J$445,FALSE)</f>
        <v>39172.946606820944</v>
      </c>
      <c r="F225" s="493">
        <f>VLOOKUP(F228,'AM (2011)'!$A$10:$N$444,'AM (2011)'!$J$445,FALSE)</f>
        <v>38107.78332832062</v>
      </c>
      <c r="G225" s="493">
        <f>VLOOKUP(G228,'AM (2011)'!$A$10:$N$444,'AM (2011)'!$J$445,FALSE)</f>
        <v>38402.215444157722</v>
      </c>
      <c r="H225" s="493">
        <f>VLOOKUP(H228,'AM (2011)'!$A$10:$N$444,'AM (2011)'!$J$445,FALSE)</f>
        <v>31278.448614802845</v>
      </c>
      <c r="I225" s="494">
        <f>VLOOKUP(I228,'AM (2011)'!$A$10:$N$444,'AM (2011)'!$J$445,FALSE)</f>
        <v>28940.093441952165</v>
      </c>
    </row>
    <row r="226" spans="2:9">
      <c r="C226" s="136">
        <f>VLOOKUP($B$2,$B$257:$Y$286,8,FALSE)</f>
        <v>605</v>
      </c>
      <c r="D226" s="136">
        <f>VLOOKUP($B$2,$B$257:$Y$286,9,FALSE)</f>
        <v>606</v>
      </c>
      <c r="E226" s="136">
        <f>VLOOKUP($B$2,$B$257:$Y$286,12,FALSE)</f>
        <v>609</v>
      </c>
      <c r="F226" s="136">
        <f>VLOOKUP($B$2,$B$257:$Y$286,13,FALSE)</f>
        <v>610</v>
      </c>
      <c r="G226" s="136">
        <f>VLOOKUP($B$2,$B$257:$Y$286,14,FALSE)</f>
        <v>611</v>
      </c>
      <c r="H226" s="136"/>
      <c r="I226" s="136"/>
    </row>
    <row r="227" spans="2:9">
      <c r="C227" s="136">
        <f>VLOOKUP($B$2,$B$257:$Y$286,10,FALSE)</f>
        <v>607</v>
      </c>
      <c r="D227" s="136">
        <f>VLOOKUP($B$2,$B$257:$Y$286,11,FALSE)</f>
        <v>608</v>
      </c>
      <c r="E227" s="136">
        <f>VLOOKUP($B$2,$B$257:$Y$286,16,FALSE)</f>
        <v>613</v>
      </c>
      <c r="F227" s="136">
        <f>VLOOKUP($B$2,$B$257:$Y$286,17,FALSE)</f>
        <v>614</v>
      </c>
      <c r="G227" s="136">
        <f>VLOOKUP($B$2,$B$257:$Y$286,18,FALSE)</f>
        <v>615</v>
      </c>
      <c r="H227" s="136">
        <f>VLOOKUP($B$2,$B$257:$Y$286,19,FALSE)</f>
        <v>616</v>
      </c>
      <c r="I227" s="136"/>
    </row>
    <row r="228" spans="2:9">
      <c r="B228" s="517" t="s">
        <v>291</v>
      </c>
      <c r="C228" s="518"/>
      <c r="D228" s="518">
        <f>VLOOKUP($B$2,$B$257:$Y$286,15,FALSE)</f>
        <v>612</v>
      </c>
      <c r="E228" s="518">
        <f>VLOOKUP($B$2,$B$257:$Y$286,20,FALSE)</f>
        <v>617</v>
      </c>
      <c r="F228" s="519">
        <f>VLOOKUP($B$2,$B$257:$Y$286,21,FALSE)</f>
        <v>618</v>
      </c>
      <c r="G228" s="136">
        <f>VLOOKUP($B$2,$B$257:$Y$286,22,FALSE)</f>
        <v>619</v>
      </c>
      <c r="H228" s="136">
        <f>VLOOKUP($B$2,$B$257:$Y$286,23,FALSE)</f>
        <v>620</v>
      </c>
      <c r="I228" s="136">
        <f>VLOOKUP($B$2,$B$257:$Y$286,24,FALSE)</f>
        <v>621</v>
      </c>
    </row>
    <row r="229" spans="2:9">
      <c r="B229" s="474" t="str">
        <f>$B$2</f>
        <v>WEL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9">
      <c r="B230" s="199" t="s">
        <v>280</v>
      </c>
      <c r="C230" s="456">
        <f>VLOOKUP(C$38,'MP (2011)'!$A$11:$AR$245,'MP (2011)'!$S$246,FALSE)+VLOOKUP(C$38,'MP (2011)'!$A$11:$AR$245,'MP (2011)'!$T$246,FALSE)</f>
        <v>80.13</v>
      </c>
      <c r="D230" s="456">
        <f>VLOOKUP(D$38,'MP (2011)'!$A$11:$AR$245,'MP (2011)'!$S$246,FALSE)+VLOOKUP(D$38,'MP (2011)'!$A$11:$AR$245,'MP (2011)'!$T$246,FALSE)</f>
        <v>84.1621375</v>
      </c>
      <c r="E230" s="456">
        <f>VLOOKUP(E$38,'MP (2011)'!$A$11:$AR$245,'MP (2011)'!$S$246,FALSE)+VLOOKUP(E$38,'MP (2011)'!$A$11:$AR$245,'MP (2011)'!$T$246,FALSE)</f>
        <v>74.980100999999991</v>
      </c>
      <c r="F230" s="457">
        <f>VLOOKUP(F$38,'MP (2011)'!$A$11:$AR$245,'MP (2011)'!$S$246,FALSE)+VLOOKUP(F$38,'MP (2011)'!$A$11:$AR$245,'MP (2011)'!$T$246,FALSE)</f>
        <v>82.552322000000004</v>
      </c>
    </row>
    <row r="231" spans="2:9">
      <c r="B231" s="199" t="s">
        <v>292</v>
      </c>
      <c r="C231" s="456" t="str">
        <f>IF(ISERROR(VLOOKUP(C$38,'Compliance data'!$A$7:$E$74,'Compliance data'!$D$75,FALSE)),"",(VLOOKUP(C$38,'Compliance data'!$A$7:$E$74,'Compliance data'!$D$75,FALSE)))</f>
        <v/>
      </c>
      <c r="D231" s="456" t="str">
        <f>IF(ISERROR(VLOOKUP(D$38,'Compliance data'!$A$7:$E$74,'Compliance data'!$D$75,FALSE)),"",(VLOOKUP(D$38,'Compliance data'!$A$7:$E$74,'Compliance data'!$D$75,FALSE)))</f>
        <v/>
      </c>
      <c r="E231" s="456" t="str">
        <f>IF(ISERROR(VLOOKUP(E$38,'Compliance data'!$A$7:$E$74,'Compliance data'!$D$75,FALSE)),"",(VLOOKUP(E$38,'Compliance data'!$A$7:$E$74,'Compliance data'!$D$75,FALSE)))</f>
        <v/>
      </c>
      <c r="F231" s="457" t="str">
        <f>IF(ISERROR(VLOOKUP(F$38,'Compliance data'!$A$7:$E$74,'Compliance data'!$D$75,FALSE)),"",(VLOOKUP(F$38,'Compliance data'!$A$7:$E$74,'Compliance data'!$D$75,FALSE)))</f>
        <v/>
      </c>
    </row>
    <row r="232" spans="2:9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9">
      <c r="B235" s="517" t="s">
        <v>293</v>
      </c>
      <c r="C235" s="510"/>
      <c r="D235" s="510"/>
      <c r="E235" s="510"/>
      <c r="F235" s="511"/>
      <c r="G235" s="456"/>
    </row>
    <row r="236" spans="2:9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9">
      <c r="B237" s="199" t="s">
        <v>280</v>
      </c>
      <c r="C237" s="456">
        <f>VLOOKUP(C$38,'MP (2011)'!$A$11:$AR$245,'MP (2011)'!$W$246,FALSE)+VLOOKUP(C$38,'MP (2011)'!$A$11:$AR$245,'MP (2011)'!$X$246,FALSE)</f>
        <v>1.41089788</v>
      </c>
      <c r="D237" s="456">
        <f>VLOOKUP(D$38,'MP (2011)'!$A$11:$AR$245,'MP (2011)'!$W$246,FALSE)+VLOOKUP(D$38,'MP (2011)'!$A$11:$AR$245,'MP (2011)'!$X$246,FALSE)</f>
        <v>1.6408640299999999</v>
      </c>
      <c r="E237" s="456">
        <f>VLOOKUP(E$38,'MP (2011)'!$A$11:$AR$245,'MP (2011)'!$W$246,FALSE)+VLOOKUP(E$38,'MP (2011)'!$A$11:$AR$245,'MP (2011)'!$X$246,FALSE)</f>
        <v>1.1609167599999999</v>
      </c>
      <c r="F237" s="457">
        <f>VLOOKUP(F$38,'MP (2011)'!$A$11:$AR$245,'MP (2011)'!$W$246,FALSE)+VLOOKUP(F$38,'MP (2011)'!$A$11:$AR$245,'MP (2011)'!$X$246,FALSE)</f>
        <v>1.2553997399999999</v>
      </c>
    </row>
    <row r="238" spans="2:9">
      <c r="B238" s="199" t="s">
        <v>292</v>
      </c>
      <c r="C238" s="456" t="str">
        <f>IF(ISERROR(VLOOKUP(C$38,'Compliance data'!$A$7:$E$74,'Compliance data'!$E$75,FALSE)),"",(VLOOKUP(C$38,'Compliance data'!$A$7:$E$74,'Compliance data'!$E$75,FALSE)))</f>
        <v/>
      </c>
      <c r="D238" s="456" t="str">
        <f>IF(ISERROR(VLOOKUP(D$38,'Compliance data'!$A$7:$E$74,'Compliance data'!$E$75,FALSE)),"",(VLOOKUP(D$38,'Compliance data'!$A$7:$E$74,'Compliance data'!$E$75,FALSE)))</f>
        <v/>
      </c>
      <c r="E238" s="456" t="str">
        <f>IF(ISERROR(VLOOKUP(E$38,'Compliance data'!$A$7:$E$74,'Compliance data'!$E$75,FALSE)),"",(VLOOKUP(E$38,'Compliance data'!$A$7:$E$74,'Compliance data'!$E$75,FALSE)))</f>
        <v/>
      </c>
      <c r="F238" s="457" t="str">
        <f>IF(ISERROR(VLOOKUP(F$38,'Compliance data'!$A$7:$E$74,'Compliance data'!$E$75,FALSE)),"",(VLOOKUP(F$38,'Compliance data'!$A$7:$E$74,'Compliance data'!$E$75,FALSE)))</f>
        <v/>
      </c>
    </row>
    <row r="239" spans="2:9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ref="T258:Y273" si="25">S258+1</f>
        <v>18</v>
      </c>
      <c r="U258" s="526">
        <f t="shared" si="25"/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4"/>
        <v>25</v>
      </c>
      <c r="E259" s="526">
        <f t="shared" si="24"/>
        <v>26</v>
      </c>
      <c r="F259" s="526">
        <f t="shared" si="24"/>
        <v>27</v>
      </c>
      <c r="G259" s="526">
        <f t="shared" si="24"/>
        <v>28</v>
      </c>
      <c r="H259" s="526">
        <f t="shared" si="24"/>
        <v>29</v>
      </c>
      <c r="I259" s="526">
        <f t="shared" si="24"/>
        <v>30</v>
      </c>
      <c r="J259" s="526">
        <f t="shared" si="24"/>
        <v>31</v>
      </c>
      <c r="K259" s="526">
        <f t="shared" si="24"/>
        <v>32</v>
      </c>
      <c r="L259" s="526">
        <f t="shared" si="24"/>
        <v>33</v>
      </c>
      <c r="M259" s="526">
        <f t="shared" si="24"/>
        <v>34</v>
      </c>
      <c r="N259" s="526">
        <f t="shared" si="24"/>
        <v>35</v>
      </c>
      <c r="O259" s="526">
        <f t="shared" si="24"/>
        <v>36</v>
      </c>
      <c r="P259" s="526">
        <f t="shared" si="24"/>
        <v>37</v>
      </c>
      <c r="Q259" s="526">
        <f t="shared" si="24"/>
        <v>38</v>
      </c>
      <c r="R259" s="526">
        <f t="shared" si="24"/>
        <v>39</v>
      </c>
      <c r="S259" s="526">
        <f t="shared" si="24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6">Y259+1</f>
        <v>47</v>
      </c>
      <c r="D260" s="526">
        <f t="shared" si="24"/>
        <v>48</v>
      </c>
      <c r="E260" s="526">
        <f t="shared" si="24"/>
        <v>49</v>
      </c>
      <c r="F260" s="526">
        <f t="shared" si="24"/>
        <v>50</v>
      </c>
      <c r="G260" s="526">
        <f t="shared" si="24"/>
        <v>51</v>
      </c>
      <c r="H260" s="526">
        <f t="shared" si="24"/>
        <v>52</v>
      </c>
      <c r="I260" s="526">
        <f t="shared" si="24"/>
        <v>53</v>
      </c>
      <c r="J260" s="526">
        <f t="shared" si="24"/>
        <v>54</v>
      </c>
      <c r="K260" s="526">
        <f t="shared" si="24"/>
        <v>55</v>
      </c>
      <c r="L260" s="526">
        <f t="shared" si="24"/>
        <v>56</v>
      </c>
      <c r="M260" s="526">
        <f t="shared" si="24"/>
        <v>57</v>
      </c>
      <c r="N260" s="526">
        <f t="shared" si="24"/>
        <v>58</v>
      </c>
      <c r="O260" s="526">
        <f t="shared" si="24"/>
        <v>59</v>
      </c>
      <c r="P260" s="526">
        <f t="shared" si="24"/>
        <v>60</v>
      </c>
      <c r="Q260" s="526">
        <f t="shared" si="24"/>
        <v>61</v>
      </c>
      <c r="R260" s="526">
        <f t="shared" si="24"/>
        <v>62</v>
      </c>
      <c r="S260" s="526">
        <f t="shared" si="24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6"/>
        <v>70</v>
      </c>
      <c r="D261" s="526">
        <f t="shared" si="24"/>
        <v>71</v>
      </c>
      <c r="E261" s="526">
        <f t="shared" si="24"/>
        <v>72</v>
      </c>
      <c r="F261" s="526">
        <f t="shared" si="24"/>
        <v>73</v>
      </c>
      <c r="G261" s="526">
        <f t="shared" si="24"/>
        <v>74</v>
      </c>
      <c r="H261" s="526">
        <f t="shared" si="24"/>
        <v>75</v>
      </c>
      <c r="I261" s="526">
        <f t="shared" si="24"/>
        <v>76</v>
      </c>
      <c r="J261" s="526">
        <f t="shared" si="24"/>
        <v>77</v>
      </c>
      <c r="K261" s="526">
        <f t="shared" si="24"/>
        <v>78</v>
      </c>
      <c r="L261" s="526">
        <f t="shared" si="24"/>
        <v>79</v>
      </c>
      <c r="M261" s="526">
        <f t="shared" si="24"/>
        <v>80</v>
      </c>
      <c r="N261" s="526">
        <f t="shared" si="24"/>
        <v>81</v>
      </c>
      <c r="O261" s="526">
        <f t="shared" si="24"/>
        <v>82</v>
      </c>
      <c r="P261" s="526">
        <f t="shared" si="24"/>
        <v>83</v>
      </c>
      <c r="Q261" s="526">
        <f t="shared" si="24"/>
        <v>84</v>
      </c>
      <c r="R261" s="526">
        <f t="shared" si="24"/>
        <v>85</v>
      </c>
      <c r="S261" s="526">
        <f t="shared" si="24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6"/>
        <v>93</v>
      </c>
      <c r="D262" s="526">
        <f t="shared" si="24"/>
        <v>94</v>
      </c>
      <c r="E262" s="526">
        <f t="shared" si="24"/>
        <v>95</v>
      </c>
      <c r="F262" s="526">
        <f t="shared" si="24"/>
        <v>96</v>
      </c>
      <c r="G262" s="526">
        <f t="shared" si="24"/>
        <v>97</v>
      </c>
      <c r="H262" s="526">
        <f t="shared" si="24"/>
        <v>98</v>
      </c>
      <c r="I262" s="526">
        <f t="shared" si="24"/>
        <v>99</v>
      </c>
      <c r="J262" s="526">
        <f t="shared" si="24"/>
        <v>100</v>
      </c>
      <c r="K262" s="526">
        <f t="shared" si="24"/>
        <v>101</v>
      </c>
      <c r="L262" s="526">
        <f t="shared" si="24"/>
        <v>102</v>
      </c>
      <c r="M262" s="526">
        <f t="shared" si="24"/>
        <v>103</v>
      </c>
      <c r="N262" s="526">
        <f t="shared" si="24"/>
        <v>104</v>
      </c>
      <c r="O262" s="526">
        <f t="shared" si="24"/>
        <v>105</v>
      </c>
      <c r="P262" s="526">
        <f t="shared" si="24"/>
        <v>106</v>
      </c>
      <c r="Q262" s="526">
        <f t="shared" si="24"/>
        <v>107</v>
      </c>
      <c r="R262" s="526">
        <f t="shared" si="24"/>
        <v>108</v>
      </c>
      <c r="S262" s="526">
        <f t="shared" si="24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6"/>
        <v>116</v>
      </c>
      <c r="D263" s="526">
        <f t="shared" si="24"/>
        <v>117</v>
      </c>
      <c r="E263" s="526">
        <f t="shared" si="24"/>
        <v>118</v>
      </c>
      <c r="F263" s="526">
        <f t="shared" si="24"/>
        <v>119</v>
      </c>
      <c r="G263" s="526">
        <f t="shared" si="24"/>
        <v>120</v>
      </c>
      <c r="H263" s="526">
        <f t="shared" si="24"/>
        <v>121</v>
      </c>
      <c r="I263" s="526">
        <f t="shared" si="24"/>
        <v>122</v>
      </c>
      <c r="J263" s="526">
        <f t="shared" si="24"/>
        <v>123</v>
      </c>
      <c r="K263" s="526">
        <f t="shared" si="24"/>
        <v>124</v>
      </c>
      <c r="L263" s="526">
        <f t="shared" si="24"/>
        <v>125</v>
      </c>
      <c r="M263" s="526">
        <f t="shared" si="24"/>
        <v>126</v>
      </c>
      <c r="N263" s="526">
        <f t="shared" si="24"/>
        <v>127</v>
      </c>
      <c r="O263" s="526">
        <f t="shared" si="24"/>
        <v>128</v>
      </c>
      <c r="P263" s="526">
        <f t="shared" si="24"/>
        <v>129</v>
      </c>
      <c r="Q263" s="526">
        <f t="shared" si="24"/>
        <v>130</v>
      </c>
      <c r="R263" s="526">
        <f t="shared" si="24"/>
        <v>131</v>
      </c>
      <c r="S263" s="526">
        <f t="shared" si="24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6"/>
        <v>139</v>
      </c>
      <c r="D264" s="526">
        <f t="shared" si="24"/>
        <v>140</v>
      </c>
      <c r="E264" s="526">
        <f t="shared" si="24"/>
        <v>141</v>
      </c>
      <c r="F264" s="526">
        <f t="shared" si="24"/>
        <v>142</v>
      </c>
      <c r="G264" s="526">
        <f t="shared" si="24"/>
        <v>143</v>
      </c>
      <c r="H264" s="526">
        <f t="shared" si="24"/>
        <v>144</v>
      </c>
      <c r="I264" s="526">
        <f t="shared" si="24"/>
        <v>145</v>
      </c>
      <c r="J264" s="526">
        <f t="shared" si="24"/>
        <v>146</v>
      </c>
      <c r="K264" s="526">
        <f t="shared" si="24"/>
        <v>147</v>
      </c>
      <c r="L264" s="526">
        <f t="shared" si="24"/>
        <v>148</v>
      </c>
      <c r="M264" s="526">
        <f t="shared" si="24"/>
        <v>149</v>
      </c>
      <c r="N264" s="526">
        <f t="shared" si="24"/>
        <v>150</v>
      </c>
      <c r="O264" s="526">
        <f t="shared" si="24"/>
        <v>151</v>
      </c>
      <c r="P264" s="526">
        <f t="shared" si="24"/>
        <v>152</v>
      </c>
      <c r="Q264" s="526">
        <f t="shared" si="24"/>
        <v>153</v>
      </c>
      <c r="R264" s="526">
        <f t="shared" si="24"/>
        <v>154</v>
      </c>
      <c r="S264" s="526">
        <f t="shared" si="24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6"/>
        <v>162</v>
      </c>
      <c r="D265" s="526">
        <f t="shared" si="24"/>
        <v>163</v>
      </c>
      <c r="E265" s="526">
        <f t="shared" si="24"/>
        <v>164</v>
      </c>
      <c r="F265" s="526">
        <f t="shared" si="24"/>
        <v>165</v>
      </c>
      <c r="G265" s="526">
        <f t="shared" si="24"/>
        <v>166</v>
      </c>
      <c r="H265" s="526">
        <f t="shared" si="24"/>
        <v>167</v>
      </c>
      <c r="I265" s="526">
        <f t="shared" si="24"/>
        <v>168</v>
      </c>
      <c r="J265" s="526">
        <f t="shared" si="24"/>
        <v>169</v>
      </c>
      <c r="K265" s="526">
        <f t="shared" si="24"/>
        <v>170</v>
      </c>
      <c r="L265" s="526">
        <f t="shared" si="24"/>
        <v>171</v>
      </c>
      <c r="M265" s="526">
        <f t="shared" si="24"/>
        <v>172</v>
      </c>
      <c r="N265" s="526">
        <f t="shared" si="24"/>
        <v>173</v>
      </c>
      <c r="O265" s="526">
        <f t="shared" si="24"/>
        <v>174</v>
      </c>
      <c r="P265" s="526">
        <f t="shared" si="24"/>
        <v>175</v>
      </c>
      <c r="Q265" s="526">
        <f t="shared" si="24"/>
        <v>176</v>
      </c>
      <c r="R265" s="526">
        <f t="shared" si="24"/>
        <v>177</v>
      </c>
      <c r="S265" s="526">
        <f t="shared" si="24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6"/>
        <v>185</v>
      </c>
      <c r="D266" s="526">
        <f t="shared" si="24"/>
        <v>186</v>
      </c>
      <c r="E266" s="526">
        <f t="shared" si="24"/>
        <v>187</v>
      </c>
      <c r="F266" s="526">
        <f t="shared" si="24"/>
        <v>188</v>
      </c>
      <c r="G266" s="526">
        <f t="shared" si="24"/>
        <v>189</v>
      </c>
      <c r="H266" s="526">
        <f t="shared" si="24"/>
        <v>190</v>
      </c>
      <c r="I266" s="526">
        <f t="shared" si="24"/>
        <v>191</v>
      </c>
      <c r="J266" s="526">
        <f t="shared" si="24"/>
        <v>192</v>
      </c>
      <c r="K266" s="526">
        <f t="shared" si="24"/>
        <v>193</v>
      </c>
      <c r="L266" s="526">
        <f t="shared" si="24"/>
        <v>194</v>
      </c>
      <c r="M266" s="526">
        <f t="shared" si="24"/>
        <v>195</v>
      </c>
      <c r="N266" s="526">
        <f t="shared" si="24"/>
        <v>196</v>
      </c>
      <c r="O266" s="526">
        <f t="shared" si="24"/>
        <v>197</v>
      </c>
      <c r="P266" s="526">
        <f t="shared" si="24"/>
        <v>198</v>
      </c>
      <c r="Q266" s="526">
        <f t="shared" si="24"/>
        <v>199</v>
      </c>
      <c r="R266" s="526">
        <f t="shared" si="24"/>
        <v>200</v>
      </c>
      <c r="S266" s="526">
        <f t="shared" si="24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6"/>
        <v>208</v>
      </c>
      <c r="D267" s="526">
        <f t="shared" si="24"/>
        <v>209</v>
      </c>
      <c r="E267" s="526">
        <f t="shared" si="24"/>
        <v>210</v>
      </c>
      <c r="F267" s="526">
        <f t="shared" si="24"/>
        <v>211</v>
      </c>
      <c r="G267" s="526">
        <f t="shared" si="24"/>
        <v>212</v>
      </c>
      <c r="H267" s="526">
        <f t="shared" si="24"/>
        <v>213</v>
      </c>
      <c r="I267" s="526">
        <f t="shared" si="24"/>
        <v>214</v>
      </c>
      <c r="J267" s="526">
        <f t="shared" si="24"/>
        <v>215</v>
      </c>
      <c r="K267" s="526">
        <f t="shared" si="24"/>
        <v>216</v>
      </c>
      <c r="L267" s="526">
        <f t="shared" si="24"/>
        <v>217</v>
      </c>
      <c r="M267" s="526">
        <f t="shared" si="24"/>
        <v>218</v>
      </c>
      <c r="N267" s="526">
        <f t="shared" si="24"/>
        <v>219</v>
      </c>
      <c r="O267" s="526">
        <f t="shared" si="24"/>
        <v>220</v>
      </c>
      <c r="P267" s="526">
        <f t="shared" si="24"/>
        <v>221</v>
      </c>
      <c r="Q267" s="526">
        <f t="shared" si="24"/>
        <v>222</v>
      </c>
      <c r="R267" s="526">
        <f t="shared" si="24"/>
        <v>223</v>
      </c>
      <c r="S267" s="526">
        <f t="shared" si="24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6"/>
        <v>231</v>
      </c>
      <c r="D268" s="526">
        <f t="shared" si="24"/>
        <v>232</v>
      </c>
      <c r="E268" s="526">
        <f t="shared" si="24"/>
        <v>233</v>
      </c>
      <c r="F268" s="526">
        <f t="shared" si="24"/>
        <v>234</v>
      </c>
      <c r="G268" s="526">
        <f t="shared" si="24"/>
        <v>235</v>
      </c>
      <c r="H268" s="526">
        <f t="shared" si="24"/>
        <v>236</v>
      </c>
      <c r="I268" s="526">
        <f t="shared" si="24"/>
        <v>237</v>
      </c>
      <c r="J268" s="526">
        <f t="shared" si="24"/>
        <v>238</v>
      </c>
      <c r="K268" s="526">
        <f t="shared" si="24"/>
        <v>239</v>
      </c>
      <c r="L268" s="526">
        <f t="shared" si="24"/>
        <v>240</v>
      </c>
      <c r="M268" s="526">
        <f t="shared" si="24"/>
        <v>241</v>
      </c>
      <c r="N268" s="526">
        <f t="shared" si="24"/>
        <v>242</v>
      </c>
      <c r="O268" s="526">
        <f t="shared" si="24"/>
        <v>243</v>
      </c>
      <c r="P268" s="526">
        <f t="shared" si="24"/>
        <v>244</v>
      </c>
      <c r="Q268" s="526">
        <f t="shared" si="24"/>
        <v>245</v>
      </c>
      <c r="R268" s="526">
        <f t="shared" si="24"/>
        <v>246</v>
      </c>
      <c r="S268" s="526">
        <f t="shared" si="24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6"/>
        <v>254</v>
      </c>
      <c r="D269" s="526">
        <f t="shared" si="24"/>
        <v>255</v>
      </c>
      <c r="E269" s="526">
        <f t="shared" si="24"/>
        <v>256</v>
      </c>
      <c r="F269" s="526">
        <f t="shared" si="24"/>
        <v>257</v>
      </c>
      <c r="G269" s="526">
        <f t="shared" si="24"/>
        <v>258</v>
      </c>
      <c r="H269" s="526">
        <f t="shared" si="24"/>
        <v>259</v>
      </c>
      <c r="I269" s="526">
        <f t="shared" si="24"/>
        <v>260</v>
      </c>
      <c r="J269" s="526">
        <f t="shared" si="24"/>
        <v>261</v>
      </c>
      <c r="K269" s="526">
        <f t="shared" si="24"/>
        <v>262</v>
      </c>
      <c r="L269" s="526">
        <f t="shared" si="24"/>
        <v>263</v>
      </c>
      <c r="M269" s="526">
        <f t="shared" si="24"/>
        <v>264</v>
      </c>
      <c r="N269" s="526">
        <f t="shared" si="24"/>
        <v>265</v>
      </c>
      <c r="O269" s="526">
        <f t="shared" si="24"/>
        <v>266</v>
      </c>
      <c r="P269" s="526">
        <f t="shared" si="24"/>
        <v>267</v>
      </c>
      <c r="Q269" s="526">
        <f t="shared" si="24"/>
        <v>268</v>
      </c>
      <c r="R269" s="526">
        <f t="shared" si="24"/>
        <v>269</v>
      </c>
      <c r="S269" s="526">
        <f t="shared" si="24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6"/>
        <v>277</v>
      </c>
      <c r="D270" s="526">
        <f t="shared" si="24"/>
        <v>278</v>
      </c>
      <c r="E270" s="526">
        <f t="shared" si="24"/>
        <v>279</v>
      </c>
      <c r="F270" s="526">
        <f t="shared" si="24"/>
        <v>280</v>
      </c>
      <c r="G270" s="526">
        <f t="shared" si="24"/>
        <v>281</v>
      </c>
      <c r="H270" s="526">
        <f t="shared" si="24"/>
        <v>282</v>
      </c>
      <c r="I270" s="526">
        <f t="shared" si="24"/>
        <v>283</v>
      </c>
      <c r="J270" s="526">
        <f t="shared" si="24"/>
        <v>284</v>
      </c>
      <c r="K270" s="526">
        <f t="shared" si="24"/>
        <v>285</v>
      </c>
      <c r="L270" s="526">
        <f t="shared" si="24"/>
        <v>286</v>
      </c>
      <c r="M270" s="526">
        <f t="shared" si="24"/>
        <v>287</v>
      </c>
      <c r="N270" s="526">
        <f t="shared" si="24"/>
        <v>288</v>
      </c>
      <c r="O270" s="526">
        <f t="shared" si="24"/>
        <v>289</v>
      </c>
      <c r="P270" s="526">
        <f t="shared" si="24"/>
        <v>290</v>
      </c>
      <c r="Q270" s="526">
        <f t="shared" si="24"/>
        <v>291</v>
      </c>
      <c r="R270" s="526">
        <f t="shared" si="24"/>
        <v>292</v>
      </c>
      <c r="S270" s="526">
        <f t="shared" si="24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6"/>
        <v>300</v>
      </c>
      <c r="D271" s="526">
        <f t="shared" si="24"/>
        <v>301</v>
      </c>
      <c r="E271" s="526">
        <f t="shared" si="24"/>
        <v>302</v>
      </c>
      <c r="F271" s="526">
        <f t="shared" si="24"/>
        <v>303</v>
      </c>
      <c r="G271" s="526">
        <f t="shared" si="24"/>
        <v>304</v>
      </c>
      <c r="H271" s="526">
        <f t="shared" si="24"/>
        <v>305</v>
      </c>
      <c r="I271" s="526">
        <f t="shared" si="24"/>
        <v>306</v>
      </c>
      <c r="J271" s="526">
        <f t="shared" si="24"/>
        <v>307</v>
      </c>
      <c r="K271" s="526">
        <f t="shared" si="24"/>
        <v>308</v>
      </c>
      <c r="L271" s="526">
        <f t="shared" si="24"/>
        <v>309</v>
      </c>
      <c r="M271" s="526">
        <f t="shared" si="24"/>
        <v>310</v>
      </c>
      <c r="N271" s="526">
        <f t="shared" si="24"/>
        <v>311</v>
      </c>
      <c r="O271" s="526">
        <f t="shared" si="24"/>
        <v>312</v>
      </c>
      <c r="P271" s="526">
        <f t="shared" si="24"/>
        <v>313</v>
      </c>
      <c r="Q271" s="526">
        <f t="shared" si="24"/>
        <v>314</v>
      </c>
      <c r="R271" s="526">
        <f t="shared" si="24"/>
        <v>315</v>
      </c>
      <c r="S271" s="526">
        <f t="shared" si="24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6"/>
        <v>323</v>
      </c>
      <c r="D272" s="526">
        <f t="shared" si="24"/>
        <v>324</v>
      </c>
      <c r="E272" s="526">
        <f t="shared" si="24"/>
        <v>325</v>
      </c>
      <c r="F272" s="526">
        <f t="shared" si="24"/>
        <v>326</v>
      </c>
      <c r="G272" s="526">
        <f t="shared" si="24"/>
        <v>327</v>
      </c>
      <c r="H272" s="526">
        <f t="shared" si="24"/>
        <v>328</v>
      </c>
      <c r="I272" s="526">
        <f t="shared" si="24"/>
        <v>329</v>
      </c>
      <c r="J272" s="526">
        <f t="shared" si="24"/>
        <v>330</v>
      </c>
      <c r="K272" s="526">
        <f t="shared" si="24"/>
        <v>331</v>
      </c>
      <c r="L272" s="526">
        <f t="shared" si="24"/>
        <v>332</v>
      </c>
      <c r="M272" s="526">
        <f t="shared" si="24"/>
        <v>333</v>
      </c>
      <c r="N272" s="526">
        <f t="shared" si="24"/>
        <v>334</v>
      </c>
      <c r="O272" s="526">
        <f t="shared" si="24"/>
        <v>335</v>
      </c>
      <c r="P272" s="526">
        <f t="shared" si="24"/>
        <v>336</v>
      </c>
      <c r="Q272" s="526">
        <f t="shared" si="24"/>
        <v>337</v>
      </c>
      <c r="R272" s="526">
        <f t="shared" si="24"/>
        <v>338</v>
      </c>
      <c r="S272" s="526">
        <f t="shared" si="24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6"/>
        <v>346</v>
      </c>
      <c r="D273" s="526">
        <f t="shared" si="24"/>
        <v>347</v>
      </c>
      <c r="E273" s="526">
        <f t="shared" si="24"/>
        <v>348</v>
      </c>
      <c r="F273" s="526">
        <f t="shared" si="24"/>
        <v>349</v>
      </c>
      <c r="G273" s="526">
        <f t="shared" si="24"/>
        <v>350</v>
      </c>
      <c r="H273" s="526">
        <f t="shared" si="24"/>
        <v>351</v>
      </c>
      <c r="I273" s="526">
        <f t="shared" si="24"/>
        <v>352</v>
      </c>
      <c r="J273" s="526">
        <f t="shared" si="24"/>
        <v>353</v>
      </c>
      <c r="K273" s="526">
        <f t="shared" si="24"/>
        <v>354</v>
      </c>
      <c r="L273" s="526">
        <f t="shared" si="24"/>
        <v>355</v>
      </c>
      <c r="M273" s="526">
        <f t="shared" si="24"/>
        <v>356</v>
      </c>
      <c r="N273" s="526">
        <f t="shared" si="24"/>
        <v>357</v>
      </c>
      <c r="O273" s="526">
        <f t="shared" si="24"/>
        <v>358</v>
      </c>
      <c r="P273" s="526">
        <f t="shared" si="24"/>
        <v>359</v>
      </c>
      <c r="Q273" s="526">
        <f t="shared" si="24"/>
        <v>360</v>
      </c>
      <c r="R273" s="526">
        <f t="shared" si="24"/>
        <v>361</v>
      </c>
      <c r="S273" s="526">
        <f t="shared" ref="D273:S286" si="27">R273+1</f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6"/>
        <v>369</v>
      </c>
      <c r="D274" s="526">
        <f t="shared" si="27"/>
        <v>370</v>
      </c>
      <c r="E274" s="526">
        <f t="shared" si="27"/>
        <v>371</v>
      </c>
      <c r="F274" s="526">
        <f t="shared" si="27"/>
        <v>372</v>
      </c>
      <c r="G274" s="526">
        <f t="shared" si="27"/>
        <v>373</v>
      </c>
      <c r="H274" s="526">
        <f t="shared" si="27"/>
        <v>374</v>
      </c>
      <c r="I274" s="526">
        <f t="shared" si="27"/>
        <v>375</v>
      </c>
      <c r="J274" s="526">
        <f t="shared" si="27"/>
        <v>376</v>
      </c>
      <c r="K274" s="526">
        <f t="shared" si="27"/>
        <v>377</v>
      </c>
      <c r="L274" s="526">
        <f t="shared" si="27"/>
        <v>378</v>
      </c>
      <c r="M274" s="526">
        <f t="shared" si="27"/>
        <v>379</v>
      </c>
      <c r="N274" s="526">
        <f t="shared" si="27"/>
        <v>380</v>
      </c>
      <c r="O274" s="526">
        <f t="shared" si="27"/>
        <v>381</v>
      </c>
      <c r="P274" s="526">
        <f t="shared" si="27"/>
        <v>382</v>
      </c>
      <c r="Q274" s="526">
        <f t="shared" si="27"/>
        <v>383</v>
      </c>
      <c r="R274" s="526">
        <f t="shared" si="27"/>
        <v>384</v>
      </c>
      <c r="S274" s="526">
        <f t="shared" si="27"/>
        <v>385</v>
      </c>
      <c r="T274" s="526">
        <f t="shared" ref="S274:Y286" si="28">S274+1</f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6"/>
        <v>392</v>
      </c>
      <c r="D275" s="526">
        <f t="shared" si="27"/>
        <v>393</v>
      </c>
      <c r="E275" s="526">
        <f t="shared" si="27"/>
        <v>394</v>
      </c>
      <c r="F275" s="526">
        <f t="shared" si="27"/>
        <v>395</v>
      </c>
      <c r="G275" s="526">
        <f t="shared" si="27"/>
        <v>396</v>
      </c>
      <c r="H275" s="526">
        <f t="shared" si="27"/>
        <v>397</v>
      </c>
      <c r="I275" s="526">
        <f t="shared" si="27"/>
        <v>398</v>
      </c>
      <c r="J275" s="526">
        <f t="shared" si="27"/>
        <v>399</v>
      </c>
      <c r="K275" s="526">
        <f t="shared" si="27"/>
        <v>400</v>
      </c>
      <c r="L275" s="526">
        <f t="shared" si="27"/>
        <v>401</v>
      </c>
      <c r="M275" s="526">
        <f t="shared" si="27"/>
        <v>402</v>
      </c>
      <c r="N275" s="526">
        <f t="shared" si="27"/>
        <v>403</v>
      </c>
      <c r="O275" s="526">
        <f t="shared" si="27"/>
        <v>404</v>
      </c>
      <c r="P275" s="526">
        <f t="shared" si="27"/>
        <v>405</v>
      </c>
      <c r="Q275" s="526">
        <f t="shared" si="27"/>
        <v>406</v>
      </c>
      <c r="R275" s="526">
        <f t="shared" si="27"/>
        <v>407</v>
      </c>
      <c r="S275" s="526">
        <f t="shared" si="27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6"/>
        <v>415</v>
      </c>
      <c r="D276" s="526">
        <f t="shared" si="27"/>
        <v>416</v>
      </c>
      <c r="E276" s="526">
        <f t="shared" si="27"/>
        <v>417</v>
      </c>
      <c r="F276" s="526">
        <f t="shared" si="27"/>
        <v>418</v>
      </c>
      <c r="G276" s="526">
        <f t="shared" si="27"/>
        <v>419</v>
      </c>
      <c r="H276" s="526">
        <f t="shared" si="27"/>
        <v>420</v>
      </c>
      <c r="I276" s="526">
        <f t="shared" si="27"/>
        <v>421</v>
      </c>
      <c r="J276" s="526">
        <f t="shared" si="27"/>
        <v>422</v>
      </c>
      <c r="K276" s="526">
        <f t="shared" si="27"/>
        <v>423</v>
      </c>
      <c r="L276" s="526">
        <f t="shared" si="27"/>
        <v>424</v>
      </c>
      <c r="M276" s="526">
        <f t="shared" si="27"/>
        <v>425</v>
      </c>
      <c r="N276" s="526">
        <f t="shared" si="27"/>
        <v>426</v>
      </c>
      <c r="O276" s="526">
        <f t="shared" si="27"/>
        <v>427</v>
      </c>
      <c r="P276" s="526">
        <f t="shared" si="27"/>
        <v>428</v>
      </c>
      <c r="Q276" s="526">
        <f t="shared" si="27"/>
        <v>429</v>
      </c>
      <c r="R276" s="526">
        <f t="shared" si="27"/>
        <v>430</v>
      </c>
      <c r="S276" s="526">
        <f t="shared" si="27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6"/>
        <v>438</v>
      </c>
      <c r="D277" s="526">
        <f t="shared" si="27"/>
        <v>439</v>
      </c>
      <c r="E277" s="526">
        <f t="shared" si="27"/>
        <v>440</v>
      </c>
      <c r="F277" s="526">
        <f t="shared" si="27"/>
        <v>441</v>
      </c>
      <c r="G277" s="526">
        <f t="shared" si="27"/>
        <v>442</v>
      </c>
      <c r="H277" s="526">
        <f t="shared" si="27"/>
        <v>443</v>
      </c>
      <c r="I277" s="526">
        <f t="shared" si="27"/>
        <v>444</v>
      </c>
      <c r="J277" s="526">
        <f t="shared" si="27"/>
        <v>445</v>
      </c>
      <c r="K277" s="526">
        <f t="shared" si="27"/>
        <v>446</v>
      </c>
      <c r="L277" s="526">
        <f t="shared" si="27"/>
        <v>447</v>
      </c>
      <c r="M277" s="526">
        <f t="shared" si="27"/>
        <v>448</v>
      </c>
      <c r="N277" s="526">
        <f t="shared" si="27"/>
        <v>449</v>
      </c>
      <c r="O277" s="526">
        <f t="shared" si="27"/>
        <v>450</v>
      </c>
      <c r="P277" s="526">
        <f t="shared" si="27"/>
        <v>451</v>
      </c>
      <c r="Q277" s="526">
        <f t="shared" si="27"/>
        <v>452</v>
      </c>
      <c r="R277" s="526">
        <f t="shared" si="27"/>
        <v>453</v>
      </c>
      <c r="S277" s="526">
        <f t="shared" si="27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6"/>
        <v>461</v>
      </c>
      <c r="D278" s="526">
        <f t="shared" si="27"/>
        <v>462</v>
      </c>
      <c r="E278" s="526">
        <f t="shared" si="27"/>
        <v>463</v>
      </c>
      <c r="F278" s="526">
        <f t="shared" si="27"/>
        <v>464</v>
      </c>
      <c r="G278" s="526">
        <f t="shared" si="27"/>
        <v>465</v>
      </c>
      <c r="H278" s="526">
        <f t="shared" si="27"/>
        <v>466</v>
      </c>
      <c r="I278" s="526">
        <f t="shared" si="27"/>
        <v>467</v>
      </c>
      <c r="J278" s="526">
        <f t="shared" si="27"/>
        <v>468</v>
      </c>
      <c r="K278" s="526">
        <f t="shared" si="27"/>
        <v>469</v>
      </c>
      <c r="L278" s="526">
        <f t="shared" si="27"/>
        <v>470</v>
      </c>
      <c r="M278" s="526">
        <f t="shared" si="27"/>
        <v>471</v>
      </c>
      <c r="N278" s="526">
        <f t="shared" si="27"/>
        <v>472</v>
      </c>
      <c r="O278" s="526">
        <f t="shared" si="27"/>
        <v>473</v>
      </c>
      <c r="P278" s="526">
        <f t="shared" si="27"/>
        <v>474</v>
      </c>
      <c r="Q278" s="526">
        <f t="shared" si="27"/>
        <v>475</v>
      </c>
      <c r="R278" s="526">
        <f t="shared" si="27"/>
        <v>476</v>
      </c>
      <c r="S278" s="526">
        <f t="shared" si="27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6"/>
        <v>484</v>
      </c>
      <c r="D279" s="526">
        <f t="shared" si="27"/>
        <v>485</v>
      </c>
      <c r="E279" s="526">
        <f t="shared" si="27"/>
        <v>486</v>
      </c>
      <c r="F279" s="526">
        <f t="shared" si="27"/>
        <v>487</v>
      </c>
      <c r="G279" s="526">
        <f t="shared" si="27"/>
        <v>488</v>
      </c>
      <c r="H279" s="526">
        <f t="shared" si="27"/>
        <v>489</v>
      </c>
      <c r="I279" s="526">
        <f t="shared" si="27"/>
        <v>490</v>
      </c>
      <c r="J279" s="526">
        <f t="shared" si="27"/>
        <v>491</v>
      </c>
      <c r="K279" s="526">
        <f t="shared" si="27"/>
        <v>492</v>
      </c>
      <c r="L279" s="526">
        <f t="shared" si="27"/>
        <v>493</v>
      </c>
      <c r="M279" s="526">
        <f t="shared" si="27"/>
        <v>494</v>
      </c>
      <c r="N279" s="526">
        <f t="shared" si="27"/>
        <v>495</v>
      </c>
      <c r="O279" s="526">
        <f t="shared" si="27"/>
        <v>496</v>
      </c>
      <c r="P279" s="526">
        <f t="shared" si="27"/>
        <v>497</v>
      </c>
      <c r="Q279" s="526">
        <f t="shared" si="27"/>
        <v>498</v>
      </c>
      <c r="R279" s="526">
        <f t="shared" si="27"/>
        <v>499</v>
      </c>
      <c r="S279" s="526">
        <f t="shared" si="27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6"/>
        <v>507</v>
      </c>
      <c r="D280" s="526">
        <f t="shared" si="27"/>
        <v>508</v>
      </c>
      <c r="E280" s="526">
        <f t="shared" si="27"/>
        <v>509</v>
      </c>
      <c r="F280" s="526">
        <f t="shared" si="27"/>
        <v>510</v>
      </c>
      <c r="G280" s="526">
        <f t="shared" si="27"/>
        <v>511</v>
      </c>
      <c r="H280" s="526">
        <f t="shared" si="27"/>
        <v>512</v>
      </c>
      <c r="I280" s="526">
        <f t="shared" si="27"/>
        <v>513</v>
      </c>
      <c r="J280" s="526">
        <f t="shared" si="27"/>
        <v>514</v>
      </c>
      <c r="K280" s="526">
        <f t="shared" si="27"/>
        <v>515</v>
      </c>
      <c r="L280" s="526">
        <f t="shared" si="27"/>
        <v>516</v>
      </c>
      <c r="M280" s="526">
        <f t="shared" si="27"/>
        <v>517</v>
      </c>
      <c r="N280" s="526">
        <f t="shared" si="27"/>
        <v>518</v>
      </c>
      <c r="O280" s="526">
        <f t="shared" si="27"/>
        <v>519</v>
      </c>
      <c r="P280" s="526">
        <f t="shared" si="27"/>
        <v>520</v>
      </c>
      <c r="Q280" s="526">
        <f t="shared" si="27"/>
        <v>521</v>
      </c>
      <c r="R280" s="526">
        <f t="shared" si="27"/>
        <v>522</v>
      </c>
      <c r="S280" s="526">
        <f t="shared" si="27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6"/>
        <v>530</v>
      </c>
      <c r="D281" s="526">
        <f t="shared" si="27"/>
        <v>531</v>
      </c>
      <c r="E281" s="526">
        <f t="shared" si="27"/>
        <v>532</v>
      </c>
      <c r="F281" s="526">
        <f t="shared" si="27"/>
        <v>533</v>
      </c>
      <c r="G281" s="526">
        <f t="shared" si="27"/>
        <v>534</v>
      </c>
      <c r="H281" s="526">
        <f t="shared" si="27"/>
        <v>535</v>
      </c>
      <c r="I281" s="526">
        <f t="shared" si="27"/>
        <v>536</v>
      </c>
      <c r="J281" s="526">
        <f t="shared" si="27"/>
        <v>537</v>
      </c>
      <c r="K281" s="526">
        <f t="shared" si="27"/>
        <v>538</v>
      </c>
      <c r="L281" s="526">
        <f t="shared" si="27"/>
        <v>539</v>
      </c>
      <c r="M281" s="526">
        <f t="shared" si="27"/>
        <v>540</v>
      </c>
      <c r="N281" s="526">
        <f t="shared" si="27"/>
        <v>541</v>
      </c>
      <c r="O281" s="526">
        <f t="shared" si="27"/>
        <v>542</v>
      </c>
      <c r="P281" s="526">
        <f t="shared" si="27"/>
        <v>543</v>
      </c>
      <c r="Q281" s="526">
        <f t="shared" si="27"/>
        <v>544</v>
      </c>
      <c r="R281" s="526">
        <f t="shared" si="27"/>
        <v>545</v>
      </c>
      <c r="S281" s="526">
        <f t="shared" si="27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6"/>
        <v>553</v>
      </c>
      <c r="D282" s="526">
        <f t="shared" si="27"/>
        <v>554</v>
      </c>
      <c r="E282" s="526">
        <f t="shared" si="27"/>
        <v>555</v>
      </c>
      <c r="F282" s="526">
        <f t="shared" si="27"/>
        <v>556</v>
      </c>
      <c r="G282" s="526">
        <f t="shared" si="27"/>
        <v>557</v>
      </c>
      <c r="H282" s="526">
        <f t="shared" si="27"/>
        <v>558</v>
      </c>
      <c r="I282" s="526">
        <f t="shared" si="27"/>
        <v>559</v>
      </c>
      <c r="J282" s="526">
        <f t="shared" si="27"/>
        <v>560</v>
      </c>
      <c r="K282" s="526">
        <f t="shared" si="27"/>
        <v>561</v>
      </c>
      <c r="L282" s="526">
        <f t="shared" si="27"/>
        <v>562</v>
      </c>
      <c r="M282" s="526">
        <f t="shared" si="27"/>
        <v>563</v>
      </c>
      <c r="N282" s="526">
        <f t="shared" si="27"/>
        <v>564</v>
      </c>
      <c r="O282" s="526">
        <f t="shared" si="27"/>
        <v>565</v>
      </c>
      <c r="P282" s="526">
        <f t="shared" si="27"/>
        <v>566</v>
      </c>
      <c r="Q282" s="526">
        <f t="shared" si="27"/>
        <v>567</v>
      </c>
      <c r="R282" s="526">
        <f t="shared" si="27"/>
        <v>568</v>
      </c>
      <c r="S282" s="526">
        <f t="shared" si="27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6"/>
        <v>576</v>
      </c>
      <c r="D283" s="526">
        <f t="shared" si="27"/>
        <v>577</v>
      </c>
      <c r="E283" s="526">
        <f t="shared" si="27"/>
        <v>578</v>
      </c>
      <c r="F283" s="526">
        <f t="shared" si="27"/>
        <v>579</v>
      </c>
      <c r="G283" s="526">
        <f t="shared" si="27"/>
        <v>580</v>
      </c>
      <c r="H283" s="526">
        <f t="shared" si="27"/>
        <v>581</v>
      </c>
      <c r="I283" s="526">
        <f t="shared" si="27"/>
        <v>582</v>
      </c>
      <c r="J283" s="526">
        <f t="shared" si="27"/>
        <v>583</v>
      </c>
      <c r="K283" s="526">
        <f t="shared" si="27"/>
        <v>584</v>
      </c>
      <c r="L283" s="526">
        <f t="shared" si="27"/>
        <v>585</v>
      </c>
      <c r="M283" s="526">
        <f t="shared" si="27"/>
        <v>586</v>
      </c>
      <c r="N283" s="526">
        <f t="shared" si="27"/>
        <v>587</v>
      </c>
      <c r="O283" s="526">
        <f t="shared" si="27"/>
        <v>588</v>
      </c>
      <c r="P283" s="526">
        <f t="shared" si="27"/>
        <v>589</v>
      </c>
      <c r="Q283" s="526">
        <f t="shared" si="27"/>
        <v>590</v>
      </c>
      <c r="R283" s="526">
        <f t="shared" si="27"/>
        <v>591</v>
      </c>
      <c r="S283" s="526">
        <f t="shared" si="27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6"/>
        <v>599</v>
      </c>
      <c r="D284" s="526">
        <f t="shared" si="27"/>
        <v>600</v>
      </c>
      <c r="E284" s="526">
        <f t="shared" si="27"/>
        <v>601</v>
      </c>
      <c r="F284" s="526">
        <f t="shared" si="27"/>
        <v>602</v>
      </c>
      <c r="G284" s="526">
        <f t="shared" si="27"/>
        <v>603</v>
      </c>
      <c r="H284" s="526">
        <f t="shared" si="27"/>
        <v>604</v>
      </c>
      <c r="I284" s="526">
        <f t="shared" si="27"/>
        <v>605</v>
      </c>
      <c r="J284" s="526">
        <f t="shared" si="27"/>
        <v>606</v>
      </c>
      <c r="K284" s="526">
        <f t="shared" si="27"/>
        <v>607</v>
      </c>
      <c r="L284" s="526">
        <f t="shared" si="27"/>
        <v>608</v>
      </c>
      <c r="M284" s="526">
        <f t="shared" si="27"/>
        <v>609</v>
      </c>
      <c r="N284" s="526">
        <f t="shared" si="27"/>
        <v>610</v>
      </c>
      <c r="O284" s="526">
        <f t="shared" si="27"/>
        <v>611</v>
      </c>
      <c r="P284" s="526">
        <f t="shared" si="27"/>
        <v>612</v>
      </c>
      <c r="Q284" s="526">
        <f t="shared" si="27"/>
        <v>613</v>
      </c>
      <c r="R284" s="526">
        <f t="shared" si="27"/>
        <v>614</v>
      </c>
      <c r="S284" s="526">
        <f t="shared" si="27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6"/>
        <v>622</v>
      </c>
      <c r="D285" s="526">
        <f t="shared" si="27"/>
        <v>623</v>
      </c>
      <c r="E285" s="526">
        <f t="shared" si="27"/>
        <v>624</v>
      </c>
      <c r="F285" s="526">
        <f t="shared" si="27"/>
        <v>625</v>
      </c>
      <c r="G285" s="526">
        <f t="shared" si="27"/>
        <v>626</v>
      </c>
      <c r="H285" s="526">
        <f t="shared" si="27"/>
        <v>627</v>
      </c>
      <c r="I285" s="526">
        <f t="shared" si="27"/>
        <v>628</v>
      </c>
      <c r="J285" s="526">
        <f t="shared" si="27"/>
        <v>629</v>
      </c>
      <c r="K285" s="526">
        <f t="shared" si="27"/>
        <v>630</v>
      </c>
      <c r="L285" s="526">
        <f t="shared" si="27"/>
        <v>631</v>
      </c>
      <c r="M285" s="526">
        <f t="shared" si="27"/>
        <v>632</v>
      </c>
      <c r="N285" s="526">
        <f t="shared" si="27"/>
        <v>633</v>
      </c>
      <c r="O285" s="526">
        <f t="shared" si="27"/>
        <v>634</v>
      </c>
      <c r="P285" s="526">
        <f t="shared" si="27"/>
        <v>635</v>
      </c>
      <c r="Q285" s="526">
        <f t="shared" si="27"/>
        <v>636</v>
      </c>
      <c r="R285" s="526">
        <f t="shared" si="27"/>
        <v>637</v>
      </c>
      <c r="S285" s="526">
        <f t="shared" si="27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6"/>
        <v>645</v>
      </c>
      <c r="D286" s="526">
        <f t="shared" si="27"/>
        <v>646</v>
      </c>
      <c r="E286" s="526">
        <f t="shared" si="27"/>
        <v>647</v>
      </c>
      <c r="F286" s="526">
        <f t="shared" si="27"/>
        <v>648</v>
      </c>
      <c r="G286" s="526">
        <f t="shared" si="27"/>
        <v>649</v>
      </c>
      <c r="H286" s="526">
        <f t="shared" si="27"/>
        <v>650</v>
      </c>
      <c r="I286" s="526">
        <f t="shared" si="27"/>
        <v>651</v>
      </c>
      <c r="J286" s="526">
        <f t="shared" si="27"/>
        <v>652</v>
      </c>
      <c r="K286" s="526">
        <f t="shared" si="27"/>
        <v>653</v>
      </c>
      <c r="L286" s="526">
        <f t="shared" si="27"/>
        <v>654</v>
      </c>
      <c r="M286" s="526">
        <f t="shared" si="27"/>
        <v>655</v>
      </c>
      <c r="N286" s="526">
        <f t="shared" si="27"/>
        <v>656</v>
      </c>
      <c r="O286" s="526">
        <f t="shared" si="27"/>
        <v>657</v>
      </c>
      <c r="P286" s="526">
        <f t="shared" si="27"/>
        <v>658</v>
      </c>
      <c r="Q286" s="526">
        <f t="shared" si="27"/>
        <v>659</v>
      </c>
      <c r="R286" s="526">
        <f t="shared" si="27"/>
        <v>660</v>
      </c>
      <c r="S286" s="526">
        <f t="shared" si="28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214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Wellington Electricity</v>
      </c>
      <c r="C6" s="108"/>
      <c r="D6" s="109">
        <f>VLOOKUP($B$6,$B$258:$J$286,9,FALSE)</f>
        <v>629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151.72333209000001</v>
      </c>
      <c r="E7" s="407">
        <f>D7/('Industry calcs'!D4/1000)*100</f>
        <v>7.3604052972599074</v>
      </c>
    </row>
    <row r="8" spans="2:5">
      <c r="B8" s="111" t="s">
        <v>250</v>
      </c>
      <c r="C8" s="114"/>
      <c r="D8" s="406">
        <f>VLOOKUP(D6,'AV (2011)'!A8:F214,'AV (2011)'!F214,FALSE)/1000</f>
        <v>528.33929000000001</v>
      </c>
      <c r="E8" s="407">
        <f>D8/('Industry calcs'!D5/1000)*100</f>
        <v>5.8866962968349021</v>
      </c>
    </row>
    <row r="9" spans="2:5">
      <c r="B9" s="111" t="s">
        <v>230</v>
      </c>
      <c r="C9" s="114"/>
      <c r="D9" s="406">
        <f>VLOOKUP($D$6,'FS (2011)'!$A$13:$AH$244,'FS (2011)'!S245,FALSE)/1000</f>
        <v>31.607716</v>
      </c>
      <c r="E9" s="407">
        <f>D9/('Industry calcs'!D6/1000)*100</f>
        <v>6.9619375931025278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27.300169399999998</v>
      </c>
      <c r="E10" s="407">
        <f>D10/('Industry calcs'!D7/1000)*100</f>
        <v>4.665354884225227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2454.8793999999998</v>
      </c>
      <c r="E11" s="407">
        <f>D11/'Industry calcs'!D8*100</f>
        <v>7.9328487757128849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570.46</v>
      </c>
      <c r="E12" s="407">
        <f>D12/'Industry calcs'!D9*100</f>
        <v>9.1226195949346458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4604.4216999999999</v>
      </c>
      <c r="E13" s="407">
        <f>D13/'Industry calcs'!D10*100</f>
        <v>3.0784433980025532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164250</v>
      </c>
      <c r="E14" s="407">
        <f>D14/'Industry calcs'!D11*100</f>
        <v>8.1770321231657679</v>
      </c>
    </row>
    <row r="15" spans="2:5">
      <c r="B15" s="115" t="s">
        <v>195</v>
      </c>
      <c r="C15" s="116" t="s">
        <v>239</v>
      </c>
      <c r="D15" s="408">
        <f>D14/D13</f>
        <v>35.672232193675917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Wellington Electricity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23.29135161786682</v>
      </c>
      <c r="D20" s="409">
        <f>VLOOKUP($B$2,'MED price allocation'!$B$16:$F$44,3,FALSE)</f>
        <v>23.993119215754607</v>
      </c>
      <c r="E20" s="409">
        <f>VLOOKUP($B$2,'MED price allocation'!$B$16:$F$44,4,FALSE)</f>
        <v>23.332721780708948</v>
      </c>
      <c r="F20" s="503">
        <f>VLOOKUP($B$2,'MED price allocation'!$B$16:$F$44,5,FALSE)</f>
        <v>24.206804031604637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6.2960964899774741</v>
      </c>
      <c r="D21" s="410">
        <f>VLOOKUP($B$2,'MED price allocation'!$B$47:$F$75,3,FALSE)</f>
        <v>5.8017925097394603</v>
      </c>
      <c r="E21" s="410">
        <f>VLOOKUP($B$2,'MED price allocation'!$B$47:$F$75,4,FALSE)</f>
        <v>6.0620705451213928</v>
      </c>
      <c r="F21" s="504">
        <f>VLOOKUP($B$2,'MED price allocation'!$B$47:$F$75,5,FALSE)</f>
        <v>6.2197515019524126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8.5061988537538138</v>
      </c>
      <c r="D22" s="409">
        <f>VLOOKUP($B$2,'MED price allocation'!$B$78:$F$106,3,FALSE)</f>
        <v>8.28754728227001</v>
      </c>
      <c r="E22" s="409">
        <f>VLOOKUP($B$2,'MED price allocation'!$B$78:$F$106,4,FALSE)</f>
        <v>8.6601007787448463</v>
      </c>
      <c r="F22" s="503">
        <f>VLOOKUP($B$2,'MED price allocation'!$B$78:$F$106,5,FALSE)</f>
        <v>8.94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2.2101023637763397</v>
      </c>
      <c r="D23" s="411">
        <f>VLOOKUP($B$2,'MED price allocation'!$B$109:$F$137,3,FALSE)</f>
        <v>2.4857547725305498</v>
      </c>
      <c r="E23" s="411">
        <f>VLOOKUP($B$2,'MED price allocation'!$B$109:$F$137,4,FALSE)</f>
        <v>2.598030233623454</v>
      </c>
      <c r="F23" s="505">
        <f>VLOOKUP($B$2,'MED price allocation'!$B$109:$F$137,5,FALSE)</f>
        <v>2.7202484980475874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Wellington Electricity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1863.3081294293454</v>
      </c>
      <c r="D26" s="412">
        <f>(D20*8000)/100</f>
        <v>1919.4495372603685</v>
      </c>
      <c r="E26" s="412">
        <f>(E20*8000)/100</f>
        <v>1866.6177424567159</v>
      </c>
      <c r="F26" s="506">
        <f>(F20*8000)/100</f>
        <v>1936.5443225283709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680.49590830030513</v>
      </c>
      <c r="D27" s="412">
        <f>(D22*8000)/100</f>
        <v>663.00378258160083</v>
      </c>
      <c r="E27" s="412">
        <f>(E22*8000)/100</f>
        <v>692.80806229958773</v>
      </c>
      <c r="F27" s="506">
        <f>(F22*8000)/100</f>
        <v>715.2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503.68771919819795</v>
      </c>
      <c r="D28" s="412">
        <f>(D21*8000)/100</f>
        <v>464.14340077915682</v>
      </c>
      <c r="E28" s="412">
        <f>(E21*8000)/100</f>
        <v>484.96564360971138</v>
      </c>
      <c r="F28" s="506">
        <f>(F21*8000)/100</f>
        <v>497.580120156193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176.80818910210718</v>
      </c>
      <c r="D29" s="413">
        <f>(D23*8000)/100</f>
        <v>198.86038180244398</v>
      </c>
      <c r="E29" s="413">
        <f>(E23*8000)/100</f>
        <v>207.84241868987633</v>
      </c>
      <c r="F29" s="507">
        <f>(F23*8000)/100</f>
        <v>217.61987984380698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Wellington Electricity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1896.4799329187001</v>
      </c>
      <c r="D32" s="122"/>
    </row>
    <row r="33" spans="2:13">
      <c r="B33" s="120" t="s">
        <v>241</v>
      </c>
      <c r="C33" s="412">
        <f>AVERAGE(C27:F27)</f>
        <v>687.87693829537352</v>
      </c>
      <c r="D33" s="414">
        <f>C33/$C$32</f>
        <v>0.36271247923869387</v>
      </c>
    </row>
    <row r="34" spans="2:13">
      <c r="B34" s="120" t="s">
        <v>222</v>
      </c>
      <c r="C34" s="412">
        <f>AVERAGE(C28:F28)</f>
        <v>487.5942209358148</v>
      </c>
      <c r="D34" s="414">
        <f>C34/$C$32</f>
        <v>0.25710486700768975</v>
      </c>
    </row>
    <row r="35" spans="2:13">
      <c r="B35" s="124" t="s">
        <v>223</v>
      </c>
      <c r="C35" s="413">
        <f>AVERAGE(C29:F29)</f>
        <v>200.28271735955863</v>
      </c>
      <c r="D35" s="415">
        <f>C35/$C$32</f>
        <v>0.10560761223100404</v>
      </c>
    </row>
    <row r="38" spans="2:13">
      <c r="B38" s="517" t="s">
        <v>227</v>
      </c>
      <c r="C38" s="518">
        <f>VLOOKUP($B$2,$B$258:$J$286,6,FALSE)</f>
        <v>626</v>
      </c>
      <c r="D38" s="518">
        <f>VLOOKUP($B$2,$B$258:$J$286,7,FALSE)</f>
        <v>627</v>
      </c>
      <c r="E38" s="518">
        <f>VLOOKUP($B$2,$B$258:$J$286,8,FALSE)</f>
        <v>628</v>
      </c>
      <c r="F38" s="519">
        <f>VLOOKUP($B$2,$B$258:$J$286,9,FALSE)</f>
        <v>629</v>
      </c>
    </row>
    <row r="39" spans="2:13">
      <c r="B39" s="137" t="str">
        <f>B2</f>
        <v>Wellington Electricity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/>
      <c r="D40" s="418">
        <f>VLOOKUP($D$38,'FS (2011)'!$A$13:$AH$244,'FS (2011)'!E245,FALSE)</f>
        <v>91523.609032877997</v>
      </c>
      <c r="E40" s="418">
        <f>VLOOKUP($E$38,'FS (2011)'!$A$13:$AH$244,'FS (2011)'!E245,FALSE)</f>
        <v>150045.77210261108</v>
      </c>
      <c r="F40" s="419">
        <f>VLOOKUP($F$38,'FS (2011)'!$A$13:$AH$244,'FS (2011)'!E245,FALSE)</f>
        <v>148082</v>
      </c>
    </row>
    <row r="41" spans="2:13" ht="30">
      <c r="B41" s="120" t="s">
        <v>198</v>
      </c>
      <c r="C41" s="417"/>
      <c r="D41" s="418">
        <f>VLOOKUP($D$38,'FS (2011)'!$A$13:$AH$244,'FS (2011)'!$F$245,FALSE)</f>
        <v>3271.0360354176669</v>
      </c>
      <c r="E41" s="418">
        <f>VLOOKUP($E$38,'FS (2011)'!$A$13:$AH$244,'FS (2011)'!$F$245,FALSE)</f>
        <v>3473.8962193689194</v>
      </c>
      <c r="F41" s="419">
        <f>VLOOKUP($F$38,'FS (2011)'!$A$13:$AH$244,'FS (2011)'!$F$245,FALSE)</f>
        <v>3401.5493000000001</v>
      </c>
    </row>
    <row r="42" spans="2:13">
      <c r="B42" s="120" t="s">
        <v>13</v>
      </c>
      <c r="C42" s="417"/>
      <c r="D42" s="418">
        <f>VLOOKUP($D$38,'FS (2011)'!$A$13:$AH$244,'FS (2011)'!$H$245,FALSE)</f>
        <v>329.75475177706079</v>
      </c>
      <c r="E42" s="418">
        <f>VLOOKUP($E$38,'FS (2011)'!$A$13:$AH$244,'FS (2011)'!$H$245,FALSE)</f>
        <v>308.36220534612374</v>
      </c>
      <c r="F42" s="419">
        <f>VLOOKUP($F$38,'FS (2011)'!$A$13:$AH$244,'FS (2011)'!$H$245,FALSE)</f>
        <v>239.78279000000001</v>
      </c>
    </row>
    <row r="43" spans="2:13">
      <c r="B43" s="124" t="s">
        <v>5</v>
      </c>
      <c r="C43" s="420"/>
      <c r="D43" s="420">
        <f>SUM(D40:D42)</f>
        <v>95124.399820072722</v>
      </c>
      <c r="E43" s="420">
        <f>SUM(E40:E42)</f>
        <v>153828.0305273261</v>
      </c>
      <c r="F43" s="421">
        <f>SUM(F40:F42)</f>
        <v>151723.33209000001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Wellington Electricity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/>
      <c r="D46" s="422">
        <f t="shared" ref="D46:F49" si="0">IF(ISERROR(D40/$E40),"",(D40/$E40))*100</f>
        <v>60.997126243775924</v>
      </c>
      <c r="E46" s="422">
        <f t="shared" si="0"/>
        <v>100</v>
      </c>
      <c r="F46" s="423">
        <f t="shared" si="0"/>
        <v>98.691217969628539</v>
      </c>
    </row>
    <row r="47" spans="2:13" ht="30">
      <c r="B47" s="120" t="s">
        <v>198</v>
      </c>
      <c r="C47" s="422" t="str">
        <f>IF(ISERROR(C41/$C41),"",(C41/$C41)*100)</f>
        <v/>
      </c>
      <c r="D47" s="422">
        <f t="shared" si="0"/>
        <v>94.160442018382895</v>
      </c>
      <c r="E47" s="422">
        <f t="shared" si="0"/>
        <v>100</v>
      </c>
      <c r="F47" s="423">
        <f t="shared" si="0"/>
        <v>97.917412760762829</v>
      </c>
      <c r="G47" s="141"/>
    </row>
    <row r="48" spans="2:13">
      <c r="B48" s="120" t="s">
        <v>13</v>
      </c>
      <c r="C48" s="422" t="str">
        <f>IF(ISERROR(C42/$C42),"",(C42/$C42)*100)</f>
        <v/>
      </c>
      <c r="D48" s="422">
        <f t="shared" si="0"/>
        <v>106.93747354897944</v>
      </c>
      <c r="E48" s="422">
        <f t="shared" si="0"/>
        <v>100</v>
      </c>
      <c r="F48" s="423">
        <f t="shared" si="0"/>
        <v>77.760109975492554</v>
      </c>
      <c r="G48" s="141"/>
      <c r="H48" s="141"/>
    </row>
    <row r="49" spans="2:23">
      <c r="B49" s="124" t="s">
        <v>5</v>
      </c>
      <c r="C49" s="424" t="str">
        <f>IF(ISERROR(C43/$C43),"",(C43/$C43)*100)</f>
        <v/>
      </c>
      <c r="D49" s="424">
        <f t="shared" si="0"/>
        <v>61.838144513704066</v>
      </c>
      <c r="E49" s="424">
        <f t="shared" si="0"/>
        <v>100</v>
      </c>
      <c r="F49" s="416">
        <f t="shared" si="0"/>
        <v>98.631784837840584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Wellington Electricity</v>
      </c>
      <c r="C53" s="144"/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/>
      <c r="D54" s="426">
        <f>VLOOKUP($D$38,'MP (2011)'!$A$14:$AR$245,'MP (2011)'!$Z$246,FALSE)</f>
        <v>57801.310963552729</v>
      </c>
      <c r="E54" s="426">
        <f>VLOOKUP($E$38,'MP (2011)'!$A$14:$AR$245,'MP (2011)'!$Z$246,FALSE)</f>
        <v>97908.334285252335</v>
      </c>
      <c r="F54" s="427">
        <f>VLOOKUP($F$38,'MP (2011)'!$A$14:$AR$245,'MP (2011)'!$Z$246,FALSE)</f>
        <v>95975.591</v>
      </c>
    </row>
    <row r="55" spans="2:23">
      <c r="B55" s="111" t="s">
        <v>180</v>
      </c>
      <c r="C55" s="425"/>
      <c r="D55" s="426">
        <f>VLOOKUP($D$38,'MP (2011)'!$A$14:$AR$245,'MP (2011)'!$AD$246,FALSE)</f>
        <v>12134.224273182783</v>
      </c>
      <c r="E55" s="426">
        <f>VLOOKUP($E$38,'MP (2011)'!$A$14:$AR$245,'MP (2011)'!$AD$246,FALSE)</f>
        <v>18651.613601897006</v>
      </c>
      <c r="F55" s="427">
        <f>VLOOKUP($F$38,'MP (2011)'!$A$14:$AR$245,'MP (2011)'!$AD$246,FALSE)</f>
        <v>18456.884999999998</v>
      </c>
      <c r="J55" s="139"/>
    </row>
    <row r="56" spans="2:23">
      <c r="B56" s="111" t="s">
        <v>184</v>
      </c>
      <c r="C56" s="425"/>
      <c r="D56" s="426">
        <f>VLOOKUP($D$38,'MP (2011)'!$A$14:$AR$245,'MP (2011)'!$AH$246,FALSE)</f>
        <v>20218.748144141664</v>
      </c>
      <c r="E56" s="426">
        <f>VLOOKUP($E$38,'MP (2011)'!$A$14:$AR$245,'MP (2011)'!$AH$246,FALSE)</f>
        <v>30775.225916574596</v>
      </c>
      <c r="F56" s="427">
        <f>VLOOKUP($F$38,'MP (2011)'!$A$14:$AR$245,'MP (2011)'!$AH$246,FALSE)</f>
        <v>31808.23</v>
      </c>
    </row>
    <row r="57" spans="2:23">
      <c r="B57" s="111" t="s">
        <v>181</v>
      </c>
      <c r="C57" s="425"/>
      <c r="D57" s="426">
        <f>VLOOKUP($D$38,'MP (2011)'!$A$14:$AR$245,'MP (2011)'!$AL$246,FALSE)</f>
        <v>1369.3257558102816</v>
      </c>
      <c r="E57" s="426">
        <f>VLOOKUP($E$38,'MP (2011)'!$A$14:$AR$245,'MP (2011)'!$AL$246,FALSE)</f>
        <v>2710.6029855298962</v>
      </c>
      <c r="F57" s="427">
        <f>VLOOKUP($F$38,'MP (2011)'!$A$14:$AR$245,'MP (2011)'!$AL$246,FALSE)</f>
        <v>1841.2909999999999</v>
      </c>
      <c r="W57" s="139"/>
    </row>
    <row r="58" spans="2:23">
      <c r="B58" s="147" t="s">
        <v>248</v>
      </c>
      <c r="C58" s="428"/>
      <c r="D58" s="428">
        <f>SUM(D54:D57)</f>
        <v>91523.609136687446</v>
      </c>
      <c r="E58" s="428">
        <f>SUM(E54:E57)</f>
        <v>150045.77678925384</v>
      </c>
      <c r="F58" s="429">
        <f>SUM(F54:F57)</f>
        <v>148081.997</v>
      </c>
    </row>
    <row r="59" spans="2:23">
      <c r="B59" s="103" t="s">
        <v>302</v>
      </c>
    </row>
    <row r="60" spans="2:23">
      <c r="B60" s="137" t="str">
        <f>$B$2</f>
        <v>Wellington Electricity</v>
      </c>
      <c r="C60" s="144"/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/>
      <c r="D61" s="422">
        <f t="shared" ref="D61:F65" si="1">IF(ISERROR(D54/$E54),"",(D54/$E54))*100</f>
        <v>59.036149869683953</v>
      </c>
      <c r="E61" s="422">
        <f t="shared" si="1"/>
        <v>100</v>
      </c>
      <c r="F61" s="423">
        <f t="shared" si="1"/>
        <v>98.0259665335319</v>
      </c>
      <c r="G61" s="141"/>
    </row>
    <row r="62" spans="2:23">
      <c r="B62" s="111" t="s">
        <v>180</v>
      </c>
      <c r="C62" s="422"/>
      <c r="D62" s="422">
        <f t="shared" si="1"/>
        <v>65.057235969914387</v>
      </c>
      <c r="E62" s="422">
        <f t="shared" si="1"/>
        <v>100</v>
      </c>
      <c r="F62" s="423">
        <f t="shared" si="1"/>
        <v>98.955969139971884</v>
      </c>
      <c r="G62" s="141"/>
    </row>
    <row r="63" spans="2:23">
      <c r="B63" s="111" t="s">
        <v>184</v>
      </c>
      <c r="C63" s="422"/>
      <c r="D63" s="422">
        <f t="shared" si="1"/>
        <v>65.698130694314301</v>
      </c>
      <c r="E63" s="422">
        <f t="shared" si="1"/>
        <v>100</v>
      </c>
      <c r="F63" s="423">
        <f t="shared" si="1"/>
        <v>103.35660926170182</v>
      </c>
      <c r="G63" s="141"/>
    </row>
    <row r="64" spans="2:23">
      <c r="B64" s="111" t="s">
        <v>181</v>
      </c>
      <c r="C64" s="422"/>
      <c r="D64" s="422">
        <f t="shared" si="1"/>
        <v>50.517385361124433</v>
      </c>
      <c r="E64" s="422">
        <f t="shared" si="1"/>
        <v>100</v>
      </c>
      <c r="F64" s="423">
        <f t="shared" si="1"/>
        <v>67.929202831599696</v>
      </c>
      <c r="G64" s="141"/>
    </row>
    <row r="65" spans="2:40">
      <c r="B65" s="115" t="s">
        <v>248</v>
      </c>
      <c r="C65" s="424"/>
      <c r="D65" s="424">
        <f t="shared" si="1"/>
        <v>60.997124407730944</v>
      </c>
      <c r="E65" s="424">
        <f t="shared" si="1"/>
        <v>100</v>
      </c>
      <c r="F65" s="416">
        <f t="shared" si="1"/>
        <v>98.691212887642905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Wellington Electricity</v>
      </c>
      <c r="C69" s="144"/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/>
      <c r="D70" s="433">
        <f t="shared" ref="D70:F73" si="2">(D54/D98)*1000</f>
        <v>383.87056924159208</v>
      </c>
      <c r="E70" s="433">
        <f t="shared" si="2"/>
        <v>645.34379781334962</v>
      </c>
      <c r="F70" s="434">
        <f t="shared" si="2"/>
        <v>629.84788586353773</v>
      </c>
    </row>
    <row r="71" spans="2:40">
      <c r="B71" s="111" t="s">
        <v>180</v>
      </c>
      <c r="C71" s="433"/>
      <c r="D71" s="433">
        <f t="shared" si="2"/>
        <v>1091.1090974896847</v>
      </c>
      <c r="E71" s="433">
        <f t="shared" si="2"/>
        <v>1679.2665527952647</v>
      </c>
      <c r="F71" s="434">
        <f t="shared" si="2"/>
        <v>1704.0794940448711</v>
      </c>
    </row>
    <row r="72" spans="2:40">
      <c r="B72" s="111" t="s">
        <v>184</v>
      </c>
      <c r="C72" s="433"/>
      <c r="D72" s="433">
        <f t="shared" si="2"/>
        <v>16863.009294530162</v>
      </c>
      <c r="E72" s="433">
        <f t="shared" si="2"/>
        <v>25000.183522806336</v>
      </c>
      <c r="F72" s="434">
        <f t="shared" si="2"/>
        <v>30732.589371980677</v>
      </c>
    </row>
    <row r="73" spans="2:40">
      <c r="B73" s="115" t="s">
        <v>181</v>
      </c>
      <c r="C73" s="435"/>
      <c r="D73" s="435">
        <f t="shared" si="2"/>
        <v>273865.15116205637</v>
      </c>
      <c r="E73" s="435">
        <f t="shared" si="2"/>
        <v>542120.59710597922</v>
      </c>
      <c r="F73" s="436">
        <f t="shared" si="2"/>
        <v>368258.2</v>
      </c>
    </row>
    <row r="74" spans="2:40">
      <c r="B74" s="103" t="s">
        <v>303</v>
      </c>
    </row>
    <row r="75" spans="2:40">
      <c r="B75" s="137" t="str">
        <f>$B$2</f>
        <v>Wellington Electricity</v>
      </c>
      <c r="C75" s="140"/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/>
      <c r="D76" s="422">
        <f t="shared" ref="D76:F79" si="3">IF(ISERROR(D70/$E70),"",(D70/$E70))*100</f>
        <v>59.483111256709954</v>
      </c>
      <c r="E76" s="422">
        <f t="shared" si="3"/>
        <v>100</v>
      </c>
      <c r="F76" s="423">
        <f t="shared" si="3"/>
        <v>97.598812911456264</v>
      </c>
      <c r="AN76" s="139"/>
    </row>
    <row r="77" spans="2:40">
      <c r="B77" s="111" t="s">
        <v>180</v>
      </c>
      <c r="C77" s="422"/>
      <c r="D77" s="422">
        <f t="shared" si="3"/>
        <v>64.975336742904332</v>
      </c>
      <c r="E77" s="422">
        <f t="shared" si="3"/>
        <v>100</v>
      </c>
      <c r="F77" s="423">
        <f t="shared" si="3"/>
        <v>101.47760587551176</v>
      </c>
      <c r="I77" s="139" t="s">
        <v>190</v>
      </c>
      <c r="AN77" s="139"/>
    </row>
    <row r="78" spans="2:40">
      <c r="B78" s="111" t="s">
        <v>184</v>
      </c>
      <c r="C78" s="422"/>
      <c r="D78" s="422">
        <f t="shared" si="3"/>
        <v>67.451542022269308</v>
      </c>
      <c r="E78" s="422">
        <f t="shared" si="3"/>
        <v>100</v>
      </c>
      <c r="F78" s="423">
        <f t="shared" si="3"/>
        <v>122.92945507357966</v>
      </c>
      <c r="G78" s="141"/>
      <c r="AN78" s="139"/>
    </row>
    <row r="79" spans="2:40">
      <c r="B79" s="115" t="s">
        <v>181</v>
      </c>
      <c r="C79" s="424"/>
      <c r="D79" s="424">
        <f t="shared" si="3"/>
        <v>50.517385361124447</v>
      </c>
      <c r="E79" s="424">
        <f t="shared" si="3"/>
        <v>100</v>
      </c>
      <c r="F79" s="416">
        <f t="shared" si="3"/>
        <v>67.929202831599696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Wellington Electricity</v>
      </c>
      <c r="C83" s="144"/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/>
      <c r="D84" s="437">
        <f>(D54/VLOOKUP($D$38,'MP (2011)'!$A$14:$AR$245,'MP (2011)'!$AA$246,FALSE)*100)</f>
        <v>7.837720951400823</v>
      </c>
      <c r="E84" s="437">
        <f>(E54/VLOOKUP($E$38,'MP (2011)'!$A$14:$AR$245,'MP (2011)'!$AA$246,FALSE)*100)</f>
        <v>8.0181837817048436</v>
      </c>
      <c r="F84" s="438">
        <f>(F54/VLOOKUP($F$38,'MP (2011)'!$A$14:$AR$245,'MP (2011)'!$AA$246,FALSE)*100)</f>
        <v>8.2421513260829187</v>
      </c>
    </row>
    <row r="85" spans="2:7">
      <c r="B85" s="111" t="s">
        <v>180</v>
      </c>
      <c r="C85" s="430"/>
      <c r="D85" s="437">
        <f>(D55/VLOOKUP($D$38,'MP (2011)'!$A$14:$AR$245,'MP (2011)'!$AE$246,FALSE)*100)</f>
        <v>4.6520690372008291</v>
      </c>
      <c r="E85" s="437">
        <f>(E55/VLOOKUP($E$38,'MP (2011)'!$A$14:$AR$245,'MP (2011)'!$AE$246,FALSE)*100)</f>
        <v>4.7789338841341271</v>
      </c>
      <c r="F85" s="438">
        <f>(F55/VLOOKUP($F$38,'MP (2011)'!$A$14:$AR$245,'MP (2011)'!$AE$246,FALSE)*100)</f>
        <v>4.8466555833008789</v>
      </c>
    </row>
    <row r="86" spans="2:7">
      <c r="B86" s="111" t="s">
        <v>184</v>
      </c>
      <c r="C86" s="430"/>
      <c r="D86" s="437">
        <f>(D56/VLOOKUP($D$38,'MP (2011)'!$A$14:$AR$245,'MP (2011)'!$AI$246,FALSE)*100)</f>
        <v>3.6649811562882544</v>
      </c>
      <c r="E86" s="437">
        <f>(E56/VLOOKUP($E$38,'MP (2011)'!$A$14:$AR$245,'MP (2011)'!$AI$246,FALSE)*100)</f>
        <v>3.6325924539721868</v>
      </c>
      <c r="F86" s="438">
        <f>(F56/VLOOKUP($F$38,'MP (2011)'!$A$14:$AR$245,'MP (2011)'!$AI$246,FALSE)*100)</f>
        <v>3.8078390230454362</v>
      </c>
    </row>
    <row r="87" spans="2:7">
      <c r="B87" s="115" t="s">
        <v>181</v>
      </c>
      <c r="C87" s="431"/>
      <c r="D87" s="431">
        <f>(D57/VLOOKUP($D$38,'MP (2011)'!$A$14:$AR$245,'MP (2011)'!$AM$246,FALSE)*100)</f>
        <v>2.5792536368624632</v>
      </c>
      <c r="E87" s="431">
        <f>(E57/VLOOKUP($E$38,'MP (2011)'!$A$14:$AR$245,'MP (2011)'!$AM$246,FALSE)*100)</f>
        <v>5.8599690436113354</v>
      </c>
      <c r="F87" s="432">
        <f>(F57/VLOOKUP($F$38,'MP (2011)'!$A$14:$AR$245,'MP (2011)'!$AM$246,FALSE)*100)</f>
        <v>2.4788951932986971</v>
      </c>
    </row>
    <row r="88" spans="2:7">
      <c r="B88" s="103" t="s">
        <v>304</v>
      </c>
    </row>
    <row r="89" spans="2:7">
      <c r="B89" s="137" t="str">
        <f>$B$2</f>
        <v>Wellington Electricity</v>
      </c>
      <c r="C89" s="140"/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/>
      <c r="D90" s="422">
        <f t="shared" ref="D90:F93" si="4">IF(ISERROR(D84/$E84),"",(D84/$E84))*100</f>
        <v>97.749330331941451</v>
      </c>
      <c r="E90" s="422">
        <f t="shared" si="4"/>
        <v>100</v>
      </c>
      <c r="F90" s="423">
        <f t="shared" si="4"/>
        <v>102.79324533430008</v>
      </c>
    </row>
    <row r="91" spans="2:7">
      <c r="B91" s="111" t="s">
        <v>180</v>
      </c>
      <c r="C91" s="422"/>
      <c r="D91" s="422">
        <f t="shared" si="4"/>
        <v>97.345331615603968</v>
      </c>
      <c r="E91" s="422">
        <f t="shared" si="4"/>
        <v>100</v>
      </c>
      <c r="F91" s="423">
        <f t="shared" si="4"/>
        <v>101.41708801185941</v>
      </c>
    </row>
    <row r="92" spans="2:7">
      <c r="B92" s="111" t="s">
        <v>184</v>
      </c>
      <c r="C92" s="422"/>
      <c r="D92" s="422">
        <f t="shared" si="4"/>
        <v>100.8916139844053</v>
      </c>
      <c r="E92" s="422">
        <f t="shared" si="4"/>
        <v>100</v>
      </c>
      <c r="F92" s="423">
        <f t="shared" si="4"/>
        <v>104.82428379439096</v>
      </c>
      <c r="G92" s="141"/>
    </row>
    <row r="93" spans="2:7">
      <c r="B93" s="115" t="s">
        <v>181</v>
      </c>
      <c r="C93" s="424"/>
      <c r="D93" s="424">
        <f t="shared" si="4"/>
        <v>44.014799697183058</v>
      </c>
      <c r="E93" s="424">
        <f t="shared" si="4"/>
        <v>100</v>
      </c>
      <c r="F93" s="416">
        <f t="shared" si="4"/>
        <v>42.302189224041072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/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/>
      <c r="D98" s="150">
        <f>VLOOKUP($D$38,'MP (2011)'!$A$14:$AR$245,'MP (2011)'!$AB$246,FALSE)</f>
        <v>150575</v>
      </c>
      <c r="E98" s="150">
        <f>VLOOKUP($E$38,'MP (2011)'!$A$14:$AR$245,'MP (2011)'!$AB$246,FALSE)</f>
        <v>151715</v>
      </c>
      <c r="F98" s="151">
        <f>VLOOKUP($F$38,'MP (2011)'!$A$14:$AR$245,'MP (2011)'!$AB$246,FALSE)</f>
        <v>152379</v>
      </c>
    </row>
    <row r="99" spans="2:7">
      <c r="B99" s="155" t="s">
        <v>309</v>
      </c>
      <c r="C99" s="150"/>
      <c r="D99" s="150">
        <f>VLOOKUP($D$38,'MP (2011)'!$A$14:$AR$245,'MP (2011)'!$AF$246,FALSE)</f>
        <v>11121</v>
      </c>
      <c r="E99" s="150">
        <f>VLOOKUP($E$38,'MP (2011)'!$A$14:$AR$245,'MP (2011)'!$AF$246,FALSE)</f>
        <v>11107</v>
      </c>
      <c r="F99" s="151">
        <f>VLOOKUP($F$38,'MP (2011)'!$A$14:$AR$245,'MP (2011)'!$AF$246,FALSE)</f>
        <v>10831</v>
      </c>
    </row>
    <row r="100" spans="2:7">
      <c r="B100" s="155" t="s">
        <v>310</v>
      </c>
      <c r="C100" s="150"/>
      <c r="D100" s="150">
        <f>VLOOKUP($D$38,'MP (2011)'!$A$14:$AR$245,'MP (2011)'!$AJ$246,FALSE)</f>
        <v>1199</v>
      </c>
      <c r="E100" s="150">
        <f>VLOOKUP($E$38,'MP (2011)'!$A$14:$AR$245,'MP (2011)'!$AJ$246,FALSE)</f>
        <v>1231</v>
      </c>
      <c r="F100" s="151">
        <f>VLOOKUP($F$38,'MP (2011)'!$A$14:$AR$245,'MP (2011)'!$AJ$246,FALSE)</f>
        <v>1035</v>
      </c>
    </row>
    <row r="101" spans="2:7">
      <c r="B101" s="111" t="s">
        <v>181</v>
      </c>
      <c r="C101" s="150"/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/>
      <c r="D102" s="152">
        <f>SUM(D98:D101)</f>
        <v>162900</v>
      </c>
      <c r="E102" s="152">
        <f>SUM(E98:E101)</f>
        <v>164058</v>
      </c>
      <c r="F102" s="157">
        <f>SUM(F98:F101)</f>
        <v>164250</v>
      </c>
    </row>
    <row r="103" spans="2:7">
      <c r="B103" s="103" t="s">
        <v>305</v>
      </c>
    </row>
    <row r="104" spans="2:7">
      <c r="B104" s="137"/>
      <c r="C104" s="140"/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/>
      <c r="D105" s="422">
        <f t="shared" ref="D105:F108" si="5">IF(ISERROR(D98/$E98),"",(D98/$E98))*100</f>
        <v>99.248591108328114</v>
      </c>
      <c r="E105" s="422">
        <f t="shared" si="5"/>
        <v>100</v>
      </c>
      <c r="F105" s="423">
        <f t="shared" si="5"/>
        <v>100.43766272286854</v>
      </c>
    </row>
    <row r="106" spans="2:7">
      <c r="B106" s="111" t="s">
        <v>180</v>
      </c>
      <c r="C106" s="422"/>
      <c r="D106" s="422">
        <f t="shared" si="5"/>
        <v>100.1260466372558</v>
      </c>
      <c r="E106" s="422">
        <f t="shared" si="5"/>
        <v>100</v>
      </c>
      <c r="F106" s="423">
        <f t="shared" si="5"/>
        <v>97.515080579814523</v>
      </c>
      <c r="G106" s="141"/>
    </row>
    <row r="107" spans="2:7">
      <c r="B107" s="111" t="s">
        <v>184</v>
      </c>
      <c r="C107" s="422"/>
      <c r="D107" s="422">
        <f t="shared" si="5"/>
        <v>97.400487408610886</v>
      </c>
      <c r="E107" s="422">
        <f t="shared" si="5"/>
        <v>100</v>
      </c>
      <c r="F107" s="423">
        <f t="shared" si="5"/>
        <v>84.077985377741669</v>
      </c>
      <c r="G107" s="141"/>
    </row>
    <row r="108" spans="2:7">
      <c r="B108" s="115" t="s">
        <v>181</v>
      </c>
      <c r="C108" s="424"/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Wellington Electricity</v>
      </c>
      <c r="C112" s="144"/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/>
      <c r="D113" s="150">
        <f>VLOOKUP($D$38,'MP (2011)'!$A$14:$AR$245,'MP (2011)'!$AA$246,FALSE)</f>
        <v>737476</v>
      </c>
      <c r="E113" s="150">
        <f>VLOOKUP($E$38,'MP (2011)'!$A$14:$AR$245,'MP (2011)'!$AA$246,FALSE)</f>
        <v>1221078.7</v>
      </c>
      <c r="F113" s="151">
        <f>VLOOKUP($F$38,'MP (2011)'!$A$14:$AR$245,'MP (2011)'!$AA$246,FALSE)</f>
        <v>1164448.3</v>
      </c>
    </row>
    <row r="114" spans="2:7">
      <c r="B114" s="155" t="s">
        <v>309</v>
      </c>
      <c r="C114" s="150"/>
      <c r="D114" s="150">
        <f>VLOOKUP($D$38,'MP (2011)'!$A$14:$AR$245,'MP (2011)'!$AE$246,FALSE)</f>
        <v>260835</v>
      </c>
      <c r="E114" s="150">
        <f>VLOOKUP($E$38,'MP (2011)'!$A$14:$AR$245,'MP (2011)'!$AE$246,FALSE)</f>
        <v>390288.17</v>
      </c>
      <c r="F114" s="151">
        <f>VLOOKUP($F$38,'MP (2011)'!$A$14:$AR$245,'MP (2011)'!$AE$246,FALSE)</f>
        <v>380816.93</v>
      </c>
    </row>
    <row r="115" spans="2:7">
      <c r="B115" s="155" t="s">
        <v>310</v>
      </c>
      <c r="C115" s="150"/>
      <c r="D115" s="150">
        <f>VLOOKUP($D$38,'MP (2011)'!$A$14:$AR$245,'MP (2011)'!$AI$246,FALSE)</f>
        <v>551674</v>
      </c>
      <c r="E115" s="150">
        <f>VLOOKUP($E$38,'MP (2011)'!$A$14:$AR$245,'MP (2011)'!$AI$246,FALSE)</f>
        <v>847197.32</v>
      </c>
      <c r="F115" s="151">
        <f>VLOOKUP($F$38,'MP (2011)'!$A$14:$AR$245,'MP (2011)'!$AI$246,FALSE)</f>
        <v>835335.47</v>
      </c>
    </row>
    <row r="116" spans="2:7">
      <c r="B116" s="155" t="s">
        <v>311</v>
      </c>
      <c r="C116" s="150"/>
      <c r="D116" s="150">
        <f>VLOOKUP($D$38,'MP (2011)'!$A$14:$AR$245,'MP (2011)'!$AM$246,FALSE)</f>
        <v>53090</v>
      </c>
      <c r="E116" s="150">
        <f>VLOOKUP($E$38,'MP (2011)'!$A$14:$AR$245,'MP (2011)'!$AM$246,FALSE)</f>
        <v>46256.267999999996</v>
      </c>
      <c r="F116" s="151">
        <f>VLOOKUP($F$38,'MP (2011)'!$A$14:$AR$245,'MP (2011)'!$AM$246,FALSE)</f>
        <v>74278.695000000007</v>
      </c>
    </row>
    <row r="117" spans="2:7">
      <c r="B117" s="147" t="s">
        <v>254</v>
      </c>
      <c r="C117" s="158"/>
      <c r="D117" s="158">
        <f>SUM(D113:D116)</f>
        <v>1603075</v>
      </c>
      <c r="E117" s="158">
        <f>SUM(E113:E116)</f>
        <v>2504820.4580000001</v>
      </c>
      <c r="F117" s="159">
        <f>SUM(F113:F116)</f>
        <v>2454879.395</v>
      </c>
    </row>
    <row r="118" spans="2:7">
      <c r="B118" s="103" t="s">
        <v>306</v>
      </c>
    </row>
    <row r="119" spans="2:7">
      <c r="B119" s="137" t="str">
        <f>$B$2</f>
        <v>Wellington Electricity</v>
      </c>
      <c r="C119" s="144"/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/>
      <c r="D120" s="422">
        <f t="shared" ref="D120:F123" si="6">IF(ISERROR(D113/$E113),"",(D113/$E113))*100</f>
        <v>60.395451988475436</v>
      </c>
      <c r="E120" s="422">
        <f t="shared" si="6"/>
        <v>100</v>
      </c>
      <c r="F120" s="423">
        <f t="shared" si="6"/>
        <v>95.362264528895651</v>
      </c>
    </row>
    <row r="121" spans="2:7">
      <c r="B121" s="111" t="s">
        <v>180</v>
      </c>
      <c r="C121" s="422"/>
      <c r="D121" s="422">
        <f t="shared" si="6"/>
        <v>66.831387689767794</v>
      </c>
      <c r="E121" s="422">
        <f t="shared" si="6"/>
        <v>100</v>
      </c>
      <c r="F121" s="423">
        <f t="shared" si="6"/>
        <v>97.573270027631125</v>
      </c>
    </row>
    <row r="122" spans="2:7">
      <c r="B122" s="111" t="s">
        <v>184</v>
      </c>
      <c r="C122" s="422"/>
      <c r="D122" s="422">
        <f t="shared" si="6"/>
        <v>65.117533657920461</v>
      </c>
      <c r="E122" s="422">
        <f t="shared" si="6"/>
        <v>100</v>
      </c>
      <c r="F122" s="423">
        <f t="shared" si="6"/>
        <v>98.599871633210554</v>
      </c>
    </row>
    <row r="123" spans="2:7">
      <c r="B123" s="115" t="s">
        <v>181</v>
      </c>
      <c r="C123" s="424"/>
      <c r="D123" s="424">
        <f t="shared" si="6"/>
        <v>114.77363456991387</v>
      </c>
      <c r="E123" s="424">
        <f t="shared" si="6"/>
        <v>100</v>
      </c>
      <c r="F123" s="416">
        <f t="shared" si="6"/>
        <v>160.58082117649442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Wellington Electricity</v>
      </c>
      <c r="C127" s="126"/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/>
      <c r="D128" s="433">
        <f>VLOOKUP($D$38,'FS (2011)'!$A$13:$AH$244,'FS (2011)'!$I$245,FALSE)</f>
        <v>95153.207090122829</v>
      </c>
      <c r="E128" s="433">
        <f>VLOOKUP($E$38,'FS (2011)'!$A$13:$AH$244,'FS (2011)'!$I$245,FALSE)</f>
        <v>153997.6715502142</v>
      </c>
      <c r="F128" s="440">
        <f>VLOOKUP($F$38,'FS (2011)'!$A$13:$AH$244,'FS (2011)'!$I$245,FALSE)</f>
        <v>151917.57999999999</v>
      </c>
      <c r="G128" s="121"/>
    </row>
    <row r="129" spans="1:30">
      <c r="B129" s="162" t="s">
        <v>257</v>
      </c>
      <c r="C129" s="441"/>
      <c r="D129" s="433">
        <f>VLOOKUP($D$38,'FS (2011)'!$A$13:$AH$244,'FS (2011)'!$Y$245,FALSE)+VLOOKUP($D$38,'FS (2011)'!$A$13:$AH$244,'FS (2011)'!$Z$245,FALSE)</f>
        <v>21.298123597776094</v>
      </c>
      <c r="E129" s="433">
        <f>VLOOKUP($E$38,'FS (2011)'!$A$13:$AH$244,'FS (2011)'!$Y$245,FALSE)+VLOOKUP($E$38,'FS (2011)'!$A$13:$AH$244,'FS (2011)'!$Z$245,FALSE)</f>
        <v>9861.0960660397177</v>
      </c>
      <c r="F129" s="440">
        <f>VLOOKUP($F$38,'FS (2011)'!$A$13:$AH$244,'FS (2011)'!$Y$245,FALSE)+VLOOKUP($F$38,'FS (2011)'!$A$13:$AH$244,'FS (2011)'!$Z$245,FALSE)</f>
        <v>21710.494999999999</v>
      </c>
      <c r="G129" s="121"/>
    </row>
    <row r="130" spans="1:30">
      <c r="B130" s="162" t="s">
        <v>191</v>
      </c>
      <c r="C130" s="441"/>
      <c r="D130" s="433">
        <f>VLOOKUP($D$38,'FS (2011)'!$A$13:$AH$244,'FS (2011)'!$J$245,FALSE)</f>
        <v>29905.743329809862</v>
      </c>
      <c r="E130" s="433">
        <f>VLOOKUP($E$38,'FS (2011)'!$A$13:$AH$244,'FS (2011)'!$J$245,FALSE)</f>
        <v>45324.728075772677</v>
      </c>
      <c r="F130" s="440">
        <f>VLOOKUP($F$38,'FS (2011)'!$A$13:$AH$244,'FS (2011)'!$J$245,FALSE)</f>
        <v>45394.462</v>
      </c>
    </row>
    <row r="131" spans="1:30">
      <c r="B131" s="162" t="s">
        <v>182</v>
      </c>
      <c r="C131" s="441"/>
      <c r="D131" s="433">
        <f>VLOOKUP($D$38,'FS (2011)'!$A$13:$AH$244,'FS (2011)'!$S$245,FALSE)</f>
        <v>19147.430380671281</v>
      </c>
      <c r="E131" s="433">
        <f>VLOOKUP($E$38,'FS (2011)'!$A$13:$AH$244,'FS (2011)'!$S$245,FALSE)</f>
        <v>31771.011170542421</v>
      </c>
      <c r="F131" s="440">
        <f>VLOOKUP($F$38,'FS (2011)'!$A$13:$AH$244,'FS (2011)'!$S$245,FALSE)</f>
        <v>31607.716</v>
      </c>
      <c r="I131" s="139"/>
    </row>
    <row r="132" spans="1:30">
      <c r="B132" s="162" t="s">
        <v>143</v>
      </c>
      <c r="C132" s="441"/>
      <c r="D132" s="433">
        <f>VLOOKUP($D$38,'FS (2011)'!$A$13:$AH$244,'FS (2011)'!$U$245,FALSE)</f>
        <v>10873.427257601754</v>
      </c>
      <c r="E132" s="433">
        <f>VLOOKUP($E$38,'FS (2011)'!$A$13:$AH$244,'FS (2011)'!$U$245,FALSE)</f>
        <v>18362.635208428765</v>
      </c>
      <c r="F132" s="440">
        <f>VLOOKUP($F$38,'FS (2011)'!$A$13:$AH$244,'FS (2011)'!$U$245,FALSE)</f>
        <v>22397.853999999999</v>
      </c>
    </row>
    <row r="133" spans="1:30">
      <c r="B133" s="162" t="s">
        <v>196</v>
      </c>
      <c r="C133" s="441"/>
      <c r="D133" s="433">
        <f>VLOOKUP($D$38,'FS (2011)'!$A$13:$AH$244,'FS (2011)'!$X$245,FALSE)</f>
        <v>3731.6866662914395</v>
      </c>
      <c r="E133" s="433">
        <f>VLOOKUP($E$38,'FS (2011)'!$A$13:$AH$244,'FS (2011)'!$X$245,FALSE)</f>
        <v>8148.0367628465947</v>
      </c>
      <c r="F133" s="440">
        <f>VLOOKUP($F$38,'FS (2011)'!$A$13:$AH$244,'FS (2011)'!$X$245,FALSE)</f>
        <v>6149.7184999999999</v>
      </c>
    </row>
    <row r="134" spans="1:30">
      <c r="B134" s="164" t="s">
        <v>258</v>
      </c>
      <c r="C134" s="442"/>
      <c r="D134" s="435">
        <f>VLOOKUP($D$38,'FS (2011)'!$A$13:$AH$244,'FS (2011)'!$AA$245,FALSE)</f>
        <v>31516.218353764834</v>
      </c>
      <c r="E134" s="435">
        <f>VLOOKUP($E$38,'FS (2011)'!$A$13:$AH$244,'FS (2011)'!$AA$245,FALSE)</f>
        <v>60252.354687020015</v>
      </c>
      <c r="F134" s="443">
        <f>VLOOKUP($F$38,'FS (2011)'!$A$13:$AH$244,'FS (2011)'!$AA$245,FALSE)</f>
        <v>68078.323999999993</v>
      </c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1</v>
      </c>
      <c r="B138" s="166" t="s">
        <v>204</v>
      </c>
      <c r="C138" s="167"/>
      <c r="D138" s="444">
        <f>VLOOKUP($D$6,'FS (2011)'!$A$13:$AH$244,'FS (2011)'!$L$245,FALSE)</f>
        <v>14813.481</v>
      </c>
      <c r="E138" s="446">
        <f t="shared" ref="E138:E144" si="7">D138/$D$145</f>
        <v>0.46866660956246642</v>
      </c>
      <c r="Q138" s="559"/>
      <c r="R138" s="559"/>
      <c r="S138" s="559"/>
      <c r="T138" s="559">
        <v>1</v>
      </c>
      <c r="U138" s="559" t="str">
        <f>VLOOKUP(T138,$A$138:$E$144,2,FALSE)</f>
        <v>System management and operations</v>
      </c>
      <c r="V138" s="559">
        <f>VLOOKUP(T138,$A$138:$E$144,4,FALSE)</f>
        <v>14813.481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3</v>
      </c>
      <c r="B139" s="162" t="s">
        <v>199</v>
      </c>
      <c r="C139" s="121"/>
      <c r="D139" s="441">
        <f>VLOOKUP($D$6,'FS (2011)'!$A$13:$AH$244,'FS (2011)'!K245,FALSE)</f>
        <v>4774.2853999999998</v>
      </c>
      <c r="E139" s="414">
        <f t="shared" si="7"/>
        <v>0.15104809946437192</v>
      </c>
      <c r="Q139" s="559"/>
      <c r="R139" s="559"/>
      <c r="S139" s="559"/>
      <c r="T139" s="559">
        <v>2</v>
      </c>
      <c r="U139" s="559" t="str">
        <f t="shared" ref="U139:U144" si="9">VLOOKUP(T139,$A$138:$E$144,2,FALSE)</f>
        <v>Routine and preventative maintenance</v>
      </c>
      <c r="V139" s="559">
        <f t="shared" ref="V139:V144" si="10">VLOOKUP(T139,$A$138:$E$144,4,FALSE)</f>
        <v>5343.7659000000003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2</v>
      </c>
      <c r="B140" s="162" t="s">
        <v>201</v>
      </c>
      <c r="C140" s="121"/>
      <c r="D140" s="441">
        <f>VLOOKUP($D$6,'FS (2011)'!$A$13:$AH$244,'FS (2011)'!M245,FALSE)</f>
        <v>5343.7659000000003</v>
      </c>
      <c r="E140" s="414">
        <f t="shared" si="7"/>
        <v>0.16906523501454668</v>
      </c>
      <c r="Q140" s="559"/>
      <c r="R140" s="559"/>
      <c r="S140" s="559"/>
      <c r="T140" s="559">
        <v>3</v>
      </c>
      <c r="U140" s="559" t="str">
        <f t="shared" si="9"/>
        <v>General management, admin and overheads</v>
      </c>
      <c r="V140" s="559">
        <f t="shared" si="10"/>
        <v>4774.2853999999998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6</v>
      </c>
      <c r="B141" s="162" t="s">
        <v>202</v>
      </c>
      <c r="C141" s="121"/>
      <c r="D141" s="441">
        <f>VLOOKUP($D$6,'FS (2011)'!$A$13:$AH$244,'FS (2011)'!N245,FALSE)</f>
        <v>600</v>
      </c>
      <c r="E141" s="414">
        <f t="shared" si="7"/>
        <v>1.8982706747825165E-2</v>
      </c>
      <c r="Q141" s="559"/>
      <c r="R141" s="559"/>
      <c r="S141" s="559"/>
      <c r="T141" s="559">
        <v>4</v>
      </c>
      <c r="U141" s="559" t="str">
        <f t="shared" si="9"/>
        <v>Fault and emergency maintenance</v>
      </c>
      <c r="V141" s="559">
        <f t="shared" si="10"/>
        <v>3971.2586999999999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4</v>
      </c>
      <c r="B142" s="162" t="s">
        <v>203</v>
      </c>
      <c r="C142" s="121"/>
      <c r="D142" s="441">
        <f>VLOOKUP($D$6,'FS (2011)'!$A$13:$AH$244,'FS (2011)'!O245,FALSE)</f>
        <v>3971.2586999999999</v>
      </c>
      <c r="E142" s="414">
        <f t="shared" si="7"/>
        <v>0.12564206553641563</v>
      </c>
      <c r="Q142" s="559"/>
      <c r="R142" s="559"/>
      <c r="S142" s="559"/>
      <c r="T142" s="559">
        <v>5</v>
      </c>
      <c r="U142" s="559" t="str">
        <f t="shared" si="9"/>
        <v>Pass-through costs</v>
      </c>
      <c r="V142" s="559">
        <f t="shared" si="10"/>
        <v>2104.9247999999998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8"/>
        <v>7</v>
      </c>
      <c r="B143" s="162" t="s">
        <v>13</v>
      </c>
      <c r="C143" s="121"/>
      <c r="D143" s="441">
        <f>VLOOKUP($D$6,'FS (2011)'!$A$13:$AH$244,'FS (2011)'!R245,FALSE)</f>
        <v>0</v>
      </c>
      <c r="E143" s="414">
        <f t="shared" si="7"/>
        <v>0</v>
      </c>
      <c r="Q143" s="559"/>
      <c r="R143" s="559"/>
      <c r="S143" s="559"/>
      <c r="T143" s="559">
        <v>6</v>
      </c>
      <c r="U143" s="559" t="str">
        <f t="shared" si="9"/>
        <v>Refurbishment and renewal maintenance</v>
      </c>
      <c r="V143" s="559">
        <f t="shared" si="10"/>
        <v>600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5</v>
      </c>
      <c r="B144" s="162" t="s">
        <v>200</v>
      </c>
      <c r="C144" s="121"/>
      <c r="D144" s="441">
        <f>VLOOKUP($D$6,'FS (2011)'!$A$13:$AH$244,'FS (2011)'!P245,FALSE)</f>
        <v>2104.9247999999998</v>
      </c>
      <c r="E144" s="414">
        <f t="shared" si="7"/>
        <v>6.6595283674374214E-2</v>
      </c>
      <c r="Q144" s="559"/>
      <c r="R144" s="559"/>
      <c r="S144" s="559"/>
      <c r="T144" s="559">
        <v>7</v>
      </c>
      <c r="U144" s="559" t="str">
        <f t="shared" si="9"/>
        <v>Other</v>
      </c>
      <c r="V144" s="559">
        <f t="shared" si="10"/>
        <v>0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31607.715799999998</v>
      </c>
      <c r="E145" s="447">
        <f>SUM(E138:E144)</f>
        <v>1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/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/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11.044854940799221</v>
      </c>
      <c r="F149" s="455">
        <f>(VLOOKUP(F$38,'FS (2011)'!$A$13:$AH$244,'FS (2011)'!$M$245,FALSE)+VLOOKUP(F$38,'FS (2011)'!$A$13:$AH$244,'FS (2011)'!$N$245,FALSE)+VLOOKUP(F$38,'FS (2011)'!$A$13:$AH$244,'FS (2011)'!$O$245,FALSE))/1000</f>
        <v>9.9150246000000006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/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18.398560974266388</v>
      </c>
      <c r="F150" s="457">
        <f>(VLOOKUP(F$38,'FS (2011)'!$A$13:$AH$244,'FS (2011)'!$L$245,FALSE)+VLOOKUP(F$38,'FS (2011)'!$A$13:$AH$244,'FS (2011)'!$K$245,FALSE))/1000</f>
        <v>19.5877664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/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2.3275950517097352</v>
      </c>
      <c r="F151" s="457">
        <f>(VLOOKUP(F$38,'FS (2011)'!$A$13:$AH$244,'FS (2011)'!$R$245,FALSE)+VLOOKUP(F$38,'FS (2011)'!$A$13:$AH$244,'FS (2011)'!$P$245,FALSE)+VLOOKUP(F$38,'FS (2011)'!$A$13:$AH$244,'FS (2011)'!$Q$245,FALSE))/1000</f>
        <v>2.1049247999999996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/>
      <c r="D152" s="458">
        <f>VLOOKUP($D$38,'FS (2011)'!$A$13:$AH$244,'FS (2011)'!$S$245,FALSE)/1000</f>
        <v>19.147430380671281</v>
      </c>
      <c r="E152" s="459">
        <f>VLOOKUP($E$38,'FS (2011)'!$A$13:$AH$244,'FS (2011)'!$S$245,FALSE)/1000</f>
        <v>31.771011170542419</v>
      </c>
      <c r="F152" s="460">
        <f>VLOOKUP($F$38,'FS (2011)'!$A$13:$AH$244,'FS (2011)'!$S$245,FALSE)/1000</f>
        <v>31.607716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/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-0.10229471974554194</v>
      </c>
      <c r="D154" s="464" t="str">
        <f t="shared" ref="D154:E157" si="11">IF(ISERROR(D149/C149 - 1),"",(D149/C149 - 1))</f>
        <v/>
      </c>
      <c r="E154" s="464" t="str">
        <f t="shared" si="11"/>
        <v/>
      </c>
      <c r="F154" s="465">
        <f>IF(ISERROR(F149/E149 - 1),"",(F149/E149 - 1))</f>
        <v>-0.10229471974554194</v>
      </c>
      <c r="Q154" s="559"/>
      <c r="R154" s="559" t="s">
        <v>423</v>
      </c>
      <c r="S154" s="559" t="e">
        <f t="shared" ref="S154:V157" si="12">LN(C149)</f>
        <v>#NUM!</v>
      </c>
      <c r="T154" s="559" t="e">
        <f t="shared" si="12"/>
        <v>#NUM!</v>
      </c>
      <c r="U154" s="559">
        <f t="shared" si="12"/>
        <v>2.401964703313606</v>
      </c>
      <c r="V154" s="559">
        <f t="shared" si="12"/>
        <v>2.2940512430579401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6.4635784689733189E-2</v>
      </c>
      <c r="D155" s="467" t="str">
        <f t="shared" si="11"/>
        <v/>
      </c>
      <c r="E155" s="467" t="str">
        <f t="shared" si="11"/>
        <v/>
      </c>
      <c r="F155" s="468">
        <f>IF(ISERROR(F150/E150 - 1),"",(F150/E150 - 1))</f>
        <v>6.4635784689733189E-2</v>
      </c>
      <c r="Q155" s="559"/>
      <c r="R155" s="559" t="s">
        <v>423</v>
      </c>
      <c r="S155" s="559" t="e">
        <f t="shared" si="12"/>
        <v>#NUM!</v>
      </c>
      <c r="T155" s="559" t="e">
        <f t="shared" si="12"/>
        <v>#NUM!</v>
      </c>
      <c r="U155" s="559">
        <f t="shared" si="12"/>
        <v>2.9122724536362359</v>
      </c>
      <c r="V155" s="559">
        <f t="shared" si="12"/>
        <v>2.9749052081001826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-9.5665374243759982E-2</v>
      </c>
      <c r="D156" s="467" t="str">
        <f t="shared" si="11"/>
        <v/>
      </c>
      <c r="E156" s="467" t="str">
        <f t="shared" si="11"/>
        <v/>
      </c>
      <c r="F156" s="468">
        <f>IF(ISERROR(F151/E151 - 1),"",(F151/E151 - 1))</f>
        <v>-9.5665374243759982E-2</v>
      </c>
      <c r="Q156" s="559"/>
      <c r="R156" s="559" t="s">
        <v>423</v>
      </c>
      <c r="S156" s="559" t="e">
        <f t="shared" si="12"/>
        <v>#NUM!</v>
      </c>
      <c r="T156" s="559" t="e">
        <f t="shared" si="12"/>
        <v>#NUM!</v>
      </c>
      <c r="U156" s="559">
        <f t="shared" si="12"/>
        <v>0.84483556787860237</v>
      </c>
      <c r="V156" s="559">
        <f t="shared" si="12"/>
        <v>0.74427974203065239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0.28481709870413696</v>
      </c>
      <c r="D157" s="470" t="str">
        <f t="shared" si="11"/>
        <v/>
      </c>
      <c r="E157" s="470">
        <f t="shared" si="11"/>
        <v>0.65928328443560957</v>
      </c>
      <c r="F157" s="471">
        <f>IF(ISERROR(F152/E152 - 1),"",(F152/E152 - 1))</f>
        <v>-5.1397536473067884E-3</v>
      </c>
      <c r="N157" s="136"/>
      <c r="O157" s="136"/>
      <c r="Q157" s="559"/>
      <c r="R157" s="559" t="s">
        <v>423</v>
      </c>
      <c r="S157" s="559" t="e">
        <f t="shared" si="12"/>
        <v>#NUM!</v>
      </c>
      <c r="T157" s="559">
        <f t="shared" si="12"/>
        <v>2.9521685228462502</v>
      </c>
      <c r="U157" s="559">
        <f t="shared" si="12"/>
        <v>3.4585542756169954</v>
      </c>
      <c r="V157" s="559">
        <f t="shared" si="12"/>
        <v>3.4534012680016519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/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Wellington Electricity</v>
      </c>
      <c r="C162" s="456"/>
      <c r="D162" s="456">
        <f>(D152/D102)*1000000</f>
        <v>117.54100908944923</v>
      </c>
      <c r="E162" s="456">
        <f>(E152/E102)*1000000</f>
        <v>193.65718935097601</v>
      </c>
      <c r="F162" s="457">
        <f>(F152/F102)*1000000</f>
        <v>192.43662709284627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/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Wellington Electricity</v>
      </c>
      <c r="C165" s="456"/>
      <c r="D165" s="456">
        <f>D152/VLOOKUP(D$38,'MP (2011)'!$A$14:$AR$245,'MP (2011)'!$H$246,FALSE)*1000000</f>
        <v>4171.8261282156309</v>
      </c>
      <c r="E165" s="456">
        <f>E152/VLOOKUP(E$38,'MP (2011)'!$A$14:$AR$245,'MP (2011)'!$H$246,FALSE)*1000000</f>
        <v>6891.9089721127184</v>
      </c>
      <c r="F165" s="457">
        <f>F152/VLOOKUP(F$38,'MP (2011)'!$A$14:$AR$245,'MP (2011)'!$H$246,FALSE)*1000000</f>
        <v>6864.644044223839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/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Wellington Electricity</v>
      </c>
      <c r="C168" s="456"/>
      <c r="D168" s="456">
        <f>(D152/D117)*1000000</f>
        <v>11.944188750165326</v>
      </c>
      <c r="E168" s="456">
        <f>(E152/E117)*1000000</f>
        <v>12.683947493749836</v>
      </c>
      <c r="F168" s="457">
        <f>(F152/F117)*1000000</f>
        <v>12.875465924874895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/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/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0.2795261341588462</v>
      </c>
      <c r="D171" s="464" t="str">
        <f>IF(ISERROR(D162/C162 - 1),"",(D162/C162 - 1))</f>
        <v/>
      </c>
      <c r="E171" s="464">
        <f>IF(ISERROR(E162/D162 - 1),"",(E162/D162 - 1))</f>
        <v>0.64757126768923712</v>
      </c>
      <c r="F171" s="465">
        <f>IF(ISERROR(F162/E162 - 1),"",(F162/E162 - 1))</f>
        <v>-6.3026953051438239E-3</v>
      </c>
      <c r="H171" s="139"/>
      <c r="Q171" s="559"/>
      <c r="R171" s="559" t="s">
        <v>423</v>
      </c>
      <c r="S171" s="559" t="e">
        <f>LN(C162)</f>
        <v>#NUM!</v>
      </c>
      <c r="T171" s="559">
        <f>LN(D162)</f>
        <v>4.7667872862203877</v>
      </c>
      <c r="U171" s="559">
        <f>LN(E162)</f>
        <v>5.2660895307607882</v>
      </c>
      <c r="V171" s="559">
        <f>LN(F162)</f>
        <v>5.259766889619069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0.28276148387324285</v>
      </c>
      <c r="D172" s="467" t="str">
        <f>IF(ISERROR(D165/C165 - 1),"",(D165/C165 - 1))</f>
        <v/>
      </c>
      <c r="E172" s="467">
        <f>IF(ISERROR(E165/D165 - 1),"",(E165/D165 - 1))</f>
        <v>0.65201251449578468</v>
      </c>
      <c r="F172" s="468">
        <f>IF(ISERROR(F165/E165 - 1),"",(F165/E165 - 1))</f>
        <v>-3.9560777716600715E-3</v>
      </c>
      <c r="Q172" s="559"/>
      <c r="R172" s="559" t="s">
        <v>423</v>
      </c>
      <c r="S172" s="559" t="e">
        <f>LN(C165)</f>
        <v>#NUM!</v>
      </c>
      <c r="T172" s="559">
        <f>LN(D165)</f>
        <v>8.3361091393690803</v>
      </c>
      <c r="U172" s="559">
        <f>LN(E165)</f>
        <v>8.8381033897998194</v>
      </c>
      <c r="V172" s="559">
        <f>LN(F165)</f>
        <v>8.834139466052795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3.8252888487105619E-2</v>
      </c>
      <c r="D173" s="470" t="str">
        <f>IF(ISERROR(D168/C168 - 1),"",(D168/C168 - 1))</f>
        <v/>
      </c>
      <c r="E173" s="470">
        <f>IF(ISERROR(E168/D168 - 1),"",(E168/D168 - 1))</f>
        <v>6.1934615992590647E-2</v>
      </c>
      <c r="F173" s="471">
        <f>IF(ISERROR(F168/E168 - 1),"",(F168/E168 - 1))</f>
        <v>1.5099276563501407E-2</v>
      </c>
      <c r="Q173" s="559"/>
      <c r="R173" s="559" t="s">
        <v>423</v>
      </c>
      <c r="S173" s="559" t="e">
        <f>LN(C168)</f>
        <v>#NUM!</v>
      </c>
      <c r="T173" s="559">
        <f>LN(D168)</f>
        <v>2.4802448630394629</v>
      </c>
      <c r="U173" s="559">
        <f>LN(E168)</f>
        <v>2.5403372171019254</v>
      </c>
      <c r="V173" s="559">
        <f>LN(F168)</f>
        <v>2.5553236342348153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Wellington Electricity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11044.854940799221</v>
      </c>
      <c r="X176" s="563">
        <f>D178</f>
        <v>9915.0246000000006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Wellington Electricity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11334.543666298401</v>
      </c>
      <c r="X177" s="563">
        <f t="shared" si="14"/>
        <v>10898.482121203953</v>
      </c>
      <c r="Y177" s="563">
        <f t="shared" si="14"/>
        <v>10931.084853547463</v>
      </c>
      <c r="Z177" s="563">
        <f t="shared" si="14"/>
        <v>11025.83654442079</v>
      </c>
      <c r="AA177" s="563">
        <f t="shared" si="14"/>
        <v>11145.040284551749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11044.854940799221</v>
      </c>
      <c r="D178" s="461">
        <f>VLOOKUP(F38,'FS (2011)'!$A$14:$T$246,'FS (2011)'!$M$245,FALSE)+VLOOKUP(F38,'FS (2011)'!$A$14:$AO$245,'FS (2011)'!$N$245,FALSE)+VLOOKUP(F38,'FS (2011)'!$A$14:$AO$245,'FS (2011)'!$O$245,FALSE)</f>
        <v>9915.0246000000006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10697</v>
      </c>
      <c r="Y178" s="563">
        <f t="shared" si="14"/>
        <v>10729</v>
      </c>
      <c r="Z178" s="563">
        <f t="shared" si="14"/>
        <v>10822</v>
      </c>
      <c r="AA178" s="563">
        <f t="shared" si="14"/>
        <v>10939</v>
      </c>
      <c r="AB178" s="563">
        <f>H180</f>
        <v>10988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11334.543666298401</v>
      </c>
      <c r="D179" s="461">
        <f>VLOOKUP(D182,'AM (2011)'!$A$10:$N$444,'AM (2011)'!$N$445,FALSE)</f>
        <v>10898.482121203953</v>
      </c>
      <c r="E179" s="461">
        <f>VLOOKUP(E182,'AM (2011)'!$A$10:$N$444,'AM (2011)'!$N$445,FALSE)</f>
        <v>10931.084853547463</v>
      </c>
      <c r="F179" s="461">
        <f>VLOOKUP(F182,'AM (2011)'!$A$10:$N$444,'AM (2011)'!$N$445,FALSE)</f>
        <v>11025.83654442079</v>
      </c>
      <c r="G179" s="461">
        <f>VLOOKUP(G182,'AM (2011)'!$A$10:$N$444,'AM (2011)'!$N$445,FALSE)</f>
        <v>11145.040284551749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11021.84718810601</v>
      </c>
      <c r="Z179" s="563">
        <f>F181</f>
        <v>11116.677698771817</v>
      </c>
      <c r="AA179" s="563">
        <f>G181</f>
        <v>11236.926696832579</v>
      </c>
      <c r="AB179" s="563">
        <f>H181</f>
        <v>11287.763671622495</v>
      </c>
      <c r="AC179" s="563">
        <f>I181</f>
        <v>11387.482352941177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10697</v>
      </c>
      <c r="E180" s="461">
        <f>VLOOKUP(E183,'AM (2011)'!$A$10:$N$444,'AM (2011)'!$N$445,FALSE)</f>
        <v>10729</v>
      </c>
      <c r="F180" s="461">
        <f>VLOOKUP(F183,'AM (2011)'!$A$10:$N$444,'AM (2011)'!$N$445,FALSE)</f>
        <v>10822</v>
      </c>
      <c r="G180" s="461">
        <f>VLOOKUP(G183,'AM (2011)'!$A$10:$N$444,'AM (2011)'!$N$445,FALSE)</f>
        <v>10939</v>
      </c>
      <c r="H180" s="461">
        <f>VLOOKUP(H183,'AM (2011)'!$A$10:$N$444,'AM (2011)'!$N$445,FALSE)</f>
        <v>10988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11021.84718810601</v>
      </c>
      <c r="F181" s="493">
        <f>VLOOKUP(F184,'AM (2011)'!$A$10:$N$444,'AM (2011)'!$N$445,FALSE)</f>
        <v>11116.677698771817</v>
      </c>
      <c r="G181" s="493">
        <f>VLOOKUP(G184,'AM (2011)'!$A$10:$N$444,'AM (2011)'!$N$445,FALSE)</f>
        <v>11236.926696832579</v>
      </c>
      <c r="H181" s="493">
        <f>VLOOKUP(H184,'AM (2011)'!$A$10:$N$444,'AM (2011)'!$N$445,FALSE)</f>
        <v>11287.763671622495</v>
      </c>
      <c r="I181" s="494">
        <f>VLOOKUP(I184,'AM (2011)'!$A$10:$N$444,'AM (2011)'!$N$445,FALSE)</f>
        <v>11387.482352941177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630</v>
      </c>
      <c r="D182" s="136">
        <f>VLOOKUP($B$2,$B$257:$Y$286,11,FALSE)</f>
        <v>631</v>
      </c>
      <c r="E182" s="136">
        <f>VLOOKUP($B$2,$B$257:$Y$286,12,FALSE)</f>
        <v>632</v>
      </c>
      <c r="F182" s="136">
        <f>VLOOKUP($B$2,$B$257:$Y$286,13,FALSE)</f>
        <v>633</v>
      </c>
      <c r="G182" s="136">
        <f>VLOOKUP($B$2,$B$257:$Y$286,14,FALSE)</f>
        <v>634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635</v>
      </c>
      <c r="E183" s="136">
        <f>VLOOKUP($B$2,$B$257:$Y$286,16,FALSE)</f>
        <v>636</v>
      </c>
      <c r="F183" s="136">
        <f>VLOOKUP($B$2,$B$257:$Y$286,17,FALSE)</f>
        <v>637</v>
      </c>
      <c r="G183" s="136">
        <f>VLOOKUP($B$2,$B$257:$Y$286,18,FALSE)</f>
        <v>638</v>
      </c>
      <c r="H183" s="136">
        <f>VLOOKUP($B$2,$B$257:$Y$286,19,FALSE)</f>
        <v>639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640</v>
      </c>
      <c r="F184" s="136">
        <f>VLOOKUP($B$2,$B$257:$Y$286,21,FALSE)</f>
        <v>641</v>
      </c>
      <c r="G184" s="136">
        <f>VLOOKUP($B$2,$B$257:$Y$286,22,FALSE)</f>
        <v>642</v>
      </c>
      <c r="H184" s="136">
        <f>VLOOKUP($B$2,$B$257:$Y$286,23,FALSE)</f>
        <v>643</v>
      </c>
      <c r="I184" s="136">
        <f>VLOOKUP($B$2,$B$257:$Y$286,24,FALSE)</f>
        <v>644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4</v>
      </c>
      <c r="B186" s="483" t="s">
        <v>205</v>
      </c>
      <c r="C186" s="490"/>
      <c r="D186" s="484">
        <f>VLOOKUP($D$6,'FS (2011)'!$A$13:$AH$244,'FS (2011)'!AC245,FALSE)/1000</f>
        <v>1.5326415999999998</v>
      </c>
      <c r="E186" s="495">
        <f t="shared" ref="E186:E191" si="16">D186/$D$192</f>
        <v>5.6140370557040339E-2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Reliability, safety and environment</v>
      </c>
      <c r="V186" s="559">
        <f t="shared" ref="V186:V191" si="18">VLOOKUP(T186,$A$186:$D$191,4,FALSE)</f>
        <v>17.528434000000001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1</v>
      </c>
      <c r="B187" s="162" t="s">
        <v>206</v>
      </c>
      <c r="C187" s="121"/>
      <c r="D187" s="456">
        <f>VLOOKUP($D$6,'FS (2011)'!$A$13:$AH$244,'FS (2011)'!AD245,FALSE)/1000</f>
        <v>17.528434000000001</v>
      </c>
      <c r="E187" s="468">
        <f t="shared" si="16"/>
        <v>0.64206320645650294</v>
      </c>
      <c r="Q187" s="559"/>
      <c r="R187" s="559"/>
      <c r="S187" s="559"/>
      <c r="T187" s="559">
        <v>2</v>
      </c>
      <c r="U187" s="559" t="str">
        <f t="shared" si="17"/>
        <v>Customer connection</v>
      </c>
      <c r="V187" s="559">
        <f t="shared" si="18"/>
        <v>4.8292140999999997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2</v>
      </c>
      <c r="B188" s="162" t="s">
        <v>209</v>
      </c>
      <c r="C188" s="121"/>
      <c r="D188" s="456">
        <f>VLOOKUP($D$6,'FS (2011)'!$A$13:$AH$244,'FS (2011)'!AB245,FALSE)/1000</f>
        <v>4.8292140999999997</v>
      </c>
      <c r="E188" s="468">
        <f t="shared" si="16"/>
        <v>0.17689319477775109</v>
      </c>
      <c r="Q188" s="559"/>
      <c r="R188" s="559"/>
      <c r="S188" s="559"/>
      <c r="T188" s="559">
        <v>3</v>
      </c>
      <c r="U188" s="559" t="str">
        <f t="shared" si="17"/>
        <v>Asset relocations</v>
      </c>
      <c r="V188" s="559">
        <f t="shared" si="18"/>
        <v>1.8156238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6</v>
      </c>
      <c r="B189" s="162" t="s">
        <v>208</v>
      </c>
      <c r="C189" s="121"/>
      <c r="D189" s="456">
        <f>VLOOKUP($D$6,'FS (2011)'!$A$13:$AH$244,'FS (2011)'!AE245,FALSE)/1000</f>
        <v>0.56729503000000003</v>
      </c>
      <c r="E189" s="468">
        <f t="shared" si="16"/>
        <v>2.0779909144686744E-2</v>
      </c>
      <c r="Q189" s="559"/>
      <c r="R189" s="559"/>
      <c r="S189" s="559"/>
      <c r="T189" s="559">
        <v>4</v>
      </c>
      <c r="U189" s="559" t="str">
        <f t="shared" si="17"/>
        <v>System growth</v>
      </c>
      <c r="V189" s="559">
        <f t="shared" si="18"/>
        <v>1.5326415999999998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5</v>
      </c>
      <c r="B190" s="162" t="s">
        <v>312</v>
      </c>
      <c r="C190" s="121"/>
      <c r="D190" s="456">
        <f>VLOOKUP($D$6,'FS (2011)'!$A$13:$AH$244,'FS (2011)'!AH245,FALSE)/1000</f>
        <v>1.0269603999999999</v>
      </c>
      <c r="E190" s="468">
        <f t="shared" si="16"/>
        <v>3.7617364296653813E-2</v>
      </c>
      <c r="Q190" s="559"/>
      <c r="R190" s="559"/>
      <c r="S190" s="559"/>
      <c r="T190" s="559">
        <v>5</v>
      </c>
      <c r="U190" s="559" t="str">
        <f t="shared" si="17"/>
        <v>Non-network capex</v>
      </c>
      <c r="V190" s="559">
        <f t="shared" si="18"/>
        <v>1.0269603999999999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3</v>
      </c>
      <c r="B191" s="162" t="s">
        <v>207</v>
      </c>
      <c r="C191" s="121"/>
      <c r="D191" s="456">
        <f>VLOOKUP($D$6,'FS (2011)'!$A$13:$AH$244,'FS (2011)'!AF245,FALSE)/1000</f>
        <v>1.8156238</v>
      </c>
      <c r="E191" s="468">
        <f t="shared" si="16"/>
        <v>6.6505954767364858E-2</v>
      </c>
      <c r="Q191" s="559"/>
      <c r="R191" s="559"/>
      <c r="S191" s="559"/>
      <c r="T191" s="559">
        <v>6</v>
      </c>
      <c r="U191" s="559" t="str">
        <f t="shared" si="17"/>
        <v>Asset replacement and renewal</v>
      </c>
      <c r="V191" s="559">
        <f t="shared" si="18"/>
        <v>0.56729503000000003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27.300168930000005</v>
      </c>
      <c r="E192" s="496">
        <f>SUM(E186:E191)</f>
        <v>0.99999999999999989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/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/>
      <c r="D196" s="484">
        <f>VLOOKUP($D$38,'FS (2011)'!$A$13:$AH$244,'FS (2011)'!$AG$245,FALSE)/1000</f>
        <v>24.861327201592417</v>
      </c>
      <c r="E196" s="484">
        <f>VLOOKUP($E$38,'FS (2011)'!$A$13:$AH$244,'FS (2011)'!$AG$245,FALSE)/1000</f>
        <v>19.550941634555787</v>
      </c>
      <c r="F196" s="486">
        <f>VLOOKUP($F$38,'FS (2011)'!$A$13:$AH$244,'FS (2011)'!$AG$245,FALSE)/1000</f>
        <v>26.273208999999998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/>
      <c r="D197" s="456">
        <f>VLOOKUP($D$38,'FS (2011)'!$A$13:$AH$244,'FS (2011)'!$AH$245,FALSE)/1000</f>
        <v>7.0590431738623088E-2</v>
      </c>
      <c r="E197" s="456">
        <f>VLOOKUP($E$38,'FS (2011)'!$A$13:$AH$244,'FS (2011)'!$AH$245,FALSE)/1000</f>
        <v>18.168281151410632</v>
      </c>
      <c r="F197" s="457">
        <f>VLOOKUP($F$38,'FS (2011)'!$A$13:$AH$244,'FS (2011)'!$AH$245,FALSE)/1000</f>
        <v>1.0269603999999999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/>
      <c r="D198" s="488">
        <f>SUM(D196:D197)</f>
        <v>24.931917633331039</v>
      </c>
      <c r="E198" s="488">
        <f>SUM(E196:E197)</f>
        <v>37.719222785966423</v>
      </c>
      <c r="F198" s="489">
        <f>SUM(F196:F197)</f>
        <v>27.300169399999998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/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2.8003055750762673E-2</v>
      </c>
      <c r="D200" s="498"/>
      <c r="E200" s="498">
        <f t="shared" ref="E200:F202" si="20">E196/D196 - 1</f>
        <v>-0.21360024442687386</v>
      </c>
      <c r="F200" s="495">
        <f t="shared" si="20"/>
        <v>0.34383343222521701</v>
      </c>
      <c r="Q200" s="559"/>
      <c r="R200" s="559" t="s">
        <v>423</v>
      </c>
      <c r="S200" s="559" t="e">
        <f t="shared" ref="S200:V202" si="21">LN(C196)</f>
        <v>#NUM!</v>
      </c>
      <c r="T200" s="559">
        <f t="shared" si="21"/>
        <v>3.2133134716885987</v>
      </c>
      <c r="U200" s="559">
        <f t="shared" si="21"/>
        <v>2.9730234507218807</v>
      </c>
      <c r="V200" s="559">
        <f t="shared" si="21"/>
        <v>3.2685497507861041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2.8142041085939993</v>
      </c>
      <c r="D201" s="467"/>
      <c r="E201" s="467">
        <f>IFERROR(E197/D197-1,"")</f>
        <v>256.3759743910162</v>
      </c>
      <c r="F201" s="468">
        <f>IFERROR(F197/E197 - 1,"")</f>
        <v>-0.94347509313393341</v>
      </c>
      <c r="Q201" s="559"/>
      <c r="R201" s="559" t="s">
        <v>423</v>
      </c>
      <c r="S201" s="559" t="e">
        <f t="shared" si="21"/>
        <v>#NUM!</v>
      </c>
      <c r="T201" s="559">
        <f t="shared" si="21"/>
        <v>-2.6508606714492031</v>
      </c>
      <c r="U201" s="559">
        <f t="shared" si="21"/>
        <v>2.8996772797721717</v>
      </c>
      <c r="V201" s="559">
        <f t="shared" si="21"/>
        <v>2.660337129356222E-2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4.6417102799495735E-2</v>
      </c>
      <c r="D202" s="500"/>
      <c r="E202" s="500">
        <f t="shared" si="20"/>
        <v>0.5128889538580963</v>
      </c>
      <c r="F202" s="501">
        <f t="shared" si="20"/>
        <v>-0.27622661911906821</v>
      </c>
      <c r="Q202" s="559"/>
      <c r="R202" s="559" t="s">
        <v>423</v>
      </c>
      <c r="S202" s="559" t="e">
        <f t="shared" si="21"/>
        <v>#NUM!</v>
      </c>
      <c r="T202" s="559">
        <f t="shared" si="21"/>
        <v>3.2161488152884532</v>
      </c>
      <c r="U202" s="559">
        <f t="shared" si="21"/>
        <v>3.6301698527270578</v>
      </c>
      <c r="V202" s="559">
        <f t="shared" si="21"/>
        <v>3.3068929072998672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/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Wellington Electricity</v>
      </c>
      <c r="C206" s="456"/>
      <c r="D206" s="456">
        <f>(D198/D102)*1000000</f>
        <v>153.05044587680194</v>
      </c>
      <c r="E206" s="456">
        <f>(E198/E102)*1000000</f>
        <v>229.91394985899149</v>
      </c>
      <c r="F206" s="457">
        <f>(F198/F102)*1000000</f>
        <v>166.21107701674276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/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Wellington Electricity</v>
      </c>
      <c r="C209" s="456"/>
      <c r="D209" s="456">
        <f>(D198/D117)*1000000000</f>
        <v>15552.558447565483</v>
      </c>
      <c r="E209" s="456">
        <f>(E198/E117)*1000000000</f>
        <v>15058.653272132618</v>
      </c>
      <c r="F209" s="457">
        <f>(F198/F117)*1000000000</f>
        <v>11120.778257214544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/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Wellington Electricity</v>
      </c>
      <c r="C212" s="456"/>
      <c r="D212" s="456">
        <f>(D198/VLOOKUP(D$38,'AV (2011)'!$A$11:$F$213,'AV (2011)'!$F$214,FALSE)*1000)</f>
        <v>5.2577726076943082E-2</v>
      </c>
      <c r="E212" s="456">
        <f>(E198/VLOOKUP(E$38,'AV (2011)'!$A$11:$F$213,'AV (2011)'!$F$214,FALSE)*1000)</f>
        <v>7.6149799327196982E-2</v>
      </c>
      <c r="F212" s="457">
        <f>(F198/VLOOKUP(F$38,'AV (2011)'!$A$11:$F$213,'AV (2011)'!$F$214,FALSE)*1000)</f>
        <v>5.1671662351667993E-2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/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/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4.2107885716315518E-2</v>
      </c>
      <c r="D215" s="464"/>
      <c r="E215" s="464">
        <f>E206/D206 - 1</f>
        <v>0.50221025846642009</v>
      </c>
      <c r="F215" s="465">
        <f>F206/E206 - 1</f>
        <v>-0.27707267384740386</v>
      </c>
      <c r="K215" s="139"/>
      <c r="P215" s="139"/>
      <c r="Q215" s="559"/>
      <c r="R215" s="559" t="s">
        <v>423</v>
      </c>
      <c r="S215" s="559" t="e">
        <f>LN(C206)</f>
        <v>#NUM!</v>
      </c>
      <c r="T215" s="559">
        <f>LN(D206)</f>
        <v>5.0307675786625907</v>
      </c>
      <c r="U215" s="559">
        <f>LN(E206)</f>
        <v>5.4377051078708503</v>
      </c>
      <c r="V215" s="559">
        <f>LN(F206)</f>
        <v>5.1132585289172843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-0.15439669923472288</v>
      </c>
      <c r="D216" s="467"/>
      <c r="E216" s="467">
        <f>E209/D209 - 1</f>
        <v>-3.1757165684220823E-2</v>
      </c>
      <c r="F216" s="468">
        <f>F209/E209 - 1</f>
        <v>-0.26150246929487797</v>
      </c>
      <c r="Q216" s="559"/>
      <c r="R216" s="559" t="s">
        <v>423</v>
      </c>
      <c r="S216" s="559" t="e">
        <f>LN(C209)</f>
        <v>#NUM!</v>
      </c>
      <c r="T216" s="559">
        <f>LN(D209)</f>
        <v>9.6519804344638036</v>
      </c>
      <c r="U216" s="559">
        <f>LN(E209)</f>
        <v>9.6197080731941256</v>
      </c>
      <c r="V216" s="559">
        <f>LN(F209)</f>
        <v>9.3165705525151683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-8.6538664542560317E-3</v>
      </c>
      <c r="D217" s="470"/>
      <c r="E217" s="470">
        <f>E212/D212 - 1</f>
        <v>0.44832812312495518</v>
      </c>
      <c r="F217" s="471">
        <f>F212/E212 - 1</f>
        <v>-0.32144716324664824</v>
      </c>
      <c r="Q217" s="559"/>
      <c r="R217" s="559" t="s">
        <v>423</v>
      </c>
      <c r="S217" s="559" t="e">
        <f>LN(C212)</f>
        <v>#NUM!</v>
      </c>
      <c r="T217" s="559">
        <f>LN(D212)</f>
        <v>-2.9454627075356399</v>
      </c>
      <c r="U217" s="559">
        <f>LN(E212)</f>
        <v>-2.5750528348749442</v>
      </c>
      <c r="V217" s="559">
        <f>LN(F212)</f>
        <v>-2.9628457647277973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Wellington Electricity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19550.941634555787</v>
      </c>
      <c r="X220" s="563">
        <f>D222</f>
        <v>26273.208999999999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Wellington Electricity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22709.840748026189</v>
      </c>
      <c r="X221" s="563">
        <f t="shared" si="23"/>
        <v>22709.840748026189</v>
      </c>
      <c r="Y221" s="563">
        <f t="shared" si="23"/>
        <v>25767.365740615987</v>
      </c>
      <c r="Z221" s="563">
        <f t="shared" si="23"/>
        <v>28379.659669639725</v>
      </c>
      <c r="AA221" s="563">
        <f t="shared" si="23"/>
        <v>28447.92164048395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19550.941634555787</v>
      </c>
      <c r="D222" s="461">
        <f>VLOOKUP(D226,'FS (2011)'!$A$14:$AJ$245,'FS (2011)'!$AG$245,FALSE)</f>
        <v>26273.208999999999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22290</v>
      </c>
      <c r="Y222" s="563">
        <f t="shared" si="23"/>
        <v>25291</v>
      </c>
      <c r="Z222" s="563">
        <f t="shared" si="23"/>
        <v>27855</v>
      </c>
      <c r="AA222" s="563">
        <f t="shared" si="23"/>
        <v>27922</v>
      </c>
      <c r="AB222" s="563">
        <f>H224</f>
        <v>28938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22709.840748026189</v>
      </c>
      <c r="D223" s="461">
        <f>VLOOKUP(D227,'AM (2011)'!$A$10:$N$444,'AM (2011)'!$J$445,FALSE)</f>
        <v>22709.840748026189</v>
      </c>
      <c r="E223" s="461">
        <f>VLOOKUP(E226,'AM (2011)'!$A$10:$N$444,'AM (2011)'!$J$445,FALSE)</f>
        <v>25767.365740615987</v>
      </c>
      <c r="F223" s="461">
        <f>VLOOKUP(F226,'AM (2011)'!$A$10:$N$444,'AM (2011)'!$J$445,FALSE)</f>
        <v>28379.659669639725</v>
      </c>
      <c r="G223" s="461">
        <f>VLOOKUP(G226,'AM (2011)'!$A$10:$N$444,'AM (2011)'!$J$445,FALSE)</f>
        <v>28447.92164048395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25981.604654169358</v>
      </c>
      <c r="Z223" s="563">
        <f>F225</f>
        <v>28616.328636069811</v>
      </c>
      <c r="AA223" s="563">
        <f>G225</f>
        <v>28684.763025210083</v>
      </c>
      <c r="AB223" s="563">
        <f>H225</f>
        <v>29728.876276664512</v>
      </c>
      <c r="AC223" s="563">
        <f>I225</f>
        <v>30510.005946994181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22290</v>
      </c>
      <c r="E224" s="461">
        <f>VLOOKUP(E227,'AM (2011)'!$A$10:$N$444,'AM (2011)'!$J$445,FALSE)</f>
        <v>25291</v>
      </c>
      <c r="F224" s="461">
        <f>VLOOKUP(F227,'AM (2011)'!$A$10:$N$444,'AM (2011)'!$J$445,FALSE)</f>
        <v>27855</v>
      </c>
      <c r="G224" s="461">
        <f>VLOOKUP(G227,'AM (2011)'!$A$10:$N$444,'AM (2011)'!$J$445,FALSE)</f>
        <v>27922</v>
      </c>
      <c r="H224" s="461">
        <f>VLOOKUP(H227,'AM (2011)'!$A$10:$N$444,'AM (2011)'!$J$445,FALSE)</f>
        <v>28938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25981.604654169358</v>
      </c>
      <c r="F225" s="493">
        <f>VLOOKUP(F228,'AM (2011)'!$A$10:$N$444,'AM (2011)'!$J$445,FALSE)</f>
        <v>28616.328636069811</v>
      </c>
      <c r="G225" s="493">
        <f>VLOOKUP(G228,'AM (2011)'!$A$10:$N$444,'AM (2011)'!$J$445,FALSE)</f>
        <v>28684.763025210083</v>
      </c>
      <c r="H225" s="493">
        <f>VLOOKUP(H228,'AM (2011)'!$A$10:$N$444,'AM (2011)'!$J$445,FALSE)</f>
        <v>29728.876276664512</v>
      </c>
      <c r="I225" s="494">
        <f>VLOOKUP(I228,'AM (2011)'!$A$10:$N$444,'AM (2011)'!$J$445,FALSE)</f>
        <v>30510.005946994181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628</v>
      </c>
      <c r="D226" s="136">
        <f>VLOOKUP($B$2,$B$257:$Y$286,9,FALSE)</f>
        <v>629</v>
      </c>
      <c r="E226" s="136">
        <f>VLOOKUP($B$2,$B$257:$Y$286,12,FALSE)</f>
        <v>632</v>
      </c>
      <c r="F226" s="136">
        <f>VLOOKUP($B$2,$B$257:$Y$286,13,FALSE)</f>
        <v>633</v>
      </c>
      <c r="G226" s="136">
        <f>VLOOKUP($B$2,$B$257:$Y$286,14,FALSE)</f>
        <v>634</v>
      </c>
      <c r="H226" s="136"/>
      <c r="I226" s="136"/>
    </row>
    <row r="227" spans="2:30">
      <c r="C227" s="136">
        <f>VLOOKUP($B$2,$B$257:$Y$286,10,FALSE)</f>
        <v>630</v>
      </c>
      <c r="D227" s="136">
        <f>VLOOKUP($B$2,$B$257:$Y$286,11,FALSE)</f>
        <v>631</v>
      </c>
      <c r="E227" s="136">
        <f>VLOOKUP($B$2,$B$257:$Y$286,16,FALSE)</f>
        <v>636</v>
      </c>
      <c r="F227" s="136">
        <f>VLOOKUP($B$2,$B$257:$Y$286,17,FALSE)</f>
        <v>637</v>
      </c>
      <c r="G227" s="136">
        <f>VLOOKUP($B$2,$B$257:$Y$286,18,FALSE)</f>
        <v>638</v>
      </c>
      <c r="H227" s="136">
        <f>VLOOKUP($B$2,$B$257:$Y$286,19,FALSE)</f>
        <v>639</v>
      </c>
      <c r="I227" s="136"/>
    </row>
    <row r="228" spans="2:30">
      <c r="B228" s="517" t="s">
        <v>291</v>
      </c>
      <c r="C228" s="518"/>
      <c r="D228" s="518">
        <f>VLOOKUP($B$2,$B$257:$Y$286,15,FALSE)</f>
        <v>635</v>
      </c>
      <c r="E228" s="518">
        <f>VLOOKUP($B$2,$B$257:$Y$286,20,FALSE)</f>
        <v>640</v>
      </c>
      <c r="F228" s="519">
        <f>VLOOKUP($B$2,$B$257:$Y$286,21,FALSE)</f>
        <v>641</v>
      </c>
      <c r="G228" s="136">
        <f>VLOOKUP($B$2,$B$257:$Y$286,22,FALSE)</f>
        <v>642</v>
      </c>
      <c r="H228" s="136">
        <f>VLOOKUP($B$2,$B$257:$Y$286,23,FALSE)</f>
        <v>643</v>
      </c>
      <c r="I228" s="136">
        <f>VLOOKUP($B$2,$B$257:$Y$286,24,FALSE)</f>
        <v>644</v>
      </c>
    </row>
    <row r="229" spans="2:30">
      <c r="B229" s="474" t="str">
        <f>$B$2</f>
        <v>Wellington Electricity</v>
      </c>
      <c r="C229" s="475"/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/>
      <c r="D230" s="456">
        <f>VLOOKUP(D$38,'MP (2011)'!$A$11:$AR$245,'MP (2011)'!$S$246,FALSE)+VLOOKUP(D$38,'MP (2011)'!$A$11:$AR$245,'MP (2011)'!$T$246,FALSE)</f>
        <v>26.35</v>
      </c>
      <c r="E230" s="456">
        <f>VLOOKUP(E$38,'MP (2011)'!$A$11:$AR$245,'MP (2011)'!$S$246,FALSE)+VLOOKUP(E$38,'MP (2011)'!$A$11:$AR$245,'MP (2011)'!$T$246,FALSE)</f>
        <v>40.629999999999995</v>
      </c>
      <c r="F230" s="457">
        <f>VLOOKUP(F$38,'MP (2011)'!$A$11:$AR$245,'MP (2011)'!$S$246,FALSE)+VLOOKUP(F$38,'MP (2011)'!$A$11:$AR$245,'MP (2011)'!$T$246,FALSE)</f>
        <v>34.738355999999996</v>
      </c>
    </row>
    <row r="231" spans="2:30">
      <c r="B231" s="199" t="s">
        <v>292</v>
      </c>
      <c r="C231" s="456"/>
      <c r="D231" s="456">
        <f>IF(ISERROR(VLOOKUP(D$38,'Compliance data'!$A$7:$E$74,'Compliance data'!$D$75,FALSE)),"",(VLOOKUP(D$38,'Compliance data'!$A$7:$E$74,'Compliance data'!$D$75,FALSE)))</f>
        <v>29.7</v>
      </c>
      <c r="E231" s="456">
        <f>IF(ISERROR(VLOOKUP(E$38,'Compliance data'!$A$7:$E$74,'Compliance data'!$D$75,FALSE)),"",(VLOOKUP(E$38,'Compliance data'!$A$7:$E$74,'Compliance data'!$D$75,FALSE)))</f>
        <v>29.7</v>
      </c>
      <c r="F231" s="457">
        <f>IF(ISERROR(VLOOKUP(F$38,'Compliance data'!$A$7:$E$74,'Compliance data'!$D$75,FALSE)),"",(VLOOKUP(F$38,'Compliance data'!$A$7:$E$74,'Compliance data'!$D$75,FALSE)))</f>
        <v>40.744</v>
      </c>
    </row>
    <row r="232" spans="2:30">
      <c r="B232" s="477" t="s">
        <v>272</v>
      </c>
      <c r="C232" s="472"/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/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/>
      <c r="D237" s="456">
        <f>VLOOKUP(D$38,'MP (2011)'!$A$11:$AR$245,'MP (2011)'!$W$246,FALSE)+VLOOKUP(D$38,'MP (2011)'!$A$11:$AR$245,'MP (2011)'!$X$246,FALSE)</f>
        <v>0.38800000000000001</v>
      </c>
      <c r="E237" s="456">
        <f>VLOOKUP(E$38,'MP (2011)'!$A$11:$AR$245,'MP (2011)'!$W$246,FALSE)+VLOOKUP(E$38,'MP (2011)'!$A$11:$AR$245,'MP (2011)'!$X$246,FALSE)</f>
        <v>0.59000000000000008</v>
      </c>
      <c r="F237" s="457">
        <f>VLOOKUP(F$38,'MP (2011)'!$A$11:$AR$245,'MP (2011)'!$W$246,FALSE)+VLOOKUP(F$38,'MP (2011)'!$A$11:$AR$245,'MP (2011)'!$X$246,FALSE)</f>
        <v>0.53600000000000003</v>
      </c>
    </row>
    <row r="238" spans="2:30">
      <c r="B238" s="199" t="s">
        <v>292</v>
      </c>
      <c r="C238" s="456"/>
      <c r="D238" s="456">
        <f>IF(ISERROR(VLOOKUP(D$38,'Compliance data'!$A$7:$E$74,'Compliance data'!$E$75,FALSE)),"",(VLOOKUP(D$38,'Compliance data'!$A$7:$E$74,'Compliance data'!$E$75,FALSE)))</f>
        <v>0.436</v>
      </c>
      <c r="E238" s="456">
        <f>IF(ISERROR(VLOOKUP(E$38,'Compliance data'!$A$7:$E$74,'Compliance data'!$E$75,FALSE)),"",(VLOOKUP(E$38,'Compliance data'!$A$7:$E$74,'Compliance data'!$E$75,FALSE)))</f>
        <v>0.436</v>
      </c>
      <c r="F238" s="457">
        <f>IF(ISERROR(VLOOKUP(F$38,'Compliance data'!$A$7:$E$74,'Compliance data'!$E$75,FALSE)),"",(VLOOKUP(F$38,'Compliance data'!$A$7:$E$74,'Compliance data'!$E$75,FALSE)))</f>
        <v>0.60199999999999998</v>
      </c>
    </row>
    <row r="239" spans="2:30">
      <c r="B239" s="477" t="s">
        <v>272</v>
      </c>
      <c r="C239" s="472"/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ref="T258:Y273" si="25">S258+1</f>
        <v>18</v>
      </c>
      <c r="U258" s="526">
        <f t="shared" si="25"/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4"/>
        <v>25</v>
      </c>
      <c r="E259" s="526">
        <f t="shared" si="24"/>
        <v>26</v>
      </c>
      <c r="F259" s="526">
        <f t="shared" si="24"/>
        <v>27</v>
      </c>
      <c r="G259" s="526">
        <f t="shared" si="24"/>
        <v>28</v>
      </c>
      <c r="H259" s="526">
        <f t="shared" si="24"/>
        <v>29</v>
      </c>
      <c r="I259" s="526">
        <f t="shared" si="24"/>
        <v>30</v>
      </c>
      <c r="J259" s="526">
        <f t="shared" si="24"/>
        <v>31</v>
      </c>
      <c r="K259" s="526">
        <f t="shared" si="24"/>
        <v>32</v>
      </c>
      <c r="L259" s="526">
        <f t="shared" si="24"/>
        <v>33</v>
      </c>
      <c r="M259" s="526">
        <f t="shared" si="24"/>
        <v>34</v>
      </c>
      <c r="N259" s="526">
        <f t="shared" si="24"/>
        <v>35</v>
      </c>
      <c r="O259" s="526">
        <f t="shared" si="24"/>
        <v>36</v>
      </c>
      <c r="P259" s="526">
        <f t="shared" si="24"/>
        <v>37</v>
      </c>
      <c r="Q259" s="526">
        <f t="shared" si="24"/>
        <v>38</v>
      </c>
      <c r="R259" s="526">
        <f t="shared" si="24"/>
        <v>39</v>
      </c>
      <c r="S259" s="526">
        <f t="shared" si="24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6">Y259+1</f>
        <v>47</v>
      </c>
      <c r="D260" s="526">
        <f t="shared" si="24"/>
        <v>48</v>
      </c>
      <c r="E260" s="526">
        <f t="shared" si="24"/>
        <v>49</v>
      </c>
      <c r="F260" s="526">
        <f t="shared" si="24"/>
        <v>50</v>
      </c>
      <c r="G260" s="526">
        <f t="shared" si="24"/>
        <v>51</v>
      </c>
      <c r="H260" s="526">
        <f t="shared" si="24"/>
        <v>52</v>
      </c>
      <c r="I260" s="526">
        <f t="shared" si="24"/>
        <v>53</v>
      </c>
      <c r="J260" s="526">
        <f t="shared" si="24"/>
        <v>54</v>
      </c>
      <c r="K260" s="526">
        <f t="shared" si="24"/>
        <v>55</v>
      </c>
      <c r="L260" s="526">
        <f t="shared" si="24"/>
        <v>56</v>
      </c>
      <c r="M260" s="526">
        <f t="shared" si="24"/>
        <v>57</v>
      </c>
      <c r="N260" s="526">
        <f t="shared" si="24"/>
        <v>58</v>
      </c>
      <c r="O260" s="526">
        <f t="shared" si="24"/>
        <v>59</v>
      </c>
      <c r="P260" s="526">
        <f t="shared" si="24"/>
        <v>60</v>
      </c>
      <c r="Q260" s="526">
        <f t="shared" si="24"/>
        <v>61</v>
      </c>
      <c r="R260" s="526">
        <f t="shared" si="24"/>
        <v>62</v>
      </c>
      <c r="S260" s="526">
        <f t="shared" si="24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6"/>
        <v>70</v>
      </c>
      <c r="D261" s="526">
        <f t="shared" si="24"/>
        <v>71</v>
      </c>
      <c r="E261" s="526">
        <f t="shared" si="24"/>
        <v>72</v>
      </c>
      <c r="F261" s="526">
        <f t="shared" si="24"/>
        <v>73</v>
      </c>
      <c r="G261" s="526">
        <f t="shared" si="24"/>
        <v>74</v>
      </c>
      <c r="H261" s="526">
        <f t="shared" si="24"/>
        <v>75</v>
      </c>
      <c r="I261" s="526">
        <f t="shared" si="24"/>
        <v>76</v>
      </c>
      <c r="J261" s="526">
        <f t="shared" si="24"/>
        <v>77</v>
      </c>
      <c r="K261" s="526">
        <f t="shared" si="24"/>
        <v>78</v>
      </c>
      <c r="L261" s="526">
        <f t="shared" si="24"/>
        <v>79</v>
      </c>
      <c r="M261" s="526">
        <f t="shared" si="24"/>
        <v>80</v>
      </c>
      <c r="N261" s="526">
        <f t="shared" si="24"/>
        <v>81</v>
      </c>
      <c r="O261" s="526">
        <f t="shared" si="24"/>
        <v>82</v>
      </c>
      <c r="P261" s="526">
        <f t="shared" si="24"/>
        <v>83</v>
      </c>
      <c r="Q261" s="526">
        <f t="shared" si="24"/>
        <v>84</v>
      </c>
      <c r="R261" s="526">
        <f t="shared" si="24"/>
        <v>85</v>
      </c>
      <c r="S261" s="526">
        <f t="shared" si="24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6"/>
        <v>93</v>
      </c>
      <c r="D262" s="526">
        <f t="shared" si="24"/>
        <v>94</v>
      </c>
      <c r="E262" s="526">
        <f t="shared" si="24"/>
        <v>95</v>
      </c>
      <c r="F262" s="526">
        <f t="shared" si="24"/>
        <v>96</v>
      </c>
      <c r="G262" s="526">
        <f t="shared" si="24"/>
        <v>97</v>
      </c>
      <c r="H262" s="526">
        <f t="shared" si="24"/>
        <v>98</v>
      </c>
      <c r="I262" s="526">
        <f t="shared" si="24"/>
        <v>99</v>
      </c>
      <c r="J262" s="526">
        <f t="shared" si="24"/>
        <v>100</v>
      </c>
      <c r="K262" s="526">
        <f t="shared" si="24"/>
        <v>101</v>
      </c>
      <c r="L262" s="526">
        <f t="shared" si="24"/>
        <v>102</v>
      </c>
      <c r="M262" s="526">
        <f t="shared" si="24"/>
        <v>103</v>
      </c>
      <c r="N262" s="526">
        <f t="shared" si="24"/>
        <v>104</v>
      </c>
      <c r="O262" s="526">
        <f t="shared" si="24"/>
        <v>105</v>
      </c>
      <c r="P262" s="526">
        <f t="shared" si="24"/>
        <v>106</v>
      </c>
      <c r="Q262" s="526">
        <f t="shared" si="24"/>
        <v>107</v>
      </c>
      <c r="R262" s="526">
        <f t="shared" si="24"/>
        <v>108</v>
      </c>
      <c r="S262" s="526">
        <f t="shared" si="24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6"/>
        <v>116</v>
      </c>
      <c r="D263" s="526">
        <f t="shared" si="24"/>
        <v>117</v>
      </c>
      <c r="E263" s="526">
        <f t="shared" si="24"/>
        <v>118</v>
      </c>
      <c r="F263" s="526">
        <f t="shared" si="24"/>
        <v>119</v>
      </c>
      <c r="G263" s="526">
        <f t="shared" si="24"/>
        <v>120</v>
      </c>
      <c r="H263" s="526">
        <f t="shared" si="24"/>
        <v>121</v>
      </c>
      <c r="I263" s="526">
        <f t="shared" si="24"/>
        <v>122</v>
      </c>
      <c r="J263" s="526">
        <f t="shared" si="24"/>
        <v>123</v>
      </c>
      <c r="K263" s="526">
        <f t="shared" si="24"/>
        <v>124</v>
      </c>
      <c r="L263" s="526">
        <f t="shared" si="24"/>
        <v>125</v>
      </c>
      <c r="M263" s="526">
        <f t="shared" si="24"/>
        <v>126</v>
      </c>
      <c r="N263" s="526">
        <f t="shared" si="24"/>
        <v>127</v>
      </c>
      <c r="O263" s="526">
        <f t="shared" si="24"/>
        <v>128</v>
      </c>
      <c r="P263" s="526">
        <f t="shared" si="24"/>
        <v>129</v>
      </c>
      <c r="Q263" s="526">
        <f t="shared" si="24"/>
        <v>130</v>
      </c>
      <c r="R263" s="526">
        <f t="shared" si="24"/>
        <v>131</v>
      </c>
      <c r="S263" s="526">
        <f t="shared" si="24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6"/>
        <v>139</v>
      </c>
      <c r="D264" s="526">
        <f t="shared" si="24"/>
        <v>140</v>
      </c>
      <c r="E264" s="526">
        <f t="shared" si="24"/>
        <v>141</v>
      </c>
      <c r="F264" s="526">
        <f t="shared" si="24"/>
        <v>142</v>
      </c>
      <c r="G264" s="526">
        <f t="shared" si="24"/>
        <v>143</v>
      </c>
      <c r="H264" s="526">
        <f t="shared" si="24"/>
        <v>144</v>
      </c>
      <c r="I264" s="526">
        <f t="shared" si="24"/>
        <v>145</v>
      </c>
      <c r="J264" s="526">
        <f t="shared" si="24"/>
        <v>146</v>
      </c>
      <c r="K264" s="526">
        <f t="shared" si="24"/>
        <v>147</v>
      </c>
      <c r="L264" s="526">
        <f t="shared" si="24"/>
        <v>148</v>
      </c>
      <c r="M264" s="526">
        <f t="shared" si="24"/>
        <v>149</v>
      </c>
      <c r="N264" s="526">
        <f t="shared" si="24"/>
        <v>150</v>
      </c>
      <c r="O264" s="526">
        <f t="shared" si="24"/>
        <v>151</v>
      </c>
      <c r="P264" s="526">
        <f t="shared" si="24"/>
        <v>152</v>
      </c>
      <c r="Q264" s="526">
        <f t="shared" si="24"/>
        <v>153</v>
      </c>
      <c r="R264" s="526">
        <f t="shared" si="24"/>
        <v>154</v>
      </c>
      <c r="S264" s="526">
        <f t="shared" si="24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6"/>
        <v>162</v>
      </c>
      <c r="D265" s="526">
        <f t="shared" si="24"/>
        <v>163</v>
      </c>
      <c r="E265" s="526">
        <f t="shared" si="24"/>
        <v>164</v>
      </c>
      <c r="F265" s="526">
        <f t="shared" si="24"/>
        <v>165</v>
      </c>
      <c r="G265" s="526">
        <f t="shared" si="24"/>
        <v>166</v>
      </c>
      <c r="H265" s="526">
        <f t="shared" si="24"/>
        <v>167</v>
      </c>
      <c r="I265" s="526">
        <f t="shared" si="24"/>
        <v>168</v>
      </c>
      <c r="J265" s="526">
        <f t="shared" si="24"/>
        <v>169</v>
      </c>
      <c r="K265" s="526">
        <f t="shared" si="24"/>
        <v>170</v>
      </c>
      <c r="L265" s="526">
        <f t="shared" si="24"/>
        <v>171</v>
      </c>
      <c r="M265" s="526">
        <f t="shared" si="24"/>
        <v>172</v>
      </c>
      <c r="N265" s="526">
        <f t="shared" si="24"/>
        <v>173</v>
      </c>
      <c r="O265" s="526">
        <f t="shared" si="24"/>
        <v>174</v>
      </c>
      <c r="P265" s="526">
        <f t="shared" si="24"/>
        <v>175</v>
      </c>
      <c r="Q265" s="526">
        <f t="shared" si="24"/>
        <v>176</v>
      </c>
      <c r="R265" s="526">
        <f t="shared" si="24"/>
        <v>177</v>
      </c>
      <c r="S265" s="526">
        <f t="shared" si="24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6"/>
        <v>185</v>
      </c>
      <c r="D266" s="526">
        <f t="shared" si="24"/>
        <v>186</v>
      </c>
      <c r="E266" s="526">
        <f t="shared" si="24"/>
        <v>187</v>
      </c>
      <c r="F266" s="526">
        <f t="shared" si="24"/>
        <v>188</v>
      </c>
      <c r="G266" s="526">
        <f t="shared" si="24"/>
        <v>189</v>
      </c>
      <c r="H266" s="526">
        <f t="shared" si="24"/>
        <v>190</v>
      </c>
      <c r="I266" s="526">
        <f t="shared" si="24"/>
        <v>191</v>
      </c>
      <c r="J266" s="526">
        <f t="shared" si="24"/>
        <v>192</v>
      </c>
      <c r="K266" s="526">
        <f t="shared" si="24"/>
        <v>193</v>
      </c>
      <c r="L266" s="526">
        <f t="shared" si="24"/>
        <v>194</v>
      </c>
      <c r="M266" s="526">
        <f t="shared" si="24"/>
        <v>195</v>
      </c>
      <c r="N266" s="526">
        <f t="shared" si="24"/>
        <v>196</v>
      </c>
      <c r="O266" s="526">
        <f t="shared" si="24"/>
        <v>197</v>
      </c>
      <c r="P266" s="526">
        <f t="shared" si="24"/>
        <v>198</v>
      </c>
      <c r="Q266" s="526">
        <f t="shared" si="24"/>
        <v>199</v>
      </c>
      <c r="R266" s="526">
        <f t="shared" si="24"/>
        <v>200</v>
      </c>
      <c r="S266" s="526">
        <f t="shared" si="24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6"/>
        <v>208</v>
      </c>
      <c r="D267" s="526">
        <f t="shared" si="24"/>
        <v>209</v>
      </c>
      <c r="E267" s="526">
        <f t="shared" si="24"/>
        <v>210</v>
      </c>
      <c r="F267" s="526">
        <f t="shared" si="24"/>
        <v>211</v>
      </c>
      <c r="G267" s="526">
        <f t="shared" si="24"/>
        <v>212</v>
      </c>
      <c r="H267" s="526">
        <f t="shared" si="24"/>
        <v>213</v>
      </c>
      <c r="I267" s="526">
        <f t="shared" si="24"/>
        <v>214</v>
      </c>
      <c r="J267" s="526">
        <f t="shared" si="24"/>
        <v>215</v>
      </c>
      <c r="K267" s="526">
        <f t="shared" si="24"/>
        <v>216</v>
      </c>
      <c r="L267" s="526">
        <f t="shared" si="24"/>
        <v>217</v>
      </c>
      <c r="M267" s="526">
        <f t="shared" si="24"/>
        <v>218</v>
      </c>
      <c r="N267" s="526">
        <f t="shared" si="24"/>
        <v>219</v>
      </c>
      <c r="O267" s="526">
        <f t="shared" si="24"/>
        <v>220</v>
      </c>
      <c r="P267" s="526">
        <f t="shared" si="24"/>
        <v>221</v>
      </c>
      <c r="Q267" s="526">
        <f t="shared" si="24"/>
        <v>222</v>
      </c>
      <c r="R267" s="526">
        <f t="shared" si="24"/>
        <v>223</v>
      </c>
      <c r="S267" s="526">
        <f t="shared" si="24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6"/>
        <v>231</v>
      </c>
      <c r="D268" s="526">
        <f t="shared" si="24"/>
        <v>232</v>
      </c>
      <c r="E268" s="526">
        <f t="shared" si="24"/>
        <v>233</v>
      </c>
      <c r="F268" s="526">
        <f t="shared" si="24"/>
        <v>234</v>
      </c>
      <c r="G268" s="526">
        <f t="shared" si="24"/>
        <v>235</v>
      </c>
      <c r="H268" s="526">
        <f t="shared" si="24"/>
        <v>236</v>
      </c>
      <c r="I268" s="526">
        <f t="shared" si="24"/>
        <v>237</v>
      </c>
      <c r="J268" s="526">
        <f t="shared" si="24"/>
        <v>238</v>
      </c>
      <c r="K268" s="526">
        <f t="shared" si="24"/>
        <v>239</v>
      </c>
      <c r="L268" s="526">
        <f t="shared" si="24"/>
        <v>240</v>
      </c>
      <c r="M268" s="526">
        <f t="shared" si="24"/>
        <v>241</v>
      </c>
      <c r="N268" s="526">
        <f t="shared" si="24"/>
        <v>242</v>
      </c>
      <c r="O268" s="526">
        <f t="shared" si="24"/>
        <v>243</v>
      </c>
      <c r="P268" s="526">
        <f t="shared" si="24"/>
        <v>244</v>
      </c>
      <c r="Q268" s="526">
        <f t="shared" si="24"/>
        <v>245</v>
      </c>
      <c r="R268" s="526">
        <f t="shared" si="24"/>
        <v>246</v>
      </c>
      <c r="S268" s="526">
        <f t="shared" si="24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6"/>
        <v>254</v>
      </c>
      <c r="D269" s="526">
        <f t="shared" si="24"/>
        <v>255</v>
      </c>
      <c r="E269" s="526">
        <f t="shared" si="24"/>
        <v>256</v>
      </c>
      <c r="F269" s="526">
        <f t="shared" si="24"/>
        <v>257</v>
      </c>
      <c r="G269" s="526">
        <f t="shared" si="24"/>
        <v>258</v>
      </c>
      <c r="H269" s="526">
        <f t="shared" si="24"/>
        <v>259</v>
      </c>
      <c r="I269" s="526">
        <f t="shared" si="24"/>
        <v>260</v>
      </c>
      <c r="J269" s="526">
        <f t="shared" si="24"/>
        <v>261</v>
      </c>
      <c r="K269" s="526">
        <f t="shared" si="24"/>
        <v>262</v>
      </c>
      <c r="L269" s="526">
        <f t="shared" si="24"/>
        <v>263</v>
      </c>
      <c r="M269" s="526">
        <f t="shared" si="24"/>
        <v>264</v>
      </c>
      <c r="N269" s="526">
        <f t="shared" si="24"/>
        <v>265</v>
      </c>
      <c r="O269" s="526">
        <f t="shared" si="24"/>
        <v>266</v>
      </c>
      <c r="P269" s="526">
        <f t="shared" si="24"/>
        <v>267</v>
      </c>
      <c r="Q269" s="526">
        <f t="shared" si="24"/>
        <v>268</v>
      </c>
      <c r="R269" s="526">
        <f t="shared" si="24"/>
        <v>269</v>
      </c>
      <c r="S269" s="526">
        <f t="shared" si="24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6"/>
        <v>277</v>
      </c>
      <c r="D270" s="526">
        <f t="shared" si="24"/>
        <v>278</v>
      </c>
      <c r="E270" s="526">
        <f t="shared" si="24"/>
        <v>279</v>
      </c>
      <c r="F270" s="526">
        <f t="shared" si="24"/>
        <v>280</v>
      </c>
      <c r="G270" s="526">
        <f t="shared" si="24"/>
        <v>281</v>
      </c>
      <c r="H270" s="526">
        <f t="shared" si="24"/>
        <v>282</v>
      </c>
      <c r="I270" s="526">
        <f t="shared" si="24"/>
        <v>283</v>
      </c>
      <c r="J270" s="526">
        <f t="shared" si="24"/>
        <v>284</v>
      </c>
      <c r="K270" s="526">
        <f t="shared" si="24"/>
        <v>285</v>
      </c>
      <c r="L270" s="526">
        <f t="shared" si="24"/>
        <v>286</v>
      </c>
      <c r="M270" s="526">
        <f t="shared" si="24"/>
        <v>287</v>
      </c>
      <c r="N270" s="526">
        <f t="shared" si="24"/>
        <v>288</v>
      </c>
      <c r="O270" s="526">
        <f t="shared" si="24"/>
        <v>289</v>
      </c>
      <c r="P270" s="526">
        <f t="shared" si="24"/>
        <v>290</v>
      </c>
      <c r="Q270" s="526">
        <f t="shared" si="24"/>
        <v>291</v>
      </c>
      <c r="R270" s="526">
        <f t="shared" si="24"/>
        <v>292</v>
      </c>
      <c r="S270" s="526">
        <f t="shared" si="24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6"/>
        <v>300</v>
      </c>
      <c r="D271" s="526">
        <f t="shared" si="24"/>
        <v>301</v>
      </c>
      <c r="E271" s="526">
        <f t="shared" si="24"/>
        <v>302</v>
      </c>
      <c r="F271" s="526">
        <f t="shared" si="24"/>
        <v>303</v>
      </c>
      <c r="G271" s="526">
        <f t="shared" si="24"/>
        <v>304</v>
      </c>
      <c r="H271" s="526">
        <f t="shared" si="24"/>
        <v>305</v>
      </c>
      <c r="I271" s="526">
        <f t="shared" si="24"/>
        <v>306</v>
      </c>
      <c r="J271" s="526">
        <f t="shared" si="24"/>
        <v>307</v>
      </c>
      <c r="K271" s="526">
        <f t="shared" si="24"/>
        <v>308</v>
      </c>
      <c r="L271" s="526">
        <f t="shared" si="24"/>
        <v>309</v>
      </c>
      <c r="M271" s="526">
        <f t="shared" si="24"/>
        <v>310</v>
      </c>
      <c r="N271" s="526">
        <f t="shared" si="24"/>
        <v>311</v>
      </c>
      <c r="O271" s="526">
        <f t="shared" si="24"/>
        <v>312</v>
      </c>
      <c r="P271" s="526">
        <f t="shared" si="24"/>
        <v>313</v>
      </c>
      <c r="Q271" s="526">
        <f t="shared" si="24"/>
        <v>314</v>
      </c>
      <c r="R271" s="526">
        <f t="shared" si="24"/>
        <v>315</v>
      </c>
      <c r="S271" s="526">
        <f t="shared" si="24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6"/>
        <v>323</v>
      </c>
      <c r="D272" s="526">
        <f t="shared" si="24"/>
        <v>324</v>
      </c>
      <c r="E272" s="526">
        <f t="shared" si="24"/>
        <v>325</v>
      </c>
      <c r="F272" s="526">
        <f t="shared" si="24"/>
        <v>326</v>
      </c>
      <c r="G272" s="526">
        <f t="shared" si="24"/>
        <v>327</v>
      </c>
      <c r="H272" s="526">
        <f t="shared" si="24"/>
        <v>328</v>
      </c>
      <c r="I272" s="526">
        <f t="shared" si="24"/>
        <v>329</v>
      </c>
      <c r="J272" s="526">
        <f t="shared" si="24"/>
        <v>330</v>
      </c>
      <c r="K272" s="526">
        <f t="shared" si="24"/>
        <v>331</v>
      </c>
      <c r="L272" s="526">
        <f t="shared" si="24"/>
        <v>332</v>
      </c>
      <c r="M272" s="526">
        <f t="shared" si="24"/>
        <v>333</v>
      </c>
      <c r="N272" s="526">
        <f t="shared" si="24"/>
        <v>334</v>
      </c>
      <c r="O272" s="526">
        <f t="shared" si="24"/>
        <v>335</v>
      </c>
      <c r="P272" s="526">
        <f t="shared" si="24"/>
        <v>336</v>
      </c>
      <c r="Q272" s="526">
        <f t="shared" si="24"/>
        <v>337</v>
      </c>
      <c r="R272" s="526">
        <f t="shared" si="24"/>
        <v>338</v>
      </c>
      <c r="S272" s="526">
        <f t="shared" si="24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6"/>
        <v>346</v>
      </c>
      <c r="D273" s="526">
        <f t="shared" si="24"/>
        <v>347</v>
      </c>
      <c r="E273" s="526">
        <f t="shared" si="24"/>
        <v>348</v>
      </c>
      <c r="F273" s="526">
        <f t="shared" si="24"/>
        <v>349</v>
      </c>
      <c r="G273" s="526">
        <f t="shared" si="24"/>
        <v>350</v>
      </c>
      <c r="H273" s="526">
        <f t="shared" si="24"/>
        <v>351</v>
      </c>
      <c r="I273" s="526">
        <f t="shared" si="24"/>
        <v>352</v>
      </c>
      <c r="J273" s="526">
        <f t="shared" si="24"/>
        <v>353</v>
      </c>
      <c r="K273" s="526">
        <f t="shared" si="24"/>
        <v>354</v>
      </c>
      <c r="L273" s="526">
        <f t="shared" si="24"/>
        <v>355</v>
      </c>
      <c r="M273" s="526">
        <f t="shared" si="24"/>
        <v>356</v>
      </c>
      <c r="N273" s="526">
        <f t="shared" si="24"/>
        <v>357</v>
      </c>
      <c r="O273" s="526">
        <f t="shared" si="24"/>
        <v>358</v>
      </c>
      <c r="P273" s="526">
        <f t="shared" si="24"/>
        <v>359</v>
      </c>
      <c r="Q273" s="526">
        <f t="shared" si="24"/>
        <v>360</v>
      </c>
      <c r="R273" s="526">
        <f t="shared" si="24"/>
        <v>361</v>
      </c>
      <c r="S273" s="526">
        <f t="shared" ref="D273:S286" si="27">R273+1</f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6"/>
        <v>369</v>
      </c>
      <c r="D274" s="526">
        <f t="shared" si="27"/>
        <v>370</v>
      </c>
      <c r="E274" s="526">
        <f t="shared" si="27"/>
        <v>371</v>
      </c>
      <c r="F274" s="526">
        <f t="shared" si="27"/>
        <v>372</v>
      </c>
      <c r="G274" s="526">
        <f t="shared" si="27"/>
        <v>373</v>
      </c>
      <c r="H274" s="526">
        <f t="shared" si="27"/>
        <v>374</v>
      </c>
      <c r="I274" s="526">
        <f t="shared" si="27"/>
        <v>375</v>
      </c>
      <c r="J274" s="526">
        <f t="shared" si="27"/>
        <v>376</v>
      </c>
      <c r="K274" s="526">
        <f t="shared" si="27"/>
        <v>377</v>
      </c>
      <c r="L274" s="526">
        <f t="shared" si="27"/>
        <v>378</v>
      </c>
      <c r="M274" s="526">
        <f t="shared" si="27"/>
        <v>379</v>
      </c>
      <c r="N274" s="526">
        <f t="shared" si="27"/>
        <v>380</v>
      </c>
      <c r="O274" s="526">
        <f t="shared" si="27"/>
        <v>381</v>
      </c>
      <c r="P274" s="526">
        <f t="shared" si="27"/>
        <v>382</v>
      </c>
      <c r="Q274" s="526">
        <f t="shared" si="27"/>
        <v>383</v>
      </c>
      <c r="R274" s="526">
        <f t="shared" si="27"/>
        <v>384</v>
      </c>
      <c r="S274" s="526">
        <f t="shared" si="27"/>
        <v>385</v>
      </c>
      <c r="T274" s="526">
        <f t="shared" ref="S274:Y286" si="28">S274+1</f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6"/>
        <v>392</v>
      </c>
      <c r="D275" s="526">
        <f t="shared" si="27"/>
        <v>393</v>
      </c>
      <c r="E275" s="526">
        <f t="shared" si="27"/>
        <v>394</v>
      </c>
      <c r="F275" s="526">
        <f t="shared" si="27"/>
        <v>395</v>
      </c>
      <c r="G275" s="526">
        <f t="shared" si="27"/>
        <v>396</v>
      </c>
      <c r="H275" s="526">
        <f t="shared" si="27"/>
        <v>397</v>
      </c>
      <c r="I275" s="526">
        <f t="shared" si="27"/>
        <v>398</v>
      </c>
      <c r="J275" s="526">
        <f t="shared" si="27"/>
        <v>399</v>
      </c>
      <c r="K275" s="526">
        <f t="shared" si="27"/>
        <v>400</v>
      </c>
      <c r="L275" s="526">
        <f t="shared" si="27"/>
        <v>401</v>
      </c>
      <c r="M275" s="526">
        <f t="shared" si="27"/>
        <v>402</v>
      </c>
      <c r="N275" s="526">
        <f t="shared" si="27"/>
        <v>403</v>
      </c>
      <c r="O275" s="526">
        <f t="shared" si="27"/>
        <v>404</v>
      </c>
      <c r="P275" s="526">
        <f t="shared" si="27"/>
        <v>405</v>
      </c>
      <c r="Q275" s="526">
        <f t="shared" si="27"/>
        <v>406</v>
      </c>
      <c r="R275" s="526">
        <f t="shared" si="27"/>
        <v>407</v>
      </c>
      <c r="S275" s="526">
        <f t="shared" si="27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6"/>
        <v>415</v>
      </c>
      <c r="D276" s="526">
        <f t="shared" si="27"/>
        <v>416</v>
      </c>
      <c r="E276" s="526">
        <f t="shared" si="27"/>
        <v>417</v>
      </c>
      <c r="F276" s="526">
        <f t="shared" si="27"/>
        <v>418</v>
      </c>
      <c r="G276" s="526">
        <f t="shared" si="27"/>
        <v>419</v>
      </c>
      <c r="H276" s="526">
        <f t="shared" si="27"/>
        <v>420</v>
      </c>
      <c r="I276" s="526">
        <f t="shared" si="27"/>
        <v>421</v>
      </c>
      <c r="J276" s="526">
        <f t="shared" si="27"/>
        <v>422</v>
      </c>
      <c r="K276" s="526">
        <f t="shared" si="27"/>
        <v>423</v>
      </c>
      <c r="L276" s="526">
        <f t="shared" si="27"/>
        <v>424</v>
      </c>
      <c r="M276" s="526">
        <f t="shared" si="27"/>
        <v>425</v>
      </c>
      <c r="N276" s="526">
        <f t="shared" si="27"/>
        <v>426</v>
      </c>
      <c r="O276" s="526">
        <f t="shared" si="27"/>
        <v>427</v>
      </c>
      <c r="P276" s="526">
        <f t="shared" si="27"/>
        <v>428</v>
      </c>
      <c r="Q276" s="526">
        <f t="shared" si="27"/>
        <v>429</v>
      </c>
      <c r="R276" s="526">
        <f t="shared" si="27"/>
        <v>430</v>
      </c>
      <c r="S276" s="526">
        <f t="shared" si="27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6"/>
        <v>438</v>
      </c>
      <c r="D277" s="526">
        <f t="shared" si="27"/>
        <v>439</v>
      </c>
      <c r="E277" s="526">
        <f t="shared" si="27"/>
        <v>440</v>
      </c>
      <c r="F277" s="526">
        <f t="shared" si="27"/>
        <v>441</v>
      </c>
      <c r="G277" s="526">
        <f t="shared" si="27"/>
        <v>442</v>
      </c>
      <c r="H277" s="526">
        <f t="shared" si="27"/>
        <v>443</v>
      </c>
      <c r="I277" s="526">
        <f t="shared" si="27"/>
        <v>444</v>
      </c>
      <c r="J277" s="526">
        <f t="shared" si="27"/>
        <v>445</v>
      </c>
      <c r="K277" s="526">
        <f t="shared" si="27"/>
        <v>446</v>
      </c>
      <c r="L277" s="526">
        <f t="shared" si="27"/>
        <v>447</v>
      </c>
      <c r="M277" s="526">
        <f t="shared" si="27"/>
        <v>448</v>
      </c>
      <c r="N277" s="526">
        <f t="shared" si="27"/>
        <v>449</v>
      </c>
      <c r="O277" s="526">
        <f t="shared" si="27"/>
        <v>450</v>
      </c>
      <c r="P277" s="526">
        <f t="shared" si="27"/>
        <v>451</v>
      </c>
      <c r="Q277" s="526">
        <f t="shared" si="27"/>
        <v>452</v>
      </c>
      <c r="R277" s="526">
        <f t="shared" si="27"/>
        <v>453</v>
      </c>
      <c r="S277" s="526">
        <f t="shared" si="27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6"/>
        <v>461</v>
      </c>
      <c r="D278" s="526">
        <f t="shared" si="27"/>
        <v>462</v>
      </c>
      <c r="E278" s="526">
        <f t="shared" si="27"/>
        <v>463</v>
      </c>
      <c r="F278" s="526">
        <f t="shared" si="27"/>
        <v>464</v>
      </c>
      <c r="G278" s="526">
        <f t="shared" si="27"/>
        <v>465</v>
      </c>
      <c r="H278" s="526">
        <f t="shared" si="27"/>
        <v>466</v>
      </c>
      <c r="I278" s="526">
        <f t="shared" si="27"/>
        <v>467</v>
      </c>
      <c r="J278" s="526">
        <f t="shared" si="27"/>
        <v>468</v>
      </c>
      <c r="K278" s="526">
        <f t="shared" si="27"/>
        <v>469</v>
      </c>
      <c r="L278" s="526">
        <f t="shared" si="27"/>
        <v>470</v>
      </c>
      <c r="M278" s="526">
        <f t="shared" si="27"/>
        <v>471</v>
      </c>
      <c r="N278" s="526">
        <f t="shared" si="27"/>
        <v>472</v>
      </c>
      <c r="O278" s="526">
        <f t="shared" si="27"/>
        <v>473</v>
      </c>
      <c r="P278" s="526">
        <f t="shared" si="27"/>
        <v>474</v>
      </c>
      <c r="Q278" s="526">
        <f t="shared" si="27"/>
        <v>475</v>
      </c>
      <c r="R278" s="526">
        <f t="shared" si="27"/>
        <v>476</v>
      </c>
      <c r="S278" s="526">
        <f t="shared" si="27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6"/>
        <v>484</v>
      </c>
      <c r="D279" s="526">
        <f t="shared" si="27"/>
        <v>485</v>
      </c>
      <c r="E279" s="526">
        <f t="shared" si="27"/>
        <v>486</v>
      </c>
      <c r="F279" s="526">
        <f t="shared" si="27"/>
        <v>487</v>
      </c>
      <c r="G279" s="526">
        <f t="shared" si="27"/>
        <v>488</v>
      </c>
      <c r="H279" s="526">
        <f t="shared" si="27"/>
        <v>489</v>
      </c>
      <c r="I279" s="526">
        <f t="shared" si="27"/>
        <v>490</v>
      </c>
      <c r="J279" s="526">
        <f t="shared" si="27"/>
        <v>491</v>
      </c>
      <c r="K279" s="526">
        <f t="shared" si="27"/>
        <v>492</v>
      </c>
      <c r="L279" s="526">
        <f t="shared" si="27"/>
        <v>493</v>
      </c>
      <c r="M279" s="526">
        <f t="shared" si="27"/>
        <v>494</v>
      </c>
      <c r="N279" s="526">
        <f t="shared" si="27"/>
        <v>495</v>
      </c>
      <c r="O279" s="526">
        <f t="shared" si="27"/>
        <v>496</v>
      </c>
      <c r="P279" s="526">
        <f t="shared" si="27"/>
        <v>497</v>
      </c>
      <c r="Q279" s="526">
        <f t="shared" si="27"/>
        <v>498</v>
      </c>
      <c r="R279" s="526">
        <f t="shared" si="27"/>
        <v>499</v>
      </c>
      <c r="S279" s="526">
        <f t="shared" si="27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6"/>
        <v>507</v>
      </c>
      <c r="D280" s="526">
        <f t="shared" si="27"/>
        <v>508</v>
      </c>
      <c r="E280" s="526">
        <f t="shared" si="27"/>
        <v>509</v>
      </c>
      <c r="F280" s="526">
        <f t="shared" si="27"/>
        <v>510</v>
      </c>
      <c r="G280" s="526">
        <f t="shared" si="27"/>
        <v>511</v>
      </c>
      <c r="H280" s="526">
        <f t="shared" si="27"/>
        <v>512</v>
      </c>
      <c r="I280" s="526">
        <f t="shared" si="27"/>
        <v>513</v>
      </c>
      <c r="J280" s="526">
        <f t="shared" si="27"/>
        <v>514</v>
      </c>
      <c r="K280" s="526">
        <f t="shared" si="27"/>
        <v>515</v>
      </c>
      <c r="L280" s="526">
        <f t="shared" si="27"/>
        <v>516</v>
      </c>
      <c r="M280" s="526">
        <f t="shared" si="27"/>
        <v>517</v>
      </c>
      <c r="N280" s="526">
        <f t="shared" si="27"/>
        <v>518</v>
      </c>
      <c r="O280" s="526">
        <f t="shared" si="27"/>
        <v>519</v>
      </c>
      <c r="P280" s="526">
        <f t="shared" si="27"/>
        <v>520</v>
      </c>
      <c r="Q280" s="526">
        <f t="shared" si="27"/>
        <v>521</v>
      </c>
      <c r="R280" s="526">
        <f t="shared" si="27"/>
        <v>522</v>
      </c>
      <c r="S280" s="526">
        <f t="shared" si="27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6"/>
        <v>530</v>
      </c>
      <c r="D281" s="526">
        <f t="shared" si="27"/>
        <v>531</v>
      </c>
      <c r="E281" s="526">
        <f t="shared" si="27"/>
        <v>532</v>
      </c>
      <c r="F281" s="526">
        <f t="shared" si="27"/>
        <v>533</v>
      </c>
      <c r="G281" s="526">
        <f t="shared" si="27"/>
        <v>534</v>
      </c>
      <c r="H281" s="526">
        <f t="shared" si="27"/>
        <v>535</v>
      </c>
      <c r="I281" s="526">
        <f t="shared" si="27"/>
        <v>536</v>
      </c>
      <c r="J281" s="526">
        <f t="shared" si="27"/>
        <v>537</v>
      </c>
      <c r="K281" s="526">
        <f t="shared" si="27"/>
        <v>538</v>
      </c>
      <c r="L281" s="526">
        <f t="shared" si="27"/>
        <v>539</v>
      </c>
      <c r="M281" s="526">
        <f t="shared" si="27"/>
        <v>540</v>
      </c>
      <c r="N281" s="526">
        <f t="shared" si="27"/>
        <v>541</v>
      </c>
      <c r="O281" s="526">
        <f t="shared" si="27"/>
        <v>542</v>
      </c>
      <c r="P281" s="526">
        <f t="shared" si="27"/>
        <v>543</v>
      </c>
      <c r="Q281" s="526">
        <f t="shared" si="27"/>
        <v>544</v>
      </c>
      <c r="R281" s="526">
        <f t="shared" si="27"/>
        <v>545</v>
      </c>
      <c r="S281" s="526">
        <f t="shared" si="27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6"/>
        <v>553</v>
      </c>
      <c r="D282" s="526">
        <f t="shared" si="27"/>
        <v>554</v>
      </c>
      <c r="E282" s="526">
        <f t="shared" si="27"/>
        <v>555</v>
      </c>
      <c r="F282" s="526">
        <f t="shared" si="27"/>
        <v>556</v>
      </c>
      <c r="G282" s="526">
        <f t="shared" si="27"/>
        <v>557</v>
      </c>
      <c r="H282" s="526">
        <f t="shared" si="27"/>
        <v>558</v>
      </c>
      <c r="I282" s="526">
        <f t="shared" si="27"/>
        <v>559</v>
      </c>
      <c r="J282" s="526">
        <f t="shared" si="27"/>
        <v>560</v>
      </c>
      <c r="K282" s="526">
        <f t="shared" si="27"/>
        <v>561</v>
      </c>
      <c r="L282" s="526">
        <f t="shared" si="27"/>
        <v>562</v>
      </c>
      <c r="M282" s="526">
        <f t="shared" si="27"/>
        <v>563</v>
      </c>
      <c r="N282" s="526">
        <f t="shared" si="27"/>
        <v>564</v>
      </c>
      <c r="O282" s="526">
        <f t="shared" si="27"/>
        <v>565</v>
      </c>
      <c r="P282" s="526">
        <f t="shared" si="27"/>
        <v>566</v>
      </c>
      <c r="Q282" s="526">
        <f t="shared" si="27"/>
        <v>567</v>
      </c>
      <c r="R282" s="526">
        <f t="shared" si="27"/>
        <v>568</v>
      </c>
      <c r="S282" s="526">
        <f t="shared" si="27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6"/>
        <v>576</v>
      </c>
      <c r="D283" s="526">
        <f t="shared" si="27"/>
        <v>577</v>
      </c>
      <c r="E283" s="526">
        <f t="shared" si="27"/>
        <v>578</v>
      </c>
      <c r="F283" s="526">
        <f t="shared" si="27"/>
        <v>579</v>
      </c>
      <c r="G283" s="526">
        <f t="shared" si="27"/>
        <v>580</v>
      </c>
      <c r="H283" s="526">
        <f t="shared" si="27"/>
        <v>581</v>
      </c>
      <c r="I283" s="526">
        <f t="shared" si="27"/>
        <v>582</v>
      </c>
      <c r="J283" s="526">
        <f t="shared" si="27"/>
        <v>583</v>
      </c>
      <c r="K283" s="526">
        <f t="shared" si="27"/>
        <v>584</v>
      </c>
      <c r="L283" s="526">
        <f t="shared" si="27"/>
        <v>585</v>
      </c>
      <c r="M283" s="526">
        <f t="shared" si="27"/>
        <v>586</v>
      </c>
      <c r="N283" s="526">
        <f t="shared" si="27"/>
        <v>587</v>
      </c>
      <c r="O283" s="526">
        <f t="shared" si="27"/>
        <v>588</v>
      </c>
      <c r="P283" s="526">
        <f t="shared" si="27"/>
        <v>589</v>
      </c>
      <c r="Q283" s="526">
        <f t="shared" si="27"/>
        <v>590</v>
      </c>
      <c r="R283" s="526">
        <f t="shared" si="27"/>
        <v>591</v>
      </c>
      <c r="S283" s="526">
        <f t="shared" si="27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6"/>
        <v>599</v>
      </c>
      <c r="D284" s="526">
        <f t="shared" si="27"/>
        <v>600</v>
      </c>
      <c r="E284" s="526">
        <f t="shared" si="27"/>
        <v>601</v>
      </c>
      <c r="F284" s="526">
        <f t="shared" si="27"/>
        <v>602</v>
      </c>
      <c r="G284" s="526">
        <f t="shared" si="27"/>
        <v>603</v>
      </c>
      <c r="H284" s="526">
        <f t="shared" si="27"/>
        <v>604</v>
      </c>
      <c r="I284" s="526">
        <f t="shared" si="27"/>
        <v>605</v>
      </c>
      <c r="J284" s="526">
        <f t="shared" si="27"/>
        <v>606</v>
      </c>
      <c r="K284" s="526">
        <f t="shared" si="27"/>
        <v>607</v>
      </c>
      <c r="L284" s="526">
        <f t="shared" si="27"/>
        <v>608</v>
      </c>
      <c r="M284" s="526">
        <f t="shared" si="27"/>
        <v>609</v>
      </c>
      <c r="N284" s="526">
        <f t="shared" si="27"/>
        <v>610</v>
      </c>
      <c r="O284" s="526">
        <f t="shared" si="27"/>
        <v>611</v>
      </c>
      <c r="P284" s="526">
        <f t="shared" si="27"/>
        <v>612</v>
      </c>
      <c r="Q284" s="526">
        <f t="shared" si="27"/>
        <v>613</v>
      </c>
      <c r="R284" s="526">
        <f t="shared" si="27"/>
        <v>614</v>
      </c>
      <c r="S284" s="526">
        <f t="shared" si="27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6"/>
        <v>622</v>
      </c>
      <c r="D285" s="526">
        <f t="shared" si="27"/>
        <v>623</v>
      </c>
      <c r="E285" s="526">
        <f t="shared" si="27"/>
        <v>624</v>
      </c>
      <c r="F285" s="526">
        <f t="shared" si="27"/>
        <v>625</v>
      </c>
      <c r="G285" s="526">
        <f t="shared" si="27"/>
        <v>626</v>
      </c>
      <c r="H285" s="526">
        <f t="shared" si="27"/>
        <v>627</v>
      </c>
      <c r="I285" s="526">
        <f t="shared" si="27"/>
        <v>628</v>
      </c>
      <c r="J285" s="526">
        <f t="shared" si="27"/>
        <v>629</v>
      </c>
      <c r="K285" s="526">
        <f t="shared" si="27"/>
        <v>630</v>
      </c>
      <c r="L285" s="526">
        <f t="shared" si="27"/>
        <v>631</v>
      </c>
      <c r="M285" s="526">
        <f t="shared" si="27"/>
        <v>632</v>
      </c>
      <c r="N285" s="526">
        <f t="shared" si="27"/>
        <v>633</v>
      </c>
      <c r="O285" s="526">
        <f t="shared" si="27"/>
        <v>634</v>
      </c>
      <c r="P285" s="526">
        <f t="shared" si="27"/>
        <v>635</v>
      </c>
      <c r="Q285" s="526">
        <f t="shared" si="27"/>
        <v>636</v>
      </c>
      <c r="R285" s="526">
        <f t="shared" si="27"/>
        <v>637</v>
      </c>
      <c r="S285" s="526">
        <f t="shared" si="27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6"/>
        <v>645</v>
      </c>
      <c r="D286" s="526">
        <f t="shared" si="27"/>
        <v>646</v>
      </c>
      <c r="E286" s="526">
        <f t="shared" si="27"/>
        <v>647</v>
      </c>
      <c r="F286" s="526">
        <f t="shared" si="27"/>
        <v>648</v>
      </c>
      <c r="G286" s="526">
        <f t="shared" si="27"/>
        <v>649</v>
      </c>
      <c r="H286" s="526">
        <f t="shared" si="27"/>
        <v>650</v>
      </c>
      <c r="I286" s="526">
        <f t="shared" si="27"/>
        <v>651</v>
      </c>
      <c r="J286" s="526">
        <f t="shared" si="27"/>
        <v>652</v>
      </c>
      <c r="K286" s="526">
        <f t="shared" si="27"/>
        <v>653</v>
      </c>
      <c r="L286" s="526">
        <f t="shared" si="27"/>
        <v>654</v>
      </c>
      <c r="M286" s="526">
        <f t="shared" si="27"/>
        <v>655</v>
      </c>
      <c r="N286" s="526">
        <f t="shared" si="27"/>
        <v>656</v>
      </c>
      <c r="O286" s="526">
        <f t="shared" si="27"/>
        <v>657</v>
      </c>
      <c r="P286" s="526">
        <f t="shared" si="27"/>
        <v>658</v>
      </c>
      <c r="Q286" s="526">
        <f t="shared" si="27"/>
        <v>659</v>
      </c>
      <c r="R286" s="526">
        <f t="shared" si="27"/>
        <v>660</v>
      </c>
      <c r="S286" s="526">
        <f t="shared" si="28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FF0000"/>
  </sheetPr>
  <dimension ref="A2:AN286"/>
  <sheetViews>
    <sheetView topLeftCell="A4"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57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Westpower</v>
      </c>
      <c r="C6" s="108"/>
      <c r="D6" s="109">
        <f>VLOOKUP($B$6,$B$258:$J$286,9,FALSE)</f>
        <v>652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17.738</v>
      </c>
      <c r="E7" s="407">
        <f>D7/('Industry calcs'!D4/1000)*100</f>
        <v>0.86050620800596878</v>
      </c>
    </row>
    <row r="8" spans="2:5">
      <c r="B8" s="111" t="s">
        <v>250</v>
      </c>
      <c r="C8" s="114"/>
      <c r="D8" s="406">
        <f>VLOOKUP(D6,'AV (2011)'!A8:F214,'AV (2011)'!F214,FALSE)/1000</f>
        <v>115.04546000000001</v>
      </c>
      <c r="E8" s="407">
        <f>D8/('Industry calcs'!D5/1000)*100</f>
        <v>1.2818234346146544</v>
      </c>
    </row>
    <row r="9" spans="2:5">
      <c r="B9" s="111" t="s">
        <v>230</v>
      </c>
      <c r="C9" s="114"/>
      <c r="D9" s="406">
        <f>VLOOKUP($D$6,'FS (2011)'!$A$13:$AH$244,'FS (2011)'!S245,FALSE)/1000</f>
        <v>7.5389999999999997</v>
      </c>
      <c r="E9" s="407">
        <f>D9/('Industry calcs'!D6/1000)*100</f>
        <v>1.6605454033565714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3.956</v>
      </c>
      <c r="E10" s="407">
        <f>D10/('Industry calcs'!D7/1000)*100</f>
        <v>0.67604503296580276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293.46600000000001</v>
      </c>
      <c r="E11" s="407">
        <f>D11/'Industry calcs'!D8*100</f>
        <v>0.94832414122394681</v>
      </c>
    </row>
    <row r="12" spans="2:5">
      <c r="B12" s="111" t="s">
        <v>234</v>
      </c>
      <c r="C12" s="114" t="s">
        <v>235</v>
      </c>
      <c r="D12" s="406">
        <f>VLOOKUP($D$6,'MP (2011)'!$A$8:$CS$245,'MP (2011)'!$L$246,FALSE)</f>
        <v>55</v>
      </c>
      <c r="E12" s="407">
        <f>D12/'Industry calcs'!D9*100</f>
        <v>0.87954296133191723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2151</v>
      </c>
      <c r="E13" s="407">
        <f>D13/'Industry calcs'!D10*100</f>
        <v>1.4381245204155588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12876</v>
      </c>
      <c r="E14" s="407">
        <f>D14/'Industry calcs'!D11*100</f>
        <v>0.64101957758223704</v>
      </c>
    </row>
    <row r="15" spans="2:5">
      <c r="B15" s="115" t="s">
        <v>195</v>
      </c>
      <c r="C15" s="116" t="s">
        <v>239</v>
      </c>
      <c r="D15" s="408">
        <f>D14/D13</f>
        <v>5.9860529986052997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Westpower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27.053090397574444</v>
      </c>
      <c r="D20" s="409">
        <f>VLOOKUP($B$2,'MED price allocation'!$B$16:$F$44,3,FALSE)</f>
        <v>28.072672798407567</v>
      </c>
      <c r="E20" s="409">
        <f>VLOOKUP($B$2,'MED price allocation'!$B$16:$F$44,4,FALSE)</f>
        <v>28.315473040338439</v>
      </c>
      <c r="F20" s="503">
        <f>VLOOKUP($B$2,'MED price allocation'!$B$16:$F$44,5,FALSE)</f>
        <v>29.582857142857151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8.5493228023153023</v>
      </c>
      <c r="D21" s="410">
        <f>VLOOKUP($B$2,'MED price allocation'!$B$47:$F$75,3,FALSE)</f>
        <v>8.5642803212300063</v>
      </c>
      <c r="E21" s="410">
        <f>VLOOKUP($B$2,'MED price allocation'!$B$47:$F$75,4,FALSE)</f>
        <v>8.8231144404623958</v>
      </c>
      <c r="F21" s="504">
        <f>VLOOKUP($B$2,'MED price allocation'!$B$47:$F$75,5,FALSE)</f>
        <v>9.3000000000000007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10.047880014827065</v>
      </c>
      <c r="D22" s="409">
        <f>VLOOKUP($B$2,'MED price allocation'!$B$78:$F$106,3,FALSE)</f>
        <v>10.007231793534213</v>
      </c>
      <c r="E22" s="409">
        <f>VLOOKUP($B$2,'MED price allocation'!$B$78:$F$106,4,FALSE)</f>
        <v>10.239295626633613</v>
      </c>
      <c r="F22" s="503">
        <f>VLOOKUP($B$2,'MED price allocation'!$B$78:$F$106,5,FALSE)</f>
        <v>10.72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1.4985572125117614</v>
      </c>
      <c r="D23" s="411">
        <f>VLOOKUP($B$2,'MED price allocation'!$B$109:$F$137,3,FALSE)</f>
        <v>1.442951472304207</v>
      </c>
      <c r="E23" s="411">
        <f>VLOOKUP($B$2,'MED price allocation'!$B$109:$F$137,4,FALSE)</f>
        <v>1.4161811861712155</v>
      </c>
      <c r="F23" s="505">
        <f>VLOOKUP($B$2,'MED price allocation'!$B$109:$F$137,5,FALSE)</f>
        <v>1.4200000000000002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Westpower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2164.2472318059554</v>
      </c>
      <c r="D26" s="412">
        <f>(D20*8000)/100</f>
        <v>2245.8138238726051</v>
      </c>
      <c r="E26" s="412">
        <f>(E20*8000)/100</f>
        <v>2265.2378432270752</v>
      </c>
      <c r="F26" s="506">
        <f>(F20*8000)/100</f>
        <v>2366.6285714285723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803.8304011861652</v>
      </c>
      <c r="D27" s="412">
        <f>(D22*8000)/100</f>
        <v>800.57854348273702</v>
      </c>
      <c r="E27" s="412">
        <f>(E22*8000)/100</f>
        <v>819.14365013068902</v>
      </c>
      <c r="F27" s="506">
        <f>(F22*8000)/100</f>
        <v>857.6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683.94582418522418</v>
      </c>
      <c r="D28" s="412">
        <f>(D21*8000)/100</f>
        <v>685.14242569840053</v>
      </c>
      <c r="E28" s="412">
        <f>(E21*8000)/100</f>
        <v>705.84915523699169</v>
      </c>
      <c r="F28" s="506">
        <f>(F21*8000)/100</f>
        <v>744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119.88457700094092</v>
      </c>
      <c r="D29" s="413">
        <f>(D23*8000)/100</f>
        <v>115.43611778433655</v>
      </c>
      <c r="E29" s="413">
        <f>(E23*8000)/100</f>
        <v>113.29449489369723</v>
      </c>
      <c r="F29" s="507">
        <f>(F23*8000)/100</f>
        <v>113.60000000000002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Westpower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2260.4818675835522</v>
      </c>
      <c r="D32" s="122"/>
    </row>
    <row r="33" spans="2:13">
      <c r="B33" s="120" t="s">
        <v>241</v>
      </c>
      <c r="C33" s="412">
        <f>AVERAGE(C27:F27)</f>
        <v>820.28814869989776</v>
      </c>
      <c r="D33" s="414">
        <f>C33/$C$32</f>
        <v>0.36288198567891328</v>
      </c>
    </row>
    <row r="34" spans="2:13">
      <c r="B34" s="120" t="s">
        <v>222</v>
      </c>
      <c r="C34" s="412">
        <f>AVERAGE(C28:F28)</f>
        <v>704.7343512801541</v>
      </c>
      <c r="D34" s="414">
        <f>C34/$C$32</f>
        <v>0.31176288621749171</v>
      </c>
    </row>
    <row r="35" spans="2:13">
      <c r="B35" s="124" t="s">
        <v>223</v>
      </c>
      <c r="C35" s="413">
        <f>AVERAGE(C29:F29)</f>
        <v>115.55379741974367</v>
      </c>
      <c r="D35" s="415">
        <f>C35/$C$32</f>
        <v>5.111909946142161E-2</v>
      </c>
    </row>
    <row r="38" spans="2:13">
      <c r="B38" s="517" t="s">
        <v>227</v>
      </c>
      <c r="C38" s="518">
        <f>VLOOKUP($B$2,$B$258:$J$286,6,FALSE)</f>
        <v>649</v>
      </c>
      <c r="D38" s="518">
        <f>VLOOKUP($B$2,$B$258:$J$286,7,FALSE)</f>
        <v>650</v>
      </c>
      <c r="E38" s="518">
        <f>VLOOKUP($B$2,$B$258:$J$286,8,FALSE)</f>
        <v>651</v>
      </c>
      <c r="F38" s="519">
        <f>VLOOKUP($B$2,$B$258:$J$286,9,FALSE)</f>
        <v>652</v>
      </c>
    </row>
    <row r="39" spans="2:13">
      <c r="B39" s="137" t="str">
        <f>B2</f>
        <v>Westpower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16890.572552821417</v>
      </c>
      <c r="D40" s="418">
        <f>VLOOKUP($D$38,'FS (2011)'!$A$13:$AH$244,'FS (2011)'!E245,FALSE)</f>
        <v>17377.703342713976</v>
      </c>
      <c r="E40" s="418">
        <f>VLOOKUP($E$38,'FS (2011)'!$A$13:$AH$244,'FS (2011)'!E245,FALSE)</f>
        <v>18643.668723559051</v>
      </c>
      <c r="F40" s="419">
        <f>VLOOKUP($F$38,'FS (2011)'!$A$13:$AH$244,'FS (2011)'!E245,FALSE)</f>
        <v>18018</v>
      </c>
    </row>
    <row r="41" spans="2:13" ht="30">
      <c r="B41" s="120" t="s">
        <v>198</v>
      </c>
      <c r="C41" s="417">
        <f>VLOOKUP($C$38,'FS (2011)'!$A$13:$AH$244,'FS (2011)'!$F$245,FALSE)</f>
        <v>4905.3491488694362</v>
      </c>
      <c r="D41" s="418">
        <f>VLOOKUP($D$38,'FS (2011)'!$A$13:$AH$244,'FS (2011)'!$F$245,FALSE)</f>
        <v>1439.8371885510326</v>
      </c>
      <c r="E41" s="418">
        <f>VLOOKUP($E$38,'FS (2011)'!$A$13:$AH$244,'FS (2011)'!$F$245,FALSE)</f>
        <v>477.83379590956855</v>
      </c>
      <c r="F41" s="419">
        <f>VLOOKUP($F$38,'FS (2011)'!$A$13:$AH$244,'FS (2011)'!$F$245,FALSE)</f>
        <v>342</v>
      </c>
    </row>
    <row r="42" spans="2:13">
      <c r="B42" s="120" t="s">
        <v>13</v>
      </c>
      <c r="C42" s="417">
        <f>VLOOKUP($C$38,'FS (2011)'!$A$13:$AH$244,'FS (2011)'!$H$245,FALSE)</f>
        <v>404.28701776396451</v>
      </c>
      <c r="D42" s="418">
        <f>VLOOKUP($D$38,'FS (2011)'!$A$13:$AH$244,'FS (2011)'!$H$245,FALSE)</f>
        <v>378.90452330290333</v>
      </c>
      <c r="E42" s="418">
        <f>VLOOKUP($E$38,'FS (2011)'!$A$13:$AH$244,'FS (2011)'!$H$245,FALSE)</f>
        <v>395.3081296650588</v>
      </c>
      <c r="F42" s="419">
        <f>VLOOKUP($F$38,'FS (2011)'!$A$13:$AH$244,'FS (2011)'!$H$245,FALSE)</f>
        <v>378</v>
      </c>
    </row>
    <row r="43" spans="2:13">
      <c r="B43" s="124" t="s">
        <v>5</v>
      </c>
      <c r="C43" s="420">
        <f>SUM(C40:C42)</f>
        <v>22200.208719454815</v>
      </c>
      <c r="D43" s="420">
        <f>SUM(D40:D42)</f>
        <v>19196.44505456791</v>
      </c>
      <c r="E43" s="420">
        <f>SUM(E40:E42)</f>
        <v>19516.81064913368</v>
      </c>
      <c r="F43" s="421">
        <f>SUM(F40:F42)</f>
        <v>18738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Westpower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102.88403953370538</v>
      </c>
      <c r="E46" s="422">
        <f>IF(ISERROR(E40/$C40),"",(E40/$C40))*100</f>
        <v>110.37913999217743</v>
      </c>
      <c r="F46" s="423">
        <f>IF(ISERROR(F40/$C40),"",(F40/$C40))*100</f>
        <v>106.67489182887562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29.35238950081423</v>
      </c>
      <c r="E47" s="422">
        <f t="shared" si="0"/>
        <v>9.7410761478558072</v>
      </c>
      <c r="F47" s="423">
        <f t="shared" si="0"/>
        <v>6.9719807830360594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93.72166472189808</v>
      </c>
      <c r="E48" s="422">
        <f t="shared" si="0"/>
        <v>97.779080775690929</v>
      </c>
      <c r="F48" s="423">
        <f t="shared" si="0"/>
        <v>93.497931764083575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86.469660250290332</v>
      </c>
      <c r="E49" s="424">
        <f t="shared" si="0"/>
        <v>87.912734946633279</v>
      </c>
      <c r="F49" s="416">
        <f t="shared" si="0"/>
        <v>84.404611852046415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Westpower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7569.331071255453</v>
      </c>
      <c r="D54" s="426">
        <f>VLOOKUP($D$38,'MP (2011)'!$A$14:$AR$245,'MP (2011)'!$Z$246,FALSE)</f>
        <v>7680.8618299128266</v>
      </c>
      <c r="E54" s="426">
        <f>VLOOKUP($E$38,'MP (2011)'!$A$14:$AR$245,'MP (2011)'!$Z$246,FALSE)</f>
        <v>8041.6676996038896</v>
      </c>
      <c r="F54" s="427">
        <f>VLOOKUP($F$38,'MP (2011)'!$A$14:$AR$245,'MP (2011)'!$Z$246,FALSE)</f>
        <v>8157</v>
      </c>
    </row>
    <row r="55" spans="2:23">
      <c r="B55" s="111" t="s">
        <v>180</v>
      </c>
      <c r="C55" s="425">
        <f>VLOOKUP($C$38,'MP (2011)'!$A$14:$AR$245,'MP (2011)'!$AD$246,FALSE)</f>
        <v>4599.1691140828598</v>
      </c>
      <c r="D55" s="426">
        <f>VLOOKUP($D$38,'MP (2011)'!$A$14:$AR$245,'MP (2011)'!$AD$246,FALSE)</f>
        <v>4784.577939460497</v>
      </c>
      <c r="E55" s="426">
        <f>VLOOKUP($E$38,'MP (2011)'!$A$14:$AR$245,'MP (2011)'!$AD$246,FALSE)</f>
        <v>5122.7043194740099</v>
      </c>
      <c r="F55" s="427">
        <f>VLOOKUP($F$38,'MP (2011)'!$A$14:$AR$245,'MP (2011)'!$AD$246,FALSE)</f>
        <v>5255</v>
      </c>
      <c r="J55" s="139"/>
    </row>
    <row r="56" spans="2:23">
      <c r="B56" s="111" t="s">
        <v>184</v>
      </c>
      <c r="C56" s="425">
        <f>VLOOKUP($C$38,'MP (2011)'!$A$14:$AR$245,'MP (2011)'!$AH$246,FALSE)</f>
        <v>2185.306093353483</v>
      </c>
      <c r="D56" s="426">
        <f>VLOOKUP($D$38,'MP (2011)'!$A$14:$AR$245,'MP (2011)'!$AH$246,FALSE)</f>
        <v>1524.9609444711368</v>
      </c>
      <c r="E56" s="426">
        <f>VLOOKUP($E$38,'MP (2011)'!$A$14:$AR$245,'MP (2011)'!$AH$246,FALSE)</f>
        <v>1922.5423728813557</v>
      </c>
      <c r="F56" s="427">
        <f>VLOOKUP($F$38,'MP (2011)'!$A$14:$AR$245,'MP (2011)'!$AH$246,FALSE)</f>
        <v>1562</v>
      </c>
    </row>
    <row r="57" spans="2:23">
      <c r="B57" s="111" t="s">
        <v>181</v>
      </c>
      <c r="C57" s="425">
        <f>VLOOKUP($C$38,'MP (2011)'!$A$14:$AR$245,'MP (2011)'!$AL$246,FALSE)</f>
        <v>2536.7662741296226</v>
      </c>
      <c r="D57" s="426">
        <f>VLOOKUP($D$38,'MP (2011)'!$A$14:$AR$245,'MP (2011)'!$AL$246,FALSE)</f>
        <v>3387.3026288695164</v>
      </c>
      <c r="E57" s="426">
        <f>VLOOKUP($E$38,'MP (2011)'!$A$14:$AR$245,'MP (2011)'!$AL$246,FALSE)</f>
        <v>3556.7543315997946</v>
      </c>
      <c r="F57" s="427">
        <f>VLOOKUP($F$38,'MP (2011)'!$A$14:$AR$245,'MP (2011)'!$AL$246,FALSE)</f>
        <v>3043</v>
      </c>
      <c r="W57" s="139"/>
    </row>
    <row r="58" spans="2:23">
      <c r="B58" s="147" t="s">
        <v>248</v>
      </c>
      <c r="C58" s="428">
        <f>SUM(C54:C57)</f>
        <v>16890.572552821417</v>
      </c>
      <c r="D58" s="428">
        <f>SUM(D54:D57)</f>
        <v>17377.703342713976</v>
      </c>
      <c r="E58" s="428">
        <f>SUM(E54:E57)</f>
        <v>18643.668723559047</v>
      </c>
      <c r="F58" s="429">
        <f>SUM(F54:F57)</f>
        <v>18017</v>
      </c>
    </row>
    <row r="59" spans="2:23">
      <c r="B59" s="103" t="s">
        <v>302</v>
      </c>
    </row>
    <row r="60" spans="2:23">
      <c r="B60" s="137" t="str">
        <f>$B$2</f>
        <v>Westpower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101.47345594488411</v>
      </c>
      <c r="E61" s="422">
        <f t="shared" si="1"/>
        <v>106.24013699363918</v>
      </c>
      <c r="F61" s="423">
        <f t="shared" si="1"/>
        <v>107.76381589353676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104.03135481167472</v>
      </c>
      <c r="E62" s="422">
        <f t="shared" si="1"/>
        <v>111.38325624487393</v>
      </c>
      <c r="F62" s="423">
        <f t="shared" si="1"/>
        <v>114.25976887670768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69.782487181509339</v>
      </c>
      <c r="E63" s="422">
        <f t="shared" si="1"/>
        <v>87.975884876205114</v>
      </c>
      <c r="F63" s="423">
        <f t="shared" si="1"/>
        <v>71.477401026371439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133.52836890863023</v>
      </c>
      <c r="E64" s="422">
        <f t="shared" si="1"/>
        <v>140.20820001717087</v>
      </c>
      <c r="F64" s="423">
        <f t="shared" si="1"/>
        <v>119.95586787135399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102.88403953370538</v>
      </c>
      <c r="E65" s="424">
        <f t="shared" si="1"/>
        <v>110.37913999217741</v>
      </c>
      <c r="F65" s="416">
        <f t="shared" si="1"/>
        <v>106.66897136645865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Westpower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 t="shared" ref="C70:F73" si="2">(C54/C98)*1000</f>
        <v>653.82491761729739</v>
      </c>
      <c r="D70" s="433">
        <f t="shared" si="2"/>
        <v>652.74597007842499</v>
      </c>
      <c r="E70" s="433">
        <f t="shared" si="2"/>
        <v>675.14631010023413</v>
      </c>
      <c r="F70" s="434">
        <f t="shared" si="2"/>
        <v>678.22399600897973</v>
      </c>
    </row>
    <row r="71" spans="2:40">
      <c r="B71" s="111" t="s">
        <v>180</v>
      </c>
      <c r="C71" s="433">
        <f t="shared" si="2"/>
        <v>5664.0013720232264</v>
      </c>
      <c r="D71" s="433">
        <f t="shared" si="2"/>
        <v>5806.5266255588549</v>
      </c>
      <c r="E71" s="433">
        <f t="shared" si="2"/>
        <v>6062.3719757088875</v>
      </c>
      <c r="F71" s="434">
        <f t="shared" si="2"/>
        <v>6354.2926239419585</v>
      </c>
    </row>
    <row r="72" spans="2:40">
      <c r="B72" s="111" t="s">
        <v>184</v>
      </c>
      <c r="C72" s="433">
        <f t="shared" si="2"/>
        <v>109265.30466767415</v>
      </c>
      <c r="D72" s="433">
        <f t="shared" si="2"/>
        <v>72617.187831958901</v>
      </c>
      <c r="E72" s="433">
        <f t="shared" si="2"/>
        <v>91549.636803874077</v>
      </c>
      <c r="F72" s="434">
        <f t="shared" si="2"/>
        <v>91882.352941176461</v>
      </c>
    </row>
    <row r="73" spans="2:40">
      <c r="B73" s="115" t="s">
        <v>181</v>
      </c>
      <c r="C73" s="435">
        <f t="shared" si="2"/>
        <v>507353.25482592452</v>
      </c>
      <c r="D73" s="435">
        <f t="shared" si="2"/>
        <v>677460.52577390336</v>
      </c>
      <c r="E73" s="435">
        <f t="shared" si="2"/>
        <v>711350.86631995882</v>
      </c>
      <c r="F73" s="436">
        <f t="shared" si="2"/>
        <v>608600</v>
      </c>
    </row>
    <row r="74" spans="2:40">
      <c r="B74" s="103" t="s">
        <v>303</v>
      </c>
    </row>
    <row r="75" spans="2:40">
      <c r="B75" s="137" t="str">
        <f>$B$2</f>
        <v>Westpower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99.834979134352309</v>
      </c>
      <c r="E76" s="422">
        <f t="shared" si="3"/>
        <v>103.26102476495348</v>
      </c>
      <c r="F76" s="423">
        <f t="shared" si="3"/>
        <v>103.73174495713604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102.5163350814076</v>
      </c>
      <c r="E77" s="422">
        <f t="shared" si="3"/>
        <v>107.03337759862441</v>
      </c>
      <c r="F77" s="423">
        <f t="shared" si="3"/>
        <v>112.18734259720271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66.45951160143747</v>
      </c>
      <c r="E78" s="422">
        <f t="shared" si="3"/>
        <v>83.786557024957247</v>
      </c>
      <c r="F78" s="423">
        <f t="shared" si="3"/>
        <v>84.091060031025208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133.52836890863026</v>
      </c>
      <c r="E79" s="424">
        <f t="shared" si="3"/>
        <v>140.20820001717087</v>
      </c>
      <c r="F79" s="416">
        <f t="shared" si="3"/>
        <v>119.95586787135399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Westpower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9.6348502727214846</v>
      </c>
      <c r="D84" s="437">
        <f>(D54/VLOOKUP($D$38,'MP (2011)'!$A$14:$AR$245,'MP (2011)'!$AA$246,FALSE)*100)</f>
        <v>9.5041351092764135</v>
      </c>
      <c r="E84" s="437">
        <f>(E54/VLOOKUP($E$38,'MP (2011)'!$A$14:$AR$245,'MP (2011)'!$AA$246,FALSE)*100)</f>
        <v>9.7085242235441918</v>
      </c>
      <c r="F84" s="438">
        <f>(F54/VLOOKUP($F$38,'MP (2011)'!$A$14:$AR$245,'MP (2011)'!$AA$246,FALSE)*100)</f>
        <v>9.9984065307723426</v>
      </c>
    </row>
    <row r="85" spans="2:7">
      <c r="B85" s="111" t="s">
        <v>180</v>
      </c>
      <c r="C85" s="430">
        <f>(C55/VLOOKUP($C$38,'MP (2011)'!$A$14:$AR$245,'MP (2011)'!$AE$246,FALSE)*100)</f>
        <v>8.1349390018445948</v>
      </c>
      <c r="D85" s="437">
        <f>(D55/VLOOKUP($D$38,'MP (2011)'!$A$14:$AR$245,'MP (2011)'!$AE$246,FALSE)*100)</f>
        <v>8.0593224172696907</v>
      </c>
      <c r="E85" s="437">
        <f>(E55/VLOOKUP($E$38,'MP (2011)'!$A$14:$AR$245,'MP (2011)'!$AE$246,FALSE)*100)</f>
        <v>8.3123001224670769</v>
      </c>
      <c r="F85" s="438">
        <f>(F55/VLOOKUP($F$38,'MP (2011)'!$A$14:$AR$245,'MP (2011)'!$AE$246,FALSE)*100)</f>
        <v>8.4529018144382952</v>
      </c>
    </row>
    <row r="86" spans="2:7">
      <c r="B86" s="111" t="s">
        <v>184</v>
      </c>
      <c r="C86" s="430">
        <f>(C56/VLOOKUP($C$38,'MP (2011)'!$A$14:$AR$245,'MP (2011)'!$AI$246,FALSE)*100)</f>
        <v>9.4186108669661355</v>
      </c>
      <c r="D86" s="437">
        <f>(D56/VLOOKUP($D$38,'MP (2011)'!$A$14:$AR$245,'MP (2011)'!$AI$246,FALSE)*100)</f>
        <v>6.3624872516319124</v>
      </c>
      <c r="E86" s="437">
        <f>(E56/VLOOKUP($E$38,'MP (2011)'!$A$14:$AR$245,'MP (2011)'!$AI$246,FALSE)*100)</f>
        <v>7.6920155752634862</v>
      </c>
      <c r="F86" s="438">
        <f>(F56/VLOOKUP($F$38,'MP (2011)'!$A$14:$AR$245,'MP (2011)'!$AI$246,FALSE)*100)</f>
        <v>6.1996427862671162</v>
      </c>
    </row>
    <row r="87" spans="2:7">
      <c r="B87" s="115" t="s">
        <v>181</v>
      </c>
      <c r="C87" s="431">
        <f>(C57/VLOOKUP($C$38,'MP (2011)'!$A$14:$AR$245,'MP (2011)'!$AM$246,FALSE)*100)</f>
        <v>2.9217675893825632</v>
      </c>
      <c r="D87" s="431">
        <f>(D57/VLOOKUP($D$38,'MP (2011)'!$A$14:$AR$245,'MP (2011)'!$AM$246,FALSE)*100)</f>
        <v>3.1432599280553024</v>
      </c>
      <c r="E87" s="431">
        <f>(E57/VLOOKUP($E$38,'MP (2011)'!$A$14:$AR$245,'MP (2011)'!$AM$246,FALSE)*100)</f>
        <v>2.8472256897212573</v>
      </c>
      <c r="F87" s="432">
        <f>(F57/VLOOKUP($F$38,'MP (2011)'!$A$14:$AR$245,'MP (2011)'!$AM$246,FALSE)*100)</f>
        <v>2.4437841310632828</v>
      </c>
    </row>
    <row r="88" spans="2:7">
      <c r="B88" s="103" t="s">
        <v>304</v>
      </c>
    </row>
    <row r="89" spans="2:7">
      <c r="B89" s="137" t="str">
        <f>$B$2</f>
        <v>Westpower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98.643308824267294</v>
      </c>
      <c r="E90" s="422">
        <f>IF(ISERROR(E84/$C84),"",(E84/$C84)*100)</f>
        <v>100.7646610869636</v>
      </c>
      <c r="F90" s="423">
        <f>IF(ISERROR(F84/$C84),"",(F84/$C84)*100)</f>
        <v>103.77334621462848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99.070471400489197</v>
      </c>
      <c r="E91" s="422">
        <f t="shared" si="4"/>
        <v>102.18023909684221</v>
      </c>
      <c r="F91" s="423">
        <f t="shared" si="4"/>
        <v>103.9086072129318</v>
      </c>
    </row>
    <row r="92" spans="2:7">
      <c r="B92" s="111" t="s">
        <v>184</v>
      </c>
      <c r="C92" s="422">
        <f t="shared" si="4"/>
        <v>100</v>
      </c>
      <c r="D92" s="422">
        <f t="shared" si="4"/>
        <v>67.552289201659704</v>
      </c>
      <c r="E92" s="422">
        <f t="shared" si="4"/>
        <v>81.668259618216837</v>
      </c>
      <c r="F92" s="423">
        <f t="shared" si="4"/>
        <v>65.823324414124642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107.5807651326417</v>
      </c>
      <c r="E93" s="424">
        <f>IF(ISERROR(E87/$C87),"",(E87/$C87)*100)</f>
        <v>97.448739594066808</v>
      </c>
      <c r="F93" s="416">
        <f>IF(ISERROR(F87/$C87),"",(F87/$C87)*100)</f>
        <v>83.640606458356629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11577</v>
      </c>
      <c r="D98" s="150">
        <f>VLOOKUP($D$38,'MP (2011)'!$A$14:$AR$245,'MP (2011)'!$AB$246,FALSE)</f>
        <v>11767</v>
      </c>
      <c r="E98" s="150">
        <f>VLOOKUP($E$38,'MP (2011)'!$A$14:$AR$245,'MP (2011)'!$AB$246,FALSE)</f>
        <v>11911</v>
      </c>
      <c r="F98" s="151">
        <f>VLOOKUP($F$38,'MP (2011)'!$A$14:$AR$245,'MP (2011)'!$AB$246,FALSE)</f>
        <v>12027</v>
      </c>
    </row>
    <row r="99" spans="2:7">
      <c r="B99" s="155" t="s">
        <v>309</v>
      </c>
      <c r="C99" s="150">
        <f>VLOOKUP($C$38,'MP (2011)'!$A$14:$AR$245,'MP (2011)'!$AF$246,FALSE)</f>
        <v>812</v>
      </c>
      <c r="D99" s="150">
        <f>VLOOKUP($D$38,'MP (2011)'!$A$14:$AR$245,'MP (2011)'!$AF$246,FALSE)</f>
        <v>824</v>
      </c>
      <c r="E99" s="150">
        <f>VLOOKUP($E$38,'MP (2011)'!$A$14:$AR$245,'MP (2011)'!$AF$246,FALSE)</f>
        <v>845</v>
      </c>
      <c r="F99" s="151">
        <f>VLOOKUP($F$38,'MP (2011)'!$A$14:$AR$245,'MP (2011)'!$AF$246,FALSE)</f>
        <v>827</v>
      </c>
    </row>
    <row r="100" spans="2:7">
      <c r="B100" s="155" t="s">
        <v>310</v>
      </c>
      <c r="C100" s="150">
        <f>VLOOKUP($C$38,'MP (2011)'!$A$14:$AR$245,'MP (2011)'!$AJ$246,FALSE)</f>
        <v>20</v>
      </c>
      <c r="D100" s="150">
        <f>VLOOKUP($D$38,'MP (2011)'!$A$14:$AR$245,'MP (2011)'!$AJ$246,FALSE)</f>
        <v>21</v>
      </c>
      <c r="E100" s="150">
        <f>VLOOKUP($E$38,'MP (2011)'!$A$14:$AR$245,'MP (2011)'!$AJ$246,FALSE)</f>
        <v>21</v>
      </c>
      <c r="F100" s="151">
        <f>VLOOKUP($F$38,'MP (2011)'!$A$14:$AR$245,'MP (2011)'!$AJ$246,FALSE)</f>
        <v>17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12414</v>
      </c>
      <c r="D102" s="152">
        <f>SUM(D98:D101)</f>
        <v>12617</v>
      </c>
      <c r="E102" s="152">
        <f>SUM(E98:E101)</f>
        <v>12782</v>
      </c>
      <c r="F102" s="157">
        <f>SUM(F98:F101)</f>
        <v>12876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101.64118510840458</v>
      </c>
      <c r="E105" s="422">
        <f t="shared" si="5"/>
        <v>102.88503066424808</v>
      </c>
      <c r="F105" s="423">
        <f t="shared" si="5"/>
        <v>103.88701736201089</v>
      </c>
    </row>
    <row r="106" spans="2:7">
      <c r="B106" s="111" t="s">
        <v>180</v>
      </c>
      <c r="C106" s="422">
        <f t="shared" si="5"/>
        <v>100</v>
      </c>
      <c r="D106" s="422">
        <f t="shared" si="5"/>
        <v>101.47783251231527</v>
      </c>
      <c r="E106" s="422">
        <f t="shared" si="5"/>
        <v>104.06403940886699</v>
      </c>
      <c r="F106" s="423">
        <f t="shared" si="5"/>
        <v>101.84729064039408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105</v>
      </c>
      <c r="E107" s="422">
        <f t="shared" si="5"/>
        <v>105</v>
      </c>
      <c r="F107" s="423">
        <f t="shared" si="5"/>
        <v>85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Westpower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78562</v>
      </c>
      <c r="D113" s="150">
        <f>VLOOKUP($D$38,'MP (2011)'!$A$14:$AR$245,'MP (2011)'!$AA$246,FALSE)</f>
        <v>80816</v>
      </c>
      <c r="E113" s="150">
        <f>VLOOKUP($E$38,'MP (2011)'!$A$14:$AR$245,'MP (2011)'!$AA$246,FALSE)</f>
        <v>82831</v>
      </c>
      <c r="F113" s="151">
        <f>VLOOKUP($F$38,'MP (2011)'!$A$14:$AR$245,'MP (2011)'!$AA$246,FALSE)</f>
        <v>81583</v>
      </c>
    </row>
    <row r="114" spans="2:7">
      <c r="B114" s="155" t="s">
        <v>309</v>
      </c>
      <c r="C114" s="150">
        <f>VLOOKUP($C$38,'MP (2011)'!$A$14:$AR$245,'MP (2011)'!$AE$246,FALSE)</f>
        <v>56536</v>
      </c>
      <c r="D114" s="150">
        <f>VLOOKUP($D$38,'MP (2011)'!$A$14:$AR$245,'MP (2011)'!$AE$246,FALSE)</f>
        <v>59367</v>
      </c>
      <c r="E114" s="150">
        <f>VLOOKUP($E$38,'MP (2011)'!$A$14:$AR$245,'MP (2011)'!$AE$246,FALSE)</f>
        <v>61628</v>
      </c>
      <c r="F114" s="151">
        <f>VLOOKUP($F$38,'MP (2011)'!$A$14:$AR$245,'MP (2011)'!$AE$246,FALSE)</f>
        <v>62168</v>
      </c>
    </row>
    <row r="115" spans="2:7">
      <c r="B115" s="155" t="s">
        <v>310</v>
      </c>
      <c r="C115" s="150">
        <f>VLOOKUP($C$38,'MP (2011)'!$A$14:$AR$245,'MP (2011)'!$AI$246,FALSE)</f>
        <v>23202</v>
      </c>
      <c r="D115" s="150">
        <f>VLOOKUP($D$38,'MP (2011)'!$A$14:$AR$245,'MP (2011)'!$AI$246,FALSE)</f>
        <v>23968</v>
      </c>
      <c r="E115" s="150">
        <f>VLOOKUP($E$38,'MP (2011)'!$A$14:$AR$245,'MP (2011)'!$AI$246,FALSE)</f>
        <v>24994</v>
      </c>
      <c r="F115" s="151">
        <f>VLOOKUP($F$38,'MP (2011)'!$A$14:$AR$245,'MP (2011)'!$AI$246,FALSE)</f>
        <v>25195</v>
      </c>
    </row>
    <row r="116" spans="2:7">
      <c r="B116" s="155" t="s">
        <v>311</v>
      </c>
      <c r="C116" s="150">
        <f>VLOOKUP($C$38,'MP (2011)'!$A$14:$AR$245,'MP (2011)'!$AM$246,FALSE)</f>
        <v>86823</v>
      </c>
      <c r="D116" s="150">
        <f>VLOOKUP($D$38,'MP (2011)'!$A$14:$AR$245,'MP (2011)'!$AM$246,FALSE)</f>
        <v>107764</v>
      </c>
      <c r="E116" s="150">
        <f>VLOOKUP($E$38,'MP (2011)'!$A$14:$AR$245,'MP (2011)'!$AM$246,FALSE)</f>
        <v>124920</v>
      </c>
      <c r="F116" s="151">
        <f>VLOOKUP($F$38,'MP (2011)'!$A$14:$AR$245,'MP (2011)'!$AM$246,FALSE)</f>
        <v>124520</v>
      </c>
    </row>
    <row r="117" spans="2:7">
      <c r="B117" s="147" t="s">
        <v>254</v>
      </c>
      <c r="C117" s="158">
        <f>SUM(C113:C116)</f>
        <v>245123</v>
      </c>
      <c r="D117" s="158">
        <f>SUM(D113:D116)</f>
        <v>271915</v>
      </c>
      <c r="E117" s="158">
        <f>SUM(E113:E116)</f>
        <v>294373</v>
      </c>
      <c r="F117" s="159">
        <f>SUM(F113:F116)</f>
        <v>293466</v>
      </c>
    </row>
    <row r="118" spans="2:7">
      <c r="B118" s="103" t="s">
        <v>306</v>
      </c>
    </row>
    <row r="119" spans="2:7">
      <c r="B119" s="137" t="str">
        <f>$B$2</f>
        <v>Westpower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102.86907156131464</v>
      </c>
      <c r="E120" s="422">
        <f t="shared" si="6"/>
        <v>105.43392479824851</v>
      </c>
      <c r="F120" s="423">
        <f t="shared" si="6"/>
        <v>103.84537053537332</v>
      </c>
    </row>
    <row r="121" spans="2:7">
      <c r="B121" s="111" t="s">
        <v>180</v>
      </c>
      <c r="C121" s="422">
        <f t="shared" si="6"/>
        <v>100</v>
      </c>
      <c r="D121" s="422">
        <f t="shared" si="6"/>
        <v>105.00742889486345</v>
      </c>
      <c r="E121" s="422">
        <f t="shared" si="6"/>
        <v>109.00665062968729</v>
      </c>
      <c r="F121" s="423">
        <f t="shared" si="6"/>
        <v>109.96179425498798</v>
      </c>
    </row>
    <row r="122" spans="2:7">
      <c r="B122" s="111" t="s">
        <v>184</v>
      </c>
      <c r="C122" s="422">
        <f t="shared" si="6"/>
        <v>100</v>
      </c>
      <c r="D122" s="422">
        <f t="shared" si="6"/>
        <v>103.30143953107492</v>
      </c>
      <c r="E122" s="422">
        <f t="shared" si="6"/>
        <v>107.72347211447288</v>
      </c>
      <c r="F122" s="423">
        <f t="shared" si="6"/>
        <v>108.58977674338419</v>
      </c>
    </row>
    <row r="123" spans="2:7">
      <c r="B123" s="115" t="s">
        <v>181</v>
      </c>
      <c r="C123" s="424">
        <f t="shared" si="6"/>
        <v>100</v>
      </c>
      <c r="D123" s="424">
        <f t="shared" si="6"/>
        <v>124.11918500858067</v>
      </c>
      <c r="E123" s="424">
        <f t="shared" si="6"/>
        <v>143.87892609101277</v>
      </c>
      <c r="F123" s="416">
        <f t="shared" si="6"/>
        <v>143.41821867477512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Westpower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22447.093324969348</v>
      </c>
      <c r="D128" s="433">
        <f>VLOOKUP($D$38,'FS (2011)'!$A$13:$AH$244,'FS (2011)'!$I$245,FALSE)</f>
        <v>19694.730455075842</v>
      </c>
      <c r="E128" s="433">
        <f>VLOOKUP($E$38,'FS (2011)'!$A$13:$AH$244,'FS (2011)'!$I$245,FALSE)</f>
        <v>19721.596561666349</v>
      </c>
      <c r="F128" s="440">
        <f>VLOOKUP($F$38,'FS (2011)'!$A$13:$AH$244,'FS (2011)'!$I$245,FALSE)</f>
        <v>18961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3009.5033963958826</v>
      </c>
      <c r="D129" s="433">
        <f>VLOOKUP($D$38,'FS (2011)'!$A$13:$AH$244,'FS (2011)'!$Y$245,FALSE)+VLOOKUP($D$38,'FS (2011)'!$A$13:$AH$244,'FS (2011)'!$Z$245,FALSE)</f>
        <v>2939.9688829432348</v>
      </c>
      <c r="E129" s="433">
        <f>VLOOKUP($E$38,'FS (2011)'!$A$13:$AH$244,'FS (2011)'!$Y$245,FALSE)+VLOOKUP($E$38,'FS (2011)'!$A$13:$AH$244,'FS (2011)'!$Z$245,FALSE)</f>
        <v>2135.2519719759639</v>
      </c>
      <c r="F129" s="440">
        <f>VLOOKUP($F$38,'FS (2011)'!$A$13:$AH$244,'FS (2011)'!$Y$245,FALSE)+VLOOKUP($F$38,'FS (2011)'!$A$13:$AH$244,'FS (2011)'!$Z$245,FALSE)</f>
        <v>4826.3914999999997</v>
      </c>
      <c r="G129" s="121"/>
    </row>
    <row r="130" spans="1:30">
      <c r="B130" s="162" t="s">
        <v>191</v>
      </c>
      <c r="C130" s="441">
        <f>VLOOKUP($C$38,'FS (2011)'!$A$13:$AH$244,'FS (2011)'!$J$245,FALSE)</f>
        <v>4526.9365002423656</v>
      </c>
      <c r="D130" s="433">
        <f>VLOOKUP($D$38,'FS (2011)'!$A$13:$AH$244,'FS (2011)'!$J$245,FALSE)</f>
        <v>4612.2542384515054</v>
      </c>
      <c r="E130" s="433">
        <f>VLOOKUP($E$38,'FS (2011)'!$A$13:$AH$244,'FS (2011)'!$J$245,FALSE)</f>
        <v>4667.2849020506046</v>
      </c>
      <c r="F130" s="440">
        <f>VLOOKUP($F$38,'FS (2011)'!$A$13:$AH$244,'FS (2011)'!$J$245,FALSE)</f>
        <v>3725</v>
      </c>
    </row>
    <row r="131" spans="1:30">
      <c r="B131" s="162" t="s">
        <v>182</v>
      </c>
      <c r="C131" s="441">
        <f>VLOOKUP($C$38,'FS (2011)'!$A$13:$AH$244,'FS (2011)'!$S$245,FALSE)</f>
        <v>6988.2358643893813</v>
      </c>
      <c r="D131" s="433">
        <f>VLOOKUP($D$38,'FS (2011)'!$A$13:$AH$244,'FS (2011)'!$S$245,FALSE)</f>
        <v>7299.8811174411403</v>
      </c>
      <c r="E131" s="433">
        <f>VLOOKUP($E$38,'FS (2011)'!$A$13:$AH$244,'FS (2011)'!$S$245,FALSE)</f>
        <v>7530.2123359650768</v>
      </c>
      <c r="F131" s="440">
        <f>VLOOKUP($F$38,'FS (2011)'!$A$13:$AH$244,'FS (2011)'!$S$245,FALSE)</f>
        <v>7539</v>
      </c>
      <c r="I131" s="139"/>
    </row>
    <row r="132" spans="1:30">
      <c r="B132" s="162" t="s">
        <v>143</v>
      </c>
      <c r="C132" s="441">
        <f>VLOOKUP($C$38,'FS (2011)'!$A$13:$AH$244,'FS (2011)'!$U$245,FALSE)</f>
        <v>3239.6866356819023</v>
      </c>
      <c r="D132" s="433">
        <f>VLOOKUP($D$38,'FS (2011)'!$A$13:$AH$244,'FS (2011)'!$U$245,FALSE)</f>
        <v>3186.2693840345933</v>
      </c>
      <c r="E132" s="433">
        <f>VLOOKUP($E$38,'FS (2011)'!$A$13:$AH$244,'FS (2011)'!$U$245,FALSE)</f>
        <v>3298.9889790089187</v>
      </c>
      <c r="F132" s="440">
        <f>VLOOKUP($F$38,'FS (2011)'!$A$13:$AH$244,'FS (2011)'!$U$245,FALSE)</f>
        <v>3472</v>
      </c>
    </row>
    <row r="133" spans="1:30">
      <c r="B133" s="162" t="s">
        <v>196</v>
      </c>
      <c r="C133" s="441">
        <f>VLOOKUP($C$38,'FS (2011)'!$A$13:$AH$244,'FS (2011)'!$X$245,FALSE)</f>
        <v>-582.48908069345043</v>
      </c>
      <c r="D133" s="433">
        <f>VLOOKUP($D$38,'FS (2011)'!$A$13:$AH$244,'FS (2011)'!$X$245,FALSE)</f>
        <v>-788.5706231395427</v>
      </c>
      <c r="E133" s="433">
        <f>VLOOKUP($E$38,'FS (2011)'!$A$13:$AH$244,'FS (2011)'!$X$245,FALSE)</f>
        <v>-235.45550661528924</v>
      </c>
      <c r="F133" s="440">
        <f>VLOOKUP($F$38,'FS (2011)'!$A$13:$AH$244,'FS (2011)'!$X$245,FALSE)</f>
        <v>-368.66174000000001</v>
      </c>
    </row>
    <row r="134" spans="1:30">
      <c r="B134" s="164" t="s">
        <v>258</v>
      </c>
      <c r="C134" s="442">
        <f>VLOOKUP($C$38,'FS (2011)'!$A$13:$AH$244,'FS (2011)'!$AA$245,FALSE)</f>
        <v>11284.226370505545</v>
      </c>
      <c r="D134" s="435">
        <f>VLOOKUP($D$38,'FS (2011)'!$A$13:$AH$244,'FS (2011)'!$AA$245,FALSE)</f>
        <v>8324.8652938980013</v>
      </c>
      <c r="E134" s="435">
        <f>VLOOKUP($E$38,'FS (2011)'!$A$13:$AH$244,'FS (2011)'!$AA$245,FALSE)</f>
        <v>6595.8178232330029</v>
      </c>
      <c r="F134" s="443">
        <f>VLOOKUP($F$38,'FS (2011)'!$A$13:$AH$244,'FS (2011)'!$AA$245,FALSE)</f>
        <v>9420.0532000000003</v>
      </c>
    </row>
    <row r="136" spans="1:30"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3</v>
      </c>
      <c r="B138" s="166" t="s">
        <v>204</v>
      </c>
      <c r="C138" s="167"/>
      <c r="D138" s="444">
        <f>VLOOKUP($D$6,'FS (2011)'!$A$13:$AH$244,'FS (2011)'!$L$245,FALSE)</f>
        <v>1303</v>
      </c>
      <c r="E138" s="446">
        <f t="shared" ref="E138:E144" si="7">D138/$D$145</f>
        <v>0.17283459344740681</v>
      </c>
      <c r="R138" s="559"/>
      <c r="S138" s="559"/>
      <c r="T138" s="559">
        <v>1</v>
      </c>
      <c r="U138" s="559" t="str">
        <f>VLOOKUP(T138,$A$138:$E$144,2,FALSE)</f>
        <v>Routine and preventative maintenance</v>
      </c>
      <c r="V138" s="559">
        <f>VLOOKUP(T138,$A$138:$E$144,4,FALSE)</f>
        <v>3258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2</v>
      </c>
      <c r="B139" s="162" t="s">
        <v>199</v>
      </c>
      <c r="C139" s="121"/>
      <c r="D139" s="441">
        <f>VLOOKUP($D$6,'FS (2011)'!$A$13:$AH$244,'FS (2011)'!K245,FALSE)</f>
        <v>1325</v>
      </c>
      <c r="E139" s="414">
        <f t="shared" si="7"/>
        <v>0.17575275235442367</v>
      </c>
      <c r="R139" s="559"/>
      <c r="S139" s="559"/>
      <c r="T139" s="559">
        <v>2</v>
      </c>
      <c r="U139" s="559" t="str">
        <f t="shared" ref="U139:U144" si="9">VLOOKUP(T139,$A$138:$E$144,2,FALSE)</f>
        <v>General management, admin and overheads</v>
      </c>
      <c r="V139" s="559">
        <f t="shared" ref="V139:V144" si="10">VLOOKUP(T139,$A$138:$E$144,4,FALSE)</f>
        <v>1325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1</v>
      </c>
      <c r="B140" s="162" t="s">
        <v>201</v>
      </c>
      <c r="C140" s="121"/>
      <c r="D140" s="441">
        <f>VLOOKUP($D$6,'FS (2011)'!$A$13:$AH$244,'FS (2011)'!M245,FALSE)</f>
        <v>3258</v>
      </c>
      <c r="E140" s="414">
        <f t="shared" si="7"/>
        <v>0.43215280541185835</v>
      </c>
      <c r="R140" s="559"/>
      <c r="S140" s="559"/>
      <c r="T140" s="559">
        <v>3</v>
      </c>
      <c r="U140" s="559" t="str">
        <f t="shared" si="9"/>
        <v>System management and operations</v>
      </c>
      <c r="V140" s="559">
        <f t="shared" si="10"/>
        <v>1303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5</v>
      </c>
      <c r="B141" s="162" t="s">
        <v>202</v>
      </c>
      <c r="C141" s="121"/>
      <c r="D141" s="441">
        <f>VLOOKUP($D$6,'FS (2011)'!$A$13:$AH$244,'FS (2011)'!N245,FALSE)</f>
        <v>700</v>
      </c>
      <c r="E141" s="414">
        <f t="shared" si="7"/>
        <v>9.2850510677808723E-2</v>
      </c>
      <c r="R141" s="559"/>
      <c r="S141" s="559"/>
      <c r="T141" s="559">
        <v>4</v>
      </c>
      <c r="U141" s="559" t="str">
        <f t="shared" si="9"/>
        <v>Fault and emergency maintenance</v>
      </c>
      <c r="V141" s="559">
        <f t="shared" si="10"/>
        <v>865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4</v>
      </c>
      <c r="B142" s="162" t="s">
        <v>203</v>
      </c>
      <c r="C142" s="121"/>
      <c r="D142" s="441">
        <f>VLOOKUP($D$6,'FS (2011)'!$A$13:$AH$244,'FS (2011)'!O245,FALSE)</f>
        <v>865</v>
      </c>
      <c r="E142" s="414">
        <f t="shared" si="7"/>
        <v>0.11473670248043508</v>
      </c>
      <c r="R142" s="559"/>
      <c r="S142" s="559"/>
      <c r="T142" s="559">
        <v>5</v>
      </c>
      <c r="U142" s="559" t="str">
        <f t="shared" si="9"/>
        <v>Refurbishment and renewal maintenance</v>
      </c>
      <c r="V142" s="559">
        <f t="shared" si="10"/>
        <v>700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8"/>
        <v>7</v>
      </c>
      <c r="B143" s="162" t="s">
        <v>13</v>
      </c>
      <c r="C143" s="121"/>
      <c r="D143" s="441">
        <f>VLOOKUP($D$6,'FS (2011)'!$A$13:$AH$244,'FS (2011)'!R245,FALSE)</f>
        <v>0</v>
      </c>
      <c r="E143" s="414">
        <f t="shared" si="7"/>
        <v>0</v>
      </c>
      <c r="R143" s="559"/>
      <c r="S143" s="559"/>
      <c r="T143" s="559">
        <v>6</v>
      </c>
      <c r="U143" s="559" t="str">
        <f t="shared" si="9"/>
        <v>Pass-through costs</v>
      </c>
      <c r="V143" s="559">
        <f t="shared" si="10"/>
        <v>88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6</v>
      </c>
      <c r="B144" s="162" t="s">
        <v>200</v>
      </c>
      <c r="C144" s="121"/>
      <c r="D144" s="441">
        <f>VLOOKUP($D$6,'FS (2011)'!$A$13:$AH$244,'FS (2011)'!P245,FALSE)</f>
        <v>88</v>
      </c>
      <c r="E144" s="414">
        <f t="shared" si="7"/>
        <v>1.1672635628067383E-2</v>
      </c>
      <c r="R144" s="559"/>
      <c r="S144" s="559"/>
      <c r="T144" s="559">
        <v>7</v>
      </c>
      <c r="U144" s="559" t="str">
        <f t="shared" si="9"/>
        <v>Other</v>
      </c>
      <c r="V144" s="559">
        <f t="shared" si="10"/>
        <v>0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7539</v>
      </c>
      <c r="E145" s="447">
        <f>SUM(E138:E144)</f>
        <v>1</v>
      </c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4.2175221693136775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5.0340656409150926</v>
      </c>
      <c r="F149" s="455">
        <f>(VLOOKUP(F$38,'FS (2011)'!$A$13:$AH$244,'FS (2011)'!$M$245,FALSE)+VLOOKUP(F$38,'FS (2011)'!$A$13:$AH$244,'FS (2011)'!$N$245,FALSE)+VLOOKUP(F$38,'FS (2011)'!$A$13:$AH$244,'FS (2011)'!$O$245,FALSE))/1000</f>
        <v>4.8230000000000004</v>
      </c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2.3881501441621076</v>
      </c>
      <c r="F150" s="457">
        <f>(VLOOKUP(F$38,'FS (2011)'!$A$13:$AH$244,'FS (2011)'!$L$245,FALSE)+VLOOKUP(F$38,'FS (2011)'!$A$13:$AH$244,'FS (2011)'!$K$245,FALSE))/1000</f>
        <v>2.6280000000000001</v>
      </c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0.10799655088787689</v>
      </c>
      <c r="F151" s="457">
        <f>(VLOOKUP(F$38,'FS (2011)'!$A$13:$AH$244,'FS (2011)'!$R$245,FALSE)+VLOOKUP(F$38,'FS (2011)'!$A$13:$AH$244,'FS (2011)'!$P$245,FALSE)+VLOOKUP(F$38,'FS (2011)'!$A$13:$AH$244,'FS (2011)'!$Q$245,FALSE))/1000</f>
        <v>8.7999999999999995E-2</v>
      </c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6.9882358643893809</v>
      </c>
      <c r="D152" s="458">
        <f>VLOOKUP($D$38,'FS (2011)'!$A$13:$AH$244,'FS (2011)'!$S$245,FALSE)/1000</f>
        <v>7.2998811174411404</v>
      </c>
      <c r="E152" s="459">
        <f>VLOOKUP($E$38,'FS (2011)'!$A$13:$AH$244,'FS (2011)'!$S$245,FALSE)/1000</f>
        <v>7.5302123359650768</v>
      </c>
      <c r="F152" s="460">
        <f>VLOOKUP($F$38,'FS (2011)'!$A$13:$AH$244,'FS (2011)'!$S$245,FALSE)/1000</f>
        <v>7.5389999999999997</v>
      </c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-4.1927470949052803E-2</v>
      </c>
      <c r="D154" s="464">
        <f t="shared" ref="D154:E157" si="11">IF(ISERROR(D149/C149 - 1),"",(D149/C149 - 1))</f>
        <v>-1</v>
      </c>
      <c r="E154" s="464" t="str">
        <f t="shared" si="11"/>
        <v/>
      </c>
      <c r="F154" s="465">
        <f>IF(ISERROR(F149/E149 - 1),"",(F149/E149 - 1))</f>
        <v>-4.1927470949052803E-2</v>
      </c>
      <c r="R154" s="559" t="s">
        <v>423</v>
      </c>
      <c r="S154" s="559">
        <f t="shared" ref="S154:V157" si="12">LN(C149)</f>
        <v>1.4392477919300815</v>
      </c>
      <c r="T154" s="559" t="e">
        <f t="shared" si="12"/>
        <v>#NUM!</v>
      </c>
      <c r="U154" s="559">
        <f t="shared" si="12"/>
        <v>1.6162279361424314</v>
      </c>
      <c r="V154" s="559">
        <f t="shared" si="12"/>
        <v>1.5733961410868349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0.10043332343412814</v>
      </c>
      <c r="D155" s="467" t="str">
        <f t="shared" si="11"/>
        <v/>
      </c>
      <c r="E155" s="467" t="str">
        <f t="shared" si="11"/>
        <v/>
      </c>
      <c r="F155" s="468">
        <f>IF(ISERROR(F150/E150 - 1),"",(F150/E150 - 1))</f>
        <v>0.10043332343412814</v>
      </c>
      <c r="R155" s="559" t="s">
        <v>423</v>
      </c>
      <c r="S155" s="559" t="e">
        <f t="shared" si="12"/>
        <v>#NUM!</v>
      </c>
      <c r="T155" s="559" t="e">
        <f t="shared" si="12"/>
        <v>#NUM!</v>
      </c>
      <c r="U155" s="559">
        <f t="shared" si="12"/>
        <v>0.87051906799358447</v>
      </c>
      <c r="V155" s="559">
        <f t="shared" si="12"/>
        <v>0.96622310062236416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-0.18515916224618612</v>
      </c>
      <c r="D156" s="467" t="str">
        <f t="shared" si="11"/>
        <v/>
      </c>
      <c r="E156" s="467" t="str">
        <f t="shared" si="11"/>
        <v/>
      </c>
      <c r="F156" s="468">
        <f>IF(ISERROR(F151/E151 - 1),"",(F151/E151 - 1))</f>
        <v>-0.18515916224618612</v>
      </c>
      <c r="R156" s="559" t="s">
        <v>423</v>
      </c>
      <c r="S156" s="559" t="e">
        <f t="shared" si="12"/>
        <v>#NUM!</v>
      </c>
      <c r="T156" s="559" t="e">
        <f t="shared" si="12"/>
        <v>#NUM!</v>
      </c>
      <c r="U156" s="559">
        <f t="shared" si="12"/>
        <v>-2.2256559885912517</v>
      </c>
      <c r="V156" s="559">
        <f t="shared" si="12"/>
        <v>-2.4304184645039308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2.6202338747631559E-2</v>
      </c>
      <c r="D157" s="470">
        <f t="shared" si="11"/>
        <v>4.4595697555063873E-2</v>
      </c>
      <c r="E157" s="470">
        <f t="shared" si="11"/>
        <v>3.1552735560805401E-2</v>
      </c>
      <c r="F157" s="471">
        <f>IF(ISERROR(F152/E152 - 1),"",(F152/E152 - 1))</f>
        <v>1.1669875486712833E-3</v>
      </c>
      <c r="N157" s="136"/>
      <c r="O157" s="136"/>
      <c r="R157" s="559" t="s">
        <v>423</v>
      </c>
      <c r="S157" s="559">
        <f t="shared" si="12"/>
        <v>1.9442281444768661</v>
      </c>
      <c r="T157" s="559">
        <f t="shared" si="12"/>
        <v>1.9878580627397033</v>
      </c>
      <c r="U157" s="559">
        <f t="shared" si="12"/>
        <v>2.018923240081568</v>
      </c>
      <c r="V157" s="559">
        <f t="shared" si="12"/>
        <v>2.0200895472295648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Westpower</v>
      </c>
      <c r="C162" s="456">
        <f>(C152/C102)*1000000</f>
        <v>562.93184021180775</v>
      </c>
      <c r="D162" s="456">
        <f>(D152/D102)*1000000</f>
        <v>578.57502714124917</v>
      </c>
      <c r="E162" s="456">
        <f>(E152/E102)*1000000</f>
        <v>589.12629760327627</v>
      </c>
      <c r="F162" s="457">
        <f>(F152/F102)*1000000</f>
        <v>585.50792171481828</v>
      </c>
      <c r="G162" s="181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Westpower</v>
      </c>
      <c r="C165" s="456">
        <f>C152/VLOOKUP(C$38,'MP (2011)'!$A$14:$AR$245,'MP (2011)'!$H$246,FALSE)*1000000</f>
        <v>3353.2801652540215</v>
      </c>
      <c r="D165" s="456">
        <f>D152/VLOOKUP(D$38,'MP (2011)'!$A$14:$AR$245,'MP (2011)'!$H$246,FALSE)*1000000</f>
        <v>3448.2197059240152</v>
      </c>
      <c r="E165" s="456">
        <f>E152/VLOOKUP(E$38,'MP (2011)'!$A$14:$AR$245,'MP (2011)'!$H$246,FALSE)*1000000</f>
        <v>3535.3109558521487</v>
      </c>
      <c r="F165" s="457">
        <f>F152/VLOOKUP(F$38,'MP (2011)'!$A$14:$AR$245,'MP (2011)'!$H$246,FALSE)*1000000</f>
        <v>3504.8814504881452</v>
      </c>
      <c r="G165" s="181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Westpower</v>
      </c>
      <c r="C168" s="456">
        <f>(C152/C117)*1000000</f>
        <v>28.509098960070581</v>
      </c>
      <c r="D168" s="456">
        <f>(D152/D117)*1000000</f>
        <v>26.846187659530148</v>
      </c>
      <c r="E168" s="456">
        <f>(E152/E117)*1000000</f>
        <v>25.580512940945933</v>
      </c>
      <c r="F168" s="457">
        <f>(F152/F117)*1000000</f>
        <v>25.689517695405939</v>
      </c>
      <c r="G168" s="181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1.3696532636970904E-2</v>
      </c>
      <c r="D171" s="464">
        <f>IF(ISERROR(D162/C162 - 1),"",(D162/C162 - 1))</f>
        <v>2.77887762105542E-2</v>
      </c>
      <c r="E171" s="464">
        <f>IF(ISERROR(E162/D162 - 1),"",(E162/D162 - 1))</f>
        <v>1.8236650334116922E-2</v>
      </c>
      <c r="F171" s="465">
        <f>IF(ISERROR(F162/E162 - 1),"",(F162/E162 - 1))</f>
        <v>-6.1419357838523592E-3</v>
      </c>
      <c r="H171" s="139"/>
      <c r="R171" s="559" t="s">
        <v>423</v>
      </c>
      <c r="S171" s="559">
        <f>LN(C162)</f>
        <v>6.3331585554675423</v>
      </c>
      <c r="T171" s="559">
        <f>LN(D162)</f>
        <v>6.3605682307762361</v>
      </c>
      <c r="U171" s="559">
        <f>LN(E162)</f>
        <v>6.3786405878356156</v>
      </c>
      <c r="V171" s="559">
        <f>LN(F162)</f>
        <v>6.3724797127751405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1.5884459662327766E-2</v>
      </c>
      <c r="D172" s="467">
        <f>IF(ISERROR(D165/C165 - 1),"",(D165/C165 - 1))</f>
        <v>2.8312439161432668E-2</v>
      </c>
      <c r="E172" s="467">
        <f>IF(ISERROR(E165/D165 - 1),"",(E165/D165 - 1))</f>
        <v>2.5256873794471835E-2</v>
      </c>
      <c r="F172" s="468">
        <f>IF(ISERROR(F165/E165 - 1),"",(F165/E165 - 1))</f>
        <v>-8.6073066114968899E-3</v>
      </c>
      <c r="R172" s="559" t="s">
        <v>423</v>
      </c>
      <c r="S172" s="559">
        <f>LN(C165)</f>
        <v>8.1176942995678836</v>
      </c>
      <c r="T172" s="559">
        <f>LN(D165)</f>
        <v>8.1456133495691123</v>
      </c>
      <c r="U172" s="559">
        <f>LN(E165)</f>
        <v>8.1705565393423711</v>
      </c>
      <c r="V172" s="559">
        <f>LN(F165)</f>
        <v>8.1619119759261096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-3.542855616295415E-2</v>
      </c>
      <c r="D173" s="470">
        <f>IF(ISERROR(D168/C168 - 1),"",(D168/C168 - 1))</f>
        <v>-5.8329142666679212E-2</v>
      </c>
      <c r="E173" s="470">
        <f>IF(ISERROR(E168/D168 - 1),"",(E168/D168 - 1))</f>
        <v>-4.7145417242694165E-2</v>
      </c>
      <c r="F173" s="471">
        <f>IF(ISERROR(F168/E168 - 1),"",(F168/E168 - 1))</f>
        <v>4.2612419348919683E-3</v>
      </c>
      <c r="R173" s="559" t="s">
        <v>423</v>
      </c>
      <c r="S173" s="559">
        <f>LN(C168)</f>
        <v>3.3502232980782773</v>
      </c>
      <c r="T173" s="559">
        <f>LN(D168)</f>
        <v>3.2901238242641431</v>
      </c>
      <c r="U173" s="559">
        <f>LN(E168)</f>
        <v>3.2418308483713045</v>
      </c>
      <c r="V173" s="559">
        <f>LN(F168)</f>
        <v>3.2460830369247695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R175" s="559"/>
      <c r="S175" s="559"/>
      <c r="T175" s="559"/>
      <c r="U175" s="559"/>
      <c r="V175" s="560" t="str">
        <f>$B$2</f>
        <v>Westpower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R176" s="559"/>
      <c r="S176" s="559"/>
      <c r="T176" s="559"/>
      <c r="U176" s="559"/>
      <c r="V176" s="562" t="s">
        <v>280</v>
      </c>
      <c r="W176" s="563">
        <f>C178</f>
        <v>5034.0656409150924</v>
      </c>
      <c r="X176" s="563">
        <f>D178</f>
        <v>4823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Westpower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R177" s="561"/>
      <c r="S177" s="561"/>
      <c r="T177" s="561"/>
      <c r="U177" s="561"/>
      <c r="V177" s="565" t="s">
        <v>277</v>
      </c>
      <c r="W177" s="563">
        <f t="shared" ref="W177:AA178" si="14">C179</f>
        <v>5230.7008703618867</v>
      </c>
      <c r="X177" s="563">
        <f t="shared" si="14"/>
        <v>5352.961116650049</v>
      </c>
      <c r="Y177" s="563">
        <f t="shared" si="14"/>
        <v>5280.6238042628866</v>
      </c>
      <c r="Z177" s="563">
        <f t="shared" si="14"/>
        <v>5435.4867828945589</v>
      </c>
      <c r="AA177" s="563">
        <f t="shared" si="14"/>
        <v>5650.4610492845777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5034.0656409150924</v>
      </c>
      <c r="D178" s="461">
        <f>VLOOKUP(F38,'FS (2011)'!$A$14:$T$246,'FS (2011)'!$M$245,FALSE)+VLOOKUP(F38,'FS (2011)'!$A$14:$AO$245,'FS (2011)'!$N$245,FALSE)+VLOOKUP(F38,'FS (2011)'!$A$14:$AO$245,'FS (2011)'!$O$245,FALSE)</f>
        <v>4823</v>
      </c>
      <c r="E178" s="461"/>
      <c r="F178" s="461"/>
      <c r="G178" s="461"/>
      <c r="H178" s="461"/>
      <c r="I178" s="462"/>
      <c r="R178" s="559"/>
      <c r="S178" s="559"/>
      <c r="T178" s="559"/>
      <c r="U178" s="559"/>
      <c r="V178" s="565" t="s">
        <v>278</v>
      </c>
      <c r="W178" s="564"/>
      <c r="X178" s="563">
        <f t="shared" si="14"/>
        <v>5249</v>
      </c>
      <c r="Y178" s="563">
        <f t="shared" si="14"/>
        <v>5307</v>
      </c>
      <c r="Z178" s="563">
        <f t="shared" si="14"/>
        <v>5417</v>
      </c>
      <c r="AA178" s="563">
        <f t="shared" si="14"/>
        <v>5747</v>
      </c>
      <c r="AB178" s="563">
        <f>H180</f>
        <v>5955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5230.7008703618867</v>
      </c>
      <c r="D179" s="461">
        <f>VLOOKUP(D182,'AM (2011)'!$A$10:$N$444,'AM (2011)'!$N$445,FALSE)</f>
        <v>5352.961116650049</v>
      </c>
      <c r="E179" s="461">
        <f>VLOOKUP(E182,'AM (2011)'!$A$10:$N$444,'AM (2011)'!$N$445,FALSE)</f>
        <v>5280.6238042628866</v>
      </c>
      <c r="F179" s="461">
        <f>VLOOKUP(F182,'AM (2011)'!$A$10:$N$444,'AM (2011)'!$N$445,FALSE)</f>
        <v>5435.4867828945589</v>
      </c>
      <c r="G179" s="461">
        <f>VLOOKUP(G182,'AM (2011)'!$A$10:$N$444,'AM (2011)'!$N$445,FALSE)</f>
        <v>5650.4610492845777</v>
      </c>
      <c r="H179" s="461"/>
      <c r="I179" s="462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5286.0677440206846</v>
      </c>
      <c r="Z179" s="563">
        <f>F181</f>
        <v>5375.0324499030376</v>
      </c>
      <c r="AA179" s="563">
        <f>G181</f>
        <v>5580.3356173238526</v>
      </c>
      <c r="AB179" s="563">
        <f>H181</f>
        <v>5720.1372979961216</v>
      </c>
      <c r="AC179" s="563">
        <f>I181</f>
        <v>6170.8266321913379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5249</v>
      </c>
      <c r="E180" s="461">
        <f>VLOOKUP(E183,'AM (2011)'!$A$10:$N$444,'AM (2011)'!$N$445,FALSE)</f>
        <v>5307</v>
      </c>
      <c r="F180" s="461">
        <f>VLOOKUP(F183,'AM (2011)'!$A$10:$N$444,'AM (2011)'!$N$445,FALSE)</f>
        <v>5417</v>
      </c>
      <c r="G180" s="461">
        <f>VLOOKUP(G183,'AM (2011)'!$A$10:$N$444,'AM (2011)'!$N$445,FALSE)</f>
        <v>5747</v>
      </c>
      <c r="H180" s="461">
        <f>VLOOKUP(H183,'AM (2011)'!$A$10:$N$444,'AM (2011)'!$N$445,FALSE)</f>
        <v>5955</v>
      </c>
      <c r="I180" s="462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5286.0677440206846</v>
      </c>
      <c r="F181" s="493">
        <f>VLOOKUP(F184,'AM (2011)'!$A$10:$N$444,'AM (2011)'!$N$445,FALSE)</f>
        <v>5375.0324499030376</v>
      </c>
      <c r="G181" s="493">
        <f>VLOOKUP(G184,'AM (2011)'!$A$10:$N$444,'AM (2011)'!$N$445,FALSE)</f>
        <v>5580.3356173238526</v>
      </c>
      <c r="H181" s="493">
        <f>VLOOKUP(H184,'AM (2011)'!$A$10:$N$444,'AM (2011)'!$N$445,FALSE)</f>
        <v>5720.1372979961216</v>
      </c>
      <c r="I181" s="494">
        <f>VLOOKUP(I184,'AM (2011)'!$A$10:$N$444,'AM (2011)'!$N$445,FALSE)</f>
        <v>6170.8266321913379</v>
      </c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653</v>
      </c>
      <c r="D182" s="136">
        <f>VLOOKUP($B$2,$B$257:$Y$286,11,FALSE)</f>
        <v>654</v>
      </c>
      <c r="E182" s="136">
        <f>VLOOKUP($B$2,$B$257:$Y$286,12,FALSE)</f>
        <v>655</v>
      </c>
      <c r="F182" s="136">
        <f>VLOOKUP($B$2,$B$257:$Y$286,13,FALSE)</f>
        <v>656</v>
      </c>
      <c r="G182" s="136">
        <f>VLOOKUP($B$2,$B$257:$Y$286,14,FALSE)</f>
        <v>657</v>
      </c>
      <c r="H182" s="136"/>
      <c r="I182" s="136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658</v>
      </c>
      <c r="E183" s="136">
        <f>VLOOKUP($B$2,$B$257:$Y$286,16,FALSE)</f>
        <v>659</v>
      </c>
      <c r="F183" s="136">
        <f>VLOOKUP($B$2,$B$257:$Y$286,17,FALSE)</f>
        <v>660</v>
      </c>
      <c r="G183" s="136">
        <f>VLOOKUP($B$2,$B$257:$Y$286,18,FALSE)</f>
        <v>661</v>
      </c>
      <c r="H183" s="136">
        <f>VLOOKUP($B$2,$B$257:$Y$286,19,FALSE)</f>
        <v>662</v>
      </c>
      <c r="I183" s="136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663</v>
      </c>
      <c r="F184" s="136">
        <f>VLOOKUP($B$2,$B$257:$Y$286,21,FALSE)</f>
        <v>664</v>
      </c>
      <c r="G184" s="136">
        <f>VLOOKUP($B$2,$B$257:$Y$286,22,FALSE)</f>
        <v>665</v>
      </c>
      <c r="H184" s="136">
        <f>VLOOKUP($B$2,$B$257:$Y$286,23,FALSE)</f>
        <v>666</v>
      </c>
      <c r="I184" s="136">
        <f>VLOOKUP($B$2,$B$257:$Y$286,24,FALSE)</f>
        <v>667</v>
      </c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4</v>
      </c>
      <c r="B186" s="483" t="s">
        <v>205</v>
      </c>
      <c r="C186" s="490"/>
      <c r="D186" s="484">
        <f>VLOOKUP($D$6,'FS (2011)'!$A$13:$AH$244,'FS (2011)'!AC245,FALSE)/1000</f>
        <v>0.193</v>
      </c>
      <c r="E186" s="495">
        <f t="shared" ref="E186:E191" si="16">D186/$D$192</f>
        <v>4.8786653185035389E-2</v>
      </c>
      <c r="R186" s="559"/>
      <c r="S186" s="559"/>
      <c r="T186" s="559">
        <v>1</v>
      </c>
      <c r="U186" s="559" t="str">
        <f t="shared" ref="U186:U191" si="17">VLOOKUP(T186,$A$186:$D$191,2,FALSE)</f>
        <v>Asset replacement and renewal</v>
      </c>
      <c r="V186" s="559">
        <f t="shared" ref="V186:V191" si="18">VLOOKUP(T186,$A$186:$D$191,4,FALSE)</f>
        <v>2.4820000000000002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2</v>
      </c>
      <c r="B187" s="162" t="s">
        <v>206</v>
      </c>
      <c r="C187" s="121"/>
      <c r="D187" s="456">
        <f>VLOOKUP($D$6,'FS (2011)'!$A$13:$AH$244,'FS (2011)'!AD245,FALSE)/1000</f>
        <v>0.97899999999999998</v>
      </c>
      <c r="E187" s="468">
        <f t="shared" si="16"/>
        <v>0.2474721941354904</v>
      </c>
      <c r="R187" s="559"/>
      <c r="S187" s="559"/>
      <c r="T187" s="559">
        <v>2</v>
      </c>
      <c r="U187" s="559" t="str">
        <f t="shared" si="17"/>
        <v>Reliability, safety and environment</v>
      </c>
      <c r="V187" s="559">
        <f t="shared" si="18"/>
        <v>0.97899999999999998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3</v>
      </c>
      <c r="B188" s="162" t="s">
        <v>209</v>
      </c>
      <c r="C188" s="121"/>
      <c r="D188" s="456">
        <f>VLOOKUP($D$6,'FS (2011)'!$A$13:$AH$244,'FS (2011)'!AB245,FALSE)/1000</f>
        <v>0.27700000000000002</v>
      </c>
      <c r="E188" s="468">
        <f t="shared" si="16"/>
        <v>7.0020222446916081E-2</v>
      </c>
      <c r="R188" s="559"/>
      <c r="S188" s="559"/>
      <c r="T188" s="559">
        <v>3</v>
      </c>
      <c r="U188" s="559" t="str">
        <f t="shared" si="17"/>
        <v>Customer connection</v>
      </c>
      <c r="V188" s="559">
        <f t="shared" si="18"/>
        <v>0.27700000000000002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1</v>
      </c>
      <c r="B189" s="162" t="s">
        <v>208</v>
      </c>
      <c r="C189" s="121"/>
      <c r="D189" s="456">
        <f>VLOOKUP($D$6,'FS (2011)'!$A$13:$AH$244,'FS (2011)'!AE245,FALSE)/1000</f>
        <v>2.4820000000000002</v>
      </c>
      <c r="E189" s="468">
        <f t="shared" si="16"/>
        <v>0.62740141557128415</v>
      </c>
      <c r="R189" s="559"/>
      <c r="S189" s="559"/>
      <c r="T189" s="559">
        <v>4</v>
      </c>
      <c r="U189" s="559" t="str">
        <f t="shared" si="17"/>
        <v>System growth</v>
      </c>
      <c r="V189" s="559">
        <f t="shared" si="18"/>
        <v>0.193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6</v>
      </c>
      <c r="B190" s="162" t="s">
        <v>312</v>
      </c>
      <c r="C190" s="121"/>
      <c r="D190" s="456">
        <f>VLOOKUP($D$6,'FS (2011)'!$A$13:$AH$244,'FS (2011)'!AH245,FALSE)/1000</f>
        <v>0</v>
      </c>
      <c r="E190" s="468">
        <f t="shared" si="16"/>
        <v>0</v>
      </c>
      <c r="R190" s="559"/>
      <c r="S190" s="559"/>
      <c r="T190" s="559">
        <v>5</v>
      </c>
      <c r="U190" s="559" t="str">
        <f t="shared" si="17"/>
        <v>Asset relocations</v>
      </c>
      <c r="V190" s="559">
        <f t="shared" si="18"/>
        <v>2.5000000000000001E-2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5</v>
      </c>
      <c r="B191" s="162" t="s">
        <v>207</v>
      </c>
      <c r="C191" s="121"/>
      <c r="D191" s="456">
        <f>VLOOKUP($D$6,'FS (2011)'!$A$13:$AH$244,'FS (2011)'!AF245,FALSE)/1000</f>
        <v>2.5000000000000001E-2</v>
      </c>
      <c r="E191" s="468">
        <f t="shared" si="16"/>
        <v>6.3195146612740147E-3</v>
      </c>
      <c r="R191" s="559"/>
      <c r="S191" s="559"/>
      <c r="T191" s="559">
        <v>6</v>
      </c>
      <c r="U191" s="559" t="str">
        <f t="shared" si="17"/>
        <v>Non-network capex</v>
      </c>
      <c r="V191" s="559">
        <f t="shared" si="18"/>
        <v>0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3.956</v>
      </c>
      <c r="E192" s="496">
        <f>SUM(E186:E191)</f>
        <v>1</v>
      </c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5.9144495452082912</v>
      </c>
      <c r="D196" s="484">
        <f>VLOOKUP($D$38,'FS (2011)'!$A$13:$AH$244,'FS (2011)'!$AG$245,FALSE)/1000</f>
        <v>8.0740422299402823</v>
      </c>
      <c r="E196" s="484">
        <f>VLOOKUP($E$38,'FS (2011)'!$A$13:$AH$244,'FS (2011)'!$AG$245,FALSE)/1000</f>
        <v>5.6932521354854346</v>
      </c>
      <c r="F196" s="486">
        <f>VLOOKUP($F$38,'FS (2011)'!$A$13:$AH$244,'FS (2011)'!$AG$245,FALSE)/1000</f>
        <v>3.956</v>
      </c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5.1748738273787454E-2</v>
      </c>
      <c r="D197" s="456">
        <f>VLOOKUP($D$38,'FS (2011)'!$A$13:$AH$244,'FS (2011)'!$AH$245,FALSE)/1000</f>
        <v>0</v>
      </c>
      <c r="E197" s="456">
        <f>VLOOKUP($E$38,'FS (2011)'!$A$13:$AH$244,'FS (2011)'!$AH$245,FALSE)/1000</f>
        <v>0</v>
      </c>
      <c r="F197" s="457">
        <f>VLOOKUP($F$38,'FS (2011)'!$A$13:$AH$244,'FS (2011)'!$AH$245,FALSE)/1000</f>
        <v>0</v>
      </c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5.966198283482079</v>
      </c>
      <c r="D198" s="488">
        <f>SUM(D196:D197)</f>
        <v>8.0740422299402823</v>
      </c>
      <c r="E198" s="488">
        <f>SUM(E196:E197)</f>
        <v>5.6932521354854346</v>
      </c>
      <c r="F198" s="489">
        <f>SUM(F196:F197)</f>
        <v>3.956</v>
      </c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-0.14408719133471393</v>
      </c>
      <c r="D200" s="498">
        <f t="shared" ref="D200:F202" si="20">D196/C196 - 1</f>
        <v>0.3651384069176189</v>
      </c>
      <c r="E200" s="498">
        <f t="shared" si="20"/>
        <v>-0.29486966090248656</v>
      </c>
      <c r="F200" s="495">
        <f t="shared" si="20"/>
        <v>-0.30514231482166876</v>
      </c>
      <c r="R200" s="559" t="s">
        <v>423</v>
      </c>
      <c r="S200" s="559">
        <f t="shared" ref="S200:V202" si="21">LN(C196)</f>
        <v>1.7773984322729219</v>
      </c>
      <c r="T200" s="559">
        <f t="shared" si="21"/>
        <v>2.0886542527787606</v>
      </c>
      <c r="U200" s="559">
        <f t="shared" si="21"/>
        <v>1.7392816376735338</v>
      </c>
      <c r="V200" s="559">
        <f t="shared" si="21"/>
        <v>1.3752334137604656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 t="str">
        <f t="shared" si="19"/>
        <v/>
      </c>
      <c r="D201" s="467">
        <f>IFERROR(D197/C197 - 1,"")</f>
        <v>-1</v>
      </c>
      <c r="E201" s="467" t="str">
        <f>IFERROR(E197/D197-1,"")</f>
        <v/>
      </c>
      <c r="F201" s="468" t="str">
        <f>IFERROR(F197/E197 - 1,"")</f>
        <v/>
      </c>
      <c r="R201" s="559" t="s">
        <v>423</v>
      </c>
      <c r="S201" s="559">
        <f t="shared" si="21"/>
        <v>-2.9613552283167355</v>
      </c>
      <c r="T201" s="559" t="e">
        <f t="shared" si="21"/>
        <v>#NUM!</v>
      </c>
      <c r="U201" s="559" t="e">
        <f t="shared" si="21"/>
        <v>#NUM!</v>
      </c>
      <c r="V201" s="559" t="e">
        <f t="shared" si="21"/>
        <v>#NUM!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-0.1463211533595119</v>
      </c>
      <c r="D202" s="500">
        <f t="shared" si="20"/>
        <v>0.35329766901880322</v>
      </c>
      <c r="E202" s="500">
        <f t="shared" si="20"/>
        <v>-0.29486966090248656</v>
      </c>
      <c r="F202" s="501">
        <f t="shared" si="20"/>
        <v>-0.30514231482166876</v>
      </c>
      <c r="R202" s="559" t="s">
        <v>423</v>
      </c>
      <c r="S202" s="559">
        <f t="shared" si="21"/>
        <v>1.7861099211222449</v>
      </c>
      <c r="T202" s="559">
        <f t="shared" si="21"/>
        <v>2.0886542527787606</v>
      </c>
      <c r="U202" s="559">
        <f t="shared" si="21"/>
        <v>1.7392816376735338</v>
      </c>
      <c r="V202" s="559">
        <f t="shared" si="21"/>
        <v>1.3752334137604656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Westpower</v>
      </c>
      <c r="C206" s="456">
        <f>(C198/C102)*1000000</f>
        <v>480.60240724038016</v>
      </c>
      <c r="D206" s="456">
        <f>(D198/D102)*1000000</f>
        <v>639.93359990015711</v>
      </c>
      <c r="E206" s="456">
        <f>(E198/E102)*1000000</f>
        <v>445.41168326439009</v>
      </c>
      <c r="F206" s="457">
        <f>(F198/F102)*1000000</f>
        <v>307.23827275551412</v>
      </c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Westpower</v>
      </c>
      <c r="C209" s="456">
        <f>(C198/C117)*1000000000</f>
        <v>24339.610250698952</v>
      </c>
      <c r="D209" s="456">
        <f>(D198/D117)*1000000000</f>
        <v>29693.257929648171</v>
      </c>
      <c r="E209" s="456">
        <f>(E198/E117)*1000000000</f>
        <v>19340.266041673098</v>
      </c>
      <c r="F209" s="457">
        <f>(F198/F117)*1000000000</f>
        <v>13480.266879297771</v>
      </c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Westpower</v>
      </c>
      <c r="C212" s="456">
        <f>(C198/VLOOKUP(C$38,'AV (2011)'!$A$11:$F$213,'AV (2011)'!$F$214,FALSE)*1000)</f>
        <v>5.7629498372081228E-2</v>
      </c>
      <c r="D212" s="456">
        <f>(D198/VLOOKUP(D$38,'AV (2011)'!$A$11:$F$213,'AV (2011)'!$F$214,FALSE)*1000)</f>
        <v>7.5548616715892691E-2</v>
      </c>
      <c r="E212" s="456">
        <f>(E198/VLOOKUP(E$38,'AV (2011)'!$A$11:$F$213,'AV (2011)'!$F$214,FALSE)*1000)</f>
        <v>5.1497999199513922E-2</v>
      </c>
      <c r="F212" s="457">
        <f>(F198/VLOOKUP(F$38,'AV (2011)'!$A$11:$F$213,'AV (2011)'!$F$214,FALSE)*1000)</f>
        <v>3.4386406903844792E-2</v>
      </c>
      <c r="J212" s="135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-0.15672450339463984</v>
      </c>
      <c r="D215" s="464">
        <f>D206/C206 - 1</f>
        <v>0.33152391719104557</v>
      </c>
      <c r="E215" s="464">
        <f>E206/D206 - 1</f>
        <v>-0.30397203188911548</v>
      </c>
      <c r="F215" s="465">
        <f>F206/E206 - 1</f>
        <v>-0.31021505654322545</v>
      </c>
      <c r="K215" s="139"/>
      <c r="P215" s="139"/>
      <c r="R215" s="559" t="s">
        <v>423</v>
      </c>
      <c r="S215" s="559">
        <f>LN(C206)</f>
        <v>6.1750403321129212</v>
      </c>
      <c r="T215" s="559">
        <f>LN(D206)</f>
        <v>6.4613644208152934</v>
      </c>
      <c r="U215" s="559">
        <f>LN(E206)</f>
        <v>6.0989989854275803</v>
      </c>
      <c r="V215" s="559">
        <f>LN(F206)</f>
        <v>5.7276235793060408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-0.19759076101690476</v>
      </c>
      <c r="D216" s="467">
        <f>D209/C209 - 1</f>
        <v>0.21995617940494672</v>
      </c>
      <c r="E216" s="467">
        <f>E209/D209 - 1</f>
        <v>-0.34866473434825762</v>
      </c>
      <c r="F216" s="468">
        <f>F209/E209 - 1</f>
        <v>-0.30299475455759484</v>
      </c>
      <c r="R216" s="559" t="s">
        <v>423</v>
      </c>
      <c r="S216" s="559">
        <f>LN(C209)</f>
        <v>10.099860353705793</v>
      </c>
      <c r="T216" s="559">
        <f>LN(D209)</f>
        <v>10.298675293285337</v>
      </c>
      <c r="U216" s="559">
        <f>LN(E209)</f>
        <v>9.8699445249454065</v>
      </c>
      <c r="V216" s="559">
        <f>LN(F209)</f>
        <v>9.5089821824378067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-0.17571201119420754</v>
      </c>
      <c r="D217" s="470">
        <f>D212/C212 - 1</f>
        <v>0.31093656634173361</v>
      </c>
      <c r="E217" s="470">
        <f>E212/D212 - 1</f>
        <v>-0.31834623268912077</v>
      </c>
      <c r="F217" s="471">
        <f>F212/E212 - 1</f>
        <v>-0.3322768371908057</v>
      </c>
      <c r="R217" s="559" t="s">
        <v>423</v>
      </c>
      <c r="S217" s="559">
        <f>LN(C212)</f>
        <v>-2.8537207178559973</v>
      </c>
      <c r="T217" s="559">
        <f>LN(D212)</f>
        <v>-2.5829788999493064</v>
      </c>
      <c r="U217" s="559">
        <f>LN(E212)</f>
        <v>-2.9662123225620221</v>
      </c>
      <c r="V217" s="559">
        <f>LN(F212)</f>
        <v>-3.3700939408384314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R219" s="559"/>
      <c r="S219" s="559"/>
      <c r="T219" s="559"/>
      <c r="U219" s="559"/>
      <c r="V219" s="560" t="str">
        <f>$B$2</f>
        <v>Westpower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R220" s="559"/>
      <c r="S220" s="559"/>
      <c r="T220" s="559"/>
      <c r="U220" s="559"/>
      <c r="V220" s="562" t="s">
        <v>280</v>
      </c>
      <c r="W220" s="563">
        <f>C222</f>
        <v>5693.2521354854343</v>
      </c>
      <c r="X220" s="563">
        <f>D222</f>
        <v>3956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Westpower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R221" s="559"/>
      <c r="S221" s="559"/>
      <c r="T221" s="559"/>
      <c r="U221" s="559"/>
      <c r="V221" s="565" t="s">
        <v>277</v>
      </c>
      <c r="W221" s="563">
        <f t="shared" ref="W221:AA222" si="23">C223</f>
        <v>6744.6902535636327</v>
      </c>
      <c r="X221" s="563">
        <f t="shared" si="23"/>
        <v>6374.8530085419407</v>
      </c>
      <c r="Y221" s="563">
        <f t="shared" si="23"/>
        <v>6570.4694026030011</v>
      </c>
      <c r="Z221" s="563">
        <f t="shared" si="23"/>
        <v>6136.4455282800236</v>
      </c>
      <c r="AA221" s="563">
        <f t="shared" si="23"/>
        <v>5955.0928296192496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5693.2521354854343</v>
      </c>
      <c r="D222" s="461">
        <f>VLOOKUP(D226,'FS (2011)'!$A$14:$AJ$245,'FS (2011)'!$AG$245,FALSE)</f>
        <v>3956</v>
      </c>
      <c r="E222" s="461"/>
      <c r="F222" s="461"/>
      <c r="G222" s="461"/>
      <c r="H222" s="461"/>
      <c r="I222" s="462"/>
      <c r="R222" s="559"/>
      <c r="S222" s="559"/>
      <c r="T222" s="559"/>
      <c r="U222" s="559"/>
      <c r="V222" s="565" t="s">
        <v>278</v>
      </c>
      <c r="W222" s="563"/>
      <c r="X222" s="563">
        <f t="shared" si="23"/>
        <v>5656</v>
      </c>
      <c r="Y222" s="563">
        <f t="shared" si="23"/>
        <v>6931</v>
      </c>
      <c r="Z222" s="563">
        <f t="shared" si="23"/>
        <v>6247</v>
      </c>
      <c r="AA222" s="563">
        <f t="shared" si="23"/>
        <v>6370</v>
      </c>
      <c r="AB222" s="563">
        <f>H224</f>
        <v>5605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6744.6902535636327</v>
      </c>
      <c r="D223" s="461">
        <f>VLOOKUP(D227,'AM (2011)'!$A$10:$N$444,'AM (2011)'!$J$445,FALSE)</f>
        <v>6374.8530085419407</v>
      </c>
      <c r="E223" s="461">
        <f>VLOOKUP(E226,'AM (2011)'!$A$10:$N$444,'AM (2011)'!$J$445,FALSE)</f>
        <v>6570.4694026030011</v>
      </c>
      <c r="F223" s="461">
        <f>VLOOKUP(F226,'AM (2011)'!$A$10:$N$444,'AM (2011)'!$J$445,FALSE)</f>
        <v>6136.4455282800236</v>
      </c>
      <c r="G223" s="461">
        <f>VLOOKUP(G226,'AM (2011)'!$A$10:$N$444,'AM (2011)'!$J$445,FALSE)</f>
        <v>5955.0928296192496</v>
      </c>
      <c r="H223" s="461"/>
      <c r="I223" s="462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5388.7193277310926</v>
      </c>
      <c r="Z223" s="563">
        <f>F225</f>
        <v>4916.5220426632186</v>
      </c>
      <c r="AA223" s="563">
        <f>G225</f>
        <v>3442.249773755656</v>
      </c>
      <c r="AB223" s="563">
        <f>H225</f>
        <v>2697.292566257272</v>
      </c>
      <c r="AC223" s="563">
        <f>I225</f>
        <v>2662.0977375565608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5656</v>
      </c>
      <c r="E224" s="461">
        <f>VLOOKUP(E227,'AM (2011)'!$A$10:$N$444,'AM (2011)'!$J$445,FALSE)</f>
        <v>6931</v>
      </c>
      <c r="F224" s="461">
        <f>VLOOKUP(F227,'AM (2011)'!$A$10:$N$444,'AM (2011)'!$J$445,FALSE)</f>
        <v>6247</v>
      </c>
      <c r="G224" s="461">
        <f>VLOOKUP(G227,'AM (2011)'!$A$10:$N$444,'AM (2011)'!$J$445,FALSE)</f>
        <v>6370</v>
      </c>
      <c r="H224" s="461">
        <f>VLOOKUP(H227,'AM (2011)'!$A$10:$N$444,'AM (2011)'!$J$445,FALSE)</f>
        <v>5605</v>
      </c>
      <c r="I224" s="462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9">
      <c r="B225" s="477" t="s">
        <v>279</v>
      </c>
      <c r="C225" s="493"/>
      <c r="D225" s="493"/>
      <c r="E225" s="493">
        <f>VLOOKUP(E228,'AM (2011)'!$A$10:$N$444,'AM (2011)'!$J$445,FALSE)</f>
        <v>5388.7193277310926</v>
      </c>
      <c r="F225" s="493">
        <f>VLOOKUP(F228,'AM (2011)'!$A$10:$N$444,'AM (2011)'!$J$445,FALSE)</f>
        <v>4916.5220426632186</v>
      </c>
      <c r="G225" s="493">
        <f>VLOOKUP(G228,'AM (2011)'!$A$10:$N$444,'AM (2011)'!$J$445,FALSE)</f>
        <v>3442.249773755656</v>
      </c>
      <c r="H225" s="493">
        <f>VLOOKUP(H228,'AM (2011)'!$A$10:$N$444,'AM (2011)'!$J$445,FALSE)</f>
        <v>2697.292566257272</v>
      </c>
      <c r="I225" s="494">
        <f>VLOOKUP(I228,'AM (2011)'!$A$10:$N$444,'AM (2011)'!$J$445,FALSE)</f>
        <v>2662.0977375565608</v>
      </c>
    </row>
    <row r="226" spans="2:9">
      <c r="C226" s="136">
        <f>VLOOKUP($B$2,$B$257:$Y$286,8,FALSE)</f>
        <v>651</v>
      </c>
      <c r="D226" s="136">
        <f>VLOOKUP($B$2,$B$257:$Y$286,9,FALSE)</f>
        <v>652</v>
      </c>
      <c r="E226" s="136">
        <f>VLOOKUP($B$2,$B$257:$Y$286,12,FALSE)</f>
        <v>655</v>
      </c>
      <c r="F226" s="136">
        <f>VLOOKUP($B$2,$B$257:$Y$286,13,FALSE)</f>
        <v>656</v>
      </c>
      <c r="G226" s="136">
        <f>VLOOKUP($B$2,$B$257:$Y$286,14,FALSE)</f>
        <v>657</v>
      </c>
      <c r="H226" s="136"/>
      <c r="I226" s="136"/>
    </row>
    <row r="227" spans="2:9">
      <c r="C227" s="136">
        <f>VLOOKUP($B$2,$B$257:$Y$286,10,FALSE)</f>
        <v>653</v>
      </c>
      <c r="D227" s="136">
        <f>VLOOKUP($B$2,$B$257:$Y$286,11,FALSE)</f>
        <v>654</v>
      </c>
      <c r="E227" s="136">
        <f>VLOOKUP($B$2,$B$257:$Y$286,16,FALSE)</f>
        <v>659</v>
      </c>
      <c r="F227" s="136">
        <f>VLOOKUP($B$2,$B$257:$Y$286,17,FALSE)</f>
        <v>660</v>
      </c>
      <c r="G227" s="136">
        <f>VLOOKUP($B$2,$B$257:$Y$286,18,FALSE)</f>
        <v>661</v>
      </c>
      <c r="H227" s="136">
        <f>VLOOKUP($B$2,$B$257:$Y$286,19,FALSE)</f>
        <v>662</v>
      </c>
      <c r="I227" s="136"/>
    </row>
    <row r="228" spans="2:9">
      <c r="B228" s="517" t="s">
        <v>291</v>
      </c>
      <c r="C228" s="518"/>
      <c r="D228" s="518">
        <f>VLOOKUP($B$2,$B$257:$Y$286,15,FALSE)</f>
        <v>658</v>
      </c>
      <c r="E228" s="518">
        <f>VLOOKUP($B$2,$B$257:$Y$286,20,FALSE)</f>
        <v>663</v>
      </c>
      <c r="F228" s="519">
        <f>VLOOKUP($B$2,$B$257:$Y$286,21,FALSE)</f>
        <v>664</v>
      </c>
      <c r="G228" s="136">
        <f>VLOOKUP($B$2,$B$257:$Y$286,22,FALSE)</f>
        <v>665</v>
      </c>
      <c r="H228" s="136">
        <f>VLOOKUP($B$2,$B$257:$Y$286,23,FALSE)</f>
        <v>666</v>
      </c>
      <c r="I228" s="136">
        <f>VLOOKUP($B$2,$B$257:$Y$286,24,FALSE)</f>
        <v>667</v>
      </c>
    </row>
    <row r="229" spans="2:9">
      <c r="B229" s="474" t="str">
        <f>$B$2</f>
        <v>Westpower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9">
      <c r="B230" s="199" t="s">
        <v>280</v>
      </c>
      <c r="C230" s="456">
        <f>VLOOKUP(C$38,'MP (2011)'!$A$11:$AR$245,'MP (2011)'!$S$246,FALSE)+VLOOKUP(C$38,'MP (2011)'!$A$11:$AR$245,'MP (2011)'!$T$246,FALSE)</f>
        <v>150.52000000000001</v>
      </c>
      <c r="D230" s="456">
        <f>VLOOKUP(D$38,'MP (2011)'!$A$11:$AR$245,'MP (2011)'!$S$246,FALSE)+VLOOKUP(D$38,'MP (2011)'!$A$11:$AR$245,'MP (2011)'!$T$246,FALSE)</f>
        <v>382.46999999999997</v>
      </c>
      <c r="E230" s="456">
        <f>VLOOKUP(E$38,'MP (2011)'!$A$11:$AR$245,'MP (2011)'!$S$246,FALSE)+VLOOKUP(E$38,'MP (2011)'!$A$11:$AR$245,'MP (2011)'!$T$246,FALSE)</f>
        <v>279.3</v>
      </c>
      <c r="F230" s="457">
        <f>VLOOKUP(F$38,'MP (2011)'!$A$11:$AR$245,'MP (2011)'!$S$246,FALSE)+VLOOKUP(F$38,'MP (2011)'!$A$11:$AR$245,'MP (2011)'!$T$246,FALSE)</f>
        <v>297.28000000000003</v>
      </c>
    </row>
    <row r="231" spans="2:9">
      <c r="B231" s="199" t="s">
        <v>292</v>
      </c>
      <c r="C231" s="456" t="str">
        <f>IF(ISERROR(VLOOKUP(C$38,'Compliance data'!$A$7:$E$74,'Compliance data'!$D$75,FALSE)),"",(VLOOKUP(C$38,'Compliance data'!$A$7:$E$74,'Compliance data'!$D$75,FALSE)))</f>
        <v/>
      </c>
      <c r="D231" s="456" t="str">
        <f>IF(ISERROR(VLOOKUP(D$38,'Compliance data'!$A$7:$E$74,'Compliance data'!$D$75,FALSE)),"",(VLOOKUP(D$38,'Compliance data'!$A$7:$E$74,'Compliance data'!$D$75,FALSE)))</f>
        <v/>
      </c>
      <c r="E231" s="456" t="str">
        <f>IF(ISERROR(VLOOKUP(E$38,'Compliance data'!$A$7:$E$74,'Compliance data'!$D$75,FALSE)),"",(VLOOKUP(E$38,'Compliance data'!$A$7:$E$74,'Compliance data'!$D$75,FALSE)))</f>
        <v/>
      </c>
      <c r="F231" s="457" t="str">
        <f>IF(ISERROR(VLOOKUP(F$38,'Compliance data'!$A$7:$E$74,'Compliance data'!$D$75,FALSE)),"",(VLOOKUP(F$38,'Compliance data'!$A$7:$E$74,'Compliance data'!$D$75,FALSE)))</f>
        <v/>
      </c>
    </row>
    <row r="232" spans="2:9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9">
      <c r="B235" s="517" t="s">
        <v>293</v>
      </c>
      <c r="C235" s="510"/>
      <c r="D235" s="510"/>
      <c r="E235" s="510"/>
      <c r="F235" s="511"/>
      <c r="G235" s="456"/>
    </row>
    <row r="236" spans="2:9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9">
      <c r="B237" s="199" t="s">
        <v>280</v>
      </c>
      <c r="C237" s="456">
        <f>VLOOKUP(C$38,'MP (2011)'!$A$11:$AR$245,'MP (2011)'!$W$246,FALSE)+VLOOKUP(C$38,'MP (2011)'!$A$11:$AR$245,'MP (2011)'!$X$246,FALSE)</f>
        <v>1.41</v>
      </c>
      <c r="D237" s="456">
        <f>VLOOKUP(D$38,'MP (2011)'!$A$11:$AR$245,'MP (2011)'!$W$246,FALSE)+VLOOKUP(D$38,'MP (2011)'!$A$11:$AR$245,'MP (2011)'!$X$246,FALSE)</f>
        <v>3.0920000000000001</v>
      </c>
      <c r="E237" s="456">
        <f>VLOOKUP(E$38,'MP (2011)'!$A$11:$AR$245,'MP (2011)'!$W$246,FALSE)+VLOOKUP(E$38,'MP (2011)'!$A$11:$AR$245,'MP (2011)'!$X$246,FALSE)</f>
        <v>2.02</v>
      </c>
      <c r="F237" s="457">
        <f>VLOOKUP(F$38,'MP (2011)'!$A$11:$AR$245,'MP (2011)'!$W$246,FALSE)+VLOOKUP(F$38,'MP (2011)'!$A$11:$AR$245,'MP (2011)'!$X$246,FALSE)</f>
        <v>2.62</v>
      </c>
    </row>
    <row r="238" spans="2:9">
      <c r="B238" s="199" t="s">
        <v>292</v>
      </c>
      <c r="C238" s="456" t="str">
        <f>IF(ISERROR(VLOOKUP(C$38,'Compliance data'!$A$7:$E$74,'Compliance data'!$E$75,FALSE)),"",(VLOOKUP(C$38,'Compliance data'!$A$7:$E$74,'Compliance data'!$E$75,FALSE)))</f>
        <v/>
      </c>
      <c r="D238" s="456" t="str">
        <f>IF(ISERROR(VLOOKUP(D$38,'Compliance data'!$A$7:$E$74,'Compliance data'!$E$75,FALSE)),"",(VLOOKUP(D$38,'Compliance data'!$A$7:$E$74,'Compliance data'!$E$75,FALSE)))</f>
        <v/>
      </c>
      <c r="E238" s="456" t="str">
        <f>IF(ISERROR(VLOOKUP(E$38,'Compliance data'!$A$7:$E$74,'Compliance data'!$E$75,FALSE)),"",(VLOOKUP(E$38,'Compliance data'!$A$7:$E$74,'Compliance data'!$E$75,FALSE)))</f>
        <v/>
      </c>
      <c r="F238" s="457" t="str">
        <f>IF(ISERROR(VLOOKUP(F$38,'Compliance data'!$A$7:$E$74,'Compliance data'!$E$75,FALSE)),"",(VLOOKUP(F$38,'Compliance data'!$A$7:$E$74,'Compliance data'!$E$75,FALSE)))</f>
        <v/>
      </c>
    </row>
    <row r="239" spans="2:9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ref="T258:Y273" si="25">S258+1</f>
        <v>18</v>
      </c>
      <c r="U258" s="526">
        <f t="shared" si="25"/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4"/>
        <v>25</v>
      </c>
      <c r="E259" s="526">
        <f t="shared" si="24"/>
        <v>26</v>
      </c>
      <c r="F259" s="526">
        <f t="shared" si="24"/>
        <v>27</v>
      </c>
      <c r="G259" s="526">
        <f t="shared" si="24"/>
        <v>28</v>
      </c>
      <c r="H259" s="526">
        <f t="shared" si="24"/>
        <v>29</v>
      </c>
      <c r="I259" s="526">
        <f t="shared" si="24"/>
        <v>30</v>
      </c>
      <c r="J259" s="526">
        <f t="shared" si="24"/>
        <v>31</v>
      </c>
      <c r="K259" s="526">
        <f t="shared" si="24"/>
        <v>32</v>
      </c>
      <c r="L259" s="526">
        <f t="shared" si="24"/>
        <v>33</v>
      </c>
      <c r="M259" s="526">
        <f t="shared" si="24"/>
        <v>34</v>
      </c>
      <c r="N259" s="526">
        <f t="shared" si="24"/>
        <v>35</v>
      </c>
      <c r="O259" s="526">
        <f t="shared" si="24"/>
        <v>36</v>
      </c>
      <c r="P259" s="526">
        <f t="shared" si="24"/>
        <v>37</v>
      </c>
      <c r="Q259" s="526">
        <f t="shared" si="24"/>
        <v>38</v>
      </c>
      <c r="R259" s="526">
        <f t="shared" si="24"/>
        <v>39</v>
      </c>
      <c r="S259" s="526">
        <f t="shared" si="24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6">Y259+1</f>
        <v>47</v>
      </c>
      <c r="D260" s="526">
        <f t="shared" si="24"/>
        <v>48</v>
      </c>
      <c r="E260" s="526">
        <f t="shared" si="24"/>
        <v>49</v>
      </c>
      <c r="F260" s="526">
        <f t="shared" si="24"/>
        <v>50</v>
      </c>
      <c r="G260" s="526">
        <f t="shared" si="24"/>
        <v>51</v>
      </c>
      <c r="H260" s="526">
        <f t="shared" si="24"/>
        <v>52</v>
      </c>
      <c r="I260" s="526">
        <f t="shared" si="24"/>
        <v>53</v>
      </c>
      <c r="J260" s="526">
        <f t="shared" si="24"/>
        <v>54</v>
      </c>
      <c r="K260" s="526">
        <f t="shared" si="24"/>
        <v>55</v>
      </c>
      <c r="L260" s="526">
        <f t="shared" si="24"/>
        <v>56</v>
      </c>
      <c r="M260" s="526">
        <f t="shared" si="24"/>
        <v>57</v>
      </c>
      <c r="N260" s="526">
        <f t="shared" si="24"/>
        <v>58</v>
      </c>
      <c r="O260" s="526">
        <f t="shared" si="24"/>
        <v>59</v>
      </c>
      <c r="P260" s="526">
        <f t="shared" si="24"/>
        <v>60</v>
      </c>
      <c r="Q260" s="526">
        <f t="shared" si="24"/>
        <v>61</v>
      </c>
      <c r="R260" s="526">
        <f t="shared" si="24"/>
        <v>62</v>
      </c>
      <c r="S260" s="526">
        <f t="shared" si="24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6"/>
        <v>70</v>
      </c>
      <c r="D261" s="526">
        <f t="shared" si="24"/>
        <v>71</v>
      </c>
      <c r="E261" s="526">
        <f t="shared" si="24"/>
        <v>72</v>
      </c>
      <c r="F261" s="526">
        <f t="shared" si="24"/>
        <v>73</v>
      </c>
      <c r="G261" s="526">
        <f t="shared" si="24"/>
        <v>74</v>
      </c>
      <c r="H261" s="526">
        <f t="shared" si="24"/>
        <v>75</v>
      </c>
      <c r="I261" s="526">
        <f t="shared" si="24"/>
        <v>76</v>
      </c>
      <c r="J261" s="526">
        <f t="shared" si="24"/>
        <v>77</v>
      </c>
      <c r="K261" s="526">
        <f t="shared" si="24"/>
        <v>78</v>
      </c>
      <c r="L261" s="526">
        <f t="shared" si="24"/>
        <v>79</v>
      </c>
      <c r="M261" s="526">
        <f t="shared" si="24"/>
        <v>80</v>
      </c>
      <c r="N261" s="526">
        <f t="shared" si="24"/>
        <v>81</v>
      </c>
      <c r="O261" s="526">
        <f t="shared" si="24"/>
        <v>82</v>
      </c>
      <c r="P261" s="526">
        <f t="shared" si="24"/>
        <v>83</v>
      </c>
      <c r="Q261" s="526">
        <f t="shared" si="24"/>
        <v>84</v>
      </c>
      <c r="R261" s="526">
        <f t="shared" si="24"/>
        <v>85</v>
      </c>
      <c r="S261" s="526">
        <f t="shared" si="24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6"/>
        <v>93</v>
      </c>
      <c r="D262" s="526">
        <f t="shared" si="24"/>
        <v>94</v>
      </c>
      <c r="E262" s="526">
        <f t="shared" si="24"/>
        <v>95</v>
      </c>
      <c r="F262" s="526">
        <f t="shared" si="24"/>
        <v>96</v>
      </c>
      <c r="G262" s="526">
        <f t="shared" si="24"/>
        <v>97</v>
      </c>
      <c r="H262" s="526">
        <f t="shared" si="24"/>
        <v>98</v>
      </c>
      <c r="I262" s="526">
        <f t="shared" si="24"/>
        <v>99</v>
      </c>
      <c r="J262" s="526">
        <f t="shared" si="24"/>
        <v>100</v>
      </c>
      <c r="K262" s="526">
        <f t="shared" si="24"/>
        <v>101</v>
      </c>
      <c r="L262" s="526">
        <f t="shared" si="24"/>
        <v>102</v>
      </c>
      <c r="M262" s="526">
        <f t="shared" si="24"/>
        <v>103</v>
      </c>
      <c r="N262" s="526">
        <f t="shared" si="24"/>
        <v>104</v>
      </c>
      <c r="O262" s="526">
        <f t="shared" si="24"/>
        <v>105</v>
      </c>
      <c r="P262" s="526">
        <f t="shared" si="24"/>
        <v>106</v>
      </c>
      <c r="Q262" s="526">
        <f t="shared" si="24"/>
        <v>107</v>
      </c>
      <c r="R262" s="526">
        <f t="shared" si="24"/>
        <v>108</v>
      </c>
      <c r="S262" s="526">
        <f t="shared" si="24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6"/>
        <v>116</v>
      </c>
      <c r="D263" s="526">
        <f t="shared" si="24"/>
        <v>117</v>
      </c>
      <c r="E263" s="526">
        <f t="shared" si="24"/>
        <v>118</v>
      </c>
      <c r="F263" s="526">
        <f t="shared" si="24"/>
        <v>119</v>
      </c>
      <c r="G263" s="526">
        <f t="shared" si="24"/>
        <v>120</v>
      </c>
      <c r="H263" s="526">
        <f t="shared" si="24"/>
        <v>121</v>
      </c>
      <c r="I263" s="526">
        <f t="shared" si="24"/>
        <v>122</v>
      </c>
      <c r="J263" s="526">
        <f t="shared" si="24"/>
        <v>123</v>
      </c>
      <c r="K263" s="526">
        <f t="shared" si="24"/>
        <v>124</v>
      </c>
      <c r="L263" s="526">
        <f t="shared" si="24"/>
        <v>125</v>
      </c>
      <c r="M263" s="526">
        <f t="shared" si="24"/>
        <v>126</v>
      </c>
      <c r="N263" s="526">
        <f t="shared" si="24"/>
        <v>127</v>
      </c>
      <c r="O263" s="526">
        <f t="shared" si="24"/>
        <v>128</v>
      </c>
      <c r="P263" s="526">
        <f t="shared" si="24"/>
        <v>129</v>
      </c>
      <c r="Q263" s="526">
        <f t="shared" si="24"/>
        <v>130</v>
      </c>
      <c r="R263" s="526">
        <f t="shared" si="24"/>
        <v>131</v>
      </c>
      <c r="S263" s="526">
        <f t="shared" si="24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6"/>
        <v>139</v>
      </c>
      <c r="D264" s="526">
        <f t="shared" si="24"/>
        <v>140</v>
      </c>
      <c r="E264" s="526">
        <f t="shared" si="24"/>
        <v>141</v>
      </c>
      <c r="F264" s="526">
        <f t="shared" si="24"/>
        <v>142</v>
      </c>
      <c r="G264" s="526">
        <f t="shared" si="24"/>
        <v>143</v>
      </c>
      <c r="H264" s="526">
        <f t="shared" si="24"/>
        <v>144</v>
      </c>
      <c r="I264" s="526">
        <f t="shared" si="24"/>
        <v>145</v>
      </c>
      <c r="J264" s="526">
        <f t="shared" si="24"/>
        <v>146</v>
      </c>
      <c r="K264" s="526">
        <f t="shared" si="24"/>
        <v>147</v>
      </c>
      <c r="L264" s="526">
        <f t="shared" si="24"/>
        <v>148</v>
      </c>
      <c r="M264" s="526">
        <f t="shared" si="24"/>
        <v>149</v>
      </c>
      <c r="N264" s="526">
        <f t="shared" si="24"/>
        <v>150</v>
      </c>
      <c r="O264" s="526">
        <f t="shared" si="24"/>
        <v>151</v>
      </c>
      <c r="P264" s="526">
        <f t="shared" si="24"/>
        <v>152</v>
      </c>
      <c r="Q264" s="526">
        <f t="shared" si="24"/>
        <v>153</v>
      </c>
      <c r="R264" s="526">
        <f t="shared" si="24"/>
        <v>154</v>
      </c>
      <c r="S264" s="526">
        <f t="shared" si="24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6"/>
        <v>162</v>
      </c>
      <c r="D265" s="526">
        <f t="shared" si="24"/>
        <v>163</v>
      </c>
      <c r="E265" s="526">
        <f t="shared" si="24"/>
        <v>164</v>
      </c>
      <c r="F265" s="526">
        <f t="shared" si="24"/>
        <v>165</v>
      </c>
      <c r="G265" s="526">
        <f t="shared" si="24"/>
        <v>166</v>
      </c>
      <c r="H265" s="526">
        <f t="shared" si="24"/>
        <v>167</v>
      </c>
      <c r="I265" s="526">
        <f t="shared" si="24"/>
        <v>168</v>
      </c>
      <c r="J265" s="526">
        <f t="shared" si="24"/>
        <v>169</v>
      </c>
      <c r="K265" s="526">
        <f t="shared" si="24"/>
        <v>170</v>
      </c>
      <c r="L265" s="526">
        <f t="shared" si="24"/>
        <v>171</v>
      </c>
      <c r="M265" s="526">
        <f t="shared" si="24"/>
        <v>172</v>
      </c>
      <c r="N265" s="526">
        <f t="shared" si="24"/>
        <v>173</v>
      </c>
      <c r="O265" s="526">
        <f t="shared" si="24"/>
        <v>174</v>
      </c>
      <c r="P265" s="526">
        <f t="shared" si="24"/>
        <v>175</v>
      </c>
      <c r="Q265" s="526">
        <f t="shared" si="24"/>
        <v>176</v>
      </c>
      <c r="R265" s="526">
        <f t="shared" si="24"/>
        <v>177</v>
      </c>
      <c r="S265" s="526">
        <f t="shared" si="24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6"/>
        <v>185</v>
      </c>
      <c r="D266" s="526">
        <f t="shared" si="24"/>
        <v>186</v>
      </c>
      <c r="E266" s="526">
        <f t="shared" si="24"/>
        <v>187</v>
      </c>
      <c r="F266" s="526">
        <f t="shared" si="24"/>
        <v>188</v>
      </c>
      <c r="G266" s="526">
        <f t="shared" si="24"/>
        <v>189</v>
      </c>
      <c r="H266" s="526">
        <f t="shared" si="24"/>
        <v>190</v>
      </c>
      <c r="I266" s="526">
        <f t="shared" si="24"/>
        <v>191</v>
      </c>
      <c r="J266" s="526">
        <f t="shared" si="24"/>
        <v>192</v>
      </c>
      <c r="K266" s="526">
        <f t="shared" si="24"/>
        <v>193</v>
      </c>
      <c r="L266" s="526">
        <f t="shared" si="24"/>
        <v>194</v>
      </c>
      <c r="M266" s="526">
        <f t="shared" si="24"/>
        <v>195</v>
      </c>
      <c r="N266" s="526">
        <f t="shared" si="24"/>
        <v>196</v>
      </c>
      <c r="O266" s="526">
        <f t="shared" si="24"/>
        <v>197</v>
      </c>
      <c r="P266" s="526">
        <f t="shared" si="24"/>
        <v>198</v>
      </c>
      <c r="Q266" s="526">
        <f t="shared" si="24"/>
        <v>199</v>
      </c>
      <c r="R266" s="526">
        <f t="shared" si="24"/>
        <v>200</v>
      </c>
      <c r="S266" s="526">
        <f t="shared" si="24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6"/>
        <v>208</v>
      </c>
      <c r="D267" s="526">
        <f t="shared" si="24"/>
        <v>209</v>
      </c>
      <c r="E267" s="526">
        <f t="shared" si="24"/>
        <v>210</v>
      </c>
      <c r="F267" s="526">
        <f t="shared" si="24"/>
        <v>211</v>
      </c>
      <c r="G267" s="526">
        <f t="shared" si="24"/>
        <v>212</v>
      </c>
      <c r="H267" s="526">
        <f t="shared" si="24"/>
        <v>213</v>
      </c>
      <c r="I267" s="526">
        <f t="shared" si="24"/>
        <v>214</v>
      </c>
      <c r="J267" s="526">
        <f t="shared" si="24"/>
        <v>215</v>
      </c>
      <c r="K267" s="526">
        <f t="shared" si="24"/>
        <v>216</v>
      </c>
      <c r="L267" s="526">
        <f t="shared" si="24"/>
        <v>217</v>
      </c>
      <c r="M267" s="526">
        <f t="shared" si="24"/>
        <v>218</v>
      </c>
      <c r="N267" s="526">
        <f t="shared" si="24"/>
        <v>219</v>
      </c>
      <c r="O267" s="526">
        <f t="shared" si="24"/>
        <v>220</v>
      </c>
      <c r="P267" s="526">
        <f t="shared" si="24"/>
        <v>221</v>
      </c>
      <c r="Q267" s="526">
        <f t="shared" si="24"/>
        <v>222</v>
      </c>
      <c r="R267" s="526">
        <f t="shared" si="24"/>
        <v>223</v>
      </c>
      <c r="S267" s="526">
        <f t="shared" si="24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6"/>
        <v>231</v>
      </c>
      <c r="D268" s="526">
        <f t="shared" si="24"/>
        <v>232</v>
      </c>
      <c r="E268" s="526">
        <f t="shared" si="24"/>
        <v>233</v>
      </c>
      <c r="F268" s="526">
        <f t="shared" si="24"/>
        <v>234</v>
      </c>
      <c r="G268" s="526">
        <f t="shared" si="24"/>
        <v>235</v>
      </c>
      <c r="H268" s="526">
        <f t="shared" si="24"/>
        <v>236</v>
      </c>
      <c r="I268" s="526">
        <f t="shared" si="24"/>
        <v>237</v>
      </c>
      <c r="J268" s="526">
        <f t="shared" si="24"/>
        <v>238</v>
      </c>
      <c r="K268" s="526">
        <f t="shared" si="24"/>
        <v>239</v>
      </c>
      <c r="L268" s="526">
        <f t="shared" si="24"/>
        <v>240</v>
      </c>
      <c r="M268" s="526">
        <f t="shared" si="24"/>
        <v>241</v>
      </c>
      <c r="N268" s="526">
        <f t="shared" si="24"/>
        <v>242</v>
      </c>
      <c r="O268" s="526">
        <f t="shared" si="24"/>
        <v>243</v>
      </c>
      <c r="P268" s="526">
        <f t="shared" si="24"/>
        <v>244</v>
      </c>
      <c r="Q268" s="526">
        <f t="shared" si="24"/>
        <v>245</v>
      </c>
      <c r="R268" s="526">
        <f t="shared" si="24"/>
        <v>246</v>
      </c>
      <c r="S268" s="526">
        <f t="shared" si="24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6"/>
        <v>254</v>
      </c>
      <c r="D269" s="526">
        <f t="shared" si="24"/>
        <v>255</v>
      </c>
      <c r="E269" s="526">
        <f t="shared" si="24"/>
        <v>256</v>
      </c>
      <c r="F269" s="526">
        <f t="shared" si="24"/>
        <v>257</v>
      </c>
      <c r="G269" s="526">
        <f t="shared" si="24"/>
        <v>258</v>
      </c>
      <c r="H269" s="526">
        <f t="shared" si="24"/>
        <v>259</v>
      </c>
      <c r="I269" s="526">
        <f t="shared" si="24"/>
        <v>260</v>
      </c>
      <c r="J269" s="526">
        <f t="shared" si="24"/>
        <v>261</v>
      </c>
      <c r="K269" s="526">
        <f t="shared" si="24"/>
        <v>262</v>
      </c>
      <c r="L269" s="526">
        <f t="shared" si="24"/>
        <v>263</v>
      </c>
      <c r="M269" s="526">
        <f t="shared" si="24"/>
        <v>264</v>
      </c>
      <c r="N269" s="526">
        <f t="shared" si="24"/>
        <v>265</v>
      </c>
      <c r="O269" s="526">
        <f t="shared" si="24"/>
        <v>266</v>
      </c>
      <c r="P269" s="526">
        <f t="shared" si="24"/>
        <v>267</v>
      </c>
      <c r="Q269" s="526">
        <f t="shared" si="24"/>
        <v>268</v>
      </c>
      <c r="R269" s="526">
        <f t="shared" si="24"/>
        <v>269</v>
      </c>
      <c r="S269" s="526">
        <f t="shared" si="24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6"/>
        <v>277</v>
      </c>
      <c r="D270" s="526">
        <f t="shared" si="24"/>
        <v>278</v>
      </c>
      <c r="E270" s="526">
        <f t="shared" si="24"/>
        <v>279</v>
      </c>
      <c r="F270" s="526">
        <f t="shared" si="24"/>
        <v>280</v>
      </c>
      <c r="G270" s="526">
        <f t="shared" si="24"/>
        <v>281</v>
      </c>
      <c r="H270" s="526">
        <f t="shared" si="24"/>
        <v>282</v>
      </c>
      <c r="I270" s="526">
        <f t="shared" si="24"/>
        <v>283</v>
      </c>
      <c r="J270" s="526">
        <f t="shared" si="24"/>
        <v>284</v>
      </c>
      <c r="K270" s="526">
        <f t="shared" si="24"/>
        <v>285</v>
      </c>
      <c r="L270" s="526">
        <f t="shared" si="24"/>
        <v>286</v>
      </c>
      <c r="M270" s="526">
        <f t="shared" si="24"/>
        <v>287</v>
      </c>
      <c r="N270" s="526">
        <f t="shared" si="24"/>
        <v>288</v>
      </c>
      <c r="O270" s="526">
        <f t="shared" si="24"/>
        <v>289</v>
      </c>
      <c r="P270" s="526">
        <f t="shared" si="24"/>
        <v>290</v>
      </c>
      <c r="Q270" s="526">
        <f t="shared" si="24"/>
        <v>291</v>
      </c>
      <c r="R270" s="526">
        <f t="shared" si="24"/>
        <v>292</v>
      </c>
      <c r="S270" s="526">
        <f t="shared" si="24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6"/>
        <v>300</v>
      </c>
      <c r="D271" s="526">
        <f t="shared" si="24"/>
        <v>301</v>
      </c>
      <c r="E271" s="526">
        <f t="shared" si="24"/>
        <v>302</v>
      </c>
      <c r="F271" s="526">
        <f t="shared" si="24"/>
        <v>303</v>
      </c>
      <c r="G271" s="526">
        <f t="shared" si="24"/>
        <v>304</v>
      </c>
      <c r="H271" s="526">
        <f t="shared" si="24"/>
        <v>305</v>
      </c>
      <c r="I271" s="526">
        <f t="shared" si="24"/>
        <v>306</v>
      </c>
      <c r="J271" s="526">
        <f t="shared" si="24"/>
        <v>307</v>
      </c>
      <c r="K271" s="526">
        <f t="shared" si="24"/>
        <v>308</v>
      </c>
      <c r="L271" s="526">
        <f t="shared" si="24"/>
        <v>309</v>
      </c>
      <c r="M271" s="526">
        <f t="shared" si="24"/>
        <v>310</v>
      </c>
      <c r="N271" s="526">
        <f t="shared" si="24"/>
        <v>311</v>
      </c>
      <c r="O271" s="526">
        <f t="shared" si="24"/>
        <v>312</v>
      </c>
      <c r="P271" s="526">
        <f t="shared" si="24"/>
        <v>313</v>
      </c>
      <c r="Q271" s="526">
        <f t="shared" si="24"/>
        <v>314</v>
      </c>
      <c r="R271" s="526">
        <f t="shared" si="24"/>
        <v>315</v>
      </c>
      <c r="S271" s="526">
        <f t="shared" si="24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6"/>
        <v>323</v>
      </c>
      <c r="D272" s="526">
        <f t="shared" si="24"/>
        <v>324</v>
      </c>
      <c r="E272" s="526">
        <f t="shared" si="24"/>
        <v>325</v>
      </c>
      <c r="F272" s="526">
        <f t="shared" si="24"/>
        <v>326</v>
      </c>
      <c r="G272" s="526">
        <f t="shared" si="24"/>
        <v>327</v>
      </c>
      <c r="H272" s="526">
        <f t="shared" si="24"/>
        <v>328</v>
      </c>
      <c r="I272" s="526">
        <f t="shared" si="24"/>
        <v>329</v>
      </c>
      <c r="J272" s="526">
        <f t="shared" si="24"/>
        <v>330</v>
      </c>
      <c r="K272" s="526">
        <f t="shared" si="24"/>
        <v>331</v>
      </c>
      <c r="L272" s="526">
        <f t="shared" si="24"/>
        <v>332</v>
      </c>
      <c r="M272" s="526">
        <f t="shared" si="24"/>
        <v>333</v>
      </c>
      <c r="N272" s="526">
        <f t="shared" si="24"/>
        <v>334</v>
      </c>
      <c r="O272" s="526">
        <f t="shared" si="24"/>
        <v>335</v>
      </c>
      <c r="P272" s="526">
        <f t="shared" si="24"/>
        <v>336</v>
      </c>
      <c r="Q272" s="526">
        <f t="shared" si="24"/>
        <v>337</v>
      </c>
      <c r="R272" s="526">
        <f t="shared" si="24"/>
        <v>338</v>
      </c>
      <c r="S272" s="526">
        <f t="shared" si="24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6"/>
        <v>346</v>
      </c>
      <c r="D273" s="526">
        <f t="shared" si="24"/>
        <v>347</v>
      </c>
      <c r="E273" s="526">
        <f t="shared" si="24"/>
        <v>348</v>
      </c>
      <c r="F273" s="526">
        <f t="shared" si="24"/>
        <v>349</v>
      </c>
      <c r="G273" s="526">
        <f t="shared" si="24"/>
        <v>350</v>
      </c>
      <c r="H273" s="526">
        <f t="shared" si="24"/>
        <v>351</v>
      </c>
      <c r="I273" s="526">
        <f t="shared" si="24"/>
        <v>352</v>
      </c>
      <c r="J273" s="526">
        <f t="shared" si="24"/>
        <v>353</v>
      </c>
      <c r="K273" s="526">
        <f t="shared" si="24"/>
        <v>354</v>
      </c>
      <c r="L273" s="526">
        <f t="shared" si="24"/>
        <v>355</v>
      </c>
      <c r="M273" s="526">
        <f t="shared" si="24"/>
        <v>356</v>
      </c>
      <c r="N273" s="526">
        <f t="shared" si="24"/>
        <v>357</v>
      </c>
      <c r="O273" s="526">
        <f t="shared" si="24"/>
        <v>358</v>
      </c>
      <c r="P273" s="526">
        <f t="shared" si="24"/>
        <v>359</v>
      </c>
      <c r="Q273" s="526">
        <f t="shared" si="24"/>
        <v>360</v>
      </c>
      <c r="R273" s="526">
        <f t="shared" si="24"/>
        <v>361</v>
      </c>
      <c r="S273" s="526">
        <f t="shared" ref="D273:S286" si="27">R273+1</f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6"/>
        <v>369</v>
      </c>
      <c r="D274" s="526">
        <f t="shared" si="27"/>
        <v>370</v>
      </c>
      <c r="E274" s="526">
        <f t="shared" si="27"/>
        <v>371</v>
      </c>
      <c r="F274" s="526">
        <f t="shared" si="27"/>
        <v>372</v>
      </c>
      <c r="G274" s="526">
        <f t="shared" si="27"/>
        <v>373</v>
      </c>
      <c r="H274" s="526">
        <f t="shared" si="27"/>
        <v>374</v>
      </c>
      <c r="I274" s="526">
        <f t="shared" si="27"/>
        <v>375</v>
      </c>
      <c r="J274" s="526">
        <f t="shared" si="27"/>
        <v>376</v>
      </c>
      <c r="K274" s="526">
        <f t="shared" si="27"/>
        <v>377</v>
      </c>
      <c r="L274" s="526">
        <f t="shared" si="27"/>
        <v>378</v>
      </c>
      <c r="M274" s="526">
        <f t="shared" si="27"/>
        <v>379</v>
      </c>
      <c r="N274" s="526">
        <f t="shared" si="27"/>
        <v>380</v>
      </c>
      <c r="O274" s="526">
        <f t="shared" si="27"/>
        <v>381</v>
      </c>
      <c r="P274" s="526">
        <f t="shared" si="27"/>
        <v>382</v>
      </c>
      <c r="Q274" s="526">
        <f t="shared" si="27"/>
        <v>383</v>
      </c>
      <c r="R274" s="526">
        <f t="shared" si="27"/>
        <v>384</v>
      </c>
      <c r="S274" s="526">
        <f t="shared" si="27"/>
        <v>385</v>
      </c>
      <c r="T274" s="526">
        <f t="shared" ref="S274:Y286" si="28">S274+1</f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6"/>
        <v>392</v>
      </c>
      <c r="D275" s="526">
        <f t="shared" si="27"/>
        <v>393</v>
      </c>
      <c r="E275" s="526">
        <f t="shared" si="27"/>
        <v>394</v>
      </c>
      <c r="F275" s="526">
        <f t="shared" si="27"/>
        <v>395</v>
      </c>
      <c r="G275" s="526">
        <f t="shared" si="27"/>
        <v>396</v>
      </c>
      <c r="H275" s="526">
        <f t="shared" si="27"/>
        <v>397</v>
      </c>
      <c r="I275" s="526">
        <f t="shared" si="27"/>
        <v>398</v>
      </c>
      <c r="J275" s="526">
        <f t="shared" si="27"/>
        <v>399</v>
      </c>
      <c r="K275" s="526">
        <f t="shared" si="27"/>
        <v>400</v>
      </c>
      <c r="L275" s="526">
        <f t="shared" si="27"/>
        <v>401</v>
      </c>
      <c r="M275" s="526">
        <f t="shared" si="27"/>
        <v>402</v>
      </c>
      <c r="N275" s="526">
        <f t="shared" si="27"/>
        <v>403</v>
      </c>
      <c r="O275" s="526">
        <f t="shared" si="27"/>
        <v>404</v>
      </c>
      <c r="P275" s="526">
        <f t="shared" si="27"/>
        <v>405</v>
      </c>
      <c r="Q275" s="526">
        <f t="shared" si="27"/>
        <v>406</v>
      </c>
      <c r="R275" s="526">
        <f t="shared" si="27"/>
        <v>407</v>
      </c>
      <c r="S275" s="526">
        <f t="shared" si="27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6"/>
        <v>415</v>
      </c>
      <c r="D276" s="526">
        <f t="shared" si="27"/>
        <v>416</v>
      </c>
      <c r="E276" s="526">
        <f t="shared" si="27"/>
        <v>417</v>
      </c>
      <c r="F276" s="526">
        <f t="shared" si="27"/>
        <v>418</v>
      </c>
      <c r="G276" s="526">
        <f t="shared" si="27"/>
        <v>419</v>
      </c>
      <c r="H276" s="526">
        <f t="shared" si="27"/>
        <v>420</v>
      </c>
      <c r="I276" s="526">
        <f t="shared" si="27"/>
        <v>421</v>
      </c>
      <c r="J276" s="526">
        <f t="shared" si="27"/>
        <v>422</v>
      </c>
      <c r="K276" s="526">
        <f t="shared" si="27"/>
        <v>423</v>
      </c>
      <c r="L276" s="526">
        <f t="shared" si="27"/>
        <v>424</v>
      </c>
      <c r="M276" s="526">
        <f t="shared" si="27"/>
        <v>425</v>
      </c>
      <c r="N276" s="526">
        <f t="shared" si="27"/>
        <v>426</v>
      </c>
      <c r="O276" s="526">
        <f t="shared" si="27"/>
        <v>427</v>
      </c>
      <c r="P276" s="526">
        <f t="shared" si="27"/>
        <v>428</v>
      </c>
      <c r="Q276" s="526">
        <f t="shared" si="27"/>
        <v>429</v>
      </c>
      <c r="R276" s="526">
        <f t="shared" si="27"/>
        <v>430</v>
      </c>
      <c r="S276" s="526">
        <f t="shared" si="27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6"/>
        <v>438</v>
      </c>
      <c r="D277" s="526">
        <f t="shared" si="27"/>
        <v>439</v>
      </c>
      <c r="E277" s="526">
        <f t="shared" si="27"/>
        <v>440</v>
      </c>
      <c r="F277" s="526">
        <f t="shared" si="27"/>
        <v>441</v>
      </c>
      <c r="G277" s="526">
        <f t="shared" si="27"/>
        <v>442</v>
      </c>
      <c r="H277" s="526">
        <f t="shared" si="27"/>
        <v>443</v>
      </c>
      <c r="I277" s="526">
        <f t="shared" si="27"/>
        <v>444</v>
      </c>
      <c r="J277" s="526">
        <f t="shared" si="27"/>
        <v>445</v>
      </c>
      <c r="K277" s="526">
        <f t="shared" si="27"/>
        <v>446</v>
      </c>
      <c r="L277" s="526">
        <f t="shared" si="27"/>
        <v>447</v>
      </c>
      <c r="M277" s="526">
        <f t="shared" si="27"/>
        <v>448</v>
      </c>
      <c r="N277" s="526">
        <f t="shared" si="27"/>
        <v>449</v>
      </c>
      <c r="O277" s="526">
        <f t="shared" si="27"/>
        <v>450</v>
      </c>
      <c r="P277" s="526">
        <f t="shared" si="27"/>
        <v>451</v>
      </c>
      <c r="Q277" s="526">
        <f t="shared" si="27"/>
        <v>452</v>
      </c>
      <c r="R277" s="526">
        <f t="shared" si="27"/>
        <v>453</v>
      </c>
      <c r="S277" s="526">
        <f t="shared" si="27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6"/>
        <v>461</v>
      </c>
      <c r="D278" s="526">
        <f t="shared" si="27"/>
        <v>462</v>
      </c>
      <c r="E278" s="526">
        <f t="shared" si="27"/>
        <v>463</v>
      </c>
      <c r="F278" s="526">
        <f t="shared" si="27"/>
        <v>464</v>
      </c>
      <c r="G278" s="526">
        <f t="shared" si="27"/>
        <v>465</v>
      </c>
      <c r="H278" s="526">
        <f t="shared" si="27"/>
        <v>466</v>
      </c>
      <c r="I278" s="526">
        <f t="shared" si="27"/>
        <v>467</v>
      </c>
      <c r="J278" s="526">
        <f t="shared" si="27"/>
        <v>468</v>
      </c>
      <c r="K278" s="526">
        <f t="shared" si="27"/>
        <v>469</v>
      </c>
      <c r="L278" s="526">
        <f t="shared" si="27"/>
        <v>470</v>
      </c>
      <c r="M278" s="526">
        <f t="shared" si="27"/>
        <v>471</v>
      </c>
      <c r="N278" s="526">
        <f t="shared" si="27"/>
        <v>472</v>
      </c>
      <c r="O278" s="526">
        <f t="shared" si="27"/>
        <v>473</v>
      </c>
      <c r="P278" s="526">
        <f t="shared" si="27"/>
        <v>474</v>
      </c>
      <c r="Q278" s="526">
        <f t="shared" si="27"/>
        <v>475</v>
      </c>
      <c r="R278" s="526">
        <f t="shared" si="27"/>
        <v>476</v>
      </c>
      <c r="S278" s="526">
        <f t="shared" si="27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6"/>
        <v>484</v>
      </c>
      <c r="D279" s="526">
        <f t="shared" si="27"/>
        <v>485</v>
      </c>
      <c r="E279" s="526">
        <f t="shared" si="27"/>
        <v>486</v>
      </c>
      <c r="F279" s="526">
        <f t="shared" si="27"/>
        <v>487</v>
      </c>
      <c r="G279" s="526">
        <f t="shared" si="27"/>
        <v>488</v>
      </c>
      <c r="H279" s="526">
        <f t="shared" si="27"/>
        <v>489</v>
      </c>
      <c r="I279" s="526">
        <f t="shared" si="27"/>
        <v>490</v>
      </c>
      <c r="J279" s="526">
        <f t="shared" si="27"/>
        <v>491</v>
      </c>
      <c r="K279" s="526">
        <f t="shared" si="27"/>
        <v>492</v>
      </c>
      <c r="L279" s="526">
        <f t="shared" si="27"/>
        <v>493</v>
      </c>
      <c r="M279" s="526">
        <f t="shared" si="27"/>
        <v>494</v>
      </c>
      <c r="N279" s="526">
        <f t="shared" si="27"/>
        <v>495</v>
      </c>
      <c r="O279" s="526">
        <f t="shared" si="27"/>
        <v>496</v>
      </c>
      <c r="P279" s="526">
        <f t="shared" si="27"/>
        <v>497</v>
      </c>
      <c r="Q279" s="526">
        <f t="shared" si="27"/>
        <v>498</v>
      </c>
      <c r="R279" s="526">
        <f t="shared" si="27"/>
        <v>499</v>
      </c>
      <c r="S279" s="526">
        <f t="shared" si="27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6"/>
        <v>507</v>
      </c>
      <c r="D280" s="526">
        <f t="shared" si="27"/>
        <v>508</v>
      </c>
      <c r="E280" s="526">
        <f t="shared" si="27"/>
        <v>509</v>
      </c>
      <c r="F280" s="526">
        <f t="shared" si="27"/>
        <v>510</v>
      </c>
      <c r="G280" s="526">
        <f t="shared" si="27"/>
        <v>511</v>
      </c>
      <c r="H280" s="526">
        <f t="shared" si="27"/>
        <v>512</v>
      </c>
      <c r="I280" s="526">
        <f t="shared" si="27"/>
        <v>513</v>
      </c>
      <c r="J280" s="526">
        <f t="shared" si="27"/>
        <v>514</v>
      </c>
      <c r="K280" s="526">
        <f t="shared" si="27"/>
        <v>515</v>
      </c>
      <c r="L280" s="526">
        <f t="shared" si="27"/>
        <v>516</v>
      </c>
      <c r="M280" s="526">
        <f t="shared" si="27"/>
        <v>517</v>
      </c>
      <c r="N280" s="526">
        <f t="shared" si="27"/>
        <v>518</v>
      </c>
      <c r="O280" s="526">
        <f t="shared" si="27"/>
        <v>519</v>
      </c>
      <c r="P280" s="526">
        <f t="shared" si="27"/>
        <v>520</v>
      </c>
      <c r="Q280" s="526">
        <f t="shared" si="27"/>
        <v>521</v>
      </c>
      <c r="R280" s="526">
        <f t="shared" si="27"/>
        <v>522</v>
      </c>
      <c r="S280" s="526">
        <f t="shared" si="27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6"/>
        <v>530</v>
      </c>
      <c r="D281" s="526">
        <f t="shared" si="27"/>
        <v>531</v>
      </c>
      <c r="E281" s="526">
        <f t="shared" si="27"/>
        <v>532</v>
      </c>
      <c r="F281" s="526">
        <f t="shared" si="27"/>
        <v>533</v>
      </c>
      <c r="G281" s="526">
        <f t="shared" si="27"/>
        <v>534</v>
      </c>
      <c r="H281" s="526">
        <f t="shared" si="27"/>
        <v>535</v>
      </c>
      <c r="I281" s="526">
        <f t="shared" si="27"/>
        <v>536</v>
      </c>
      <c r="J281" s="526">
        <f t="shared" si="27"/>
        <v>537</v>
      </c>
      <c r="K281" s="526">
        <f t="shared" si="27"/>
        <v>538</v>
      </c>
      <c r="L281" s="526">
        <f t="shared" si="27"/>
        <v>539</v>
      </c>
      <c r="M281" s="526">
        <f t="shared" si="27"/>
        <v>540</v>
      </c>
      <c r="N281" s="526">
        <f t="shared" si="27"/>
        <v>541</v>
      </c>
      <c r="O281" s="526">
        <f t="shared" si="27"/>
        <v>542</v>
      </c>
      <c r="P281" s="526">
        <f t="shared" si="27"/>
        <v>543</v>
      </c>
      <c r="Q281" s="526">
        <f t="shared" si="27"/>
        <v>544</v>
      </c>
      <c r="R281" s="526">
        <f t="shared" si="27"/>
        <v>545</v>
      </c>
      <c r="S281" s="526">
        <f t="shared" si="27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6"/>
        <v>553</v>
      </c>
      <c r="D282" s="526">
        <f t="shared" si="27"/>
        <v>554</v>
      </c>
      <c r="E282" s="526">
        <f t="shared" si="27"/>
        <v>555</v>
      </c>
      <c r="F282" s="526">
        <f t="shared" si="27"/>
        <v>556</v>
      </c>
      <c r="G282" s="526">
        <f t="shared" si="27"/>
        <v>557</v>
      </c>
      <c r="H282" s="526">
        <f t="shared" si="27"/>
        <v>558</v>
      </c>
      <c r="I282" s="526">
        <f t="shared" si="27"/>
        <v>559</v>
      </c>
      <c r="J282" s="526">
        <f t="shared" si="27"/>
        <v>560</v>
      </c>
      <c r="K282" s="526">
        <f t="shared" si="27"/>
        <v>561</v>
      </c>
      <c r="L282" s="526">
        <f t="shared" si="27"/>
        <v>562</v>
      </c>
      <c r="M282" s="526">
        <f t="shared" si="27"/>
        <v>563</v>
      </c>
      <c r="N282" s="526">
        <f t="shared" si="27"/>
        <v>564</v>
      </c>
      <c r="O282" s="526">
        <f t="shared" si="27"/>
        <v>565</v>
      </c>
      <c r="P282" s="526">
        <f t="shared" si="27"/>
        <v>566</v>
      </c>
      <c r="Q282" s="526">
        <f t="shared" si="27"/>
        <v>567</v>
      </c>
      <c r="R282" s="526">
        <f t="shared" si="27"/>
        <v>568</v>
      </c>
      <c r="S282" s="526">
        <f t="shared" si="27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6"/>
        <v>576</v>
      </c>
      <c r="D283" s="526">
        <f t="shared" si="27"/>
        <v>577</v>
      </c>
      <c r="E283" s="526">
        <f t="shared" si="27"/>
        <v>578</v>
      </c>
      <c r="F283" s="526">
        <f t="shared" si="27"/>
        <v>579</v>
      </c>
      <c r="G283" s="526">
        <f t="shared" si="27"/>
        <v>580</v>
      </c>
      <c r="H283" s="526">
        <f t="shared" si="27"/>
        <v>581</v>
      </c>
      <c r="I283" s="526">
        <f t="shared" si="27"/>
        <v>582</v>
      </c>
      <c r="J283" s="526">
        <f t="shared" si="27"/>
        <v>583</v>
      </c>
      <c r="K283" s="526">
        <f t="shared" si="27"/>
        <v>584</v>
      </c>
      <c r="L283" s="526">
        <f t="shared" si="27"/>
        <v>585</v>
      </c>
      <c r="M283" s="526">
        <f t="shared" si="27"/>
        <v>586</v>
      </c>
      <c r="N283" s="526">
        <f t="shared" si="27"/>
        <v>587</v>
      </c>
      <c r="O283" s="526">
        <f t="shared" si="27"/>
        <v>588</v>
      </c>
      <c r="P283" s="526">
        <f t="shared" si="27"/>
        <v>589</v>
      </c>
      <c r="Q283" s="526">
        <f t="shared" si="27"/>
        <v>590</v>
      </c>
      <c r="R283" s="526">
        <f t="shared" si="27"/>
        <v>591</v>
      </c>
      <c r="S283" s="526">
        <f t="shared" si="27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6"/>
        <v>599</v>
      </c>
      <c r="D284" s="526">
        <f t="shared" si="27"/>
        <v>600</v>
      </c>
      <c r="E284" s="526">
        <f t="shared" si="27"/>
        <v>601</v>
      </c>
      <c r="F284" s="526">
        <f t="shared" si="27"/>
        <v>602</v>
      </c>
      <c r="G284" s="526">
        <f t="shared" si="27"/>
        <v>603</v>
      </c>
      <c r="H284" s="526">
        <f t="shared" si="27"/>
        <v>604</v>
      </c>
      <c r="I284" s="526">
        <f t="shared" si="27"/>
        <v>605</v>
      </c>
      <c r="J284" s="526">
        <f t="shared" si="27"/>
        <v>606</v>
      </c>
      <c r="K284" s="526">
        <f t="shared" si="27"/>
        <v>607</v>
      </c>
      <c r="L284" s="526">
        <f t="shared" si="27"/>
        <v>608</v>
      </c>
      <c r="M284" s="526">
        <f t="shared" si="27"/>
        <v>609</v>
      </c>
      <c r="N284" s="526">
        <f t="shared" si="27"/>
        <v>610</v>
      </c>
      <c r="O284" s="526">
        <f t="shared" si="27"/>
        <v>611</v>
      </c>
      <c r="P284" s="526">
        <f t="shared" si="27"/>
        <v>612</v>
      </c>
      <c r="Q284" s="526">
        <f t="shared" si="27"/>
        <v>613</v>
      </c>
      <c r="R284" s="526">
        <f t="shared" si="27"/>
        <v>614</v>
      </c>
      <c r="S284" s="526">
        <f t="shared" si="27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6"/>
        <v>622</v>
      </c>
      <c r="D285" s="526">
        <f t="shared" si="27"/>
        <v>623</v>
      </c>
      <c r="E285" s="526">
        <f t="shared" si="27"/>
        <v>624</v>
      </c>
      <c r="F285" s="526">
        <f t="shared" si="27"/>
        <v>625</v>
      </c>
      <c r="G285" s="526">
        <f t="shared" si="27"/>
        <v>626</v>
      </c>
      <c r="H285" s="526">
        <f t="shared" si="27"/>
        <v>627</v>
      </c>
      <c r="I285" s="526">
        <f t="shared" si="27"/>
        <v>628</v>
      </c>
      <c r="J285" s="526">
        <f t="shared" si="27"/>
        <v>629</v>
      </c>
      <c r="K285" s="526">
        <f t="shared" si="27"/>
        <v>630</v>
      </c>
      <c r="L285" s="526">
        <f t="shared" si="27"/>
        <v>631</v>
      </c>
      <c r="M285" s="526">
        <f t="shared" si="27"/>
        <v>632</v>
      </c>
      <c r="N285" s="526">
        <f t="shared" si="27"/>
        <v>633</v>
      </c>
      <c r="O285" s="526">
        <f t="shared" si="27"/>
        <v>634</v>
      </c>
      <c r="P285" s="526">
        <f t="shared" si="27"/>
        <v>635</v>
      </c>
      <c r="Q285" s="526">
        <f t="shared" si="27"/>
        <v>636</v>
      </c>
      <c r="R285" s="526">
        <f t="shared" si="27"/>
        <v>637</v>
      </c>
      <c r="S285" s="526">
        <f t="shared" si="27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6"/>
        <v>645</v>
      </c>
      <c r="D286" s="526">
        <f t="shared" si="27"/>
        <v>646</v>
      </c>
      <c r="E286" s="526">
        <f t="shared" si="27"/>
        <v>647</v>
      </c>
      <c r="F286" s="526">
        <f t="shared" si="27"/>
        <v>648</v>
      </c>
      <c r="G286" s="526">
        <f t="shared" si="27"/>
        <v>649</v>
      </c>
      <c r="H286" s="526">
        <f t="shared" si="27"/>
        <v>650</v>
      </c>
      <c r="I286" s="526">
        <f t="shared" si="27"/>
        <v>651</v>
      </c>
      <c r="J286" s="526">
        <f t="shared" si="27"/>
        <v>652</v>
      </c>
      <c r="K286" s="526">
        <f t="shared" si="27"/>
        <v>653</v>
      </c>
      <c r="L286" s="526">
        <f t="shared" si="27"/>
        <v>654</v>
      </c>
      <c r="M286" s="526">
        <f t="shared" si="27"/>
        <v>655</v>
      </c>
      <c r="N286" s="526">
        <f t="shared" si="27"/>
        <v>656</v>
      </c>
      <c r="O286" s="526">
        <f t="shared" si="27"/>
        <v>657</v>
      </c>
      <c r="P286" s="526">
        <f t="shared" si="27"/>
        <v>658</v>
      </c>
      <c r="Q286" s="526">
        <f t="shared" si="27"/>
        <v>659</v>
      </c>
      <c r="R286" s="526">
        <f t="shared" si="27"/>
        <v>660</v>
      </c>
      <c r="S286" s="526">
        <f t="shared" si="28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95" customHeight="1">
      <c r="B2" s="515" t="s">
        <v>174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Aurora Energy</v>
      </c>
      <c r="C6" s="108"/>
      <c r="D6" s="109">
        <f>VLOOKUP($B$6,$B$258:$J$286,9,FALSE)</f>
        <v>31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77.435000000000002</v>
      </c>
      <c r="E7" s="407">
        <f>D7/('Industry calcs'!D4/1000)*100</f>
        <v>3.7565282566773139</v>
      </c>
    </row>
    <row r="8" spans="2:5">
      <c r="B8" s="111" t="s">
        <v>250</v>
      </c>
      <c r="C8" s="114"/>
      <c r="D8" s="406">
        <f>VLOOKUP(D6,'AV (2011)'!A8:F214,'AV (2011)'!F214,FALSE)/1000</f>
        <v>322.18040999999999</v>
      </c>
      <c r="E8" s="407">
        <f>D8/('Industry calcs'!D5/1000)*100</f>
        <v>3.5896974962050439</v>
      </c>
    </row>
    <row r="9" spans="2:5">
      <c r="B9" s="111" t="s">
        <v>230</v>
      </c>
      <c r="C9" s="114"/>
      <c r="D9" s="406">
        <f>VLOOKUP($D$6,'FS (2011)'!$A$13:$AH$244,'FS (2011)'!S245,FALSE)/1000</f>
        <v>19.004999999999999</v>
      </c>
      <c r="E9" s="407">
        <f>D9/('Industry calcs'!D6/1000)*100</f>
        <v>4.1860545683501318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22.294</v>
      </c>
      <c r="E10" s="407">
        <f>D10/('Industry calcs'!D7/1000)*100</f>
        <v>3.8098452894185049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1238.2881</v>
      </c>
      <c r="E11" s="407">
        <f>D11/'Industry calcs'!D8*100</f>
        <v>4.0014805770356112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274.08499999999998</v>
      </c>
      <c r="E12" s="407">
        <f>D12/'Industry calcs'!D9*100</f>
        <v>4.3830824101210633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5621.3</v>
      </c>
      <c r="E13" s="407">
        <f>D13/'Industry calcs'!D10*100</f>
        <v>3.7583121183691217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82368</v>
      </c>
      <c r="E14" s="407">
        <f>D14/'Industry calcs'!D11*100</f>
        <v>4.1006135885596224</v>
      </c>
    </row>
    <row r="15" spans="2:5">
      <c r="B15" s="115" t="s">
        <v>195</v>
      </c>
      <c r="C15" s="116" t="s">
        <v>239</v>
      </c>
      <c r="D15" s="408">
        <f>D14/D13</f>
        <v>14.652838311422624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Aurora Energy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21.658264207433668</v>
      </c>
      <c r="D20" s="409">
        <f>VLOOKUP($B$2,'MED price allocation'!$B$16:$F$44,3,FALSE)</f>
        <v>22.724998384286053</v>
      </c>
      <c r="E20" s="409">
        <f>VLOOKUP($B$2,'MED price allocation'!$B$16:$F$44,4,FALSE)</f>
        <v>21.70549655366084</v>
      </c>
      <c r="F20" s="503">
        <f>VLOOKUP($B$2,'MED price allocation'!$B$16:$F$44,5,FALSE)</f>
        <v>23.72154863213116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5.7685162782844905</v>
      </c>
      <c r="D21" s="410">
        <f>VLOOKUP($B$2,'MED price allocation'!$B$47:$F$75,3,FALSE)</f>
        <v>5.5731038799396266</v>
      </c>
      <c r="E21" s="410">
        <f>VLOOKUP($B$2,'MED price allocation'!$B$47:$F$75,4,FALSE)</f>
        <v>5.4946552789548626</v>
      </c>
      <c r="F21" s="504">
        <f>VLOOKUP($B$2,'MED price allocation'!$B$47:$F$75,5,FALSE)</f>
        <v>6.4928694751482601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7.4629491517504611</v>
      </c>
      <c r="D22" s="409">
        <f>VLOOKUP($B$2,'MED price allocation'!$B$78:$F$106,3,FALSE)</f>
        <v>7.7075081439167148</v>
      </c>
      <c r="E22" s="409">
        <f>VLOOKUP($B$2,'MED price allocation'!$B$78:$F$106,4,FALSE)</f>
        <v>7.4615890680687835</v>
      </c>
      <c r="F22" s="503">
        <f>VLOOKUP($B$2,'MED price allocation'!$B$78:$F$106,5,FALSE)</f>
        <v>8.3629039570450452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1.6944328734659713</v>
      </c>
      <c r="D23" s="411">
        <f>VLOOKUP($B$2,'MED price allocation'!$B$109:$F$137,3,FALSE)</f>
        <v>2.1344042639770877</v>
      </c>
      <c r="E23" s="411">
        <f>VLOOKUP($B$2,'MED price allocation'!$B$109:$F$137,4,FALSE)</f>
        <v>1.9669337891139209</v>
      </c>
      <c r="F23" s="505">
        <f>VLOOKUP($B$2,'MED price allocation'!$B$109:$F$137,5,FALSE)</f>
        <v>1.8700344818967853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Aurora Energy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1732.6611365946935</v>
      </c>
      <c r="D26" s="412">
        <f>(D20*8000)/100</f>
        <v>1817.9998707428842</v>
      </c>
      <c r="E26" s="412">
        <f>(E20*8000)/100</f>
        <v>1736.4397242928671</v>
      </c>
      <c r="F26" s="506">
        <f>(F20*8000)/100</f>
        <v>1897.723890570493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597.03593214003695</v>
      </c>
      <c r="D27" s="412">
        <f>(D22*8000)/100</f>
        <v>616.6006515133372</v>
      </c>
      <c r="E27" s="412">
        <f>(E22*8000)/100</f>
        <v>596.92712544550272</v>
      </c>
      <c r="F27" s="506">
        <f>(F22*8000)/100</f>
        <v>669.03231656360367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461.4813022627593</v>
      </c>
      <c r="D28" s="412">
        <f>(D21*8000)/100</f>
        <v>445.84831039517013</v>
      </c>
      <c r="E28" s="412">
        <f>(E21*8000)/100</f>
        <v>439.57242231638901</v>
      </c>
      <c r="F28" s="506">
        <f>(F21*8000)/100</f>
        <v>519.42955801186076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135.5546298772777</v>
      </c>
      <c r="D29" s="413">
        <f>(D23*8000)/100</f>
        <v>170.75234111816701</v>
      </c>
      <c r="E29" s="413">
        <f>(E23*8000)/100</f>
        <v>157.35470312911369</v>
      </c>
      <c r="F29" s="507">
        <f>(F23*8000)/100</f>
        <v>149.60275855174282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Aurora Energy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1796.2061555502346</v>
      </c>
      <c r="D32" s="122"/>
    </row>
    <row r="33" spans="2:13">
      <c r="B33" s="120" t="s">
        <v>241</v>
      </c>
      <c r="C33" s="412">
        <f>AVERAGE(C27:F27)</f>
        <v>619.89900641562008</v>
      </c>
      <c r="D33" s="414">
        <f>C33/$C$32</f>
        <v>0.34511573434939347</v>
      </c>
    </row>
    <row r="34" spans="2:13">
      <c r="B34" s="120" t="s">
        <v>222</v>
      </c>
      <c r="C34" s="412">
        <f>AVERAGE(C28:F28)</f>
        <v>466.5828982465448</v>
      </c>
      <c r="D34" s="414">
        <f>C34/$C$32</f>
        <v>0.2597602156104491</v>
      </c>
    </row>
    <row r="35" spans="2:13">
      <c r="B35" s="124" t="s">
        <v>223</v>
      </c>
      <c r="C35" s="413">
        <f>AVERAGE(C29:F29)</f>
        <v>153.31610816907531</v>
      </c>
      <c r="D35" s="415">
        <f>C35/$C$32</f>
        <v>8.5355518738944383E-2</v>
      </c>
    </row>
    <row r="38" spans="2:13">
      <c r="B38" s="517" t="s">
        <v>227</v>
      </c>
      <c r="C38" s="518">
        <f>VLOOKUP($B$2,$B$258:$J$286,6,FALSE)</f>
        <v>28</v>
      </c>
      <c r="D38" s="518">
        <f>VLOOKUP($B$2,$B$258:$J$286,7,FALSE)</f>
        <v>29</v>
      </c>
      <c r="E38" s="518">
        <f>VLOOKUP($B$2,$B$258:$J$286,8,FALSE)</f>
        <v>30</v>
      </c>
      <c r="F38" s="519">
        <f>VLOOKUP($B$2,$B$258:$J$286,9,FALSE)</f>
        <v>31</v>
      </c>
    </row>
    <row r="39" spans="2:13">
      <c r="B39" s="137" t="str">
        <f>B2</f>
        <v>Aurora Energy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69747.596304639155</v>
      </c>
      <c r="D40" s="418">
        <f>VLOOKUP($D$38,'FS (2011)'!$A$13:$AH$244,'FS (2011)'!E245,FALSE)</f>
        <v>74596.438739789941</v>
      </c>
      <c r="E40" s="418">
        <f>VLOOKUP($E$38,'FS (2011)'!$A$13:$AH$244,'FS (2011)'!E245,FALSE)</f>
        <v>74325.060224731205</v>
      </c>
      <c r="F40" s="419">
        <f>VLOOKUP($F$38,'FS (2011)'!$A$13:$AH$244,'FS (2011)'!E245,FALSE)</f>
        <v>72117</v>
      </c>
    </row>
    <row r="41" spans="2:13" ht="30">
      <c r="B41" s="120" t="s">
        <v>198</v>
      </c>
      <c r="C41" s="417">
        <f>VLOOKUP($C$38,'FS (2011)'!$A$13:$AH$244,'FS (2011)'!$F$245,FALSE)</f>
        <v>7947.7437198825237</v>
      </c>
      <c r="D41" s="418">
        <f>VLOOKUP($D$38,'FS (2011)'!$A$13:$AH$244,'FS (2011)'!$F$245,FALSE)</f>
        <v>6228.5675063490953</v>
      </c>
      <c r="E41" s="418">
        <f>VLOOKUP($E$38,'FS (2011)'!$A$13:$AH$244,'FS (2011)'!$F$245,FALSE)</f>
        <v>4302.5418339575863</v>
      </c>
      <c r="F41" s="419">
        <f>VLOOKUP($F$38,'FS (2011)'!$A$13:$AH$244,'FS (2011)'!$F$245,FALSE)</f>
        <v>4620</v>
      </c>
    </row>
    <row r="42" spans="2:13">
      <c r="B42" s="120" t="s">
        <v>13</v>
      </c>
      <c r="C42" s="417">
        <f>VLOOKUP($C$38,'FS (2011)'!$A$13:$AH$244,'FS (2011)'!$H$245,FALSE)</f>
        <v>630.6877477117846</v>
      </c>
      <c r="D42" s="418">
        <f>VLOOKUP($D$38,'FS (2011)'!$A$13:$AH$244,'FS (2011)'!$H$245,FALSE)</f>
        <v>512.8187246894089</v>
      </c>
      <c r="E42" s="418">
        <f>VLOOKUP($E$38,'FS (2011)'!$A$13:$AH$244,'FS (2011)'!$H$245,FALSE)</f>
        <v>609.26356066934318</v>
      </c>
      <c r="F42" s="419">
        <f>VLOOKUP($F$38,'FS (2011)'!$A$13:$AH$244,'FS (2011)'!$H$245,FALSE)</f>
        <v>698</v>
      </c>
    </row>
    <row r="43" spans="2:13">
      <c r="B43" s="124" t="s">
        <v>5</v>
      </c>
      <c r="C43" s="420">
        <f>SUM(C40:C42)</f>
        <v>78326.027772233458</v>
      </c>
      <c r="D43" s="420">
        <f>SUM(D40:D42)</f>
        <v>81337.824970828442</v>
      </c>
      <c r="E43" s="420">
        <f>SUM(E40:E42)</f>
        <v>79236.865619358126</v>
      </c>
      <c r="F43" s="421">
        <f>SUM(F40:F42)</f>
        <v>77435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Aurora Energy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106.95198500314235</v>
      </c>
      <c r="E46" s="422">
        <f>IF(ISERROR(E40/$C40),"",(E40/$C40))*100</f>
        <v>106.56289845473512</v>
      </c>
      <c r="F46" s="423">
        <f>IF(ISERROR(F40/$C40),"",(F40/$C40))*100</f>
        <v>103.39711161516149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78.369002900374852</v>
      </c>
      <c r="E47" s="422">
        <f t="shared" si="0"/>
        <v>54.13538716899118</v>
      </c>
      <c r="F47" s="423">
        <f t="shared" si="0"/>
        <v>58.129705270218359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81.311033320368196</v>
      </c>
      <c r="E48" s="422">
        <f t="shared" si="0"/>
        <v>96.603043721687783</v>
      </c>
      <c r="F48" s="423">
        <f t="shared" si="0"/>
        <v>110.67283335254771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103.84520610103334</v>
      </c>
      <c r="E49" s="424">
        <f t="shared" si="0"/>
        <v>101.16288017282496</v>
      </c>
      <c r="F49" s="416">
        <f t="shared" si="0"/>
        <v>98.862411643260515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Aurora Energy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43499.126913974505</v>
      </c>
      <c r="D54" s="426">
        <f>VLOOKUP($D$38,'MP (2011)'!$A$14:$AR$245,'MP (2011)'!$Z$246,FALSE)</f>
        <v>45869.989543551361</v>
      </c>
      <c r="E54" s="426">
        <f>VLOOKUP($E$38,'MP (2011)'!$A$14:$AR$245,'MP (2011)'!$Z$246,FALSE)</f>
        <v>46150.168128587211</v>
      </c>
      <c r="F54" s="427">
        <f>VLOOKUP($F$38,'MP (2011)'!$A$14:$AR$245,'MP (2011)'!$Z$246,FALSE)</f>
        <v>44422.35</v>
      </c>
    </row>
    <row r="55" spans="2:23">
      <c r="B55" s="111" t="s">
        <v>180</v>
      </c>
      <c r="C55" s="425">
        <f>VLOOKUP($C$38,'MP (2011)'!$A$14:$AR$245,'MP (2011)'!$AD$246,FALSE)</f>
        <v>9111.0122323287032</v>
      </c>
      <c r="D55" s="426">
        <f>VLOOKUP($D$38,'MP (2011)'!$A$14:$AR$245,'MP (2011)'!$AD$246,FALSE)</f>
        <v>9701.7174430640371</v>
      </c>
      <c r="E55" s="426">
        <f>VLOOKUP($E$38,'MP (2011)'!$A$14:$AR$245,'MP (2011)'!$AD$246,FALSE)</f>
        <v>11111.520600361078</v>
      </c>
      <c r="F55" s="427">
        <f>VLOOKUP($F$38,'MP (2011)'!$A$14:$AR$245,'MP (2011)'!$AD$246,FALSE)</f>
        <v>11030.181</v>
      </c>
      <c r="J55" s="139"/>
    </row>
    <row r="56" spans="2:23">
      <c r="B56" s="111" t="s">
        <v>184</v>
      </c>
      <c r="C56" s="425">
        <f>VLOOKUP($C$38,'MP (2011)'!$A$14:$AR$245,'MP (2011)'!$AH$246,FALSE)</f>
        <v>15787.677568361323</v>
      </c>
      <c r="D56" s="426">
        <f>VLOOKUP($D$38,'MP (2011)'!$A$14:$AR$245,'MP (2011)'!$AH$246,FALSE)</f>
        <v>17506.567213947415</v>
      </c>
      <c r="E56" s="426">
        <f>VLOOKUP($E$38,'MP (2011)'!$A$14:$AR$245,'MP (2011)'!$AH$246,FALSE)</f>
        <v>15669.810492845785</v>
      </c>
      <c r="F56" s="427">
        <f>VLOOKUP($F$38,'MP (2011)'!$A$14:$AR$245,'MP (2011)'!$AH$246,FALSE)</f>
        <v>15353.165999999999</v>
      </c>
    </row>
    <row r="57" spans="2:23">
      <c r="B57" s="111" t="s">
        <v>181</v>
      </c>
      <c r="C57" s="425">
        <f>VLOOKUP($C$38,'MP (2011)'!$A$14:$AR$245,'MP (2011)'!$AL$246,FALSE)</f>
        <v>1349.7795899746229</v>
      </c>
      <c r="D57" s="426">
        <f>VLOOKUP($D$38,'MP (2011)'!$A$14:$AR$245,'MP (2011)'!$AL$246,FALSE)</f>
        <v>1518.1645392271257</v>
      </c>
      <c r="E57" s="426">
        <f>VLOOKUP($E$38,'MP (2011)'!$A$14:$AR$245,'MP (2011)'!$AL$246,FALSE)</f>
        <v>1393.5610029371344</v>
      </c>
      <c r="F57" s="427">
        <f>VLOOKUP($F$38,'MP (2011)'!$A$14:$AR$245,'MP (2011)'!$AL$246,FALSE)</f>
        <v>1311.3030000000001</v>
      </c>
      <c r="W57" s="139"/>
    </row>
    <row r="58" spans="2:23">
      <c r="B58" s="147" t="s">
        <v>248</v>
      </c>
      <c r="C58" s="428">
        <f>SUM(C54:C57)</f>
        <v>69747.596304639155</v>
      </c>
      <c r="D58" s="428">
        <f>SUM(D54:D57)</f>
        <v>74596.438739789941</v>
      </c>
      <c r="E58" s="428">
        <f>SUM(E54:E57)</f>
        <v>74325.060224731205</v>
      </c>
      <c r="F58" s="429">
        <f>SUM(F54:F57)</f>
        <v>72117</v>
      </c>
    </row>
    <row r="59" spans="2:23">
      <c r="B59" s="103" t="s">
        <v>302</v>
      </c>
    </row>
    <row r="60" spans="2:23">
      <c r="B60" s="137" t="str">
        <f>$B$2</f>
        <v>Aurora Energy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105.45036831259984</v>
      </c>
      <c r="E61" s="422">
        <f t="shared" si="1"/>
        <v>106.09446994155884</v>
      </c>
      <c r="F61" s="423">
        <f t="shared" si="1"/>
        <v>102.12239452035736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106.48342023556205</v>
      </c>
      <c r="E62" s="422">
        <f t="shared" si="1"/>
        <v>121.95703745116211</v>
      </c>
      <c r="F62" s="423">
        <f t="shared" si="1"/>
        <v>121.06427605114489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110.88753958993163</v>
      </c>
      <c r="E63" s="422">
        <f t="shared" si="1"/>
        <v>99.253423595679806</v>
      </c>
      <c r="F63" s="423">
        <f t="shared" si="1"/>
        <v>97.247780324370893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112.47499595512987</v>
      </c>
      <c r="E64" s="422">
        <f t="shared" si="1"/>
        <v>103.24359719821624</v>
      </c>
      <c r="F64" s="423">
        <f t="shared" si="1"/>
        <v>97.149416818834382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106.95198500314235</v>
      </c>
      <c r="E65" s="424">
        <f t="shared" si="1"/>
        <v>106.56289845473512</v>
      </c>
      <c r="F65" s="416">
        <f t="shared" si="1"/>
        <v>103.39711161516149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Aurora Energy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586.66064593273506</v>
      </c>
      <c r="D70" s="433">
        <f>(D54/D98)*1000</f>
        <v>612.65362481536727</v>
      </c>
      <c r="E70" s="433">
        <f>(E54/E98)*1000</f>
        <v>610.26629634618052</v>
      </c>
      <c r="F70" s="434">
        <f>(F54/F98)*1000</f>
        <v>603.10565330726615</v>
      </c>
    </row>
    <row r="71" spans="2:40">
      <c r="B71" s="111" t="s">
        <v>180</v>
      </c>
      <c r="C71" s="433">
        <f>(C55/C99)*1000</f>
        <v>1971.2272246492216</v>
      </c>
      <c r="D71" s="433">
        <f t="shared" ref="C71:F73" si="2">(D55/D99)*1000</f>
        <v>2044.6190607089645</v>
      </c>
      <c r="E71" s="433">
        <f t="shared" si="2"/>
        <v>2285.3806253313614</v>
      </c>
      <c r="F71" s="434">
        <f t="shared" si="2"/>
        <v>2201.6329341317364</v>
      </c>
    </row>
    <row r="72" spans="2:40">
      <c r="B72" s="111" t="s">
        <v>184</v>
      </c>
      <c r="C72" s="433">
        <f>(C56/C100)*1000</f>
        <v>15224.375668622297</v>
      </c>
      <c r="D72" s="433">
        <f t="shared" si="2"/>
        <v>16438.091280701799</v>
      </c>
      <c r="E72" s="433">
        <f t="shared" si="2"/>
        <v>14468.892421833596</v>
      </c>
      <c r="F72" s="434">
        <f t="shared" si="2"/>
        <v>15096.525073746312</v>
      </c>
    </row>
    <row r="73" spans="2:40">
      <c r="B73" s="115" t="s">
        <v>181</v>
      </c>
      <c r="C73" s="435">
        <f t="shared" si="2"/>
        <v>269955.91799492459</v>
      </c>
      <c r="D73" s="435">
        <f t="shared" si="2"/>
        <v>303632.90784542519</v>
      </c>
      <c r="E73" s="435">
        <f t="shared" si="2"/>
        <v>278712.20058742689</v>
      </c>
      <c r="F73" s="436">
        <f t="shared" si="2"/>
        <v>262260.60000000003</v>
      </c>
    </row>
    <row r="74" spans="2:40">
      <c r="B74" s="103" t="s">
        <v>303</v>
      </c>
    </row>
    <row r="75" spans="2:40">
      <c r="B75" s="137" t="str">
        <f>$B$2</f>
        <v>Aurora Energy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104.43066687067544</v>
      </c>
      <c r="E76" s="422">
        <f t="shared" si="3"/>
        <v>104.02373170539072</v>
      </c>
      <c r="F76" s="423">
        <f t="shared" si="3"/>
        <v>102.80315502472219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103.72315454768555</v>
      </c>
      <c r="E77" s="422">
        <f t="shared" si="3"/>
        <v>115.93694510474526</v>
      </c>
      <c r="F77" s="423">
        <f t="shared" si="3"/>
        <v>111.6884399018746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107.97218643639353</v>
      </c>
      <c r="E78" s="422">
        <f t="shared" si="3"/>
        <v>95.03767337831944</v>
      </c>
      <c r="F78" s="423">
        <f t="shared" si="3"/>
        <v>99.160224381880653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112.47499595512988</v>
      </c>
      <c r="E79" s="424">
        <f t="shared" si="3"/>
        <v>103.24359719821624</v>
      </c>
      <c r="F79" s="416">
        <f t="shared" si="3"/>
        <v>97.149416818834382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Aurora Energy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6.8517668326835066</v>
      </c>
      <c r="D84" s="437">
        <f>(D54/VLOOKUP($D$38,'MP (2011)'!$A$14:$AR$245,'MP (2011)'!$AA$246,FALSE)*100)</f>
        <v>7.2640128879725472</v>
      </c>
      <c r="E84" s="437">
        <f>(E54/VLOOKUP($E$38,'MP (2011)'!$A$14:$AR$245,'MP (2011)'!$AA$246,FALSE)*100)</f>
        <v>7.0794657903031535</v>
      </c>
      <c r="F84" s="438">
        <f>(F54/VLOOKUP($F$38,'MP (2011)'!$A$14:$AR$245,'MP (2011)'!$AA$246,FALSE)*100)</f>
        <v>7.1772287658774667</v>
      </c>
    </row>
    <row r="85" spans="2:7">
      <c r="B85" s="111" t="s">
        <v>180</v>
      </c>
      <c r="C85" s="430">
        <f>(C55/VLOOKUP($C$38,'MP (2011)'!$A$14:$AR$245,'MP (2011)'!$AE$246,FALSE)*100)</f>
        <v>5.2478859488222094</v>
      </c>
      <c r="D85" s="437">
        <f>(D55/VLOOKUP($D$38,'MP (2011)'!$A$14:$AR$245,'MP (2011)'!$AE$246,FALSE)*100)</f>
        <v>5.5138432317132153</v>
      </c>
      <c r="E85" s="437">
        <f>(E55/VLOOKUP($E$38,'MP (2011)'!$A$14:$AR$245,'MP (2011)'!$AE$246,FALSE)*100)</f>
        <v>6.1599941237823499</v>
      </c>
      <c r="F85" s="438">
        <f>(F55/VLOOKUP($F$38,'MP (2011)'!$A$14:$AR$245,'MP (2011)'!$AE$246,FALSE)*100)</f>
        <v>6.2494031861234935</v>
      </c>
    </row>
    <row r="86" spans="2:7">
      <c r="B86" s="111" t="s">
        <v>184</v>
      </c>
      <c r="C86" s="430">
        <f>(C56/VLOOKUP($C$38,'MP (2011)'!$A$14:$AR$245,'MP (2011)'!$AI$246,FALSE)*100)</f>
        <v>3.9884692707180363</v>
      </c>
      <c r="D86" s="437">
        <f>(D56/VLOOKUP($D$38,'MP (2011)'!$A$14:$AR$245,'MP (2011)'!$AI$246,FALSE)*100)</f>
        <v>4.4862061737656456</v>
      </c>
      <c r="E86" s="437">
        <f>(E56/VLOOKUP($E$38,'MP (2011)'!$A$14:$AR$245,'MP (2011)'!$AI$246,FALSE)*100)</f>
        <v>4.0395583739603325</v>
      </c>
      <c r="F86" s="438">
        <f>(F56/VLOOKUP($F$38,'MP (2011)'!$A$14:$AR$245,'MP (2011)'!$AI$246,FALSE)*100)</f>
        <v>3.9533238344380397</v>
      </c>
    </row>
    <row r="87" spans="2:7">
      <c r="B87" s="115" t="s">
        <v>181</v>
      </c>
      <c r="C87" s="431">
        <f>(C57/VLOOKUP($C$38,'MP (2011)'!$A$14:$AR$245,'MP (2011)'!$AM$246,FALSE)*100)</f>
        <v>1.9254783668915179</v>
      </c>
      <c r="D87" s="431">
        <f>(D57/VLOOKUP($D$38,'MP (2011)'!$A$14:$AR$245,'MP (2011)'!$AM$246,FALSE)*100)</f>
        <v>2.2139715032770311</v>
      </c>
      <c r="E87" s="431">
        <f>(E57/VLOOKUP($E$38,'MP (2011)'!$A$14:$AR$245,'MP (2011)'!$AM$246,FALSE)*100)</f>
        <v>2.3328662832080056</v>
      </c>
      <c r="F87" s="432">
        <f>(F57/VLOOKUP($F$38,'MP (2011)'!$A$14:$AR$245,'MP (2011)'!$AM$246,FALSE)*100)</f>
        <v>2.4063761610421861</v>
      </c>
    </row>
    <row r="88" spans="2:7">
      <c r="B88" s="103" t="s">
        <v>304</v>
      </c>
    </row>
    <row r="89" spans="2:7">
      <c r="B89" s="137" t="str">
        <f>$B$2</f>
        <v>Aurora Energy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106.0166387058385</v>
      </c>
      <c r="E90" s="422">
        <f>IF(ISERROR(E84/$C84),"",(E84/$C84)*100)</f>
        <v>103.3232152111993</v>
      </c>
      <c r="F90" s="423">
        <f>IF(ISERROR(F84/$C84),"",(F84/$C84)*100)</f>
        <v>104.75004391044773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105.0678937287251</v>
      </c>
      <c r="E91" s="422">
        <f t="shared" si="4"/>
        <v>117.38048775935854</v>
      </c>
      <c r="F91" s="423">
        <f t="shared" si="4"/>
        <v>119.08420356440969</v>
      </c>
    </row>
    <row r="92" spans="2:7">
      <c r="B92" s="111" t="s">
        <v>184</v>
      </c>
      <c r="C92" s="422">
        <f t="shared" si="4"/>
        <v>100</v>
      </c>
      <c r="D92" s="422">
        <f t="shared" si="4"/>
        <v>112.47939671246365</v>
      </c>
      <c r="E92" s="422">
        <f t="shared" si="4"/>
        <v>101.28092006668761</v>
      </c>
      <c r="F92" s="423">
        <f t="shared" si="4"/>
        <v>99.11882394235748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114.98293314254447</v>
      </c>
      <c r="E93" s="424">
        <f>IF(ISERROR(E87/$C87),"",(E87/$C87)*100)</f>
        <v>121.15775089045393</v>
      </c>
      <c r="F93" s="416">
        <f>IF(ISERROR(F87/$C87),"",(F87/$C87)*100)</f>
        <v>124.97549712423033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74147</v>
      </c>
      <c r="D98" s="150">
        <f>VLOOKUP($D$38,'MP (2011)'!$A$14:$AR$245,'MP (2011)'!$AB$246,FALSE)</f>
        <v>74871</v>
      </c>
      <c r="E98" s="150">
        <f>VLOOKUP($E$38,'MP (2011)'!$A$14:$AR$245,'MP (2011)'!$AB$246,FALSE)</f>
        <v>75623</v>
      </c>
      <c r="F98" s="151">
        <f>VLOOKUP($F$38,'MP (2011)'!$A$14:$AR$245,'MP (2011)'!$AB$246,FALSE)</f>
        <v>73656</v>
      </c>
    </row>
    <row r="99" spans="2:7">
      <c r="B99" s="155" t="s">
        <v>309</v>
      </c>
      <c r="C99" s="150">
        <f>VLOOKUP($C$38,'MP (2011)'!$A$14:$AR$245,'MP (2011)'!$AF$246,FALSE)</f>
        <v>4622</v>
      </c>
      <c r="D99" s="150">
        <f>VLOOKUP($D$38,'MP (2011)'!$A$14:$AR$245,'MP (2011)'!$AF$246,FALSE)</f>
        <v>4745</v>
      </c>
      <c r="E99" s="150">
        <f>VLOOKUP($E$38,'MP (2011)'!$A$14:$AR$245,'MP (2011)'!$AF$246,FALSE)</f>
        <v>4862</v>
      </c>
      <c r="F99" s="151">
        <f>VLOOKUP($F$38,'MP (2011)'!$A$14:$AR$245,'MP (2011)'!$AF$246,FALSE)</f>
        <v>5010</v>
      </c>
    </row>
    <row r="100" spans="2:7">
      <c r="B100" s="155" t="s">
        <v>310</v>
      </c>
      <c r="C100" s="150">
        <f>VLOOKUP($C$38,'MP (2011)'!$A$14:$AR$245,'MP (2011)'!$AJ$246,FALSE)</f>
        <v>1037</v>
      </c>
      <c r="D100" s="150">
        <f>VLOOKUP($D$38,'MP (2011)'!$A$14:$AR$245,'MP (2011)'!$AJ$246,FALSE)</f>
        <v>1065</v>
      </c>
      <c r="E100" s="150">
        <f>VLOOKUP($E$38,'MP (2011)'!$A$14:$AR$245,'MP (2011)'!$AJ$246,FALSE)</f>
        <v>1083</v>
      </c>
      <c r="F100" s="151">
        <f>VLOOKUP($F$38,'MP (2011)'!$A$14:$AR$245,'MP (2011)'!$AJ$246,FALSE)</f>
        <v>1017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79811</v>
      </c>
      <c r="D102" s="152">
        <f>SUM(D98:D101)</f>
        <v>80686</v>
      </c>
      <c r="E102" s="152">
        <f>SUM(E98:E101)</f>
        <v>81573</v>
      </c>
      <c r="F102" s="157">
        <f>SUM(F98:F101)</f>
        <v>79688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100.97643869610368</v>
      </c>
      <c r="E105" s="422">
        <f t="shared" si="5"/>
        <v>101.99064021470863</v>
      </c>
      <c r="F105" s="423">
        <f t="shared" si="5"/>
        <v>99.337801933995991</v>
      </c>
    </row>
    <row r="106" spans="2:7">
      <c r="B106" s="111" t="s">
        <v>180</v>
      </c>
      <c r="C106" s="422">
        <f t="shared" si="5"/>
        <v>100</v>
      </c>
      <c r="D106" s="422">
        <f t="shared" si="5"/>
        <v>102.6611856339247</v>
      </c>
      <c r="E106" s="422">
        <f t="shared" si="5"/>
        <v>105.19255733448722</v>
      </c>
      <c r="F106" s="423">
        <f t="shared" si="5"/>
        <v>108.39463435742103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102.70009643201543</v>
      </c>
      <c r="E107" s="422">
        <f t="shared" si="5"/>
        <v>104.43587270973964</v>
      </c>
      <c r="F107" s="423">
        <f t="shared" si="5"/>
        <v>98.071359691417541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Aurora Energy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31">
      <c r="B113" s="155" t="s">
        <v>308</v>
      </c>
      <c r="C113" s="146">
        <f>VLOOKUP($C$38,'MP (2011)'!$A$14:$AR$245,'MP (2011)'!$AA$246,FALSE)</f>
        <v>634860</v>
      </c>
      <c r="D113" s="150">
        <f>VLOOKUP($D$38,'MP (2011)'!$A$14:$AR$245,'MP (2011)'!$AA$246,FALSE)</f>
        <v>631469</v>
      </c>
      <c r="E113" s="150">
        <f>VLOOKUP($E$38,'MP (2011)'!$A$14:$AR$245,'MP (2011)'!$AA$246,FALSE)</f>
        <v>651887.72</v>
      </c>
      <c r="F113" s="151">
        <f>VLOOKUP($F$38,'MP (2011)'!$A$14:$AR$245,'MP (2011)'!$AA$246,FALSE)</f>
        <v>618934.56999999995</v>
      </c>
    </row>
    <row r="114" spans="2:31">
      <c r="B114" s="155" t="s">
        <v>309</v>
      </c>
      <c r="C114" s="150">
        <f>VLOOKUP($C$38,'MP (2011)'!$A$14:$AR$245,'MP (2011)'!$AE$246,FALSE)</f>
        <v>173613</v>
      </c>
      <c r="D114" s="150">
        <f>VLOOKUP($D$38,'MP (2011)'!$A$14:$AR$245,'MP (2011)'!$AE$246,FALSE)</f>
        <v>175952</v>
      </c>
      <c r="E114" s="150">
        <f>VLOOKUP($E$38,'MP (2011)'!$A$14:$AR$245,'MP (2011)'!$AE$246,FALSE)</f>
        <v>180382</v>
      </c>
      <c r="F114" s="151">
        <f>VLOOKUP($F$38,'MP (2011)'!$A$14:$AR$245,'MP (2011)'!$AE$246,FALSE)</f>
        <v>176499.75</v>
      </c>
    </row>
    <row r="115" spans="2:31">
      <c r="B115" s="155" t="s">
        <v>310</v>
      </c>
      <c r="C115" s="150">
        <f>VLOOKUP($C$38,'MP (2011)'!$A$14:$AR$245,'MP (2011)'!$AI$246,FALSE)</f>
        <v>395833</v>
      </c>
      <c r="D115" s="150">
        <f>VLOOKUP($D$38,'MP (2011)'!$A$14:$AR$245,'MP (2011)'!$AI$246,FALSE)</f>
        <v>390231</v>
      </c>
      <c r="E115" s="150">
        <f>VLOOKUP($E$38,'MP (2011)'!$A$14:$AR$245,'MP (2011)'!$AI$246,FALSE)</f>
        <v>387909</v>
      </c>
      <c r="F115" s="151">
        <f>VLOOKUP($F$38,'MP (2011)'!$A$14:$AR$245,'MP (2011)'!$AI$246,FALSE)</f>
        <v>388360.95</v>
      </c>
    </row>
    <row r="116" spans="2:31">
      <c r="B116" s="155" t="s">
        <v>311</v>
      </c>
      <c r="C116" s="150">
        <f>VLOOKUP($C$38,'MP (2011)'!$A$14:$AR$245,'MP (2011)'!$AM$246,FALSE)</f>
        <v>70101</v>
      </c>
      <c r="D116" s="150">
        <f>VLOOKUP($D$38,'MP (2011)'!$A$14:$AR$245,'MP (2011)'!$AM$246,FALSE)</f>
        <v>68572</v>
      </c>
      <c r="E116" s="150">
        <f>VLOOKUP($E$38,'MP (2011)'!$A$14:$AR$245,'MP (2011)'!$AM$246,FALSE)</f>
        <v>59736</v>
      </c>
      <c r="F116" s="151">
        <f>VLOOKUP($F$38,'MP (2011)'!$A$14:$AR$245,'MP (2011)'!$AM$246,FALSE)</f>
        <v>54492.851999999999</v>
      </c>
    </row>
    <row r="117" spans="2:31">
      <c r="B117" s="147" t="s">
        <v>254</v>
      </c>
      <c r="C117" s="158">
        <f>SUM(C113:C116)</f>
        <v>1274407</v>
      </c>
      <c r="D117" s="158">
        <f>SUM(D113:D116)</f>
        <v>1266224</v>
      </c>
      <c r="E117" s="158">
        <f>SUM(E113:E116)</f>
        <v>1279914.72</v>
      </c>
      <c r="F117" s="159">
        <f>SUM(F113:F116)</f>
        <v>1238288.122</v>
      </c>
    </row>
    <row r="118" spans="2:31">
      <c r="B118" s="103" t="s">
        <v>306</v>
      </c>
    </row>
    <row r="119" spans="2:31">
      <c r="B119" s="137" t="str">
        <f>$B$2</f>
        <v>Aurora Energy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31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99.465866490249823</v>
      </c>
      <c r="E120" s="422">
        <f t="shared" si="6"/>
        <v>102.68212204265508</v>
      </c>
      <c r="F120" s="423">
        <f t="shared" si="6"/>
        <v>97.491505213747914</v>
      </c>
    </row>
    <row r="121" spans="2:31">
      <c r="B121" s="111" t="s">
        <v>180</v>
      </c>
      <c r="C121" s="422">
        <f t="shared" si="6"/>
        <v>100</v>
      </c>
      <c r="D121" s="422">
        <f t="shared" si="6"/>
        <v>101.34724934192715</v>
      </c>
      <c r="E121" s="422">
        <f t="shared" si="6"/>
        <v>103.8989015799508</v>
      </c>
      <c r="F121" s="423">
        <f t="shared" si="6"/>
        <v>101.66274990928099</v>
      </c>
    </row>
    <row r="122" spans="2:31">
      <c r="B122" s="111" t="s">
        <v>184</v>
      </c>
      <c r="C122" s="422">
        <f t="shared" si="6"/>
        <v>100</v>
      </c>
      <c r="D122" s="422">
        <f t="shared" si="6"/>
        <v>98.584756702953015</v>
      </c>
      <c r="E122" s="422">
        <f t="shared" si="6"/>
        <v>97.998145682648996</v>
      </c>
      <c r="F122" s="423">
        <f t="shared" si="6"/>
        <v>98.112322620903257</v>
      </c>
    </row>
    <row r="123" spans="2:31">
      <c r="B123" s="115" t="s">
        <v>181</v>
      </c>
      <c r="C123" s="424">
        <f t="shared" si="6"/>
        <v>100</v>
      </c>
      <c r="D123" s="424">
        <f t="shared" si="6"/>
        <v>97.818861357184645</v>
      </c>
      <c r="E123" s="424">
        <f t="shared" si="6"/>
        <v>85.214190953053446</v>
      </c>
      <c r="F123" s="416">
        <f t="shared" si="6"/>
        <v>77.734771258612568</v>
      </c>
    </row>
    <row r="126" spans="2:31">
      <c r="B126" s="517" t="s">
        <v>256</v>
      </c>
      <c r="C126" s="510"/>
      <c r="D126" s="510"/>
      <c r="E126" s="510"/>
      <c r="F126" s="511"/>
    </row>
    <row r="127" spans="2:31">
      <c r="B127" s="137" t="str">
        <f>$B$2</f>
        <v>Aurora Energy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31">
      <c r="B128" s="162" t="s">
        <v>259</v>
      </c>
      <c r="C128" s="439">
        <f>VLOOKUP($C$38,'FS (2011)'!$A$13:$AH$244,'FS (2011)'!$I$245,FALSE)</f>
        <v>78326.027772233458</v>
      </c>
      <c r="D128" s="433">
        <f>VLOOKUP($D$38,'FS (2011)'!$A$13:$AH$244,'FS (2011)'!$I$245,FALSE)</f>
        <v>81337.824970828442</v>
      </c>
      <c r="E128" s="433">
        <f>VLOOKUP($E$38,'FS (2011)'!$A$13:$AH$244,'FS (2011)'!$I$245,FALSE)</f>
        <v>79236.865619358126</v>
      </c>
      <c r="F128" s="440">
        <f>VLOOKUP($F$38,'FS (2011)'!$A$13:$AH$244,'FS (2011)'!$I$245,FALSE)</f>
        <v>77435</v>
      </c>
      <c r="G128" s="121"/>
      <c r="Q128" s="559"/>
      <c r="R128" s="559"/>
      <c r="S128" s="559"/>
      <c r="T128" s="559"/>
      <c r="U128" s="559"/>
      <c r="V128" s="559"/>
      <c r="W128" s="559"/>
      <c r="X128" s="559"/>
      <c r="Y128" s="559"/>
      <c r="Z128" s="559"/>
      <c r="AA128" s="559"/>
      <c r="AB128" s="559"/>
      <c r="AC128" s="559"/>
      <c r="AD128" s="559"/>
      <c r="AE128" s="559"/>
    </row>
    <row r="129" spans="1:31">
      <c r="B129" s="162" t="s">
        <v>257</v>
      </c>
      <c r="C129" s="441">
        <f>VLOOKUP($C$38,'FS (2011)'!$A$13:$AH$244,'FS (2011)'!$Y$245,FALSE)+VLOOKUP($C$38,'FS (2011)'!$A$13:$AH$244,'FS (2011)'!$Z$245,FALSE)</f>
        <v>8671.4078866014661</v>
      </c>
      <c r="D129" s="433">
        <f>VLOOKUP($D$38,'FS (2011)'!$A$13:$AH$244,'FS (2011)'!$Y$245,FALSE)+VLOOKUP($D$38,'FS (2011)'!$A$13:$AH$244,'FS (2011)'!$Z$245,FALSE)</f>
        <v>8007.0356121353534</v>
      </c>
      <c r="E129" s="433">
        <f>VLOOKUP($E$38,'FS (2011)'!$A$13:$AH$244,'FS (2011)'!$Y$245,FALSE)+VLOOKUP($E$38,'FS (2011)'!$A$13:$AH$244,'FS (2011)'!$Z$245,FALSE)</f>
        <v>5795.4829950419007</v>
      </c>
      <c r="F129" s="440">
        <f>VLOOKUP($F$38,'FS (2011)'!$A$13:$AH$244,'FS (2011)'!$Y$245,FALSE)+VLOOKUP($F$38,'FS (2011)'!$A$13:$AH$244,'FS (2011)'!$Z$245,FALSE)</f>
        <v>13233.054</v>
      </c>
      <c r="G129" s="121"/>
      <c r="Q129" s="559"/>
      <c r="R129" s="559"/>
      <c r="S129" s="559"/>
      <c r="T129" s="559"/>
      <c r="U129" s="559"/>
      <c r="V129" s="559"/>
      <c r="W129" s="559"/>
      <c r="X129" s="559"/>
      <c r="Y129" s="559"/>
      <c r="Z129" s="559"/>
      <c r="AA129" s="559"/>
      <c r="AB129" s="559"/>
      <c r="AC129" s="559"/>
      <c r="AD129" s="559"/>
      <c r="AE129" s="559"/>
    </row>
    <row r="130" spans="1:31">
      <c r="B130" s="162" t="s">
        <v>191</v>
      </c>
      <c r="C130" s="441">
        <f>VLOOKUP($C$38,'FS (2011)'!$A$13:$AH$244,'FS (2011)'!$J$245,FALSE)</f>
        <v>19942.670012260842</v>
      </c>
      <c r="D130" s="433">
        <f>VLOOKUP($D$38,'FS (2011)'!$A$13:$AH$244,'FS (2011)'!$J$245,FALSE)</f>
        <v>22450.871576635316</v>
      </c>
      <c r="E130" s="433">
        <f>VLOOKUP($E$38,'FS (2011)'!$A$13:$AH$244,'FS (2011)'!$J$245,FALSE)</f>
        <v>21390.448923499767</v>
      </c>
      <c r="F130" s="440">
        <f>VLOOKUP($F$38,'FS (2011)'!$A$13:$AH$244,'FS (2011)'!$J$245,FALSE)</f>
        <v>19547</v>
      </c>
      <c r="Q130" s="559"/>
      <c r="R130" s="559"/>
      <c r="S130" s="559"/>
      <c r="T130" s="559"/>
      <c r="U130" s="559"/>
      <c r="V130" s="559"/>
      <c r="W130" s="559"/>
      <c r="X130" s="559"/>
      <c r="Y130" s="559"/>
      <c r="Z130" s="559"/>
      <c r="AA130" s="559"/>
      <c r="AB130" s="559"/>
      <c r="AC130" s="559"/>
      <c r="AD130" s="559"/>
      <c r="AE130" s="559"/>
    </row>
    <row r="131" spans="1:31">
      <c r="B131" s="162" t="s">
        <v>182</v>
      </c>
      <c r="C131" s="441">
        <f>VLOOKUP($C$38,'FS (2011)'!$A$13:$AH$244,'FS (2011)'!$S$245,FALSE)</f>
        <v>19578.272646916255</v>
      </c>
      <c r="D131" s="433">
        <f>VLOOKUP($D$38,'FS (2011)'!$A$13:$AH$244,'FS (2011)'!$S$245,FALSE)</f>
        <v>20578.148946393019</v>
      </c>
      <c r="E131" s="433">
        <f>VLOOKUP($E$38,'FS (2011)'!$A$13:$AH$244,'FS (2011)'!$S$245,FALSE)</f>
        <v>20389.952574708306</v>
      </c>
      <c r="F131" s="440">
        <f>VLOOKUP($F$38,'FS (2011)'!$A$13:$AH$244,'FS (2011)'!$S$245,FALSE)</f>
        <v>19005</v>
      </c>
      <c r="I131" s="139"/>
      <c r="Q131" s="559"/>
      <c r="R131" s="559"/>
      <c r="S131" s="559"/>
      <c r="T131" s="559"/>
      <c r="U131" s="559"/>
      <c r="V131" s="559"/>
      <c r="W131" s="559"/>
      <c r="X131" s="559"/>
      <c r="Y131" s="559"/>
      <c r="Z131" s="559"/>
      <c r="AA131" s="559"/>
      <c r="AB131" s="559"/>
      <c r="AC131" s="559"/>
      <c r="AD131" s="559"/>
      <c r="AE131" s="559"/>
    </row>
    <row r="132" spans="1:31">
      <c r="B132" s="162" t="s">
        <v>143</v>
      </c>
      <c r="C132" s="441">
        <f>VLOOKUP($C$38,'FS (2011)'!$A$13:$AH$244,'FS (2011)'!$U$245,FALSE)</f>
        <v>7803.817541558552</v>
      </c>
      <c r="D132" s="433">
        <f>VLOOKUP($D$38,'FS (2011)'!$A$13:$AH$244,'FS (2011)'!$U$245,FALSE)</f>
        <v>7952.3235637312073</v>
      </c>
      <c r="E132" s="433">
        <f>VLOOKUP($E$38,'FS (2011)'!$A$13:$AH$244,'FS (2011)'!$U$245,FALSE)</f>
        <v>8341.7147207027556</v>
      </c>
      <c r="F132" s="440">
        <f>VLOOKUP($F$38,'FS (2011)'!$A$13:$AH$244,'FS (2011)'!$U$245,FALSE)</f>
        <v>8545</v>
      </c>
      <c r="Q132" s="559"/>
      <c r="R132" s="559"/>
      <c r="S132" s="559"/>
      <c r="T132" s="559"/>
      <c r="U132" s="559"/>
      <c r="V132" s="559"/>
      <c r="W132" s="559"/>
      <c r="X132" s="559"/>
      <c r="Y132" s="559"/>
      <c r="Z132" s="559"/>
      <c r="AA132" s="559"/>
      <c r="AB132" s="559"/>
      <c r="AC132" s="559"/>
      <c r="AD132" s="559"/>
      <c r="AE132" s="559"/>
    </row>
    <row r="133" spans="1:31">
      <c r="B133" s="162" t="s">
        <v>196</v>
      </c>
      <c r="C133" s="441">
        <f>VLOOKUP($C$38,'FS (2011)'!$A$13:$AH$244,'FS (2011)'!$X$245,FALSE)</f>
        <v>2942.9120418864586</v>
      </c>
      <c r="D133" s="433">
        <f>VLOOKUP($D$38,'FS (2011)'!$A$13:$AH$244,'FS (2011)'!$X$245,FALSE)</f>
        <v>2727.6780213878774</v>
      </c>
      <c r="E133" s="433">
        <f>VLOOKUP($E$38,'FS (2011)'!$A$13:$AH$244,'FS (2011)'!$X$245,FALSE)</f>
        <v>3745.6714754654945</v>
      </c>
      <c r="F133" s="440">
        <f>VLOOKUP($F$38,'FS (2011)'!$A$13:$AH$244,'FS (2011)'!$X$245,FALSE)</f>
        <v>3625.9308000000001</v>
      </c>
      <c r="Q133" s="559"/>
      <c r="R133" s="559"/>
      <c r="S133" s="559"/>
      <c r="T133" s="559"/>
      <c r="U133" s="559"/>
      <c r="V133" s="559"/>
      <c r="W133" s="559"/>
      <c r="X133" s="559"/>
      <c r="Y133" s="559"/>
      <c r="Z133" s="559"/>
      <c r="AA133" s="559"/>
      <c r="AB133" s="559"/>
      <c r="AC133" s="559"/>
      <c r="AD133" s="559"/>
      <c r="AE133" s="559"/>
    </row>
    <row r="134" spans="1:31">
      <c r="B134" s="164" t="s">
        <v>258</v>
      </c>
      <c r="C134" s="442">
        <f>VLOOKUP($C$38,'FS (2011)'!$A$13:$AH$244,'FS (2011)'!$AA$245,FALSE)</f>
        <v>36729.763416212823</v>
      </c>
      <c r="D134" s="435">
        <f>VLOOKUP($D$38,'FS (2011)'!$A$13:$AH$244,'FS (2011)'!$AA$245,FALSE)</f>
        <v>35635.838578625837</v>
      </c>
      <c r="E134" s="435">
        <f>VLOOKUP($E$38,'FS (2011)'!$A$13:$AH$244,'FS (2011)'!$AA$245,FALSE)</f>
        <v>31164.560614373095</v>
      </c>
      <c r="F134" s="443">
        <f>VLOOKUP($F$38,'FS (2011)'!$A$13:$AH$244,'FS (2011)'!$AA$245,FALSE)</f>
        <v>39945.123</v>
      </c>
      <c r="Q134" s="559"/>
      <c r="R134" s="559"/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  <c r="AE134" s="559"/>
    </row>
    <row r="135" spans="1:31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  <c r="AE135" s="559"/>
    </row>
    <row r="136" spans="1:31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  <c r="AE136" s="559"/>
    </row>
    <row r="137" spans="1:31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  <c r="AE137" s="559"/>
    </row>
    <row r="138" spans="1:31">
      <c r="A138" s="136">
        <f>RANK(D138,$D$138:$D$144)</f>
        <v>1</v>
      </c>
      <c r="B138" s="166" t="s">
        <v>204</v>
      </c>
      <c r="C138" s="167"/>
      <c r="D138" s="444">
        <f>VLOOKUP($D$6,'FS (2011)'!$A$13:$AH$244,'FS (2011)'!$L$245,FALSE)</f>
        <v>4907</v>
      </c>
      <c r="E138" s="446">
        <f t="shared" ref="E138:E144" si="7">D138/$D$145</f>
        <v>0.258195211786372</v>
      </c>
      <c r="Q138" s="559"/>
      <c r="R138" s="559"/>
      <c r="S138" s="559"/>
      <c r="T138" s="559">
        <v>1</v>
      </c>
      <c r="U138" s="559" t="str">
        <f>VLOOKUP(T138,$A$138:$E$144,2,FALSE)</f>
        <v>System management and operations</v>
      </c>
      <c r="V138" s="559">
        <f>VLOOKUP(T138,$A$138:$E$144,4,FALSE)</f>
        <v>4907</v>
      </c>
      <c r="W138" s="559"/>
      <c r="X138" s="559"/>
      <c r="Y138" s="559"/>
      <c r="Z138" s="559"/>
      <c r="AA138" s="559"/>
      <c r="AB138" s="559"/>
      <c r="AC138" s="559"/>
      <c r="AD138" s="559"/>
      <c r="AE138" s="559"/>
    </row>
    <row r="139" spans="1:31">
      <c r="A139" s="136">
        <f t="shared" ref="A139:A144" si="8">RANK(D139,$D$138:$D$144)</f>
        <v>2</v>
      </c>
      <c r="B139" s="162" t="s">
        <v>199</v>
      </c>
      <c r="C139" s="121"/>
      <c r="D139" s="441">
        <f>VLOOKUP($D$6,'FS (2011)'!$A$13:$AH$244,'FS (2011)'!K245,FALSE)</f>
        <v>4453</v>
      </c>
      <c r="E139" s="414">
        <f t="shared" si="7"/>
        <v>0.23430676137858458</v>
      </c>
      <c r="Q139" s="559"/>
      <c r="R139" s="559"/>
      <c r="S139" s="559"/>
      <c r="T139" s="559">
        <v>2</v>
      </c>
      <c r="U139" s="559" t="str">
        <f t="shared" ref="U139:U144" si="9">VLOOKUP(T139,$A$138:$E$144,2,FALSE)</f>
        <v>General management, admin and overheads</v>
      </c>
      <c r="V139" s="559">
        <f t="shared" ref="V139:V144" si="10">VLOOKUP(T139,$A$138:$E$144,4,FALSE)</f>
        <v>4453</v>
      </c>
      <c r="W139" s="559"/>
      <c r="X139" s="559"/>
      <c r="Y139" s="559"/>
      <c r="Z139" s="559"/>
      <c r="AA139" s="559"/>
      <c r="AB139" s="559"/>
      <c r="AC139" s="559"/>
      <c r="AD139" s="559"/>
      <c r="AE139" s="559"/>
    </row>
    <row r="140" spans="1:31">
      <c r="A140" s="136">
        <f t="shared" si="8"/>
        <v>4</v>
      </c>
      <c r="B140" s="162" t="s">
        <v>201</v>
      </c>
      <c r="C140" s="121"/>
      <c r="D140" s="441">
        <f>VLOOKUP($D$6,'FS (2011)'!$A$13:$AH$244,'FS (2011)'!M245,FALSE)</f>
        <v>3194</v>
      </c>
      <c r="E140" s="414">
        <f t="shared" si="7"/>
        <v>0.16806103656932386</v>
      </c>
      <c r="Q140" s="559"/>
      <c r="R140" s="559"/>
      <c r="S140" s="559"/>
      <c r="T140" s="559">
        <v>3</v>
      </c>
      <c r="U140" s="559" t="str">
        <f t="shared" si="9"/>
        <v>Fault and emergency maintenance</v>
      </c>
      <c r="V140" s="559">
        <f t="shared" si="10"/>
        <v>4155</v>
      </c>
      <c r="W140" s="559"/>
      <c r="X140" s="559"/>
      <c r="Y140" s="559"/>
      <c r="Z140" s="559"/>
      <c r="AA140" s="559"/>
      <c r="AB140" s="559"/>
      <c r="AC140" s="559"/>
      <c r="AD140" s="559"/>
      <c r="AE140" s="559"/>
    </row>
    <row r="141" spans="1:31">
      <c r="A141" s="136">
        <f t="shared" si="8"/>
        <v>5</v>
      </c>
      <c r="B141" s="162" t="s">
        <v>202</v>
      </c>
      <c r="C141" s="121"/>
      <c r="D141" s="441">
        <f>VLOOKUP($D$6,'FS (2011)'!$A$13:$AH$244,'FS (2011)'!N245,FALSE)</f>
        <v>1103</v>
      </c>
      <c r="E141" s="414">
        <f t="shared" si="7"/>
        <v>5.8037358589844774E-2</v>
      </c>
      <c r="Q141" s="559"/>
      <c r="R141" s="559"/>
      <c r="S141" s="559"/>
      <c r="T141" s="559">
        <v>4</v>
      </c>
      <c r="U141" s="559" t="str">
        <f t="shared" si="9"/>
        <v>Routine and preventative maintenance</v>
      </c>
      <c r="V141" s="559">
        <f t="shared" si="10"/>
        <v>3194</v>
      </c>
      <c r="W141" s="559"/>
      <c r="X141" s="559"/>
      <c r="Y141" s="559"/>
      <c r="Z141" s="559"/>
      <c r="AA141" s="559"/>
      <c r="AB141" s="559"/>
      <c r="AC141" s="559"/>
      <c r="AD141" s="559"/>
      <c r="AE141" s="559"/>
    </row>
    <row r="142" spans="1:31">
      <c r="A142" s="136">
        <f t="shared" si="8"/>
        <v>3</v>
      </c>
      <c r="B142" s="162" t="s">
        <v>203</v>
      </c>
      <c r="C142" s="121"/>
      <c r="D142" s="441">
        <f>VLOOKUP($D$6,'FS (2011)'!$A$13:$AH$244,'FS (2011)'!O245,FALSE)</f>
        <v>4155</v>
      </c>
      <c r="E142" s="414">
        <f t="shared" si="7"/>
        <v>0.21862667719021311</v>
      </c>
      <c r="Q142" s="559"/>
      <c r="R142" s="559"/>
      <c r="S142" s="559"/>
      <c r="T142" s="559">
        <v>5</v>
      </c>
      <c r="U142" s="559" t="str">
        <f t="shared" si="9"/>
        <v>Refurbishment and renewal maintenance</v>
      </c>
      <c r="V142" s="559">
        <f t="shared" si="10"/>
        <v>1103</v>
      </c>
      <c r="W142" s="559"/>
      <c r="X142" s="559"/>
      <c r="Y142" s="559"/>
      <c r="Z142" s="559"/>
      <c r="AA142" s="559"/>
      <c r="AB142" s="559"/>
      <c r="AC142" s="559"/>
      <c r="AD142" s="559"/>
      <c r="AE142" s="559"/>
    </row>
    <row r="143" spans="1:31">
      <c r="A143" s="136">
        <f t="shared" si="8"/>
        <v>7</v>
      </c>
      <c r="B143" s="162" t="s">
        <v>13</v>
      </c>
      <c r="C143" s="121"/>
      <c r="D143" s="441">
        <f>VLOOKUP($D$6,'FS (2011)'!$A$13:$AH$244,'FS (2011)'!R245,FALSE)</f>
        <v>331</v>
      </c>
      <c r="E143" s="414">
        <f t="shared" si="7"/>
        <v>1.7416469350171007E-2</v>
      </c>
      <c r="Q143" s="559"/>
      <c r="R143" s="559"/>
      <c r="S143" s="559"/>
      <c r="T143" s="559">
        <v>6</v>
      </c>
      <c r="U143" s="559" t="str">
        <f t="shared" si="9"/>
        <v>Pass-through costs</v>
      </c>
      <c r="V143" s="559">
        <f t="shared" si="10"/>
        <v>862</v>
      </c>
      <c r="W143" s="559"/>
      <c r="X143" s="559"/>
      <c r="Y143" s="559"/>
      <c r="Z143" s="559"/>
      <c r="AA143" s="559"/>
      <c r="AB143" s="559"/>
      <c r="AC143" s="559"/>
      <c r="AD143" s="559"/>
      <c r="AE143" s="559"/>
    </row>
    <row r="144" spans="1:31">
      <c r="A144" s="136">
        <f t="shared" si="8"/>
        <v>6</v>
      </c>
      <c r="B144" s="162" t="s">
        <v>200</v>
      </c>
      <c r="C144" s="121"/>
      <c r="D144" s="441">
        <f>VLOOKUP($D$6,'FS (2011)'!$A$13:$AH$244,'FS (2011)'!P245,FALSE)</f>
        <v>862</v>
      </c>
      <c r="E144" s="414">
        <f t="shared" si="7"/>
        <v>4.5356485135490662E-2</v>
      </c>
      <c r="Q144" s="559"/>
      <c r="R144" s="559"/>
      <c r="S144" s="559"/>
      <c r="T144" s="559">
        <v>7</v>
      </c>
      <c r="U144" s="559" t="str">
        <f t="shared" si="9"/>
        <v>Other</v>
      </c>
      <c r="V144" s="559">
        <f t="shared" si="10"/>
        <v>331</v>
      </c>
      <c r="W144" s="559"/>
      <c r="X144" s="559"/>
      <c r="Y144" s="559"/>
      <c r="Z144" s="559"/>
      <c r="AA144" s="559"/>
      <c r="AB144" s="559"/>
      <c r="AC144" s="559"/>
      <c r="AD144" s="559"/>
      <c r="AE144" s="559"/>
    </row>
    <row r="145" spans="2:31">
      <c r="B145" s="172" t="s">
        <v>263</v>
      </c>
      <c r="C145" s="173"/>
      <c r="D145" s="445">
        <f>SUM(D138:D144)</f>
        <v>19005</v>
      </c>
      <c r="E145" s="447">
        <f>SUM(E138:E144)</f>
        <v>1.0000000000000002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  <c r="AE145" s="559"/>
    </row>
    <row r="146" spans="2:31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  <c r="AE146" s="559"/>
    </row>
    <row r="147" spans="2:31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  <c r="AE147" s="559"/>
    </row>
    <row r="148" spans="2:31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  <c r="AE148" s="559"/>
    </row>
    <row r="149" spans="2:31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10.209594821932651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9.2622324917140464</v>
      </c>
      <c r="F149" s="455">
        <f>(VLOOKUP(F$38,'FS (2011)'!$A$13:$AH$244,'FS (2011)'!$M$245,FALSE)+VLOOKUP(F$38,'FS (2011)'!$A$13:$AH$244,'FS (2011)'!$N$245,FALSE)+VLOOKUP(F$38,'FS (2011)'!$A$13:$AH$244,'FS (2011)'!$O$245,FALSE))/1000</f>
        <v>8.452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  <c r="AE149" s="559"/>
    </row>
    <row r="150" spans="2:31">
      <c r="B150" s="177" t="s">
        <v>266</v>
      </c>
      <c r="C150" s="456">
        <f>(VLOOKUP(C$38,'FS (2011)'!$A$13:$AH$244,'FS (2011)'!$L$245,FALSE)+VLOOKUP(C$38,'FS (2011)'!$A$13:$AH$244,'FS (2011)'!$K$245,FALSE))/1000</f>
        <v>6.8459268341364661</v>
      </c>
      <c r="D150" s="456">
        <f>(VLOOKUP(D$38,'FS (2011)'!$A$13:$AH$244,'FS (2011)'!$L$245,FALSE)+VLOOKUP(D$38,'FS (2011)'!$A$13:$AH$244,'FS (2011)'!$K$245,FALSE))/1000</f>
        <v>20.578148946393018</v>
      </c>
      <c r="E150" s="456">
        <f>(VLOOKUP(E$38,'FS (2011)'!$A$13:$AH$244,'FS (2011)'!$L$245,FALSE)+VLOOKUP(E$38,'FS (2011)'!$A$13:$AH$244,'FS (2011)'!$K$245,FALSE))/1000</f>
        <v>8.5857257955862138</v>
      </c>
      <c r="F150" s="457">
        <f>(VLOOKUP(F$38,'FS (2011)'!$A$13:$AH$244,'FS (2011)'!$L$245,FALSE)+VLOOKUP(F$38,'FS (2011)'!$A$13:$AH$244,'FS (2011)'!$K$245,FALSE))/1000</f>
        <v>9.36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  <c r="AE150" s="559"/>
    </row>
    <row r="151" spans="2:31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2.5227509908471384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2.5419942874080457</v>
      </c>
      <c r="F151" s="457">
        <f>(VLOOKUP(F$38,'FS (2011)'!$A$13:$AH$244,'FS (2011)'!$R$245,FALSE)+VLOOKUP(F$38,'FS (2011)'!$A$13:$AH$244,'FS (2011)'!$P$245,FALSE)+VLOOKUP(F$38,'FS (2011)'!$A$13:$AH$244,'FS (2011)'!$Q$245,FALSE))/1000</f>
        <v>1.1930000000000001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  <c r="AE151" s="559"/>
    </row>
    <row r="152" spans="2:31">
      <c r="B152" s="180" t="s">
        <v>268</v>
      </c>
      <c r="C152" s="458">
        <f>VLOOKUP($C$38,'FS (2011)'!$A$13:$AH$244,'FS (2011)'!$S$245,FALSE)/1000</f>
        <v>19.578272646916254</v>
      </c>
      <c r="D152" s="458">
        <f>VLOOKUP($D$38,'FS (2011)'!$A$13:$AH$244,'FS (2011)'!$S$245,FALSE)/1000</f>
        <v>20.578148946393018</v>
      </c>
      <c r="E152" s="459">
        <f>VLOOKUP($E$38,'FS (2011)'!$A$13:$AH$244,'FS (2011)'!$S$245,FALSE)/1000</f>
        <v>20.389952574708307</v>
      </c>
      <c r="F152" s="460">
        <f>VLOOKUP($F$38,'FS (2011)'!$A$13:$AH$244,'FS (2011)'!$S$245,FALSE)/1000</f>
        <v>19.004999999999999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  <c r="AE152" s="559"/>
    </row>
    <row r="153" spans="2:31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  <c r="AE153" s="559"/>
    </row>
    <row r="154" spans="2:31">
      <c r="B154" s="175" t="s">
        <v>265</v>
      </c>
      <c r="C154" s="463">
        <f>IFERROR(EXP(SLOPE(S154:V154,$C$148:$F$148))-1,(IFERROR(EXP(SLOPE(T154:V154,$D$148:$F$148))-1,F154)))</f>
        <v>-8.7477019437687042E-2</v>
      </c>
      <c r="D154" s="464">
        <f t="shared" ref="D154:E157" si="11">IF(ISERROR(D149/C149 - 1),"",(D149/C149 - 1))</f>
        <v>-1</v>
      </c>
      <c r="E154" s="464" t="str">
        <f t="shared" si="11"/>
        <v/>
      </c>
      <c r="F154" s="465">
        <f>IF(ISERROR(F149/E149 - 1),"",(F149/E149 - 1))</f>
        <v>-8.7477019437687042E-2</v>
      </c>
      <c r="Q154" s="559"/>
      <c r="R154" s="559" t="s">
        <v>423</v>
      </c>
      <c r="S154" s="559">
        <f t="shared" ref="S154:V157" si="12">LN(C149)</f>
        <v>2.3233279469554975</v>
      </c>
      <c r="T154" s="559" t="e">
        <f t="shared" si="12"/>
        <v>#NUM!</v>
      </c>
      <c r="U154" s="559">
        <f t="shared" si="12"/>
        <v>2.2259451094185398</v>
      </c>
      <c r="V154" s="559">
        <f t="shared" si="12"/>
        <v>2.1344030997538104</v>
      </c>
      <c r="W154" s="559"/>
      <c r="X154" s="559"/>
      <c r="Y154" s="559"/>
      <c r="Z154" s="559"/>
      <c r="AA154" s="559"/>
      <c r="AB154" s="559"/>
      <c r="AC154" s="559"/>
      <c r="AD154" s="559"/>
      <c r="AE154" s="559"/>
    </row>
    <row r="155" spans="2:31">
      <c r="B155" s="177" t="s">
        <v>266</v>
      </c>
      <c r="C155" s="466">
        <f t="shared" ref="C155:C157" si="13">IFERROR(EXP(SLOPE(S155:V155,$C$148:$F$148))-1,(IFERROR(EXP(SLOPE(T155:V155,$D$148:$F$148))-1,F155)))</f>
        <v>6.4452381780013557E-3</v>
      </c>
      <c r="D155" s="467">
        <f t="shared" si="11"/>
        <v>2.0058967098190892</v>
      </c>
      <c r="E155" s="467">
        <f t="shared" si="11"/>
        <v>-0.58277463060684387</v>
      </c>
      <c r="F155" s="468">
        <f>IF(ISERROR(F150/E150 - 1),"",(F150/E150 - 1))</f>
        <v>9.0181566806131652E-2</v>
      </c>
      <c r="Q155" s="559"/>
      <c r="R155" s="559" t="s">
        <v>423</v>
      </c>
      <c r="S155" s="559">
        <f t="shared" si="12"/>
        <v>1.923653852662111</v>
      </c>
      <c r="T155" s="559">
        <f t="shared" si="12"/>
        <v>3.0242297820649009</v>
      </c>
      <c r="U155" s="559">
        <f t="shared" si="12"/>
        <v>2.1501010330690349</v>
      </c>
      <c r="V155" s="559">
        <f t="shared" si="12"/>
        <v>2.2364452904895007</v>
      </c>
      <c r="W155" s="559"/>
      <c r="X155" s="559"/>
      <c r="Y155" s="559"/>
      <c r="Z155" s="559"/>
      <c r="AA155" s="559"/>
      <c r="AB155" s="559"/>
      <c r="AC155" s="559"/>
      <c r="AD155" s="559"/>
      <c r="AE155" s="559"/>
    </row>
    <row r="156" spans="2:31">
      <c r="B156" s="179" t="s">
        <v>267</v>
      </c>
      <c r="C156" s="466">
        <f t="shared" si="13"/>
        <v>-0.53068344570654125</v>
      </c>
      <c r="D156" s="467">
        <f t="shared" si="11"/>
        <v>-1</v>
      </c>
      <c r="E156" s="467" t="str">
        <f t="shared" si="11"/>
        <v/>
      </c>
      <c r="F156" s="468">
        <f>IF(ISERROR(F151/E151 - 1),"",(F151/E151 - 1))</f>
        <v>-0.53068344570654125</v>
      </c>
      <c r="Q156" s="559"/>
      <c r="R156" s="559" t="s">
        <v>423</v>
      </c>
      <c r="S156" s="559">
        <f t="shared" si="12"/>
        <v>0.92534996912712064</v>
      </c>
      <c r="T156" s="559" t="e">
        <f t="shared" si="12"/>
        <v>#NUM!</v>
      </c>
      <c r="U156" s="559">
        <f t="shared" si="12"/>
        <v>0.93294892548230035</v>
      </c>
      <c r="V156" s="559">
        <f t="shared" si="12"/>
        <v>0.17647114311577911</v>
      </c>
      <c r="W156" s="559"/>
      <c r="X156" s="559"/>
      <c r="Y156" s="559"/>
      <c r="Z156" s="559"/>
      <c r="AA156" s="559"/>
      <c r="AB156" s="559"/>
      <c r="AC156" s="559"/>
      <c r="AD156" s="559"/>
      <c r="AE156" s="559"/>
    </row>
    <row r="157" spans="2:31">
      <c r="B157" s="180" t="s">
        <v>268</v>
      </c>
      <c r="C157" s="469">
        <f t="shared" si="13"/>
        <v>-9.7860474203546044E-3</v>
      </c>
      <c r="D157" s="470">
        <f t="shared" si="11"/>
        <v>5.107071075722569E-2</v>
      </c>
      <c r="E157" s="470">
        <f t="shared" si="11"/>
        <v>-9.1454470552706502E-3</v>
      </c>
      <c r="F157" s="471">
        <f>IF(ISERROR(F152/E152 - 1),"",(F152/E152 - 1))</f>
        <v>-6.7923285727805149E-2</v>
      </c>
      <c r="N157" s="136"/>
      <c r="O157" s="136"/>
      <c r="Q157" s="559"/>
      <c r="R157" s="559" t="s">
        <v>423</v>
      </c>
      <c r="S157" s="559">
        <f t="shared" si="12"/>
        <v>2.974420412930658</v>
      </c>
      <c r="T157" s="559">
        <f t="shared" si="12"/>
        <v>3.0242297820649009</v>
      </c>
      <c r="U157" s="559">
        <f t="shared" si="12"/>
        <v>3.0150422586743066</v>
      </c>
      <c r="V157" s="559">
        <f t="shared" si="12"/>
        <v>2.9447021024412119</v>
      </c>
      <c r="W157" s="559"/>
      <c r="X157" s="559"/>
      <c r="Y157" s="559"/>
      <c r="Z157" s="559"/>
      <c r="AA157" s="559"/>
      <c r="AB157" s="559"/>
      <c r="AC157" s="559"/>
      <c r="AD157" s="559"/>
      <c r="AE157" s="559"/>
    </row>
    <row r="158" spans="2:31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  <c r="AE158" s="559"/>
    </row>
    <row r="159" spans="2:31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  <c r="AE159" s="559"/>
    </row>
    <row r="160" spans="2:31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  <c r="AE160" s="559"/>
    </row>
    <row r="161" spans="2:31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  <c r="AE161" s="559"/>
    </row>
    <row r="162" spans="2:31">
      <c r="B162" s="177" t="str">
        <f>$B$2</f>
        <v>Aurora Energy</v>
      </c>
      <c r="C162" s="456">
        <f>(C152/C102)*1000000</f>
        <v>245.30794811387219</v>
      </c>
      <c r="D162" s="456">
        <f>(D152/D102)*1000000</f>
        <v>255.03989473258088</v>
      </c>
      <c r="E162" s="456">
        <f>(E152/E102)*1000000</f>
        <v>249.9595770010703</v>
      </c>
      <c r="F162" s="457">
        <f>(F152/F102)*1000000</f>
        <v>238.49262122276878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  <c r="AE162" s="559"/>
    </row>
    <row r="163" spans="2:31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  <c r="AE163" s="559"/>
    </row>
    <row r="164" spans="2:31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  <c r="AE164" s="559"/>
    </row>
    <row r="165" spans="2:31">
      <c r="B165" s="177" t="str">
        <f>$B$2</f>
        <v>Aurora Energy</v>
      </c>
      <c r="C165" s="456">
        <f>C152/VLOOKUP(C$38,'MP (2011)'!$A$14:$AR$245,'MP (2011)'!$H$246,FALSE)*1000000</f>
        <v>3590.1697406921044</v>
      </c>
      <c r="D165" s="456">
        <f>D152/VLOOKUP(D$38,'MP (2011)'!$A$14:$AR$245,'MP (2011)'!$H$246,FALSE)*1000000</f>
        <v>3711.5195415902567</v>
      </c>
      <c r="E165" s="456">
        <f>E152/VLOOKUP(E$38,'MP (2011)'!$A$14:$AR$245,'MP (2011)'!$H$246,FALSE)*1000000</f>
        <v>3641.0629597693405</v>
      </c>
      <c r="F165" s="457">
        <f>F152/VLOOKUP(F$38,'MP (2011)'!$A$14:$AR$245,'MP (2011)'!$H$246,FALSE)*1000000</f>
        <v>3380.8905413338548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  <c r="AE165" s="559"/>
    </row>
    <row r="166" spans="2:31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  <c r="AE166" s="559"/>
    </row>
    <row r="167" spans="2:31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  <c r="AE167" s="559"/>
    </row>
    <row r="168" spans="2:31">
      <c r="B168" s="177" t="str">
        <f>$B$2</f>
        <v>Aurora Energy</v>
      </c>
      <c r="C168" s="456">
        <f>(C152/C117)*1000000</f>
        <v>15.362653098198813</v>
      </c>
      <c r="D168" s="456">
        <f>(D152/D117)*1000000</f>
        <v>16.251586564772914</v>
      </c>
      <c r="E168" s="456">
        <f>(E152/E117)*1000000</f>
        <v>15.930711832666717</v>
      </c>
      <c r="F168" s="457">
        <f>(F152/F117)*1000000</f>
        <v>15.347801260747294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  <c r="AE168" s="559"/>
    </row>
    <row r="169" spans="2:31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  <c r="AE169" s="559"/>
    </row>
    <row r="170" spans="2:31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  <c r="AE170" s="559"/>
    </row>
    <row r="171" spans="2:31">
      <c r="B171" s="175" t="s">
        <v>271</v>
      </c>
      <c r="C171" s="463">
        <f>IFERROR(EXP(SLOPE(S171:V171,$C$148:$F$148))-1,(IFERROR(EXP(SLOPE(T171:V171,$D$148:$F$148))-1,F171)))</f>
        <v>-1.0410304979265761E-2</v>
      </c>
      <c r="D171" s="464">
        <f>IF(ISERROR(D162/C162 - 1),"",(D162/C162 - 1))</f>
        <v>3.967236566746335E-2</v>
      </c>
      <c r="E171" s="464">
        <f>IF(ISERROR(E162/D162 - 1),"",(E162/D162 - 1))</f>
        <v>-1.9919698197952473E-2</v>
      </c>
      <c r="F171" s="465">
        <f>IF(ISERROR(F162/E162 - 1),"",(F162/E162 - 1))</f>
        <v>-4.5875240772440651E-2</v>
      </c>
      <c r="H171" s="139"/>
      <c r="Q171" s="559"/>
      <c r="R171" s="559" t="s">
        <v>423</v>
      </c>
      <c r="S171" s="559">
        <f>LN(C162)</f>
        <v>5.502514352345198</v>
      </c>
      <c r="T171" s="559">
        <f>LN(D162)</f>
        <v>5.5414199828531014</v>
      </c>
      <c r="U171" s="559">
        <f>LN(E162)</f>
        <v>5.5212992127929672</v>
      </c>
      <c r="V171" s="559">
        <f>LN(F162)</f>
        <v>5.4743383715804841</v>
      </c>
      <c r="W171" s="559"/>
      <c r="X171" s="559"/>
      <c r="Y171" s="559"/>
      <c r="Z171" s="559"/>
      <c r="AA171" s="559"/>
      <c r="AB171" s="559"/>
      <c r="AC171" s="559"/>
      <c r="AD171" s="559"/>
      <c r="AE171" s="559"/>
    </row>
    <row r="172" spans="2:31">
      <c r="B172" s="177" t="s">
        <v>273</v>
      </c>
      <c r="C172" s="466">
        <f>IFERROR(EXP(SLOPE(S172:V172,$C$148:$F$148))-1,(IFERROR(EXP(SLOPE(T172:V172,$D$148:$F$148))-1,F172)))</f>
        <v>-1.9737289676228231E-2</v>
      </c>
      <c r="D172" s="467">
        <f>IF(ISERROR(D165/C165 - 1),"",(D165/C165 - 1))</f>
        <v>3.3800574809245365E-2</v>
      </c>
      <c r="E172" s="467">
        <f>IF(ISERROR(E165/D165 - 1),"",(E165/D165 - 1))</f>
        <v>-1.898321725950769E-2</v>
      </c>
      <c r="F172" s="468">
        <f>IF(ISERROR(F165/E165 - 1),"",(F165/E165 - 1))</f>
        <v>-7.1455072683491161E-2</v>
      </c>
      <c r="Q172" s="559"/>
      <c r="R172" s="559" t="s">
        <v>423</v>
      </c>
      <c r="S172" s="559">
        <f>LN(C165)</f>
        <v>8.1859547618944219</v>
      </c>
      <c r="T172" s="559">
        <f>LN(D165)</f>
        <v>8.2191966516899768</v>
      </c>
      <c r="U172" s="559">
        <f>LN(E165)</f>
        <v>8.2000309399153402</v>
      </c>
      <c r="V172" s="559">
        <f>LN(F165)</f>
        <v>8.1258944275413594</v>
      </c>
      <c r="W172" s="559"/>
      <c r="X172" s="559"/>
      <c r="Y172" s="559"/>
      <c r="Z172" s="559"/>
      <c r="AA172" s="559"/>
      <c r="AB172" s="559"/>
      <c r="AC172" s="559"/>
      <c r="AD172" s="559"/>
      <c r="AE172" s="559"/>
    </row>
    <row r="173" spans="2:31">
      <c r="B173" s="194" t="s">
        <v>274</v>
      </c>
      <c r="C173" s="469">
        <f>IFERROR(EXP(SLOPE(S173:V173,$C$148:$F$148))-1,(IFERROR(EXP(SLOPE(T173:V173,$D$148:$F$148))-1,F173)))</f>
        <v>-2.2817311012813812E-3</v>
      </c>
      <c r="D173" s="470">
        <f>IF(ISERROR(D168/C168 - 1),"",(D168/C168 - 1))</f>
        <v>5.7863277969761873E-2</v>
      </c>
      <c r="E173" s="470">
        <f>IF(ISERROR(E168/D168 - 1),"",(E168/D168 - 1))</f>
        <v>-1.9744209639305565E-2</v>
      </c>
      <c r="F173" s="471">
        <f>IF(ISERROR(F168/E168 - 1),"",(F168/E168 - 1))</f>
        <v>-3.6590365706329231E-2</v>
      </c>
      <c r="Q173" s="559"/>
      <c r="R173" s="559" t="s">
        <v>423</v>
      </c>
      <c r="S173" s="559">
        <f>LN(C168)</f>
        <v>2.731939440551125</v>
      </c>
      <c r="T173" s="559">
        <f>LN(D168)</f>
        <v>2.7881905387650403</v>
      </c>
      <c r="U173" s="559">
        <f>LN(E168)</f>
        <v>2.7682488079623249</v>
      </c>
      <c r="V173" s="559">
        <f>LN(F168)</f>
        <v>2.7309722234311327</v>
      </c>
      <c r="W173" s="559"/>
      <c r="X173" s="559"/>
      <c r="Y173" s="559"/>
      <c r="Z173" s="559"/>
      <c r="AA173" s="559"/>
      <c r="AB173" s="559"/>
      <c r="AC173" s="559"/>
      <c r="AD173" s="559"/>
      <c r="AE173" s="559"/>
    </row>
    <row r="174" spans="2:31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  <c r="AE174" s="559"/>
    </row>
    <row r="175" spans="2:31">
      <c r="Q175" s="559"/>
      <c r="R175" s="559"/>
      <c r="S175" s="559"/>
      <c r="T175" s="559"/>
      <c r="U175" s="559"/>
      <c r="V175" s="560" t="str">
        <f>$B$2</f>
        <v>Aurora Energy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  <c r="AE175" s="559"/>
    </row>
    <row r="176" spans="2:31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9262.2324917140468</v>
      </c>
      <c r="X176" s="563">
        <f>D178</f>
        <v>8452</v>
      </c>
      <c r="Y176" s="564"/>
      <c r="Z176" s="564"/>
      <c r="AA176" s="564"/>
      <c r="AB176" s="564"/>
      <c r="AC176" s="564"/>
      <c r="AD176" s="559"/>
      <c r="AE176" s="559"/>
    </row>
    <row r="177" spans="1:31" s="103" customFormat="1">
      <c r="B177" s="478" t="str">
        <f>$B$2</f>
        <v>Aurora Energy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8680.4774864595383</v>
      </c>
      <c r="X177" s="563">
        <f t="shared" si="14"/>
        <v>8897.4894236210275</v>
      </c>
      <c r="Y177" s="563">
        <f t="shared" si="14"/>
        <v>9118.5767023254539</v>
      </c>
      <c r="Z177" s="563">
        <f t="shared" si="14"/>
        <v>9343.739322572821</v>
      </c>
      <c r="AA177" s="563">
        <f t="shared" si="14"/>
        <v>9577.0526259060643</v>
      </c>
      <c r="AB177" s="564"/>
      <c r="AC177" s="564"/>
      <c r="AD177" s="561"/>
      <c r="AE177" s="561"/>
    </row>
    <row r="178" spans="1:31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9262.2324917140468</v>
      </c>
      <c r="D178" s="461">
        <f>VLOOKUP(F38,'FS (2011)'!$A$14:$T$246,'FS (2011)'!$M$245,FALSE)+VLOOKUP(F38,'FS (2011)'!$A$14:$AO$245,'FS (2011)'!$N$245,FALSE)+VLOOKUP(F38,'FS (2011)'!$A$14:$AO$245,'FS (2011)'!$O$245,FALSE)</f>
        <v>8452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9380</v>
      </c>
      <c r="Y178" s="563">
        <f t="shared" si="14"/>
        <v>9614</v>
      </c>
      <c r="Z178" s="563">
        <f t="shared" si="14"/>
        <v>9849</v>
      </c>
      <c r="AA178" s="563">
        <f t="shared" si="14"/>
        <v>10093</v>
      </c>
      <c r="AB178" s="563">
        <f>H180</f>
        <v>10342</v>
      </c>
      <c r="AC178" s="564"/>
      <c r="AD178" s="559"/>
      <c r="AE178" s="559"/>
    </row>
    <row r="179" spans="1:31">
      <c r="B179" s="199" t="s">
        <v>277</v>
      </c>
      <c r="C179" s="461">
        <f>VLOOKUP(C182,'AM (2011)'!$A$10:$N$444,'AM (2011)'!$N$445,FALSE)</f>
        <v>8680.4774864595383</v>
      </c>
      <c r="D179" s="461">
        <f>VLOOKUP(D182,'AM (2011)'!$A$10:$N$444,'AM (2011)'!$N$445,FALSE)</f>
        <v>8897.4894236210275</v>
      </c>
      <c r="E179" s="461">
        <f>VLOOKUP(E182,'AM (2011)'!$A$10:$N$444,'AM (2011)'!$N$445,FALSE)</f>
        <v>9118.5767023254539</v>
      </c>
      <c r="F179" s="461">
        <f>VLOOKUP(F182,'AM (2011)'!$A$10:$N$444,'AM (2011)'!$N$445,FALSE)</f>
        <v>9343.739322572821</v>
      </c>
      <c r="G179" s="461">
        <f>VLOOKUP(G182,'AM (2011)'!$A$10:$N$444,'AM (2011)'!$N$445,FALSE)</f>
        <v>9577.0526259060643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8916.0232708467993</v>
      </c>
      <c r="Z179" s="563">
        <f>F181</f>
        <v>9140.8791208791208</v>
      </c>
      <c r="AA179" s="563">
        <f>G181</f>
        <v>9365.7349709114405</v>
      </c>
      <c r="AB179" s="563">
        <f>H181</f>
        <v>9590.5908209437621</v>
      </c>
      <c r="AC179" s="563">
        <f>I181</f>
        <v>9825.2230122818346</v>
      </c>
      <c r="AD179" s="559"/>
      <c r="AE179" s="559"/>
    </row>
    <row r="180" spans="1:31">
      <c r="B180" s="199" t="s">
        <v>278</v>
      </c>
      <c r="C180" s="461"/>
      <c r="D180" s="461">
        <f>VLOOKUP(D183,'AM (2011)'!$A$10:$N$444,'AM (2011)'!$N$445,FALSE)</f>
        <v>9380</v>
      </c>
      <c r="E180" s="461">
        <f>VLOOKUP(E183,'AM (2011)'!$A$10:$N$444,'AM (2011)'!$N$445,FALSE)</f>
        <v>9614</v>
      </c>
      <c r="F180" s="461">
        <f>VLOOKUP(F183,'AM (2011)'!$A$10:$N$444,'AM (2011)'!$N$445,FALSE)</f>
        <v>9849</v>
      </c>
      <c r="G180" s="461">
        <f>VLOOKUP(G183,'AM (2011)'!$A$10:$N$444,'AM (2011)'!$N$445,FALSE)</f>
        <v>10093</v>
      </c>
      <c r="H180" s="461">
        <f>VLOOKUP(H183,'AM (2011)'!$A$10:$N$444,'AM (2011)'!$N$445,FALSE)</f>
        <v>10342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  <c r="AE180" s="559"/>
    </row>
    <row r="181" spans="1:31">
      <c r="B181" s="477" t="s">
        <v>279</v>
      </c>
      <c r="C181" s="493"/>
      <c r="D181" s="493"/>
      <c r="E181" s="493">
        <f>VLOOKUP(E184,'AM (2011)'!$A$10:$N$444,'AM (2011)'!$N$445,FALSE)</f>
        <v>8916.0232708467993</v>
      </c>
      <c r="F181" s="493">
        <f>VLOOKUP(F184,'AM (2011)'!$A$10:$N$444,'AM (2011)'!$N$445,FALSE)</f>
        <v>9140.8791208791208</v>
      </c>
      <c r="G181" s="493">
        <f>VLOOKUP(G184,'AM (2011)'!$A$10:$N$444,'AM (2011)'!$N$445,FALSE)</f>
        <v>9365.7349709114405</v>
      </c>
      <c r="H181" s="493">
        <f>VLOOKUP(H184,'AM (2011)'!$A$10:$N$444,'AM (2011)'!$N$445,FALSE)</f>
        <v>9590.5908209437621</v>
      </c>
      <c r="I181" s="494">
        <f>VLOOKUP(I184,'AM (2011)'!$A$10:$N$444,'AM (2011)'!$N$445,FALSE)</f>
        <v>9825.2230122818346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  <c r="AE181" s="559"/>
    </row>
    <row r="182" spans="1:31">
      <c r="C182" s="136">
        <f>VLOOKUP($B$2,$B$257:$Y$286,10,FALSE)</f>
        <v>32</v>
      </c>
      <c r="D182" s="136">
        <f>VLOOKUP($B$2,$B$257:$Y$286,11,FALSE)</f>
        <v>33</v>
      </c>
      <c r="E182" s="136">
        <f>VLOOKUP($B$2,$B$257:$Y$286,12,FALSE)</f>
        <v>34</v>
      </c>
      <c r="F182" s="136">
        <f>VLOOKUP($B$2,$B$257:$Y$286,13,FALSE)</f>
        <v>35</v>
      </c>
      <c r="G182" s="136">
        <f>VLOOKUP($B$2,$B$257:$Y$286,14,FALSE)</f>
        <v>36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  <c r="AE182" s="559"/>
    </row>
    <row r="183" spans="1:31">
      <c r="C183" s="136"/>
      <c r="D183" s="136">
        <f>VLOOKUP($B$2,$B$257:$Y$286,15,FALSE)</f>
        <v>37</v>
      </c>
      <c r="E183" s="136">
        <f>VLOOKUP($B$2,$B$257:$Y$286,16,FALSE)</f>
        <v>38</v>
      </c>
      <c r="F183" s="136">
        <f>VLOOKUP($B$2,$B$257:$Y$286,17,FALSE)</f>
        <v>39</v>
      </c>
      <c r="G183" s="136">
        <f>VLOOKUP($B$2,$B$257:$Y$286,18,FALSE)</f>
        <v>40</v>
      </c>
      <c r="H183" s="136">
        <f>VLOOKUP($B$2,$B$257:$Y$286,19,FALSE)</f>
        <v>41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  <c r="AE183" s="559"/>
    </row>
    <row r="184" spans="1:31">
      <c r="C184" s="136"/>
      <c r="E184" s="136">
        <f>VLOOKUP($B$2,$B$257:$Y$286,20,FALSE)</f>
        <v>42</v>
      </c>
      <c r="F184" s="136">
        <f>VLOOKUP($B$2,$B$257:$Y$286,21,FALSE)</f>
        <v>43</v>
      </c>
      <c r="G184" s="136">
        <f>VLOOKUP($B$2,$B$257:$Y$286,22,FALSE)</f>
        <v>44</v>
      </c>
      <c r="H184" s="136">
        <f>VLOOKUP($B$2,$B$257:$Y$286,23,FALSE)</f>
        <v>45</v>
      </c>
      <c r="I184" s="136">
        <f>VLOOKUP($B$2,$B$257:$Y$286,24,FALSE)</f>
        <v>46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  <c r="AE184" s="559"/>
    </row>
    <row r="185" spans="1:31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  <c r="AE185" s="559"/>
    </row>
    <row r="186" spans="1:31">
      <c r="A186" s="102">
        <f t="shared" ref="A186:A191" si="15">RANK(D186,$D$186:$D$191)</f>
        <v>2</v>
      </c>
      <c r="B186" s="483" t="s">
        <v>205</v>
      </c>
      <c r="C186" s="490"/>
      <c r="D186" s="484">
        <f>VLOOKUP($D$6,'FS (2011)'!$A$13:$AH$244,'FS (2011)'!AC245,FALSE)/1000</f>
        <v>5.9960000000000004</v>
      </c>
      <c r="E186" s="495">
        <f t="shared" ref="E186:E191" si="16">D186/$D$192</f>
        <v>0.26895128734188573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Asset replacement and renewal</v>
      </c>
      <c r="V186" s="559">
        <f t="shared" ref="V186:V191" si="18">VLOOKUP(T186,$A$186:$D$191,4,FALSE)</f>
        <v>7.0549999999999997</v>
      </c>
      <c r="W186" s="559"/>
      <c r="X186" s="559"/>
      <c r="Y186" s="559"/>
      <c r="Z186" s="559"/>
      <c r="AA186" s="559"/>
      <c r="AB186" s="559"/>
      <c r="AC186" s="559"/>
      <c r="AD186" s="559"/>
      <c r="AE186" s="559"/>
    </row>
    <row r="187" spans="1:31">
      <c r="A187" s="102">
        <f t="shared" si="15"/>
        <v>4</v>
      </c>
      <c r="B187" s="162" t="s">
        <v>206</v>
      </c>
      <c r="C187" s="121"/>
      <c r="D187" s="456">
        <f>VLOOKUP($D$6,'FS (2011)'!$A$13:$AH$244,'FS (2011)'!AD245,FALSE)/1000</f>
        <v>2.0409999999999999</v>
      </c>
      <c r="E187" s="468">
        <f t="shared" si="16"/>
        <v>9.1549295774647876E-2</v>
      </c>
      <c r="Q187" s="559"/>
      <c r="R187" s="559"/>
      <c r="S187" s="559"/>
      <c r="T187" s="559">
        <v>2</v>
      </c>
      <c r="U187" s="559" t="str">
        <f t="shared" si="17"/>
        <v>System growth</v>
      </c>
      <c r="V187" s="559">
        <f t="shared" si="18"/>
        <v>5.9960000000000004</v>
      </c>
      <c r="W187" s="559"/>
      <c r="X187" s="559"/>
      <c r="Y187" s="559"/>
      <c r="Z187" s="559"/>
      <c r="AA187" s="559"/>
      <c r="AB187" s="559"/>
      <c r="AC187" s="559"/>
      <c r="AD187" s="559"/>
      <c r="AE187" s="559"/>
    </row>
    <row r="188" spans="1:31">
      <c r="A188" s="102">
        <f t="shared" si="15"/>
        <v>3</v>
      </c>
      <c r="B188" s="162" t="s">
        <v>209</v>
      </c>
      <c r="C188" s="121"/>
      <c r="D188" s="456">
        <f>VLOOKUP($D$6,'FS (2011)'!$A$13:$AH$244,'FS (2011)'!AB245,FALSE)/1000</f>
        <v>5.7759999999999998</v>
      </c>
      <c r="E188" s="468">
        <f t="shared" si="16"/>
        <v>0.25908316138871446</v>
      </c>
      <c r="Q188" s="559"/>
      <c r="R188" s="559"/>
      <c r="S188" s="559"/>
      <c r="T188" s="559">
        <v>3</v>
      </c>
      <c r="U188" s="559" t="str">
        <f t="shared" si="17"/>
        <v>Customer connection</v>
      </c>
      <c r="V188" s="559">
        <f t="shared" si="18"/>
        <v>5.7759999999999998</v>
      </c>
      <c r="W188" s="559"/>
      <c r="X188" s="559"/>
      <c r="Y188" s="559"/>
      <c r="Z188" s="559"/>
      <c r="AA188" s="559"/>
      <c r="AB188" s="559"/>
      <c r="AC188" s="559"/>
      <c r="AD188" s="559"/>
      <c r="AE188" s="559"/>
    </row>
    <row r="189" spans="1:31">
      <c r="A189" s="102">
        <f t="shared" si="15"/>
        <v>1</v>
      </c>
      <c r="B189" s="162" t="s">
        <v>208</v>
      </c>
      <c r="C189" s="121"/>
      <c r="D189" s="456">
        <f>VLOOKUP($D$6,'FS (2011)'!$A$13:$AH$244,'FS (2011)'!AE245,FALSE)/1000</f>
        <v>7.0549999999999997</v>
      </c>
      <c r="E189" s="468">
        <f t="shared" si="16"/>
        <v>0.31645285727101458</v>
      </c>
      <c r="Q189" s="559"/>
      <c r="R189" s="559"/>
      <c r="S189" s="559"/>
      <c r="T189" s="559">
        <v>4</v>
      </c>
      <c r="U189" s="559" t="str">
        <f t="shared" si="17"/>
        <v>Reliability, safety and environment</v>
      </c>
      <c r="V189" s="559">
        <f t="shared" si="18"/>
        <v>2.0409999999999999</v>
      </c>
      <c r="W189" s="559"/>
      <c r="X189" s="559"/>
      <c r="Y189" s="559"/>
      <c r="Z189" s="559"/>
      <c r="AA189" s="559"/>
      <c r="AB189" s="559"/>
      <c r="AC189" s="559"/>
      <c r="AD189" s="559"/>
      <c r="AE189" s="559"/>
    </row>
    <row r="190" spans="1:31">
      <c r="A190" s="102">
        <f t="shared" si="15"/>
        <v>6</v>
      </c>
      <c r="B190" s="162" t="s">
        <v>312</v>
      </c>
      <c r="C190" s="121"/>
      <c r="D190" s="456">
        <f>VLOOKUP($D$6,'FS (2011)'!$A$13:$AH$244,'FS (2011)'!AH245,FALSE)/1000</f>
        <v>0</v>
      </c>
      <c r="E190" s="468">
        <f t="shared" si="16"/>
        <v>0</v>
      </c>
      <c r="Q190" s="559"/>
      <c r="R190" s="559"/>
      <c r="S190" s="559"/>
      <c r="T190" s="559">
        <v>5</v>
      </c>
      <c r="U190" s="559" t="str">
        <f t="shared" si="17"/>
        <v>Asset relocations</v>
      </c>
      <c r="V190" s="559">
        <f t="shared" si="18"/>
        <v>1.4259999999999999</v>
      </c>
      <c r="W190" s="559"/>
      <c r="X190" s="559"/>
      <c r="Y190" s="559"/>
      <c r="Z190" s="559"/>
      <c r="AA190" s="559"/>
      <c r="AB190" s="559"/>
      <c r="AC190" s="559"/>
      <c r="AD190" s="559"/>
      <c r="AE190" s="559"/>
    </row>
    <row r="191" spans="1:31">
      <c r="A191" s="102">
        <f t="shared" si="15"/>
        <v>5</v>
      </c>
      <c r="B191" s="162" t="s">
        <v>207</v>
      </c>
      <c r="C191" s="121"/>
      <c r="D191" s="456">
        <f>VLOOKUP($D$6,'FS (2011)'!$A$13:$AH$244,'FS (2011)'!AF245,FALSE)/1000</f>
        <v>1.4259999999999999</v>
      </c>
      <c r="E191" s="468">
        <f t="shared" si="16"/>
        <v>6.3963398223737325E-2</v>
      </c>
      <c r="Q191" s="559"/>
      <c r="R191" s="559"/>
      <c r="S191" s="559"/>
      <c r="T191" s="559">
        <v>6</v>
      </c>
      <c r="U191" s="559" t="str">
        <f t="shared" si="17"/>
        <v>Non-network capex</v>
      </c>
      <c r="V191" s="559">
        <f t="shared" si="18"/>
        <v>0</v>
      </c>
      <c r="W191" s="559"/>
      <c r="X191" s="559"/>
      <c r="Y191" s="559"/>
      <c r="Z191" s="559"/>
      <c r="AA191" s="559"/>
      <c r="AB191" s="559"/>
      <c r="AC191" s="559"/>
      <c r="AD191" s="559"/>
      <c r="AE191" s="559"/>
    </row>
    <row r="192" spans="1:31">
      <c r="B192" s="491" t="s">
        <v>262</v>
      </c>
      <c r="C192" s="492"/>
      <c r="D192" s="488">
        <f>SUM(D186:D191)</f>
        <v>22.294</v>
      </c>
      <c r="E192" s="496">
        <f>SUM(E186:E191)</f>
        <v>1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  <c r="AE192" s="559"/>
    </row>
    <row r="193" spans="2:31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  <c r="AE193" s="559"/>
    </row>
    <row r="194" spans="2:31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  <c r="AE194" s="559"/>
    </row>
    <row r="195" spans="2:31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  <c r="AE195" s="559"/>
    </row>
    <row r="196" spans="2:31">
      <c r="B196" s="483" t="s">
        <v>282</v>
      </c>
      <c r="C196" s="484">
        <f>VLOOKUP($C$38,'FS (2011)'!$A$13:$AH$244,'FS (2011)'!$AG$245,FALSE)/1000</f>
        <v>19.548085882923214</v>
      </c>
      <c r="D196" s="484">
        <f>VLOOKUP($D$38,'FS (2011)'!$A$13:$AH$244,'FS (2011)'!$AG$245,FALSE)/1000</f>
        <v>19.23070217585283</v>
      </c>
      <c r="E196" s="484">
        <f>VLOOKUP($E$38,'FS (2011)'!$A$13:$AH$244,'FS (2011)'!$AG$245,FALSE)/1000</f>
        <v>22.106690199671256</v>
      </c>
      <c r="F196" s="486">
        <f>VLOOKUP($F$38,'FS (2011)'!$A$13:$AH$244,'FS (2011)'!$AG$245,FALSE)/1000</f>
        <v>22.294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  <c r="AE196" s="559"/>
    </row>
    <row r="197" spans="2:31">
      <c r="B197" s="162" t="s">
        <v>283</v>
      </c>
      <c r="C197" s="456">
        <f>VLOOKUP($C$38,'FS (2011)'!$A$13:$AH$244,'FS (2011)'!$AH$245,FALSE)/1000</f>
        <v>0</v>
      </c>
      <c r="D197" s="456">
        <f>VLOOKUP($D$38,'FS (2011)'!$A$13:$AH$244,'FS (2011)'!$AH$245,FALSE)/1000</f>
        <v>0</v>
      </c>
      <c r="E197" s="456">
        <f>VLOOKUP($E$38,'FS (2011)'!$A$13:$AH$244,'FS (2011)'!$AH$245,FALSE)/1000</f>
        <v>0</v>
      </c>
      <c r="F197" s="457">
        <f>VLOOKUP($F$38,'FS (2011)'!$A$13:$AH$244,'FS (2011)'!$AH$245,FALSE)/1000</f>
        <v>0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  <c r="AE197" s="559"/>
    </row>
    <row r="198" spans="2:31">
      <c r="B198" s="487" t="s">
        <v>284</v>
      </c>
      <c r="C198" s="488">
        <f>SUM(C196:C197)</f>
        <v>19.548085882923214</v>
      </c>
      <c r="D198" s="488">
        <f>SUM(D196:D197)</f>
        <v>19.23070217585283</v>
      </c>
      <c r="E198" s="488">
        <f>SUM(E196:E197)</f>
        <v>22.106690199671256</v>
      </c>
      <c r="F198" s="489">
        <f>SUM(F196:F197)</f>
        <v>22.294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  <c r="AE198" s="559"/>
    </row>
    <row r="199" spans="2:31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  <c r="AE199" s="559"/>
    </row>
    <row r="200" spans="2:31">
      <c r="B200" s="483" t="s">
        <v>282</v>
      </c>
      <c r="C200" s="497">
        <f t="shared" ref="C200:C202" si="19">IFERROR(EXP(SLOPE(S200:V200,$C$148:$F$148))-1,(IFERROR(EXP(SLOPE(T200:V200,$D$148:$F$148))-1,F200)))</f>
        <v>5.4819101711139684E-2</v>
      </c>
      <c r="D200" s="498">
        <f t="shared" ref="D200:F202" si="20">D196/C196 - 1</f>
        <v>-1.6236050371951971E-2</v>
      </c>
      <c r="E200" s="498">
        <f t="shared" si="20"/>
        <v>0.14955189870444152</v>
      </c>
      <c r="F200" s="495">
        <f t="shared" si="20"/>
        <v>8.4729915983321469E-3</v>
      </c>
      <c r="Q200" s="559"/>
      <c r="R200" s="559" t="s">
        <v>423</v>
      </c>
      <c r="S200" s="559">
        <f t="shared" ref="S200:V202" si="21">LN(C196)</f>
        <v>2.9728773728361135</v>
      </c>
      <c r="T200" s="559">
        <f t="shared" si="21"/>
        <v>2.9565080735389779</v>
      </c>
      <c r="U200" s="559">
        <f t="shared" si="21"/>
        <v>3.0958802866790776</v>
      </c>
      <c r="V200" s="559">
        <f t="shared" si="21"/>
        <v>3.1043175839674317</v>
      </c>
      <c r="W200" s="559"/>
      <c r="X200" s="559"/>
      <c r="Y200" s="559"/>
      <c r="Z200" s="559"/>
      <c r="AA200" s="559"/>
      <c r="AB200" s="559"/>
      <c r="AC200" s="559"/>
      <c r="AD200" s="559"/>
      <c r="AE200" s="559"/>
    </row>
    <row r="201" spans="2:31">
      <c r="B201" s="162" t="s">
        <v>283</v>
      </c>
      <c r="C201" s="466" t="str">
        <f t="shared" si="19"/>
        <v/>
      </c>
      <c r="D201" s="467" t="str">
        <f>IFERROR(D197/C197 - 1,"")</f>
        <v/>
      </c>
      <c r="E201" s="467" t="str">
        <f>IFERROR(E197/D197-1,"")</f>
        <v/>
      </c>
      <c r="F201" s="468" t="str">
        <f>IFERROR(F197/E197 - 1,"")</f>
        <v/>
      </c>
      <c r="Q201" s="559"/>
      <c r="R201" s="559" t="s">
        <v>423</v>
      </c>
      <c r="S201" s="559" t="e">
        <f t="shared" si="21"/>
        <v>#NUM!</v>
      </c>
      <c r="T201" s="559" t="e">
        <f t="shared" si="21"/>
        <v>#NUM!</v>
      </c>
      <c r="U201" s="559" t="e">
        <f t="shared" si="21"/>
        <v>#NUM!</v>
      </c>
      <c r="V201" s="559" t="e">
        <f t="shared" si="21"/>
        <v>#NUM!</v>
      </c>
      <c r="W201" s="559"/>
      <c r="X201" s="559"/>
      <c r="Y201" s="559"/>
      <c r="Z201" s="559"/>
      <c r="AA201" s="559"/>
      <c r="AB201" s="559"/>
      <c r="AC201" s="559"/>
      <c r="AD201" s="559"/>
      <c r="AE201" s="559"/>
    </row>
    <row r="202" spans="2:31">
      <c r="B202" s="485" t="s">
        <v>284</v>
      </c>
      <c r="C202" s="499">
        <f t="shared" si="19"/>
        <v>5.4819101711139684E-2</v>
      </c>
      <c r="D202" s="500">
        <f t="shared" si="20"/>
        <v>-1.6236050371951971E-2</v>
      </c>
      <c r="E202" s="500">
        <f t="shared" si="20"/>
        <v>0.14955189870444152</v>
      </c>
      <c r="F202" s="501">
        <f t="shared" si="20"/>
        <v>8.4729915983321469E-3</v>
      </c>
      <c r="Q202" s="559"/>
      <c r="R202" s="559" t="s">
        <v>423</v>
      </c>
      <c r="S202" s="559">
        <f t="shared" si="21"/>
        <v>2.9728773728361135</v>
      </c>
      <c r="T202" s="559">
        <f t="shared" si="21"/>
        <v>2.9565080735389779</v>
      </c>
      <c r="U202" s="559">
        <f t="shared" si="21"/>
        <v>3.0958802866790776</v>
      </c>
      <c r="V202" s="559">
        <f t="shared" si="21"/>
        <v>3.1043175839674317</v>
      </c>
      <c r="W202" s="559"/>
      <c r="X202" s="559"/>
      <c r="Y202" s="559"/>
      <c r="Z202" s="559"/>
      <c r="AA202" s="559"/>
      <c r="AB202" s="559"/>
      <c r="AC202" s="559"/>
      <c r="AD202" s="559"/>
      <c r="AE202" s="559"/>
    </row>
    <row r="203" spans="2:31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  <c r="AE203" s="559"/>
    </row>
    <row r="204" spans="2:31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  <c r="AE204" s="559"/>
    </row>
    <row r="205" spans="2:31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  <c r="AE205" s="559"/>
    </row>
    <row r="206" spans="2:31">
      <c r="B206" s="177" t="s">
        <v>189</v>
      </c>
      <c r="C206" s="456">
        <f>(C198/C102)*1000000</f>
        <v>244.92972000004028</v>
      </c>
      <c r="D206" s="456">
        <f>(D198/D102)*1000000</f>
        <v>238.34001159870152</v>
      </c>
      <c r="E206" s="456">
        <f>(E198/E102)*1000000</f>
        <v>271.0049918437627</v>
      </c>
      <c r="F206" s="457">
        <f>(F198/F102)*1000000</f>
        <v>279.76608774219454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  <c r="AE206" s="559"/>
    </row>
    <row r="207" spans="2:31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  <c r="AE207" s="559"/>
    </row>
    <row r="208" spans="2:31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  <c r="AE208" s="559"/>
    </row>
    <row r="209" spans="2:31">
      <c r="B209" s="177" t="s">
        <v>112</v>
      </c>
      <c r="C209" s="456">
        <f>(C198/C117)*1000000000</f>
        <v>15338.966188135511</v>
      </c>
      <c r="D209" s="456">
        <f>(D198/D117)*1000000000</f>
        <v>15187.440907653647</v>
      </c>
      <c r="E209" s="456">
        <f>(E198/E117)*1000000000</f>
        <v>17272.002465657442</v>
      </c>
      <c r="F209" s="457">
        <f>(F198/F117)*1000000000</f>
        <v>18003.88746682979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  <c r="AE209" s="559"/>
    </row>
    <row r="210" spans="2:31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  <c r="AE210" s="559"/>
    </row>
    <row r="211" spans="2:31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  <c r="AE211" s="559"/>
    </row>
    <row r="212" spans="2:31">
      <c r="B212" s="177" t="s">
        <v>112</v>
      </c>
      <c r="C212" s="456">
        <f>(C198/VLOOKUP(C$38,'AV (2011)'!$A$11:$F$213,'AV (2011)'!$F$214,FALSE)*1000)</f>
        <v>6.9802405911692497E-2</v>
      </c>
      <c r="D212" s="456">
        <f>(D198/VLOOKUP(D$38,'AV (2011)'!$A$11:$F$213,'AV (2011)'!$F$214,FALSE)*1000)</f>
        <v>6.6647833781705648E-2</v>
      </c>
      <c r="E212" s="456">
        <f>(E198/VLOOKUP(E$38,'AV (2011)'!$A$11:$F$213,'AV (2011)'!$F$214,FALSE)*1000)</f>
        <v>7.3240127299698823E-2</v>
      </c>
      <c r="F212" s="457">
        <f>(F198/VLOOKUP(F$38,'AV (2011)'!$A$11:$F$213,'AV (2011)'!$F$214,FALSE)*1000)</f>
        <v>6.9197255041049843E-2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  <c r="AE212" s="559"/>
    </row>
    <row r="213" spans="2:31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  <c r="AE213" s="559"/>
    </row>
    <row r="214" spans="2:31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  <c r="AE214" s="559"/>
    </row>
    <row r="215" spans="2:31">
      <c r="B215" s="175" t="s">
        <v>287</v>
      </c>
      <c r="C215" s="463">
        <f t="shared" ref="C215:C216" si="22">IFERROR(EXP(SLOPE(S215:V215,$C$195:$F$195))-1,(IFERROR(EXP(SLOPE(T215:V215,$D$195:$F$195))-1,F215)))</f>
        <v>5.4154115325306895E-2</v>
      </c>
      <c r="D215" s="464">
        <f>D206/C206 - 1</f>
        <v>-2.6904486729244947E-2</v>
      </c>
      <c r="E215" s="464">
        <f>E206/D206 - 1</f>
        <v>0.13705202087537005</v>
      </c>
      <c r="F215" s="465">
        <f>F206/E206 - 1</f>
        <v>3.2328171665128247E-2</v>
      </c>
      <c r="K215" s="139"/>
      <c r="P215" s="139"/>
      <c r="Q215" s="559"/>
      <c r="R215" s="559" t="s">
        <v>423</v>
      </c>
      <c r="S215" s="559">
        <f>LN(C206)</f>
        <v>5.5009713122506545</v>
      </c>
      <c r="T215" s="559">
        <f>LN(D206)</f>
        <v>5.4736982743271785</v>
      </c>
      <c r="U215" s="559">
        <f>LN(E206)</f>
        <v>5.6021372407977381</v>
      </c>
      <c r="V215" s="559">
        <f>LN(F206)</f>
        <v>5.6339538531067044</v>
      </c>
      <c r="W215" s="559"/>
      <c r="X215" s="559"/>
      <c r="Y215" s="559"/>
      <c r="Z215" s="559"/>
      <c r="AA215" s="559"/>
      <c r="AB215" s="559"/>
      <c r="AC215" s="559"/>
      <c r="AD215" s="559"/>
      <c r="AE215" s="559"/>
    </row>
    <row r="216" spans="2:31">
      <c r="B216" s="177" t="s">
        <v>288</v>
      </c>
      <c r="C216" s="466">
        <f t="shared" si="22"/>
        <v>6.2813026840168318E-2</v>
      </c>
      <c r="D216" s="467">
        <f>D209/C209 - 1</f>
        <v>-9.8784545596735107E-3</v>
      </c>
      <c r="E216" s="467">
        <f>E209/D209 - 1</f>
        <v>0.13725561605005421</v>
      </c>
      <c r="F216" s="468">
        <f>F209/E209 - 1</f>
        <v>4.2374067663988768E-2</v>
      </c>
      <c r="Q216" s="559"/>
      <c r="R216" s="559" t="s">
        <v>423</v>
      </c>
      <c r="S216" s="559">
        <f>LN(C209)</f>
        <v>9.6381516794387174</v>
      </c>
      <c r="T216" s="559">
        <f>LN(D209)</f>
        <v>9.6282241092212537</v>
      </c>
      <c r="U216" s="559">
        <f>LN(E209)</f>
        <v>9.756842114949233</v>
      </c>
      <c r="V216" s="559">
        <f>LN(F209)</f>
        <v>9.7983429839394898</v>
      </c>
      <c r="W216" s="559"/>
      <c r="X216" s="559"/>
      <c r="Y216" s="559"/>
      <c r="Z216" s="559"/>
      <c r="AA216" s="559"/>
      <c r="AB216" s="559"/>
      <c r="AC216" s="559"/>
      <c r="AD216" s="559"/>
      <c r="AE216" s="559"/>
    </row>
    <row r="217" spans="2:31">
      <c r="B217" s="192" t="s">
        <v>289</v>
      </c>
      <c r="C217" s="469">
        <f>IFERROR(EXP(SLOPE(S217:V217,$C$195:$F$195))-1,(IFERROR(EXP(SLOPE(T217:V217,$D$195:$F$195))-1,F217)))</f>
        <v>6.8432149345012405E-3</v>
      </c>
      <c r="D217" s="470">
        <f>D212/C212 - 1</f>
        <v>-4.5192885385322068E-2</v>
      </c>
      <c r="E217" s="470">
        <f>E212/D212 - 1</f>
        <v>9.891234484207212E-2</v>
      </c>
      <c r="F217" s="471">
        <f>F212/E212 - 1</f>
        <v>-5.5200235276838483E-2</v>
      </c>
      <c r="Q217" s="559"/>
      <c r="R217" s="559" t="s">
        <v>423</v>
      </c>
      <c r="S217" s="559">
        <f>LN(C212)</f>
        <v>-2.6620868011589507</v>
      </c>
      <c r="T217" s="559">
        <f>LN(D212)</f>
        <v>-2.7083327342853667</v>
      </c>
      <c r="U217" s="559">
        <f>LN(E212)</f>
        <v>-2.6140118210602048</v>
      </c>
      <c r="V217" s="559">
        <f>LN(F212)</f>
        <v>-2.6707940841821229</v>
      </c>
      <c r="W217" s="559"/>
      <c r="X217" s="559"/>
      <c r="Y217" s="559"/>
      <c r="Z217" s="559"/>
      <c r="AA217" s="559"/>
      <c r="AB217" s="559"/>
      <c r="AC217" s="559"/>
      <c r="AD217" s="559"/>
      <c r="AE217" s="559"/>
    </row>
    <row r="218" spans="2:31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  <c r="AE218" s="559"/>
    </row>
    <row r="219" spans="2:31">
      <c r="Q219" s="559"/>
      <c r="R219" s="559"/>
      <c r="S219" s="559"/>
      <c r="T219" s="559"/>
      <c r="U219" s="559"/>
      <c r="V219" s="560" t="str">
        <f>$B$2</f>
        <v>Aurora Energy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  <c r="AE219" s="559"/>
    </row>
    <row r="220" spans="2:31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22106.690199671255</v>
      </c>
      <c r="X220" s="563">
        <f>D222</f>
        <v>22294</v>
      </c>
      <c r="Y220" s="563"/>
      <c r="Z220" s="563"/>
      <c r="AA220" s="563"/>
      <c r="AB220" s="563"/>
      <c r="AC220" s="563"/>
      <c r="AD220" s="559"/>
      <c r="AE220" s="559"/>
    </row>
    <row r="221" spans="2:31">
      <c r="B221" s="478" t="str">
        <f>$B$2</f>
        <v>Aurora Energy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15292.719139877661</v>
      </c>
      <c r="X221" s="563">
        <f t="shared" si="23"/>
        <v>15241.777370590928</v>
      </c>
      <c r="Y221" s="563">
        <f t="shared" si="23"/>
        <v>19398.625744388453</v>
      </c>
      <c r="Z221" s="563">
        <f t="shared" si="23"/>
        <v>19836.724960254371</v>
      </c>
      <c r="AA221" s="563">
        <f t="shared" si="23"/>
        <v>20305.389237692325</v>
      </c>
      <c r="AB221" s="563"/>
      <c r="AC221" s="563"/>
      <c r="AD221" s="559"/>
      <c r="AE221" s="559"/>
    </row>
    <row r="222" spans="2:31">
      <c r="B222" s="177" t="s">
        <v>280</v>
      </c>
      <c r="C222" s="461">
        <f>VLOOKUP(C226,'FS (2011)'!$A$14:$AJ$245,'FS (2011)'!$AG$245,FALSE)</f>
        <v>22106.690199671255</v>
      </c>
      <c r="D222" s="461">
        <f>VLOOKUP(D226,'FS (2011)'!$A$14:$AJ$245,'FS (2011)'!$AG$245,FALSE)</f>
        <v>22294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24010</v>
      </c>
      <c r="Y222" s="563">
        <f t="shared" si="23"/>
        <v>26040</v>
      </c>
      <c r="Z222" s="563">
        <f t="shared" si="23"/>
        <v>22500</v>
      </c>
      <c r="AA222" s="563">
        <f t="shared" si="23"/>
        <v>26000</v>
      </c>
      <c r="AB222" s="563">
        <f>H224</f>
        <v>24600</v>
      </c>
      <c r="AC222" s="563"/>
      <c r="AD222" s="559"/>
      <c r="AE222" s="559"/>
    </row>
    <row r="223" spans="2:31">
      <c r="B223" s="199" t="s">
        <v>277</v>
      </c>
      <c r="C223" s="461">
        <f>VLOOKUP(C227,'AM (2011)'!$A$10:$N$444,'AM (2011)'!$J$445,FALSE)</f>
        <v>15292.719139877661</v>
      </c>
      <c r="D223" s="461">
        <f>VLOOKUP(D227,'AM (2011)'!$A$10:$N$444,'AM (2011)'!$J$445,FALSE)</f>
        <v>15241.777370590928</v>
      </c>
      <c r="E223" s="461">
        <f>VLOOKUP(E226,'AM (2011)'!$A$10:$N$444,'AM (2011)'!$J$445,FALSE)</f>
        <v>19398.625744388453</v>
      </c>
      <c r="F223" s="461">
        <f>VLOOKUP(F226,'AM (2011)'!$A$10:$N$444,'AM (2011)'!$J$445,FALSE)</f>
        <v>19836.724960254371</v>
      </c>
      <c r="G223" s="461">
        <f>VLOOKUP(G226,'AM (2011)'!$A$10:$N$444,'AM (2011)'!$J$445,FALSE)</f>
        <v>20305.389237692325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23072.165481577245</v>
      </c>
      <c r="Z223" s="563">
        <f>F225</f>
        <v>18379.521654815773</v>
      </c>
      <c r="AA223" s="563">
        <f>G225</f>
        <v>25789.988364576599</v>
      </c>
      <c r="AB223" s="563">
        <f>H225</f>
        <v>26669.859082094375</v>
      </c>
      <c r="AC223" s="563">
        <f>I225</f>
        <v>29808.064641241112</v>
      </c>
      <c r="AD223" s="559"/>
      <c r="AE223" s="559"/>
    </row>
    <row r="224" spans="2:31">
      <c r="B224" s="199" t="s">
        <v>278</v>
      </c>
      <c r="C224" s="461"/>
      <c r="D224" s="461">
        <f>VLOOKUP(D228,'AM (2011)'!$A$10:$N$444,'AM (2011)'!$J$445,FALSE)</f>
        <v>24010</v>
      </c>
      <c r="E224" s="461">
        <f>VLOOKUP(E227,'AM (2011)'!$A$10:$N$444,'AM (2011)'!$J$445,FALSE)</f>
        <v>26040</v>
      </c>
      <c r="F224" s="461">
        <f>VLOOKUP(F227,'AM (2011)'!$A$10:$N$444,'AM (2011)'!$J$445,FALSE)</f>
        <v>22500</v>
      </c>
      <c r="G224" s="461">
        <f>VLOOKUP(G227,'AM (2011)'!$A$10:$N$444,'AM (2011)'!$J$445,FALSE)</f>
        <v>26000</v>
      </c>
      <c r="H224" s="461">
        <f>VLOOKUP(H227,'AM (2011)'!$A$10:$N$444,'AM (2011)'!$J$445,FALSE)</f>
        <v>24600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  <c r="AE224" s="559"/>
    </row>
    <row r="225" spans="2:31">
      <c r="B225" s="477" t="s">
        <v>279</v>
      </c>
      <c r="C225" s="493"/>
      <c r="D225" s="493"/>
      <c r="E225" s="493">
        <f>VLOOKUP(E228,'AM (2011)'!$A$10:$N$444,'AM (2011)'!$J$445,FALSE)</f>
        <v>23072.165481577245</v>
      </c>
      <c r="F225" s="493">
        <f>VLOOKUP(F228,'AM (2011)'!$A$10:$N$444,'AM (2011)'!$J$445,FALSE)</f>
        <v>18379.521654815773</v>
      </c>
      <c r="G225" s="493">
        <f>VLOOKUP(G228,'AM (2011)'!$A$10:$N$444,'AM (2011)'!$J$445,FALSE)</f>
        <v>25789.988364576599</v>
      </c>
      <c r="H225" s="493">
        <f>VLOOKUP(H228,'AM (2011)'!$A$10:$N$444,'AM (2011)'!$J$445,FALSE)</f>
        <v>26669.859082094375</v>
      </c>
      <c r="I225" s="494">
        <f>VLOOKUP(I228,'AM (2011)'!$A$10:$N$444,'AM (2011)'!$J$445,FALSE)</f>
        <v>29808.064641241112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  <c r="AE225" s="559"/>
    </row>
    <row r="226" spans="2:31">
      <c r="C226" s="136">
        <f>VLOOKUP($B$2,$B$257:$Y$286,8,FALSE)</f>
        <v>30</v>
      </c>
      <c r="D226" s="136">
        <f>VLOOKUP($B$2,$B$257:$Y$286,9,FALSE)</f>
        <v>31</v>
      </c>
      <c r="E226" s="136">
        <f>VLOOKUP($B$2,$B$257:$Y$286,12,FALSE)</f>
        <v>34</v>
      </c>
      <c r="F226" s="136">
        <f>VLOOKUP($B$2,$B$257:$Y$286,13,FALSE)</f>
        <v>35</v>
      </c>
      <c r="G226" s="136">
        <f>VLOOKUP($B$2,$B$257:$Y$286,14,FALSE)</f>
        <v>36</v>
      </c>
      <c r="H226" s="136"/>
      <c r="I226" s="136"/>
      <c r="Q226" s="559"/>
      <c r="R226" s="559"/>
      <c r="S226" s="559"/>
      <c r="T226" s="559"/>
      <c r="U226" s="559"/>
      <c r="V226" s="559"/>
      <c r="W226" s="559"/>
      <c r="X226" s="559"/>
      <c r="Y226" s="559"/>
      <c r="Z226" s="559"/>
      <c r="AA226" s="559"/>
      <c r="AB226" s="559"/>
      <c r="AC226" s="559"/>
      <c r="AD226" s="559"/>
      <c r="AE226" s="559"/>
    </row>
    <row r="227" spans="2:31">
      <c r="C227" s="136">
        <f>VLOOKUP($B$2,$B$257:$Y$286,10,FALSE)</f>
        <v>32</v>
      </c>
      <c r="D227" s="136">
        <f>VLOOKUP($B$2,$B$257:$Y$286,11,FALSE)</f>
        <v>33</v>
      </c>
      <c r="E227" s="136">
        <f>VLOOKUP($B$2,$B$257:$Y$286,16,FALSE)</f>
        <v>38</v>
      </c>
      <c r="F227" s="136">
        <f>VLOOKUP($B$2,$B$257:$Y$286,17,FALSE)</f>
        <v>39</v>
      </c>
      <c r="G227" s="136">
        <f>VLOOKUP($B$2,$B$257:$Y$286,18,FALSE)</f>
        <v>40</v>
      </c>
      <c r="H227" s="136">
        <f>VLOOKUP($B$2,$B$257:$Y$286,19,FALSE)</f>
        <v>41</v>
      </c>
      <c r="I227" s="136"/>
      <c r="Q227" s="559"/>
      <c r="R227" s="559"/>
      <c r="S227" s="559"/>
      <c r="T227" s="559"/>
      <c r="U227" s="559"/>
      <c r="V227" s="559"/>
      <c r="W227" s="559"/>
      <c r="X227" s="559"/>
      <c r="Y227" s="559"/>
      <c r="Z227" s="559"/>
      <c r="AA227" s="559"/>
      <c r="AB227" s="559"/>
      <c r="AC227" s="559"/>
      <c r="AD227" s="559"/>
      <c r="AE227" s="559"/>
    </row>
    <row r="228" spans="2:31">
      <c r="B228" s="517" t="s">
        <v>291</v>
      </c>
      <c r="C228" s="518"/>
      <c r="D228" s="518">
        <f>VLOOKUP($B$2,$B$257:$Y$286,15,FALSE)</f>
        <v>37</v>
      </c>
      <c r="E228" s="518">
        <f>VLOOKUP($B$2,$B$257:$Y$286,20,FALSE)</f>
        <v>42</v>
      </c>
      <c r="F228" s="519">
        <f>VLOOKUP($B$2,$B$257:$Y$286,21,FALSE)</f>
        <v>43</v>
      </c>
      <c r="G228" s="136">
        <f>VLOOKUP($B$2,$B$257:$Y$286,22,FALSE)</f>
        <v>44</v>
      </c>
      <c r="H228" s="136">
        <f>VLOOKUP($B$2,$B$257:$Y$286,23,FALSE)</f>
        <v>45</v>
      </c>
      <c r="I228" s="136">
        <f>VLOOKUP($B$2,$B$257:$Y$286,24,FALSE)</f>
        <v>46</v>
      </c>
      <c r="Q228" s="559"/>
      <c r="R228" s="559"/>
      <c r="S228" s="559"/>
      <c r="T228" s="559"/>
      <c r="U228" s="559"/>
      <c r="V228" s="559"/>
      <c r="W228" s="559"/>
      <c r="X228" s="559"/>
      <c r="Y228" s="559"/>
      <c r="Z228" s="559"/>
      <c r="AA228" s="559"/>
      <c r="AB228" s="559"/>
      <c r="AC228" s="559"/>
      <c r="AD228" s="559"/>
      <c r="AE228" s="559"/>
    </row>
    <row r="229" spans="2:31">
      <c r="B229" s="474" t="str">
        <f>$B$2</f>
        <v>Aurora Energy</v>
      </c>
      <c r="C229" s="475">
        <v>2008</v>
      </c>
      <c r="D229" s="475">
        <v>2009</v>
      </c>
      <c r="E229" s="475">
        <v>2010</v>
      </c>
      <c r="F229" s="476">
        <v>2011</v>
      </c>
      <c r="Q229" s="559"/>
      <c r="R229" s="559"/>
      <c r="S229" s="559"/>
      <c r="T229" s="559"/>
      <c r="U229" s="559"/>
      <c r="V229" s="559"/>
      <c r="W229" s="559"/>
      <c r="X229" s="559"/>
      <c r="Y229" s="559"/>
      <c r="Z229" s="559"/>
      <c r="AA229" s="559"/>
      <c r="AB229" s="559"/>
      <c r="AC229" s="559"/>
      <c r="AD229" s="559"/>
      <c r="AE229" s="559"/>
    </row>
    <row r="230" spans="2:31">
      <c r="B230" s="199" t="s">
        <v>280</v>
      </c>
      <c r="C230" s="456">
        <f>VLOOKUP(C$38,'MP (2011)'!$A$11:$AR$245,'MP (2011)'!$S$246,FALSE)+VLOOKUP(C$38,'MP (2011)'!$A$11:$AR$245,'MP (2011)'!$T$246,FALSE)</f>
        <v>129.10999999999999</v>
      </c>
      <c r="D230" s="456">
        <f>VLOOKUP(D$38,'MP (2011)'!$A$11:$AR$245,'MP (2011)'!$S$246,FALSE)+VLOOKUP(D$38,'MP (2011)'!$A$11:$AR$245,'MP (2011)'!$T$246,FALSE)</f>
        <v>67.97</v>
      </c>
      <c r="E230" s="456">
        <f>VLOOKUP(E$38,'MP (2011)'!$A$11:$AR$245,'MP (2011)'!$S$246,FALSE)+VLOOKUP(E$38,'MP (2011)'!$A$11:$AR$245,'MP (2011)'!$T$246,FALSE)</f>
        <v>72.47</v>
      </c>
      <c r="F230" s="457">
        <f>VLOOKUP(F$38,'MP (2011)'!$A$11:$AR$245,'MP (2011)'!$S$246,FALSE)+VLOOKUP(F$38,'MP (2011)'!$A$11:$AR$245,'MP (2011)'!$T$246,FALSE)</f>
        <v>111.54</v>
      </c>
    </row>
    <row r="231" spans="2:31">
      <c r="B231" s="199" t="s">
        <v>292</v>
      </c>
      <c r="C231" s="456">
        <f>IF(ISERROR(VLOOKUP(C$38,'Compliance data'!$A$7:$E$74,'Compliance data'!$D$75,FALSE)),"",(VLOOKUP(C$38,'Compliance data'!$A$7:$E$74,'Compliance data'!$D$75,FALSE)))</f>
        <v>106.2</v>
      </c>
      <c r="D231" s="456">
        <f>IF(ISERROR(VLOOKUP(D$38,'Compliance data'!$A$7:$E$74,'Compliance data'!$D$75,FALSE)),"",(VLOOKUP(D$38,'Compliance data'!$A$7:$E$74,'Compliance data'!$D$75,FALSE)))</f>
        <v>106.2</v>
      </c>
      <c r="E231" s="456">
        <f>IF(ISERROR(VLOOKUP(E$38,'Compliance data'!$A$7:$E$74,'Compliance data'!$D$75,FALSE)),"",(VLOOKUP(E$38,'Compliance data'!$A$7:$E$74,'Compliance data'!$D$75,FALSE)))</f>
        <v>106.2</v>
      </c>
      <c r="F231" s="457">
        <f>IF(ISERROR(VLOOKUP(F$38,'Compliance data'!$A$7:$E$74,'Compliance data'!$D$75,FALSE)),"",(VLOOKUP(F$38,'Compliance data'!$A$7:$E$74,'Compliance data'!$D$75,FALSE)))</f>
        <v>98.29</v>
      </c>
    </row>
    <row r="232" spans="2:31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1">
      <c r="B235" s="517" t="s">
        <v>293</v>
      </c>
      <c r="C235" s="510"/>
      <c r="D235" s="510"/>
      <c r="E235" s="510"/>
      <c r="F235" s="511"/>
      <c r="G235" s="456"/>
    </row>
    <row r="236" spans="2:31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1">
      <c r="B237" s="199" t="s">
        <v>280</v>
      </c>
      <c r="C237" s="456">
        <f>VLOOKUP(C$38,'MP (2011)'!$A$11:$AR$245,'MP (2011)'!$W$246,FALSE)+VLOOKUP(C$38,'MP (2011)'!$A$11:$AR$245,'MP (2011)'!$X$246,FALSE)</f>
        <v>1.4700000000000002</v>
      </c>
      <c r="D237" s="456">
        <f>VLOOKUP(D$38,'MP (2011)'!$A$11:$AR$245,'MP (2011)'!$W$246,FALSE)+VLOOKUP(D$38,'MP (2011)'!$A$11:$AR$245,'MP (2011)'!$X$246,FALSE)</f>
        <v>1.22624037</v>
      </c>
      <c r="E237" s="456">
        <f>VLOOKUP(E$38,'MP (2011)'!$A$11:$AR$245,'MP (2011)'!$W$246,FALSE)+VLOOKUP(E$38,'MP (2011)'!$A$11:$AR$245,'MP (2011)'!$X$246,FALSE)</f>
        <v>1.34</v>
      </c>
      <c r="F237" s="457">
        <f>VLOOKUP(F$38,'MP (2011)'!$A$11:$AR$245,'MP (2011)'!$W$246,FALSE)+VLOOKUP(F$38,'MP (2011)'!$A$11:$AR$245,'MP (2011)'!$X$246,FALSE)</f>
        <v>1.4785322299999999</v>
      </c>
    </row>
    <row r="238" spans="2:31">
      <c r="B238" s="199" t="s">
        <v>292</v>
      </c>
      <c r="C238" s="456">
        <f>IF(ISERROR(VLOOKUP(C$38,'Compliance data'!$A$7:$E$74,'Compliance data'!$E$75,FALSE)),"",(VLOOKUP(C$38,'Compliance data'!$A$7:$E$74,'Compliance data'!$E$75,FALSE)))</f>
        <v>1.62</v>
      </c>
      <c r="D238" s="456">
        <f>IF(ISERROR(VLOOKUP(D$38,'Compliance data'!$A$7:$E$74,'Compliance data'!$E$75,FALSE)),"",(VLOOKUP(D$38,'Compliance data'!$A$7:$E$74,'Compliance data'!$E$75,FALSE)))</f>
        <v>1.62</v>
      </c>
      <c r="E238" s="456">
        <f>IF(ISERROR(VLOOKUP(E$38,'Compliance data'!$A$7:$E$74,'Compliance data'!$E$75,FALSE)),"",(VLOOKUP(E$38,'Compliance data'!$A$7:$E$74,'Compliance data'!$E$75,FALSE)))</f>
        <v>1.62</v>
      </c>
      <c r="F238" s="457">
        <f>IF(ISERROR(VLOOKUP(F$38,'Compliance data'!$A$7:$E$74,'Compliance data'!$E$75,FALSE)),"",(VLOOKUP(F$38,'Compliance data'!$A$7:$E$74,'Compliance data'!$E$75,FALSE)))</f>
        <v>1.67</v>
      </c>
    </row>
    <row r="239" spans="2:31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Y258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si="24"/>
        <v>18</v>
      </c>
      <c r="U258" s="526">
        <f t="shared" si="24"/>
        <v>19</v>
      </c>
      <c r="V258" s="526">
        <f t="shared" si="24"/>
        <v>20</v>
      </c>
      <c r="W258" s="526">
        <f t="shared" si="24"/>
        <v>21</v>
      </c>
      <c r="X258" s="526">
        <f t="shared" si="24"/>
        <v>22</v>
      </c>
      <c r="Y258" s="526">
        <f t="shared" si="24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ref="D259:S274" si="25">C259+1</f>
        <v>25</v>
      </c>
      <c r="E259" s="526">
        <f t="shared" si="25"/>
        <v>26</v>
      </c>
      <c r="F259" s="526">
        <f t="shared" si="25"/>
        <v>27</v>
      </c>
      <c r="G259" s="526">
        <f t="shared" si="25"/>
        <v>28</v>
      </c>
      <c r="H259" s="526">
        <f t="shared" si="25"/>
        <v>29</v>
      </c>
      <c r="I259" s="526">
        <f t="shared" si="25"/>
        <v>30</v>
      </c>
      <c r="J259" s="526">
        <f t="shared" si="25"/>
        <v>31</v>
      </c>
      <c r="K259" s="526">
        <f t="shared" si="25"/>
        <v>32</v>
      </c>
      <c r="L259" s="526">
        <f t="shared" si="25"/>
        <v>33</v>
      </c>
      <c r="M259" s="526">
        <f t="shared" si="25"/>
        <v>34</v>
      </c>
      <c r="N259" s="526">
        <f t="shared" si="25"/>
        <v>35</v>
      </c>
      <c r="O259" s="526">
        <f t="shared" si="25"/>
        <v>36</v>
      </c>
      <c r="P259" s="526">
        <f t="shared" si="25"/>
        <v>37</v>
      </c>
      <c r="Q259" s="526">
        <f t="shared" si="25"/>
        <v>38</v>
      </c>
      <c r="R259" s="526">
        <f t="shared" si="25"/>
        <v>39</v>
      </c>
      <c r="S259" s="526">
        <f t="shared" si="25"/>
        <v>40</v>
      </c>
      <c r="T259" s="526">
        <f t="shared" ref="T259:Y273" si="26">S259+1</f>
        <v>41</v>
      </c>
      <c r="U259" s="526">
        <f t="shared" si="26"/>
        <v>42</v>
      </c>
      <c r="V259" s="526">
        <f t="shared" si="26"/>
        <v>43</v>
      </c>
      <c r="W259" s="526">
        <f t="shared" si="26"/>
        <v>44</v>
      </c>
      <c r="X259" s="526">
        <f t="shared" si="26"/>
        <v>45</v>
      </c>
      <c r="Y259" s="526">
        <f t="shared" si="26"/>
        <v>46</v>
      </c>
    </row>
    <row r="260" spans="2:25" s="526" customFormat="1" ht="15.75">
      <c r="B260" s="530" t="s">
        <v>31</v>
      </c>
      <c r="C260" s="526">
        <f t="shared" ref="C260:C286" si="27">Y259+1</f>
        <v>47</v>
      </c>
      <c r="D260" s="526">
        <f t="shared" si="25"/>
        <v>48</v>
      </c>
      <c r="E260" s="526">
        <f t="shared" si="25"/>
        <v>49</v>
      </c>
      <c r="F260" s="526">
        <f t="shared" si="25"/>
        <v>50</v>
      </c>
      <c r="G260" s="526">
        <f t="shared" si="25"/>
        <v>51</v>
      </c>
      <c r="H260" s="526">
        <f t="shared" si="25"/>
        <v>52</v>
      </c>
      <c r="I260" s="526">
        <f t="shared" si="25"/>
        <v>53</v>
      </c>
      <c r="J260" s="526">
        <f t="shared" si="25"/>
        <v>54</v>
      </c>
      <c r="K260" s="526">
        <f t="shared" si="25"/>
        <v>55</v>
      </c>
      <c r="L260" s="526">
        <f t="shared" si="25"/>
        <v>56</v>
      </c>
      <c r="M260" s="526">
        <f t="shared" si="25"/>
        <v>57</v>
      </c>
      <c r="N260" s="526">
        <f t="shared" si="25"/>
        <v>58</v>
      </c>
      <c r="O260" s="526">
        <f t="shared" si="25"/>
        <v>59</v>
      </c>
      <c r="P260" s="526">
        <f t="shared" si="25"/>
        <v>60</v>
      </c>
      <c r="Q260" s="526">
        <f t="shared" si="25"/>
        <v>61</v>
      </c>
      <c r="R260" s="526">
        <f t="shared" si="25"/>
        <v>62</v>
      </c>
      <c r="S260" s="526">
        <f t="shared" si="25"/>
        <v>63</v>
      </c>
      <c r="T260" s="526">
        <f t="shared" si="26"/>
        <v>64</v>
      </c>
      <c r="U260" s="526">
        <f t="shared" si="26"/>
        <v>65</v>
      </c>
      <c r="V260" s="526">
        <f t="shared" si="26"/>
        <v>66</v>
      </c>
      <c r="W260" s="526">
        <f t="shared" si="26"/>
        <v>67</v>
      </c>
      <c r="X260" s="526">
        <f t="shared" si="26"/>
        <v>68</v>
      </c>
      <c r="Y260" s="526">
        <f t="shared" si="26"/>
        <v>69</v>
      </c>
    </row>
    <row r="261" spans="2:25" s="526" customFormat="1" ht="15.75">
      <c r="B261" s="530" t="s">
        <v>32</v>
      </c>
      <c r="C261" s="526">
        <f t="shared" si="27"/>
        <v>70</v>
      </c>
      <c r="D261" s="526">
        <f t="shared" si="25"/>
        <v>71</v>
      </c>
      <c r="E261" s="526">
        <f t="shared" si="25"/>
        <v>72</v>
      </c>
      <c r="F261" s="526">
        <f t="shared" si="25"/>
        <v>73</v>
      </c>
      <c r="G261" s="526">
        <f t="shared" si="25"/>
        <v>74</v>
      </c>
      <c r="H261" s="526">
        <f t="shared" si="25"/>
        <v>75</v>
      </c>
      <c r="I261" s="526">
        <f t="shared" si="25"/>
        <v>76</v>
      </c>
      <c r="J261" s="526">
        <f t="shared" si="25"/>
        <v>77</v>
      </c>
      <c r="K261" s="526">
        <f t="shared" si="25"/>
        <v>78</v>
      </c>
      <c r="L261" s="526">
        <f t="shared" si="25"/>
        <v>79</v>
      </c>
      <c r="M261" s="526">
        <f t="shared" si="25"/>
        <v>80</v>
      </c>
      <c r="N261" s="526">
        <f t="shared" si="25"/>
        <v>81</v>
      </c>
      <c r="O261" s="526">
        <f t="shared" si="25"/>
        <v>82</v>
      </c>
      <c r="P261" s="526">
        <f t="shared" si="25"/>
        <v>83</v>
      </c>
      <c r="Q261" s="526">
        <f t="shared" si="25"/>
        <v>84</v>
      </c>
      <c r="R261" s="526">
        <f t="shared" si="25"/>
        <v>85</v>
      </c>
      <c r="S261" s="526">
        <f t="shared" si="25"/>
        <v>86</v>
      </c>
      <c r="T261" s="526">
        <f t="shared" si="26"/>
        <v>87</v>
      </c>
      <c r="U261" s="526">
        <f t="shared" si="26"/>
        <v>88</v>
      </c>
      <c r="V261" s="526">
        <f t="shared" si="26"/>
        <v>89</v>
      </c>
      <c r="W261" s="526">
        <f t="shared" si="26"/>
        <v>90</v>
      </c>
      <c r="X261" s="526">
        <f t="shared" si="26"/>
        <v>91</v>
      </c>
      <c r="Y261" s="526">
        <f t="shared" si="26"/>
        <v>92</v>
      </c>
    </row>
    <row r="262" spans="2:25" s="526" customFormat="1" ht="15.75">
      <c r="B262" s="530" t="s">
        <v>33</v>
      </c>
      <c r="C262" s="526">
        <f t="shared" si="27"/>
        <v>93</v>
      </c>
      <c r="D262" s="526">
        <f t="shared" si="25"/>
        <v>94</v>
      </c>
      <c r="E262" s="526">
        <f t="shared" si="25"/>
        <v>95</v>
      </c>
      <c r="F262" s="526">
        <f t="shared" si="25"/>
        <v>96</v>
      </c>
      <c r="G262" s="526">
        <f t="shared" si="25"/>
        <v>97</v>
      </c>
      <c r="H262" s="526">
        <f t="shared" si="25"/>
        <v>98</v>
      </c>
      <c r="I262" s="526">
        <f t="shared" si="25"/>
        <v>99</v>
      </c>
      <c r="J262" s="526">
        <f t="shared" si="25"/>
        <v>100</v>
      </c>
      <c r="K262" s="526">
        <f t="shared" si="25"/>
        <v>101</v>
      </c>
      <c r="L262" s="526">
        <f t="shared" si="25"/>
        <v>102</v>
      </c>
      <c r="M262" s="526">
        <f t="shared" si="25"/>
        <v>103</v>
      </c>
      <c r="N262" s="526">
        <f t="shared" si="25"/>
        <v>104</v>
      </c>
      <c r="O262" s="526">
        <f t="shared" si="25"/>
        <v>105</v>
      </c>
      <c r="P262" s="526">
        <f t="shared" si="25"/>
        <v>106</v>
      </c>
      <c r="Q262" s="526">
        <f t="shared" si="25"/>
        <v>107</v>
      </c>
      <c r="R262" s="526">
        <f t="shared" si="25"/>
        <v>108</v>
      </c>
      <c r="S262" s="526">
        <f t="shared" si="25"/>
        <v>109</v>
      </c>
      <c r="T262" s="526">
        <f t="shared" si="26"/>
        <v>110</v>
      </c>
      <c r="U262" s="526">
        <f t="shared" si="26"/>
        <v>111</v>
      </c>
      <c r="V262" s="526">
        <f t="shared" si="26"/>
        <v>112</v>
      </c>
      <c r="W262" s="526">
        <f t="shared" si="26"/>
        <v>113</v>
      </c>
      <c r="X262" s="526">
        <f t="shared" si="26"/>
        <v>114</v>
      </c>
      <c r="Y262" s="526">
        <f t="shared" si="26"/>
        <v>115</v>
      </c>
    </row>
    <row r="263" spans="2:25" s="526" customFormat="1" ht="15.75">
      <c r="B263" s="530" t="s">
        <v>34</v>
      </c>
      <c r="C263" s="526">
        <f t="shared" si="27"/>
        <v>116</v>
      </c>
      <c r="D263" s="526">
        <f t="shared" si="25"/>
        <v>117</v>
      </c>
      <c r="E263" s="526">
        <f t="shared" si="25"/>
        <v>118</v>
      </c>
      <c r="F263" s="526">
        <f t="shared" si="25"/>
        <v>119</v>
      </c>
      <c r="G263" s="526">
        <f t="shared" si="25"/>
        <v>120</v>
      </c>
      <c r="H263" s="526">
        <f t="shared" si="25"/>
        <v>121</v>
      </c>
      <c r="I263" s="526">
        <f t="shared" si="25"/>
        <v>122</v>
      </c>
      <c r="J263" s="526">
        <f t="shared" si="25"/>
        <v>123</v>
      </c>
      <c r="K263" s="526">
        <f t="shared" si="25"/>
        <v>124</v>
      </c>
      <c r="L263" s="526">
        <f t="shared" si="25"/>
        <v>125</v>
      </c>
      <c r="M263" s="526">
        <f t="shared" si="25"/>
        <v>126</v>
      </c>
      <c r="N263" s="526">
        <f t="shared" si="25"/>
        <v>127</v>
      </c>
      <c r="O263" s="526">
        <f t="shared" si="25"/>
        <v>128</v>
      </c>
      <c r="P263" s="526">
        <f t="shared" si="25"/>
        <v>129</v>
      </c>
      <c r="Q263" s="526">
        <f t="shared" si="25"/>
        <v>130</v>
      </c>
      <c r="R263" s="526">
        <f t="shared" si="25"/>
        <v>131</v>
      </c>
      <c r="S263" s="526">
        <f t="shared" si="25"/>
        <v>132</v>
      </c>
      <c r="T263" s="526">
        <f t="shared" si="26"/>
        <v>133</v>
      </c>
      <c r="U263" s="526">
        <f t="shared" si="26"/>
        <v>134</v>
      </c>
      <c r="V263" s="526">
        <f t="shared" si="26"/>
        <v>135</v>
      </c>
      <c r="W263" s="526">
        <f t="shared" si="26"/>
        <v>136</v>
      </c>
      <c r="X263" s="526">
        <f t="shared" si="26"/>
        <v>137</v>
      </c>
      <c r="Y263" s="526">
        <f t="shared" si="26"/>
        <v>138</v>
      </c>
    </row>
    <row r="264" spans="2:25" s="526" customFormat="1" ht="15.75">
      <c r="B264" s="530" t="s">
        <v>35</v>
      </c>
      <c r="C264" s="526">
        <f t="shared" si="27"/>
        <v>139</v>
      </c>
      <c r="D264" s="526">
        <f t="shared" si="25"/>
        <v>140</v>
      </c>
      <c r="E264" s="526">
        <f t="shared" si="25"/>
        <v>141</v>
      </c>
      <c r="F264" s="526">
        <f t="shared" si="25"/>
        <v>142</v>
      </c>
      <c r="G264" s="526">
        <f t="shared" si="25"/>
        <v>143</v>
      </c>
      <c r="H264" s="526">
        <f t="shared" si="25"/>
        <v>144</v>
      </c>
      <c r="I264" s="526">
        <f t="shared" si="25"/>
        <v>145</v>
      </c>
      <c r="J264" s="526">
        <f t="shared" si="25"/>
        <v>146</v>
      </c>
      <c r="K264" s="526">
        <f t="shared" si="25"/>
        <v>147</v>
      </c>
      <c r="L264" s="526">
        <f t="shared" si="25"/>
        <v>148</v>
      </c>
      <c r="M264" s="526">
        <f t="shared" si="25"/>
        <v>149</v>
      </c>
      <c r="N264" s="526">
        <f t="shared" si="25"/>
        <v>150</v>
      </c>
      <c r="O264" s="526">
        <f t="shared" si="25"/>
        <v>151</v>
      </c>
      <c r="P264" s="526">
        <f t="shared" si="25"/>
        <v>152</v>
      </c>
      <c r="Q264" s="526">
        <f t="shared" si="25"/>
        <v>153</v>
      </c>
      <c r="R264" s="526">
        <f t="shared" si="25"/>
        <v>154</v>
      </c>
      <c r="S264" s="526">
        <f t="shared" si="25"/>
        <v>155</v>
      </c>
      <c r="T264" s="526">
        <f t="shared" si="26"/>
        <v>156</v>
      </c>
      <c r="U264" s="526">
        <f t="shared" si="26"/>
        <v>157</v>
      </c>
      <c r="V264" s="526">
        <f t="shared" si="26"/>
        <v>158</v>
      </c>
      <c r="W264" s="526">
        <f t="shared" si="26"/>
        <v>159</v>
      </c>
      <c r="X264" s="526">
        <f t="shared" si="26"/>
        <v>160</v>
      </c>
      <c r="Y264" s="526">
        <f t="shared" si="26"/>
        <v>161</v>
      </c>
    </row>
    <row r="265" spans="2:25" s="526" customFormat="1" ht="15.75">
      <c r="B265" s="530" t="s">
        <v>115</v>
      </c>
      <c r="C265" s="526">
        <f t="shared" si="27"/>
        <v>162</v>
      </c>
      <c r="D265" s="526">
        <f t="shared" si="25"/>
        <v>163</v>
      </c>
      <c r="E265" s="526">
        <f t="shared" si="25"/>
        <v>164</v>
      </c>
      <c r="F265" s="526">
        <f t="shared" si="25"/>
        <v>165</v>
      </c>
      <c r="G265" s="526">
        <f t="shared" si="25"/>
        <v>166</v>
      </c>
      <c r="H265" s="526">
        <f t="shared" si="25"/>
        <v>167</v>
      </c>
      <c r="I265" s="526">
        <f t="shared" si="25"/>
        <v>168</v>
      </c>
      <c r="J265" s="526">
        <f t="shared" si="25"/>
        <v>169</v>
      </c>
      <c r="K265" s="526">
        <f t="shared" si="25"/>
        <v>170</v>
      </c>
      <c r="L265" s="526">
        <f t="shared" si="25"/>
        <v>171</v>
      </c>
      <c r="M265" s="526">
        <f t="shared" si="25"/>
        <v>172</v>
      </c>
      <c r="N265" s="526">
        <f t="shared" si="25"/>
        <v>173</v>
      </c>
      <c r="O265" s="526">
        <f t="shared" si="25"/>
        <v>174</v>
      </c>
      <c r="P265" s="526">
        <f t="shared" si="25"/>
        <v>175</v>
      </c>
      <c r="Q265" s="526">
        <f t="shared" si="25"/>
        <v>176</v>
      </c>
      <c r="R265" s="526">
        <f t="shared" si="25"/>
        <v>177</v>
      </c>
      <c r="S265" s="526">
        <f t="shared" si="25"/>
        <v>178</v>
      </c>
      <c r="T265" s="526">
        <f t="shared" si="26"/>
        <v>179</v>
      </c>
      <c r="U265" s="526">
        <f t="shared" si="26"/>
        <v>180</v>
      </c>
      <c r="V265" s="526">
        <f t="shared" si="26"/>
        <v>181</v>
      </c>
      <c r="W265" s="526">
        <f t="shared" si="26"/>
        <v>182</v>
      </c>
      <c r="X265" s="526">
        <f t="shared" si="26"/>
        <v>183</v>
      </c>
      <c r="Y265" s="526">
        <f t="shared" si="26"/>
        <v>184</v>
      </c>
    </row>
    <row r="266" spans="2:25" s="526" customFormat="1" ht="15.75">
      <c r="B266" s="530" t="s">
        <v>116</v>
      </c>
      <c r="C266" s="526">
        <f t="shared" si="27"/>
        <v>185</v>
      </c>
      <c r="D266" s="526">
        <f t="shared" si="25"/>
        <v>186</v>
      </c>
      <c r="E266" s="526">
        <f t="shared" si="25"/>
        <v>187</v>
      </c>
      <c r="F266" s="526">
        <f t="shared" si="25"/>
        <v>188</v>
      </c>
      <c r="G266" s="526">
        <f t="shared" si="25"/>
        <v>189</v>
      </c>
      <c r="H266" s="526">
        <f t="shared" si="25"/>
        <v>190</v>
      </c>
      <c r="I266" s="526">
        <f t="shared" si="25"/>
        <v>191</v>
      </c>
      <c r="J266" s="526">
        <f t="shared" si="25"/>
        <v>192</v>
      </c>
      <c r="K266" s="526">
        <f t="shared" si="25"/>
        <v>193</v>
      </c>
      <c r="L266" s="526">
        <f t="shared" si="25"/>
        <v>194</v>
      </c>
      <c r="M266" s="526">
        <f t="shared" si="25"/>
        <v>195</v>
      </c>
      <c r="N266" s="526">
        <f t="shared" si="25"/>
        <v>196</v>
      </c>
      <c r="O266" s="526">
        <f t="shared" si="25"/>
        <v>197</v>
      </c>
      <c r="P266" s="526">
        <f t="shared" si="25"/>
        <v>198</v>
      </c>
      <c r="Q266" s="526">
        <f t="shared" si="25"/>
        <v>199</v>
      </c>
      <c r="R266" s="526">
        <f t="shared" si="25"/>
        <v>200</v>
      </c>
      <c r="S266" s="526">
        <f t="shared" si="25"/>
        <v>201</v>
      </c>
      <c r="T266" s="526">
        <f t="shared" si="26"/>
        <v>202</v>
      </c>
      <c r="U266" s="526">
        <f t="shared" si="26"/>
        <v>203</v>
      </c>
      <c r="V266" s="526">
        <f t="shared" si="26"/>
        <v>204</v>
      </c>
      <c r="W266" s="526">
        <f t="shared" si="26"/>
        <v>205</v>
      </c>
      <c r="X266" s="526">
        <f t="shared" si="26"/>
        <v>206</v>
      </c>
      <c r="Y266" s="526">
        <f t="shared" si="26"/>
        <v>207</v>
      </c>
    </row>
    <row r="267" spans="2:25" s="526" customFormat="1" ht="15.75">
      <c r="B267" s="530" t="s">
        <v>38</v>
      </c>
      <c r="C267" s="526">
        <f t="shared" si="27"/>
        <v>208</v>
      </c>
      <c r="D267" s="526">
        <f t="shared" si="25"/>
        <v>209</v>
      </c>
      <c r="E267" s="526">
        <f t="shared" si="25"/>
        <v>210</v>
      </c>
      <c r="F267" s="526">
        <f t="shared" si="25"/>
        <v>211</v>
      </c>
      <c r="G267" s="526">
        <f t="shared" si="25"/>
        <v>212</v>
      </c>
      <c r="H267" s="526">
        <f t="shared" si="25"/>
        <v>213</v>
      </c>
      <c r="I267" s="526">
        <f t="shared" si="25"/>
        <v>214</v>
      </c>
      <c r="J267" s="526">
        <f t="shared" si="25"/>
        <v>215</v>
      </c>
      <c r="K267" s="526">
        <f t="shared" si="25"/>
        <v>216</v>
      </c>
      <c r="L267" s="526">
        <f t="shared" si="25"/>
        <v>217</v>
      </c>
      <c r="M267" s="526">
        <f t="shared" si="25"/>
        <v>218</v>
      </c>
      <c r="N267" s="526">
        <f t="shared" si="25"/>
        <v>219</v>
      </c>
      <c r="O267" s="526">
        <f t="shared" si="25"/>
        <v>220</v>
      </c>
      <c r="P267" s="526">
        <f t="shared" si="25"/>
        <v>221</v>
      </c>
      <c r="Q267" s="526">
        <f t="shared" si="25"/>
        <v>222</v>
      </c>
      <c r="R267" s="526">
        <f t="shared" si="25"/>
        <v>223</v>
      </c>
      <c r="S267" s="526">
        <f t="shared" si="25"/>
        <v>224</v>
      </c>
      <c r="T267" s="526">
        <f t="shared" si="26"/>
        <v>225</v>
      </c>
      <c r="U267" s="526">
        <f t="shared" si="26"/>
        <v>226</v>
      </c>
      <c r="V267" s="526">
        <f t="shared" si="26"/>
        <v>227</v>
      </c>
      <c r="W267" s="526">
        <f t="shared" si="26"/>
        <v>228</v>
      </c>
      <c r="X267" s="526">
        <f t="shared" si="26"/>
        <v>229</v>
      </c>
      <c r="Y267" s="526">
        <f t="shared" si="26"/>
        <v>230</v>
      </c>
    </row>
    <row r="268" spans="2:25" s="526" customFormat="1" ht="15.75">
      <c r="B268" s="530" t="s">
        <v>39</v>
      </c>
      <c r="C268" s="526">
        <f t="shared" si="27"/>
        <v>231</v>
      </c>
      <c r="D268" s="526">
        <f t="shared" si="25"/>
        <v>232</v>
      </c>
      <c r="E268" s="526">
        <f t="shared" si="25"/>
        <v>233</v>
      </c>
      <c r="F268" s="526">
        <f t="shared" si="25"/>
        <v>234</v>
      </c>
      <c r="G268" s="526">
        <f t="shared" si="25"/>
        <v>235</v>
      </c>
      <c r="H268" s="526">
        <f t="shared" si="25"/>
        <v>236</v>
      </c>
      <c r="I268" s="526">
        <f t="shared" si="25"/>
        <v>237</v>
      </c>
      <c r="J268" s="526">
        <f t="shared" si="25"/>
        <v>238</v>
      </c>
      <c r="K268" s="526">
        <f t="shared" si="25"/>
        <v>239</v>
      </c>
      <c r="L268" s="526">
        <f t="shared" si="25"/>
        <v>240</v>
      </c>
      <c r="M268" s="526">
        <f t="shared" si="25"/>
        <v>241</v>
      </c>
      <c r="N268" s="526">
        <f t="shared" si="25"/>
        <v>242</v>
      </c>
      <c r="O268" s="526">
        <f t="shared" si="25"/>
        <v>243</v>
      </c>
      <c r="P268" s="526">
        <f t="shared" si="25"/>
        <v>244</v>
      </c>
      <c r="Q268" s="526">
        <f t="shared" si="25"/>
        <v>245</v>
      </c>
      <c r="R268" s="526">
        <f t="shared" si="25"/>
        <v>246</v>
      </c>
      <c r="S268" s="526">
        <f t="shared" si="25"/>
        <v>247</v>
      </c>
      <c r="T268" s="526">
        <f t="shared" si="26"/>
        <v>248</v>
      </c>
      <c r="U268" s="526">
        <f t="shared" si="26"/>
        <v>249</v>
      </c>
      <c r="V268" s="526">
        <f t="shared" si="26"/>
        <v>250</v>
      </c>
      <c r="W268" s="526">
        <f t="shared" si="26"/>
        <v>251</v>
      </c>
      <c r="X268" s="526">
        <f t="shared" si="26"/>
        <v>252</v>
      </c>
      <c r="Y268" s="526">
        <f t="shared" si="26"/>
        <v>253</v>
      </c>
    </row>
    <row r="269" spans="2:25" s="526" customFormat="1" ht="15.75">
      <c r="B269" s="530" t="s">
        <v>40</v>
      </c>
      <c r="C269" s="526">
        <f t="shared" si="27"/>
        <v>254</v>
      </c>
      <c r="D269" s="526">
        <f t="shared" si="25"/>
        <v>255</v>
      </c>
      <c r="E269" s="526">
        <f t="shared" si="25"/>
        <v>256</v>
      </c>
      <c r="F269" s="526">
        <f t="shared" si="25"/>
        <v>257</v>
      </c>
      <c r="G269" s="526">
        <f t="shared" si="25"/>
        <v>258</v>
      </c>
      <c r="H269" s="526">
        <f t="shared" si="25"/>
        <v>259</v>
      </c>
      <c r="I269" s="526">
        <f t="shared" si="25"/>
        <v>260</v>
      </c>
      <c r="J269" s="526">
        <f t="shared" si="25"/>
        <v>261</v>
      </c>
      <c r="K269" s="526">
        <f t="shared" si="25"/>
        <v>262</v>
      </c>
      <c r="L269" s="526">
        <f t="shared" si="25"/>
        <v>263</v>
      </c>
      <c r="M269" s="526">
        <f t="shared" si="25"/>
        <v>264</v>
      </c>
      <c r="N269" s="526">
        <f t="shared" si="25"/>
        <v>265</v>
      </c>
      <c r="O269" s="526">
        <f t="shared" si="25"/>
        <v>266</v>
      </c>
      <c r="P269" s="526">
        <f t="shared" si="25"/>
        <v>267</v>
      </c>
      <c r="Q269" s="526">
        <f t="shared" si="25"/>
        <v>268</v>
      </c>
      <c r="R269" s="526">
        <f t="shared" si="25"/>
        <v>269</v>
      </c>
      <c r="S269" s="526">
        <f t="shared" si="25"/>
        <v>270</v>
      </c>
      <c r="T269" s="526">
        <f t="shared" si="26"/>
        <v>271</v>
      </c>
      <c r="U269" s="526">
        <f t="shared" si="26"/>
        <v>272</v>
      </c>
      <c r="V269" s="526">
        <f t="shared" si="26"/>
        <v>273</v>
      </c>
      <c r="W269" s="526">
        <f t="shared" si="26"/>
        <v>274</v>
      </c>
      <c r="X269" s="526">
        <f t="shared" si="26"/>
        <v>275</v>
      </c>
      <c r="Y269" s="526">
        <f t="shared" si="26"/>
        <v>276</v>
      </c>
    </row>
    <row r="270" spans="2:25" s="526" customFormat="1" ht="15.75">
      <c r="B270" s="530" t="s">
        <v>41</v>
      </c>
      <c r="C270" s="526">
        <f t="shared" si="27"/>
        <v>277</v>
      </c>
      <c r="D270" s="526">
        <f t="shared" si="25"/>
        <v>278</v>
      </c>
      <c r="E270" s="526">
        <f t="shared" si="25"/>
        <v>279</v>
      </c>
      <c r="F270" s="526">
        <f t="shared" si="25"/>
        <v>280</v>
      </c>
      <c r="G270" s="526">
        <f t="shared" si="25"/>
        <v>281</v>
      </c>
      <c r="H270" s="526">
        <f t="shared" si="25"/>
        <v>282</v>
      </c>
      <c r="I270" s="526">
        <f t="shared" si="25"/>
        <v>283</v>
      </c>
      <c r="J270" s="526">
        <f t="shared" si="25"/>
        <v>284</v>
      </c>
      <c r="K270" s="526">
        <f t="shared" si="25"/>
        <v>285</v>
      </c>
      <c r="L270" s="526">
        <f t="shared" si="25"/>
        <v>286</v>
      </c>
      <c r="M270" s="526">
        <f t="shared" si="25"/>
        <v>287</v>
      </c>
      <c r="N270" s="526">
        <f t="shared" si="25"/>
        <v>288</v>
      </c>
      <c r="O270" s="526">
        <f t="shared" si="25"/>
        <v>289</v>
      </c>
      <c r="P270" s="526">
        <f t="shared" si="25"/>
        <v>290</v>
      </c>
      <c r="Q270" s="526">
        <f t="shared" si="25"/>
        <v>291</v>
      </c>
      <c r="R270" s="526">
        <f t="shared" si="25"/>
        <v>292</v>
      </c>
      <c r="S270" s="526">
        <f t="shared" si="25"/>
        <v>293</v>
      </c>
      <c r="T270" s="526">
        <f t="shared" si="26"/>
        <v>294</v>
      </c>
      <c r="U270" s="526">
        <f t="shared" si="26"/>
        <v>295</v>
      </c>
      <c r="V270" s="526">
        <f t="shared" si="26"/>
        <v>296</v>
      </c>
      <c r="W270" s="526">
        <f t="shared" si="26"/>
        <v>297</v>
      </c>
      <c r="X270" s="526">
        <f t="shared" si="26"/>
        <v>298</v>
      </c>
      <c r="Y270" s="526">
        <f t="shared" si="26"/>
        <v>299</v>
      </c>
    </row>
    <row r="271" spans="2:25" s="526" customFormat="1" ht="15.75">
      <c r="B271" s="530" t="s">
        <v>42</v>
      </c>
      <c r="C271" s="526">
        <f t="shared" si="27"/>
        <v>300</v>
      </c>
      <c r="D271" s="526">
        <f t="shared" si="25"/>
        <v>301</v>
      </c>
      <c r="E271" s="526">
        <f t="shared" si="25"/>
        <v>302</v>
      </c>
      <c r="F271" s="526">
        <f t="shared" si="25"/>
        <v>303</v>
      </c>
      <c r="G271" s="526">
        <f t="shared" si="25"/>
        <v>304</v>
      </c>
      <c r="H271" s="526">
        <f t="shared" si="25"/>
        <v>305</v>
      </c>
      <c r="I271" s="526">
        <f t="shared" si="25"/>
        <v>306</v>
      </c>
      <c r="J271" s="526">
        <f t="shared" si="25"/>
        <v>307</v>
      </c>
      <c r="K271" s="526">
        <f t="shared" si="25"/>
        <v>308</v>
      </c>
      <c r="L271" s="526">
        <f t="shared" si="25"/>
        <v>309</v>
      </c>
      <c r="M271" s="526">
        <f t="shared" si="25"/>
        <v>310</v>
      </c>
      <c r="N271" s="526">
        <f t="shared" si="25"/>
        <v>311</v>
      </c>
      <c r="O271" s="526">
        <f t="shared" si="25"/>
        <v>312</v>
      </c>
      <c r="P271" s="526">
        <f t="shared" si="25"/>
        <v>313</v>
      </c>
      <c r="Q271" s="526">
        <f t="shared" si="25"/>
        <v>314</v>
      </c>
      <c r="R271" s="526">
        <f t="shared" si="25"/>
        <v>315</v>
      </c>
      <c r="S271" s="526">
        <f t="shared" si="25"/>
        <v>316</v>
      </c>
      <c r="T271" s="526">
        <f t="shared" si="26"/>
        <v>317</v>
      </c>
      <c r="U271" s="526">
        <f t="shared" si="26"/>
        <v>318</v>
      </c>
      <c r="V271" s="526">
        <f t="shared" si="26"/>
        <v>319</v>
      </c>
      <c r="W271" s="526">
        <f t="shared" si="26"/>
        <v>320</v>
      </c>
      <c r="X271" s="526">
        <f t="shared" si="26"/>
        <v>321</v>
      </c>
      <c r="Y271" s="526">
        <f t="shared" si="26"/>
        <v>322</v>
      </c>
    </row>
    <row r="272" spans="2:25" s="526" customFormat="1" ht="15.75">
      <c r="B272" s="530" t="s">
        <v>43</v>
      </c>
      <c r="C272" s="526">
        <f t="shared" si="27"/>
        <v>323</v>
      </c>
      <c r="D272" s="526">
        <f t="shared" si="25"/>
        <v>324</v>
      </c>
      <c r="E272" s="526">
        <f t="shared" si="25"/>
        <v>325</v>
      </c>
      <c r="F272" s="526">
        <f t="shared" si="25"/>
        <v>326</v>
      </c>
      <c r="G272" s="526">
        <f t="shared" si="25"/>
        <v>327</v>
      </c>
      <c r="H272" s="526">
        <f t="shared" si="25"/>
        <v>328</v>
      </c>
      <c r="I272" s="526">
        <f t="shared" si="25"/>
        <v>329</v>
      </c>
      <c r="J272" s="526">
        <f t="shared" si="25"/>
        <v>330</v>
      </c>
      <c r="K272" s="526">
        <f t="shared" si="25"/>
        <v>331</v>
      </c>
      <c r="L272" s="526">
        <f t="shared" si="25"/>
        <v>332</v>
      </c>
      <c r="M272" s="526">
        <f t="shared" si="25"/>
        <v>333</v>
      </c>
      <c r="N272" s="526">
        <f t="shared" si="25"/>
        <v>334</v>
      </c>
      <c r="O272" s="526">
        <f t="shared" si="25"/>
        <v>335</v>
      </c>
      <c r="P272" s="526">
        <f t="shared" si="25"/>
        <v>336</v>
      </c>
      <c r="Q272" s="526">
        <f t="shared" si="25"/>
        <v>337</v>
      </c>
      <c r="R272" s="526">
        <f t="shared" si="25"/>
        <v>338</v>
      </c>
      <c r="S272" s="526">
        <f t="shared" si="25"/>
        <v>339</v>
      </c>
      <c r="T272" s="526">
        <f t="shared" si="26"/>
        <v>340</v>
      </c>
      <c r="U272" s="526">
        <f t="shared" si="26"/>
        <v>341</v>
      </c>
      <c r="V272" s="526">
        <f t="shared" si="26"/>
        <v>342</v>
      </c>
      <c r="W272" s="526">
        <f t="shared" si="26"/>
        <v>343</v>
      </c>
      <c r="X272" s="526">
        <f t="shared" si="26"/>
        <v>344</v>
      </c>
      <c r="Y272" s="526">
        <f t="shared" si="26"/>
        <v>345</v>
      </c>
    </row>
    <row r="273" spans="2:25" s="526" customFormat="1" ht="15.75">
      <c r="B273" s="530" t="s">
        <v>44</v>
      </c>
      <c r="C273" s="526">
        <f t="shared" si="27"/>
        <v>346</v>
      </c>
      <c r="D273" s="526">
        <f t="shared" si="25"/>
        <v>347</v>
      </c>
      <c r="E273" s="526">
        <f t="shared" si="25"/>
        <v>348</v>
      </c>
      <c r="F273" s="526">
        <f t="shared" si="25"/>
        <v>349</v>
      </c>
      <c r="G273" s="526">
        <f t="shared" si="25"/>
        <v>350</v>
      </c>
      <c r="H273" s="526">
        <f t="shared" si="25"/>
        <v>351</v>
      </c>
      <c r="I273" s="526">
        <f t="shared" si="25"/>
        <v>352</v>
      </c>
      <c r="J273" s="526">
        <f t="shared" si="25"/>
        <v>353</v>
      </c>
      <c r="K273" s="526">
        <f t="shared" si="25"/>
        <v>354</v>
      </c>
      <c r="L273" s="526">
        <f t="shared" si="25"/>
        <v>355</v>
      </c>
      <c r="M273" s="526">
        <f t="shared" si="25"/>
        <v>356</v>
      </c>
      <c r="N273" s="526">
        <f t="shared" si="25"/>
        <v>357</v>
      </c>
      <c r="O273" s="526">
        <f t="shared" si="25"/>
        <v>358</v>
      </c>
      <c r="P273" s="526">
        <f t="shared" si="25"/>
        <v>359</v>
      </c>
      <c r="Q273" s="526">
        <f t="shared" si="25"/>
        <v>360</v>
      </c>
      <c r="R273" s="526">
        <f t="shared" si="25"/>
        <v>361</v>
      </c>
      <c r="S273" s="526">
        <f t="shared" si="25"/>
        <v>362</v>
      </c>
      <c r="T273" s="526">
        <f t="shared" si="26"/>
        <v>363</v>
      </c>
      <c r="U273" s="526">
        <f t="shared" si="26"/>
        <v>364</v>
      </c>
      <c r="V273" s="526">
        <f t="shared" si="26"/>
        <v>365</v>
      </c>
      <c r="W273" s="526">
        <f t="shared" si="26"/>
        <v>366</v>
      </c>
      <c r="X273" s="526">
        <f t="shared" si="26"/>
        <v>367</v>
      </c>
      <c r="Y273" s="526">
        <f t="shared" si="26"/>
        <v>368</v>
      </c>
    </row>
    <row r="274" spans="2:25" s="526" customFormat="1" ht="15.75">
      <c r="B274" s="530" t="s">
        <v>45</v>
      </c>
      <c r="C274" s="526">
        <f t="shared" si="27"/>
        <v>369</v>
      </c>
      <c r="D274" s="526">
        <f t="shared" si="25"/>
        <v>370</v>
      </c>
      <c r="E274" s="526">
        <f t="shared" si="25"/>
        <v>371</v>
      </c>
      <c r="F274" s="526">
        <f t="shared" si="25"/>
        <v>372</v>
      </c>
      <c r="G274" s="526">
        <f t="shared" si="25"/>
        <v>373</v>
      </c>
      <c r="H274" s="526">
        <f t="shared" si="25"/>
        <v>374</v>
      </c>
      <c r="I274" s="526">
        <f t="shared" si="25"/>
        <v>375</v>
      </c>
      <c r="J274" s="526">
        <f t="shared" si="25"/>
        <v>376</v>
      </c>
      <c r="K274" s="526">
        <f t="shared" si="25"/>
        <v>377</v>
      </c>
      <c r="L274" s="526">
        <f t="shared" si="25"/>
        <v>378</v>
      </c>
      <c r="M274" s="526">
        <f t="shared" si="25"/>
        <v>379</v>
      </c>
      <c r="N274" s="526">
        <f t="shared" si="25"/>
        <v>380</v>
      </c>
      <c r="O274" s="526">
        <f t="shared" si="25"/>
        <v>381</v>
      </c>
      <c r="P274" s="526">
        <f t="shared" si="25"/>
        <v>382</v>
      </c>
      <c r="Q274" s="526">
        <f t="shared" si="25"/>
        <v>383</v>
      </c>
      <c r="R274" s="526">
        <f t="shared" si="25"/>
        <v>384</v>
      </c>
      <c r="S274" s="526">
        <f t="shared" ref="S274:Y286" si="28">R274+1</f>
        <v>385</v>
      </c>
      <c r="T274" s="526">
        <f t="shared" si="28"/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7"/>
        <v>392</v>
      </c>
      <c r="D275" s="526">
        <f t="shared" ref="D275:S286" si="29">C275+1</f>
        <v>393</v>
      </c>
      <c r="E275" s="526">
        <f t="shared" si="29"/>
        <v>394</v>
      </c>
      <c r="F275" s="526">
        <f t="shared" si="29"/>
        <v>395</v>
      </c>
      <c r="G275" s="526">
        <f t="shared" si="29"/>
        <v>396</v>
      </c>
      <c r="H275" s="526">
        <f t="shared" si="29"/>
        <v>397</v>
      </c>
      <c r="I275" s="526">
        <f t="shared" si="29"/>
        <v>398</v>
      </c>
      <c r="J275" s="526">
        <f t="shared" si="29"/>
        <v>399</v>
      </c>
      <c r="K275" s="526">
        <f t="shared" si="29"/>
        <v>400</v>
      </c>
      <c r="L275" s="526">
        <f t="shared" si="29"/>
        <v>401</v>
      </c>
      <c r="M275" s="526">
        <f t="shared" si="29"/>
        <v>402</v>
      </c>
      <c r="N275" s="526">
        <f t="shared" si="29"/>
        <v>403</v>
      </c>
      <c r="O275" s="526">
        <f t="shared" si="29"/>
        <v>404</v>
      </c>
      <c r="P275" s="526">
        <f t="shared" si="29"/>
        <v>405</v>
      </c>
      <c r="Q275" s="526">
        <f t="shared" si="29"/>
        <v>406</v>
      </c>
      <c r="R275" s="526">
        <f t="shared" si="29"/>
        <v>407</v>
      </c>
      <c r="S275" s="526">
        <f t="shared" si="29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7"/>
        <v>415</v>
      </c>
      <c r="D276" s="526">
        <f t="shared" si="29"/>
        <v>416</v>
      </c>
      <c r="E276" s="526">
        <f t="shared" si="29"/>
        <v>417</v>
      </c>
      <c r="F276" s="526">
        <f t="shared" si="29"/>
        <v>418</v>
      </c>
      <c r="G276" s="526">
        <f t="shared" si="29"/>
        <v>419</v>
      </c>
      <c r="H276" s="526">
        <f t="shared" si="29"/>
        <v>420</v>
      </c>
      <c r="I276" s="526">
        <f t="shared" si="29"/>
        <v>421</v>
      </c>
      <c r="J276" s="526">
        <f t="shared" si="29"/>
        <v>422</v>
      </c>
      <c r="K276" s="526">
        <f t="shared" si="29"/>
        <v>423</v>
      </c>
      <c r="L276" s="526">
        <f t="shared" si="29"/>
        <v>424</v>
      </c>
      <c r="M276" s="526">
        <f t="shared" si="29"/>
        <v>425</v>
      </c>
      <c r="N276" s="526">
        <f t="shared" si="29"/>
        <v>426</v>
      </c>
      <c r="O276" s="526">
        <f t="shared" si="29"/>
        <v>427</v>
      </c>
      <c r="P276" s="526">
        <f t="shared" si="29"/>
        <v>428</v>
      </c>
      <c r="Q276" s="526">
        <f t="shared" si="29"/>
        <v>429</v>
      </c>
      <c r="R276" s="526">
        <f t="shared" si="29"/>
        <v>430</v>
      </c>
      <c r="S276" s="526">
        <f t="shared" si="29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7"/>
        <v>438</v>
      </c>
      <c r="D277" s="526">
        <f t="shared" si="29"/>
        <v>439</v>
      </c>
      <c r="E277" s="526">
        <f t="shared" si="29"/>
        <v>440</v>
      </c>
      <c r="F277" s="526">
        <f t="shared" si="29"/>
        <v>441</v>
      </c>
      <c r="G277" s="526">
        <f t="shared" si="29"/>
        <v>442</v>
      </c>
      <c r="H277" s="526">
        <f t="shared" si="29"/>
        <v>443</v>
      </c>
      <c r="I277" s="526">
        <f t="shared" si="29"/>
        <v>444</v>
      </c>
      <c r="J277" s="526">
        <f t="shared" si="29"/>
        <v>445</v>
      </c>
      <c r="K277" s="526">
        <f t="shared" si="29"/>
        <v>446</v>
      </c>
      <c r="L277" s="526">
        <f t="shared" si="29"/>
        <v>447</v>
      </c>
      <c r="M277" s="526">
        <f t="shared" si="29"/>
        <v>448</v>
      </c>
      <c r="N277" s="526">
        <f t="shared" si="29"/>
        <v>449</v>
      </c>
      <c r="O277" s="526">
        <f t="shared" si="29"/>
        <v>450</v>
      </c>
      <c r="P277" s="526">
        <f t="shared" si="29"/>
        <v>451</v>
      </c>
      <c r="Q277" s="526">
        <f t="shared" si="29"/>
        <v>452</v>
      </c>
      <c r="R277" s="526">
        <f t="shared" si="29"/>
        <v>453</v>
      </c>
      <c r="S277" s="526">
        <f t="shared" si="29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7"/>
        <v>461</v>
      </c>
      <c r="D278" s="526">
        <f t="shared" si="29"/>
        <v>462</v>
      </c>
      <c r="E278" s="526">
        <f t="shared" si="29"/>
        <v>463</v>
      </c>
      <c r="F278" s="526">
        <f t="shared" si="29"/>
        <v>464</v>
      </c>
      <c r="G278" s="526">
        <f t="shared" si="29"/>
        <v>465</v>
      </c>
      <c r="H278" s="526">
        <f t="shared" si="29"/>
        <v>466</v>
      </c>
      <c r="I278" s="526">
        <f t="shared" si="29"/>
        <v>467</v>
      </c>
      <c r="J278" s="526">
        <f t="shared" si="29"/>
        <v>468</v>
      </c>
      <c r="K278" s="526">
        <f t="shared" si="29"/>
        <v>469</v>
      </c>
      <c r="L278" s="526">
        <f t="shared" si="29"/>
        <v>470</v>
      </c>
      <c r="M278" s="526">
        <f t="shared" si="29"/>
        <v>471</v>
      </c>
      <c r="N278" s="526">
        <f t="shared" si="29"/>
        <v>472</v>
      </c>
      <c r="O278" s="526">
        <f t="shared" si="29"/>
        <v>473</v>
      </c>
      <c r="P278" s="526">
        <f t="shared" si="29"/>
        <v>474</v>
      </c>
      <c r="Q278" s="526">
        <f t="shared" si="29"/>
        <v>475</v>
      </c>
      <c r="R278" s="526">
        <f t="shared" si="29"/>
        <v>476</v>
      </c>
      <c r="S278" s="526">
        <f t="shared" si="29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7"/>
        <v>484</v>
      </c>
      <c r="D279" s="526">
        <f t="shared" si="29"/>
        <v>485</v>
      </c>
      <c r="E279" s="526">
        <f t="shared" si="29"/>
        <v>486</v>
      </c>
      <c r="F279" s="526">
        <f t="shared" si="29"/>
        <v>487</v>
      </c>
      <c r="G279" s="526">
        <f t="shared" si="29"/>
        <v>488</v>
      </c>
      <c r="H279" s="526">
        <f t="shared" si="29"/>
        <v>489</v>
      </c>
      <c r="I279" s="526">
        <f t="shared" si="29"/>
        <v>490</v>
      </c>
      <c r="J279" s="526">
        <f t="shared" si="29"/>
        <v>491</v>
      </c>
      <c r="K279" s="526">
        <f t="shared" si="29"/>
        <v>492</v>
      </c>
      <c r="L279" s="526">
        <f t="shared" si="29"/>
        <v>493</v>
      </c>
      <c r="M279" s="526">
        <f t="shared" si="29"/>
        <v>494</v>
      </c>
      <c r="N279" s="526">
        <f t="shared" si="29"/>
        <v>495</v>
      </c>
      <c r="O279" s="526">
        <f t="shared" si="29"/>
        <v>496</v>
      </c>
      <c r="P279" s="526">
        <f t="shared" si="29"/>
        <v>497</v>
      </c>
      <c r="Q279" s="526">
        <f t="shared" si="29"/>
        <v>498</v>
      </c>
      <c r="R279" s="526">
        <f t="shared" si="29"/>
        <v>499</v>
      </c>
      <c r="S279" s="526">
        <f t="shared" si="29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7"/>
        <v>507</v>
      </c>
      <c r="D280" s="526">
        <f t="shared" si="29"/>
        <v>508</v>
      </c>
      <c r="E280" s="526">
        <f t="shared" si="29"/>
        <v>509</v>
      </c>
      <c r="F280" s="526">
        <f t="shared" si="29"/>
        <v>510</v>
      </c>
      <c r="G280" s="526">
        <f t="shared" si="29"/>
        <v>511</v>
      </c>
      <c r="H280" s="526">
        <f t="shared" si="29"/>
        <v>512</v>
      </c>
      <c r="I280" s="526">
        <f t="shared" si="29"/>
        <v>513</v>
      </c>
      <c r="J280" s="526">
        <f t="shared" si="29"/>
        <v>514</v>
      </c>
      <c r="K280" s="526">
        <f t="shared" si="29"/>
        <v>515</v>
      </c>
      <c r="L280" s="526">
        <f t="shared" si="29"/>
        <v>516</v>
      </c>
      <c r="M280" s="526">
        <f t="shared" si="29"/>
        <v>517</v>
      </c>
      <c r="N280" s="526">
        <f t="shared" si="29"/>
        <v>518</v>
      </c>
      <c r="O280" s="526">
        <f t="shared" si="29"/>
        <v>519</v>
      </c>
      <c r="P280" s="526">
        <f t="shared" si="29"/>
        <v>520</v>
      </c>
      <c r="Q280" s="526">
        <f t="shared" si="29"/>
        <v>521</v>
      </c>
      <c r="R280" s="526">
        <f t="shared" si="29"/>
        <v>522</v>
      </c>
      <c r="S280" s="526">
        <f t="shared" si="29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7"/>
        <v>530</v>
      </c>
      <c r="D281" s="526">
        <f t="shared" si="29"/>
        <v>531</v>
      </c>
      <c r="E281" s="526">
        <f t="shared" si="29"/>
        <v>532</v>
      </c>
      <c r="F281" s="526">
        <f t="shared" si="29"/>
        <v>533</v>
      </c>
      <c r="G281" s="526">
        <f t="shared" si="29"/>
        <v>534</v>
      </c>
      <c r="H281" s="526">
        <f t="shared" si="29"/>
        <v>535</v>
      </c>
      <c r="I281" s="526">
        <f t="shared" si="29"/>
        <v>536</v>
      </c>
      <c r="J281" s="526">
        <f t="shared" si="29"/>
        <v>537</v>
      </c>
      <c r="K281" s="526">
        <f t="shared" si="29"/>
        <v>538</v>
      </c>
      <c r="L281" s="526">
        <f t="shared" si="29"/>
        <v>539</v>
      </c>
      <c r="M281" s="526">
        <f t="shared" si="29"/>
        <v>540</v>
      </c>
      <c r="N281" s="526">
        <f t="shared" si="29"/>
        <v>541</v>
      </c>
      <c r="O281" s="526">
        <f t="shared" si="29"/>
        <v>542</v>
      </c>
      <c r="P281" s="526">
        <f t="shared" si="29"/>
        <v>543</v>
      </c>
      <c r="Q281" s="526">
        <f t="shared" si="29"/>
        <v>544</v>
      </c>
      <c r="R281" s="526">
        <f t="shared" si="29"/>
        <v>545</v>
      </c>
      <c r="S281" s="526">
        <f t="shared" si="29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7"/>
        <v>553</v>
      </c>
      <c r="D282" s="526">
        <f t="shared" si="29"/>
        <v>554</v>
      </c>
      <c r="E282" s="526">
        <f t="shared" si="29"/>
        <v>555</v>
      </c>
      <c r="F282" s="526">
        <f t="shared" si="29"/>
        <v>556</v>
      </c>
      <c r="G282" s="526">
        <f t="shared" si="29"/>
        <v>557</v>
      </c>
      <c r="H282" s="526">
        <f t="shared" si="29"/>
        <v>558</v>
      </c>
      <c r="I282" s="526">
        <f t="shared" si="29"/>
        <v>559</v>
      </c>
      <c r="J282" s="526">
        <f t="shared" si="29"/>
        <v>560</v>
      </c>
      <c r="K282" s="526">
        <f t="shared" si="29"/>
        <v>561</v>
      </c>
      <c r="L282" s="526">
        <f t="shared" si="29"/>
        <v>562</v>
      </c>
      <c r="M282" s="526">
        <f t="shared" si="29"/>
        <v>563</v>
      </c>
      <c r="N282" s="526">
        <f t="shared" si="29"/>
        <v>564</v>
      </c>
      <c r="O282" s="526">
        <f t="shared" si="29"/>
        <v>565</v>
      </c>
      <c r="P282" s="526">
        <f t="shared" si="29"/>
        <v>566</v>
      </c>
      <c r="Q282" s="526">
        <f t="shared" si="29"/>
        <v>567</v>
      </c>
      <c r="R282" s="526">
        <f t="shared" si="29"/>
        <v>568</v>
      </c>
      <c r="S282" s="526">
        <f t="shared" si="29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7"/>
        <v>576</v>
      </c>
      <c r="D283" s="526">
        <f t="shared" si="29"/>
        <v>577</v>
      </c>
      <c r="E283" s="526">
        <f t="shared" si="29"/>
        <v>578</v>
      </c>
      <c r="F283" s="526">
        <f t="shared" si="29"/>
        <v>579</v>
      </c>
      <c r="G283" s="526">
        <f t="shared" si="29"/>
        <v>580</v>
      </c>
      <c r="H283" s="526">
        <f t="shared" si="29"/>
        <v>581</v>
      </c>
      <c r="I283" s="526">
        <f t="shared" si="29"/>
        <v>582</v>
      </c>
      <c r="J283" s="526">
        <f t="shared" si="29"/>
        <v>583</v>
      </c>
      <c r="K283" s="526">
        <f t="shared" si="29"/>
        <v>584</v>
      </c>
      <c r="L283" s="526">
        <f t="shared" si="29"/>
        <v>585</v>
      </c>
      <c r="M283" s="526">
        <f t="shared" si="29"/>
        <v>586</v>
      </c>
      <c r="N283" s="526">
        <f t="shared" si="29"/>
        <v>587</v>
      </c>
      <c r="O283" s="526">
        <f t="shared" si="29"/>
        <v>588</v>
      </c>
      <c r="P283" s="526">
        <f t="shared" si="29"/>
        <v>589</v>
      </c>
      <c r="Q283" s="526">
        <f t="shared" si="29"/>
        <v>590</v>
      </c>
      <c r="R283" s="526">
        <f t="shared" si="29"/>
        <v>591</v>
      </c>
      <c r="S283" s="526">
        <f t="shared" si="29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7"/>
        <v>599</v>
      </c>
      <c r="D284" s="526">
        <f t="shared" si="29"/>
        <v>600</v>
      </c>
      <c r="E284" s="526">
        <f t="shared" si="29"/>
        <v>601</v>
      </c>
      <c r="F284" s="526">
        <f t="shared" si="29"/>
        <v>602</v>
      </c>
      <c r="G284" s="526">
        <f t="shared" si="29"/>
        <v>603</v>
      </c>
      <c r="H284" s="526">
        <f t="shared" si="29"/>
        <v>604</v>
      </c>
      <c r="I284" s="526">
        <f t="shared" si="29"/>
        <v>605</v>
      </c>
      <c r="J284" s="526">
        <f t="shared" si="29"/>
        <v>606</v>
      </c>
      <c r="K284" s="526">
        <f t="shared" si="29"/>
        <v>607</v>
      </c>
      <c r="L284" s="526">
        <f t="shared" si="29"/>
        <v>608</v>
      </c>
      <c r="M284" s="526">
        <f t="shared" si="29"/>
        <v>609</v>
      </c>
      <c r="N284" s="526">
        <f t="shared" si="29"/>
        <v>610</v>
      </c>
      <c r="O284" s="526">
        <f t="shared" si="29"/>
        <v>611</v>
      </c>
      <c r="P284" s="526">
        <f t="shared" si="29"/>
        <v>612</v>
      </c>
      <c r="Q284" s="526">
        <f t="shared" si="29"/>
        <v>613</v>
      </c>
      <c r="R284" s="526">
        <f t="shared" si="29"/>
        <v>614</v>
      </c>
      <c r="S284" s="526">
        <f t="shared" si="29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7"/>
        <v>622</v>
      </c>
      <c r="D285" s="526">
        <f t="shared" si="29"/>
        <v>623</v>
      </c>
      <c r="E285" s="526">
        <f t="shared" si="29"/>
        <v>624</v>
      </c>
      <c r="F285" s="526">
        <f t="shared" si="29"/>
        <v>625</v>
      </c>
      <c r="G285" s="526">
        <f t="shared" si="29"/>
        <v>626</v>
      </c>
      <c r="H285" s="526">
        <f t="shared" si="29"/>
        <v>627</v>
      </c>
      <c r="I285" s="526">
        <f t="shared" si="29"/>
        <v>628</v>
      </c>
      <c r="J285" s="526">
        <f t="shared" si="29"/>
        <v>629</v>
      </c>
      <c r="K285" s="526">
        <f t="shared" si="29"/>
        <v>630</v>
      </c>
      <c r="L285" s="526">
        <f t="shared" si="29"/>
        <v>631</v>
      </c>
      <c r="M285" s="526">
        <f t="shared" si="29"/>
        <v>632</v>
      </c>
      <c r="N285" s="526">
        <f t="shared" si="29"/>
        <v>633</v>
      </c>
      <c r="O285" s="526">
        <f t="shared" si="29"/>
        <v>634</v>
      </c>
      <c r="P285" s="526">
        <f t="shared" si="29"/>
        <v>635</v>
      </c>
      <c r="Q285" s="526">
        <f t="shared" si="29"/>
        <v>636</v>
      </c>
      <c r="R285" s="526">
        <f t="shared" si="29"/>
        <v>637</v>
      </c>
      <c r="S285" s="526">
        <f t="shared" si="29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7"/>
        <v>645</v>
      </c>
      <c r="D286" s="526">
        <f t="shared" si="29"/>
        <v>646</v>
      </c>
      <c r="E286" s="526">
        <f t="shared" si="29"/>
        <v>647</v>
      </c>
      <c r="F286" s="526">
        <f t="shared" si="29"/>
        <v>648</v>
      </c>
      <c r="G286" s="526">
        <f t="shared" si="29"/>
        <v>649</v>
      </c>
      <c r="H286" s="526">
        <f t="shared" si="29"/>
        <v>650</v>
      </c>
      <c r="I286" s="526">
        <f t="shared" si="29"/>
        <v>651</v>
      </c>
      <c r="J286" s="526">
        <f t="shared" si="29"/>
        <v>652</v>
      </c>
      <c r="K286" s="526">
        <f t="shared" si="29"/>
        <v>653</v>
      </c>
      <c r="L286" s="526">
        <f t="shared" si="29"/>
        <v>654</v>
      </c>
      <c r="M286" s="526">
        <f t="shared" si="29"/>
        <v>655</v>
      </c>
      <c r="N286" s="526">
        <f t="shared" si="29"/>
        <v>656</v>
      </c>
      <c r="O286" s="526">
        <f t="shared" si="29"/>
        <v>657</v>
      </c>
      <c r="P286" s="526">
        <f t="shared" si="29"/>
        <v>658</v>
      </c>
      <c r="Q286" s="526">
        <f t="shared" si="29"/>
        <v>659</v>
      </c>
      <c r="R286" s="526">
        <f t="shared" si="29"/>
        <v>660</v>
      </c>
      <c r="S286" s="526">
        <f t="shared" si="29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124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The Power Company</v>
      </c>
      <c r="C6" s="108"/>
      <c r="D6" s="109">
        <f>VLOOKUP($B$6,$B$258:$J$286,9,FALSE)</f>
        <v>491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42.936878</v>
      </c>
      <c r="E7" s="407">
        <f>D7/('Industry calcs'!D4/1000)*100</f>
        <v>2.0829546776071095</v>
      </c>
    </row>
    <row r="8" spans="2:5">
      <c r="B8" s="111" t="s">
        <v>250</v>
      </c>
      <c r="C8" s="114"/>
      <c r="D8" s="406">
        <f>VLOOKUP(D6,'AV (2011)'!A8:F214,'AV (2011)'!F214,FALSE)/1000</f>
        <v>294.54001</v>
      </c>
      <c r="E8" s="407">
        <f>D8/('Industry calcs'!D5/1000)*100</f>
        <v>3.2817313021273034</v>
      </c>
    </row>
    <row r="9" spans="2:5">
      <c r="B9" s="111" t="s">
        <v>230</v>
      </c>
      <c r="C9" s="114"/>
      <c r="D9" s="406">
        <f>VLOOKUP($D$6,'FS (2011)'!$A$13:$AH$244,'FS (2011)'!S245,FALSE)/1000</f>
        <v>11.319000000000001</v>
      </c>
      <c r="E9" s="407">
        <f>D9/('Industry calcs'!D6/1000)*100</f>
        <v>2.4931308423654377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12.314</v>
      </c>
      <c r="E10" s="407">
        <f>D10/('Industry calcs'!D7/1000)*100</f>
        <v>2.1043525116129667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671.70122000000003</v>
      </c>
      <c r="E11" s="407">
        <f>D11/'Industry calcs'!D8*100</f>
        <v>2.1705767707863171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134.946</v>
      </c>
      <c r="E12" s="407">
        <f>D12/'Industry calcs'!D9*100</f>
        <v>2.1580146265435798</v>
      </c>
    </row>
    <row r="13" spans="2:5">
      <c r="B13" s="111" t="s">
        <v>236</v>
      </c>
      <c r="C13" s="114" t="s">
        <v>237</v>
      </c>
      <c r="D13" s="439">
        <f>VLOOKUP($D$6,'MP (2011)'!$A$14:$AR$245,'MP (2011)'!$H$246,FALSE)</f>
        <v>8630.2945999999993</v>
      </c>
      <c r="E13" s="407">
        <f>D13/'Industry calcs'!D10*100</f>
        <v>5.7700782346210993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34431</v>
      </c>
      <c r="E14" s="407">
        <f>D14/'Industry calcs'!D11*100</f>
        <v>1.7141150260744025</v>
      </c>
    </row>
    <row r="15" spans="2:5">
      <c r="B15" s="115" t="s">
        <v>195</v>
      </c>
      <c r="C15" s="116" t="s">
        <v>239</v>
      </c>
      <c r="D15" s="408">
        <f>D14/D13</f>
        <v>3.9895509476582647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The Power Company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24.941813749251519</v>
      </c>
      <c r="D20" s="409">
        <f>VLOOKUP($B$2,'MED price allocation'!$B$16:$F$44,3,FALSE)</f>
        <v>25.075174685977068</v>
      </c>
      <c r="E20" s="409">
        <f>VLOOKUP($B$2,'MED price allocation'!$B$16:$F$44,4,FALSE)</f>
        <v>24.806094554175314</v>
      </c>
      <c r="F20" s="503">
        <f>VLOOKUP($B$2,'MED price allocation'!$B$16:$F$44,5,FALSE)</f>
        <v>25.771999999999998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7.6329388953836501</v>
      </c>
      <c r="D21" s="410">
        <f>VLOOKUP($B$2,'MED price allocation'!$B$47:$F$75,3,FALSE)</f>
        <v>8.1490424874734</v>
      </c>
      <c r="E21" s="410">
        <f>VLOOKUP($B$2,'MED price allocation'!$B$47:$F$75,4,FALSE)</f>
        <v>8.2729433321656636</v>
      </c>
      <c r="F21" s="504">
        <f>VLOOKUP($B$2,'MED price allocation'!$B$47:$F$75,5,FALSE)</f>
        <v>8.65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9.3471158507028598</v>
      </c>
      <c r="D22" s="409">
        <f>VLOOKUP($B$2,'MED price allocation'!$B$78:$F$106,3,FALSE)</f>
        <v>9.9241842267828932</v>
      </c>
      <c r="E22" s="409">
        <f>VLOOKUP($B$2,'MED price allocation'!$B$78:$F$106,4,FALSE)</f>
        <v>9.9438333647705512</v>
      </c>
      <c r="F22" s="503">
        <f>VLOOKUP($B$2,'MED price allocation'!$B$78:$F$106,5,FALSE)</f>
        <v>10.32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1.7141769553192097</v>
      </c>
      <c r="D23" s="411">
        <f>VLOOKUP($B$2,'MED price allocation'!$B$109:$F$137,3,FALSE)</f>
        <v>1.7751417393094922</v>
      </c>
      <c r="E23" s="411">
        <f>VLOOKUP($B$2,'MED price allocation'!$B$109:$F$137,4,FALSE)</f>
        <v>1.6708900326048877</v>
      </c>
      <c r="F23" s="505">
        <f>VLOOKUP($B$2,'MED price allocation'!$B$109:$F$137,5,FALSE)</f>
        <v>1.67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The Power Company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1995.3450999401216</v>
      </c>
      <c r="D26" s="412">
        <f>(D20*8000)/100</f>
        <v>2006.0139748781655</v>
      </c>
      <c r="E26" s="412">
        <f>(E20*8000)/100</f>
        <v>1984.4875643340251</v>
      </c>
      <c r="F26" s="506">
        <f>(F20*8000)/100</f>
        <v>2061.7600000000002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747.76926805622873</v>
      </c>
      <c r="D27" s="412">
        <f>(D22*8000)/100</f>
        <v>793.93473814263143</v>
      </c>
      <c r="E27" s="412">
        <f>(E22*8000)/100</f>
        <v>795.50666918164416</v>
      </c>
      <c r="F27" s="506">
        <f>(F22*8000)/100</f>
        <v>825.6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610.63511163069199</v>
      </c>
      <c r="D28" s="412">
        <f>(D21*8000)/100</f>
        <v>651.92339899787203</v>
      </c>
      <c r="E28" s="412">
        <f>(E21*8000)/100</f>
        <v>661.83546657325303</v>
      </c>
      <c r="F28" s="506">
        <f>(F21*8000)/100</f>
        <v>692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137.13415642553676</v>
      </c>
      <c r="D29" s="413">
        <f>(D23*8000)/100</f>
        <v>142.01133914475938</v>
      </c>
      <c r="E29" s="413">
        <f>(E23*8000)/100</f>
        <v>133.67120260839101</v>
      </c>
      <c r="F29" s="507">
        <f>(F23*8000)/100</f>
        <v>133.6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The Power Company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2011.9016597880782</v>
      </c>
      <c r="D32" s="122"/>
    </row>
    <row r="33" spans="2:13">
      <c r="B33" s="120" t="s">
        <v>241</v>
      </c>
      <c r="C33" s="412">
        <f>AVERAGE(C27:F27)</f>
        <v>790.70266884512603</v>
      </c>
      <c r="D33" s="414">
        <f>C33/$C$32</f>
        <v>0.39301258339257694</v>
      </c>
    </row>
    <row r="34" spans="2:13">
      <c r="B34" s="120" t="s">
        <v>222</v>
      </c>
      <c r="C34" s="412">
        <f>AVERAGE(C28:F28)</f>
        <v>654.09849430045426</v>
      </c>
      <c r="D34" s="414">
        <f>C34/$C$32</f>
        <v>0.32511454579214033</v>
      </c>
    </row>
    <row r="35" spans="2:13">
      <c r="B35" s="124" t="s">
        <v>223</v>
      </c>
      <c r="C35" s="413">
        <f>AVERAGE(C29:F29)</f>
        <v>136.60417454467179</v>
      </c>
      <c r="D35" s="415">
        <f>C35/$C$32</f>
        <v>6.7898037600436625E-2</v>
      </c>
    </row>
    <row r="38" spans="2:13">
      <c r="B38" s="517" t="s">
        <v>227</v>
      </c>
      <c r="C38" s="518">
        <f>VLOOKUP($B$2,$B$258:$J$286,6,FALSE)</f>
        <v>488</v>
      </c>
      <c r="D38" s="518">
        <f>VLOOKUP($B$2,$B$258:$J$286,7,FALSE)</f>
        <v>489</v>
      </c>
      <c r="E38" s="518">
        <f>VLOOKUP($B$2,$B$258:$J$286,8,FALSE)</f>
        <v>490</v>
      </c>
      <c r="F38" s="519">
        <f>VLOOKUP($B$2,$B$258:$J$286,9,FALSE)</f>
        <v>491</v>
      </c>
    </row>
    <row r="39" spans="2:13">
      <c r="B39" s="137" t="str">
        <f>B2</f>
        <v>The Power Company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39160.857688688659</v>
      </c>
      <c r="D40" s="418">
        <f>VLOOKUP($D$38,'FS (2011)'!$A$13:$AH$244,'FS (2011)'!E245,FALSE)</f>
        <v>41574.650010295823</v>
      </c>
      <c r="E40" s="418">
        <f>VLOOKUP($E$38,'FS (2011)'!$A$13:$AH$244,'FS (2011)'!E245,FALSE)</f>
        <v>44547.558405863485</v>
      </c>
      <c r="F40" s="419">
        <f>VLOOKUP($F$38,'FS (2011)'!$A$13:$AH$244,'FS (2011)'!E245,FALSE)</f>
        <v>45000.902999999998</v>
      </c>
    </row>
    <row r="41" spans="2:13" ht="30">
      <c r="B41" s="120" t="s">
        <v>198</v>
      </c>
      <c r="C41" s="417">
        <f>VLOOKUP($C$38,'FS (2011)'!$A$13:$AH$244,'FS (2011)'!$F$245,FALSE)</f>
        <v>5325.8076473439587</v>
      </c>
      <c r="D41" s="418">
        <f>VLOOKUP($D$38,'FS (2011)'!$A$13:$AH$244,'FS (2011)'!$F$245,FALSE)</f>
        <v>5244.4538403459383</v>
      </c>
      <c r="E41" s="418">
        <f>VLOOKUP($E$38,'FS (2011)'!$A$13:$AH$244,'FS (2011)'!$F$245,FALSE)</f>
        <v>2420.7528765056181</v>
      </c>
      <c r="F41" s="419">
        <f>VLOOKUP($F$38,'FS (2011)'!$A$13:$AH$244,'FS (2011)'!$F$245,FALSE)</f>
        <v>2116</v>
      </c>
    </row>
    <row r="42" spans="2:13">
      <c r="B42" s="120" t="s">
        <v>13</v>
      </c>
      <c r="C42" s="417">
        <f>VLOOKUP($C$38,'FS (2011)'!$A$13:$AH$244,'FS (2011)'!$H$245,FALSE)</f>
        <v>922.85249921587626</v>
      </c>
      <c r="D42" s="418">
        <f>VLOOKUP($D$38,'FS (2011)'!$A$13:$AH$244,'FS (2011)'!$H$245,FALSE)</f>
        <v>772.34237078728779</v>
      </c>
      <c r="E42" s="418">
        <f>VLOOKUP($E$38,'FS (2011)'!$A$13:$AH$244,'FS (2011)'!$H$245,FALSE)</f>
        <v>824.2378270593623</v>
      </c>
      <c r="F42" s="419">
        <f>VLOOKUP($F$38,'FS (2011)'!$A$13:$AH$244,'FS (2011)'!$H$245,FALSE)</f>
        <v>687</v>
      </c>
    </row>
    <row r="43" spans="2:13">
      <c r="B43" s="124" t="s">
        <v>5</v>
      </c>
      <c r="C43" s="420">
        <f>SUM(C40:C42)</f>
        <v>45409.517835248495</v>
      </c>
      <c r="D43" s="420">
        <f>SUM(D40:D42)</f>
        <v>47591.446221429047</v>
      </c>
      <c r="E43" s="420">
        <f>SUM(E40:E42)</f>
        <v>47792.549109428466</v>
      </c>
      <c r="F43" s="421">
        <f>SUM(F40:F42)</f>
        <v>47803.902999999998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The Power Company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106.16378819073815</v>
      </c>
      <c r="E46" s="422">
        <f>IF(ISERROR(E40/$C40),"",(E40/$C40))*100</f>
        <v>113.75531853770082</v>
      </c>
      <c r="F46" s="423">
        <f>IF(ISERROR(F40/$C40),"",(F40/$C40))*100</f>
        <v>114.91296579287689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>IF(ISERROR(D41/$C41),"",(D41/$C41)*100)</f>
        <v>98.472460659772565</v>
      </c>
      <c r="E47" s="422">
        <f t="shared" si="0"/>
        <v>45.453253981353896</v>
      </c>
      <c r="F47" s="423">
        <f t="shared" si="0"/>
        <v>39.731063157252279</v>
      </c>
      <c r="G47" s="141"/>
    </row>
    <row r="48" spans="2:13">
      <c r="B48" s="120" t="s">
        <v>13</v>
      </c>
      <c r="C48" s="422">
        <f t="shared" si="0"/>
        <v>100</v>
      </c>
      <c r="D48" s="422">
        <f>IF(ISERROR(D42/$C42),"",(D42/$C42)*100)</f>
        <v>83.690770891721812</v>
      </c>
      <c r="E48" s="422">
        <f t="shared" si="0"/>
        <v>89.314145842341617</v>
      </c>
      <c r="F48" s="423">
        <f t="shared" si="0"/>
        <v>74.443099041691497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>IF(ISERROR(D43/$C43),"",(D43/$C43)*100)</f>
        <v>104.80500232153283</v>
      </c>
      <c r="E49" s="424">
        <f t="shared" si="0"/>
        <v>105.24786738063574</v>
      </c>
      <c r="F49" s="416">
        <f>IF(ISERROR(F43/$C43),"",(F43/$C43)*100)</f>
        <v>105.27287070838021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The Power Company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18087.503619514697</v>
      </c>
      <c r="D54" s="426">
        <f>VLOOKUP($D$38,'MP (2011)'!$A$14:$AR$245,'MP (2011)'!$Z$246,FALSE)</f>
        <v>22440.673335438252</v>
      </c>
      <c r="E54" s="426">
        <f>VLOOKUP($E$38,'MP (2011)'!$A$14:$AR$245,'MP (2011)'!$Z$246,FALSE)</f>
        <v>25360.234026299477</v>
      </c>
      <c r="F54" s="427">
        <f>VLOOKUP($F$38,'MP (2011)'!$A$14:$AR$245,'MP (2011)'!$Z$246,FALSE)</f>
        <v>24585.013999999999</v>
      </c>
    </row>
    <row r="55" spans="2:23">
      <c r="B55" s="111" t="s">
        <v>180</v>
      </c>
      <c r="C55" s="425">
        <f>VLOOKUP($C$38,'MP (2011)'!$A$14:$AR$245,'MP (2011)'!$AD$246,FALSE)</f>
        <v>11512.614036383336</v>
      </c>
      <c r="D55" s="426">
        <f>VLOOKUP($D$38,'MP (2011)'!$A$14:$AR$245,'MP (2011)'!$AD$246,FALSE)</f>
        <v>12050.632744869241</v>
      </c>
      <c r="E55" s="426">
        <f>VLOOKUP($E$38,'MP (2011)'!$A$14:$AR$245,'MP (2011)'!$AD$246,FALSE)</f>
        <v>11948.409306405107</v>
      </c>
      <c r="F55" s="427">
        <f>VLOOKUP($F$38,'MP (2011)'!$A$14:$AR$245,'MP (2011)'!$AD$246,FALSE)</f>
        <v>11484.915999999999</v>
      </c>
      <c r="J55" s="139"/>
    </row>
    <row r="56" spans="2:23">
      <c r="B56" s="111" t="s">
        <v>184</v>
      </c>
      <c r="C56" s="425">
        <f>VLOOKUP($C$38,'MP (2011)'!$A$14:$AR$245,'MP (2011)'!$AH$246,FALSE)</f>
        <v>6030.7140823472382</v>
      </c>
      <c r="D56" s="426">
        <f>VLOOKUP($D$38,'MP (2011)'!$A$14:$AR$245,'MP (2011)'!$AH$246,FALSE)</f>
        <v>4598.7161355480803</v>
      </c>
      <c r="E56" s="426">
        <f>VLOOKUP($E$38,'MP (2011)'!$A$14:$AR$245,'MP (2011)'!$AH$246,FALSE)</f>
        <v>4157.6214660882215</v>
      </c>
      <c r="F56" s="427">
        <f>VLOOKUP($F$38,'MP (2011)'!$A$14:$AR$245,'MP (2011)'!$AH$246,FALSE)</f>
        <v>5954.9094999999998</v>
      </c>
    </row>
    <row r="57" spans="2:23">
      <c r="B57" s="111" t="s">
        <v>181</v>
      </c>
      <c r="C57" s="425">
        <f>VLOOKUP($C$38,'MP (2011)'!$A$14:$AR$245,'MP (2011)'!$AL$246,FALSE)</f>
        <v>3530.0265973026144</v>
      </c>
      <c r="D57" s="426">
        <f>VLOOKUP($D$38,'MP (2011)'!$A$14:$AR$245,'MP (2011)'!$AL$246,FALSE)</f>
        <v>2484.232384213054</v>
      </c>
      <c r="E57" s="426">
        <f>VLOOKUP($E$38,'MP (2011)'!$A$14:$AR$245,'MP (2011)'!$AL$246,FALSE)</f>
        <v>3081.2928938859095</v>
      </c>
      <c r="F57" s="427">
        <f>VLOOKUP($F$38,'MP (2011)'!$A$14:$AR$245,'MP (2011)'!$AL$246,FALSE)</f>
        <v>2976.0636</v>
      </c>
      <c r="W57" s="139"/>
    </row>
    <row r="58" spans="2:23">
      <c r="B58" s="147" t="s">
        <v>248</v>
      </c>
      <c r="C58" s="428">
        <f>SUM(C54:C57)</f>
        <v>39160.858335547891</v>
      </c>
      <c r="D58" s="428">
        <f>SUM(D54:D57)</f>
        <v>41574.254600068627</v>
      </c>
      <c r="E58" s="428">
        <f>SUM(E54:E57)</f>
        <v>44547.557692678718</v>
      </c>
      <c r="F58" s="429">
        <f>SUM(F54:F57)</f>
        <v>45000.903100000003</v>
      </c>
    </row>
    <row r="59" spans="2:23">
      <c r="B59" s="103" t="s">
        <v>302</v>
      </c>
    </row>
    <row r="60" spans="2:23">
      <c r="B60" s="137" t="str">
        <f>$B$2</f>
        <v>The Power Company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E65" si="1">IF(ISERROR(C54/$C54),"",(C54/$C54)*100)</f>
        <v>100</v>
      </c>
      <c r="D61" s="422">
        <f t="shared" si="1"/>
        <v>124.06727764923235</v>
      </c>
      <c r="E61" s="422">
        <f t="shared" si="1"/>
        <v>140.20859130022893</v>
      </c>
      <c r="F61" s="423">
        <f>IF(ISERROR(F54/$C54),"",(F54/$C54)*100)</f>
        <v>135.92264868146373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104.67329753942592</v>
      </c>
      <c r="E62" s="422">
        <f t="shared" si="1"/>
        <v>103.78537201581261</v>
      </c>
      <c r="F62" s="423">
        <f>IF(ISERROR(F55/$C55),"",(F55/$C55)*100)</f>
        <v>99.759411404779115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76.254918949137036</v>
      </c>
      <c r="E63" s="422">
        <f t="shared" si="1"/>
        <v>68.940782290743542</v>
      </c>
      <c r="F63" s="423">
        <f>IF(ISERROR(F56/$C56),"",(F56/$C56)*100)</f>
        <v>98.743024767678349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70.374324831187423</v>
      </c>
      <c r="E64" s="422">
        <f t="shared" si="1"/>
        <v>87.288092850076708</v>
      </c>
      <c r="F64" s="423">
        <f>IF(ISERROR(F57/$C57),"",(F57/$C57)*100)</f>
        <v>84.307115483891479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106.16277672935988</v>
      </c>
      <c r="E65" s="424">
        <f t="shared" si="1"/>
        <v>113.75531483752262</v>
      </c>
      <c r="F65" s="416">
        <f>IF(ISERROR(F58/$C58),"",(F58/$C58)*100)</f>
        <v>114.91296415010103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The Power Company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646.12072656693203</v>
      </c>
      <c r="D70" s="433">
        <f>(D54/D98)*1000</f>
        <v>786.01307654774962</v>
      </c>
      <c r="E70" s="433">
        <f>(E54/E98)*1000</f>
        <v>877.12219507832037</v>
      </c>
      <c r="F70" s="434">
        <f>(F54/F98)*1000</f>
        <v>840.08248761318987</v>
      </c>
    </row>
    <row r="71" spans="2:40">
      <c r="B71" s="111" t="s">
        <v>180</v>
      </c>
      <c r="C71" s="433">
        <f>(C55/C99)*1000</f>
        <v>2416.0784966176993</v>
      </c>
      <c r="D71" s="433">
        <f t="shared" ref="C71:F73" si="2">(D55/D99)*1000</f>
        <v>2464.3420746153865</v>
      </c>
      <c r="E71" s="433">
        <f t="shared" si="2"/>
        <v>2444.9374475967065</v>
      </c>
      <c r="F71" s="434">
        <f t="shared" si="2"/>
        <v>2346.2545454545452</v>
      </c>
    </row>
    <row r="72" spans="2:40">
      <c r="B72" s="111" t="s">
        <v>184</v>
      </c>
      <c r="C72" s="433">
        <f>(C56/C100)*1000</f>
        <v>25772.282403193327</v>
      </c>
      <c r="D72" s="433">
        <f t="shared" si="2"/>
        <v>18618.28394958737</v>
      </c>
      <c r="E72" s="433">
        <f t="shared" si="2"/>
        <v>16969.883535053967</v>
      </c>
      <c r="F72" s="434">
        <f t="shared" si="2"/>
        <v>22386.87781954887</v>
      </c>
    </row>
    <row r="73" spans="2:40">
      <c r="B73" s="115" t="s">
        <v>181</v>
      </c>
      <c r="C73" s="435">
        <f t="shared" si="2"/>
        <v>706005.31946052285</v>
      </c>
      <c r="D73" s="435">
        <f t="shared" si="2"/>
        <v>496846.47684261081</v>
      </c>
      <c r="E73" s="435">
        <f t="shared" si="2"/>
        <v>616258.57877718192</v>
      </c>
      <c r="F73" s="436">
        <f>(F57/F101)*1000</f>
        <v>595212.72</v>
      </c>
    </row>
    <row r="74" spans="2:40">
      <c r="B74" s="103" t="s">
        <v>303</v>
      </c>
    </row>
    <row r="75" spans="2:40">
      <c r="B75" s="137" t="str">
        <f>$B$2</f>
        <v>The Power Company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E79" si="3">IF(ISERROR(C70/$C70),"",(C70/$C70)*100)</f>
        <v>100</v>
      </c>
      <c r="D76" s="422">
        <f t="shared" si="3"/>
        <v>121.65111630517028</v>
      </c>
      <c r="E76" s="422">
        <f t="shared" si="3"/>
        <v>135.7520597951997</v>
      </c>
      <c r="F76" s="423">
        <f>IF(ISERROR(F70/$C70),"",(F70/$C70)*100)</f>
        <v>130.01943028152732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101.99759974956326</v>
      </c>
      <c r="E77" s="422">
        <f t="shared" si="3"/>
        <v>101.19445419589668</v>
      </c>
      <c r="F77" s="423">
        <f>IF(ISERROR(F71/$C71),"",(F71/$C71)*100)</f>
        <v>97.110029692292628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72.241502162340353</v>
      </c>
      <c r="E78" s="422">
        <f t="shared" si="3"/>
        <v>65.845481861363226</v>
      </c>
      <c r="F78" s="423">
        <f>IF(ISERROR(F72/$C72),"",(F72/$C72)*100)</f>
        <v>86.864164645250881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70.374324831187423</v>
      </c>
      <c r="E79" s="424">
        <f t="shared" si="3"/>
        <v>87.288092850076708</v>
      </c>
      <c r="F79" s="416">
        <f>IF(ISERROR(F73/$C73),"",(F73/$C73)*100)</f>
        <v>84.307115483891479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The Power Company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8.7630069738331677</v>
      </c>
      <c r="D84" s="437">
        <f>(D54/VLOOKUP($D$38,'MP (2011)'!$A$14:$AR$245,'MP (2011)'!$AA$246,FALSE)*100)</f>
        <v>9.392585937568656</v>
      </c>
      <c r="E84" s="437">
        <f>(E54/VLOOKUP($E$38,'MP (2011)'!$A$14:$AR$245,'MP (2011)'!$AA$246,FALSE)*100)</f>
        <v>9.9363234963983409</v>
      </c>
      <c r="F84" s="438">
        <f>(F54/VLOOKUP($F$38,'MP (2011)'!$A$14:$AR$245,'MP (2011)'!$AA$246,FALSE)*100)</f>
        <v>9.619400996308789</v>
      </c>
    </row>
    <row r="85" spans="2:7">
      <c r="B85" s="111" t="s">
        <v>180</v>
      </c>
      <c r="C85" s="430">
        <f>(C55/VLOOKUP($C$38,'MP (2011)'!$A$14:$AR$245,'MP (2011)'!$AE$246,FALSE)*100)</f>
        <v>8.744744877307669</v>
      </c>
      <c r="D85" s="437">
        <f>(D55/VLOOKUP($D$38,'MP (2011)'!$A$14:$AR$245,'MP (2011)'!$AE$246,FALSE)*100)</f>
        <v>8.8161573937772761</v>
      </c>
      <c r="E85" s="437">
        <f>(E55/VLOOKUP($E$38,'MP (2011)'!$A$14:$AR$245,'MP (2011)'!$AE$246,FALSE)*100)</f>
        <v>8.0571955691832038</v>
      </c>
      <c r="F85" s="438">
        <f>(F55/VLOOKUP($F$38,'MP (2011)'!$A$14:$AR$245,'MP (2011)'!$AE$246,FALSE)*100)</f>
        <v>7.8764119180276575</v>
      </c>
    </row>
    <row r="86" spans="2:7">
      <c r="B86" s="111" t="s">
        <v>184</v>
      </c>
      <c r="C86" s="430">
        <f>(C56/VLOOKUP($C$38,'MP (2011)'!$A$14:$AR$245,'MP (2011)'!$AI$246,FALSE)*100)</f>
        <v>3.9745972785122907</v>
      </c>
      <c r="D86" s="437">
        <f>(D56/VLOOKUP($D$38,'MP (2011)'!$A$14:$AR$245,'MP (2011)'!$AI$246,FALSE)*100)</f>
        <v>3.4980876363061082</v>
      </c>
      <c r="E86" s="437">
        <f>(E56/VLOOKUP($E$38,'MP (2011)'!$A$14:$AR$245,'MP (2011)'!$AI$246,FALSE)*100)</f>
        <v>3.6151865799918692</v>
      </c>
      <c r="F86" s="438">
        <f>(F56/VLOOKUP($F$38,'MP (2011)'!$A$14:$AR$245,'MP (2011)'!$AI$246,FALSE)*100)</f>
        <v>5.1230567468671673</v>
      </c>
    </row>
    <row r="87" spans="2:7">
      <c r="B87" s="115" t="s">
        <v>181</v>
      </c>
      <c r="C87" s="431">
        <f>(C57/VLOOKUP($C$38,'MP (2011)'!$A$14:$AR$245,'MP (2011)'!$AM$246,FALSE)*100)</f>
        <v>2.5273172638471522</v>
      </c>
      <c r="D87" s="431">
        <f>(D57/VLOOKUP($D$38,'MP (2011)'!$A$14:$AR$245,'MP (2011)'!$AM$246,FALSE)*100)</f>
        <v>1.739713720759527</v>
      </c>
      <c r="E87" s="431">
        <f>(E57/VLOOKUP($E$38,'MP (2011)'!$A$14:$AR$245,'MP (2011)'!$AM$246,FALSE)*100)</f>
        <v>2.0514733677263073</v>
      </c>
      <c r="F87" s="432">
        <f>(F57/VLOOKUP($F$38,'MP (2011)'!$A$14:$AR$245,'MP (2011)'!$AM$246,FALSE)*100)</f>
        <v>1.931601480187813</v>
      </c>
    </row>
    <row r="88" spans="2:7">
      <c r="B88" s="103" t="s">
        <v>304</v>
      </c>
    </row>
    <row r="89" spans="2:7">
      <c r="B89" s="137" t="str">
        <f>$B$2</f>
        <v>The Power Company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107.18450830423217</v>
      </c>
      <c r="E90" s="422">
        <f>IF(ISERROR(E84/$C84),"",(E84/$C84)*100)</f>
        <v>113.38942815027721</v>
      </c>
      <c r="F90" s="423">
        <f>IF(ISERROR(F84/$C84),"",(F84/$C84)*100)</f>
        <v>109.77283283047545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100.81663350356762</v>
      </c>
      <c r="E91" s="422">
        <f t="shared" si="4"/>
        <v>92.137571561308391</v>
      </c>
      <c r="F91" s="423">
        <f t="shared" si="4"/>
        <v>90.070231076342694</v>
      </c>
    </row>
    <row r="92" spans="2:7">
      <c r="B92" s="111" t="s">
        <v>184</v>
      </c>
      <c r="C92" s="422">
        <f t="shared" si="4"/>
        <v>100</v>
      </c>
      <c r="D92" s="422">
        <f t="shared" si="4"/>
        <v>88.011121408895491</v>
      </c>
      <c r="E92" s="422">
        <f t="shared" si="4"/>
        <v>90.957305273077864</v>
      </c>
      <c r="F92" s="423">
        <f>IF(ISERROR(F86/$C86),"",(F86/$C86)*100)</f>
        <v>128.89498955186599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68.836380206230487</v>
      </c>
      <c r="E93" s="424">
        <f>IF(ISERROR(E87/$C87),"",(E87/$C87)*100)</f>
        <v>81.171976192791007</v>
      </c>
      <c r="F93" s="416">
        <f>IF(ISERROR(F87/$C87),"",(F87/$C87)*100)</f>
        <v>76.42892753589139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27994</v>
      </c>
      <c r="D98" s="150">
        <f>VLOOKUP($D$38,'MP (2011)'!$A$14:$AR$245,'MP (2011)'!$AB$246,FALSE)</f>
        <v>28550</v>
      </c>
      <c r="E98" s="150">
        <f>VLOOKUP($E$38,'MP (2011)'!$A$14:$AR$245,'MP (2011)'!$AB$246,FALSE)</f>
        <v>28913</v>
      </c>
      <c r="F98" s="151">
        <f>VLOOKUP($F$38,'MP (2011)'!$A$14:$AR$245,'MP (2011)'!$AB$246,FALSE)</f>
        <v>29265</v>
      </c>
    </row>
    <row r="99" spans="2:7">
      <c r="B99" s="155" t="s">
        <v>309</v>
      </c>
      <c r="C99" s="150">
        <f>VLOOKUP($C$38,'MP (2011)'!$A$14:$AR$245,'MP (2011)'!$AF$246,FALSE)</f>
        <v>4765</v>
      </c>
      <c r="D99" s="150">
        <f>VLOOKUP($D$38,'MP (2011)'!$A$14:$AR$245,'MP (2011)'!$AF$246,FALSE)</f>
        <v>4890</v>
      </c>
      <c r="E99" s="150">
        <f>VLOOKUP($E$38,'MP (2011)'!$A$14:$AR$245,'MP (2011)'!$AF$246,FALSE)</f>
        <v>4887</v>
      </c>
      <c r="F99" s="151">
        <f>VLOOKUP($F$38,'MP (2011)'!$A$14:$AR$245,'MP (2011)'!$AF$246,FALSE)</f>
        <v>4895</v>
      </c>
    </row>
    <row r="100" spans="2:7">
      <c r="B100" s="155" t="s">
        <v>310</v>
      </c>
      <c r="C100" s="150">
        <f>VLOOKUP($C$38,'MP (2011)'!$A$14:$AR$245,'MP (2011)'!$AJ$246,FALSE)</f>
        <v>234</v>
      </c>
      <c r="D100" s="150">
        <f>VLOOKUP($D$38,'MP (2011)'!$A$14:$AR$245,'MP (2011)'!$AJ$246,FALSE)</f>
        <v>247</v>
      </c>
      <c r="E100" s="150">
        <f>VLOOKUP($E$38,'MP (2011)'!$A$14:$AR$245,'MP (2011)'!$AJ$246,FALSE)</f>
        <v>245</v>
      </c>
      <c r="F100" s="151">
        <f>VLOOKUP($F$38,'MP (2011)'!$A$14:$AR$245,'MP (2011)'!$AJ$246,FALSE)</f>
        <v>266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32998</v>
      </c>
      <c r="D102" s="152">
        <f>SUM(D98:D101)</f>
        <v>33692</v>
      </c>
      <c r="E102" s="152">
        <f>SUM(E98:E101)</f>
        <v>34050</v>
      </c>
      <c r="F102" s="157">
        <f>SUM(F98:F101)</f>
        <v>34431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E108" si="5">IF(ISERROR(C98/$C98),"",(C98/$C98)*100)</f>
        <v>100</v>
      </c>
      <c r="D105" s="422">
        <f t="shared" si="5"/>
        <v>101.98613988711867</v>
      </c>
      <c r="E105" s="422">
        <f t="shared" si="5"/>
        <v>103.28284632421234</v>
      </c>
      <c r="F105" s="423">
        <f>IF(ISERROR(F98/$C98),"",(F98/$C98)*100)</f>
        <v>104.54025862684861</v>
      </c>
    </row>
    <row r="106" spans="2:7">
      <c r="B106" s="111" t="s">
        <v>180</v>
      </c>
      <c r="C106" s="422">
        <f t="shared" si="5"/>
        <v>100</v>
      </c>
      <c r="D106" s="422">
        <f t="shared" si="5"/>
        <v>102.62329485834208</v>
      </c>
      <c r="E106" s="422">
        <f t="shared" si="5"/>
        <v>102.56033578174186</v>
      </c>
      <c r="F106" s="423">
        <f>IF(ISERROR(F99/$C99),"",(F99/$C99)*100)</f>
        <v>102.72822665267576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105.55555555555556</v>
      </c>
      <c r="E107" s="422">
        <f t="shared" si="5"/>
        <v>104.70085470085471</v>
      </c>
      <c r="F107" s="423">
        <f>IF(ISERROR(F100/$C100),"",(F100/$C100)*100)</f>
        <v>113.67521367521367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>IF(ISERROR(F101/$C101),"",(F101/$C101)*100)</f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The Power Company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206407.5</v>
      </c>
      <c r="D113" s="150">
        <f>VLOOKUP($D$38,'MP (2011)'!$A$14:$AR$245,'MP (2011)'!$AA$246,FALSE)</f>
        <v>238919.01</v>
      </c>
      <c r="E113" s="150">
        <f>VLOOKUP($E$38,'MP (2011)'!$A$14:$AR$245,'MP (2011)'!$AA$246,FALSE)</f>
        <v>255227.54</v>
      </c>
      <c r="F113" s="151">
        <f>VLOOKUP($F$38,'MP (2011)'!$A$14:$AR$245,'MP (2011)'!$AA$246,FALSE)</f>
        <v>255577.39</v>
      </c>
    </row>
    <row r="114" spans="2:7">
      <c r="B114" s="155" t="s">
        <v>309</v>
      </c>
      <c r="C114" s="150">
        <f>VLOOKUP($C$38,'MP (2011)'!$A$14:$AR$245,'MP (2011)'!$AE$246,FALSE)</f>
        <v>131651.79999999999</v>
      </c>
      <c r="D114" s="150">
        <f>VLOOKUP($D$38,'MP (2011)'!$A$14:$AR$245,'MP (2011)'!$AE$246,FALSE)</f>
        <v>136688.04</v>
      </c>
      <c r="E114" s="150">
        <f>VLOOKUP($E$38,'MP (2011)'!$A$14:$AR$245,'MP (2011)'!$AE$246,FALSE)</f>
        <v>148294.89000000001</v>
      </c>
      <c r="F114" s="151">
        <f>VLOOKUP($F$38,'MP (2011)'!$A$14:$AR$245,'MP (2011)'!$AE$246,FALSE)</f>
        <v>145814.06</v>
      </c>
    </row>
    <row r="115" spans="2:7">
      <c r="B115" s="155" t="s">
        <v>310</v>
      </c>
      <c r="C115" s="150">
        <f>VLOOKUP($C$38,'MP (2011)'!$A$14:$AR$245,'MP (2011)'!$AI$246,FALSE)</f>
        <v>151731.45000000001</v>
      </c>
      <c r="D115" s="150">
        <f>VLOOKUP($D$38,'MP (2011)'!$A$14:$AR$245,'MP (2011)'!$AI$246,FALSE)</f>
        <v>131463.72</v>
      </c>
      <c r="E115" s="150">
        <f>VLOOKUP($E$38,'MP (2011)'!$A$14:$AR$245,'MP (2011)'!$AI$246,FALSE)</f>
        <v>115004.34</v>
      </c>
      <c r="F115" s="151">
        <f>VLOOKUP($F$38,'MP (2011)'!$A$14:$AR$245,'MP (2011)'!$AI$246,FALSE)</f>
        <v>116237.43</v>
      </c>
    </row>
    <row r="116" spans="2:7">
      <c r="B116" s="155" t="s">
        <v>311</v>
      </c>
      <c r="C116" s="150">
        <f>VLOOKUP($C$38,'MP (2011)'!$A$14:$AR$245,'MP (2011)'!$AM$246,FALSE)</f>
        <v>139674.85</v>
      </c>
      <c r="D116" s="150">
        <f>VLOOKUP($D$38,'MP (2011)'!$A$14:$AR$245,'MP (2011)'!$AM$246,FALSE)</f>
        <v>142795.47</v>
      </c>
      <c r="E116" s="150">
        <f>VLOOKUP($E$38,'MP (2011)'!$A$14:$AR$245,'MP (2011)'!$AM$246,FALSE)</f>
        <v>150199.01999999999</v>
      </c>
      <c r="F116" s="151">
        <f>VLOOKUP($F$38,'MP (2011)'!$A$14:$AR$245,'MP (2011)'!$AM$246,FALSE)</f>
        <v>154072.34</v>
      </c>
    </row>
    <row r="117" spans="2:7">
      <c r="B117" s="147" t="s">
        <v>254</v>
      </c>
      <c r="C117" s="158">
        <f>SUM(C113:C116)</f>
        <v>629465.59999999998</v>
      </c>
      <c r="D117" s="158">
        <f>SUM(D113:D116)</f>
        <v>649866.23999999999</v>
      </c>
      <c r="E117" s="158">
        <f>SUM(E113:E116)</f>
        <v>668725.79</v>
      </c>
      <c r="F117" s="159">
        <f>SUM(F113:F116)</f>
        <v>671701.22</v>
      </c>
    </row>
    <row r="118" spans="2:7">
      <c r="B118" s="103" t="s">
        <v>306</v>
      </c>
    </row>
    <row r="119" spans="2:7">
      <c r="B119" s="137" t="str">
        <f>$B$2</f>
        <v>The Power Company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E123" si="6">IF(ISERROR(C113/$C113),"",(C113/$C113)*100)</f>
        <v>100</v>
      </c>
      <c r="D120" s="422">
        <f t="shared" si="6"/>
        <v>115.75112822935213</v>
      </c>
      <c r="E120" s="422">
        <f t="shared" si="6"/>
        <v>123.65226069789131</v>
      </c>
      <c r="F120" s="423">
        <f>IF(ISERROR(F113/$C113),"",(F113/$C113)*100)</f>
        <v>123.82175550791517</v>
      </c>
    </row>
    <row r="121" spans="2:7">
      <c r="B121" s="111" t="s">
        <v>180</v>
      </c>
      <c r="C121" s="422">
        <f t="shared" si="6"/>
        <v>100</v>
      </c>
      <c r="D121" s="422">
        <f t="shared" si="6"/>
        <v>103.82542433905198</v>
      </c>
      <c r="E121" s="422">
        <f t="shared" si="6"/>
        <v>112.64174891645995</v>
      </c>
      <c r="F121" s="423">
        <f>IF(ISERROR(F114/$C114),"",(F114/$C114)*100)</f>
        <v>110.75736146410455</v>
      </c>
    </row>
    <row r="122" spans="2:7">
      <c r="B122" s="111" t="s">
        <v>184</v>
      </c>
      <c r="C122" s="422">
        <f t="shared" si="6"/>
        <v>100</v>
      </c>
      <c r="D122" s="422">
        <f t="shared" si="6"/>
        <v>86.642367155919217</v>
      </c>
      <c r="E122" s="422">
        <f t="shared" si="6"/>
        <v>75.794662214063052</v>
      </c>
      <c r="F122" s="423">
        <f>IF(ISERROR(F115/$C115),"",(F115/$C115)*100)</f>
        <v>76.607341457555421</v>
      </c>
    </row>
    <row r="123" spans="2:7">
      <c r="B123" s="115" t="s">
        <v>181</v>
      </c>
      <c r="C123" s="424">
        <f t="shared" si="6"/>
        <v>100</v>
      </c>
      <c r="D123" s="424">
        <f t="shared" si="6"/>
        <v>102.23420322269901</v>
      </c>
      <c r="E123" s="424">
        <f t="shared" si="6"/>
        <v>107.53476377458074</v>
      </c>
      <c r="F123" s="416">
        <f>IF(ISERROR(F116/$C116),"",(F116/$C116)*100)</f>
        <v>110.3078614367583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The Power Company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45409.517835248495</v>
      </c>
      <c r="D128" s="433">
        <f>VLOOKUP($D$38,'FS (2011)'!$A$13:$AH$244,'FS (2011)'!$I$245,FALSE)</f>
        <v>47591.446221429047</v>
      </c>
      <c r="E128" s="433">
        <f>VLOOKUP($E$38,'FS (2011)'!$A$13:$AH$244,'FS (2011)'!$I$245,FALSE)</f>
        <v>47792.549109428466</v>
      </c>
      <c r="F128" s="440">
        <f>VLOOKUP($F$38,'FS (2011)'!$A$13:$AH$244,'FS (2011)'!$I$245,FALSE)</f>
        <v>47803.902999999998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8529.7686790795815</v>
      </c>
      <c r="D129" s="433">
        <f>VLOOKUP($D$38,'FS (2011)'!$A$13:$AH$244,'FS (2011)'!$Y$245,FALSE)+VLOOKUP($D$38,'FS (2011)'!$A$13:$AH$244,'FS (2011)'!$Z$245,FALSE)</f>
        <v>7675.4209685771129</v>
      </c>
      <c r="E129" s="433">
        <f>VLOOKUP($E$38,'FS (2011)'!$A$13:$AH$244,'FS (2011)'!$Y$245,FALSE)+VLOOKUP($E$38,'FS (2011)'!$A$13:$AH$244,'FS (2011)'!$Z$245,FALSE)</f>
        <v>5437.800659939101</v>
      </c>
      <c r="F129" s="440">
        <f>VLOOKUP($F$38,'FS (2011)'!$A$13:$AH$244,'FS (2011)'!$Y$245,FALSE)+VLOOKUP($F$38,'FS (2011)'!$A$13:$AH$244,'FS (2011)'!$Z$245,FALSE)</f>
        <v>12515.268</v>
      </c>
      <c r="G129" s="121"/>
    </row>
    <row r="130" spans="1:30">
      <c r="B130" s="162" t="s">
        <v>191</v>
      </c>
      <c r="C130" s="441">
        <f>VLOOKUP($C$38,'FS (2011)'!$A$13:$AH$244,'FS (2011)'!$J$245,FALSE)</f>
        <v>9075.434974765476</v>
      </c>
      <c r="D130" s="433">
        <f>VLOOKUP($D$38,'FS (2011)'!$A$13:$AH$244,'FS (2011)'!$J$245,FALSE)</f>
        <v>9360.4988674582983</v>
      </c>
      <c r="E130" s="433">
        <f>VLOOKUP($E$38,'FS (2011)'!$A$13:$AH$244,'FS (2011)'!$J$245,FALSE)</f>
        <v>10474.646600738324</v>
      </c>
      <c r="F130" s="440">
        <f>VLOOKUP($F$38,'FS (2011)'!$A$13:$AH$244,'FS (2011)'!$J$245,FALSE)</f>
        <v>10234</v>
      </c>
    </row>
    <row r="131" spans="1:30">
      <c r="B131" s="162" t="s">
        <v>182</v>
      </c>
      <c r="C131" s="441">
        <f>VLOOKUP($C$38,'FS (2011)'!$A$13:$AH$244,'FS (2011)'!$S$245,FALSE)</f>
        <v>9717.9818083316695</v>
      </c>
      <c r="D131" s="433">
        <f>VLOOKUP($D$38,'FS (2011)'!$A$13:$AH$244,'FS (2011)'!$S$245,FALSE)</f>
        <v>10993.421648706153</v>
      </c>
      <c r="E131" s="433">
        <f>VLOOKUP($E$38,'FS (2011)'!$A$13:$AH$244,'FS (2011)'!$S$245,FALSE)</f>
        <v>11586.196006574868</v>
      </c>
      <c r="F131" s="440">
        <f>VLOOKUP($F$38,'FS (2011)'!$A$13:$AH$244,'FS (2011)'!$S$245,FALSE)</f>
        <v>11319</v>
      </c>
      <c r="I131" s="139"/>
    </row>
    <row r="132" spans="1:30">
      <c r="B132" s="162" t="s">
        <v>143</v>
      </c>
      <c r="C132" s="441">
        <f>VLOOKUP($C$38,'FS (2011)'!$A$13:$AH$244,'FS (2011)'!$U$245,FALSE)</f>
        <v>11510.859969775598</v>
      </c>
      <c r="D132" s="433">
        <f>VLOOKUP($D$38,'FS (2011)'!$A$13:$AH$244,'FS (2011)'!$U$245,FALSE)</f>
        <v>11502.087995057997</v>
      </c>
      <c r="E132" s="433">
        <f>VLOOKUP($E$38,'FS (2011)'!$A$13:$AH$244,'FS (2011)'!$U$245,FALSE)</f>
        <v>12484.808816792864</v>
      </c>
      <c r="F132" s="440">
        <f>VLOOKUP($F$38,'FS (2011)'!$A$13:$AH$244,'FS (2011)'!$U$245,FALSE)</f>
        <v>12698</v>
      </c>
    </row>
    <row r="133" spans="1:30">
      <c r="B133" s="162" t="s">
        <v>196</v>
      </c>
      <c r="C133" s="441">
        <f>VLOOKUP($C$38,'FS (2011)'!$A$13:$AH$244,'FS (2011)'!$X$245,FALSE)</f>
        <v>220.80316595762881</v>
      </c>
      <c r="D133" s="433">
        <f>VLOOKUP($D$38,'FS (2011)'!$A$13:$AH$244,'FS (2011)'!$X$245,FALSE)</f>
        <v>-34.34096403212299</v>
      </c>
      <c r="E133" s="433">
        <f>VLOOKUP($E$38,'FS (2011)'!$A$13:$AH$244,'FS (2011)'!$X$245,FALSE)</f>
        <v>711.96913638543811</v>
      </c>
      <c r="F133" s="440">
        <f>VLOOKUP($F$38,'FS (2011)'!$A$13:$AH$244,'FS (2011)'!$X$245,FALSE)</f>
        <v>396.88992999999999</v>
      </c>
    </row>
    <row r="134" spans="1:30">
      <c r="B134" s="164" t="s">
        <v>258</v>
      </c>
      <c r="C134" s="442">
        <f>VLOOKUP($C$38,'FS (2011)'!$A$13:$AH$244,'FS (2011)'!$AA$245,FALSE)</f>
        <v>23414.206088791307</v>
      </c>
      <c r="D134" s="435">
        <f>VLOOKUP($D$38,'FS (2011)'!$A$13:$AH$244,'FS (2011)'!$AA$245,FALSE)</f>
        <v>23445.200093348885</v>
      </c>
      <c r="E134" s="435">
        <f>VLOOKUP($E$38,'FS (2011)'!$A$13:$AH$244,'FS (2011)'!$AA$245,FALSE)</f>
        <v>17972.728943978873</v>
      </c>
      <c r="F134" s="443">
        <f>VLOOKUP($F$38,'FS (2011)'!$A$13:$AH$244,'FS (2011)'!$AA$245,FALSE)</f>
        <v>25671.280999999999</v>
      </c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2</v>
      </c>
      <c r="B138" s="166" t="s">
        <v>204</v>
      </c>
      <c r="C138" s="167"/>
      <c r="D138" s="444">
        <f>VLOOKUP($D$6,'FS (2011)'!$A$13:$AH$244,'FS (2011)'!$L$245,FALSE)</f>
        <v>2342</v>
      </c>
      <c r="E138" s="446">
        <f t="shared" ref="E138:E144" si="7">D138/$D$145</f>
        <v>0.20690873752098241</v>
      </c>
      <c r="Q138" s="559"/>
      <c r="R138" s="559"/>
      <c r="S138" s="559"/>
      <c r="T138" s="559">
        <v>1</v>
      </c>
      <c r="U138" s="559" t="str">
        <f>VLOOKUP(T138,$A$138:$E$144,2,FALSE)</f>
        <v>Routine and preventative maintenance</v>
      </c>
      <c r="V138" s="559">
        <f>VLOOKUP(T138,$A$138:$E$144,4,FALSE)</f>
        <v>3150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3</v>
      </c>
      <c r="B139" s="162" t="s">
        <v>199</v>
      </c>
      <c r="C139" s="121"/>
      <c r="D139" s="441">
        <f>VLOOKUP($D$6,'FS (2011)'!$A$13:$AH$244,'FS (2011)'!K245,FALSE)</f>
        <v>2324</v>
      </c>
      <c r="E139" s="414">
        <f t="shared" si="7"/>
        <v>0.20531849103277675</v>
      </c>
      <c r="Q139" s="559"/>
      <c r="R139" s="559"/>
      <c r="S139" s="559"/>
      <c r="T139" s="559">
        <v>2</v>
      </c>
      <c r="U139" s="559" t="str">
        <f t="shared" ref="U139:U144" si="9">VLOOKUP(T139,$A$138:$E$144,2,FALSE)</f>
        <v>System management and operations</v>
      </c>
      <c r="V139" s="559">
        <f t="shared" ref="V139:V144" si="10">VLOOKUP(T139,$A$138:$E$144,4,FALSE)</f>
        <v>2342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1</v>
      </c>
      <c r="B140" s="162" t="s">
        <v>201</v>
      </c>
      <c r="C140" s="121"/>
      <c r="D140" s="441">
        <f>VLOOKUP($D$6,'FS (2011)'!$A$13:$AH$244,'FS (2011)'!M245,FALSE)</f>
        <v>3150</v>
      </c>
      <c r="E140" s="414">
        <f t="shared" si="7"/>
        <v>0.2782931354359926</v>
      </c>
      <c r="Q140" s="559"/>
      <c r="R140" s="559"/>
      <c r="S140" s="559"/>
      <c r="T140" s="559">
        <v>3</v>
      </c>
      <c r="U140" s="559" t="str">
        <f t="shared" si="9"/>
        <v>General management, admin and overheads</v>
      </c>
      <c r="V140" s="559">
        <f t="shared" si="10"/>
        <v>2324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5</v>
      </c>
      <c r="B141" s="162" t="s">
        <v>202</v>
      </c>
      <c r="C141" s="121"/>
      <c r="D141" s="441">
        <f>VLOOKUP($D$6,'FS (2011)'!$A$13:$AH$244,'FS (2011)'!N245,FALSE)</f>
        <v>718</v>
      </c>
      <c r="E141" s="414">
        <f t="shared" si="7"/>
        <v>6.3433165473981798E-2</v>
      </c>
      <c r="Q141" s="559"/>
      <c r="R141" s="559"/>
      <c r="S141" s="559"/>
      <c r="T141" s="559">
        <v>4</v>
      </c>
      <c r="U141" s="559" t="str">
        <f t="shared" si="9"/>
        <v>Fault and emergency maintenance</v>
      </c>
      <c r="V141" s="559">
        <f t="shared" si="10"/>
        <v>2274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4</v>
      </c>
      <c r="B142" s="162" t="s">
        <v>203</v>
      </c>
      <c r="C142" s="121"/>
      <c r="D142" s="441">
        <f>VLOOKUP($D$6,'FS (2011)'!$A$13:$AH$244,'FS (2011)'!O245,FALSE)</f>
        <v>2274</v>
      </c>
      <c r="E142" s="414">
        <f t="shared" si="7"/>
        <v>0.20090113967664988</v>
      </c>
      <c r="Q142" s="559"/>
      <c r="R142" s="559"/>
      <c r="S142" s="559"/>
      <c r="T142" s="559">
        <v>5</v>
      </c>
      <c r="U142" s="559" t="str">
        <f t="shared" si="9"/>
        <v>Refurbishment and renewal maintenance</v>
      </c>
      <c r="V142" s="559">
        <f t="shared" si="10"/>
        <v>718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8"/>
        <v>7</v>
      </c>
      <c r="B143" s="162" t="s">
        <v>13</v>
      </c>
      <c r="C143" s="121"/>
      <c r="D143" s="441">
        <f>VLOOKUP($D$6,'FS (2011)'!$A$13:$AH$244,'FS (2011)'!R245,FALSE)</f>
        <v>222</v>
      </c>
      <c r="E143" s="414">
        <f t="shared" si="7"/>
        <v>1.9613040021203287E-2</v>
      </c>
      <c r="Q143" s="559"/>
      <c r="R143" s="559"/>
      <c r="S143" s="559"/>
      <c r="T143" s="559">
        <v>6</v>
      </c>
      <c r="U143" s="559" t="str">
        <f t="shared" si="9"/>
        <v>Pass-through costs</v>
      </c>
      <c r="V143" s="559">
        <f t="shared" si="10"/>
        <v>289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6</v>
      </c>
      <c r="B144" s="162" t="s">
        <v>200</v>
      </c>
      <c r="C144" s="121"/>
      <c r="D144" s="441">
        <f>VLOOKUP($D$6,'FS (2011)'!$A$13:$AH$244,'FS (2011)'!P245,FALSE)</f>
        <v>289</v>
      </c>
      <c r="E144" s="414">
        <f t="shared" si="7"/>
        <v>2.5532290838413286E-2</v>
      </c>
      <c r="Q144" s="559"/>
      <c r="R144" s="559"/>
      <c r="S144" s="559"/>
      <c r="T144" s="559">
        <v>7</v>
      </c>
      <c r="U144" s="559" t="str">
        <f t="shared" si="9"/>
        <v>Other</v>
      </c>
      <c r="V144" s="559">
        <f t="shared" si="10"/>
        <v>222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11319</v>
      </c>
      <c r="E145" s="447">
        <f>SUM(E138:E144)</f>
        <v>1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6.550092694888308</v>
      </c>
      <c r="F149" s="455">
        <f>(VLOOKUP(F$38,'FS (2011)'!$A$13:$AH$244,'FS (2011)'!$M$245,FALSE)+VLOOKUP(F$38,'FS (2011)'!$A$13:$AH$244,'FS (2011)'!$N$245,FALSE)+VLOOKUP(F$38,'FS (2011)'!$A$13:$AH$244,'FS (2011)'!$O$245,FALSE))/1000</f>
        <v>6.1420000000000003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4.4186890679313402</v>
      </c>
      <c r="F150" s="457">
        <f>(VLOOKUP(F$38,'FS (2011)'!$A$13:$AH$244,'FS (2011)'!$L$245,FALSE)+VLOOKUP(F$38,'FS (2011)'!$A$13:$AH$244,'FS (2011)'!$K$245,FALSE))/1000</f>
        <v>4.6660000000000004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0.61741424375522069</v>
      </c>
      <c r="F151" s="457">
        <f>(VLOOKUP(F$38,'FS (2011)'!$A$13:$AH$244,'FS (2011)'!$R$245,FALSE)+VLOOKUP(F$38,'FS (2011)'!$A$13:$AH$244,'FS (2011)'!$P$245,FALSE)+VLOOKUP(F$38,'FS (2011)'!$A$13:$AH$244,'FS (2011)'!$Q$245,FALSE))/1000</f>
        <v>0.51100000000000001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9.71798180833167</v>
      </c>
      <c r="D152" s="458">
        <f>VLOOKUP($D$38,'FS (2011)'!$A$13:$AH$244,'FS (2011)'!$S$245,FALSE)/1000</f>
        <v>10.993421648706153</v>
      </c>
      <c r="E152" s="459">
        <f>VLOOKUP($E$38,'FS (2011)'!$A$13:$AH$244,'FS (2011)'!$S$245,FALSE)/1000</f>
        <v>11.586196006574868</v>
      </c>
      <c r="F152" s="460">
        <f>VLOOKUP($F$38,'FS (2011)'!$A$13:$AH$244,'FS (2011)'!$S$245,FALSE)/1000</f>
        <v>11.319000000000001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-6.2303346517032065E-2</v>
      </c>
      <c r="D154" s="464" t="str">
        <f t="shared" ref="D154:E157" si="11">IF(ISERROR(D149/C149 - 1),"",(D149/C149 - 1))</f>
        <v/>
      </c>
      <c r="E154" s="464" t="str">
        <f t="shared" si="11"/>
        <v/>
      </c>
      <c r="F154" s="465">
        <f>IF(ISERROR(F149/E149 - 1),"",(F149/E149 - 1))</f>
        <v>-6.2303346517032177E-2</v>
      </c>
      <c r="Q154" s="559" t="s">
        <v>423</v>
      </c>
      <c r="R154" s="559" t="e">
        <f t="shared" ref="R154:U157" si="12">LN(C149)</f>
        <v>#NUM!</v>
      </c>
      <c r="S154" s="559" t="e">
        <f t="shared" si="12"/>
        <v>#NUM!</v>
      </c>
      <c r="T154" s="559">
        <f t="shared" si="12"/>
        <v>1.8794792014383681</v>
      </c>
      <c r="U154" s="559">
        <f t="shared" si="12"/>
        <v>1.8151504220186307</v>
      </c>
      <c r="V154" s="559"/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5.5969299551652307E-2</v>
      </c>
      <c r="D155" s="467" t="str">
        <f t="shared" si="11"/>
        <v/>
      </c>
      <c r="E155" s="467" t="str">
        <f t="shared" si="11"/>
        <v/>
      </c>
      <c r="F155" s="468">
        <f>IF(ISERROR(F150/E150 - 1),"",(F150/E150 - 1))</f>
        <v>5.5969299551652307E-2</v>
      </c>
      <c r="Q155" s="559" t="s">
        <v>423</v>
      </c>
      <c r="R155" s="559" t="e">
        <f t="shared" si="12"/>
        <v>#NUM!</v>
      </c>
      <c r="S155" s="559" t="e">
        <f t="shared" si="12"/>
        <v>#NUM!</v>
      </c>
      <c r="T155" s="559">
        <f t="shared" si="12"/>
        <v>1.4858430611320474</v>
      </c>
      <c r="U155" s="559">
        <f t="shared" si="12"/>
        <v>1.5403021735992384</v>
      </c>
      <c r="V155" s="559"/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-0.17235469513626833</v>
      </c>
      <c r="D156" s="467" t="str">
        <f t="shared" si="11"/>
        <v/>
      </c>
      <c r="E156" s="467" t="str">
        <f t="shared" si="11"/>
        <v/>
      </c>
      <c r="F156" s="468">
        <f>IF(ISERROR(F151/E151 - 1),"",(F151/E151 - 1))</f>
        <v>-0.17235469513626822</v>
      </c>
      <c r="Q156" s="559" t="s">
        <v>423</v>
      </c>
      <c r="R156" s="559" t="e">
        <f t="shared" si="12"/>
        <v>#NUM!</v>
      </c>
      <c r="S156" s="559" t="e">
        <f t="shared" si="12"/>
        <v>#NUM!</v>
      </c>
      <c r="T156" s="559">
        <f t="shared" si="12"/>
        <v>-0.48221509663400425</v>
      </c>
      <c r="U156" s="559">
        <f t="shared" si="12"/>
        <v>-0.67138568877843263</v>
      </c>
      <c r="V156" s="559"/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1.4699829060781155E-2</v>
      </c>
      <c r="D157" s="470">
        <f t="shared" si="11"/>
        <v>0.13124534142274169</v>
      </c>
      <c r="E157" s="470">
        <f t="shared" si="11"/>
        <v>5.3920824363038911E-2</v>
      </c>
      <c r="F157" s="471">
        <f>IF(ISERROR(F152/E152 - 1),"",(F152/E152 - 1))</f>
        <v>-2.3061581767064854E-2</v>
      </c>
      <c r="N157" s="136"/>
      <c r="O157" s="136"/>
      <c r="Q157" s="559" t="s">
        <v>423</v>
      </c>
      <c r="R157" s="559">
        <f t="shared" si="12"/>
        <v>2.273977964025967</v>
      </c>
      <c r="S157" s="559">
        <f t="shared" si="12"/>
        <v>2.3972970619701424</v>
      </c>
      <c r="T157" s="559">
        <f t="shared" si="12"/>
        <v>2.449814390067572</v>
      </c>
      <c r="U157" s="559">
        <f t="shared" si="12"/>
        <v>2.4264827296502833</v>
      </c>
      <c r="V157" s="559"/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The Power Company</v>
      </c>
      <c r="C162" s="456">
        <f>(C152/C102)*1000000</f>
        <v>294.502145837071</v>
      </c>
      <c r="D162" s="456">
        <f>(D152/D102)*1000000</f>
        <v>326.29175022872352</v>
      </c>
      <c r="E162" s="456">
        <f>(E152/E102)*1000000</f>
        <v>340.27007361453354</v>
      </c>
      <c r="F162" s="457">
        <f>(F152/F102)*1000000</f>
        <v>328.74444541256429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The Power Company</v>
      </c>
      <c r="C165" s="456">
        <f>C152/VLOOKUP(C$38,'MP (2011)'!$A$14:$AR$245,'MP (2011)'!$H$246,FALSE)*1000000</f>
        <v>1139.3562255179281</v>
      </c>
      <c r="D165" s="456">
        <f>D152/VLOOKUP(D$38,'MP (2011)'!$A$14:$AR$245,'MP (2011)'!$H$246,FALSE)*1000000</f>
        <v>1281.2526177909028</v>
      </c>
      <c r="E165" s="456">
        <f>E152/VLOOKUP(E$38,'MP (2011)'!$A$14:$AR$245,'MP (2011)'!$H$246,FALSE)*1000000</f>
        <v>1346.7325499698213</v>
      </c>
      <c r="F165" s="457">
        <f>F152/VLOOKUP(F$38,'MP (2011)'!$A$14:$AR$245,'MP (2011)'!$H$246,FALSE)*1000000</f>
        <v>1311.5427137330864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The Power Company</v>
      </c>
      <c r="C168" s="456">
        <f>(C152/C117)*1000000</f>
        <v>15.438463687819748</v>
      </c>
      <c r="D168" s="456">
        <f>(D152/D117)*1000000</f>
        <v>16.916437525214654</v>
      </c>
      <c r="E168" s="456">
        <f>(E152/E117)*1000000</f>
        <v>17.325780132653275</v>
      </c>
      <c r="F168" s="457">
        <f>(F152/F117)*1000000</f>
        <v>16.85124228299005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3.7893409308674908E-2</v>
      </c>
      <c r="D171" s="464">
        <f>IF(ISERROR(D162/C162 - 1),"",(D162/C162 - 1))</f>
        <v>0.10794354078913782</v>
      </c>
      <c r="E171" s="464">
        <f>IF(ISERROR(E162/D162 - 1),"",(E162/D162 - 1))</f>
        <v>4.2839953434346878E-2</v>
      </c>
      <c r="F171" s="465">
        <f>IF(ISERROR(F162/E162 - 1),"",(F162/E162 - 1))</f>
        <v>-3.3872000789072598E-2</v>
      </c>
      <c r="H171" s="139"/>
      <c r="Q171" s="559"/>
      <c r="R171" s="559" t="s">
        <v>423</v>
      </c>
      <c r="S171" s="559">
        <f>LN(C162)</f>
        <v>5.6852862894388512</v>
      </c>
      <c r="T171" s="559">
        <f>LN(D162)</f>
        <v>5.7877919204991617</v>
      </c>
      <c r="U171" s="559">
        <f>LN(E162)</f>
        <v>5.8297396364541871</v>
      </c>
      <c r="V171" s="559">
        <f>LN(F162)</f>
        <v>5.7952806872657794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4.8338491498063574E-2</v>
      </c>
      <c r="D172" s="467">
        <f>IF(ISERROR(D165/C165 - 1),"",(D165/C165 - 1))</f>
        <v>0.12454084955604783</v>
      </c>
      <c r="E172" s="467">
        <f>IF(ISERROR(E165/D165 - 1),"",(E165/D165 - 1))</f>
        <v>5.1106184112089448E-2</v>
      </c>
      <c r="F172" s="468">
        <f>IF(ISERROR(F165/E165 - 1),"",(F165/E165 - 1))</f>
        <v>-2.6129788158401168E-2</v>
      </c>
      <c r="Q172" s="559"/>
      <c r="R172" s="559" t="s">
        <v>423</v>
      </c>
      <c r="S172" s="559">
        <f>LN(C165)</f>
        <v>7.0382186674193186</v>
      </c>
      <c r="T172" s="559">
        <f>LN(D165)</f>
        <v>7.1555934860385069</v>
      </c>
      <c r="U172" s="559">
        <f>LN(E165)</f>
        <v>7.2054366043352998</v>
      </c>
      <c r="V172" s="559">
        <f>LN(F165)</f>
        <v>7.1789593673873995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2.9074322057415225E-2</v>
      </c>
      <c r="D173" s="470">
        <f>IF(ISERROR(D168/C168 - 1),"",(D168/C168 - 1))</f>
        <v>9.5733219786691581E-2</v>
      </c>
      <c r="E173" s="470">
        <f>IF(ISERROR(E168/D168 - 1),"",(E168/D168 - 1))</f>
        <v>2.4197920326219924E-2</v>
      </c>
      <c r="F173" s="471">
        <f>IF(ISERROR(F168/E168 - 1),"",(F168/E168 - 1))</f>
        <v>-2.7389118760019371E-2</v>
      </c>
      <c r="Q173" s="559"/>
      <c r="R173" s="559" t="s">
        <v>423</v>
      </c>
      <c r="S173" s="559">
        <f>LN(C168)</f>
        <v>2.7368620375617563</v>
      </c>
      <c r="T173" s="559">
        <f>LN(D168)</f>
        <v>2.8282857838545405</v>
      </c>
      <c r="U173" s="559">
        <f>LN(E168)</f>
        <v>2.8521955733639546</v>
      </c>
      <c r="V173" s="559">
        <f>LN(F168)</f>
        <v>2.8244243800742179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The Power Company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6550.092694888308</v>
      </c>
      <c r="X176" s="563">
        <f>D178</f>
        <v>6142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The Power Company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7252.0702756595065</v>
      </c>
      <c r="X177" s="563">
        <f t="shared" si="14"/>
        <v>6997.3614292258353</v>
      </c>
      <c r="Y177" s="563">
        <f t="shared" si="14"/>
        <v>6793.5943520788978</v>
      </c>
      <c r="Z177" s="563">
        <f t="shared" si="14"/>
        <v>6793.5943520788978</v>
      </c>
      <c r="AA177" s="563">
        <f t="shared" si="14"/>
        <v>6793.5943520788978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6550.092694888308</v>
      </c>
      <c r="D178" s="461">
        <f>VLOOKUP(F38,'FS (2011)'!$A$14:$T$246,'FS (2011)'!$M$245,FALSE)+VLOOKUP(F38,'FS (2011)'!$A$14:$AO$245,'FS (2011)'!$N$245,FALSE)+VLOOKUP(F38,'FS (2011)'!$A$14:$AO$245,'FS (2011)'!$O$245,FALSE)</f>
        <v>6142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5714</v>
      </c>
      <c r="Y178" s="563">
        <f t="shared" si="14"/>
        <v>5561</v>
      </c>
      <c r="Z178" s="563">
        <f t="shared" si="14"/>
        <v>5438</v>
      </c>
      <c r="AA178" s="563">
        <f t="shared" si="14"/>
        <v>5316</v>
      </c>
      <c r="AB178" s="563">
        <f>H180</f>
        <v>5194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7252.0702756595065</v>
      </c>
      <c r="D179" s="461">
        <f>VLOOKUP(D182,'AM (2011)'!$A$10:$N$444,'AM (2011)'!$N$445,FALSE)</f>
        <v>6997.3614292258353</v>
      </c>
      <c r="E179" s="461">
        <f>VLOOKUP(E182,'AM (2011)'!$A$10:$N$444,'AM (2011)'!$N$445,FALSE)</f>
        <v>6793.5943520788978</v>
      </c>
      <c r="F179" s="461">
        <f>VLOOKUP(F182,'AM (2011)'!$A$10:$N$444,'AM (2011)'!$N$445,FALSE)</f>
        <v>6793.5943520788978</v>
      </c>
      <c r="G179" s="461">
        <f>VLOOKUP(G182,'AM (2011)'!$A$10:$N$444,'AM (2011)'!$N$445,FALSE)</f>
        <v>6793.5943520788978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6452.385261797026</v>
      </c>
      <c r="Z179" s="563">
        <f>F181</f>
        <v>6392.7495798319324</v>
      </c>
      <c r="AA179" s="563">
        <f>G181</f>
        <v>5659.5239819004519</v>
      </c>
      <c r="AB179" s="563">
        <f>H181</f>
        <v>5415.1154492566257</v>
      </c>
      <c r="AC179" s="563">
        <f>I181</f>
        <v>5292.9111829347121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5714</v>
      </c>
      <c r="E180" s="461">
        <f>VLOOKUP(E183,'AM (2011)'!$A$10:$N$444,'AM (2011)'!$N$445,FALSE)</f>
        <v>5561</v>
      </c>
      <c r="F180" s="461">
        <f>VLOOKUP(F183,'AM (2011)'!$A$10:$N$444,'AM (2011)'!$N$445,FALSE)</f>
        <v>5438</v>
      </c>
      <c r="G180" s="461">
        <f>VLOOKUP(G183,'AM (2011)'!$A$10:$N$444,'AM (2011)'!$N$445,FALSE)</f>
        <v>5316</v>
      </c>
      <c r="H180" s="461">
        <f>VLOOKUP(H183,'AM (2011)'!$A$10:$N$444,'AM (2011)'!$N$445,FALSE)</f>
        <v>5194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6452.385261797026</v>
      </c>
      <c r="F181" s="493">
        <f>VLOOKUP(F184,'AM (2011)'!$A$10:$N$444,'AM (2011)'!$N$445,FALSE)</f>
        <v>6392.7495798319324</v>
      </c>
      <c r="G181" s="493">
        <f>VLOOKUP(G184,'AM (2011)'!$A$10:$N$444,'AM (2011)'!$N$445,FALSE)</f>
        <v>5659.5239819004519</v>
      </c>
      <c r="H181" s="493">
        <f>VLOOKUP(H184,'AM (2011)'!$A$10:$N$444,'AM (2011)'!$N$445,FALSE)</f>
        <v>5415.1154492566257</v>
      </c>
      <c r="I181" s="494">
        <f>VLOOKUP(I184,'AM (2011)'!$A$10:$N$444,'AM (2011)'!$N$445,FALSE)</f>
        <v>5292.9111829347121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492</v>
      </c>
      <c r="D182" s="136">
        <f>VLOOKUP($B$2,$B$257:$Y$286,11,FALSE)</f>
        <v>493</v>
      </c>
      <c r="E182" s="136">
        <f>VLOOKUP($B$2,$B$257:$Y$286,12,FALSE)</f>
        <v>494</v>
      </c>
      <c r="F182" s="136">
        <f>VLOOKUP($B$2,$B$257:$Y$286,13,FALSE)</f>
        <v>495</v>
      </c>
      <c r="G182" s="136">
        <f>VLOOKUP($B$2,$B$257:$Y$286,14,FALSE)</f>
        <v>496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497</v>
      </c>
      <c r="E183" s="136">
        <f>VLOOKUP($B$2,$B$257:$Y$286,16,FALSE)</f>
        <v>498</v>
      </c>
      <c r="F183" s="136">
        <f>VLOOKUP($B$2,$B$257:$Y$286,17,FALSE)</f>
        <v>499</v>
      </c>
      <c r="G183" s="136">
        <f>VLOOKUP($B$2,$B$257:$Y$286,18,FALSE)</f>
        <v>500</v>
      </c>
      <c r="H183" s="136">
        <f>VLOOKUP($B$2,$B$257:$Y$286,19,FALSE)</f>
        <v>501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502</v>
      </c>
      <c r="F184" s="136">
        <f>VLOOKUP($B$2,$B$257:$Y$286,21,FALSE)</f>
        <v>503</v>
      </c>
      <c r="G184" s="136">
        <f>VLOOKUP($B$2,$B$257:$Y$286,22,FALSE)</f>
        <v>504</v>
      </c>
      <c r="H184" s="136">
        <f>VLOOKUP($B$2,$B$257:$Y$286,23,FALSE)</f>
        <v>505</v>
      </c>
      <c r="I184" s="136">
        <f>VLOOKUP($B$2,$B$257:$Y$286,24,FALSE)</f>
        <v>506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3</v>
      </c>
      <c r="B186" s="483" t="s">
        <v>205</v>
      </c>
      <c r="C186" s="490"/>
      <c r="D186" s="484">
        <f>VLOOKUP($D$6,'FS (2011)'!$A$13:$AH$244,'FS (2011)'!AC245,FALSE)/1000</f>
        <v>2.234</v>
      </c>
      <c r="E186" s="495">
        <f t="shared" ref="E186:E191" si="16">D186/$D$192</f>
        <v>0.18141952249472146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Asset replacement and renewal</v>
      </c>
      <c r="V186" s="559">
        <f t="shared" ref="V186:V191" si="18">VLOOKUP(T186,$A$186:$D$191,4,FALSE)</f>
        <v>6.0129999999999999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4</v>
      </c>
      <c r="B187" s="162" t="s">
        <v>206</v>
      </c>
      <c r="C187" s="121"/>
      <c r="D187" s="456">
        <f>VLOOKUP($D$6,'FS (2011)'!$A$13:$AH$244,'FS (2011)'!AD245,FALSE)/1000</f>
        <v>0.35399999999999998</v>
      </c>
      <c r="E187" s="468">
        <f t="shared" si="16"/>
        <v>2.8747766769530614E-2</v>
      </c>
      <c r="Q187" s="559"/>
      <c r="R187" s="559"/>
      <c r="S187" s="559"/>
      <c r="T187" s="559">
        <v>2</v>
      </c>
      <c r="U187" s="559" t="str">
        <f t="shared" si="17"/>
        <v>Customer connection</v>
      </c>
      <c r="V187" s="559">
        <f t="shared" si="18"/>
        <v>3.335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2</v>
      </c>
      <c r="B188" s="162" t="s">
        <v>209</v>
      </c>
      <c r="C188" s="121"/>
      <c r="D188" s="456">
        <f>VLOOKUP($D$6,'FS (2011)'!$A$13:$AH$244,'FS (2011)'!AB245,FALSE)/1000</f>
        <v>3.335</v>
      </c>
      <c r="E188" s="468">
        <f t="shared" si="16"/>
        <v>0.27082994965080398</v>
      </c>
      <c r="Q188" s="559"/>
      <c r="R188" s="559"/>
      <c r="S188" s="559"/>
      <c r="T188" s="559">
        <v>3</v>
      </c>
      <c r="U188" s="559" t="str">
        <f t="shared" si="17"/>
        <v>System growth</v>
      </c>
      <c r="V188" s="559">
        <f t="shared" si="18"/>
        <v>2.234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1</v>
      </c>
      <c r="B189" s="162" t="s">
        <v>208</v>
      </c>
      <c r="C189" s="121"/>
      <c r="D189" s="456">
        <f>VLOOKUP($D$6,'FS (2011)'!$A$13:$AH$244,'FS (2011)'!AE245,FALSE)/1000</f>
        <v>6.0129999999999999</v>
      </c>
      <c r="E189" s="468">
        <f t="shared" si="16"/>
        <v>0.48830599317849599</v>
      </c>
      <c r="Q189" s="559"/>
      <c r="R189" s="559"/>
      <c r="S189" s="559"/>
      <c r="T189" s="559">
        <v>4</v>
      </c>
      <c r="U189" s="559" t="str">
        <f t="shared" si="17"/>
        <v>Reliability, safety and environment</v>
      </c>
      <c r="V189" s="559">
        <f t="shared" si="18"/>
        <v>0.35399999999999998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5</v>
      </c>
      <c r="B190" s="162" t="s">
        <v>312</v>
      </c>
      <c r="C190" s="121"/>
      <c r="D190" s="456">
        <f>VLOOKUP($D$6,'FS (2011)'!$A$13:$AH$244,'FS (2011)'!AH245,FALSE)/1000</f>
        <v>0.29199999999999998</v>
      </c>
      <c r="E190" s="468">
        <f t="shared" si="16"/>
        <v>2.371284716582751E-2</v>
      </c>
      <c r="Q190" s="559"/>
      <c r="R190" s="559"/>
      <c r="S190" s="559"/>
      <c r="T190" s="559">
        <v>5</v>
      </c>
      <c r="U190" s="559" t="str">
        <f t="shared" si="17"/>
        <v>Non-network capex</v>
      </c>
      <c r="V190" s="559">
        <f t="shared" si="18"/>
        <v>0.29199999999999998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6</v>
      </c>
      <c r="B191" s="162" t="s">
        <v>207</v>
      </c>
      <c r="C191" s="121"/>
      <c r="D191" s="456">
        <f>VLOOKUP($D$6,'FS (2011)'!$A$13:$AH$244,'FS (2011)'!AF245,FALSE)/1000</f>
        <v>8.5999999999999993E-2</v>
      </c>
      <c r="E191" s="468">
        <f t="shared" si="16"/>
        <v>6.9839207406204315E-3</v>
      </c>
      <c r="Q191" s="559"/>
      <c r="R191" s="559"/>
      <c r="S191" s="559"/>
      <c r="T191" s="559">
        <v>6</v>
      </c>
      <c r="U191" s="559" t="str">
        <f t="shared" si="17"/>
        <v>Asset relocations</v>
      </c>
      <c r="V191" s="559">
        <f t="shared" si="18"/>
        <v>8.5999999999999993E-2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12.314</v>
      </c>
      <c r="E192" s="496">
        <f>SUM(E186:E191)</f>
        <v>1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20.466625987282939</v>
      </c>
      <c r="D196" s="484">
        <f>VLOOKUP($D$38,'FS (2011)'!$A$13:$AH$244,'FS (2011)'!$AG$245,FALSE)/1000</f>
        <v>18.035147328711641</v>
      </c>
      <c r="E196" s="484">
        <f>VLOOKUP($E$38,'FS (2011)'!$A$13:$AH$244,'FS (2011)'!$AG$245,FALSE)/1000</f>
        <v>18.325792083209826</v>
      </c>
      <c r="F196" s="486">
        <f>VLOOKUP($F$38,'FS (2011)'!$A$13:$AH$244,'FS (2011)'!$AG$245,FALSE)/1000</f>
        <v>12.022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0.23502551966011803</v>
      </c>
      <c r="D197" s="456">
        <f>VLOOKUP($D$38,'FS (2011)'!$A$13:$AH$244,'FS (2011)'!$AH$245,FALSE)/1000</f>
        <v>1.0474374356510396</v>
      </c>
      <c r="E197" s="456">
        <f>VLOOKUP($E$38,'FS (2011)'!$A$13:$AH$244,'FS (2011)'!$AH$245,FALSE)/1000</f>
        <v>0.74069332542911792</v>
      </c>
      <c r="F197" s="457">
        <f>VLOOKUP($F$38,'FS (2011)'!$A$13:$AH$244,'FS (2011)'!$AH$245,FALSE)/1000</f>
        <v>0.29199999999999998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20.701651506943058</v>
      </c>
      <c r="D198" s="488">
        <f>SUM(D196:D197)</f>
        <v>19.082584764362682</v>
      </c>
      <c r="E198" s="488">
        <f>SUM(E196:E197)</f>
        <v>19.066485408638943</v>
      </c>
      <c r="F198" s="489">
        <f>SUM(F196:F197)</f>
        <v>12.314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-0.14616599490907978</v>
      </c>
      <c r="D200" s="498">
        <f t="shared" ref="D200:F202" si="20">D196/C196 - 1</f>
        <v>-0.11880212498543297</v>
      </c>
      <c r="E200" s="498">
        <f t="shared" si="20"/>
        <v>1.6115463278499664E-2</v>
      </c>
      <c r="F200" s="495">
        <f t="shared" si="20"/>
        <v>-0.34398469952004906</v>
      </c>
      <c r="Q200" s="559"/>
      <c r="R200" s="559" t="s">
        <v>423</v>
      </c>
      <c r="S200" s="559">
        <f t="shared" ref="S200:V202" si="21">LN(C196)</f>
        <v>3.018795558890973</v>
      </c>
      <c r="T200" s="559">
        <f t="shared" si="21"/>
        <v>2.8923224833663079</v>
      </c>
      <c r="U200" s="559">
        <f t="shared" si="21"/>
        <v>2.9083094710246522</v>
      </c>
      <c r="V200" s="559">
        <f t="shared" si="21"/>
        <v>2.4867383046169702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3.0935234605922624E-2</v>
      </c>
      <c r="D201" s="467">
        <f t="shared" si="20"/>
        <v>3.4566966053975348</v>
      </c>
      <c r="E201" s="467">
        <f t="shared" si="20"/>
        <v>-0.2928519640232865</v>
      </c>
      <c r="F201" s="468">
        <f t="shared" si="20"/>
        <v>-0.60577476537832864</v>
      </c>
      <c r="Q201" s="559"/>
      <c r="R201" s="559" t="s">
        <v>423</v>
      </c>
      <c r="S201" s="559">
        <f t="shared" si="21"/>
        <v>-1.4480611764355376</v>
      </c>
      <c r="T201" s="559">
        <f t="shared" si="21"/>
        <v>4.6346643728299282E-2</v>
      </c>
      <c r="U201" s="559">
        <f t="shared" si="21"/>
        <v>-0.30016860516979932</v>
      </c>
      <c r="V201" s="559">
        <f t="shared" si="21"/>
        <v>-1.2310014767138553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-0.14437869242291845</v>
      </c>
      <c r="D202" s="500">
        <f t="shared" si="20"/>
        <v>-7.8209544877970827E-2</v>
      </c>
      <c r="E202" s="500">
        <f t="shared" si="20"/>
        <v>-8.436674550401646E-4</v>
      </c>
      <c r="F202" s="501">
        <f t="shared" si="20"/>
        <v>-0.35415469940670974</v>
      </c>
      <c r="Q202" s="559"/>
      <c r="R202" s="559" t="s">
        <v>423</v>
      </c>
      <c r="S202" s="559">
        <f t="shared" si="21"/>
        <v>3.0302134800329426</v>
      </c>
      <c r="T202" s="559">
        <f t="shared" si="21"/>
        <v>2.948776126675261</v>
      </c>
      <c r="U202" s="559">
        <f t="shared" si="21"/>
        <v>2.9479321031325396</v>
      </c>
      <c r="V202" s="559">
        <f t="shared" si="21"/>
        <v>2.5107368264890182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The Power Company</v>
      </c>
      <c r="C206" s="456">
        <f>(C198/C102)*1000000</f>
        <v>627.3607948040202</v>
      </c>
      <c r="D206" s="456">
        <f>(D198/D102)*1000000</f>
        <v>566.38325906335876</v>
      </c>
      <c r="E206" s="456">
        <f>(E198/E102)*1000000</f>
        <v>559.95551860907324</v>
      </c>
      <c r="F206" s="457">
        <f>(F198/F102)*1000000</f>
        <v>357.64282187563532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The Power Company</v>
      </c>
      <c r="C209" s="456">
        <f>(C198/C117)*1000000000</f>
        <v>32887.661386012296</v>
      </c>
      <c r="D209" s="456">
        <f>(D198/D117)*1000000000</f>
        <v>29363.865346140588</v>
      </c>
      <c r="E209" s="456">
        <f>(E198/E117)*1000000000</f>
        <v>28511.664562299804</v>
      </c>
      <c r="F209" s="457">
        <f>(F198/F117)*1000000000</f>
        <v>18332.555656218698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The Power Company</v>
      </c>
      <c r="C212" s="456">
        <f>(C198/VLOOKUP(C$38,'AV (2011)'!$A$11:$F$213,'AV (2011)'!$F$214,FALSE)*1000)</f>
        <v>7.6794263042227015E-2</v>
      </c>
      <c r="D212" s="456">
        <f>(D198/VLOOKUP(D$38,'AV (2011)'!$A$11:$F$213,'AV (2011)'!$F$214,FALSE)*1000)</f>
        <v>7.0009616920112316E-2</v>
      </c>
      <c r="E212" s="456">
        <f>(E198/VLOOKUP(E$38,'AV (2011)'!$A$11:$F$213,'AV (2011)'!$F$214,FALSE)*1000)</f>
        <v>6.6294291177322343E-2</v>
      </c>
      <c r="F212" s="457">
        <f>(F198/VLOOKUP(F$38,'AV (2011)'!$A$11:$F$213,'AV (2011)'!$F$214,FALSE)*1000)</f>
        <v>4.1807562918192334E-2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-0.15611366697868567</v>
      </c>
      <c r="D215" s="464">
        <f>D206/C206 - 1</f>
        <v>-9.7196918018618073E-2</v>
      </c>
      <c r="E215" s="464">
        <f>E206/D206 - 1</f>
        <v>-1.13487472509608E-2</v>
      </c>
      <c r="F215" s="465">
        <f>F206/E206 - 1</f>
        <v>-0.3613013712874581</v>
      </c>
      <c r="K215" s="139"/>
      <c r="P215" s="139"/>
      <c r="Q215" s="559"/>
      <c r="R215" s="559" t="s">
        <v>423</v>
      </c>
      <c r="S215" s="559">
        <f>LN(C206)</f>
        <v>6.4415218054458272</v>
      </c>
      <c r="T215" s="559">
        <f>LN(D206)</f>
        <v>6.3392709852042808</v>
      </c>
      <c r="U215" s="559">
        <f>LN(E206)</f>
        <v>6.3278573495191548</v>
      </c>
      <c r="V215" s="559">
        <f>LN(F206)</f>
        <v>5.8795347841045142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-0.16328425611077935</v>
      </c>
      <c r="D216" s="467">
        <f>D209/C209 - 1</f>
        <v>-0.10714644615534874</v>
      </c>
      <c r="E216" s="467">
        <f>E209/D209 - 1</f>
        <v>-2.9022091396860072E-2</v>
      </c>
      <c r="F216" s="468">
        <f>F209/E209 - 1</f>
        <v>-0.3570155956289085</v>
      </c>
      <c r="Q216" s="559"/>
      <c r="R216" s="559" t="s">
        <v>423</v>
      </c>
      <c r="S216" s="559">
        <f>LN(C209)</f>
        <v>10.40085283255087</v>
      </c>
      <c r="T216" s="559">
        <f>LN(D209)</f>
        <v>10.287520127541796</v>
      </c>
      <c r="U216" s="559">
        <f>LN(E209)</f>
        <v>10.25806856541106</v>
      </c>
      <c r="V216" s="559">
        <f>LN(F209)</f>
        <v>9.8164337558950905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-0.17127647849712391</v>
      </c>
      <c r="D217" s="470">
        <f>D212/C212 - 1</f>
        <v>-8.8348346000586164E-2</v>
      </c>
      <c r="E217" s="470">
        <f>E212/D212 - 1</f>
        <v>-5.3068791206635435E-2</v>
      </c>
      <c r="F217" s="471">
        <f>F212/E212 - 1</f>
        <v>-0.36936405570177244</v>
      </c>
      <c r="Q217" s="559"/>
      <c r="R217" s="559" t="s">
        <v>423</v>
      </c>
      <c r="S217" s="559">
        <f>LN(C212)</f>
        <v>-2.5666253415896949</v>
      </c>
      <c r="T217" s="559">
        <f>LN(D212)</f>
        <v>-2.659122661796141</v>
      </c>
      <c r="U217" s="559">
        <f>LN(E212)</f>
        <v>-2.713651491420388</v>
      </c>
      <c r="V217" s="559">
        <f>LN(F212)</f>
        <v>-3.1746780247602433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The Power Company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18325.792083209828</v>
      </c>
      <c r="X220" s="563">
        <f>D222</f>
        <v>12022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The Power Company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18835.209776077172</v>
      </c>
      <c r="X221" s="563">
        <f t="shared" si="23"/>
        <v>18575.406752714825</v>
      </c>
      <c r="Y221" s="563">
        <f t="shared" si="23"/>
        <v>21142.871924766237</v>
      </c>
      <c r="Z221" s="563">
        <f t="shared" si="23"/>
        <v>18446.014658726519</v>
      </c>
      <c r="AA221" s="563">
        <f t="shared" si="23"/>
        <v>15561.69168171162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18325.792083209828</v>
      </c>
      <c r="D222" s="461">
        <f>VLOOKUP(D226,'FS (2011)'!$A$14:$AJ$245,'FS (2011)'!$AG$245,FALSE)</f>
        <v>12022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18384</v>
      </c>
      <c r="Y222" s="563">
        <f t="shared" si="23"/>
        <v>18125</v>
      </c>
      <c r="Z222" s="563">
        <f t="shared" si="23"/>
        <v>18648</v>
      </c>
      <c r="AA222" s="563">
        <f t="shared" si="23"/>
        <v>18153</v>
      </c>
      <c r="AB222" s="563">
        <f>H224</f>
        <v>16631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18835.209776077172</v>
      </c>
      <c r="D223" s="461">
        <f>VLOOKUP(D227,'AM (2011)'!$A$10:$N$444,'AM (2011)'!$J$445,FALSE)</f>
        <v>18575.406752714825</v>
      </c>
      <c r="E223" s="461">
        <f>VLOOKUP(E226,'AM (2011)'!$A$10:$N$444,'AM (2011)'!$J$445,FALSE)</f>
        <v>21142.871924766237</v>
      </c>
      <c r="F223" s="461">
        <f>VLOOKUP(F226,'AM (2011)'!$A$10:$N$444,'AM (2011)'!$J$445,FALSE)</f>
        <v>18446.014658726519</v>
      </c>
      <c r="G223" s="461">
        <f>VLOOKUP(G226,'AM (2011)'!$A$10:$N$444,'AM (2011)'!$J$445,FALSE)</f>
        <v>15561.69168171162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20798.188493859081</v>
      </c>
      <c r="Z223" s="563">
        <f>F225</f>
        <v>19627.96043956044</v>
      </c>
      <c r="AA223" s="563">
        <f>G225</f>
        <v>19564.414221073042</v>
      </c>
      <c r="AB223" s="563">
        <f>H225</f>
        <v>17803.695151906915</v>
      </c>
      <c r="AC223" s="563">
        <f>I225</f>
        <v>17898.52566257272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18384</v>
      </c>
      <c r="E224" s="461">
        <f>VLOOKUP(E227,'AM (2011)'!$A$10:$N$444,'AM (2011)'!$J$445,FALSE)</f>
        <v>18125</v>
      </c>
      <c r="F224" s="461">
        <f>VLOOKUP(F227,'AM (2011)'!$A$10:$N$444,'AM (2011)'!$J$445,FALSE)</f>
        <v>18648</v>
      </c>
      <c r="G224" s="461">
        <f>VLOOKUP(G227,'AM (2011)'!$A$10:$N$444,'AM (2011)'!$J$445,FALSE)</f>
        <v>18153</v>
      </c>
      <c r="H224" s="461">
        <f>VLOOKUP(H227,'AM (2011)'!$A$10:$N$444,'AM (2011)'!$J$445,FALSE)</f>
        <v>16631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20798.188493859081</v>
      </c>
      <c r="F225" s="493">
        <f>VLOOKUP(F228,'AM (2011)'!$A$10:$N$444,'AM (2011)'!$J$445,FALSE)</f>
        <v>19627.96043956044</v>
      </c>
      <c r="G225" s="493">
        <f>VLOOKUP(G228,'AM (2011)'!$A$10:$N$444,'AM (2011)'!$J$445,FALSE)</f>
        <v>19564.414221073042</v>
      </c>
      <c r="H225" s="493">
        <f>VLOOKUP(H228,'AM (2011)'!$A$10:$N$444,'AM (2011)'!$J$445,FALSE)</f>
        <v>17803.695151906915</v>
      </c>
      <c r="I225" s="494">
        <f>VLOOKUP(I228,'AM (2011)'!$A$10:$N$444,'AM (2011)'!$J$445,FALSE)</f>
        <v>17898.52566257272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490</v>
      </c>
      <c r="D226" s="136">
        <f>VLOOKUP($B$2,$B$257:$Y$286,9,FALSE)</f>
        <v>491</v>
      </c>
      <c r="E226" s="136">
        <f>VLOOKUP($B$2,$B$257:$Y$286,12,FALSE)</f>
        <v>494</v>
      </c>
      <c r="F226" s="136">
        <f>VLOOKUP($B$2,$B$257:$Y$286,13,FALSE)</f>
        <v>495</v>
      </c>
      <c r="G226" s="136">
        <f>VLOOKUP($B$2,$B$257:$Y$286,14,FALSE)</f>
        <v>496</v>
      </c>
      <c r="H226" s="136"/>
      <c r="I226" s="136"/>
    </row>
    <row r="227" spans="2:30">
      <c r="C227" s="136">
        <f>VLOOKUP($B$2,$B$257:$Y$286,10,FALSE)</f>
        <v>492</v>
      </c>
      <c r="D227" s="136">
        <f>VLOOKUP($B$2,$B$257:$Y$286,11,FALSE)</f>
        <v>493</v>
      </c>
      <c r="E227" s="136">
        <f>VLOOKUP($B$2,$B$257:$Y$286,16,FALSE)</f>
        <v>498</v>
      </c>
      <c r="F227" s="136">
        <f>VLOOKUP($B$2,$B$257:$Y$286,17,FALSE)</f>
        <v>499</v>
      </c>
      <c r="G227" s="136">
        <f>VLOOKUP($B$2,$B$257:$Y$286,18,FALSE)</f>
        <v>500</v>
      </c>
      <c r="H227" s="136">
        <f>VLOOKUP($B$2,$B$257:$Y$286,19,FALSE)</f>
        <v>501</v>
      </c>
      <c r="I227" s="136"/>
    </row>
    <row r="228" spans="2:30">
      <c r="B228" s="517" t="s">
        <v>291</v>
      </c>
      <c r="C228" s="518"/>
      <c r="D228" s="518">
        <f>VLOOKUP($B$2,$B$257:$Y$286,15,FALSE)</f>
        <v>497</v>
      </c>
      <c r="E228" s="518">
        <f>VLOOKUP($B$2,$B$257:$Y$286,20,FALSE)</f>
        <v>502</v>
      </c>
      <c r="F228" s="519">
        <f>VLOOKUP($B$2,$B$257:$Y$286,21,FALSE)</f>
        <v>503</v>
      </c>
      <c r="G228" s="136">
        <f>VLOOKUP($B$2,$B$257:$Y$286,22,FALSE)</f>
        <v>504</v>
      </c>
      <c r="H228" s="136">
        <f>VLOOKUP($B$2,$B$257:$Y$286,23,FALSE)</f>
        <v>505</v>
      </c>
      <c r="I228" s="136">
        <f>VLOOKUP($B$2,$B$257:$Y$286,24,FALSE)</f>
        <v>506</v>
      </c>
    </row>
    <row r="229" spans="2:30">
      <c r="B229" s="474" t="str">
        <f>$B$2</f>
        <v>The Power Company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294.77999999999997</v>
      </c>
      <c r="D230" s="456">
        <f>VLOOKUP(D$38,'MP (2011)'!$A$11:$AR$245,'MP (2011)'!$S$246,FALSE)+VLOOKUP(D$38,'MP (2011)'!$A$11:$AR$245,'MP (2011)'!$T$246,FALSE)</f>
        <v>210.227</v>
      </c>
      <c r="E230" s="456">
        <f>VLOOKUP(E$38,'MP (2011)'!$A$11:$AR$245,'MP (2011)'!$S$246,FALSE)+VLOOKUP(E$38,'MP (2011)'!$A$11:$AR$245,'MP (2011)'!$T$246,FALSE)</f>
        <v>209.51</v>
      </c>
      <c r="F230" s="457">
        <f>VLOOKUP(F$38,'MP (2011)'!$A$11:$AR$245,'MP (2011)'!$S$246,FALSE)+VLOOKUP(F$38,'MP (2011)'!$A$11:$AR$245,'MP (2011)'!$T$246,FALSE)</f>
        <v>209.06</v>
      </c>
    </row>
    <row r="231" spans="2:30">
      <c r="B231" s="199" t="s">
        <v>292</v>
      </c>
      <c r="C231" s="456" t="str">
        <f>IF(ISERROR(VLOOKUP(C$38,'Compliance data'!$A$7:$E$74,'Compliance data'!$D$75,FALSE)),"",(VLOOKUP(C$38,'Compliance data'!$A$7:$E$74,'Compliance data'!$D$75,FALSE)))</f>
        <v/>
      </c>
      <c r="D231" s="456" t="str">
        <f>IF(ISERROR(VLOOKUP(D$38,'Compliance data'!$A$7:$E$74,'Compliance data'!$D$75,FALSE)),"",(VLOOKUP(D$38,'Compliance data'!$A$7:$E$74,'Compliance data'!$D$75,FALSE)))</f>
        <v/>
      </c>
      <c r="E231" s="456" t="str">
        <f>IF(ISERROR(VLOOKUP(E$38,'Compliance data'!$A$7:$E$74,'Compliance data'!$D$75,FALSE)),"",(VLOOKUP(E$38,'Compliance data'!$A$7:$E$74,'Compliance data'!$D$75,FALSE)))</f>
        <v/>
      </c>
      <c r="F231" s="457" t="str">
        <f>IF(ISERROR(VLOOKUP(F$38,'Compliance data'!$A$7:$E$74,'Compliance data'!$D$75,FALSE)),"",(VLOOKUP(F$38,'Compliance data'!$A$7:$E$74,'Compliance data'!$D$75,FALSE)))</f>
        <v/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3.75</v>
      </c>
      <c r="D237" s="456">
        <f>VLOOKUP(D$38,'MP (2011)'!$A$11:$AR$245,'MP (2011)'!$W$246,FALSE)+VLOOKUP(D$38,'MP (2011)'!$A$11:$AR$245,'MP (2011)'!$X$246,FALSE)</f>
        <v>4.0663</v>
      </c>
      <c r="E237" s="456">
        <f>VLOOKUP(E$38,'MP (2011)'!$A$11:$AR$245,'MP (2011)'!$W$246,FALSE)+VLOOKUP(E$38,'MP (2011)'!$A$11:$AR$245,'MP (2011)'!$X$246,FALSE)</f>
        <v>2.8813</v>
      </c>
      <c r="F237" s="457">
        <f>VLOOKUP(F$38,'MP (2011)'!$A$11:$AR$245,'MP (2011)'!$W$246,FALSE)+VLOOKUP(F$38,'MP (2011)'!$A$11:$AR$245,'MP (2011)'!$X$246,FALSE)</f>
        <v>3.21</v>
      </c>
    </row>
    <row r="238" spans="2:30">
      <c r="B238" s="199" t="s">
        <v>292</v>
      </c>
      <c r="C238" s="456" t="str">
        <f>IF(ISERROR(VLOOKUP(C$38,'Compliance data'!$A$7:$E$74,'Compliance data'!$E$75,FALSE)),"",(VLOOKUP(C$38,'Compliance data'!$A$7:$E$74,'Compliance data'!$E$75,FALSE)))</f>
        <v/>
      </c>
      <c r="D238" s="456" t="str">
        <f>IF(ISERROR(VLOOKUP(D$38,'Compliance data'!$A$7:$E$74,'Compliance data'!$E$75,FALSE)),"",(VLOOKUP(D$38,'Compliance data'!$A$7:$E$74,'Compliance data'!$E$75,FALSE)))</f>
        <v/>
      </c>
      <c r="E238" s="456" t="str">
        <f>IF(ISERROR(VLOOKUP(E$38,'Compliance data'!$A$7:$E$74,'Compliance data'!$E$75,FALSE)),"",(VLOOKUP(E$38,'Compliance data'!$A$7:$E$74,'Compliance data'!$E$75,FALSE)))</f>
        <v/>
      </c>
      <c r="F238" s="457" t="str">
        <f>IF(ISERROR(VLOOKUP(F$38,'Compliance data'!$A$7:$E$74,'Compliance data'!$E$75,FALSE)),"",(VLOOKUP(F$38,'Compliance data'!$A$7:$E$74,'Compliance data'!$E$75,FALSE)))</f>
        <v/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ref="T258:Y273" si="25">S258+1</f>
        <v>18</v>
      </c>
      <c r="U258" s="526">
        <f t="shared" si="25"/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4"/>
        <v>25</v>
      </c>
      <c r="E259" s="526">
        <f t="shared" si="24"/>
        <v>26</v>
      </c>
      <c r="F259" s="526">
        <f t="shared" si="24"/>
        <v>27</v>
      </c>
      <c r="G259" s="526">
        <f t="shared" si="24"/>
        <v>28</v>
      </c>
      <c r="H259" s="526">
        <f t="shared" si="24"/>
        <v>29</v>
      </c>
      <c r="I259" s="526">
        <f t="shared" si="24"/>
        <v>30</v>
      </c>
      <c r="J259" s="526">
        <f t="shared" si="24"/>
        <v>31</v>
      </c>
      <c r="K259" s="526">
        <f t="shared" si="24"/>
        <v>32</v>
      </c>
      <c r="L259" s="526">
        <f t="shared" si="24"/>
        <v>33</v>
      </c>
      <c r="M259" s="526">
        <f t="shared" si="24"/>
        <v>34</v>
      </c>
      <c r="N259" s="526">
        <f t="shared" si="24"/>
        <v>35</v>
      </c>
      <c r="O259" s="526">
        <f t="shared" si="24"/>
        <v>36</v>
      </c>
      <c r="P259" s="526">
        <f t="shared" si="24"/>
        <v>37</v>
      </c>
      <c r="Q259" s="526">
        <f t="shared" si="24"/>
        <v>38</v>
      </c>
      <c r="R259" s="526">
        <f t="shared" si="24"/>
        <v>39</v>
      </c>
      <c r="S259" s="526">
        <f t="shared" si="24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6">Y259+1</f>
        <v>47</v>
      </c>
      <c r="D260" s="526">
        <f t="shared" si="24"/>
        <v>48</v>
      </c>
      <c r="E260" s="526">
        <f t="shared" si="24"/>
        <v>49</v>
      </c>
      <c r="F260" s="526">
        <f t="shared" si="24"/>
        <v>50</v>
      </c>
      <c r="G260" s="526">
        <f t="shared" si="24"/>
        <v>51</v>
      </c>
      <c r="H260" s="526">
        <f t="shared" si="24"/>
        <v>52</v>
      </c>
      <c r="I260" s="526">
        <f t="shared" si="24"/>
        <v>53</v>
      </c>
      <c r="J260" s="526">
        <f t="shared" si="24"/>
        <v>54</v>
      </c>
      <c r="K260" s="526">
        <f t="shared" si="24"/>
        <v>55</v>
      </c>
      <c r="L260" s="526">
        <f t="shared" si="24"/>
        <v>56</v>
      </c>
      <c r="M260" s="526">
        <f t="shared" si="24"/>
        <v>57</v>
      </c>
      <c r="N260" s="526">
        <f t="shared" si="24"/>
        <v>58</v>
      </c>
      <c r="O260" s="526">
        <f t="shared" si="24"/>
        <v>59</v>
      </c>
      <c r="P260" s="526">
        <f t="shared" si="24"/>
        <v>60</v>
      </c>
      <c r="Q260" s="526">
        <f t="shared" si="24"/>
        <v>61</v>
      </c>
      <c r="R260" s="526">
        <f t="shared" si="24"/>
        <v>62</v>
      </c>
      <c r="S260" s="526">
        <f t="shared" si="24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6"/>
        <v>70</v>
      </c>
      <c r="D261" s="526">
        <f t="shared" si="24"/>
        <v>71</v>
      </c>
      <c r="E261" s="526">
        <f t="shared" si="24"/>
        <v>72</v>
      </c>
      <c r="F261" s="526">
        <f t="shared" si="24"/>
        <v>73</v>
      </c>
      <c r="G261" s="526">
        <f t="shared" si="24"/>
        <v>74</v>
      </c>
      <c r="H261" s="526">
        <f t="shared" si="24"/>
        <v>75</v>
      </c>
      <c r="I261" s="526">
        <f t="shared" si="24"/>
        <v>76</v>
      </c>
      <c r="J261" s="526">
        <f t="shared" si="24"/>
        <v>77</v>
      </c>
      <c r="K261" s="526">
        <f t="shared" si="24"/>
        <v>78</v>
      </c>
      <c r="L261" s="526">
        <f t="shared" si="24"/>
        <v>79</v>
      </c>
      <c r="M261" s="526">
        <f t="shared" si="24"/>
        <v>80</v>
      </c>
      <c r="N261" s="526">
        <f t="shared" si="24"/>
        <v>81</v>
      </c>
      <c r="O261" s="526">
        <f t="shared" si="24"/>
        <v>82</v>
      </c>
      <c r="P261" s="526">
        <f t="shared" si="24"/>
        <v>83</v>
      </c>
      <c r="Q261" s="526">
        <f t="shared" si="24"/>
        <v>84</v>
      </c>
      <c r="R261" s="526">
        <f t="shared" si="24"/>
        <v>85</v>
      </c>
      <c r="S261" s="526">
        <f t="shared" si="24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6"/>
        <v>93</v>
      </c>
      <c r="D262" s="526">
        <f t="shared" si="24"/>
        <v>94</v>
      </c>
      <c r="E262" s="526">
        <f t="shared" si="24"/>
        <v>95</v>
      </c>
      <c r="F262" s="526">
        <f t="shared" si="24"/>
        <v>96</v>
      </c>
      <c r="G262" s="526">
        <f t="shared" si="24"/>
        <v>97</v>
      </c>
      <c r="H262" s="526">
        <f t="shared" si="24"/>
        <v>98</v>
      </c>
      <c r="I262" s="526">
        <f t="shared" si="24"/>
        <v>99</v>
      </c>
      <c r="J262" s="526">
        <f t="shared" si="24"/>
        <v>100</v>
      </c>
      <c r="K262" s="526">
        <f t="shared" si="24"/>
        <v>101</v>
      </c>
      <c r="L262" s="526">
        <f t="shared" si="24"/>
        <v>102</v>
      </c>
      <c r="M262" s="526">
        <f t="shared" si="24"/>
        <v>103</v>
      </c>
      <c r="N262" s="526">
        <f t="shared" si="24"/>
        <v>104</v>
      </c>
      <c r="O262" s="526">
        <f t="shared" si="24"/>
        <v>105</v>
      </c>
      <c r="P262" s="526">
        <f t="shared" si="24"/>
        <v>106</v>
      </c>
      <c r="Q262" s="526">
        <f t="shared" si="24"/>
        <v>107</v>
      </c>
      <c r="R262" s="526">
        <f t="shared" si="24"/>
        <v>108</v>
      </c>
      <c r="S262" s="526">
        <f t="shared" si="24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6"/>
        <v>116</v>
      </c>
      <c r="D263" s="526">
        <f t="shared" si="24"/>
        <v>117</v>
      </c>
      <c r="E263" s="526">
        <f t="shared" si="24"/>
        <v>118</v>
      </c>
      <c r="F263" s="526">
        <f t="shared" si="24"/>
        <v>119</v>
      </c>
      <c r="G263" s="526">
        <f t="shared" si="24"/>
        <v>120</v>
      </c>
      <c r="H263" s="526">
        <f t="shared" si="24"/>
        <v>121</v>
      </c>
      <c r="I263" s="526">
        <f t="shared" si="24"/>
        <v>122</v>
      </c>
      <c r="J263" s="526">
        <f t="shared" si="24"/>
        <v>123</v>
      </c>
      <c r="K263" s="526">
        <f t="shared" si="24"/>
        <v>124</v>
      </c>
      <c r="L263" s="526">
        <f t="shared" si="24"/>
        <v>125</v>
      </c>
      <c r="M263" s="526">
        <f t="shared" si="24"/>
        <v>126</v>
      </c>
      <c r="N263" s="526">
        <f t="shared" si="24"/>
        <v>127</v>
      </c>
      <c r="O263" s="526">
        <f t="shared" si="24"/>
        <v>128</v>
      </c>
      <c r="P263" s="526">
        <f t="shared" si="24"/>
        <v>129</v>
      </c>
      <c r="Q263" s="526">
        <f t="shared" si="24"/>
        <v>130</v>
      </c>
      <c r="R263" s="526">
        <f t="shared" si="24"/>
        <v>131</v>
      </c>
      <c r="S263" s="526">
        <f t="shared" si="24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6"/>
        <v>139</v>
      </c>
      <c r="D264" s="526">
        <f t="shared" si="24"/>
        <v>140</v>
      </c>
      <c r="E264" s="526">
        <f t="shared" si="24"/>
        <v>141</v>
      </c>
      <c r="F264" s="526">
        <f t="shared" si="24"/>
        <v>142</v>
      </c>
      <c r="G264" s="526">
        <f t="shared" si="24"/>
        <v>143</v>
      </c>
      <c r="H264" s="526">
        <f t="shared" si="24"/>
        <v>144</v>
      </c>
      <c r="I264" s="526">
        <f t="shared" si="24"/>
        <v>145</v>
      </c>
      <c r="J264" s="526">
        <f t="shared" si="24"/>
        <v>146</v>
      </c>
      <c r="K264" s="526">
        <f t="shared" si="24"/>
        <v>147</v>
      </c>
      <c r="L264" s="526">
        <f t="shared" si="24"/>
        <v>148</v>
      </c>
      <c r="M264" s="526">
        <f t="shared" si="24"/>
        <v>149</v>
      </c>
      <c r="N264" s="526">
        <f t="shared" si="24"/>
        <v>150</v>
      </c>
      <c r="O264" s="526">
        <f t="shared" si="24"/>
        <v>151</v>
      </c>
      <c r="P264" s="526">
        <f t="shared" si="24"/>
        <v>152</v>
      </c>
      <c r="Q264" s="526">
        <f t="shared" si="24"/>
        <v>153</v>
      </c>
      <c r="R264" s="526">
        <f t="shared" si="24"/>
        <v>154</v>
      </c>
      <c r="S264" s="526">
        <f t="shared" si="24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6"/>
        <v>162</v>
      </c>
      <c r="D265" s="526">
        <f t="shared" si="24"/>
        <v>163</v>
      </c>
      <c r="E265" s="526">
        <f t="shared" si="24"/>
        <v>164</v>
      </c>
      <c r="F265" s="526">
        <f t="shared" si="24"/>
        <v>165</v>
      </c>
      <c r="G265" s="526">
        <f t="shared" si="24"/>
        <v>166</v>
      </c>
      <c r="H265" s="526">
        <f t="shared" si="24"/>
        <v>167</v>
      </c>
      <c r="I265" s="526">
        <f t="shared" si="24"/>
        <v>168</v>
      </c>
      <c r="J265" s="526">
        <f t="shared" si="24"/>
        <v>169</v>
      </c>
      <c r="K265" s="526">
        <f t="shared" si="24"/>
        <v>170</v>
      </c>
      <c r="L265" s="526">
        <f t="shared" si="24"/>
        <v>171</v>
      </c>
      <c r="M265" s="526">
        <f t="shared" si="24"/>
        <v>172</v>
      </c>
      <c r="N265" s="526">
        <f t="shared" si="24"/>
        <v>173</v>
      </c>
      <c r="O265" s="526">
        <f t="shared" si="24"/>
        <v>174</v>
      </c>
      <c r="P265" s="526">
        <f t="shared" si="24"/>
        <v>175</v>
      </c>
      <c r="Q265" s="526">
        <f t="shared" si="24"/>
        <v>176</v>
      </c>
      <c r="R265" s="526">
        <f t="shared" si="24"/>
        <v>177</v>
      </c>
      <c r="S265" s="526">
        <f t="shared" si="24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6"/>
        <v>185</v>
      </c>
      <c r="D266" s="526">
        <f t="shared" si="24"/>
        <v>186</v>
      </c>
      <c r="E266" s="526">
        <f t="shared" si="24"/>
        <v>187</v>
      </c>
      <c r="F266" s="526">
        <f t="shared" si="24"/>
        <v>188</v>
      </c>
      <c r="G266" s="526">
        <f t="shared" si="24"/>
        <v>189</v>
      </c>
      <c r="H266" s="526">
        <f t="shared" si="24"/>
        <v>190</v>
      </c>
      <c r="I266" s="526">
        <f t="shared" si="24"/>
        <v>191</v>
      </c>
      <c r="J266" s="526">
        <f t="shared" si="24"/>
        <v>192</v>
      </c>
      <c r="K266" s="526">
        <f t="shared" si="24"/>
        <v>193</v>
      </c>
      <c r="L266" s="526">
        <f t="shared" si="24"/>
        <v>194</v>
      </c>
      <c r="M266" s="526">
        <f t="shared" si="24"/>
        <v>195</v>
      </c>
      <c r="N266" s="526">
        <f t="shared" si="24"/>
        <v>196</v>
      </c>
      <c r="O266" s="526">
        <f t="shared" si="24"/>
        <v>197</v>
      </c>
      <c r="P266" s="526">
        <f t="shared" si="24"/>
        <v>198</v>
      </c>
      <c r="Q266" s="526">
        <f t="shared" si="24"/>
        <v>199</v>
      </c>
      <c r="R266" s="526">
        <f t="shared" si="24"/>
        <v>200</v>
      </c>
      <c r="S266" s="526">
        <f t="shared" si="24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6"/>
        <v>208</v>
      </c>
      <c r="D267" s="526">
        <f t="shared" si="24"/>
        <v>209</v>
      </c>
      <c r="E267" s="526">
        <f t="shared" si="24"/>
        <v>210</v>
      </c>
      <c r="F267" s="526">
        <f t="shared" si="24"/>
        <v>211</v>
      </c>
      <c r="G267" s="526">
        <f t="shared" si="24"/>
        <v>212</v>
      </c>
      <c r="H267" s="526">
        <f t="shared" si="24"/>
        <v>213</v>
      </c>
      <c r="I267" s="526">
        <f t="shared" si="24"/>
        <v>214</v>
      </c>
      <c r="J267" s="526">
        <f t="shared" si="24"/>
        <v>215</v>
      </c>
      <c r="K267" s="526">
        <f t="shared" si="24"/>
        <v>216</v>
      </c>
      <c r="L267" s="526">
        <f t="shared" si="24"/>
        <v>217</v>
      </c>
      <c r="M267" s="526">
        <f t="shared" si="24"/>
        <v>218</v>
      </c>
      <c r="N267" s="526">
        <f t="shared" si="24"/>
        <v>219</v>
      </c>
      <c r="O267" s="526">
        <f t="shared" si="24"/>
        <v>220</v>
      </c>
      <c r="P267" s="526">
        <f t="shared" si="24"/>
        <v>221</v>
      </c>
      <c r="Q267" s="526">
        <f t="shared" si="24"/>
        <v>222</v>
      </c>
      <c r="R267" s="526">
        <f t="shared" si="24"/>
        <v>223</v>
      </c>
      <c r="S267" s="526">
        <f t="shared" si="24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6"/>
        <v>231</v>
      </c>
      <c r="D268" s="526">
        <f t="shared" si="24"/>
        <v>232</v>
      </c>
      <c r="E268" s="526">
        <f t="shared" si="24"/>
        <v>233</v>
      </c>
      <c r="F268" s="526">
        <f t="shared" si="24"/>
        <v>234</v>
      </c>
      <c r="G268" s="526">
        <f t="shared" si="24"/>
        <v>235</v>
      </c>
      <c r="H268" s="526">
        <f t="shared" si="24"/>
        <v>236</v>
      </c>
      <c r="I268" s="526">
        <f t="shared" si="24"/>
        <v>237</v>
      </c>
      <c r="J268" s="526">
        <f t="shared" si="24"/>
        <v>238</v>
      </c>
      <c r="K268" s="526">
        <f t="shared" si="24"/>
        <v>239</v>
      </c>
      <c r="L268" s="526">
        <f t="shared" si="24"/>
        <v>240</v>
      </c>
      <c r="M268" s="526">
        <f t="shared" si="24"/>
        <v>241</v>
      </c>
      <c r="N268" s="526">
        <f t="shared" si="24"/>
        <v>242</v>
      </c>
      <c r="O268" s="526">
        <f t="shared" si="24"/>
        <v>243</v>
      </c>
      <c r="P268" s="526">
        <f t="shared" si="24"/>
        <v>244</v>
      </c>
      <c r="Q268" s="526">
        <f t="shared" si="24"/>
        <v>245</v>
      </c>
      <c r="R268" s="526">
        <f t="shared" si="24"/>
        <v>246</v>
      </c>
      <c r="S268" s="526">
        <f t="shared" si="24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6"/>
        <v>254</v>
      </c>
      <c r="D269" s="526">
        <f t="shared" si="24"/>
        <v>255</v>
      </c>
      <c r="E269" s="526">
        <f t="shared" si="24"/>
        <v>256</v>
      </c>
      <c r="F269" s="526">
        <f t="shared" si="24"/>
        <v>257</v>
      </c>
      <c r="G269" s="526">
        <f t="shared" si="24"/>
        <v>258</v>
      </c>
      <c r="H269" s="526">
        <f t="shared" si="24"/>
        <v>259</v>
      </c>
      <c r="I269" s="526">
        <f t="shared" si="24"/>
        <v>260</v>
      </c>
      <c r="J269" s="526">
        <f t="shared" si="24"/>
        <v>261</v>
      </c>
      <c r="K269" s="526">
        <f t="shared" si="24"/>
        <v>262</v>
      </c>
      <c r="L269" s="526">
        <f t="shared" si="24"/>
        <v>263</v>
      </c>
      <c r="M269" s="526">
        <f t="shared" si="24"/>
        <v>264</v>
      </c>
      <c r="N269" s="526">
        <f t="shared" si="24"/>
        <v>265</v>
      </c>
      <c r="O269" s="526">
        <f t="shared" si="24"/>
        <v>266</v>
      </c>
      <c r="P269" s="526">
        <f t="shared" si="24"/>
        <v>267</v>
      </c>
      <c r="Q269" s="526">
        <f t="shared" si="24"/>
        <v>268</v>
      </c>
      <c r="R269" s="526">
        <f t="shared" si="24"/>
        <v>269</v>
      </c>
      <c r="S269" s="526">
        <f t="shared" si="24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6"/>
        <v>277</v>
      </c>
      <c r="D270" s="526">
        <f t="shared" si="24"/>
        <v>278</v>
      </c>
      <c r="E270" s="526">
        <f t="shared" si="24"/>
        <v>279</v>
      </c>
      <c r="F270" s="526">
        <f t="shared" si="24"/>
        <v>280</v>
      </c>
      <c r="G270" s="526">
        <f t="shared" si="24"/>
        <v>281</v>
      </c>
      <c r="H270" s="526">
        <f t="shared" si="24"/>
        <v>282</v>
      </c>
      <c r="I270" s="526">
        <f t="shared" si="24"/>
        <v>283</v>
      </c>
      <c r="J270" s="526">
        <f t="shared" si="24"/>
        <v>284</v>
      </c>
      <c r="K270" s="526">
        <f t="shared" si="24"/>
        <v>285</v>
      </c>
      <c r="L270" s="526">
        <f t="shared" si="24"/>
        <v>286</v>
      </c>
      <c r="M270" s="526">
        <f t="shared" si="24"/>
        <v>287</v>
      </c>
      <c r="N270" s="526">
        <f t="shared" si="24"/>
        <v>288</v>
      </c>
      <c r="O270" s="526">
        <f t="shared" si="24"/>
        <v>289</v>
      </c>
      <c r="P270" s="526">
        <f t="shared" si="24"/>
        <v>290</v>
      </c>
      <c r="Q270" s="526">
        <f t="shared" si="24"/>
        <v>291</v>
      </c>
      <c r="R270" s="526">
        <f t="shared" si="24"/>
        <v>292</v>
      </c>
      <c r="S270" s="526">
        <f t="shared" si="24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6"/>
        <v>300</v>
      </c>
      <c r="D271" s="526">
        <f t="shared" si="24"/>
        <v>301</v>
      </c>
      <c r="E271" s="526">
        <f t="shared" si="24"/>
        <v>302</v>
      </c>
      <c r="F271" s="526">
        <f t="shared" si="24"/>
        <v>303</v>
      </c>
      <c r="G271" s="526">
        <f t="shared" si="24"/>
        <v>304</v>
      </c>
      <c r="H271" s="526">
        <f t="shared" si="24"/>
        <v>305</v>
      </c>
      <c r="I271" s="526">
        <f t="shared" si="24"/>
        <v>306</v>
      </c>
      <c r="J271" s="526">
        <f t="shared" si="24"/>
        <v>307</v>
      </c>
      <c r="K271" s="526">
        <f t="shared" si="24"/>
        <v>308</v>
      </c>
      <c r="L271" s="526">
        <f t="shared" si="24"/>
        <v>309</v>
      </c>
      <c r="M271" s="526">
        <f t="shared" si="24"/>
        <v>310</v>
      </c>
      <c r="N271" s="526">
        <f t="shared" si="24"/>
        <v>311</v>
      </c>
      <c r="O271" s="526">
        <f t="shared" si="24"/>
        <v>312</v>
      </c>
      <c r="P271" s="526">
        <f t="shared" si="24"/>
        <v>313</v>
      </c>
      <c r="Q271" s="526">
        <f t="shared" si="24"/>
        <v>314</v>
      </c>
      <c r="R271" s="526">
        <f t="shared" si="24"/>
        <v>315</v>
      </c>
      <c r="S271" s="526">
        <f t="shared" si="24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6"/>
        <v>323</v>
      </c>
      <c r="D272" s="526">
        <f t="shared" si="24"/>
        <v>324</v>
      </c>
      <c r="E272" s="526">
        <f t="shared" si="24"/>
        <v>325</v>
      </c>
      <c r="F272" s="526">
        <f t="shared" si="24"/>
        <v>326</v>
      </c>
      <c r="G272" s="526">
        <f t="shared" si="24"/>
        <v>327</v>
      </c>
      <c r="H272" s="526">
        <f t="shared" si="24"/>
        <v>328</v>
      </c>
      <c r="I272" s="526">
        <f t="shared" si="24"/>
        <v>329</v>
      </c>
      <c r="J272" s="526">
        <f t="shared" si="24"/>
        <v>330</v>
      </c>
      <c r="K272" s="526">
        <f t="shared" si="24"/>
        <v>331</v>
      </c>
      <c r="L272" s="526">
        <f t="shared" si="24"/>
        <v>332</v>
      </c>
      <c r="M272" s="526">
        <f t="shared" si="24"/>
        <v>333</v>
      </c>
      <c r="N272" s="526">
        <f t="shared" si="24"/>
        <v>334</v>
      </c>
      <c r="O272" s="526">
        <f t="shared" si="24"/>
        <v>335</v>
      </c>
      <c r="P272" s="526">
        <f t="shared" si="24"/>
        <v>336</v>
      </c>
      <c r="Q272" s="526">
        <f t="shared" si="24"/>
        <v>337</v>
      </c>
      <c r="R272" s="526">
        <f t="shared" si="24"/>
        <v>338</v>
      </c>
      <c r="S272" s="526">
        <f t="shared" si="24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6"/>
        <v>346</v>
      </c>
      <c r="D273" s="526">
        <f t="shared" si="24"/>
        <v>347</v>
      </c>
      <c r="E273" s="526">
        <f t="shared" si="24"/>
        <v>348</v>
      </c>
      <c r="F273" s="526">
        <f t="shared" si="24"/>
        <v>349</v>
      </c>
      <c r="G273" s="526">
        <f t="shared" si="24"/>
        <v>350</v>
      </c>
      <c r="H273" s="526">
        <f t="shared" si="24"/>
        <v>351</v>
      </c>
      <c r="I273" s="526">
        <f t="shared" si="24"/>
        <v>352</v>
      </c>
      <c r="J273" s="526">
        <f t="shared" si="24"/>
        <v>353</v>
      </c>
      <c r="K273" s="526">
        <f t="shared" si="24"/>
        <v>354</v>
      </c>
      <c r="L273" s="526">
        <f t="shared" si="24"/>
        <v>355</v>
      </c>
      <c r="M273" s="526">
        <f t="shared" si="24"/>
        <v>356</v>
      </c>
      <c r="N273" s="526">
        <f t="shared" si="24"/>
        <v>357</v>
      </c>
      <c r="O273" s="526">
        <f t="shared" si="24"/>
        <v>358</v>
      </c>
      <c r="P273" s="526">
        <f t="shared" si="24"/>
        <v>359</v>
      </c>
      <c r="Q273" s="526">
        <f t="shared" si="24"/>
        <v>360</v>
      </c>
      <c r="R273" s="526">
        <f t="shared" si="24"/>
        <v>361</v>
      </c>
      <c r="S273" s="526">
        <f t="shared" ref="D273:S286" si="27">R273+1</f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6"/>
        <v>369</v>
      </c>
      <c r="D274" s="526">
        <f t="shared" si="27"/>
        <v>370</v>
      </c>
      <c r="E274" s="526">
        <f t="shared" si="27"/>
        <v>371</v>
      </c>
      <c r="F274" s="526">
        <f t="shared" si="27"/>
        <v>372</v>
      </c>
      <c r="G274" s="526">
        <f t="shared" si="27"/>
        <v>373</v>
      </c>
      <c r="H274" s="526">
        <f t="shared" si="27"/>
        <v>374</v>
      </c>
      <c r="I274" s="526">
        <f t="shared" si="27"/>
        <v>375</v>
      </c>
      <c r="J274" s="526">
        <f t="shared" si="27"/>
        <v>376</v>
      </c>
      <c r="K274" s="526">
        <f t="shared" si="27"/>
        <v>377</v>
      </c>
      <c r="L274" s="526">
        <f t="shared" si="27"/>
        <v>378</v>
      </c>
      <c r="M274" s="526">
        <f t="shared" si="27"/>
        <v>379</v>
      </c>
      <c r="N274" s="526">
        <f t="shared" si="27"/>
        <v>380</v>
      </c>
      <c r="O274" s="526">
        <f t="shared" si="27"/>
        <v>381</v>
      </c>
      <c r="P274" s="526">
        <f t="shared" si="27"/>
        <v>382</v>
      </c>
      <c r="Q274" s="526">
        <f t="shared" si="27"/>
        <v>383</v>
      </c>
      <c r="R274" s="526">
        <f t="shared" si="27"/>
        <v>384</v>
      </c>
      <c r="S274" s="526">
        <f t="shared" si="27"/>
        <v>385</v>
      </c>
      <c r="T274" s="526">
        <f t="shared" ref="S274:Y286" si="28">S274+1</f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6"/>
        <v>392</v>
      </c>
      <c r="D275" s="526">
        <f t="shared" si="27"/>
        <v>393</v>
      </c>
      <c r="E275" s="526">
        <f t="shared" si="27"/>
        <v>394</v>
      </c>
      <c r="F275" s="526">
        <f t="shared" si="27"/>
        <v>395</v>
      </c>
      <c r="G275" s="526">
        <f t="shared" si="27"/>
        <v>396</v>
      </c>
      <c r="H275" s="526">
        <f t="shared" si="27"/>
        <v>397</v>
      </c>
      <c r="I275" s="526">
        <f t="shared" si="27"/>
        <v>398</v>
      </c>
      <c r="J275" s="526">
        <f t="shared" si="27"/>
        <v>399</v>
      </c>
      <c r="K275" s="526">
        <f t="shared" si="27"/>
        <v>400</v>
      </c>
      <c r="L275" s="526">
        <f t="shared" si="27"/>
        <v>401</v>
      </c>
      <c r="M275" s="526">
        <f t="shared" si="27"/>
        <v>402</v>
      </c>
      <c r="N275" s="526">
        <f t="shared" si="27"/>
        <v>403</v>
      </c>
      <c r="O275" s="526">
        <f t="shared" si="27"/>
        <v>404</v>
      </c>
      <c r="P275" s="526">
        <f t="shared" si="27"/>
        <v>405</v>
      </c>
      <c r="Q275" s="526">
        <f t="shared" si="27"/>
        <v>406</v>
      </c>
      <c r="R275" s="526">
        <f t="shared" si="27"/>
        <v>407</v>
      </c>
      <c r="S275" s="526">
        <f t="shared" si="27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6"/>
        <v>415</v>
      </c>
      <c r="D276" s="526">
        <f t="shared" si="27"/>
        <v>416</v>
      </c>
      <c r="E276" s="526">
        <f t="shared" si="27"/>
        <v>417</v>
      </c>
      <c r="F276" s="526">
        <f t="shared" si="27"/>
        <v>418</v>
      </c>
      <c r="G276" s="526">
        <f t="shared" si="27"/>
        <v>419</v>
      </c>
      <c r="H276" s="526">
        <f t="shared" si="27"/>
        <v>420</v>
      </c>
      <c r="I276" s="526">
        <f t="shared" si="27"/>
        <v>421</v>
      </c>
      <c r="J276" s="526">
        <f t="shared" si="27"/>
        <v>422</v>
      </c>
      <c r="K276" s="526">
        <f t="shared" si="27"/>
        <v>423</v>
      </c>
      <c r="L276" s="526">
        <f t="shared" si="27"/>
        <v>424</v>
      </c>
      <c r="M276" s="526">
        <f t="shared" si="27"/>
        <v>425</v>
      </c>
      <c r="N276" s="526">
        <f t="shared" si="27"/>
        <v>426</v>
      </c>
      <c r="O276" s="526">
        <f t="shared" si="27"/>
        <v>427</v>
      </c>
      <c r="P276" s="526">
        <f t="shared" si="27"/>
        <v>428</v>
      </c>
      <c r="Q276" s="526">
        <f t="shared" si="27"/>
        <v>429</v>
      </c>
      <c r="R276" s="526">
        <f t="shared" si="27"/>
        <v>430</v>
      </c>
      <c r="S276" s="526">
        <f t="shared" si="27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6"/>
        <v>438</v>
      </c>
      <c r="D277" s="526">
        <f t="shared" si="27"/>
        <v>439</v>
      </c>
      <c r="E277" s="526">
        <f t="shared" si="27"/>
        <v>440</v>
      </c>
      <c r="F277" s="526">
        <f t="shared" si="27"/>
        <v>441</v>
      </c>
      <c r="G277" s="526">
        <f t="shared" si="27"/>
        <v>442</v>
      </c>
      <c r="H277" s="526">
        <f t="shared" si="27"/>
        <v>443</v>
      </c>
      <c r="I277" s="526">
        <f t="shared" si="27"/>
        <v>444</v>
      </c>
      <c r="J277" s="526">
        <f t="shared" si="27"/>
        <v>445</v>
      </c>
      <c r="K277" s="526">
        <f t="shared" si="27"/>
        <v>446</v>
      </c>
      <c r="L277" s="526">
        <f t="shared" si="27"/>
        <v>447</v>
      </c>
      <c r="M277" s="526">
        <f t="shared" si="27"/>
        <v>448</v>
      </c>
      <c r="N277" s="526">
        <f t="shared" si="27"/>
        <v>449</v>
      </c>
      <c r="O277" s="526">
        <f t="shared" si="27"/>
        <v>450</v>
      </c>
      <c r="P277" s="526">
        <f t="shared" si="27"/>
        <v>451</v>
      </c>
      <c r="Q277" s="526">
        <f t="shared" si="27"/>
        <v>452</v>
      </c>
      <c r="R277" s="526">
        <f t="shared" si="27"/>
        <v>453</v>
      </c>
      <c r="S277" s="526">
        <f t="shared" si="27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6"/>
        <v>461</v>
      </c>
      <c r="D278" s="526">
        <f t="shared" si="27"/>
        <v>462</v>
      </c>
      <c r="E278" s="526">
        <f t="shared" si="27"/>
        <v>463</v>
      </c>
      <c r="F278" s="526">
        <f t="shared" si="27"/>
        <v>464</v>
      </c>
      <c r="G278" s="526">
        <f t="shared" si="27"/>
        <v>465</v>
      </c>
      <c r="H278" s="526">
        <f t="shared" si="27"/>
        <v>466</v>
      </c>
      <c r="I278" s="526">
        <f t="shared" si="27"/>
        <v>467</v>
      </c>
      <c r="J278" s="526">
        <f t="shared" si="27"/>
        <v>468</v>
      </c>
      <c r="K278" s="526">
        <f t="shared" si="27"/>
        <v>469</v>
      </c>
      <c r="L278" s="526">
        <f t="shared" si="27"/>
        <v>470</v>
      </c>
      <c r="M278" s="526">
        <f t="shared" si="27"/>
        <v>471</v>
      </c>
      <c r="N278" s="526">
        <f t="shared" si="27"/>
        <v>472</v>
      </c>
      <c r="O278" s="526">
        <f t="shared" si="27"/>
        <v>473</v>
      </c>
      <c r="P278" s="526">
        <f t="shared" si="27"/>
        <v>474</v>
      </c>
      <c r="Q278" s="526">
        <f t="shared" si="27"/>
        <v>475</v>
      </c>
      <c r="R278" s="526">
        <f t="shared" si="27"/>
        <v>476</v>
      </c>
      <c r="S278" s="526">
        <f t="shared" si="27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6"/>
        <v>484</v>
      </c>
      <c r="D279" s="526">
        <f t="shared" si="27"/>
        <v>485</v>
      </c>
      <c r="E279" s="526">
        <f t="shared" si="27"/>
        <v>486</v>
      </c>
      <c r="F279" s="526">
        <f t="shared" si="27"/>
        <v>487</v>
      </c>
      <c r="G279" s="526">
        <f t="shared" si="27"/>
        <v>488</v>
      </c>
      <c r="H279" s="526">
        <f t="shared" si="27"/>
        <v>489</v>
      </c>
      <c r="I279" s="526">
        <f t="shared" si="27"/>
        <v>490</v>
      </c>
      <c r="J279" s="526">
        <f t="shared" si="27"/>
        <v>491</v>
      </c>
      <c r="K279" s="526">
        <f t="shared" si="27"/>
        <v>492</v>
      </c>
      <c r="L279" s="526">
        <f t="shared" si="27"/>
        <v>493</v>
      </c>
      <c r="M279" s="526">
        <f t="shared" si="27"/>
        <v>494</v>
      </c>
      <c r="N279" s="526">
        <f t="shared" si="27"/>
        <v>495</v>
      </c>
      <c r="O279" s="526">
        <f t="shared" si="27"/>
        <v>496</v>
      </c>
      <c r="P279" s="526">
        <f t="shared" si="27"/>
        <v>497</v>
      </c>
      <c r="Q279" s="526">
        <f t="shared" si="27"/>
        <v>498</v>
      </c>
      <c r="R279" s="526">
        <f t="shared" si="27"/>
        <v>499</v>
      </c>
      <c r="S279" s="526">
        <f t="shared" si="27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6"/>
        <v>507</v>
      </c>
      <c r="D280" s="526">
        <f t="shared" si="27"/>
        <v>508</v>
      </c>
      <c r="E280" s="526">
        <f t="shared" si="27"/>
        <v>509</v>
      </c>
      <c r="F280" s="526">
        <f t="shared" si="27"/>
        <v>510</v>
      </c>
      <c r="G280" s="526">
        <f t="shared" si="27"/>
        <v>511</v>
      </c>
      <c r="H280" s="526">
        <f t="shared" si="27"/>
        <v>512</v>
      </c>
      <c r="I280" s="526">
        <f t="shared" si="27"/>
        <v>513</v>
      </c>
      <c r="J280" s="526">
        <f t="shared" si="27"/>
        <v>514</v>
      </c>
      <c r="K280" s="526">
        <f t="shared" si="27"/>
        <v>515</v>
      </c>
      <c r="L280" s="526">
        <f t="shared" si="27"/>
        <v>516</v>
      </c>
      <c r="M280" s="526">
        <f t="shared" si="27"/>
        <v>517</v>
      </c>
      <c r="N280" s="526">
        <f t="shared" si="27"/>
        <v>518</v>
      </c>
      <c r="O280" s="526">
        <f t="shared" si="27"/>
        <v>519</v>
      </c>
      <c r="P280" s="526">
        <f t="shared" si="27"/>
        <v>520</v>
      </c>
      <c r="Q280" s="526">
        <f t="shared" si="27"/>
        <v>521</v>
      </c>
      <c r="R280" s="526">
        <f t="shared" si="27"/>
        <v>522</v>
      </c>
      <c r="S280" s="526">
        <f t="shared" si="27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6"/>
        <v>530</v>
      </c>
      <c r="D281" s="526">
        <f t="shared" si="27"/>
        <v>531</v>
      </c>
      <c r="E281" s="526">
        <f t="shared" si="27"/>
        <v>532</v>
      </c>
      <c r="F281" s="526">
        <f t="shared" si="27"/>
        <v>533</v>
      </c>
      <c r="G281" s="526">
        <f t="shared" si="27"/>
        <v>534</v>
      </c>
      <c r="H281" s="526">
        <f t="shared" si="27"/>
        <v>535</v>
      </c>
      <c r="I281" s="526">
        <f t="shared" si="27"/>
        <v>536</v>
      </c>
      <c r="J281" s="526">
        <f t="shared" si="27"/>
        <v>537</v>
      </c>
      <c r="K281" s="526">
        <f t="shared" si="27"/>
        <v>538</v>
      </c>
      <c r="L281" s="526">
        <f t="shared" si="27"/>
        <v>539</v>
      </c>
      <c r="M281" s="526">
        <f t="shared" si="27"/>
        <v>540</v>
      </c>
      <c r="N281" s="526">
        <f t="shared" si="27"/>
        <v>541</v>
      </c>
      <c r="O281" s="526">
        <f t="shared" si="27"/>
        <v>542</v>
      </c>
      <c r="P281" s="526">
        <f t="shared" si="27"/>
        <v>543</v>
      </c>
      <c r="Q281" s="526">
        <f t="shared" si="27"/>
        <v>544</v>
      </c>
      <c r="R281" s="526">
        <f t="shared" si="27"/>
        <v>545</v>
      </c>
      <c r="S281" s="526">
        <f t="shared" si="27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6"/>
        <v>553</v>
      </c>
      <c r="D282" s="526">
        <f t="shared" si="27"/>
        <v>554</v>
      </c>
      <c r="E282" s="526">
        <f t="shared" si="27"/>
        <v>555</v>
      </c>
      <c r="F282" s="526">
        <f t="shared" si="27"/>
        <v>556</v>
      </c>
      <c r="G282" s="526">
        <f t="shared" si="27"/>
        <v>557</v>
      </c>
      <c r="H282" s="526">
        <f t="shared" si="27"/>
        <v>558</v>
      </c>
      <c r="I282" s="526">
        <f t="shared" si="27"/>
        <v>559</v>
      </c>
      <c r="J282" s="526">
        <f t="shared" si="27"/>
        <v>560</v>
      </c>
      <c r="K282" s="526">
        <f t="shared" si="27"/>
        <v>561</v>
      </c>
      <c r="L282" s="526">
        <f t="shared" si="27"/>
        <v>562</v>
      </c>
      <c r="M282" s="526">
        <f t="shared" si="27"/>
        <v>563</v>
      </c>
      <c r="N282" s="526">
        <f t="shared" si="27"/>
        <v>564</v>
      </c>
      <c r="O282" s="526">
        <f t="shared" si="27"/>
        <v>565</v>
      </c>
      <c r="P282" s="526">
        <f t="shared" si="27"/>
        <v>566</v>
      </c>
      <c r="Q282" s="526">
        <f t="shared" si="27"/>
        <v>567</v>
      </c>
      <c r="R282" s="526">
        <f t="shared" si="27"/>
        <v>568</v>
      </c>
      <c r="S282" s="526">
        <f t="shared" si="27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6"/>
        <v>576</v>
      </c>
      <c r="D283" s="526">
        <f t="shared" si="27"/>
        <v>577</v>
      </c>
      <c r="E283" s="526">
        <f t="shared" si="27"/>
        <v>578</v>
      </c>
      <c r="F283" s="526">
        <f t="shared" si="27"/>
        <v>579</v>
      </c>
      <c r="G283" s="526">
        <f t="shared" si="27"/>
        <v>580</v>
      </c>
      <c r="H283" s="526">
        <f t="shared" si="27"/>
        <v>581</v>
      </c>
      <c r="I283" s="526">
        <f t="shared" si="27"/>
        <v>582</v>
      </c>
      <c r="J283" s="526">
        <f t="shared" si="27"/>
        <v>583</v>
      </c>
      <c r="K283" s="526">
        <f t="shared" si="27"/>
        <v>584</v>
      </c>
      <c r="L283" s="526">
        <f t="shared" si="27"/>
        <v>585</v>
      </c>
      <c r="M283" s="526">
        <f t="shared" si="27"/>
        <v>586</v>
      </c>
      <c r="N283" s="526">
        <f t="shared" si="27"/>
        <v>587</v>
      </c>
      <c r="O283" s="526">
        <f t="shared" si="27"/>
        <v>588</v>
      </c>
      <c r="P283" s="526">
        <f t="shared" si="27"/>
        <v>589</v>
      </c>
      <c r="Q283" s="526">
        <f t="shared" si="27"/>
        <v>590</v>
      </c>
      <c r="R283" s="526">
        <f t="shared" si="27"/>
        <v>591</v>
      </c>
      <c r="S283" s="526">
        <f t="shared" si="27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6"/>
        <v>599</v>
      </c>
      <c r="D284" s="526">
        <f t="shared" si="27"/>
        <v>600</v>
      </c>
      <c r="E284" s="526">
        <f t="shared" si="27"/>
        <v>601</v>
      </c>
      <c r="F284" s="526">
        <f t="shared" si="27"/>
        <v>602</v>
      </c>
      <c r="G284" s="526">
        <f t="shared" si="27"/>
        <v>603</v>
      </c>
      <c r="H284" s="526">
        <f t="shared" si="27"/>
        <v>604</v>
      </c>
      <c r="I284" s="526">
        <f t="shared" si="27"/>
        <v>605</v>
      </c>
      <c r="J284" s="526">
        <f t="shared" si="27"/>
        <v>606</v>
      </c>
      <c r="K284" s="526">
        <f t="shared" si="27"/>
        <v>607</v>
      </c>
      <c r="L284" s="526">
        <f t="shared" si="27"/>
        <v>608</v>
      </c>
      <c r="M284" s="526">
        <f t="shared" si="27"/>
        <v>609</v>
      </c>
      <c r="N284" s="526">
        <f t="shared" si="27"/>
        <v>610</v>
      </c>
      <c r="O284" s="526">
        <f t="shared" si="27"/>
        <v>611</v>
      </c>
      <c r="P284" s="526">
        <f t="shared" si="27"/>
        <v>612</v>
      </c>
      <c r="Q284" s="526">
        <f t="shared" si="27"/>
        <v>613</v>
      </c>
      <c r="R284" s="526">
        <f t="shared" si="27"/>
        <v>614</v>
      </c>
      <c r="S284" s="526">
        <f t="shared" si="27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6"/>
        <v>622</v>
      </c>
      <c r="D285" s="526">
        <f t="shared" si="27"/>
        <v>623</v>
      </c>
      <c r="E285" s="526">
        <f t="shared" si="27"/>
        <v>624</v>
      </c>
      <c r="F285" s="526">
        <f t="shared" si="27"/>
        <v>625</v>
      </c>
      <c r="G285" s="526">
        <f t="shared" si="27"/>
        <v>626</v>
      </c>
      <c r="H285" s="526">
        <f t="shared" si="27"/>
        <v>627</v>
      </c>
      <c r="I285" s="526">
        <f t="shared" si="27"/>
        <v>628</v>
      </c>
      <c r="J285" s="526">
        <f t="shared" si="27"/>
        <v>629</v>
      </c>
      <c r="K285" s="526">
        <f t="shared" si="27"/>
        <v>630</v>
      </c>
      <c r="L285" s="526">
        <f t="shared" si="27"/>
        <v>631</v>
      </c>
      <c r="M285" s="526">
        <f t="shared" si="27"/>
        <v>632</v>
      </c>
      <c r="N285" s="526">
        <f t="shared" si="27"/>
        <v>633</v>
      </c>
      <c r="O285" s="526">
        <f t="shared" si="27"/>
        <v>634</v>
      </c>
      <c r="P285" s="526">
        <f t="shared" si="27"/>
        <v>635</v>
      </c>
      <c r="Q285" s="526">
        <f t="shared" si="27"/>
        <v>636</v>
      </c>
      <c r="R285" s="526">
        <f t="shared" si="27"/>
        <v>637</v>
      </c>
      <c r="S285" s="526">
        <f t="shared" si="27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6"/>
        <v>645</v>
      </c>
      <c r="D286" s="526">
        <f t="shared" si="27"/>
        <v>646</v>
      </c>
      <c r="E286" s="526">
        <f t="shared" si="27"/>
        <v>647</v>
      </c>
      <c r="F286" s="526">
        <f t="shared" si="27"/>
        <v>648</v>
      </c>
      <c r="G286" s="526">
        <f t="shared" si="27"/>
        <v>649</v>
      </c>
      <c r="H286" s="526">
        <f t="shared" si="27"/>
        <v>650</v>
      </c>
      <c r="I286" s="526">
        <f t="shared" si="27"/>
        <v>651</v>
      </c>
      <c r="J286" s="526">
        <f t="shared" si="27"/>
        <v>652</v>
      </c>
      <c r="K286" s="526">
        <f t="shared" si="27"/>
        <v>653</v>
      </c>
      <c r="L286" s="526">
        <f t="shared" si="27"/>
        <v>654</v>
      </c>
      <c r="M286" s="526">
        <f t="shared" si="27"/>
        <v>655</v>
      </c>
      <c r="N286" s="526">
        <f t="shared" si="27"/>
        <v>656</v>
      </c>
      <c r="O286" s="526">
        <f t="shared" si="27"/>
        <v>657</v>
      </c>
      <c r="P286" s="526">
        <f t="shared" si="27"/>
        <v>658</v>
      </c>
      <c r="Q286" s="526">
        <f t="shared" si="27"/>
        <v>659</v>
      </c>
      <c r="R286" s="526">
        <f t="shared" si="27"/>
        <v>660</v>
      </c>
      <c r="S286" s="526">
        <f t="shared" si="28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1"/>
  </sheetPr>
  <dimension ref="A2:AO341"/>
  <sheetViews>
    <sheetView zoomScale="70" zoomScaleNormal="70" zoomScaleSheetLayoutView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12.85546875" style="102" bestFit="1" customWidth="1"/>
    <col min="12" max="12" width="10.140625" style="102" bestFit="1" customWidth="1"/>
    <col min="13" max="13" width="13.85546875" style="102" bestFit="1" customWidth="1"/>
    <col min="14" max="14" width="12" style="102" bestFit="1" customWidth="1"/>
    <col min="15" max="20" width="8.5703125" style="102" customWidth="1"/>
    <col min="21" max="21" width="35.140625" style="102" customWidth="1"/>
    <col min="22" max="26" width="8.5703125" style="102" customWidth="1"/>
    <col min="27" max="28" width="10.42578125" style="102" bestFit="1" customWidth="1"/>
    <col min="29" max="31" width="8.42578125" style="102" customWidth="1"/>
    <col min="32" max="32" width="9.7109375" style="102" bestFit="1" customWidth="1"/>
    <col min="33" max="36" width="8.42578125" style="102" customWidth="1"/>
    <col min="37" max="37" width="34.140625" style="102" customWidth="1"/>
    <col min="38" max="45" width="8.42578125" style="102" customWidth="1"/>
    <col min="46" max="16384" width="8.85546875" style="102"/>
  </cols>
  <sheetData>
    <row r="2" spans="2:11">
      <c r="B2" s="203" t="s">
        <v>421</v>
      </c>
    </row>
    <row r="5" spans="2:11">
      <c r="B5" s="571" t="s">
        <v>300</v>
      </c>
      <c r="C5" s="572"/>
      <c r="D5" s="572"/>
      <c r="E5" s="573"/>
    </row>
    <row r="6" spans="2:11" ht="30">
      <c r="B6" s="107" t="str">
        <f>B2</f>
        <v>INDUSTRY SUMMARY</v>
      </c>
      <c r="C6" s="108"/>
      <c r="D6" s="109"/>
      <c r="E6" s="110" t="s">
        <v>228</v>
      </c>
    </row>
    <row r="7" spans="2:11">
      <c r="B7" s="111" t="s">
        <v>249</v>
      </c>
      <c r="C7" s="112" t="s">
        <v>319</v>
      </c>
      <c r="D7" s="439">
        <f>SUM(Alpine:TPCL!D7)</f>
        <v>2061.3448032064589</v>
      </c>
      <c r="E7" s="407">
        <f>D7/('Industry calcs'!D4/1000)*100</f>
        <v>100</v>
      </c>
    </row>
    <row r="8" spans="2:11">
      <c r="B8" s="111" t="s">
        <v>250</v>
      </c>
      <c r="C8" s="112" t="s">
        <v>319</v>
      </c>
      <c r="D8" s="439">
        <f>SUM(Alpine:TPCL!D8)</f>
        <v>8975.1409510300728</v>
      </c>
      <c r="E8" s="407">
        <f>D8/('Industry calcs'!D5/1000)*100</f>
        <v>100.00000000000003</v>
      </c>
    </row>
    <row r="9" spans="2:11">
      <c r="B9" s="111" t="s">
        <v>230</v>
      </c>
      <c r="C9" s="112" t="s">
        <v>319</v>
      </c>
      <c r="D9" s="439">
        <f>SUM(Alpine:TPCL!D9)</f>
        <v>454.00745952269136</v>
      </c>
      <c r="E9" s="407">
        <f>D9/('Industry calcs'!D6/1000)*100</f>
        <v>99.999999999999986</v>
      </c>
    </row>
    <row r="10" spans="2:11">
      <c r="B10" s="111" t="s">
        <v>231</v>
      </c>
      <c r="C10" s="112" t="s">
        <v>319</v>
      </c>
      <c r="D10" s="439">
        <f>SUM(Alpine:TPCL!D10)</f>
        <v>585.16811855640265</v>
      </c>
      <c r="E10" s="407">
        <f>D10/('Industry calcs'!D7/1000)*100</f>
        <v>100</v>
      </c>
    </row>
    <row r="11" spans="2:11">
      <c r="B11" s="111" t="s">
        <v>232</v>
      </c>
      <c r="C11" s="114" t="s">
        <v>233</v>
      </c>
      <c r="D11" s="439">
        <f>SUM(Alpine:TPCL!D11)</f>
        <v>30945.748108999996</v>
      </c>
      <c r="E11" s="407">
        <f>D11/'Industry calcs'!D8*100</f>
        <v>99.999999999999986</v>
      </c>
      <c r="G11" s="113"/>
    </row>
    <row r="12" spans="2:11">
      <c r="B12" s="111" t="s">
        <v>234</v>
      </c>
      <c r="C12" s="114" t="s">
        <v>235</v>
      </c>
      <c r="D12" s="439">
        <f>SUM(Alpine:TPCL!D12)</f>
        <v>6253.2476999999999</v>
      </c>
      <c r="E12" s="407">
        <f>D12/'Industry calcs'!D9*100</f>
        <v>100</v>
      </c>
    </row>
    <row r="13" spans="2:11">
      <c r="B13" s="111" t="s">
        <v>236</v>
      </c>
      <c r="C13" s="114" t="s">
        <v>237</v>
      </c>
      <c r="D13" s="439">
        <f>SUM(Alpine:TPCL!D13)</f>
        <v>149569.80215999999</v>
      </c>
      <c r="E13" s="407">
        <f>D13/'Industry calcs'!D10*100</f>
        <v>100</v>
      </c>
      <c r="I13" s="121"/>
      <c r="J13" s="121"/>
      <c r="K13" s="121"/>
    </row>
    <row r="14" spans="2:11">
      <c r="B14" s="111" t="s">
        <v>238</v>
      </c>
      <c r="C14" s="114" t="s">
        <v>193</v>
      </c>
      <c r="D14" s="439">
        <f>SUM(Alpine:TPCL!D14)</f>
        <v>2008675</v>
      </c>
      <c r="E14" s="407">
        <f>D14/'Industry calcs'!D11*100</f>
        <v>100</v>
      </c>
    </row>
    <row r="15" spans="2:11">
      <c r="B15" s="115" t="s">
        <v>195</v>
      </c>
      <c r="C15" s="116" t="s">
        <v>239</v>
      </c>
      <c r="D15" s="681">
        <f>D14/D13</f>
        <v>13.429682803559844</v>
      </c>
      <c r="E15" s="117"/>
      <c r="I15" s="121"/>
      <c r="J15" s="121"/>
      <c r="K15" s="121"/>
    </row>
    <row r="18" spans="2:12">
      <c r="B18" s="571" t="s">
        <v>294</v>
      </c>
      <c r="C18" s="572"/>
      <c r="D18" s="574"/>
      <c r="E18" s="574"/>
      <c r="F18" s="575"/>
      <c r="G18" s="103"/>
    </row>
    <row r="19" spans="2:12" s="119" customFormat="1" ht="21" customHeight="1">
      <c r="B19" s="104" t="str">
        <f>B2</f>
        <v>INDUSTRY SUMMARY</v>
      </c>
      <c r="C19" s="812">
        <v>2008</v>
      </c>
      <c r="D19" s="812">
        <v>2009</v>
      </c>
      <c r="E19" s="812">
        <v>2010</v>
      </c>
      <c r="F19" s="813">
        <v>2011</v>
      </c>
      <c r="K19" s="118"/>
      <c r="L19" s="118"/>
    </row>
    <row r="20" spans="2:12">
      <c r="B20" s="120" t="s">
        <v>240</v>
      </c>
      <c r="C20" s="409">
        <f>VLOOKUP($B20,'MED price allocation'!$B$8:$F$12,2,FALSE)</f>
        <v>23.507530568186869</v>
      </c>
      <c r="D20" s="409">
        <f>VLOOKUP($B20,'MED price allocation'!$B$8:$F$12,3,FALSE)</f>
        <v>24.145699162694207</v>
      </c>
      <c r="E20" s="409">
        <f>VLOOKUP($B20,'MED price allocation'!$B$8:$F$12,4,FALSE)</f>
        <v>23.861841919272528</v>
      </c>
      <c r="F20" s="503">
        <f>VLOOKUP($B20,'MED price allocation'!$B$8:$F$12,5,FALSE)</f>
        <v>25.036983130613667</v>
      </c>
      <c r="K20" s="121"/>
      <c r="L20" s="121"/>
    </row>
    <row r="21" spans="2:12">
      <c r="B21" s="120" t="s">
        <v>222</v>
      </c>
      <c r="C21" s="409">
        <f>VLOOKUP($B21,'MED price allocation'!$B$8:$F$12,2,FALSE)</f>
        <v>6.5654563467744564</v>
      </c>
      <c r="D21" s="409">
        <f>VLOOKUP($B21,'MED price allocation'!$B$8:$F$12,3,FALSE)</f>
        <v>6.7186002931398559</v>
      </c>
      <c r="E21" s="409">
        <f>VLOOKUP($B21,'MED price allocation'!$B$8:$F$12,4,FALSE)</f>
        <v>6.9257935430368374</v>
      </c>
      <c r="F21" s="503">
        <f>VLOOKUP($B21,'MED price allocation'!$B$8:$F$12,5,FALSE)</f>
        <v>7.2901693843821915</v>
      </c>
      <c r="K21" s="123"/>
      <c r="L21" s="123"/>
    </row>
    <row r="22" spans="2:12">
      <c r="B22" s="120" t="s">
        <v>241</v>
      </c>
      <c r="C22" s="409">
        <f>VLOOKUP($B22,'MED price allocation'!$B$8:$F$12,2,FALSE)</f>
        <v>8.5271714111792072</v>
      </c>
      <c r="D22" s="409">
        <f>VLOOKUP($B22,'MED price allocation'!$B$8:$F$12,3,FALSE)</f>
        <v>8.8373028853667837</v>
      </c>
      <c r="E22" s="409">
        <f>VLOOKUP($B22,'MED price allocation'!$B$8:$F$12,4,FALSE)</f>
        <v>9.1241174724373852</v>
      </c>
      <c r="F22" s="503">
        <f>VLOOKUP($B22,'MED price allocation'!$B$8:$F$12,5,FALSE)</f>
        <v>9.4905407086389975</v>
      </c>
      <c r="K22" s="121"/>
      <c r="L22" s="121"/>
    </row>
    <row r="23" spans="2:12">
      <c r="B23" s="124" t="s">
        <v>223</v>
      </c>
      <c r="C23" s="636">
        <f>VLOOKUP($B23,'MED price allocation'!$B$8:$F$12,2,FALSE)</f>
        <v>1.9617150644047496</v>
      </c>
      <c r="D23" s="636">
        <f>VLOOKUP($B23,'MED price allocation'!$B$8:$F$12,3,FALSE)</f>
        <v>2.1187025922269274</v>
      </c>
      <c r="E23" s="636">
        <f>VLOOKUP($B23,'MED price allocation'!$B$8:$F$12,4,FALSE)</f>
        <v>2.1983239294005488</v>
      </c>
      <c r="F23" s="637">
        <f>VLOOKUP($B23,'MED price allocation'!$B$8:$F$12,5,FALSE)</f>
        <v>2.2003713242568046</v>
      </c>
      <c r="K23" s="123"/>
      <c r="L23" s="123"/>
    </row>
    <row r="24" spans="2:12">
      <c r="B24" s="103" t="s">
        <v>245</v>
      </c>
    </row>
    <row r="25" spans="2:12">
      <c r="B25" s="125" t="str">
        <f>B2</f>
        <v>INDUSTRY SUMMARY</v>
      </c>
      <c r="C25" s="126">
        <v>2008</v>
      </c>
      <c r="D25" s="126">
        <v>2009</v>
      </c>
      <c r="E25" s="126">
        <v>2010</v>
      </c>
      <c r="F25" s="127">
        <v>2011</v>
      </c>
      <c r="K25" s="128"/>
      <c r="L25" s="128"/>
    </row>
    <row r="26" spans="2:12">
      <c r="B26" s="120" t="s">
        <v>242</v>
      </c>
      <c r="C26" s="409">
        <f>(C20*8000)/100</f>
        <v>1880.6024454549497</v>
      </c>
      <c r="D26" s="409">
        <f>(D20*8000)/100</f>
        <v>1931.6559330155367</v>
      </c>
      <c r="E26" s="409">
        <f>(E20*8000)/100</f>
        <v>1908.9473535418022</v>
      </c>
      <c r="F26" s="503">
        <f>(F20*8000)/100</f>
        <v>2002.9586504490933</v>
      </c>
      <c r="K26" s="121"/>
      <c r="L26" s="121"/>
    </row>
    <row r="27" spans="2:12">
      <c r="B27" s="120" t="s">
        <v>241</v>
      </c>
      <c r="C27" s="409">
        <f>(C22*8000)/100</f>
        <v>682.17371289433663</v>
      </c>
      <c r="D27" s="409">
        <f>(D22*8000)/100</f>
        <v>706.98423082934266</v>
      </c>
      <c r="E27" s="409">
        <f>(E22*8000)/100</f>
        <v>729.92939779499079</v>
      </c>
      <c r="F27" s="503">
        <f>(F22*8000)/100</f>
        <v>759.24325669111977</v>
      </c>
      <c r="G27" s="409"/>
      <c r="K27" s="121"/>
      <c r="L27" s="121"/>
    </row>
    <row r="28" spans="2:12">
      <c r="B28" s="120" t="s">
        <v>222</v>
      </c>
      <c r="C28" s="409">
        <f>(C21*8000)/100</f>
        <v>525.23650774195653</v>
      </c>
      <c r="D28" s="409">
        <f>(D21*8000)/100</f>
        <v>537.4880234511885</v>
      </c>
      <c r="E28" s="409">
        <f>(E21*8000)/100</f>
        <v>554.06348344294702</v>
      </c>
      <c r="F28" s="503">
        <f>(F21*8000)/100</f>
        <v>583.21355075057534</v>
      </c>
      <c r="G28" s="409"/>
      <c r="K28" s="121"/>
      <c r="L28" s="121"/>
    </row>
    <row r="29" spans="2:12">
      <c r="B29" s="124" t="s">
        <v>223</v>
      </c>
      <c r="C29" s="636">
        <f>(C23*8000)/100</f>
        <v>156.93720515237999</v>
      </c>
      <c r="D29" s="636">
        <f>(D23*8000)/100</f>
        <v>169.49620737815417</v>
      </c>
      <c r="E29" s="636">
        <f>(E23*8000)/100</f>
        <v>175.86591435204392</v>
      </c>
      <c r="F29" s="637">
        <f>(F23*8000)/100</f>
        <v>176.02970594054437</v>
      </c>
      <c r="K29" s="121"/>
      <c r="L29" s="121"/>
    </row>
    <row r="30" spans="2:12">
      <c r="B30" s="131" t="s">
        <v>243</v>
      </c>
      <c r="C30" s="132"/>
      <c r="D30" s="121"/>
    </row>
    <row r="31" spans="2:12">
      <c r="B31" s="125" t="str">
        <f>B2</f>
        <v>INDUSTRY SUMMARY</v>
      </c>
      <c r="C31" s="133" t="s">
        <v>166</v>
      </c>
      <c r="D31" s="134" t="s">
        <v>165</v>
      </c>
    </row>
    <row r="32" spans="2:12">
      <c r="B32" s="120" t="s">
        <v>242</v>
      </c>
      <c r="C32" s="409">
        <f>AVERAGE(C26:F26)</f>
        <v>1931.0410956153455</v>
      </c>
      <c r="D32" s="414"/>
    </row>
    <row r="33" spans="2:13">
      <c r="B33" s="120" t="s">
        <v>241</v>
      </c>
      <c r="C33" s="409">
        <f>AVERAGE(C27:F27)</f>
        <v>719.58264955244738</v>
      </c>
      <c r="D33" s="414">
        <f>C33/$C$32</f>
        <v>0.37263973883639445</v>
      </c>
    </row>
    <row r="34" spans="2:13">
      <c r="B34" s="120" t="s">
        <v>222</v>
      </c>
      <c r="C34" s="409">
        <f>AVERAGE(C28:F28)</f>
        <v>550.0003913466669</v>
      </c>
      <c r="D34" s="414">
        <f>C34/$C$32</f>
        <v>0.28482065586046151</v>
      </c>
    </row>
    <row r="35" spans="2:13">
      <c r="B35" s="124" t="s">
        <v>223</v>
      </c>
      <c r="C35" s="636">
        <f>AVERAGE(C29:F29)</f>
        <v>169.58225820578059</v>
      </c>
      <c r="D35" s="415">
        <f>C35/$C$32</f>
        <v>8.7819082975932994E-2</v>
      </c>
    </row>
    <row r="36" spans="2:13">
      <c r="M36" s="139"/>
    </row>
    <row r="38" spans="2:13">
      <c r="B38" s="576" t="s">
        <v>227</v>
      </c>
      <c r="C38" s="577"/>
      <c r="D38" s="577"/>
      <c r="E38" s="577"/>
      <c r="F38" s="578"/>
    </row>
    <row r="39" spans="2:13">
      <c r="B39" s="137" t="str">
        <f>B2</f>
        <v>INDUSTRY SUMMARY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41">
        <f>SUM(Alpine:TPCL!C40)</f>
        <v>1842474.0057997205</v>
      </c>
      <c r="D40" s="441">
        <f>SUM(Alpine:TPCL!D40)</f>
        <v>1882311.6833839242</v>
      </c>
      <c r="E40" s="441">
        <f>SUM(Alpine:TPCL!E40)</f>
        <v>1983129.8907887149</v>
      </c>
      <c r="F40" s="613">
        <f>SUM(Alpine:TPCL!F40)</f>
        <v>1991806.6026328364</v>
      </c>
    </row>
    <row r="41" spans="2:13" ht="30">
      <c r="B41" s="120" t="s">
        <v>198</v>
      </c>
      <c r="C41" s="441">
        <f>SUM(Alpine:TPCL!C41)</f>
        <v>133662.69828476233</v>
      </c>
      <c r="D41" s="441">
        <f>SUM(Alpine:TPCL!D41)</f>
        <v>117246.46463290545</v>
      </c>
      <c r="E41" s="441">
        <f>SUM(Alpine:TPCL!E41)</f>
        <v>87793.099900218251</v>
      </c>
      <c r="F41" s="613">
        <f>SUM(Alpine:TPCL!F41)</f>
        <v>86582.581384524805</v>
      </c>
    </row>
    <row r="42" spans="2:13">
      <c r="B42" s="120" t="s">
        <v>13</v>
      </c>
      <c r="C42" s="441">
        <f>SUM(Alpine:TPCL!C42)</f>
        <v>24404.715082484101</v>
      </c>
      <c r="D42" s="441">
        <f>SUM(Alpine:TPCL!D42)</f>
        <v>29966.367939347921</v>
      </c>
      <c r="E42" s="441">
        <f>SUM(Alpine:TPCL!E42)</f>
        <v>30313.183121627</v>
      </c>
      <c r="F42" s="613">
        <f>SUM(Alpine:TPCL!F42)</f>
        <v>28335.500189097034</v>
      </c>
    </row>
    <row r="43" spans="2:13">
      <c r="B43" s="124" t="s">
        <v>5</v>
      </c>
      <c r="C43" s="442">
        <f>SUM(Alpine:TPCL!C43)</f>
        <v>2000541.4191669668</v>
      </c>
      <c r="D43" s="442">
        <f>SUM(Alpine:TPCL!D43)</f>
        <v>2029524.5159561776</v>
      </c>
      <c r="E43" s="442">
        <f>SUM(Alpine:TPCL!E43)</f>
        <v>2101236.1738105603</v>
      </c>
      <c r="F43" s="606">
        <f>SUM(Alpine:TPCL!F43)</f>
        <v>2106724.6842064583</v>
      </c>
    </row>
    <row r="44" spans="2:13">
      <c r="B44" s="103" t="s">
        <v>301</v>
      </c>
    </row>
    <row r="45" spans="2:13">
      <c r="B45" s="137" t="str">
        <f>$B$2</f>
        <v>INDUSTRY SUMMARY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102.16218396888112</v>
      </c>
      <c r="E46" s="422">
        <f>IF(ISERROR(E40/$C40),"",(E40/$C40))*100</f>
        <v>107.63407703697526</v>
      </c>
      <c r="F46" s="423">
        <f>IF(ISERROR(F40/$C40),"",(F40/$C40))*100</f>
        <v>108.10500426942515</v>
      </c>
    </row>
    <row r="47" spans="2:13" ht="30">
      <c r="B47" s="120" t="s">
        <v>198</v>
      </c>
      <c r="C47" s="422">
        <f>IF(ISERROR(C41/$C41),"",(C41/$C41)*100)</f>
        <v>100</v>
      </c>
      <c r="D47" s="422">
        <f t="shared" ref="D47:F49" si="0">IF(ISERROR(D41/$C41),"",(D41/$C41)*100)</f>
        <v>87.718163808961251</v>
      </c>
      <c r="E47" s="422">
        <f t="shared" si="0"/>
        <v>65.682573393198311</v>
      </c>
      <c r="F47" s="423">
        <f t="shared" si="0"/>
        <v>64.776921680919926</v>
      </c>
    </row>
    <row r="48" spans="2:13">
      <c r="B48" s="120" t="s">
        <v>13</v>
      </c>
      <c r="C48" s="422">
        <f>IF(ISERROR(C42/$C42),"",(C42/$C42)*100)</f>
        <v>100</v>
      </c>
      <c r="D48" s="422">
        <f t="shared" si="0"/>
        <v>122.78925542898702</v>
      </c>
      <c r="E48" s="422">
        <f t="shared" si="0"/>
        <v>124.21035451212279</v>
      </c>
      <c r="F48" s="423">
        <f t="shared" si="0"/>
        <v>116.10666255814705</v>
      </c>
    </row>
    <row r="49" spans="2:25">
      <c r="B49" s="124" t="s">
        <v>5</v>
      </c>
      <c r="C49" s="424">
        <f>IF(ISERROR(C43/$C43),"",(C43/$C43)*100)</f>
        <v>100</v>
      </c>
      <c r="D49" s="424">
        <f t="shared" si="0"/>
        <v>101.44876264552821</v>
      </c>
      <c r="E49" s="424">
        <f t="shared" si="0"/>
        <v>105.0333751492895</v>
      </c>
      <c r="F49" s="416">
        <f t="shared" si="0"/>
        <v>105.30772639957171</v>
      </c>
    </row>
    <row r="51" spans="2:25">
      <c r="U51" s="139" t="s">
        <v>424</v>
      </c>
    </row>
    <row r="52" spans="2:25">
      <c r="B52" s="576" t="s">
        <v>247</v>
      </c>
      <c r="C52" s="572"/>
      <c r="D52" s="572"/>
      <c r="E52" s="572"/>
      <c r="F52" s="573"/>
    </row>
    <row r="53" spans="2:25">
      <c r="B53" s="107" t="str">
        <f>$B$2</f>
        <v>INDUSTRY SUMMARY</v>
      </c>
      <c r="C53" s="144">
        <v>2008</v>
      </c>
      <c r="D53" s="144">
        <v>2009</v>
      </c>
      <c r="E53" s="144">
        <v>2010</v>
      </c>
      <c r="F53" s="145">
        <v>2011</v>
      </c>
      <c r="U53" s="760" t="str">
        <f>$B$2</f>
        <v>INDUSTRY SUMMARY</v>
      </c>
      <c r="V53" s="761">
        <v>2008</v>
      </c>
      <c r="W53" s="761">
        <v>2009</v>
      </c>
      <c r="X53" s="761">
        <v>2010</v>
      </c>
      <c r="Y53" s="762">
        <v>2011</v>
      </c>
    </row>
    <row r="54" spans="2:25">
      <c r="B54" s="111" t="s">
        <v>185</v>
      </c>
      <c r="C54" s="441">
        <f ca="1">'Industry calcs'!$AG$167</f>
        <v>1155098.7160762739</v>
      </c>
      <c r="D54" s="441">
        <f ca="1">'Industry calcs'!$AG$168</f>
        <v>1170563.1956769025</v>
      </c>
      <c r="E54" s="441">
        <f ca="1">'Industry calcs'!$AG$169</f>
        <v>1273117.611865134</v>
      </c>
      <c r="F54" s="613">
        <f ca="1">'Industry calcs'!$AG$170</f>
        <v>1285385.1742999998</v>
      </c>
      <c r="U54" s="111" t="s">
        <v>185</v>
      </c>
      <c r="V54" s="441">
        <f ca="1">C54</f>
        <v>1155098.7160762739</v>
      </c>
      <c r="W54" s="163">
        <f t="shared" ref="W54:X54" ca="1" si="1">D54</f>
        <v>1170563.1956769025</v>
      </c>
      <c r="X54" s="163">
        <f t="shared" ca="1" si="1"/>
        <v>1273117.611865134</v>
      </c>
      <c r="Y54" s="178">
        <f ca="1">F54</f>
        <v>1285385.1742999998</v>
      </c>
    </row>
    <row r="55" spans="2:25">
      <c r="B55" s="111" t="s">
        <v>180</v>
      </c>
      <c r="C55" s="441">
        <f ca="1">'Industry calcs'!$AG$173</f>
        <v>246216.43610177923</v>
      </c>
      <c r="D55" s="441">
        <f ca="1">'Industry calcs'!$AG$174</f>
        <v>248853.67275558782</v>
      </c>
      <c r="E55" s="441">
        <f ca="1">'Industry calcs'!$AG$175</f>
        <v>267545.82354657649</v>
      </c>
      <c r="F55" s="613">
        <f ca="1">'Industry calcs'!$AG$176</f>
        <v>249643.8205</v>
      </c>
      <c r="J55" s="139"/>
      <c r="U55" s="111" t="s">
        <v>180</v>
      </c>
      <c r="V55" s="163">
        <f ca="1">C55</f>
        <v>246216.43610177923</v>
      </c>
      <c r="W55" s="163">
        <f t="shared" ref="W55" ca="1" si="2">D55</f>
        <v>248853.67275558782</v>
      </c>
      <c r="X55" s="163">
        <f t="shared" ref="X55" ca="1" si="3">E55</f>
        <v>267545.82354657649</v>
      </c>
      <c r="Y55" s="178">
        <f ca="1">F55</f>
        <v>249643.8205</v>
      </c>
    </row>
    <row r="56" spans="2:25">
      <c r="B56" s="111" t="s">
        <v>184</v>
      </c>
      <c r="C56" s="441">
        <f ca="1">'Industry calcs'!$AG$177</f>
        <v>359655.58191503806</v>
      </c>
      <c r="D56" s="441">
        <f ca="1">'Industry calcs'!$AG$178</f>
        <v>339626.65030429256</v>
      </c>
      <c r="E56" s="441">
        <f ca="1">'Industry calcs'!$AG$179</f>
        <v>361087.0276417773</v>
      </c>
      <c r="F56" s="613">
        <f ca="1">'Industry calcs'!$AG$180</f>
        <v>374134.09765000001</v>
      </c>
      <c r="U56" s="111" t="s">
        <v>184</v>
      </c>
      <c r="V56" s="441">
        <f ca="1">C56+C57</f>
        <v>441157.34364738956</v>
      </c>
      <c r="W56" s="163">
        <f t="shared" ref="W56:Y56" ca="1" si="4">D56+D57</f>
        <v>412587.73676855501</v>
      </c>
      <c r="X56" s="163">
        <f t="shared" ca="1" si="4"/>
        <v>439942.90898910019</v>
      </c>
      <c r="Y56" s="178">
        <f t="shared" ca="1" si="4"/>
        <v>450781.20480000001</v>
      </c>
    </row>
    <row r="57" spans="2:25">
      <c r="B57" s="111" t="s">
        <v>181</v>
      </c>
      <c r="C57" s="441">
        <f ca="1">'Industry calcs'!$AG$181</f>
        <v>81501.761732351515</v>
      </c>
      <c r="D57" s="441">
        <f ca="1">'Industry calcs'!$AG$182</f>
        <v>72961.086464262436</v>
      </c>
      <c r="E57" s="441">
        <f ca="1">'Industry calcs'!$AG$183</f>
        <v>78855.88134732288</v>
      </c>
      <c r="F57" s="613">
        <f ca="1">'Industry calcs'!$AG$184</f>
        <v>76647.107149999996</v>
      </c>
      <c r="U57" s="155" t="s">
        <v>439</v>
      </c>
      <c r="V57" s="163">
        <f ca="1">V55+V56</f>
        <v>687373.77974916878</v>
      </c>
      <c r="W57" s="163">
        <f t="shared" ref="W57:Y57" ca="1" si="5">W55+W56</f>
        <v>661441.40952414286</v>
      </c>
      <c r="X57" s="163">
        <f t="shared" ca="1" si="5"/>
        <v>707488.73253567668</v>
      </c>
      <c r="Y57" s="178">
        <f t="shared" ca="1" si="5"/>
        <v>700425.02529999998</v>
      </c>
    </row>
    <row r="58" spans="2:25">
      <c r="B58" s="147" t="s">
        <v>248</v>
      </c>
      <c r="C58" s="428">
        <f ca="1">SUM(C54:C57)</f>
        <v>1842472.495825443</v>
      </c>
      <c r="D58" s="428">
        <f ca="1">SUM(D54:D57)</f>
        <v>1832004.6052010453</v>
      </c>
      <c r="E58" s="428">
        <f ca="1">SUM(E54:E57)</f>
        <v>1980606.3444008105</v>
      </c>
      <c r="F58" s="429">
        <f ca="1">SUM(F54:F57)</f>
        <v>1985810.1995999999</v>
      </c>
      <c r="U58" s="147" t="s">
        <v>248</v>
      </c>
      <c r="V58" s="148">
        <f ca="1">SUM(V54:V56)</f>
        <v>1842472.495825443</v>
      </c>
      <c r="W58" s="148">
        <f ca="1">SUM(W54:W56)</f>
        <v>1832004.6052010455</v>
      </c>
      <c r="X58" s="148">
        <f ca="1">SUM(X54:X56)</f>
        <v>1980606.3444008108</v>
      </c>
      <c r="Y58" s="149">
        <f ca="1">SUM(Y54:Y56)</f>
        <v>1985810.1995999997</v>
      </c>
    </row>
    <row r="59" spans="2:25">
      <c r="B59" s="103" t="s">
        <v>302</v>
      </c>
      <c r="U59" s="103" t="s">
        <v>302</v>
      </c>
    </row>
    <row r="60" spans="2:25">
      <c r="B60" s="137" t="str">
        <f>$B$2</f>
        <v>INDUSTRY SUMMARY</v>
      </c>
      <c r="C60" s="144">
        <v>2008</v>
      </c>
      <c r="D60" s="126">
        <v>2009</v>
      </c>
      <c r="E60" s="126">
        <v>2010</v>
      </c>
      <c r="F60" s="127">
        <v>2011</v>
      </c>
      <c r="U60" s="137" t="str">
        <f>$B$2</f>
        <v>INDUSTRY SUMMARY</v>
      </c>
      <c r="V60" s="144">
        <v>2008</v>
      </c>
      <c r="W60" s="126">
        <v>2009</v>
      </c>
      <c r="X60" s="126">
        <v>2010</v>
      </c>
      <c r="Y60" s="127">
        <v>2011</v>
      </c>
    </row>
    <row r="61" spans="2:25">
      <c r="B61" s="111" t="s">
        <v>185</v>
      </c>
      <c r="C61" s="422">
        <f t="shared" ref="C61:F65" ca="1" si="6">IF(ISERROR(C54/$C54),"",(C54/$C54)*100)</f>
        <v>100</v>
      </c>
      <c r="D61" s="422">
        <f t="shared" ca="1" si="6"/>
        <v>101.33880155742527</v>
      </c>
      <c r="E61" s="422">
        <f t="shared" ca="1" si="6"/>
        <v>110.21721296598402</v>
      </c>
      <c r="F61" s="423">
        <f ca="1">IF(ISERROR(F54/$C54),"",(F54/$C54)*100)</f>
        <v>111.27924881314843</v>
      </c>
      <c r="U61" s="111" t="s">
        <v>185</v>
      </c>
      <c r="V61" s="141">
        <f ca="1">IF(ISERROR(V54/$V54),"",(V54/$V54)*100)</f>
        <v>100</v>
      </c>
      <c r="W61" s="141">
        <f t="shared" ref="W61:Y61" ca="1" si="7">IF(ISERROR(W54/$V54),"",(W54/$V54)*100)</f>
        <v>101.33880155742527</v>
      </c>
      <c r="X61" s="141">
        <f t="shared" ca="1" si="7"/>
        <v>110.21721296598402</v>
      </c>
      <c r="Y61" s="142">
        <f t="shared" ca="1" si="7"/>
        <v>111.27924881314843</v>
      </c>
    </row>
    <row r="62" spans="2:25">
      <c r="B62" s="111" t="s">
        <v>180</v>
      </c>
      <c r="C62" s="422">
        <f t="shared" ca="1" si="6"/>
        <v>100</v>
      </c>
      <c r="D62" s="422">
        <f t="shared" ca="1" si="6"/>
        <v>101.07110503894974</v>
      </c>
      <c r="E62" s="422">
        <f t="shared" ca="1" si="6"/>
        <v>108.66286092938988</v>
      </c>
      <c r="F62" s="423">
        <f t="shared" ca="1" si="6"/>
        <v>101.39202096029203</v>
      </c>
      <c r="U62" s="111" t="s">
        <v>180</v>
      </c>
      <c r="V62" s="141">
        <f t="shared" ref="V62:Y65" ca="1" si="8">IF(ISERROR(V55/$V55),"",(V55/$V55)*100)</f>
        <v>100</v>
      </c>
      <c r="W62" s="141">
        <f t="shared" ca="1" si="8"/>
        <v>101.07110503894974</v>
      </c>
      <c r="X62" s="141">
        <f t="shared" ca="1" si="8"/>
        <v>108.66286092938988</v>
      </c>
      <c r="Y62" s="142">
        <f t="shared" ca="1" si="8"/>
        <v>101.39202096029203</v>
      </c>
    </row>
    <row r="63" spans="2:25">
      <c r="B63" s="111" t="s">
        <v>184</v>
      </c>
      <c r="C63" s="422">
        <f t="shared" ca="1" si="6"/>
        <v>100</v>
      </c>
      <c r="D63" s="422">
        <f t="shared" ca="1" si="6"/>
        <v>94.43108000601616</v>
      </c>
      <c r="E63" s="422">
        <f t="shared" ca="1" si="6"/>
        <v>100.39800459070239</v>
      </c>
      <c r="F63" s="423">
        <f t="shared" ca="1" si="6"/>
        <v>104.02566134463116</v>
      </c>
      <c r="U63" s="111" t="s">
        <v>184</v>
      </c>
      <c r="V63" s="141">
        <f t="shared" ca="1" si="8"/>
        <v>100</v>
      </c>
      <c r="W63" s="141">
        <f t="shared" ca="1" si="8"/>
        <v>93.523941675179316</v>
      </c>
      <c r="X63" s="141">
        <f t="shared" ca="1" si="8"/>
        <v>99.724716209357709</v>
      </c>
      <c r="Y63" s="142">
        <f t="shared" ca="1" si="8"/>
        <v>102.18150310568164</v>
      </c>
    </row>
    <row r="64" spans="2:25">
      <c r="B64" s="111" t="s">
        <v>181</v>
      </c>
      <c r="C64" s="422">
        <f t="shared" ca="1" si="6"/>
        <v>100</v>
      </c>
      <c r="D64" s="422">
        <f t="shared" ca="1" si="6"/>
        <v>89.5208703633471</v>
      </c>
      <c r="E64" s="422">
        <f t="shared" ca="1" si="6"/>
        <v>96.753591175467349</v>
      </c>
      <c r="F64" s="423">
        <f t="shared" ca="1" si="6"/>
        <v>94.043497368444619</v>
      </c>
      <c r="U64" s="155" t="s">
        <v>439</v>
      </c>
      <c r="V64" s="141">
        <f ca="1">IF(ISERROR(V57/$V57),"",(V57/$V57)*100)</f>
        <v>100</v>
      </c>
      <c r="W64" s="141">
        <f t="shared" ref="W64:Y64" ca="1" si="9">IF(ISERROR(W57/$V57),"",(W57/$V57)*100)</f>
        <v>96.227326239518632</v>
      </c>
      <c r="X64" s="141">
        <f t="shared" ca="1" si="9"/>
        <v>102.92634857178406</v>
      </c>
      <c r="Y64" s="142">
        <f t="shared" ca="1" si="9"/>
        <v>101.89871157954174</v>
      </c>
    </row>
    <row r="65" spans="2:41">
      <c r="B65" s="115" t="s">
        <v>248</v>
      </c>
      <c r="C65" s="424">
        <f t="shared" ca="1" si="6"/>
        <v>100</v>
      </c>
      <c r="D65" s="424">
        <f t="shared" ca="1" si="6"/>
        <v>99.431856342598593</v>
      </c>
      <c r="E65" s="424">
        <f t="shared" ca="1" si="6"/>
        <v>107.49720003356047</v>
      </c>
      <c r="F65" s="416">
        <f t="shared" ca="1" si="6"/>
        <v>107.77963872455749</v>
      </c>
      <c r="U65" s="115" t="s">
        <v>248</v>
      </c>
      <c r="V65" s="143">
        <f t="shared" ca="1" si="8"/>
        <v>100</v>
      </c>
      <c r="W65" s="143">
        <f t="shared" ca="1" si="8"/>
        <v>99.431856342598607</v>
      </c>
      <c r="X65" s="143">
        <f t="shared" ca="1" si="8"/>
        <v>107.49720003356049</v>
      </c>
      <c r="Y65" s="138">
        <f t="shared" ca="1" si="8"/>
        <v>107.77963872455747</v>
      </c>
    </row>
    <row r="68" spans="2:41">
      <c r="B68" s="576" t="s">
        <v>251</v>
      </c>
      <c r="C68" s="572"/>
      <c r="D68" s="572"/>
      <c r="E68" s="572"/>
      <c r="F68" s="573"/>
      <c r="U68" s="576" t="s">
        <v>251</v>
      </c>
      <c r="V68" s="572"/>
      <c r="W68" s="572"/>
      <c r="X68" s="572"/>
      <c r="Y68" s="573"/>
      <c r="AK68" s="103" t="s">
        <v>251</v>
      </c>
    </row>
    <row r="69" spans="2:41">
      <c r="B69" s="137" t="str">
        <f>$B$2</f>
        <v>INDUSTRY SUMMARY</v>
      </c>
      <c r="C69" s="144">
        <v>2008</v>
      </c>
      <c r="D69" s="144">
        <v>2009</v>
      </c>
      <c r="E69" s="144">
        <v>2010</v>
      </c>
      <c r="F69" s="145">
        <v>2011</v>
      </c>
      <c r="U69" s="137" t="str">
        <f>$B$2</f>
        <v>INDUSTRY SUMMARY</v>
      </c>
      <c r="V69" s="144">
        <v>2008</v>
      </c>
      <c r="W69" s="144">
        <v>2009</v>
      </c>
      <c r="X69" s="144">
        <v>2010</v>
      </c>
      <c r="Y69" s="145">
        <v>2011</v>
      </c>
      <c r="AK69" s="137" t="str">
        <f>$B$2</f>
        <v>INDUSTRY SUMMARY</v>
      </c>
      <c r="AL69" s="144">
        <v>2008</v>
      </c>
      <c r="AM69" s="144">
        <v>2009</v>
      </c>
      <c r="AN69" s="144">
        <v>2010</v>
      </c>
      <c r="AO69" s="145">
        <v>2011</v>
      </c>
    </row>
    <row r="70" spans="2:41">
      <c r="B70" s="111" t="s">
        <v>185</v>
      </c>
      <c r="C70" s="426">
        <f ca="1">(C54/C114)*1000</f>
        <v>641.1181455209786</v>
      </c>
      <c r="D70" s="433">
        <f ca="1">(D54/D114)*1000</f>
        <v>640.10113963945332</v>
      </c>
      <c r="E70" s="433">
        <f ca="1">(E54/E114)*1000</f>
        <v>691.54812281075863</v>
      </c>
      <c r="F70" s="434">
        <f ca="1">(F54/F114)*1000</f>
        <v>696.24067655124918</v>
      </c>
      <c r="U70" s="111" t="s">
        <v>185</v>
      </c>
      <c r="V70" s="146">
        <f t="shared" ref="V70:Y73" ca="1" si="10">(V54/V114)*1000</f>
        <v>641.1181455209786</v>
      </c>
      <c r="W70" s="150">
        <f t="shared" ca="1" si="10"/>
        <v>640.10113963945332</v>
      </c>
      <c r="X70" s="150">
        <f t="shared" ca="1" si="10"/>
        <v>691.54812281075863</v>
      </c>
      <c r="Y70" s="151">
        <f t="shared" ca="1" si="10"/>
        <v>696.24067655124918</v>
      </c>
      <c r="AK70" s="155" t="s">
        <v>440</v>
      </c>
      <c r="AL70" s="150" t="e">
        <f>(SUMIF(#REF!,"Y",#REF!))*1000/(SUMIF(#REF!,"Y",#REF!))</f>
        <v>#REF!</v>
      </c>
      <c r="AM70" s="150" t="e">
        <f>(SUMIF(#REF!,"Y",#REF!))*1000/(SUMIF(#REF!,"Y",#REF!))</f>
        <v>#REF!</v>
      </c>
      <c r="AN70" s="150" t="e">
        <f>(SUMIF(#REF!,"Y",#REF!))*1000/(SUMIF(#REF!,"Y",#REF!))</f>
        <v>#REF!</v>
      </c>
      <c r="AO70" s="151" t="e">
        <f>(SUMIF(#REF!,"Y",#REF!))*1000/(SUMIF(#REF!,"Y",#REF!))</f>
        <v>#REF!</v>
      </c>
    </row>
    <row r="71" spans="2:41">
      <c r="B71" s="111" t="s">
        <v>180</v>
      </c>
      <c r="C71" s="433">
        <f t="shared" ref="C71:D73" ca="1" si="11">(C55/C115)*1000</f>
        <v>1843.4203141418707</v>
      </c>
      <c r="D71" s="433">
        <f t="shared" ca="1" si="11"/>
        <v>1836.652478663126</v>
      </c>
      <c r="E71" s="433">
        <f t="shared" ref="E71:F73" ca="1" si="12">(E55/E115)*1000</f>
        <v>1907.428803986088</v>
      </c>
      <c r="F71" s="434">
        <f t="shared" ca="1" si="12"/>
        <v>1738.7651920864519</v>
      </c>
      <c r="U71" s="111" t="s">
        <v>180</v>
      </c>
      <c r="V71" s="150">
        <f t="shared" ca="1" si="10"/>
        <v>1843.4203141418707</v>
      </c>
      <c r="W71" s="150">
        <f t="shared" ca="1" si="10"/>
        <v>1836.652478663126</v>
      </c>
      <c r="X71" s="150">
        <f t="shared" ca="1" si="10"/>
        <v>1907.428803986088</v>
      </c>
      <c r="Y71" s="151">
        <f t="shared" ca="1" si="10"/>
        <v>1738.7651920864519</v>
      </c>
      <c r="AK71" s="155" t="s">
        <v>441</v>
      </c>
      <c r="AL71" s="150" t="e">
        <f>(SUMIF(#REF!,"N",#REF!))*1000/(SUMIF(#REF!,"N",#REF!))</f>
        <v>#REF!</v>
      </c>
      <c r="AM71" s="150" t="e">
        <f>(SUMIF(#REF!,"N",#REF!))*1000/(SUMIF(#REF!,"N",#REF!))</f>
        <v>#REF!</v>
      </c>
      <c r="AN71" s="150" t="e">
        <f>(SUMIF(#REF!,"N",#REF!))*1000/(SUMIF(#REF!,"N",#REF!))</f>
        <v>#REF!</v>
      </c>
      <c r="AO71" s="151" t="e">
        <f>(SUMIF(#REF!,"N",#REF!))*1000/(SUMIF(#REF!,"N",#REF!))</f>
        <v>#REF!</v>
      </c>
    </row>
    <row r="72" spans="2:41">
      <c r="B72" s="111" t="s">
        <v>184</v>
      </c>
      <c r="C72" s="433">
        <f t="shared" ca="1" si="11"/>
        <v>23902.149058947358</v>
      </c>
      <c r="D72" s="433">
        <f t="shared" ca="1" si="11"/>
        <v>22030.789459282081</v>
      </c>
      <c r="E72" s="433">
        <f t="shared" ca="1" si="12"/>
        <v>23101.666855174593</v>
      </c>
      <c r="F72" s="434">
        <f t="shared" ca="1" si="12"/>
        <v>23252.182263291903</v>
      </c>
      <c r="U72" s="111" t="s">
        <v>184</v>
      </c>
      <c r="V72" s="150">
        <f t="shared" ca="1" si="10"/>
        <v>29031.153620626672</v>
      </c>
      <c r="W72" s="150">
        <f t="shared" ca="1" si="10"/>
        <v>26500.593279501252</v>
      </c>
      <c r="X72" s="150">
        <f t="shared" ca="1" si="10"/>
        <v>27872.103873469532</v>
      </c>
      <c r="Y72" s="151">
        <f t="shared" ca="1" si="10"/>
        <v>27756.986661109619</v>
      </c>
      <c r="AK72" s="155" t="s">
        <v>442</v>
      </c>
      <c r="AL72" s="150" t="e">
        <f>(SUMIF(#REF!,"Y",#REF!))*1000/(SUMIF(#REF!,"Y",#REF!))</f>
        <v>#REF!</v>
      </c>
      <c r="AM72" s="150" t="e">
        <f>(SUMIF(#REF!,"Y",#REF!))*1000/(SUMIF(#REF!,"Y",#REF!))</f>
        <v>#REF!</v>
      </c>
      <c r="AN72" s="150" t="e">
        <f>(SUMIF(#REF!,"Y",#REF!))*1000/(SUMIF(#REF!,"Y",#REF!))</f>
        <v>#REF!</v>
      </c>
      <c r="AO72" s="151" t="e">
        <f>(SUMIF(#REF!,"Y",#REF!))*1000/(SUMIF(#REF!,"Y",#REF!))</f>
        <v>#REF!</v>
      </c>
    </row>
    <row r="73" spans="2:41">
      <c r="B73" s="115" t="s">
        <v>181</v>
      </c>
      <c r="C73" s="435">
        <f t="shared" ca="1" si="11"/>
        <v>546991.68947886932</v>
      </c>
      <c r="D73" s="435">
        <f t="shared" ca="1" si="11"/>
        <v>476869.84617164987</v>
      </c>
      <c r="E73" s="435">
        <f t="shared" ca="1" si="12"/>
        <v>512051.1775800187</v>
      </c>
      <c r="F73" s="436">
        <f t="shared" ca="1" si="12"/>
        <v>510980.71433333331</v>
      </c>
      <c r="U73" s="156" t="s">
        <v>439</v>
      </c>
      <c r="V73" s="152">
        <f ca="1">(V57/V117)*1000</f>
        <v>4620.6585446187173</v>
      </c>
      <c r="W73" s="152">
        <f t="shared" ca="1" si="10"/>
        <v>4378.6069766320634</v>
      </c>
      <c r="X73" s="152">
        <f t="shared" ca="1" si="10"/>
        <v>4533.7451780139963</v>
      </c>
      <c r="Y73" s="153">
        <f t="shared" ca="1" si="10"/>
        <v>4382.7066941812227</v>
      </c>
      <c r="AK73" s="156" t="s">
        <v>443</v>
      </c>
      <c r="AL73" s="152" t="e">
        <f>(SUMIF(#REF!,"N",#REF!))*1000/(SUMIF(#REF!,"N",#REF!))</f>
        <v>#REF!</v>
      </c>
      <c r="AM73" s="152" t="e">
        <f>(SUMIF(#REF!,"N",#REF!))*1000/(SUMIF(#REF!,"N",#REF!))</f>
        <v>#REF!</v>
      </c>
      <c r="AN73" s="152" t="e">
        <f>(SUMIF(#REF!,"N",#REF!))*1000/(SUMIF(#REF!,"N",#REF!))</f>
        <v>#REF!</v>
      </c>
      <c r="AO73" s="153" t="e">
        <f>(SUMIF(#REF!,"N",#REF!))*1000/(SUMIF(#REF!,"N",#REF!))</f>
        <v>#REF!</v>
      </c>
    </row>
    <row r="74" spans="2:41">
      <c r="B74" s="103" t="s">
        <v>303</v>
      </c>
      <c r="U74" s="103" t="s">
        <v>303</v>
      </c>
    </row>
    <row r="75" spans="2:41">
      <c r="B75" s="137" t="str">
        <f>$B$2</f>
        <v>INDUSTRY SUMMARY</v>
      </c>
      <c r="C75" s="140">
        <v>2008</v>
      </c>
      <c r="D75" s="144">
        <v>2009</v>
      </c>
      <c r="E75" s="144">
        <v>2010</v>
      </c>
      <c r="F75" s="145">
        <v>2011</v>
      </c>
      <c r="U75" s="137" t="str">
        <f>$B$2</f>
        <v>INDUSTRY SUMMARY</v>
      </c>
      <c r="V75" s="140">
        <v>2008</v>
      </c>
      <c r="W75" s="144">
        <v>2009</v>
      </c>
      <c r="X75" s="144">
        <v>2010</v>
      </c>
      <c r="Y75" s="145">
        <v>2011</v>
      </c>
      <c r="AN75" s="139"/>
    </row>
    <row r="76" spans="2:41">
      <c r="B76" s="111" t="s">
        <v>185</v>
      </c>
      <c r="C76" s="422">
        <f t="shared" ref="C76:F79" ca="1" si="13">IF(ISERROR(C70/$C70),"",(C70/$C70)*100)</f>
        <v>100</v>
      </c>
      <c r="D76" s="422">
        <f t="shared" ca="1" si="13"/>
        <v>99.841369973907248</v>
      </c>
      <c r="E76" s="422">
        <f t="shared" ca="1" si="13"/>
        <v>107.86594134670766</v>
      </c>
      <c r="F76" s="423">
        <f ca="1">IF(ISERROR(F70/$C70),"",(F70/$C70)*100)</f>
        <v>108.59787410719399</v>
      </c>
      <c r="U76" s="111" t="s">
        <v>185</v>
      </c>
      <c r="V76" s="141">
        <f ca="1">IF(ISERROR(V70/$V70),"",(V70/$V70)*100)</f>
        <v>100</v>
      </c>
      <c r="W76" s="141">
        <f t="shared" ref="W76:Y76" ca="1" si="14">IF(ISERROR(W70/$V70),"",(W70/$V70)*100)</f>
        <v>99.841369973907248</v>
      </c>
      <c r="X76" s="141">
        <f t="shared" ca="1" si="14"/>
        <v>107.86594134670766</v>
      </c>
      <c r="Y76" s="142">
        <f t="shared" ca="1" si="14"/>
        <v>108.59787410719399</v>
      </c>
      <c r="AN76" s="139"/>
    </row>
    <row r="77" spans="2:41">
      <c r="B77" s="111" t="s">
        <v>180</v>
      </c>
      <c r="C77" s="422">
        <f t="shared" ca="1" si="13"/>
        <v>100</v>
      </c>
      <c r="D77" s="422">
        <f t="shared" ca="1" si="13"/>
        <v>99.632865308751079</v>
      </c>
      <c r="E77" s="422">
        <f t="shared" ca="1" si="13"/>
        <v>103.47226779227579</v>
      </c>
      <c r="F77" s="423">
        <f t="shared" ca="1" si="13"/>
        <v>94.322774830430532</v>
      </c>
      <c r="I77" s="139" t="s">
        <v>190</v>
      </c>
      <c r="U77" s="111" t="s">
        <v>180</v>
      </c>
      <c r="V77" s="141">
        <f t="shared" ref="V77:Y77" ca="1" si="15">IF(ISERROR(V71/$V71),"",(V71/$V71)*100)</f>
        <v>100</v>
      </c>
      <c r="W77" s="141">
        <f t="shared" ca="1" si="15"/>
        <v>99.632865308751079</v>
      </c>
      <c r="X77" s="141">
        <f t="shared" ca="1" si="15"/>
        <v>103.47226779227579</v>
      </c>
      <c r="Y77" s="142">
        <f t="shared" ca="1" si="15"/>
        <v>94.322774830430532</v>
      </c>
      <c r="AN77" s="139"/>
    </row>
    <row r="78" spans="2:41">
      <c r="B78" s="111" t="s">
        <v>184</v>
      </c>
      <c r="C78" s="422">
        <f t="shared" ca="1" si="13"/>
        <v>100</v>
      </c>
      <c r="D78" s="422">
        <f t="shared" ca="1" si="13"/>
        <v>92.170747512911333</v>
      </c>
      <c r="E78" s="422">
        <f t="shared" ca="1" si="13"/>
        <v>96.651003213984566</v>
      </c>
      <c r="F78" s="423">
        <f t="shared" ca="1" si="13"/>
        <v>97.280718172861739</v>
      </c>
      <c r="U78" s="111" t="s">
        <v>184</v>
      </c>
      <c r="V78" s="141">
        <f t="shared" ref="V78:Y79" ca="1" si="16">IF(ISERROR(V72/$V72),"",(V72/$V72)*100)</f>
        <v>100</v>
      </c>
      <c r="W78" s="141">
        <f t="shared" ca="1" si="16"/>
        <v>91.283293891127173</v>
      </c>
      <c r="X78" s="141">
        <f t="shared" ca="1" si="16"/>
        <v>96.007565657557493</v>
      </c>
      <c r="Y78" s="142">
        <f t="shared" ca="1" si="16"/>
        <v>95.611035730210332</v>
      </c>
      <c r="AN78" s="139"/>
    </row>
    <row r="79" spans="2:41">
      <c r="B79" s="115" t="s">
        <v>181</v>
      </c>
      <c r="C79" s="424">
        <f t="shared" ca="1" si="13"/>
        <v>100</v>
      </c>
      <c r="D79" s="424">
        <f t="shared" ca="1" si="13"/>
        <v>87.180455451887028</v>
      </c>
      <c r="E79" s="424">
        <f t="shared" ca="1" si="13"/>
        <v>93.612240812627491</v>
      </c>
      <c r="F79" s="416">
        <f t="shared" ca="1" si="13"/>
        <v>93.416540719321645</v>
      </c>
      <c r="U79" s="115" t="s">
        <v>439</v>
      </c>
      <c r="V79" s="152">
        <f t="shared" ca="1" si="16"/>
        <v>100</v>
      </c>
      <c r="W79" s="152">
        <f t="shared" ca="1" si="16"/>
        <v>94.761535273612665</v>
      </c>
      <c r="X79" s="152">
        <f t="shared" ca="1" si="16"/>
        <v>98.119026416571259</v>
      </c>
      <c r="Y79" s="138">
        <f t="shared" ca="1" si="16"/>
        <v>94.850261101534613</v>
      </c>
      <c r="AN79" s="139"/>
    </row>
    <row r="81" spans="2:41">
      <c r="B81" s="576" t="s">
        <v>465</v>
      </c>
      <c r="C81" s="572"/>
      <c r="D81" s="572"/>
      <c r="E81" s="572"/>
      <c r="F81" s="573"/>
    </row>
    <row r="82" spans="2:41">
      <c r="B82" s="137" t="str">
        <f>$B$2</f>
        <v>INDUSTRY SUMMARY</v>
      </c>
      <c r="C82" s="126">
        <v>2008</v>
      </c>
      <c r="D82" s="126">
        <v>2009</v>
      </c>
      <c r="E82" s="126">
        <v>2010</v>
      </c>
      <c r="F82" s="127">
        <v>2011</v>
      </c>
    </row>
    <row r="83" spans="2:41">
      <c r="B83" s="111" t="s">
        <v>462</v>
      </c>
      <c r="C83" s="409">
        <f ca="1">(SUMIF('Industry calcs'!$D$262:$AF$262,"Y",'Industry calcs'!$D$167:$AF$167)*1000/SUMIF('Industry calcs'!$D$262:$AF$262,"Y",'Industry calcs'!$D$143:$AF$143))</f>
        <v>549.97968275670667</v>
      </c>
      <c r="D83" s="409">
        <f ca="1">(SUMIF('Industry calcs'!$D$262:$AF$262,"Y",'Industry calcs'!$D$168:$AF$168)*1000/SUMIF('Industry calcs'!$D$262:$AF$262,"Y",'Industry calcs'!$D$144:$AF$144))</f>
        <v>586.29247934028626</v>
      </c>
      <c r="E83" s="409">
        <f ca="1">(SUMIF('Industry calcs'!$D$262:$AF$262,"Y",'Industry calcs'!$D$169:$AF$169)*1000/SUMIF('Industry calcs'!$D$262:$AF$262,"Y",'Industry calcs'!$D$145:$AF$145))</f>
        <v>627.87788192930179</v>
      </c>
      <c r="F83" s="503">
        <f ca="1">(SUMIF('Industry calcs'!$D$262:$AF$262,"Y",'Industry calcs'!$D$170:$AF$170)*1000/SUMIF('Industry calcs'!$D$262:$AF$262,"Y",'Industry calcs'!$D$146:$AF$146))</f>
        <v>629.92143089164335</v>
      </c>
    </row>
    <row r="84" spans="2:41">
      <c r="B84" s="204" t="s">
        <v>463</v>
      </c>
      <c r="C84" s="409">
        <f ca="1">(SUMIF('Industry calcs'!$D$262:$AF$262,"N",'Industry calcs'!$D$167:$AF$167)*1000/SUMIF('Industry calcs'!$D$262:$AF$262,"N",'Industry calcs'!$D$143:$AF$143))</f>
        <v>660.62499723422025</v>
      </c>
      <c r="D84" s="409">
        <f ca="1">(SUMIF('Industry calcs'!$D$262:$AF$262,"N",'Industry calcs'!$D$168:$AF$168)*1000/SUMIF('Industry calcs'!$D$262:$AF$262,"N",'Industry calcs'!$D$144:$AF$144))</f>
        <v>651.6270295164702</v>
      </c>
      <c r="E84" s="409">
        <f ca="1">(SUMIF('Industry calcs'!$D$262:$AF$262,"N",'Industry calcs'!$D$169:$AF$169)*1000/SUMIF('Industry calcs'!$D$262:$AF$262,"N",'Industry calcs'!$D$145:$AF$145))</f>
        <v>705.34377552294359</v>
      </c>
      <c r="F84" s="598">
        <f ca="1">(SUMIF('Industry calcs'!$D$262:$AF$262,"N",'Industry calcs'!$D$170:$AF$170)*1000/SUMIF('Industry calcs'!$D$262:$AF$262,"N",'Industry calcs'!$D$146:$AF$146))</f>
        <v>710.6434315622655</v>
      </c>
    </row>
    <row r="85" spans="2:41">
      <c r="B85" s="576" t="s">
        <v>466</v>
      </c>
      <c r="C85" s="572"/>
      <c r="D85" s="572"/>
      <c r="E85" s="572"/>
      <c r="F85" s="573"/>
    </row>
    <row r="86" spans="2:41">
      <c r="B86" s="137" t="str">
        <f>$B$2</f>
        <v>INDUSTRY SUMMARY</v>
      </c>
      <c r="C86" s="475">
        <v>2008</v>
      </c>
      <c r="D86" s="475">
        <v>2009</v>
      </c>
      <c r="E86" s="475">
        <v>2010</v>
      </c>
      <c r="F86" s="476">
        <v>2011</v>
      </c>
    </row>
    <row r="87" spans="2:41">
      <c r="B87" s="111" t="s">
        <v>462</v>
      </c>
      <c r="C87" s="409">
        <f ca="1">(SUMIF('Industry calcs'!$D$262:$AF$262,"Y",'Industry calcs'!$D$185:$AF$185)*1000/SUMIF('Industry calcs'!$D$262:$AF$262,"Y",'Industry calcs'!$D$159:$AF$159))</f>
        <v>3449.8620036837274</v>
      </c>
      <c r="D87" s="409">
        <f ca="1">(SUMIF('Industry calcs'!$D$262:$AF$262,"Y",'Industry calcs'!$D$186:$AF$186)*1000/SUMIF('Industry calcs'!$D$262:$AF$262,"Y",'Industry calcs'!$D$160:$AF$160))</f>
        <v>3456.1923330421118</v>
      </c>
      <c r="E87" s="409">
        <f ca="1">(SUMIF('Industry calcs'!$D$262:$AF$262,"Y",'Industry calcs'!$D$187:$AF$187)*1000/SUMIF('Industry calcs'!$D$262:$AF$262,"Y",'Industry calcs'!$D$161:$AF$161))</f>
        <v>3633.674056752433</v>
      </c>
      <c r="F87" s="503">
        <f ca="1">(SUMIF('Industry calcs'!$D$262:$AF$262,"Y",'Industry calcs'!$D$188:$AF$188)*1000/SUMIF('Industry calcs'!$D$262:$AF$262,"Y",'Industry calcs'!$D$162:$AF$162))</f>
        <v>3770.9425213434774</v>
      </c>
    </row>
    <row r="88" spans="2:41">
      <c r="B88" s="204" t="s">
        <v>463</v>
      </c>
      <c r="C88" s="597">
        <f ca="1">(SUMIF('Industry calcs'!$D$262:$AF$262,"N",'Industry calcs'!$D$185:$AF$185)*1000/SUMIF('Industry calcs'!$D$262:$AF$262,"N",'Industry calcs'!$D$159:$AF$159))</f>
        <v>5065.213974115758</v>
      </c>
      <c r="D88" s="597">
        <f ca="1">(SUMIF('Industry calcs'!$D$262:$AF$262,"N",'Industry calcs'!$D$186:$AF$186)*1000/SUMIF('Industry calcs'!$D$262:$AF$262,"N",'Industry calcs'!$D$160:$AF$160))</f>
        <v>4733.5260269195933</v>
      </c>
      <c r="E88" s="597">
        <f ca="1">(SUMIF('Industry calcs'!$D$262:$AF$262,"N",'Industry calcs'!$D$187:$AF$187)*1000/SUMIF('Industry calcs'!$D$262:$AF$262,"N",'Industry calcs'!$D$161:$AF$161))</f>
        <v>4845.2349106692727</v>
      </c>
      <c r="F88" s="598">
        <f ca="1">(SUMIF('Industry calcs'!$D$262:$AF$262,"N",'Industry calcs'!$D$188:$AF$188)*1000/SUMIF('Industry calcs'!$D$262:$AF$262,"N",'Industry calcs'!$D$162:$AF$162))</f>
        <v>4592.9725131791738</v>
      </c>
    </row>
    <row r="90" spans="2:41">
      <c r="B90" s="576" t="s">
        <v>252</v>
      </c>
      <c r="C90" s="572"/>
      <c r="D90" s="572"/>
      <c r="E90" s="572"/>
      <c r="F90" s="573"/>
      <c r="U90" s="576" t="s">
        <v>252</v>
      </c>
      <c r="V90" s="572"/>
      <c r="W90" s="572"/>
      <c r="X90" s="572"/>
      <c r="Y90" s="573"/>
      <c r="AK90" s="103" t="s">
        <v>252</v>
      </c>
    </row>
    <row r="91" spans="2:41">
      <c r="B91" s="137" t="str">
        <f>$B$2</f>
        <v>INDUSTRY SUMMARY</v>
      </c>
      <c r="C91" s="144">
        <v>2008</v>
      </c>
      <c r="D91" s="144">
        <v>2009</v>
      </c>
      <c r="E91" s="144">
        <v>2010</v>
      </c>
      <c r="F91" s="145">
        <v>2011</v>
      </c>
      <c r="U91" s="137" t="str">
        <f>$B$2</f>
        <v>INDUSTRY SUMMARY</v>
      </c>
      <c r="V91" s="144">
        <v>2008</v>
      </c>
      <c r="W91" s="144">
        <v>2009</v>
      </c>
      <c r="X91" s="144">
        <v>2010</v>
      </c>
      <c r="Y91" s="145">
        <v>2011</v>
      </c>
      <c r="AK91" s="137" t="str">
        <f>$B$2</f>
        <v>INDUSTRY SUMMARY</v>
      </c>
      <c r="AL91" s="144">
        <v>2008</v>
      </c>
      <c r="AM91" s="144">
        <v>2009</v>
      </c>
      <c r="AN91" s="144">
        <v>2010</v>
      </c>
      <c r="AO91" s="145">
        <v>2011</v>
      </c>
    </row>
    <row r="92" spans="2:41">
      <c r="B92" s="111" t="s">
        <v>185</v>
      </c>
      <c r="C92" s="430">
        <f ca="1">(C54*100)/C129</f>
        <v>7.875449380452471</v>
      </c>
      <c r="D92" s="430">
        <f t="shared" ref="C92:F95" ca="1" si="17">(D54*100)/D129</f>
        <v>8.0814477306314831</v>
      </c>
      <c r="E92" s="430">
        <f t="shared" ca="1" si="17"/>
        <v>8.3420426365838054</v>
      </c>
      <c r="F92" s="632">
        <f t="shared" ca="1" si="17"/>
        <v>8.4943527910623668</v>
      </c>
      <c r="U92" s="111" t="s">
        <v>185</v>
      </c>
      <c r="V92" s="150">
        <f t="shared" ref="V92:Y95" ca="1" si="18">(V54*100)/V129</f>
        <v>7.875449380452471</v>
      </c>
      <c r="W92" s="150">
        <f t="shared" ca="1" si="18"/>
        <v>8.0814477306314831</v>
      </c>
      <c r="X92" s="150">
        <f t="shared" ca="1" si="18"/>
        <v>8.3420426365838054</v>
      </c>
      <c r="Y92" s="142">
        <f t="shared" ca="1" si="18"/>
        <v>8.4943527910623668</v>
      </c>
      <c r="AK92" s="155" t="s">
        <v>440</v>
      </c>
      <c r="AL92" s="150" t="e">
        <f>(SUMIF(#REF!,"Y",#REF!))*100/(SUMIF(#REF!,"Y",#REF!))</f>
        <v>#REF!</v>
      </c>
      <c r="AM92" s="150" t="e">
        <f>(SUMIF(#REF!,"Y",#REF!))*100/(SUMIF(#REF!,"Y",#REF!))</f>
        <v>#REF!</v>
      </c>
      <c r="AN92" s="150" t="e">
        <f>(SUMIF(#REF!,"Y",#REF!))*100/(SUMIF(#REF!,"Y",#REF!))</f>
        <v>#REF!</v>
      </c>
      <c r="AO92" s="151" t="e">
        <f>(SUMIF(#REF!,"Y",#REF!))*100/(SUMIF(#REF!,"Y",#REF!))</f>
        <v>#REF!</v>
      </c>
    </row>
    <row r="93" spans="2:41">
      <c r="B93" s="111" t="s">
        <v>180</v>
      </c>
      <c r="C93" s="430">
        <f ca="1">(C55*100)/C130</f>
        <v>6.4749732214820188</v>
      </c>
      <c r="D93" s="430">
        <f t="shared" ca="1" si="17"/>
        <v>6.8378216301697172</v>
      </c>
      <c r="E93" s="430">
        <f t="shared" ca="1" si="17"/>
        <v>6.8918894325220084</v>
      </c>
      <c r="F93" s="632">
        <f t="shared" ca="1" si="17"/>
        <v>6.7239005666443044</v>
      </c>
      <c r="U93" s="111" t="s">
        <v>180</v>
      </c>
      <c r="V93" s="150">
        <f t="shared" ca="1" si="18"/>
        <v>6.4749732214820188</v>
      </c>
      <c r="W93" s="150">
        <f t="shared" ca="1" si="18"/>
        <v>6.8378216301697172</v>
      </c>
      <c r="X93" s="150">
        <f t="shared" ca="1" si="18"/>
        <v>6.8918894325220084</v>
      </c>
      <c r="Y93" s="142">
        <f t="shared" ca="1" si="18"/>
        <v>6.7239005666443044</v>
      </c>
      <c r="AK93" s="155" t="s">
        <v>441</v>
      </c>
      <c r="AL93" s="150" t="e">
        <f>(SUMIF(#REF!,"N",#REF!))*100/(SUMIF(#REF!,"N",#REF!))</f>
        <v>#REF!</v>
      </c>
      <c r="AM93" s="150" t="e">
        <f>(SUMIF(#REF!,"N",#REF!))*100/(SUMIF(#REF!,"N",#REF!))</f>
        <v>#REF!</v>
      </c>
      <c r="AN93" s="150" t="e">
        <f>(SUMIF(#REF!,"N",#REF!))*100/(SUMIF(#REF!,"N",#REF!))</f>
        <v>#REF!</v>
      </c>
      <c r="AO93" s="151" t="e">
        <f>(SUMIF(#REF!,"N",#REF!))*100/(SUMIF(#REF!,"N",#REF!))</f>
        <v>#REF!</v>
      </c>
    </row>
    <row r="94" spans="2:41">
      <c r="B94" s="111" t="s">
        <v>184</v>
      </c>
      <c r="C94" s="430">
        <f ca="1">(C56*100)/C131</f>
        <v>4.2322041246556106</v>
      </c>
      <c r="D94" s="430">
        <f t="shared" ca="1" si="17"/>
        <v>4.0997962462928239</v>
      </c>
      <c r="E94" s="430">
        <f t="shared" ca="1" si="17"/>
        <v>4.2457246895584575</v>
      </c>
      <c r="F94" s="632">
        <f t="shared" ca="1" si="17"/>
        <v>4.3916542362595168</v>
      </c>
      <c r="U94" s="111" t="s">
        <v>184</v>
      </c>
      <c r="V94" s="150">
        <f t="shared" ca="1" si="18"/>
        <v>3.6639317529912772</v>
      </c>
      <c r="W94" s="150">
        <f t="shared" ca="1" si="18"/>
        <v>3.5032654685410427</v>
      </c>
      <c r="X94" s="150">
        <f t="shared" ca="1" si="18"/>
        <v>3.6975152212766424</v>
      </c>
      <c r="Y94" s="142">
        <f t="shared" ca="1" si="18"/>
        <v>3.7251367857564364</v>
      </c>
      <c r="AK94" s="155" t="s">
        <v>442</v>
      </c>
      <c r="AL94" s="150" t="e">
        <f>(SUMIF(#REF!,"Y",#REF!))*100/(SUMIF(#REF!,"Y",#REF!))</f>
        <v>#REF!</v>
      </c>
      <c r="AM94" s="150" t="e">
        <f>(SUMIF(#REF!,"Y",#REF!))*100/(SUMIF(#REF!,"Y",#REF!))</f>
        <v>#REF!</v>
      </c>
      <c r="AN94" s="150" t="e">
        <f>(SUMIF(#REF!,"Y",#REF!))*100/(SUMIF(#REF!,"Y",#REF!))</f>
        <v>#REF!</v>
      </c>
      <c r="AO94" s="151" t="e">
        <f>(SUMIF(#REF!,"Y",#REF!))*100/(SUMIF(#REF!,"Y",#REF!))</f>
        <v>#REF!</v>
      </c>
    </row>
    <row r="95" spans="2:41">
      <c r="B95" s="115" t="s">
        <v>181</v>
      </c>
      <c r="C95" s="431">
        <f t="shared" ca="1" si="17"/>
        <v>2.3006999141684306</v>
      </c>
      <c r="D95" s="431">
        <f t="shared" ca="1" si="17"/>
        <v>2.0886338440378047</v>
      </c>
      <c r="E95" s="431">
        <f t="shared" ca="1" si="17"/>
        <v>2.3236518243625914</v>
      </c>
      <c r="F95" s="633">
        <f t="shared" ca="1" si="17"/>
        <v>2.1398701329492837</v>
      </c>
      <c r="U95" s="115" t="s">
        <v>439</v>
      </c>
      <c r="V95" s="152">
        <f t="shared" ca="1" si="18"/>
        <v>4.3386233550990365</v>
      </c>
      <c r="W95" s="152">
        <f t="shared" ca="1" si="18"/>
        <v>4.2904483055961622</v>
      </c>
      <c r="X95" s="152">
        <f t="shared" ca="1" si="18"/>
        <v>4.4833445951156703</v>
      </c>
      <c r="Y95" s="138">
        <f t="shared" ca="1" si="18"/>
        <v>4.4291880056993618</v>
      </c>
      <c r="AK95" s="156" t="s">
        <v>443</v>
      </c>
      <c r="AL95" s="152" t="e">
        <f>(SUMIF(#REF!,"N",#REF!))*100/(SUMIF(#REF!,"N",#REF!))</f>
        <v>#REF!</v>
      </c>
      <c r="AM95" s="152" t="e">
        <f>(SUMIF(#REF!,"N",#REF!))*100/(SUMIF(#REF!,"N",#REF!))</f>
        <v>#REF!</v>
      </c>
      <c r="AN95" s="152" t="e">
        <f>(SUMIF(#REF!,"N",#REF!))*100/(SUMIF(#REF!,"N",#REF!))</f>
        <v>#REF!</v>
      </c>
      <c r="AO95" s="153" t="e">
        <f>(SUMIF(#REF!,"N",#REF!))*100/(SUMIF(#REF!,"N",#REF!))</f>
        <v>#REF!</v>
      </c>
    </row>
    <row r="96" spans="2:41">
      <c r="B96" s="103" t="s">
        <v>304</v>
      </c>
      <c r="U96" s="103" t="s">
        <v>304</v>
      </c>
    </row>
    <row r="97" spans="2:25">
      <c r="B97" s="137" t="str">
        <f>$B$2</f>
        <v>INDUSTRY SUMMARY</v>
      </c>
      <c r="C97" s="140">
        <v>2008</v>
      </c>
      <c r="D97" s="144">
        <v>2009</v>
      </c>
      <c r="E97" s="144">
        <v>2010</v>
      </c>
      <c r="F97" s="145">
        <v>2011</v>
      </c>
      <c r="U97" s="137" t="str">
        <f>$B$2</f>
        <v>INDUSTRY SUMMARY</v>
      </c>
      <c r="V97" s="140">
        <v>2008</v>
      </c>
      <c r="W97" s="144">
        <v>2009</v>
      </c>
      <c r="X97" s="144">
        <v>2010</v>
      </c>
      <c r="Y97" s="145">
        <v>2011</v>
      </c>
    </row>
    <row r="98" spans="2:25">
      <c r="B98" s="111" t="s">
        <v>185</v>
      </c>
      <c r="C98" s="422">
        <f ca="1">IF(ISERROR(C92/$C92),"",(C92/$C92)*100)</f>
        <v>100</v>
      </c>
      <c r="D98" s="422">
        <f ca="1">IF(ISERROR(D92/$C92),"",(D92/$C92)*100)</f>
        <v>102.61570280281805</v>
      </c>
      <c r="E98" s="422">
        <f ca="1">IF(ISERROR(E92/$C92),"",(E92/$C92)*100)</f>
        <v>105.9246556430095</v>
      </c>
      <c r="F98" s="423">
        <f ca="1">IF(ISERROR(F92/$C92),"",(F92/$C92)*100)</f>
        <v>107.85864248135562</v>
      </c>
      <c r="U98" s="111" t="s">
        <v>185</v>
      </c>
      <c r="V98" s="141">
        <f ca="1">IF(ISERROR(V92/$V92),"",(V92/$V92)*100)</f>
        <v>100</v>
      </c>
      <c r="W98" s="141">
        <f t="shared" ref="W98:Y98" ca="1" si="19">IF(ISERROR(W92/$V92),"",(W92/$V92)*100)</f>
        <v>102.61570280281805</v>
      </c>
      <c r="X98" s="141">
        <f t="shared" ca="1" si="19"/>
        <v>105.9246556430095</v>
      </c>
      <c r="Y98" s="142">
        <f t="shared" ca="1" si="19"/>
        <v>107.85864248135562</v>
      </c>
    </row>
    <row r="99" spans="2:25">
      <c r="B99" s="111" t="s">
        <v>180</v>
      </c>
      <c r="C99" s="422">
        <f t="shared" ref="C99:F100" ca="1" si="20">IF(ISERROR(C93/$C93),"",(C93/$C93)*100)</f>
        <v>100</v>
      </c>
      <c r="D99" s="422">
        <f t="shared" ca="1" si="20"/>
        <v>105.60385960337067</v>
      </c>
      <c r="E99" s="422">
        <f t="shared" ca="1" si="20"/>
        <v>106.43888703132835</v>
      </c>
      <c r="F99" s="423">
        <f t="shared" ca="1" si="20"/>
        <v>103.84445366254829</v>
      </c>
      <c r="U99" s="111" t="s">
        <v>180</v>
      </c>
      <c r="V99" s="141">
        <f t="shared" ref="V99:Y99" ca="1" si="21">IF(ISERROR(V93/$V93),"",(V93/$V93)*100)</f>
        <v>100</v>
      </c>
      <c r="W99" s="141">
        <f t="shared" ca="1" si="21"/>
        <v>105.60385960337067</v>
      </c>
      <c r="X99" s="141">
        <f t="shared" ca="1" si="21"/>
        <v>106.43888703132835</v>
      </c>
      <c r="Y99" s="142">
        <f t="shared" ca="1" si="21"/>
        <v>103.84445366254829</v>
      </c>
    </row>
    <row r="100" spans="2:25">
      <c r="B100" s="111" t="s">
        <v>184</v>
      </c>
      <c r="C100" s="422">
        <f t="shared" ca="1" si="20"/>
        <v>100</v>
      </c>
      <c r="D100" s="422">
        <f t="shared" ca="1" si="20"/>
        <v>96.871420317573623</v>
      </c>
      <c r="E100" s="422">
        <f t="shared" ca="1" si="20"/>
        <v>100.31946863867176</v>
      </c>
      <c r="F100" s="423">
        <f t="shared" ca="1" si="20"/>
        <v>103.76754303212823</v>
      </c>
      <c r="U100" s="111" t="s">
        <v>184</v>
      </c>
      <c r="V100" s="141">
        <f t="shared" ref="V100:Y101" ca="1" si="22">IF(ISERROR(V94/$V94),"",(V94/$V94)*100)</f>
        <v>100</v>
      </c>
      <c r="W100" s="141">
        <f t="shared" ca="1" si="22"/>
        <v>95.614921475568849</v>
      </c>
      <c r="X100" s="141">
        <f t="shared" ca="1" si="22"/>
        <v>100.91659644746241</v>
      </c>
      <c r="Y100" s="142">
        <f t="shared" ca="1" si="22"/>
        <v>101.67047414884817</v>
      </c>
    </row>
    <row r="101" spans="2:25">
      <c r="B101" s="115" t="s">
        <v>181</v>
      </c>
      <c r="C101" s="424">
        <f ca="1">IF(ISERROR(C95/$C95),"",(C95/$C95)*100)</f>
        <v>100</v>
      </c>
      <c r="D101" s="424">
        <f ca="1">IF(ISERROR(D95/$C95),"",(D95/$C95)*100)</f>
        <v>90.782541050892533</v>
      </c>
      <c r="E101" s="424">
        <f ca="1">IF(ISERROR(E95/$C95),"",(E95/$C95)*100)</f>
        <v>100.99760555702271</v>
      </c>
      <c r="F101" s="416">
        <f ca="1">IF(ISERROR(F95/$C95),"",(F95/$C95)*100)</f>
        <v>93.00952809061684</v>
      </c>
      <c r="U101" s="115" t="s">
        <v>439</v>
      </c>
      <c r="V101" s="152">
        <f t="shared" ca="1" si="22"/>
        <v>100</v>
      </c>
      <c r="W101" s="152">
        <f t="shared" ca="1" si="22"/>
        <v>98.889623607307243</v>
      </c>
      <c r="X101" s="152">
        <f t="shared" ca="1" si="22"/>
        <v>103.33564884922653</v>
      </c>
      <c r="Y101" s="138">
        <f t="shared" ca="1" si="22"/>
        <v>102.08740522483677</v>
      </c>
    </row>
    <row r="102" spans="2:25">
      <c r="B102" s="103"/>
    </row>
    <row r="103" spans="2:25">
      <c r="B103" s="576" t="s">
        <v>461</v>
      </c>
      <c r="C103" s="572"/>
      <c r="D103" s="572"/>
      <c r="E103" s="572"/>
      <c r="F103" s="573"/>
    </row>
    <row r="104" spans="2:25">
      <c r="B104" s="137" t="str">
        <f>$B$2</f>
        <v>INDUSTRY SUMMARY</v>
      </c>
      <c r="C104" s="126">
        <v>2008</v>
      </c>
      <c r="D104" s="126">
        <v>2009</v>
      </c>
      <c r="E104" s="126">
        <v>2010</v>
      </c>
      <c r="F104" s="127">
        <v>2011</v>
      </c>
    </row>
    <row r="105" spans="2:25">
      <c r="B105" s="111" t="s">
        <v>462</v>
      </c>
      <c r="C105" s="409">
        <f ca="1">(SUMIF('Industry calcs'!$D$262:$AF$262,"Y",'Industry calcs'!$D$167:$AF$167)*100/SUMIF('Industry calcs'!$D$262:$AF$262,"Y",'Industry calcs'!$D$199:$AF$199))</f>
        <v>7.2591012359016069</v>
      </c>
      <c r="D105" s="409">
        <f ca="1">(SUMIF('Industry calcs'!$D$262:$AF$262,"Y",'Industry calcs'!$D$168:$AF$168)*100/SUMIF('Industry calcs'!$D$262:$AF$262,"Y",'Industry calcs'!$D$200:$AF$200))</f>
        <v>7.6494774866018647</v>
      </c>
      <c r="E105" s="409">
        <f ca="1">(SUMIF('Industry calcs'!$D$262:$AF$262,"Y",'Industry calcs'!$D$169:$AF$169)*100/SUMIF('Industry calcs'!$D$262:$AF$262,"Y",'Industry calcs'!$D$201:$AF$201))</f>
        <v>7.9346588587036502</v>
      </c>
      <c r="F105" s="503">
        <f ca="1">(SUMIF('Industry calcs'!$D$262:$AF$262,"Y",'Industry calcs'!$D$170:$AF$170)*100/SUMIF('Industry calcs'!$D$262:$AF$262,"Y",'Industry calcs'!$D$202:$AF$202))</f>
        <v>8.1943673383828308</v>
      </c>
    </row>
    <row r="106" spans="2:25">
      <c r="B106" s="204" t="s">
        <v>463</v>
      </c>
      <c r="C106" s="409">
        <f ca="1">(SUMIF('Industry calcs'!$D$262:$AF$262,"N",'Industry calcs'!$D$167:$AF$167)*100/SUMIF('Industry calcs'!$D$262:$AF$262,"N",'Industry calcs'!$D$199:$AF$199))</f>
        <v>7.9964301986275101</v>
      </c>
      <c r="D106" s="409">
        <f ca="1">(SUMIF('Industry calcs'!$D$262:$AF$262,"N",'Industry calcs'!$D$168:$AF$168)*100/SUMIF('Industry calcs'!$D$262:$AF$262,"N",'Industry calcs'!$D$200:$AF$200))</f>
        <v>8.1703680887081145</v>
      </c>
      <c r="E106" s="409">
        <f ca="1">(SUMIF('Industry calcs'!$D$262:$AF$262,"N",'Industry calcs'!$D$169:$AF$169)*100/SUMIF('Industry calcs'!$D$262:$AF$262,"N",'Industry calcs'!$D$201:$AF$201))</f>
        <v>8.4254779932683803</v>
      </c>
      <c r="F106" s="598">
        <f ca="1">(SUMIF('Industry calcs'!$D$262:$AF$262,"N",'Industry calcs'!$D$170:$AF$170)*100/SUMIF('Industry calcs'!$D$262:$AF$262,"N",'Industry calcs'!$D$202:$AF$202))</f>
        <v>8.5546402739403486</v>
      </c>
    </row>
    <row r="107" spans="2:25">
      <c r="B107" s="576" t="s">
        <v>464</v>
      </c>
      <c r="C107" s="572"/>
      <c r="D107" s="572"/>
      <c r="E107" s="572"/>
      <c r="F107" s="573"/>
    </row>
    <row r="108" spans="2:25">
      <c r="B108" s="474" t="str">
        <f>$B$2</f>
        <v>INDUSTRY SUMMARY</v>
      </c>
      <c r="C108" s="475">
        <v>2008</v>
      </c>
      <c r="D108" s="475">
        <v>2009</v>
      </c>
      <c r="E108" s="475">
        <v>2010</v>
      </c>
      <c r="F108" s="476">
        <v>2011</v>
      </c>
    </row>
    <row r="109" spans="2:25">
      <c r="B109" s="111" t="s">
        <v>462</v>
      </c>
      <c r="C109" s="409">
        <f ca="1">(SUMIF('Industry calcs'!$D$262:$AF$262,"Y",'Industry calcs'!$D$185:$AF$185)*100/SUMIF('Industry calcs'!$D$262:$AF$262,"Y",'Industry calcs'!$D$221:$AF$221))</f>
        <v>4.7269715677959772</v>
      </c>
      <c r="D109" s="409">
        <f ca="1">(SUMIF('Industry calcs'!$D$262:$AF$262,"Y",'Industry calcs'!$D$186:$AF$186)*100/SUMIF('Industry calcs'!$D$262:$AF$262,"Y",'Industry calcs'!$D$222:$AF$222))</f>
        <v>4.86594746144696</v>
      </c>
      <c r="E109" s="409">
        <f ca="1">(SUMIF('Industry calcs'!$D$262:$AF$262,"Y",'Industry calcs'!$D$187:$AF$187)*100/SUMIF('Industry calcs'!$D$262:$AF$262,"Y",'Industry calcs'!$D$223:$AF$223))</f>
        <v>4.9072725196137466</v>
      </c>
      <c r="F109" s="503">
        <f ca="1">(SUMIF('Industry calcs'!$D$262:$AF$262,"Y",'Industry calcs'!$D$188:$AF$188)*100/SUMIF('Industry calcs'!$D$262:$AF$262,"Y",'Industry calcs'!$D$224:$AF$224))</f>
        <v>5.0347608074631918</v>
      </c>
    </row>
    <row r="110" spans="2:25">
      <c r="B110" s="204" t="s">
        <v>463</v>
      </c>
      <c r="C110" s="597">
        <f ca="1">(SUMIF('Industry calcs'!$D$262:$AF$262,"N",'Industry calcs'!$D$185:$AF$185)*100/SUMIF('Industry calcs'!$D$262:$AF$262,"N",'Industry calcs'!$D$221:$AF$221))</f>
        <v>4.2483606970944576</v>
      </c>
      <c r="D110" s="597">
        <f ca="1">(SUMIF('Industry calcs'!$D$262:$AF$262,"N",'Industry calcs'!$D$186:$AF$186)*100/SUMIF('Industry calcs'!$D$262:$AF$262,"N",'Industry calcs'!$D$222:$AF$222))</f>
        <v>4.1524733126988602</v>
      </c>
      <c r="E110" s="597">
        <f ca="1">(SUMIF('Industry calcs'!$D$262:$AF$262,"N",'Industry calcs'!$D$187:$AF$187)*100/SUMIF('Industry calcs'!$D$262:$AF$262,"N",'Industry calcs'!$D$223:$AF$223))</f>
        <v>4.3850290122868953</v>
      </c>
      <c r="F110" s="598">
        <f ca="1">(SUMIF('Industry calcs'!$D$262:$AF$262,"N",'Industry calcs'!$D$188:$AF$188)*100/SUMIF('Industry calcs'!$D$262:$AF$262,"N",'Industry calcs'!$D$224:$AF$224))</f>
        <v>4.2837906646114368</v>
      </c>
    </row>
    <row r="112" spans="2:25">
      <c r="B112" s="576" t="s">
        <v>253</v>
      </c>
      <c r="C112" s="572"/>
      <c r="D112" s="572"/>
      <c r="E112" s="572"/>
      <c r="F112" s="573"/>
      <c r="U112" s="576" t="s">
        <v>253</v>
      </c>
      <c r="V112" s="572"/>
      <c r="W112" s="572"/>
      <c r="X112" s="572"/>
      <c r="Y112" s="573"/>
    </row>
    <row r="113" spans="2:25">
      <c r="B113" s="154"/>
      <c r="C113" s="144">
        <v>2008</v>
      </c>
      <c r="D113" s="144">
        <v>2009</v>
      </c>
      <c r="E113" s="144">
        <v>2010</v>
      </c>
      <c r="F113" s="145">
        <v>2011</v>
      </c>
      <c r="U113" s="154"/>
      <c r="V113" s="144">
        <v>2008</v>
      </c>
      <c r="W113" s="144">
        <v>2009</v>
      </c>
      <c r="X113" s="144">
        <v>2010</v>
      </c>
      <c r="Y113" s="145">
        <v>2011</v>
      </c>
    </row>
    <row r="114" spans="2:25">
      <c r="B114" s="155" t="s">
        <v>308</v>
      </c>
      <c r="C114" s="433">
        <f ca="1">'Industry calcs'!$AG$143</f>
        <v>1801694</v>
      </c>
      <c r="D114" s="433">
        <f ca="1">'Industry calcs'!$AG$144</f>
        <v>1828716</v>
      </c>
      <c r="E114" s="433">
        <f ca="1">'Industry calcs'!$AG$145</f>
        <v>1840967.49</v>
      </c>
      <c r="F114" s="434">
        <f ca="1">'Industry calcs'!$AG$146</f>
        <v>1846179.371</v>
      </c>
      <c r="U114" s="155" t="s">
        <v>308</v>
      </c>
      <c r="V114" s="163">
        <f ca="1">C114</f>
        <v>1801694</v>
      </c>
      <c r="W114" s="163">
        <f t="shared" ref="W114:W115" ca="1" si="23">D114</f>
        <v>1828716</v>
      </c>
      <c r="X114" s="163">
        <f t="shared" ref="X114:X115" ca="1" si="24">E114</f>
        <v>1840967.49</v>
      </c>
      <c r="Y114" s="178">
        <f ca="1">F114</f>
        <v>1846179.371</v>
      </c>
    </row>
    <row r="115" spans="2:25">
      <c r="B115" s="155" t="s">
        <v>309</v>
      </c>
      <c r="C115" s="433">
        <f ca="1">'Industry calcs'!$AG$147</f>
        <v>133565.00099999999</v>
      </c>
      <c r="D115" s="433">
        <f ca="1">'Industry calcs'!$AG$148</f>
        <v>135493.06450000001</v>
      </c>
      <c r="E115" s="433">
        <f ca="1">'Industry calcs'!$AG$149</f>
        <v>140265.16899999999</v>
      </c>
      <c r="F115" s="434">
        <f ca="1">'Industry calcs'!$AG$150</f>
        <v>143575.34969999999</v>
      </c>
      <c r="U115" s="155" t="s">
        <v>309</v>
      </c>
      <c r="V115" s="163">
        <f ca="1">C115</f>
        <v>133565.00099999999</v>
      </c>
      <c r="W115" s="163">
        <f t="shared" ca="1" si="23"/>
        <v>135493.06450000001</v>
      </c>
      <c r="X115" s="163">
        <f t="shared" ca="1" si="24"/>
        <v>140265.16899999999</v>
      </c>
      <c r="Y115" s="178">
        <f ca="1">F115</f>
        <v>143575.34969999999</v>
      </c>
    </row>
    <row r="116" spans="2:25">
      <c r="B116" s="155" t="s">
        <v>310</v>
      </c>
      <c r="C116" s="433">
        <f ca="1">'Industry calcs'!$AG$151</f>
        <v>15046.9977</v>
      </c>
      <c r="D116" s="433">
        <f ca="1">'Industry calcs'!$AG$152</f>
        <v>15416</v>
      </c>
      <c r="E116" s="433">
        <f ca="1">'Industry calcs'!$AG$153</f>
        <v>15630.3452</v>
      </c>
      <c r="F116" s="434">
        <f ca="1">'Industry calcs'!$AG$154</f>
        <v>16090.278900000001</v>
      </c>
      <c r="U116" s="155" t="s">
        <v>310</v>
      </c>
      <c r="V116" s="163">
        <f ca="1">C116+C117</f>
        <v>15195.9977</v>
      </c>
      <c r="W116" s="163">
        <f t="shared" ref="W116" ca="1" si="25">D116+D117</f>
        <v>15569</v>
      </c>
      <c r="X116" s="163">
        <f t="shared" ref="X116" ca="1" si="26">E116+E117</f>
        <v>15784.3452</v>
      </c>
      <c r="Y116" s="178">
        <f t="shared" ref="Y116" ca="1" si="27">F116+F117</f>
        <v>16240.278900000001</v>
      </c>
    </row>
    <row r="117" spans="2:25">
      <c r="B117" s="111" t="s">
        <v>181</v>
      </c>
      <c r="C117" s="433">
        <f ca="1">'Industry calcs'!$AG$155</f>
        <v>149</v>
      </c>
      <c r="D117" s="433">
        <f ca="1">'Industry calcs'!$AG$156</f>
        <v>153</v>
      </c>
      <c r="E117" s="433">
        <f ca="1">'Industry calcs'!$AG$157</f>
        <v>154</v>
      </c>
      <c r="F117" s="434">
        <f ca="1">'Industry calcs'!$AG$158</f>
        <v>150</v>
      </c>
      <c r="U117" s="155" t="s">
        <v>439</v>
      </c>
      <c r="V117" s="150">
        <f ca="1">V115+V116</f>
        <v>148760.9987</v>
      </c>
      <c r="W117" s="150">
        <f t="shared" ref="W117:Y117" ca="1" si="28">W115+W116</f>
        <v>151062.06450000001</v>
      </c>
      <c r="X117" s="150">
        <f t="shared" ca="1" si="28"/>
        <v>156049.51420000001</v>
      </c>
      <c r="Y117" s="151">
        <f t="shared" ca="1" si="28"/>
        <v>159815.6286</v>
      </c>
    </row>
    <row r="118" spans="2:25">
      <c r="B118" s="156" t="s">
        <v>254</v>
      </c>
      <c r="C118" s="435">
        <f ca="1">SUM(C114:C117)</f>
        <v>1950454.9986999999</v>
      </c>
      <c r="D118" s="435">
        <f ca="1">SUM(D114:D117)</f>
        <v>1979778.0645000001</v>
      </c>
      <c r="E118" s="435">
        <f ca="1">SUM(E114:E117)</f>
        <v>1997017.0042000001</v>
      </c>
      <c r="F118" s="634">
        <f ca="1">SUM(F114:F117)</f>
        <v>2005994.9996</v>
      </c>
      <c r="U118" s="156" t="s">
        <v>254</v>
      </c>
      <c r="V118" s="152">
        <f ca="1">SUM(V114:V116)</f>
        <v>1950454.9986999999</v>
      </c>
      <c r="W118" s="152">
        <f ca="1">SUM(W114:W116)</f>
        <v>1979778.0645000001</v>
      </c>
      <c r="X118" s="152">
        <f ca="1">SUM(X114:X116)</f>
        <v>1997017.0042000001</v>
      </c>
      <c r="Y118" s="157">
        <f ca="1">SUM(Y114:Y116)</f>
        <v>2005994.9996</v>
      </c>
    </row>
    <row r="119" spans="2:25">
      <c r="B119" s="103" t="s">
        <v>305</v>
      </c>
      <c r="U119" s="103" t="s">
        <v>305</v>
      </c>
    </row>
    <row r="120" spans="2:25">
      <c r="B120" s="137"/>
      <c r="C120" s="140">
        <v>2008</v>
      </c>
      <c r="D120" s="144">
        <v>2009</v>
      </c>
      <c r="E120" s="144">
        <v>2010</v>
      </c>
      <c r="F120" s="145">
        <v>2011</v>
      </c>
      <c r="U120" s="137"/>
      <c r="V120" s="140">
        <v>2008</v>
      </c>
      <c r="W120" s="144">
        <v>2009</v>
      </c>
      <c r="X120" s="144">
        <v>2010</v>
      </c>
      <c r="Y120" s="145">
        <v>2011</v>
      </c>
    </row>
    <row r="121" spans="2:25">
      <c r="B121" s="111" t="s">
        <v>185</v>
      </c>
      <c r="C121" s="422">
        <f t="shared" ref="C121:F124" ca="1" si="29">IF(ISERROR(C114/$C114),"",(C114/$C114)*100)</f>
        <v>100</v>
      </c>
      <c r="D121" s="422">
        <f t="shared" ca="1" si="29"/>
        <v>101.4998107336762</v>
      </c>
      <c r="E121" s="422">
        <f t="shared" ca="1" si="29"/>
        <v>102.17980911297924</v>
      </c>
      <c r="F121" s="423">
        <f t="shared" ca="1" si="29"/>
        <v>102.46908581590436</v>
      </c>
      <c r="U121" s="111" t="s">
        <v>185</v>
      </c>
      <c r="V121" s="141">
        <f ca="1">IF(ISERROR(V114/$V114),"",(V114/$V114)*100)</f>
        <v>100</v>
      </c>
      <c r="W121" s="141">
        <f t="shared" ref="W121:Y121" ca="1" si="30">IF(ISERROR(W114/$V114),"",(W114/$V114)*100)</f>
        <v>101.4998107336762</v>
      </c>
      <c r="X121" s="141">
        <f t="shared" ca="1" si="30"/>
        <v>102.17980911297924</v>
      </c>
      <c r="Y121" s="142">
        <f t="shared" ca="1" si="30"/>
        <v>102.46908581590436</v>
      </c>
    </row>
    <row r="122" spans="2:25">
      <c r="B122" s="111" t="s">
        <v>180</v>
      </c>
      <c r="C122" s="422">
        <f t="shared" ca="1" si="29"/>
        <v>100</v>
      </c>
      <c r="D122" s="422">
        <f t="shared" ca="1" si="29"/>
        <v>101.44353946435416</v>
      </c>
      <c r="E122" s="422">
        <f t="shared" ca="1" si="29"/>
        <v>105.01640995008866</v>
      </c>
      <c r="F122" s="423">
        <f t="shared" ca="1" si="29"/>
        <v>107.49473935915293</v>
      </c>
      <c r="U122" s="111" t="s">
        <v>180</v>
      </c>
      <c r="V122" s="141">
        <f t="shared" ref="V122:Y122" ca="1" si="31">IF(ISERROR(V115/$V115),"",(V115/$V115)*100)</f>
        <v>100</v>
      </c>
      <c r="W122" s="141">
        <f t="shared" ca="1" si="31"/>
        <v>101.44353946435416</v>
      </c>
      <c r="X122" s="141">
        <f t="shared" ca="1" si="31"/>
        <v>105.01640995008866</v>
      </c>
      <c r="Y122" s="142">
        <f t="shared" ca="1" si="31"/>
        <v>107.49473935915293</v>
      </c>
    </row>
    <row r="123" spans="2:25">
      <c r="B123" s="111" t="s">
        <v>184</v>
      </c>
      <c r="C123" s="422">
        <f t="shared" ca="1" si="29"/>
        <v>100</v>
      </c>
      <c r="D123" s="422">
        <f t="shared" ca="1" si="29"/>
        <v>102.45233173658291</v>
      </c>
      <c r="E123" s="422">
        <f t="shared" ca="1" si="29"/>
        <v>103.87683650672719</v>
      </c>
      <c r="F123" s="423">
        <f t="shared" ca="1" si="29"/>
        <v>106.93348414614299</v>
      </c>
      <c r="U123" s="111" t="s">
        <v>184</v>
      </c>
      <c r="V123" s="141">
        <f t="shared" ref="V123:Y124" ca="1" si="32">IF(ISERROR(V116/$V116),"",(V116/$V116)*100)</f>
        <v>100</v>
      </c>
      <c r="W123" s="141">
        <f t="shared" ca="1" si="32"/>
        <v>102.45460882111084</v>
      </c>
      <c r="X123" s="141">
        <f t="shared" ca="1" si="32"/>
        <v>103.87172669814237</v>
      </c>
      <c r="Y123" s="142">
        <f t="shared" ca="1" si="32"/>
        <v>106.87208053473185</v>
      </c>
    </row>
    <row r="124" spans="2:25">
      <c r="B124" s="115" t="s">
        <v>181</v>
      </c>
      <c r="C124" s="424">
        <f ca="1">IF(ISERROR(C117/$C117),"",(C117/$C117)*100)</f>
        <v>100</v>
      </c>
      <c r="D124" s="424">
        <f t="shared" ca="1" si="29"/>
        <v>102.68456375838926</v>
      </c>
      <c r="E124" s="424">
        <f t="shared" ca="1" si="29"/>
        <v>103.35570469798658</v>
      </c>
      <c r="F124" s="416">
        <f t="shared" ca="1" si="29"/>
        <v>100.67114093959732</v>
      </c>
      <c r="U124" s="115" t="s">
        <v>439</v>
      </c>
      <c r="V124" s="143">
        <f t="shared" ca="1" si="32"/>
        <v>100</v>
      </c>
      <c r="W124" s="143">
        <f t="shared" ca="1" si="32"/>
        <v>101.54682061838028</v>
      </c>
      <c r="X124" s="143">
        <f t="shared" ca="1" si="32"/>
        <v>104.89948008126677</v>
      </c>
      <c r="Y124" s="138">
        <f t="shared" ca="1" si="32"/>
        <v>107.43113450205681</v>
      </c>
    </row>
    <row r="127" spans="2:25">
      <c r="B127" s="576" t="s">
        <v>255</v>
      </c>
      <c r="C127" s="572"/>
      <c r="D127" s="572"/>
      <c r="E127" s="572"/>
      <c r="F127" s="573"/>
      <c r="U127" s="576" t="s">
        <v>255</v>
      </c>
      <c r="V127" s="572"/>
      <c r="W127" s="572"/>
      <c r="X127" s="572"/>
      <c r="Y127" s="573"/>
    </row>
    <row r="128" spans="2:25">
      <c r="B128" s="137" t="str">
        <f>$B$2</f>
        <v>INDUSTRY SUMMARY</v>
      </c>
      <c r="C128" s="144">
        <v>2008</v>
      </c>
      <c r="D128" s="144">
        <v>2009</v>
      </c>
      <c r="E128" s="144">
        <v>2010</v>
      </c>
      <c r="F128" s="145">
        <v>2011</v>
      </c>
      <c r="U128" s="137" t="str">
        <f>$B$2</f>
        <v>INDUSTRY SUMMARY</v>
      </c>
      <c r="V128" s="144">
        <v>2008</v>
      </c>
      <c r="W128" s="144">
        <v>2009</v>
      </c>
      <c r="X128" s="144">
        <v>2010</v>
      </c>
      <c r="Y128" s="145">
        <v>2011</v>
      </c>
    </row>
    <row r="129" spans="2:25">
      <c r="B129" s="155" t="s">
        <v>308</v>
      </c>
      <c r="C129" s="426">
        <f ca="1">'Industry calcs'!$AG$199</f>
        <v>14667083.239000002</v>
      </c>
      <c r="D129" s="426">
        <f ca="1">'Industry calcs'!$AG$200</f>
        <v>14484572.995999999</v>
      </c>
      <c r="E129" s="426">
        <f ca="1">'Industry calcs'!$AG$201</f>
        <v>15261461.339000002</v>
      </c>
      <c r="F129" s="427">
        <f ca="1">'Industry calcs'!$AG$202</f>
        <v>15132232.036</v>
      </c>
      <c r="U129" s="155" t="s">
        <v>308</v>
      </c>
      <c r="V129" s="163">
        <f ca="1">C129</f>
        <v>14667083.239000002</v>
      </c>
      <c r="W129" s="163">
        <f t="shared" ref="W129:W130" ca="1" si="33">D129</f>
        <v>14484572.995999999</v>
      </c>
      <c r="X129" s="163">
        <f t="shared" ref="X129:X130" ca="1" si="34">E129</f>
        <v>15261461.339000002</v>
      </c>
      <c r="Y129" s="178">
        <f ca="1">F129</f>
        <v>15132232.036</v>
      </c>
    </row>
    <row r="130" spans="2:25">
      <c r="B130" s="155" t="s">
        <v>309</v>
      </c>
      <c r="C130" s="426">
        <f ca="1">'Industry calcs'!$AG$203</f>
        <v>3802586.1679999996</v>
      </c>
      <c r="D130" s="426">
        <f ca="1">'Industry calcs'!$AG$204</f>
        <v>3639370.6389999995</v>
      </c>
      <c r="E130" s="426">
        <f ca="1">'Industry calcs'!$AG$205</f>
        <v>3882038.8249999993</v>
      </c>
      <c r="F130" s="427">
        <f ca="1">'Industry calcs'!$AG$206</f>
        <v>3712782.7520000003</v>
      </c>
      <c r="U130" s="155" t="s">
        <v>309</v>
      </c>
      <c r="V130" s="163">
        <f ca="1">C130</f>
        <v>3802586.1679999996</v>
      </c>
      <c r="W130" s="163">
        <f t="shared" ca="1" si="33"/>
        <v>3639370.6389999995</v>
      </c>
      <c r="X130" s="163">
        <f t="shared" ca="1" si="34"/>
        <v>3882038.8249999993</v>
      </c>
      <c r="Y130" s="178">
        <f ca="1">F130</f>
        <v>3712782.7520000003</v>
      </c>
    </row>
    <row r="131" spans="2:25">
      <c r="B131" s="155" t="s">
        <v>310</v>
      </c>
      <c r="C131" s="426">
        <f ca="1">'Industry calcs'!$AG$207</f>
        <v>8498067.9409999996</v>
      </c>
      <c r="D131" s="426">
        <f ca="1">'Industry calcs'!$AG$208</f>
        <v>8283988.5180000011</v>
      </c>
      <c r="E131" s="426">
        <f ca="1">'Industry calcs'!$AG$209</f>
        <v>8504720.7259999998</v>
      </c>
      <c r="F131" s="427">
        <f ca="1">'Industry calcs'!$AG$210</f>
        <v>8519206.6023999993</v>
      </c>
      <c r="U131" s="155" t="s">
        <v>310</v>
      </c>
      <c r="V131" s="163">
        <f ca="1">C131+C132</f>
        <v>12040544.785999998</v>
      </c>
      <c r="W131" s="163">
        <f t="shared" ref="W131" ca="1" si="35">D131+D132</f>
        <v>11777232.998000002</v>
      </c>
      <c r="X131" s="163">
        <f t="shared" ref="X131" ca="1" si="36">E131+E132</f>
        <v>11898339.362</v>
      </c>
      <c r="Y131" s="178">
        <f t="shared" ref="Y131" ca="1" si="37">F131+F132</f>
        <v>12101064.4904</v>
      </c>
    </row>
    <row r="132" spans="2:25">
      <c r="B132" s="155" t="s">
        <v>311</v>
      </c>
      <c r="C132" s="426">
        <f ca="1">'Industry calcs'!$AG$211</f>
        <v>3542476.8449999997</v>
      </c>
      <c r="D132" s="426">
        <f ca="1">'Industry calcs'!$AG$212</f>
        <v>3493244.4800000004</v>
      </c>
      <c r="E132" s="426">
        <f ca="1">'Industry calcs'!$AG$213</f>
        <v>3393618.6359999999</v>
      </c>
      <c r="F132" s="427">
        <f ca="1">'Industry calcs'!$AG$214</f>
        <v>3581857.8879999998</v>
      </c>
      <c r="U132" s="155" t="s">
        <v>439</v>
      </c>
      <c r="V132" s="150">
        <f ca="1">V130+V131</f>
        <v>15843130.953999998</v>
      </c>
      <c r="W132" s="150">
        <f t="shared" ref="W132:Y132" ca="1" si="38">W130+W131</f>
        <v>15416603.637000002</v>
      </c>
      <c r="X132" s="150">
        <f t="shared" ca="1" si="38"/>
        <v>15780378.186999999</v>
      </c>
      <c r="Y132" s="151">
        <f t="shared" ca="1" si="38"/>
        <v>15813847.2424</v>
      </c>
    </row>
    <row r="133" spans="2:25">
      <c r="B133" s="147" t="s">
        <v>254</v>
      </c>
      <c r="C133" s="445">
        <f ca="1">SUM(C129:C132)</f>
        <v>30510214.193</v>
      </c>
      <c r="D133" s="445">
        <f ca="1">SUM(D129:D132)</f>
        <v>29901176.632999998</v>
      </c>
      <c r="E133" s="445">
        <f ca="1">SUM(E129:E132)</f>
        <v>31041839.526000001</v>
      </c>
      <c r="F133" s="537">
        <f ca="1">SUM(F129:F132)</f>
        <v>30946079.2784</v>
      </c>
      <c r="U133" s="147" t="s">
        <v>254</v>
      </c>
      <c r="V133" s="158">
        <f ca="1">SUM(V129:V131)</f>
        <v>30510214.193</v>
      </c>
      <c r="W133" s="158">
        <f ca="1">SUM(W129:W131)</f>
        <v>29901176.633000001</v>
      </c>
      <c r="X133" s="158">
        <f ca="1">SUM(X129:X131)</f>
        <v>31041839.526000001</v>
      </c>
      <c r="Y133" s="159">
        <f ca="1">SUM(Y129:Y131)</f>
        <v>30946079.278400004</v>
      </c>
    </row>
    <row r="134" spans="2:25">
      <c r="B134" s="103" t="s">
        <v>306</v>
      </c>
      <c r="U134" s="103" t="s">
        <v>306</v>
      </c>
    </row>
    <row r="135" spans="2:25">
      <c r="B135" s="137" t="str">
        <f>$B$2</f>
        <v>INDUSTRY SUMMARY</v>
      </c>
      <c r="C135" s="144">
        <v>2008</v>
      </c>
      <c r="D135" s="144">
        <v>2009</v>
      </c>
      <c r="E135" s="144">
        <v>2010</v>
      </c>
      <c r="F135" s="145">
        <v>2011</v>
      </c>
      <c r="U135" s="137" t="str">
        <f>$B$2</f>
        <v>INDUSTRY SUMMARY</v>
      </c>
      <c r="V135" s="144">
        <v>2008</v>
      </c>
      <c r="W135" s="144">
        <v>2009</v>
      </c>
      <c r="X135" s="144">
        <v>2010</v>
      </c>
      <c r="Y135" s="145">
        <v>2011</v>
      </c>
    </row>
    <row r="136" spans="2:25">
      <c r="B136" s="111" t="s">
        <v>185</v>
      </c>
      <c r="C136" s="422">
        <f ca="1">IF(ISERROR(C129/$C129),"",(C129/$C129)*100)</f>
        <v>100</v>
      </c>
      <c r="D136" s="422">
        <f t="shared" ref="C136:F139" ca="1" si="39">IF(ISERROR(D129/$C129),"",(D129/$C129)*100)</f>
        <v>98.755647322470324</v>
      </c>
      <c r="E136" s="422">
        <f t="shared" ca="1" si="39"/>
        <v>104.05246285382455</v>
      </c>
      <c r="F136" s="423">
        <f t="shared" ca="1" si="39"/>
        <v>103.17137899485809</v>
      </c>
      <c r="U136" s="111" t="s">
        <v>185</v>
      </c>
      <c r="V136" s="141">
        <f ca="1">IF(ISERROR(V129/$V129),"",(V129/$V129)*100)</f>
        <v>100</v>
      </c>
      <c r="W136" s="141">
        <f t="shared" ref="W136:Y136" ca="1" si="40">IF(ISERROR(W129/$V129),"",(W129/$V129)*100)</f>
        <v>98.755647322470324</v>
      </c>
      <c r="X136" s="141">
        <f t="shared" ca="1" si="40"/>
        <v>104.05246285382455</v>
      </c>
      <c r="Y136" s="142">
        <f t="shared" ca="1" si="40"/>
        <v>103.17137899485809</v>
      </c>
    </row>
    <row r="137" spans="2:25">
      <c r="B137" s="111" t="s">
        <v>180</v>
      </c>
      <c r="C137" s="422">
        <f t="shared" ca="1" si="39"/>
        <v>100</v>
      </c>
      <c r="D137" s="422">
        <f t="shared" ca="1" si="39"/>
        <v>95.707775661377198</v>
      </c>
      <c r="E137" s="422">
        <f t="shared" ca="1" si="39"/>
        <v>102.08943738523585</v>
      </c>
      <c r="F137" s="423">
        <f t="shared" ca="1" si="39"/>
        <v>97.638359473462444</v>
      </c>
      <c r="U137" s="111" t="s">
        <v>180</v>
      </c>
      <c r="V137" s="141">
        <f t="shared" ref="V137:Y137" ca="1" si="41">IF(ISERROR(V130/$V130),"",(V130/$V130)*100)</f>
        <v>100</v>
      </c>
      <c r="W137" s="141">
        <f t="shared" ca="1" si="41"/>
        <v>95.707775661377198</v>
      </c>
      <c r="X137" s="141">
        <f t="shared" ca="1" si="41"/>
        <v>102.08943738523585</v>
      </c>
      <c r="Y137" s="142">
        <f t="shared" ca="1" si="41"/>
        <v>97.638359473462444</v>
      </c>
    </row>
    <row r="138" spans="2:25">
      <c r="B138" s="111" t="s">
        <v>184</v>
      </c>
      <c r="C138" s="422">
        <f t="shared" ca="1" si="39"/>
        <v>100</v>
      </c>
      <c r="D138" s="422">
        <f t="shared" ca="1" si="39"/>
        <v>97.480845946557508</v>
      </c>
      <c r="E138" s="422">
        <f t="shared" ca="1" si="39"/>
        <v>100.07828585328087</v>
      </c>
      <c r="F138" s="423">
        <f t="shared" ca="1" si="39"/>
        <v>100.24874667450014</v>
      </c>
      <c r="U138" s="111" t="s">
        <v>184</v>
      </c>
      <c r="V138" s="141">
        <f t="shared" ref="V138:Y139" ca="1" si="42">IF(ISERROR(V131/$V131),"",(V131/$V131)*100)</f>
        <v>100</v>
      </c>
      <c r="W138" s="141">
        <f t="shared" ca="1" si="42"/>
        <v>97.813123968392532</v>
      </c>
      <c r="X138" s="141">
        <f t="shared" ca="1" si="42"/>
        <v>98.818945267614907</v>
      </c>
      <c r="Y138" s="142">
        <f t="shared" ca="1" si="42"/>
        <v>100.50263260903584</v>
      </c>
    </row>
    <row r="139" spans="2:25">
      <c r="B139" s="115" t="s">
        <v>181</v>
      </c>
      <c r="C139" s="424">
        <f t="shared" ca="1" si="39"/>
        <v>100</v>
      </c>
      <c r="D139" s="424">
        <f t="shared" ca="1" si="39"/>
        <v>98.610227613216779</v>
      </c>
      <c r="E139" s="424">
        <f t="shared" ca="1" si="39"/>
        <v>95.797905942275833</v>
      </c>
      <c r="F139" s="416">
        <f ca="1">IF(ISERROR(F132/$C132),"",(F132/$C132)*100)</f>
        <v>101.11168102779796</v>
      </c>
      <c r="U139" s="115" t="s">
        <v>439</v>
      </c>
      <c r="V139" s="143">
        <f t="shared" ca="1" si="42"/>
        <v>100</v>
      </c>
      <c r="W139" s="143">
        <f t="shared" ca="1" si="42"/>
        <v>97.307809180909985</v>
      </c>
      <c r="X139" s="143">
        <f t="shared" ca="1" si="42"/>
        <v>99.603911832943879</v>
      </c>
      <c r="Y139" s="138">
        <f t="shared" ca="1" si="42"/>
        <v>99.815164618123646</v>
      </c>
    </row>
    <row r="142" spans="2:25">
      <c r="B142" s="576" t="s">
        <v>256</v>
      </c>
      <c r="C142" s="572"/>
      <c r="D142" s="572"/>
      <c r="E142" s="572"/>
      <c r="F142" s="573"/>
    </row>
    <row r="143" spans="2:25">
      <c r="B143" s="137" t="str">
        <f>$B$2</f>
        <v>INDUSTRY SUMMARY</v>
      </c>
      <c r="C143" s="126">
        <v>2008</v>
      </c>
      <c r="D143" s="126">
        <v>2009</v>
      </c>
      <c r="E143" s="126">
        <v>2010</v>
      </c>
      <c r="F143" s="160">
        <v>2011</v>
      </c>
    </row>
    <row r="144" spans="2:25">
      <c r="B144" s="162" t="s">
        <v>259</v>
      </c>
      <c r="C144" s="441">
        <f>SUM(Alpine:TPCL!C128)</f>
        <v>2006425.3659897922</v>
      </c>
      <c r="D144" s="441">
        <f>SUM(Alpine:TPCL!D128)</f>
        <v>2043827.9364547187</v>
      </c>
      <c r="E144" s="441">
        <f>SUM(Alpine:TPCL!E128)</f>
        <v>2105573.8850575299</v>
      </c>
      <c r="F144" s="613">
        <f>SUM(Alpine:TPCL!F128)</f>
        <v>2113357.2700264584</v>
      </c>
    </row>
    <row r="145" spans="1:22">
      <c r="B145" s="162" t="s">
        <v>257</v>
      </c>
      <c r="C145" s="441">
        <f>SUM(Alpine:TPCL!C129)</f>
        <v>257323.92048922466</v>
      </c>
      <c r="D145" s="441">
        <f>SUM(Alpine:TPCL!D129)</f>
        <v>227964.77318922197</v>
      </c>
      <c r="E145" s="441">
        <f>SUM(Alpine:TPCL!E129)</f>
        <v>163386.95255982049</v>
      </c>
      <c r="F145" s="613">
        <f>SUM(Alpine:TPCL!F129)</f>
        <v>344425.77548761148</v>
      </c>
    </row>
    <row r="146" spans="1:22">
      <c r="B146" s="162" t="s">
        <v>191</v>
      </c>
      <c r="C146" s="441">
        <f>SUM(Alpine:TPCL!C130)</f>
        <v>471864.52889632457</v>
      </c>
      <c r="D146" s="441">
        <f>SUM(Alpine:TPCL!D130)</f>
        <v>499780.15248475515</v>
      </c>
      <c r="E146" s="441">
        <f>SUM(Alpine:TPCL!E130)</f>
        <v>530292.7775633639</v>
      </c>
      <c r="F146" s="613">
        <f>SUM(Alpine:TPCL!F130)</f>
        <v>523558.91136476788</v>
      </c>
    </row>
    <row r="147" spans="1:22">
      <c r="B147" s="162" t="s">
        <v>182</v>
      </c>
      <c r="C147" s="441">
        <f>SUM(Alpine:TPCL!C131)</f>
        <v>428949.54896324594</v>
      </c>
      <c r="D147" s="441">
        <f>SUM(Alpine:TPCL!D131)</f>
        <v>432872.96265245369</v>
      </c>
      <c r="E147" s="441">
        <f>SUM(Alpine:TPCL!E131)</f>
        <v>448960.61502805096</v>
      </c>
      <c r="F147" s="613">
        <f>SUM(Alpine:TPCL!F131)</f>
        <v>454007.45952269144</v>
      </c>
      <c r="I147" s="139"/>
    </row>
    <row r="148" spans="1:22">
      <c r="B148" s="162" t="s">
        <v>143</v>
      </c>
      <c r="C148" s="441">
        <f>SUM(Alpine:TPCL!C132)</f>
        <v>329555.42630298535</v>
      </c>
      <c r="D148" s="441">
        <f>SUM(Alpine:TPCL!D132)</f>
        <v>326445.20077161083</v>
      </c>
      <c r="E148" s="441">
        <f>SUM(Alpine:TPCL!E132)</f>
        <v>343478.95465546596</v>
      </c>
      <c r="F148" s="613">
        <f>SUM(Alpine:TPCL!F132)</f>
        <v>367159.1344695373</v>
      </c>
    </row>
    <row r="149" spans="1:22">
      <c r="B149" s="162" t="s">
        <v>196</v>
      </c>
      <c r="C149" s="441">
        <f>SUM(Alpine:TPCL!C133)</f>
        <v>103009.63660347977</v>
      </c>
      <c r="D149" s="441">
        <f>SUM(Alpine:TPCL!D133)</f>
        <v>103727.79340674699</v>
      </c>
      <c r="E149" s="441">
        <f>SUM(Alpine:TPCL!E133)</f>
        <v>131034.1847946404</v>
      </c>
      <c r="F149" s="613">
        <f>SUM(Alpine:TPCL!F133)</f>
        <v>119540.12290676676</v>
      </c>
    </row>
    <row r="150" spans="1:22">
      <c r="B150" s="164" t="s">
        <v>258</v>
      </c>
      <c r="C150" s="442">
        <f>SUM(Alpine:TPCL!C134)</f>
        <v>930370.14569573128</v>
      </c>
      <c r="D150" s="442">
        <f>SUM(Alpine:TPCL!D134)</f>
        <v>908966.60227581824</v>
      </c>
      <c r="E150" s="442">
        <f>SUM(Alpine:TPCL!E134)</f>
        <v>815194.98293834692</v>
      </c>
      <c r="F150" s="606">
        <f>SUM(Alpine:TPCL!F134)</f>
        <v>993517.42295391671</v>
      </c>
    </row>
    <row r="153" spans="1:22">
      <c r="B153" s="576" t="s">
        <v>260</v>
      </c>
      <c r="C153" s="572"/>
      <c r="D153" s="579" t="s">
        <v>166</v>
      </c>
      <c r="E153" s="580" t="s">
        <v>165</v>
      </c>
      <c r="T153" s="139" t="s">
        <v>321</v>
      </c>
    </row>
    <row r="154" spans="1:22">
      <c r="A154" s="136">
        <f>RANK(D154,$D$154:$D$160)</f>
        <v>3</v>
      </c>
      <c r="B154" s="166" t="s">
        <v>204</v>
      </c>
      <c r="C154" s="167"/>
      <c r="D154" s="444">
        <f>SUM(Alpine:TPCL!D138)</f>
        <v>74488.417538627895</v>
      </c>
      <c r="E154" s="446">
        <f>D154/$D$161</f>
        <v>0.16406870830223685</v>
      </c>
      <c r="T154" s="166">
        <v>1</v>
      </c>
      <c r="U154" s="167" t="str">
        <f>VLOOKUP(T154,$A$154:$E$160,2,FALSE)</f>
        <v>General management, admin and overheads</v>
      </c>
      <c r="V154" s="169">
        <f>VLOOKUP(T154,$A$154:$E$160,4,FALSE)</f>
        <v>165292.89207263073</v>
      </c>
    </row>
    <row r="155" spans="1:22">
      <c r="A155" s="136">
        <f t="shared" ref="A155:A160" si="43">RANK(D155,$D$154:$D$160)</f>
        <v>1</v>
      </c>
      <c r="B155" s="162" t="s">
        <v>199</v>
      </c>
      <c r="C155" s="121"/>
      <c r="D155" s="439">
        <f>SUM(Alpine:TPCL!D139)</f>
        <v>165292.89207263073</v>
      </c>
      <c r="E155" s="414">
        <f t="shared" ref="E155:E160" si="44">D155/$D$161</f>
        <v>0.36407527760720793</v>
      </c>
      <c r="T155" s="170">
        <v>2</v>
      </c>
      <c r="U155" s="121" t="str">
        <f t="shared" ref="U155:U160" si="45">VLOOKUP(T155,$A$154:$E$160,2,FALSE)</f>
        <v>Routine and preventative maintenance</v>
      </c>
      <c r="V155" s="122">
        <f t="shared" ref="V155:V160" si="46">VLOOKUP(T155,$A$154:$E$160,4,FALSE)</f>
        <v>95604.028983051365</v>
      </c>
    </row>
    <row r="156" spans="1:22">
      <c r="A156" s="136">
        <f t="shared" si="43"/>
        <v>2</v>
      </c>
      <c r="B156" s="162" t="s">
        <v>201</v>
      </c>
      <c r="C156" s="121"/>
      <c r="D156" s="439">
        <f>SUM(Alpine:TPCL!D140)</f>
        <v>95604.028983051365</v>
      </c>
      <c r="E156" s="414">
        <f t="shared" si="44"/>
        <v>0.21057810142905323</v>
      </c>
      <c r="T156" s="170">
        <v>3</v>
      </c>
      <c r="U156" s="121" t="str">
        <f t="shared" si="45"/>
        <v>System management and operations</v>
      </c>
      <c r="V156" s="122">
        <f t="shared" si="46"/>
        <v>74488.417538627895</v>
      </c>
    </row>
    <row r="157" spans="1:22">
      <c r="A157" s="136">
        <f t="shared" si="43"/>
        <v>5</v>
      </c>
      <c r="B157" s="162" t="s">
        <v>202</v>
      </c>
      <c r="C157" s="121"/>
      <c r="D157" s="439">
        <f>SUM(Alpine:TPCL!D141)</f>
        <v>38452.814126986064</v>
      </c>
      <c r="E157" s="414">
        <f t="shared" si="44"/>
        <v>8.4696436746410461E-2</v>
      </c>
      <c r="T157" s="170">
        <v>4</v>
      </c>
      <c r="U157" s="121" t="str">
        <f t="shared" si="45"/>
        <v>Fault and emergency maintenance</v>
      </c>
      <c r="V157" s="122">
        <f t="shared" si="46"/>
        <v>56074.672076723611</v>
      </c>
    </row>
    <row r="158" spans="1:22">
      <c r="A158" s="136">
        <f t="shared" si="43"/>
        <v>4</v>
      </c>
      <c r="B158" s="162" t="s">
        <v>203</v>
      </c>
      <c r="C158" s="121"/>
      <c r="D158" s="439">
        <f>SUM(Alpine:TPCL!D142)</f>
        <v>56074.672076723611</v>
      </c>
      <c r="E158" s="414">
        <f t="shared" si="44"/>
        <v>0.12351046404400527</v>
      </c>
      <c r="T158" s="170">
        <v>5</v>
      </c>
      <c r="U158" s="121" t="str">
        <f t="shared" si="45"/>
        <v>Refurbishment and renewal maintenance</v>
      </c>
      <c r="V158" s="122">
        <f t="shared" si="46"/>
        <v>38452.814126986064</v>
      </c>
    </row>
    <row r="159" spans="1:22">
      <c r="A159" s="136">
        <f t="shared" si="43"/>
        <v>7</v>
      </c>
      <c r="B159" s="162" t="s">
        <v>13</v>
      </c>
      <c r="C159" s="121"/>
      <c r="D159" s="439">
        <f>SUM(Alpine:TPCL!D143)</f>
        <v>6019.4037000000098</v>
      </c>
      <c r="E159" s="414">
        <f t="shared" si="44"/>
        <v>1.325838059717893E-2</v>
      </c>
      <c r="T159" s="170">
        <v>6</v>
      </c>
      <c r="U159" s="121" t="str">
        <f t="shared" si="45"/>
        <v>Pass-through costs</v>
      </c>
      <c r="V159" s="122">
        <f t="shared" si="46"/>
        <v>18075.231604671659</v>
      </c>
    </row>
    <row r="160" spans="1:22">
      <c r="A160" s="136">
        <f t="shared" si="43"/>
        <v>6</v>
      </c>
      <c r="B160" s="162" t="s">
        <v>200</v>
      </c>
      <c r="C160" s="121"/>
      <c r="D160" s="439">
        <f>SUM(Alpine:TPCL!D144)</f>
        <v>18075.231604671659</v>
      </c>
      <c r="E160" s="414">
        <f t="shared" si="44"/>
        <v>3.9812631273907363E-2</v>
      </c>
      <c r="T160" s="171">
        <v>7</v>
      </c>
      <c r="U160" s="129" t="str">
        <f t="shared" si="45"/>
        <v>Other</v>
      </c>
      <c r="V160" s="130">
        <f t="shared" si="46"/>
        <v>6019.4037000000098</v>
      </c>
    </row>
    <row r="161" spans="2:21">
      <c r="B161" s="172" t="s">
        <v>263</v>
      </c>
      <c r="C161" s="173"/>
      <c r="D161" s="445">
        <f>SUM(D154:D160)</f>
        <v>454007.46010269132</v>
      </c>
      <c r="E161" s="447">
        <f>SUM(E154:E160)</f>
        <v>0.99999999999999989</v>
      </c>
    </row>
    <row r="162" spans="2:21">
      <c r="D162" s="174"/>
    </row>
    <row r="164" spans="2:21">
      <c r="B164" s="576" t="s">
        <v>264</v>
      </c>
      <c r="C164" s="581">
        <v>2008</v>
      </c>
      <c r="D164" s="581">
        <v>2009</v>
      </c>
      <c r="E164" s="581">
        <v>2010</v>
      </c>
      <c r="F164" s="582">
        <v>2011</v>
      </c>
    </row>
    <row r="165" spans="2:21">
      <c r="B165" s="175" t="s">
        <v>320</v>
      </c>
      <c r="C165" s="454">
        <v>0</v>
      </c>
      <c r="D165" s="454">
        <v>0</v>
      </c>
      <c r="E165" s="454">
        <f>SUM(Alpine:TPCL!E149)</f>
        <v>194.27429368970652</v>
      </c>
      <c r="F165" s="455">
        <f>SUM(Alpine:TPCL!F149)</f>
        <v>190.13151518676111</v>
      </c>
    </row>
    <row r="166" spans="2:21">
      <c r="B166" s="177" t="s">
        <v>266</v>
      </c>
      <c r="C166" s="456">
        <v>0</v>
      </c>
      <c r="D166" s="456">
        <v>0</v>
      </c>
      <c r="E166" s="456">
        <f>SUM(Alpine:TPCL!E150)</f>
        <v>228.79978070082728</v>
      </c>
      <c r="F166" s="457">
        <f>SUM(Alpine:TPCL!F150)</f>
        <v>239.78130961125862</v>
      </c>
    </row>
    <row r="167" spans="2:21">
      <c r="B167" s="179" t="s">
        <v>267</v>
      </c>
      <c r="C167" s="456">
        <v>0</v>
      </c>
      <c r="D167" s="456">
        <v>0</v>
      </c>
      <c r="E167" s="456">
        <f>SUM(Alpine:TPCL!E151)</f>
        <v>25.884911315968314</v>
      </c>
      <c r="F167" s="457">
        <f>SUM(Alpine:TPCL!F151)</f>
        <v>24.094635304671673</v>
      </c>
    </row>
    <row r="168" spans="2:21">
      <c r="B168" s="180" t="s">
        <v>268</v>
      </c>
      <c r="C168" s="458">
        <f>SUM(Alpine:TPCL!C152)</f>
        <v>428.949548963246</v>
      </c>
      <c r="D168" s="458">
        <f>SUM(Alpine:TPCL!D152)</f>
        <v>432.87296265245368</v>
      </c>
      <c r="E168" s="459">
        <f>SUM(Alpine:TPCL!E152)</f>
        <v>448.96061502805088</v>
      </c>
      <c r="F168" s="460">
        <f>SUM(Alpine:TPCL!F152)</f>
        <v>454.00745952269136</v>
      </c>
      <c r="L168" s="139"/>
      <c r="M168" s="139"/>
    </row>
    <row r="169" spans="2:21">
      <c r="B169" s="103" t="s">
        <v>269</v>
      </c>
      <c r="C169" s="103" t="s">
        <v>246</v>
      </c>
      <c r="D169" s="181">
        <v>2009</v>
      </c>
      <c r="E169" s="181">
        <v>2010</v>
      </c>
      <c r="F169" s="181">
        <v>2011</v>
      </c>
      <c r="K169" s="139"/>
    </row>
    <row r="170" spans="2:21">
      <c r="B170" s="175" t="s">
        <v>265</v>
      </c>
      <c r="C170" s="607">
        <f>IFERROR(EXP(SLOPE(S170:V170,$C$164:$F$164))-1,(IFERROR(EXP(SLOPE(T170:V170,$D$164:$F$164))-1,F170)))</f>
        <v>-2.1324378147333789E-2</v>
      </c>
      <c r="D170" s="608" t="str">
        <f t="shared" ref="D170:E173" si="47">IF(ISERROR(D165/C165 - 1),"",(D165/C165 - 1))</f>
        <v/>
      </c>
      <c r="E170" s="608" t="str">
        <f t="shared" si="47"/>
        <v/>
      </c>
      <c r="F170" s="446">
        <f>IF(ISERROR(F165/E165 - 1),"",(F165/E165 - 1))</f>
        <v>-2.1324378147333456E-2</v>
      </c>
      <c r="Q170" s="136" t="s">
        <v>423</v>
      </c>
      <c r="R170" s="136" t="e">
        <f t="shared" ref="R170:U173" si="48">LN(C165)</f>
        <v>#NUM!</v>
      </c>
      <c r="S170" s="136" t="e">
        <f t="shared" si="48"/>
        <v>#NUM!</v>
      </c>
      <c r="T170" s="136">
        <f t="shared" si="48"/>
        <v>5.2692710454675753</v>
      </c>
      <c r="U170" s="136">
        <f t="shared" si="48"/>
        <v>5.2477160179042839</v>
      </c>
    </row>
    <row r="171" spans="2:21">
      <c r="B171" s="177" t="s">
        <v>266</v>
      </c>
      <c r="C171" s="609">
        <f>IFERROR(EXP(SLOPE(S171:V171,$C$164:$F$164))-1,(IFERROR(EXP(SLOPE(T171:V171,$D$164:$F$164))-1,F171)))</f>
        <v>4.799623879356063E-2</v>
      </c>
      <c r="D171" s="610" t="str">
        <f t="shared" si="47"/>
        <v/>
      </c>
      <c r="E171" s="610" t="str">
        <f t="shared" si="47"/>
        <v/>
      </c>
      <c r="F171" s="414">
        <f>IF(ISERROR(F166/E166 - 1),"",(F166/E166 - 1))</f>
        <v>4.7996238793561075E-2</v>
      </c>
      <c r="Q171" s="136" t="s">
        <v>423</v>
      </c>
      <c r="R171" s="136" t="e">
        <f t="shared" si="48"/>
        <v>#NUM!</v>
      </c>
      <c r="S171" s="136" t="e">
        <f t="shared" si="48"/>
        <v>#NUM!</v>
      </c>
      <c r="T171" s="136">
        <f t="shared" si="48"/>
        <v>5.4328473010297786</v>
      </c>
      <c r="U171" s="136">
        <f t="shared" si="48"/>
        <v>5.4797272979847467</v>
      </c>
    </row>
    <row r="172" spans="2:21">
      <c r="B172" s="179" t="s">
        <v>267</v>
      </c>
      <c r="C172" s="609">
        <f t="shared" ref="C172:C173" si="49">IFERROR(EXP(SLOPE(S172:V172,$C$164:$F$164))-1,(IFERROR(EXP(SLOPE(T172:V172,$D$164:$F$164))-1,F172)))</f>
        <v>-6.916291848341094E-2</v>
      </c>
      <c r="D172" s="610" t="str">
        <f t="shared" si="47"/>
        <v/>
      </c>
      <c r="E172" s="610" t="str">
        <f t="shared" si="47"/>
        <v/>
      </c>
      <c r="F172" s="414">
        <f>IF(ISERROR(F167/E167 - 1),"",(F167/E167 - 1))</f>
        <v>-6.9162918483411051E-2</v>
      </c>
      <c r="Q172" s="136" t="s">
        <v>423</v>
      </c>
      <c r="R172" s="136" t="e">
        <f t="shared" si="48"/>
        <v>#NUM!</v>
      </c>
      <c r="S172" s="136" t="e">
        <f t="shared" si="48"/>
        <v>#NUM!</v>
      </c>
      <c r="T172" s="136">
        <f t="shared" si="48"/>
        <v>3.2536602242698929</v>
      </c>
      <c r="U172" s="136">
        <f t="shared" si="48"/>
        <v>3.18198921425132</v>
      </c>
    </row>
    <row r="173" spans="2:21">
      <c r="B173" s="180" t="s">
        <v>268</v>
      </c>
      <c r="C173" s="611">
        <f t="shared" si="49"/>
        <v>2.412098208450475E-2</v>
      </c>
      <c r="D173" s="612">
        <f t="shared" si="47"/>
        <v>9.1465621043089751E-3</v>
      </c>
      <c r="E173" s="612">
        <f t="shared" si="47"/>
        <v>3.7164835329559942E-2</v>
      </c>
      <c r="F173" s="415">
        <f>IF(ISERROR(F168/E168 - 1),"",(F168/E168 - 1))</f>
        <v>1.1241174227109241E-2</v>
      </c>
      <c r="Q173" s="136" t="s">
        <v>423</v>
      </c>
      <c r="R173" s="136">
        <f t="shared" si="48"/>
        <v>6.0613393105281448</v>
      </c>
      <c r="S173" s="136">
        <f t="shared" si="48"/>
        <v>6.0704442961621687</v>
      </c>
      <c r="T173" s="136">
        <f t="shared" si="48"/>
        <v>6.1069351668081389</v>
      </c>
      <c r="U173" s="136">
        <f t="shared" si="48"/>
        <v>6.118113628573087</v>
      </c>
    </row>
    <row r="176" spans="2:21">
      <c r="B176" s="576" t="s">
        <v>270</v>
      </c>
      <c r="C176" s="583">
        <v>2008</v>
      </c>
      <c r="D176" s="583">
        <v>2009</v>
      </c>
      <c r="E176" s="583">
        <v>2010</v>
      </c>
      <c r="F176" s="584">
        <v>2011</v>
      </c>
      <c r="G176" s="182"/>
    </row>
    <row r="177" spans="2:7">
      <c r="B177" s="183" t="s">
        <v>271</v>
      </c>
      <c r="C177" s="626"/>
      <c r="D177" s="626"/>
      <c r="E177" s="626"/>
      <c r="F177" s="627"/>
      <c r="G177" s="186"/>
    </row>
    <row r="178" spans="2:7">
      <c r="B178" s="177" t="str">
        <f>$B$2</f>
        <v>INDUSTRY SUMMARY</v>
      </c>
      <c r="C178" s="430">
        <f ca="1">(C168/C118)*1000000</f>
        <v>219.92281249715873</v>
      </c>
      <c r="D178" s="430">
        <f ca="1">(D168/D118)*1000000</f>
        <v>218.64721627864751</v>
      </c>
      <c r="E178" s="430">
        <f ca="1">(E168/E118)*1000000</f>
        <v>224.81561953845423</v>
      </c>
      <c r="F178" s="628">
        <f ca="1">(F168/F118)*1000000</f>
        <v>226.32531966092711</v>
      </c>
      <c r="G178" s="181"/>
    </row>
    <row r="179" spans="2:7">
      <c r="B179" s="177" t="s">
        <v>272</v>
      </c>
      <c r="C179" s="629">
        <f>'Industry calcs'!C16</f>
        <v>219.92281235057766</v>
      </c>
      <c r="D179" s="629">
        <f>'Industry calcs'!D16</f>
        <v>218.64666413393144</v>
      </c>
      <c r="E179" s="629">
        <f>'Industry calcs'!E16</f>
        <v>224.81562001127224</v>
      </c>
      <c r="F179" s="628">
        <f>'Industry calcs'!F16</f>
        <v>226.0233534656883</v>
      </c>
      <c r="G179" s="181"/>
    </row>
    <row r="180" spans="2:7">
      <c r="B180" s="187" t="s">
        <v>273</v>
      </c>
      <c r="C180" s="629"/>
      <c r="D180" s="629"/>
      <c r="E180" s="629"/>
      <c r="F180" s="628"/>
      <c r="G180" s="186"/>
    </row>
    <row r="181" spans="2:7">
      <c r="B181" s="177" t="str">
        <f>$B$2</f>
        <v>INDUSTRY SUMMARY</v>
      </c>
      <c r="C181" s="629">
        <f>SUMIF('FS (2011)'!$C$13:$C$244,2008,'FS (2011)'!$S$13:$S$244)/SUMIF('MP (2011)'!$C$14:$C$245,2008,'MP (2011)'!$H$14:$H$245)*1000</f>
        <v>2958.0578571355086</v>
      </c>
      <c r="D181" s="629">
        <f>SUMIF('FS (2011)'!$C$13:$C$244,2009,'FS (2011)'!$S$13:$S$244)/SUMIF('MP (2011)'!$C$14:$C$245,2009,'MP (2011)'!$H$14:$H$245)*1000</f>
        <v>2939.6496747811011</v>
      </c>
      <c r="E181" s="629">
        <f>SUMIF('FS (2011)'!$C$13:$C$244,2010,'FS (2011)'!$S$13:$S$244)/SUMIF('MP (2011)'!$C$14:$C$245,2010,'MP (2011)'!$H$14:$H$245)*1000</f>
        <v>3017.8575351243162</v>
      </c>
      <c r="F181" s="628">
        <f>SUMIF('FS (2011)'!$C$13:$C$244,2011,'FS (2011)'!$S$13:$S$244)/SUMIF('MP (2011)'!$C$14:$C$245,2011,'MP (2011)'!$H$14:$H$245)*1000</f>
        <v>3035.4219432410823</v>
      </c>
      <c r="G181" s="181"/>
    </row>
    <row r="182" spans="2:7">
      <c r="B182" s="177" t="s">
        <v>272</v>
      </c>
      <c r="C182" s="629">
        <f>'Industry calcs'!C17</f>
        <v>2958.0578571355086</v>
      </c>
      <c r="D182" s="629">
        <f>'Industry calcs'!D17</f>
        <v>2939.6496747811011</v>
      </c>
      <c r="E182" s="629">
        <f>'Industry calcs'!E17</f>
        <v>3017.8575351243162</v>
      </c>
      <c r="F182" s="628">
        <f>'Industry calcs'!F17</f>
        <v>3035.4219432410823</v>
      </c>
      <c r="G182" s="181"/>
    </row>
    <row r="183" spans="2:7">
      <c r="B183" s="188" t="s">
        <v>274</v>
      </c>
      <c r="C183" s="599"/>
      <c r="D183" s="630"/>
      <c r="E183" s="630"/>
      <c r="F183" s="631"/>
      <c r="G183" s="191"/>
    </row>
    <row r="184" spans="2:7">
      <c r="B184" s="177" t="str">
        <f>$B$2</f>
        <v>INDUSTRY SUMMARY</v>
      </c>
      <c r="C184" s="599">
        <f ca="1">(C168/C133)*1000000</f>
        <v>14.059211326732031</v>
      </c>
      <c r="D184" s="599">
        <f ca="1">(D168/D133)*1000000</f>
        <v>14.476786915961018</v>
      </c>
      <c r="E184" s="599">
        <f ca="1">(E168/E133)*1000000</f>
        <v>14.463080213143</v>
      </c>
      <c r="F184" s="628">
        <f ca="1">(F168/F133)*1000000</f>
        <v>14.670920197622038</v>
      </c>
      <c r="G184" s="181"/>
    </row>
    <row r="185" spans="2:7">
      <c r="B185" s="192" t="s">
        <v>272</v>
      </c>
      <c r="C185" s="604">
        <f>'Industry calcs'!C18</f>
        <v>14.04416610225651</v>
      </c>
      <c r="D185" s="604">
        <f>'Industry calcs'!D18</f>
        <v>14.476892649765206</v>
      </c>
      <c r="E185" s="604">
        <f>'Industry calcs'!E18</f>
        <v>14.463353009176652</v>
      </c>
      <c r="F185" s="605">
        <f>'Industry calcs'!F18</f>
        <v>14.671077200122745</v>
      </c>
      <c r="G185" s="181"/>
    </row>
    <row r="186" spans="2:7">
      <c r="B186" s="207"/>
      <c r="C186" s="163"/>
      <c r="D186" s="163"/>
      <c r="E186" s="163"/>
      <c r="F186" s="163"/>
      <c r="G186" s="181"/>
    </row>
    <row r="187" spans="2:7">
      <c r="B187" s="207"/>
      <c r="C187" s="182">
        <v>2008</v>
      </c>
      <c r="D187" s="182">
        <v>2009</v>
      </c>
      <c r="E187" s="182">
        <v>2010</v>
      </c>
      <c r="F187" s="182">
        <v>2011</v>
      </c>
      <c r="G187" s="181"/>
    </row>
    <row r="188" spans="2:7">
      <c r="B188" s="183" t="s">
        <v>271</v>
      </c>
      <c r="C188" s="168"/>
      <c r="D188" s="168"/>
      <c r="E188" s="168"/>
      <c r="F188" s="176"/>
      <c r="G188" s="181"/>
    </row>
    <row r="189" spans="2:7">
      <c r="B189" s="170" t="s">
        <v>447</v>
      </c>
      <c r="C189" s="599">
        <f>QUARTILE(Alpine:TPCL!C$162,0)</f>
        <v>171.58889486519649</v>
      </c>
      <c r="D189" s="599">
        <f>QUARTILE(Alpine:TPCL!D$162,0)</f>
        <v>117.54100908944923</v>
      </c>
      <c r="E189" s="599">
        <f>QUARTILE(Alpine:TPCL!E$162,0)</f>
        <v>174.19948885299732</v>
      </c>
      <c r="F189" s="600">
        <f>QUARTILE(Alpine:TPCL!F$162,0)</f>
        <v>173.46122349087418</v>
      </c>
      <c r="G189" s="181"/>
    </row>
    <row r="190" spans="2:7">
      <c r="B190" s="170" t="s">
        <v>452</v>
      </c>
      <c r="C190" s="599">
        <f>QUARTILE(Alpine:TPCL!C$162,1)</f>
        <v>209.26627622915072</v>
      </c>
      <c r="D190" s="599">
        <f>QUARTILE(Alpine:TPCL!D$162,1)</f>
        <v>210.8317010592215</v>
      </c>
      <c r="E190" s="599">
        <f>QUARTILE(Alpine:TPCL!E$162,1)</f>
        <v>222.20303445497589</v>
      </c>
      <c r="F190" s="600">
        <f>QUARTILE(Alpine:TPCL!F$162,1)</f>
        <v>218.18249952288778</v>
      </c>
      <c r="G190" s="181"/>
    </row>
    <row r="191" spans="2:7">
      <c r="B191" s="170" t="s">
        <v>449</v>
      </c>
      <c r="C191" s="599">
        <f>QUARTILE(Alpine:TPCL!C$162,2)</f>
        <v>251.03442192274468</v>
      </c>
      <c r="D191" s="599">
        <f>QUARTILE(Alpine:TPCL!D$162,2)</f>
        <v>279.28765812626654</v>
      </c>
      <c r="E191" s="599">
        <f>QUARTILE(Alpine:TPCL!E$162,2)</f>
        <v>267.42431484232475</v>
      </c>
      <c r="F191" s="600">
        <f>QUARTILE(Alpine:TPCL!F$162,2)</f>
        <v>271.86364304616285</v>
      </c>
      <c r="G191" s="181"/>
    </row>
    <row r="192" spans="2:7">
      <c r="B192" s="170" t="s">
        <v>453</v>
      </c>
      <c r="C192" s="599">
        <f>QUARTILE(Alpine:TPCL!C$162,3)</f>
        <v>296.76352271186153</v>
      </c>
      <c r="D192" s="599">
        <f>QUARTILE(Alpine:TPCL!D$162,3)</f>
        <v>326.29175022872352</v>
      </c>
      <c r="E192" s="599">
        <f>QUARTILE(Alpine:TPCL!E$162,3)</f>
        <v>340.27007361453354</v>
      </c>
      <c r="F192" s="600">
        <f>QUARTILE(Alpine:TPCL!F$162,3)</f>
        <v>347.34139585163166</v>
      </c>
      <c r="G192" s="181"/>
    </row>
    <row r="193" spans="2:7">
      <c r="B193" s="170" t="s">
        <v>448</v>
      </c>
      <c r="C193" s="599">
        <f>QUARTILE(Alpine:TPCL!C$162,4)</f>
        <v>669.0700584106105</v>
      </c>
      <c r="D193" s="599">
        <f>QUARTILE(Alpine:TPCL!D$162,4)</f>
        <v>609.66133771418333</v>
      </c>
      <c r="E193" s="599">
        <f>QUARTILE(Alpine:TPCL!E$162,4)</f>
        <v>662.00387723112351</v>
      </c>
      <c r="F193" s="600">
        <f>QUARTILE(Alpine:TPCL!F$162,4)</f>
        <v>686.62546353522873</v>
      </c>
      <c r="G193" s="181"/>
    </row>
    <row r="194" spans="2:7">
      <c r="B194" s="177"/>
      <c r="C194" s="599"/>
      <c r="D194" s="599"/>
      <c r="E194" s="599"/>
      <c r="F194" s="600"/>
      <c r="G194" s="181"/>
    </row>
    <row r="195" spans="2:7">
      <c r="B195" s="187" t="s">
        <v>273</v>
      </c>
      <c r="C195" s="599"/>
      <c r="D195" s="599"/>
      <c r="E195" s="599"/>
      <c r="F195" s="600"/>
      <c r="G195" s="181"/>
    </row>
    <row r="196" spans="2:7">
      <c r="B196" s="170" t="s">
        <v>447</v>
      </c>
      <c r="C196" s="599">
        <f>QUARTILE(Alpine:TPCL!C$165,0)</f>
        <v>1045.2994681412067</v>
      </c>
      <c r="D196" s="599">
        <f>QUARTILE(Alpine:TPCL!D$165,0)</f>
        <v>1279.475006361529</v>
      </c>
      <c r="E196" s="599">
        <f>QUARTILE(Alpine:TPCL!E$165,0)</f>
        <v>1165.6310968981038</v>
      </c>
      <c r="F196" s="600">
        <f>QUARTILE(Alpine:TPCL!F$165,0)</f>
        <v>1170.4668514384778</v>
      </c>
      <c r="G196" s="181"/>
    </row>
    <row r="197" spans="2:7">
      <c r="B197" s="170" t="s">
        <v>452</v>
      </c>
      <c r="C197" s="599">
        <f>QUARTILE(Alpine:TPCL!C$165,1)</f>
        <v>1930.6663100676046</v>
      </c>
      <c r="D197" s="599">
        <f>QUARTILE(Alpine:TPCL!D$165,1)</f>
        <v>2098.2366613502513</v>
      </c>
      <c r="E197" s="599">
        <f>QUARTILE(Alpine:TPCL!E$165,1)</f>
        <v>2000.2368020067902</v>
      </c>
      <c r="F197" s="600">
        <f>QUARTILE(Alpine:TPCL!F$165,1)</f>
        <v>1914.0213903743315</v>
      </c>
      <c r="G197" s="181"/>
    </row>
    <row r="198" spans="2:7">
      <c r="B198" s="170" t="s">
        <v>449</v>
      </c>
      <c r="C198" s="599">
        <f>QUARTILE(Alpine:TPCL!C$165,2)</f>
        <v>2500.8808018347518</v>
      </c>
      <c r="D198" s="599">
        <f>QUARTILE(Alpine:TPCL!D$165,2)</f>
        <v>2821.40551666284</v>
      </c>
      <c r="E198" s="599">
        <f>QUARTILE(Alpine:TPCL!E$165,2)</f>
        <v>2965.0839172396618</v>
      </c>
      <c r="F198" s="600">
        <f>QUARTILE(Alpine:TPCL!F$165,2)</f>
        <v>2926.6601941747572</v>
      </c>
      <c r="G198" s="181"/>
    </row>
    <row r="199" spans="2:7">
      <c r="B199" s="170" t="s">
        <v>453</v>
      </c>
      <c r="C199" s="599">
        <f>QUARTILE(Alpine:TPCL!C$165,3)</f>
        <v>3412.5025591135422</v>
      </c>
      <c r="D199" s="599">
        <f>QUARTILE(Alpine:TPCL!D$165,3)</f>
        <v>3448.2197059240152</v>
      </c>
      <c r="E199" s="599">
        <f>QUARTILE(Alpine:TPCL!E$165,3)</f>
        <v>3641.0629597693405</v>
      </c>
      <c r="F199" s="600">
        <f>QUARTILE(Alpine:TPCL!F$165,3)</f>
        <v>3697.3732708617254</v>
      </c>
      <c r="G199" s="181"/>
    </row>
    <row r="200" spans="2:7">
      <c r="B200" s="170" t="s">
        <v>448</v>
      </c>
      <c r="C200" s="599">
        <f>QUARTILE(Alpine:TPCL!C$165,4)</f>
        <v>7741.7007380578134</v>
      </c>
      <c r="D200" s="599">
        <f>QUARTILE(Alpine:TPCL!D$165,4)</f>
        <v>7871.8670306287822</v>
      </c>
      <c r="E200" s="599">
        <f>QUARTILE(Alpine:TPCL!E$165,4)</f>
        <v>8831.7936364568286</v>
      </c>
      <c r="F200" s="600">
        <f>QUARTILE(Alpine:TPCL!F$165,4)</f>
        <v>7232.0331507107421</v>
      </c>
      <c r="G200" s="181"/>
    </row>
    <row r="201" spans="2:7">
      <c r="B201" s="177"/>
      <c r="C201" s="599"/>
      <c r="D201" s="599"/>
      <c r="E201" s="599"/>
      <c r="F201" s="600"/>
      <c r="G201" s="181"/>
    </row>
    <row r="202" spans="2:7">
      <c r="B202" s="188" t="s">
        <v>274</v>
      </c>
      <c r="C202" s="599"/>
      <c r="D202" s="599"/>
      <c r="E202" s="599"/>
      <c r="F202" s="600"/>
      <c r="G202" s="181"/>
    </row>
    <row r="203" spans="2:7">
      <c r="B203" s="170" t="s">
        <v>447</v>
      </c>
      <c r="C203" s="599">
        <f>QUARTILE(Alpine:TPCL!C$168,0)</f>
        <v>11.683951308800651</v>
      </c>
      <c r="D203" s="599">
        <f>QUARTILE(Alpine:TPCL!D$168,0)</f>
        <v>11.778302841078288</v>
      </c>
      <c r="E203" s="599">
        <f>QUARTILE(Alpine:TPCL!E$168,0)</f>
        <v>11.048093383043975</v>
      </c>
      <c r="F203" s="600">
        <f>QUARTILE(Alpine:TPCL!F$168,0)</f>
        <v>11.115533143265036</v>
      </c>
      <c r="G203" s="181"/>
    </row>
    <row r="204" spans="2:7">
      <c r="B204" s="170" t="s">
        <v>452</v>
      </c>
      <c r="C204" s="599">
        <f>QUARTILE(Alpine:TPCL!C$168,1)</f>
        <v>12.697530149495153</v>
      </c>
      <c r="D204" s="599">
        <f>QUARTILE(Alpine:TPCL!D$168,1)</f>
        <v>13.802398368535943</v>
      </c>
      <c r="E204" s="599">
        <f>QUARTILE(Alpine:TPCL!E$168,1)</f>
        <v>13.297553923352799</v>
      </c>
      <c r="F204" s="600">
        <f>QUARTILE(Alpine:TPCL!F$168,1)</f>
        <v>13.406770980913686</v>
      </c>
      <c r="G204" s="181"/>
    </row>
    <row r="205" spans="2:7">
      <c r="B205" s="170" t="s">
        <v>449</v>
      </c>
      <c r="C205" s="599">
        <f>QUARTILE(Alpine:TPCL!C$168,2)</f>
        <v>15.191593242450082</v>
      </c>
      <c r="D205" s="599">
        <f>QUARTILE(Alpine:TPCL!D$168,2)</f>
        <v>15.283234618135431</v>
      </c>
      <c r="E205" s="599">
        <f>QUARTILE(Alpine:TPCL!E$168,2)</f>
        <v>16.393353829265248</v>
      </c>
      <c r="F205" s="600">
        <f>QUARTILE(Alpine:TPCL!F$168,2)</f>
        <v>16.819675012449629</v>
      </c>
      <c r="G205" s="181"/>
    </row>
    <row r="206" spans="2:7">
      <c r="B206" s="170" t="s">
        <v>453</v>
      </c>
      <c r="C206" s="599">
        <f>QUARTILE(Alpine:TPCL!C$168,3)</f>
        <v>20.096458216772575</v>
      </c>
      <c r="D206" s="599">
        <f>QUARTILE(Alpine:TPCL!D$168,3)</f>
        <v>22.61907924105633</v>
      </c>
      <c r="E206" s="599">
        <f>QUARTILE(Alpine:TPCL!E$168,3)</f>
        <v>21.259567793217361</v>
      </c>
      <c r="F206" s="600">
        <f>QUARTILE(Alpine:TPCL!F$168,3)</f>
        <v>20.647357039032865</v>
      </c>
      <c r="G206" s="181"/>
    </row>
    <row r="207" spans="2:7">
      <c r="B207" s="208" t="s">
        <v>448</v>
      </c>
      <c r="C207" s="614">
        <f>QUARTILE(Alpine:TPCL!C$168,4)</f>
        <v>66.387584462626592</v>
      </c>
      <c r="D207" s="614">
        <f>QUARTILE(Alpine:TPCL!D$168,4)</f>
        <v>42.979738330103153</v>
      </c>
      <c r="E207" s="614">
        <f>QUARTILE(Alpine:TPCL!E$168,4)</f>
        <v>53.510083488273906</v>
      </c>
      <c r="F207" s="615">
        <f>QUARTILE(Alpine:TPCL!F$168,4)</f>
        <v>51.417875441303018</v>
      </c>
      <c r="G207" s="181"/>
    </row>
    <row r="208" spans="2:7">
      <c r="B208" s="207"/>
      <c r="C208" s="163"/>
      <c r="D208" s="163"/>
      <c r="E208" s="163"/>
      <c r="F208" s="163"/>
      <c r="G208" s="181"/>
    </row>
    <row r="209" spans="2:29">
      <c r="B209" s="207"/>
      <c r="C209" s="163"/>
      <c r="D209" s="163"/>
      <c r="E209" s="163"/>
      <c r="F209" s="163"/>
      <c r="G209" s="181"/>
    </row>
    <row r="210" spans="2:29">
      <c r="B210" s="576" t="s">
        <v>275</v>
      </c>
      <c r="C210" s="574" t="s">
        <v>246</v>
      </c>
      <c r="D210" s="585">
        <v>2009</v>
      </c>
      <c r="E210" s="585">
        <v>2010</v>
      </c>
      <c r="F210" s="586">
        <v>2011</v>
      </c>
    </row>
    <row r="211" spans="2:29">
      <c r="B211" s="175" t="s">
        <v>271</v>
      </c>
      <c r="C211" s="607">
        <f ca="1">IFERROR(EXP(SLOPE(S211:V211,$C$164:$F$164))-1,(IFERROR(EXP(SLOPE(T211:V211,$D$164:$F$164))-1,F211)))</f>
        <v>1.1456271035956922E-2</v>
      </c>
      <c r="D211" s="608">
        <f ca="1">IF(ISERROR(D178/C178 - 1),"",(D178/C178 - 1))</f>
        <v>-5.8001996428983515E-3</v>
      </c>
      <c r="E211" s="608">
        <f ca="1">IF(ISERROR(E178/D178 - 1),"",(E178/D178 - 1))</f>
        <v>2.8211670675676981E-2</v>
      </c>
      <c r="F211" s="446">
        <f ca="1">IF(ISERROR(F178/E178 - 1),"",(F178/E178 - 1))</f>
        <v>6.7152812850472809E-3</v>
      </c>
      <c r="H211" s="139"/>
      <c r="R211" s="136" t="s">
        <v>423</v>
      </c>
      <c r="S211" s="136">
        <f ca="1">LN(C178)</f>
        <v>5.3932766325036559</v>
      </c>
      <c r="T211" s="136">
        <f ca="1">LN(D178)</f>
        <v>5.3874595463744885</v>
      </c>
      <c r="U211" s="136">
        <f ca="1">LN(E178)</f>
        <v>5.4152805975384037</v>
      </c>
      <c r="V211" s="136">
        <f ca="1">LN(F178)</f>
        <v>5.4219734317582846</v>
      </c>
    </row>
    <row r="212" spans="2:29">
      <c r="B212" s="177" t="s">
        <v>273</v>
      </c>
      <c r="C212" s="609">
        <f>IFERROR(EXP(SLOPE(S212:V212,$C$164:$F$164))-1,(IFERROR(EXP(SLOPE(T212:V212,$D$164:$F$164))-1,F212)))</f>
        <v>1.0424893387035894E-2</v>
      </c>
      <c r="D212" s="610">
        <f>IF(ISERROR(D181/C181 - 1),"",(D181/C181 - 1))</f>
        <v>-6.2230636598276101E-3</v>
      </c>
      <c r="E212" s="610">
        <f>IF(ISERROR(E181/D181 - 1),"",(E181/D181 - 1))</f>
        <v>2.6604483185241667E-2</v>
      </c>
      <c r="F212" s="414">
        <f>IF(ISERROR(F181/E181 - 1),"",(F181/E181 - 1))</f>
        <v>5.8201581460810559E-3</v>
      </c>
      <c r="R212" s="136" t="s">
        <v>423</v>
      </c>
      <c r="S212" s="136">
        <f>LN(C181)</f>
        <v>7.9922882026249322</v>
      </c>
      <c r="T212" s="136">
        <f>LN(D181)</f>
        <v>7.9860456949950995</v>
      </c>
      <c r="U212" s="136">
        <f>LN(E181)</f>
        <v>8.0123024331520742</v>
      </c>
      <c r="V212" s="136">
        <f>LN(F181)</f>
        <v>8.0181057196100092</v>
      </c>
    </row>
    <row r="213" spans="2:29">
      <c r="B213" s="194" t="s">
        <v>274</v>
      </c>
      <c r="C213" s="611">
        <f ca="1">IFERROR(EXP(SLOPE(S213:V213,$C$164:$F$164))-1,(IFERROR(EXP(SLOPE(T213:V213,$D$164:$F$164))-1,F213)))</f>
        <v>1.2762891449594749E-2</v>
      </c>
      <c r="D213" s="612">
        <f ca="1">IF(ISERROR(D184/C184 - 1),"",(D184/C184 - 1))</f>
        <v>2.9701210083883822E-2</v>
      </c>
      <c r="E213" s="612">
        <f ca="1">IF(ISERROR(E184/D184 - 1),"",(E184/D184 - 1))</f>
        <v>-9.4680559281468124E-4</v>
      </c>
      <c r="F213" s="415">
        <f ca="1">IF(ISERROR(F184/E184 - 1),"",(F184/E184 - 1))</f>
        <v>1.4370381787011555E-2</v>
      </c>
      <c r="R213" s="136" t="s">
        <v>423</v>
      </c>
      <c r="S213" s="136">
        <f ca="1">LN(C184)</f>
        <v>2.6432777914046754</v>
      </c>
      <c r="T213" s="136">
        <f ca="1">LN(D184)</f>
        <v>2.6725464642655608</v>
      </c>
      <c r="U213" s="136">
        <f ca="1">LN(E184)</f>
        <v>2.6715992101692114</v>
      </c>
      <c r="V213" s="136">
        <f ca="1">LN(F184)</f>
        <v>2.6858673166786029</v>
      </c>
    </row>
    <row r="215" spans="2:29">
      <c r="V215" s="195" t="str">
        <f>$B$2</f>
        <v>INDUSTRY SUMMARY</v>
      </c>
      <c r="W215" s="126">
        <v>2010</v>
      </c>
      <c r="X215" s="126">
        <v>2011</v>
      </c>
      <c r="Y215" s="126">
        <v>2012</v>
      </c>
      <c r="Z215" s="126">
        <v>2013</v>
      </c>
      <c r="AA215" s="126">
        <v>2014</v>
      </c>
      <c r="AB215" s="126">
        <v>2015</v>
      </c>
      <c r="AC215" s="127">
        <v>2016</v>
      </c>
    </row>
    <row r="216" spans="2:29">
      <c r="B216" s="576" t="s">
        <v>276</v>
      </c>
      <c r="C216" s="572"/>
      <c r="D216" s="572"/>
      <c r="E216" s="572"/>
      <c r="F216" s="572"/>
      <c r="G216" s="572"/>
      <c r="H216" s="572"/>
      <c r="I216" s="573"/>
      <c r="V216" s="177" t="s">
        <v>280</v>
      </c>
      <c r="W216" s="163">
        <f>C218</f>
        <v>194274.29368970648</v>
      </c>
      <c r="X216" s="163">
        <f>D218</f>
        <v>190131.51518676107</v>
      </c>
      <c r="Y216" s="197"/>
      <c r="Z216" s="197"/>
      <c r="AA216" s="197"/>
      <c r="AB216" s="197"/>
      <c r="AC216" s="198"/>
    </row>
    <row r="217" spans="2:29" s="103" customFormat="1">
      <c r="B217" s="195" t="str">
        <f>$B$2</f>
        <v>INDUSTRY SUMMARY</v>
      </c>
      <c r="C217" s="126">
        <v>2010</v>
      </c>
      <c r="D217" s="126">
        <v>2011</v>
      </c>
      <c r="E217" s="126">
        <v>2012</v>
      </c>
      <c r="F217" s="126">
        <v>2013</v>
      </c>
      <c r="G217" s="126">
        <v>2014</v>
      </c>
      <c r="H217" s="126">
        <v>2015</v>
      </c>
      <c r="I217" s="127">
        <v>2016</v>
      </c>
      <c r="V217" s="199" t="s">
        <v>277</v>
      </c>
      <c r="W217" s="163">
        <f t="shared" ref="W217:AA218" si="50">C219</f>
        <v>204149.68075665738</v>
      </c>
      <c r="X217" s="163">
        <f t="shared" si="50"/>
        <v>205893.07042953445</v>
      </c>
      <c r="Y217" s="163">
        <f t="shared" si="50"/>
        <v>206432.94184148594</v>
      </c>
      <c r="Z217" s="163">
        <f t="shared" si="50"/>
        <v>205897.14565537713</v>
      </c>
      <c r="AA217" s="163">
        <f t="shared" si="50"/>
        <v>205271.31111954417</v>
      </c>
      <c r="AB217" s="197"/>
      <c r="AC217" s="198"/>
    </row>
    <row r="218" spans="2:29">
      <c r="B218" s="177" t="s">
        <v>280</v>
      </c>
      <c r="C218" s="441">
        <f>SUM(Alpine:TPCL!C178)</f>
        <v>194274.29368970648</v>
      </c>
      <c r="D218" s="441">
        <f>SUM(Alpine:TPCL!D178)</f>
        <v>190131.51518676107</v>
      </c>
      <c r="E218" s="623"/>
      <c r="F218" s="623"/>
      <c r="G218" s="623"/>
      <c r="H218" s="623"/>
      <c r="I218" s="624"/>
      <c r="V218" s="199" t="s">
        <v>278</v>
      </c>
      <c r="W218" s="197"/>
      <c r="X218" s="163">
        <f t="shared" si="50"/>
        <v>204125.60223793483</v>
      </c>
      <c r="Y218" s="163">
        <f t="shared" si="50"/>
        <v>205479.30938212387</v>
      </c>
      <c r="Z218" s="163">
        <f t="shared" si="50"/>
        <v>204980.53547197615</v>
      </c>
      <c r="AA218" s="163">
        <f t="shared" si="50"/>
        <v>206414.52190450046</v>
      </c>
      <c r="AB218" s="163">
        <f>H220</f>
        <v>208475.84832584506</v>
      </c>
      <c r="AC218" s="198"/>
    </row>
    <row r="219" spans="2:29">
      <c r="B219" s="199" t="s">
        <v>277</v>
      </c>
      <c r="C219" s="441">
        <f>SUM(Alpine:TPCL!C179)</f>
        <v>204149.68075665738</v>
      </c>
      <c r="D219" s="441">
        <f>SUM(Alpine:TPCL!D179)</f>
        <v>205893.07042953445</v>
      </c>
      <c r="E219" s="441">
        <f>SUM(Alpine:TPCL!E179)</f>
        <v>206432.94184148594</v>
      </c>
      <c r="F219" s="441">
        <f>SUM(Alpine:TPCL!F179)</f>
        <v>205897.14565537713</v>
      </c>
      <c r="G219" s="441">
        <f>SUM(Alpine:TPCL!G179)</f>
        <v>205271.31111954417</v>
      </c>
      <c r="H219" s="623"/>
      <c r="I219" s="624"/>
      <c r="V219" s="200" t="s">
        <v>279</v>
      </c>
      <c r="W219" s="201"/>
      <c r="X219" s="201"/>
      <c r="Y219" s="165">
        <f>E221</f>
        <v>180547.01540455539</v>
      </c>
      <c r="Z219" s="165">
        <f>F221</f>
        <v>180696.16902579548</v>
      </c>
      <c r="AA219" s="165">
        <f>G221</f>
        <v>180909.88597936416</v>
      </c>
      <c r="AB219" s="165">
        <f>H221</f>
        <v>183019.36100198861</v>
      </c>
      <c r="AC219" s="193">
        <f>I221</f>
        <v>183880.11595221484</v>
      </c>
    </row>
    <row r="220" spans="2:29">
      <c r="B220" s="199" t="s">
        <v>278</v>
      </c>
      <c r="C220" s="623"/>
      <c r="D220" s="441">
        <f>SUM(Alpine:TPCL!D180)</f>
        <v>204125.60223793483</v>
      </c>
      <c r="E220" s="441">
        <f>SUM(Alpine:TPCL!E180)</f>
        <v>205479.30938212387</v>
      </c>
      <c r="F220" s="441">
        <f>SUM(Alpine:TPCL!F180)</f>
        <v>204980.53547197615</v>
      </c>
      <c r="G220" s="441">
        <f>SUM(Alpine:TPCL!G180)</f>
        <v>206414.52190450046</v>
      </c>
      <c r="H220" s="441">
        <f>SUM(Alpine:TPCL!H180)</f>
        <v>208475.84832584506</v>
      </c>
      <c r="I220" s="624"/>
    </row>
    <row r="221" spans="2:29">
      <c r="B221" s="200" t="s">
        <v>279</v>
      </c>
      <c r="C221" s="625"/>
      <c r="D221" s="625"/>
      <c r="E221" s="442">
        <f>SUM(Alpine:TPCL!E181)</f>
        <v>180547.01540455539</v>
      </c>
      <c r="F221" s="442">
        <f>SUM(Alpine:TPCL!F181)</f>
        <v>180696.16902579548</v>
      </c>
      <c r="G221" s="442">
        <f>SUM(Alpine:TPCL!G181)</f>
        <v>180909.88597936416</v>
      </c>
      <c r="H221" s="442">
        <f>SUM(Alpine:TPCL!H181)</f>
        <v>183019.36100198861</v>
      </c>
      <c r="I221" s="606">
        <f>SUM(Alpine:TPCL!I181)</f>
        <v>183880.11595221484</v>
      </c>
    </row>
    <row r="222" spans="2:29">
      <c r="C222" s="136"/>
      <c r="D222" s="136"/>
      <c r="E222" s="136"/>
      <c r="F222" s="136"/>
      <c r="G222" s="136"/>
      <c r="H222" s="136"/>
      <c r="I222" s="136"/>
    </row>
    <row r="223" spans="2:29">
      <c r="C223" s="136"/>
      <c r="D223" s="136"/>
      <c r="E223" s="136"/>
      <c r="F223" s="136"/>
      <c r="G223" s="136"/>
      <c r="H223" s="136"/>
      <c r="I223" s="136"/>
    </row>
    <row r="224" spans="2:29">
      <c r="C224" s="136"/>
      <c r="E224" s="136"/>
      <c r="F224" s="136"/>
      <c r="G224" s="136"/>
      <c r="H224" s="136"/>
      <c r="I224" s="136"/>
    </row>
    <row r="225" spans="1:23">
      <c r="B225" s="576" t="s">
        <v>261</v>
      </c>
      <c r="C225" s="572"/>
      <c r="D225" s="587" t="s">
        <v>166</v>
      </c>
      <c r="E225" s="588" t="s">
        <v>165</v>
      </c>
      <c r="T225" s="139" t="s">
        <v>321</v>
      </c>
    </row>
    <row r="226" spans="1:23">
      <c r="A226" s="102">
        <f t="shared" ref="A226:A231" si="51">RANK(D226,$D$226:$D$231)</f>
        <v>2</v>
      </c>
      <c r="B226" s="166" t="s">
        <v>205</v>
      </c>
      <c r="C226" s="167"/>
      <c r="D226" s="616">
        <f>SUM(Alpine:TPCL!D186)</f>
        <v>153.49954089747652</v>
      </c>
      <c r="E226" s="620">
        <f t="shared" ref="E226:E231" si="52">D226/$D$232</f>
        <v>0.26231699306549722</v>
      </c>
      <c r="T226" s="166">
        <v>1</v>
      </c>
      <c r="U226" s="167" t="str">
        <f t="shared" ref="U226:U231" si="53">VLOOKUP(T226,$A$226:$D$231,2,FALSE)</f>
        <v>Asset replacement and renewal</v>
      </c>
      <c r="V226" s="169">
        <f t="shared" ref="V226:V231" si="54">VLOOKUP(T226,$A$226:$D$231,4,FALSE)</f>
        <v>175.91952869225133</v>
      </c>
    </row>
    <row r="227" spans="1:23">
      <c r="A227" s="102">
        <f t="shared" si="51"/>
        <v>4</v>
      </c>
      <c r="B227" s="162" t="s">
        <v>206</v>
      </c>
      <c r="C227" s="121"/>
      <c r="D227" s="599">
        <f>SUM(Alpine:TPCL!D187)</f>
        <v>72.341216030231735</v>
      </c>
      <c r="E227" s="621">
        <f t="shared" si="52"/>
        <v>0.12362467114104508</v>
      </c>
      <c r="T227" s="170">
        <v>2</v>
      </c>
      <c r="U227" s="121" t="str">
        <f t="shared" si="53"/>
        <v>System growth</v>
      </c>
      <c r="V227" s="122">
        <f t="shared" si="54"/>
        <v>153.49954089747652</v>
      </c>
    </row>
    <row r="228" spans="1:23">
      <c r="A228" s="102">
        <f t="shared" si="51"/>
        <v>3</v>
      </c>
      <c r="B228" s="162" t="s">
        <v>209</v>
      </c>
      <c r="C228" s="121"/>
      <c r="D228" s="599">
        <f>SUM(Alpine:TPCL!D188)</f>
        <v>96.337303738003811</v>
      </c>
      <c r="E228" s="621">
        <f t="shared" si="52"/>
        <v>0.1646318398663438</v>
      </c>
      <c r="T228" s="170">
        <v>3</v>
      </c>
      <c r="U228" s="121" t="str">
        <f t="shared" si="53"/>
        <v>Customer connection</v>
      </c>
      <c r="V228" s="122">
        <f t="shared" si="54"/>
        <v>96.337303738003811</v>
      </c>
    </row>
    <row r="229" spans="1:23">
      <c r="A229" s="102">
        <f t="shared" si="51"/>
        <v>1</v>
      </c>
      <c r="B229" s="162" t="s">
        <v>208</v>
      </c>
      <c r="C229" s="121"/>
      <c r="D229" s="599">
        <f>SUM(Alpine:TPCL!D189)</f>
        <v>175.91952869225133</v>
      </c>
      <c r="E229" s="621">
        <f t="shared" si="52"/>
        <v>0.3006307479373671</v>
      </c>
      <c r="T229" s="170">
        <v>4</v>
      </c>
      <c r="U229" s="121" t="str">
        <f t="shared" si="53"/>
        <v>Reliability, safety and environment</v>
      </c>
      <c r="V229" s="122">
        <f t="shared" si="54"/>
        <v>72.341216030231735</v>
      </c>
    </row>
    <row r="230" spans="1:23">
      <c r="A230" s="102">
        <f t="shared" si="51"/>
        <v>5</v>
      </c>
      <c r="B230" s="162" t="s">
        <v>312</v>
      </c>
      <c r="C230" s="121"/>
      <c r="D230" s="599">
        <f>SUM(Alpine:TPCL!D190)</f>
        <v>53.848379287916245</v>
      </c>
      <c r="E230" s="621">
        <f t="shared" si="52"/>
        <v>9.2022066344100747E-2</v>
      </c>
      <c r="T230" s="170">
        <v>5</v>
      </c>
      <c r="U230" s="121" t="str">
        <f t="shared" si="53"/>
        <v>Non-network capex</v>
      </c>
      <c r="V230" s="122">
        <f t="shared" si="54"/>
        <v>53.848379287916245</v>
      </c>
    </row>
    <row r="231" spans="1:23">
      <c r="A231" s="102">
        <f t="shared" si="51"/>
        <v>6</v>
      </c>
      <c r="B231" s="162" t="s">
        <v>207</v>
      </c>
      <c r="C231" s="121"/>
      <c r="D231" s="599">
        <f>SUM(Alpine:TPCL!D191)</f>
        <v>33.22214838552302</v>
      </c>
      <c r="E231" s="621">
        <f t="shared" si="52"/>
        <v>5.6773681645646078E-2</v>
      </c>
      <c r="T231" s="171">
        <v>6</v>
      </c>
      <c r="U231" s="129" t="str">
        <f t="shared" si="53"/>
        <v>Asset relocations</v>
      </c>
      <c r="V231" s="130">
        <f t="shared" si="54"/>
        <v>33.22214838552302</v>
      </c>
    </row>
    <row r="232" spans="1:23">
      <c r="B232" s="172" t="s">
        <v>262</v>
      </c>
      <c r="C232" s="173"/>
      <c r="D232" s="618">
        <f>SUM(D226:D231)</f>
        <v>585.16811703140263</v>
      </c>
      <c r="E232" s="622"/>
    </row>
    <row r="233" spans="1:23">
      <c r="D233" s="174"/>
    </row>
    <row r="235" spans="1:23">
      <c r="B235" s="576" t="s">
        <v>281</v>
      </c>
      <c r="C235" s="581">
        <v>2008</v>
      </c>
      <c r="D235" s="581">
        <v>2009</v>
      </c>
      <c r="E235" s="581">
        <v>2010</v>
      </c>
      <c r="F235" s="582">
        <v>2011</v>
      </c>
    </row>
    <row r="236" spans="1:23">
      <c r="B236" s="166" t="s">
        <v>282</v>
      </c>
      <c r="C236" s="616">
        <f>SUM(Alpine:TPCL!C196)</f>
        <v>514.18140769342187</v>
      </c>
      <c r="D236" s="616">
        <f>SUM(Alpine:TPCL!D196)</f>
        <v>551.05675184844506</v>
      </c>
      <c r="E236" s="616">
        <f>SUM(Alpine:TPCL!E196)</f>
        <v>501.9012952260245</v>
      </c>
      <c r="F236" s="617">
        <f>SUM(Alpine:TPCL!F196)</f>
        <v>531.3197392684865</v>
      </c>
    </row>
    <row r="237" spans="1:23">
      <c r="B237" s="162" t="s">
        <v>283</v>
      </c>
      <c r="C237" s="599">
        <f>SUM(Alpine:TPCL!C197)</f>
        <v>28.450575313002194</v>
      </c>
      <c r="D237" s="599">
        <f>SUM(Alpine:TPCL!D197)</f>
        <v>26.642436894762849</v>
      </c>
      <c r="E237" s="599">
        <f>SUM(Alpine:TPCL!E197)</f>
        <v>39.215566816485676</v>
      </c>
      <c r="F237" s="600">
        <f>SUM(Alpine:TPCL!F197)</f>
        <v>53.848379287916245</v>
      </c>
    </row>
    <row r="238" spans="1:23">
      <c r="B238" s="202" t="s">
        <v>284</v>
      </c>
      <c r="C238" s="618">
        <f>SUM(C236:C237)</f>
        <v>542.63198300642409</v>
      </c>
      <c r="D238" s="618">
        <f>SUM(D236:D237)</f>
        <v>577.69918874320786</v>
      </c>
      <c r="E238" s="618">
        <f>SUM(E236:E237)</f>
        <v>541.11686204251021</v>
      </c>
      <c r="F238" s="619">
        <f>SUM(F236:F237)</f>
        <v>585.16811855640276</v>
      </c>
    </row>
    <row r="239" spans="1:23">
      <c r="B239" s="103" t="s">
        <v>285</v>
      </c>
      <c r="C239" s="103" t="s">
        <v>246</v>
      </c>
      <c r="D239" s="181">
        <v>2009</v>
      </c>
      <c r="E239" s="181">
        <v>2010</v>
      </c>
      <c r="F239" s="181">
        <v>2011</v>
      </c>
    </row>
    <row r="240" spans="1:23">
      <c r="B240" s="166" t="s">
        <v>282</v>
      </c>
      <c r="C240" s="607">
        <f t="shared" ref="C240:C242" si="55">IFERROR(EXP(SLOPE(S240:V240,$C$164:$F$164))-1,(IFERROR(EXP(SLOPE(T240:V240,$D$164:$F$164))-1,F240)))</f>
        <v>4.9304378922765402E-4</v>
      </c>
      <c r="D240" s="608">
        <f t="shared" ref="D240:F242" si="56">D236/C236 - 1</f>
        <v>7.1716603524120348E-2</v>
      </c>
      <c r="E240" s="608">
        <f t="shared" si="56"/>
        <v>-8.9202167394801468E-2</v>
      </c>
      <c r="F240" s="446">
        <f t="shared" si="56"/>
        <v>5.8614003036620677E-2</v>
      </c>
      <c r="R240" s="136" t="s">
        <v>423</v>
      </c>
      <c r="S240" s="136">
        <f t="shared" ref="S240:V242" si="57">LN(C236)</f>
        <v>6.2425761364445584</v>
      </c>
      <c r="T240" s="136">
        <f t="shared" si="57"/>
        <v>6.311837801759058</v>
      </c>
      <c r="U240" s="136">
        <f t="shared" si="57"/>
        <v>6.2184034773031538</v>
      </c>
      <c r="V240" s="136">
        <f t="shared" si="57"/>
        <v>6.2753639855401113</v>
      </c>
      <c r="W240" s="121"/>
    </row>
    <row r="241" spans="2:22">
      <c r="B241" s="162" t="s">
        <v>283</v>
      </c>
      <c r="C241" s="609">
        <f t="shared" si="55"/>
        <v>0.25867304060207119</v>
      </c>
      <c r="D241" s="610">
        <f t="shared" si="56"/>
        <v>-6.3553668013630937E-2</v>
      </c>
      <c r="E241" s="610">
        <f t="shared" si="56"/>
        <v>0.4719211673987056</v>
      </c>
      <c r="F241" s="414">
        <f t="shared" si="56"/>
        <v>0.37313785466640614</v>
      </c>
      <c r="R241" s="136" t="s">
        <v>423</v>
      </c>
      <c r="S241" s="136">
        <f t="shared" si="57"/>
        <v>3.348168382266024</v>
      </c>
      <c r="T241" s="136">
        <f t="shared" si="57"/>
        <v>3.2825053165172386</v>
      </c>
      <c r="U241" s="136">
        <f t="shared" si="57"/>
        <v>3.6690737806335019</v>
      </c>
      <c r="V241" s="136">
        <f t="shared" si="57"/>
        <v>3.9861723063605523</v>
      </c>
    </row>
    <row r="242" spans="2:22">
      <c r="B242" s="180" t="s">
        <v>284</v>
      </c>
      <c r="C242" s="611">
        <f t="shared" si="55"/>
        <v>1.6228830335803357E-2</v>
      </c>
      <c r="D242" s="612">
        <f t="shared" si="56"/>
        <v>6.4624288348238856E-2</v>
      </c>
      <c r="E242" s="612">
        <f t="shared" si="56"/>
        <v>-6.3324178765566508E-2</v>
      </c>
      <c r="F242" s="415">
        <f t="shared" si="56"/>
        <v>8.1408027736588728E-2</v>
      </c>
      <c r="R242" s="136" t="s">
        <v>423</v>
      </c>
      <c r="S242" s="136">
        <f t="shared" si="57"/>
        <v>6.2964313424730038</v>
      </c>
      <c r="T242" s="136">
        <f t="shared" si="57"/>
        <v>6.3590532984989014</v>
      </c>
      <c r="U242" s="136">
        <f t="shared" si="57"/>
        <v>6.293635266688578</v>
      </c>
      <c r="V242" s="136">
        <f t="shared" si="57"/>
        <v>6.3718991880932139</v>
      </c>
    </row>
    <row r="244" spans="2:22">
      <c r="B244" s="576" t="s">
        <v>286</v>
      </c>
      <c r="C244" s="581">
        <v>2008</v>
      </c>
      <c r="D244" s="581">
        <v>2009</v>
      </c>
      <c r="E244" s="581">
        <v>2010</v>
      </c>
      <c r="F244" s="582">
        <v>2011</v>
      </c>
    </row>
    <row r="245" spans="2:22">
      <c r="B245" s="479" t="s">
        <v>287</v>
      </c>
      <c r="C245" s="480"/>
      <c r="D245" s="480"/>
      <c r="E245" s="480"/>
      <c r="F245" s="481"/>
    </row>
    <row r="246" spans="2:22">
      <c r="B246" s="177" t="str">
        <f>$B$2</f>
        <v>INDUSTRY SUMMARY</v>
      </c>
      <c r="C246" s="599">
        <f ca="1">(C238/C118)*1000000</f>
        <v>278.20789680771634</v>
      </c>
      <c r="D246" s="430">
        <f ca="1">(D238/D118)*1000000</f>
        <v>291.79997450325715</v>
      </c>
      <c r="E246" s="430">
        <f ca="1">(E238/E118)*1000000</f>
        <v>270.96257112706974</v>
      </c>
      <c r="F246" s="603">
        <f ca="1">(F238/F118)*1000000</f>
        <v>291.70965963179702</v>
      </c>
    </row>
    <row r="247" spans="2:22">
      <c r="B247" s="177" t="s">
        <v>272</v>
      </c>
      <c r="C247" s="599">
        <f>'Industry calcs'!C22</f>
        <v>278.20789662228765</v>
      </c>
      <c r="D247" s="599">
        <f>'Industry calcs'!D22</f>
        <v>291.79923762758693</v>
      </c>
      <c r="E247" s="599">
        <f>'Industry calcs'!E22</f>
        <v>270.96257169694115</v>
      </c>
      <c r="F247" s="600">
        <f>'Industry calcs'!F22</f>
        <v>291.32045679684501</v>
      </c>
    </row>
    <row r="248" spans="2:22">
      <c r="B248" s="187" t="s">
        <v>288</v>
      </c>
      <c r="C248" s="163"/>
      <c r="D248" s="189"/>
      <c r="E248" s="189"/>
      <c r="F248" s="190"/>
    </row>
    <row r="249" spans="2:22">
      <c r="B249" s="177" t="str">
        <f>$B$2</f>
        <v>INDUSTRY SUMMARY</v>
      </c>
      <c r="C249" s="433">
        <f ca="1">(C238/C133)*1000000000</f>
        <v>17785.25642507357</v>
      </c>
      <c r="D249" s="433">
        <f ca="1">(D238/D133)*1000000000</f>
        <v>19320.282804712057</v>
      </c>
      <c r="E249" s="433">
        <f ca="1">(E238/E133)*1000000000</f>
        <v>17431.85553128325</v>
      </c>
      <c r="F249" s="434">
        <f ca="1">(F238/F133)*1000000000</f>
        <v>18909.28131127885</v>
      </c>
    </row>
    <row r="250" spans="2:22">
      <c r="B250" s="177" t="s">
        <v>272</v>
      </c>
      <c r="C250" s="441">
        <f>'Industry calcs'!C23</f>
        <v>17766.223837181449</v>
      </c>
      <c r="D250" s="441">
        <f>'Industry calcs'!D23</f>
        <v>19320.423913855331</v>
      </c>
      <c r="E250" s="441">
        <f>'Industry calcs'!E23</f>
        <v>17432.184323005218</v>
      </c>
      <c r="F250" s="613">
        <f>'Industry calcs'!F23</f>
        <v>18909.483671077171</v>
      </c>
    </row>
    <row r="251" spans="2:22">
      <c r="B251" s="188" t="s">
        <v>289</v>
      </c>
      <c r="C251" s="163"/>
      <c r="D251" s="189"/>
      <c r="E251" s="189"/>
      <c r="F251" s="190"/>
    </row>
    <row r="252" spans="2:22">
      <c r="B252" s="177" t="str">
        <f>$B$2</f>
        <v>INDUSTRY SUMMARY</v>
      </c>
      <c r="C252" s="659">
        <f>(SUMIF('FS (2011)'!$C$13:$C$244,C244,'FS (2011)'!$AG$13:$AG$244)+SUMIF('FS (2011)'!$C$13:$C$244,C244,'FS (2011)'!$AH$13:$AH$244))/SUMIF('AV (2011)'!$C$11:$C$213,C244,'AV (2011)'!$F$11:$F$213)</f>
        <v>6.7200573422985591E-2</v>
      </c>
      <c r="D252" s="659">
        <f>(SUMIF('FS (2011)'!$C$13:$C$244,D244,'FS (2011)'!$AG$13:$AG$244)+SUMIF('FS (2011)'!$C$13:$C$244,D244,'FS (2011)'!$AH$13:$AH$244))/SUMIF('AV (2011)'!$C$11:$C$213,D244,'AV (2011)'!$F$11:$F$213)</f>
        <v>6.9687031761162824E-2</v>
      </c>
      <c r="E252" s="659">
        <f>(SUMIF('FS (2011)'!$C$13:$C$244,E244,'FS (2011)'!$AG$13:$AG$244)+SUMIF('FS (2011)'!$C$13:$C$244,E244,'FS (2011)'!$AH$13:$AH$244))/SUMIF('AV (2011)'!$C$11:$C$213,E244,'AV (2011)'!$F$11:$F$213)</f>
        <v>6.3393701017924006E-2</v>
      </c>
      <c r="F252" s="660">
        <f>(SUMIF('FS (2011)'!$C$13:$C$244,F244,'FS (2011)'!$AG$13:$AG$244)+SUMIF('FS (2011)'!$C$13:$C$244,F244,'FS (2011)'!$AH$13:$AH$244))/SUMIF('AV (2011)'!$C$11:$C$213,F244,'AV (2011)'!$F$11:$F$213)</f>
        <v>6.5198766431544805E-2</v>
      </c>
    </row>
    <row r="253" spans="2:22">
      <c r="B253" s="482" t="s">
        <v>272</v>
      </c>
      <c r="C253" s="661">
        <f>'Industry calcs'!C24</f>
        <v>6.7200573422985591E-2</v>
      </c>
      <c r="D253" s="661">
        <f>'Industry calcs'!D24</f>
        <v>6.9687031761162824E-2</v>
      </c>
      <c r="E253" s="661">
        <f>'Industry calcs'!E24</f>
        <v>6.3393701017924006E-2</v>
      </c>
      <c r="F253" s="662">
        <f>'Industry calcs'!F24</f>
        <v>6.5198766431544805E-2</v>
      </c>
    </row>
    <row r="254" spans="2:22">
      <c r="B254" s="207"/>
      <c r="C254" s="163"/>
      <c r="D254" s="163"/>
      <c r="E254" s="163"/>
      <c r="F254" s="163"/>
    </row>
    <row r="255" spans="2:22">
      <c r="B255" s="207"/>
      <c r="C255" s="182">
        <v>2008</v>
      </c>
      <c r="D255" s="182">
        <v>2009</v>
      </c>
      <c r="E255" s="182">
        <v>2010</v>
      </c>
      <c r="F255" s="182">
        <v>2011</v>
      </c>
    </row>
    <row r="256" spans="2:22">
      <c r="B256" s="183" t="s">
        <v>287</v>
      </c>
      <c r="C256" s="168"/>
      <c r="D256" s="168"/>
      <c r="E256" s="168"/>
      <c r="F256" s="176"/>
    </row>
    <row r="257" spans="2:6">
      <c r="B257" s="170" t="s">
        <v>447</v>
      </c>
      <c r="C257" s="599">
        <f>QUARTILE(Alpine:TPCL!C$206,0)</f>
        <v>100.7501287392775</v>
      </c>
      <c r="D257" s="599">
        <f>QUARTILE(Alpine:TPCL!D$206,0)</f>
        <v>106.83338111319678</v>
      </c>
      <c r="E257" s="599">
        <f>QUARTILE(Alpine:TPCL!E$206,0)</f>
        <v>115.07827005297472</v>
      </c>
      <c r="F257" s="600">
        <f>QUARTILE(Alpine:TPCL!F$206,0)</f>
        <v>138.62015394393052</v>
      </c>
    </row>
    <row r="258" spans="2:6">
      <c r="B258" s="170" t="s">
        <v>452</v>
      </c>
      <c r="C258" s="599">
        <f>QUARTILE(Alpine:TPCL!C$206,1)</f>
        <v>210.27269837543426</v>
      </c>
      <c r="D258" s="599">
        <f>QUARTILE(Alpine:TPCL!D$206,1)</f>
        <v>178.81461076462523</v>
      </c>
      <c r="E258" s="599">
        <f>QUARTILE(Alpine:TPCL!E$206,1)</f>
        <v>200.30579304315188</v>
      </c>
      <c r="F258" s="600">
        <f>QUARTILE(Alpine:TPCL!F$206,1)</f>
        <v>223.42606890660625</v>
      </c>
    </row>
    <row r="259" spans="2:6">
      <c r="B259" s="170" t="s">
        <v>449</v>
      </c>
      <c r="C259" s="599">
        <f>QUARTILE(Alpine:TPCL!C$206,2)</f>
        <v>272.95092040751058</v>
      </c>
      <c r="D259" s="599">
        <f>QUARTILE(Alpine:TPCL!D$206,2)</f>
        <v>300.20892304018577</v>
      </c>
      <c r="E259" s="599">
        <f>QUARTILE(Alpine:TPCL!E$206,2)</f>
        <v>271.0049918437627</v>
      </c>
      <c r="F259" s="600">
        <f>QUARTILE(Alpine:TPCL!F$206,2)</f>
        <v>307.23827275551412</v>
      </c>
    </row>
    <row r="260" spans="2:6">
      <c r="B260" s="170" t="s">
        <v>453</v>
      </c>
      <c r="C260" s="599">
        <f>QUARTILE(Alpine:TPCL!C$206,3)</f>
        <v>457.34567385579828</v>
      </c>
      <c r="D260" s="599">
        <f>QUARTILE(Alpine:TPCL!D$206,3)</f>
        <v>394.11164900278129</v>
      </c>
      <c r="E260" s="599">
        <f>QUARTILE(Alpine:TPCL!E$206,3)</f>
        <v>407.13618349839385</v>
      </c>
      <c r="F260" s="600">
        <f>QUARTILE(Alpine:TPCL!F$206,3)</f>
        <v>388.71559506413377</v>
      </c>
    </row>
    <row r="261" spans="2:6">
      <c r="B261" s="170" t="s">
        <v>448</v>
      </c>
      <c r="C261" s="599">
        <f>QUARTILE(Alpine:TPCL!C$206,4)</f>
        <v>679.90064729386449</v>
      </c>
      <c r="D261" s="599">
        <f>QUARTILE(Alpine:TPCL!D$206,4)</f>
        <v>999.50819026847205</v>
      </c>
      <c r="E261" s="599">
        <f>QUARTILE(Alpine:TPCL!E$206,4)</f>
        <v>798.22004521833514</v>
      </c>
      <c r="F261" s="600">
        <f>QUARTILE(Alpine:TPCL!F$206,4)</f>
        <v>920.18649562315204</v>
      </c>
    </row>
    <row r="262" spans="2:6">
      <c r="B262" s="177"/>
      <c r="C262" s="163"/>
      <c r="D262" s="163"/>
      <c r="E262" s="163"/>
      <c r="F262" s="178"/>
    </row>
    <row r="263" spans="2:6">
      <c r="B263" s="187" t="s">
        <v>288</v>
      </c>
      <c r="C263" s="163"/>
      <c r="D263" s="163"/>
      <c r="E263" s="163"/>
      <c r="F263" s="178"/>
    </row>
    <row r="264" spans="2:6">
      <c r="B264" s="170" t="s">
        <v>447</v>
      </c>
      <c r="C264" s="441">
        <f>QUARTILE(Alpine:TPCL!C$209,0)</f>
        <v>5840.115806620749</v>
      </c>
      <c r="D264" s="441">
        <f>QUARTILE(Alpine:TPCL!D$209,0)</f>
        <v>6489.0092251146198</v>
      </c>
      <c r="E264" s="441">
        <f>QUARTILE(Alpine:TPCL!E$209,0)</f>
        <v>6678.1902565663777</v>
      </c>
      <c r="F264" s="613">
        <f>QUARTILE(Alpine:TPCL!F$209,0)</f>
        <v>10530.733971940994</v>
      </c>
    </row>
    <row r="265" spans="2:6">
      <c r="B265" s="170" t="s">
        <v>452</v>
      </c>
      <c r="C265" s="441">
        <f>QUARTILE(Alpine:TPCL!C$209,1)</f>
        <v>15150.410315355464</v>
      </c>
      <c r="D265" s="441">
        <f>QUARTILE(Alpine:TPCL!D$209,1)</f>
        <v>14853.706805861033</v>
      </c>
      <c r="E265" s="441">
        <f>QUARTILE(Alpine:TPCL!E$209,1)</f>
        <v>13761.912993370488</v>
      </c>
      <c r="F265" s="613">
        <f>QUARTILE(Alpine:TPCL!F$209,1)</f>
        <v>14145.133659749827</v>
      </c>
    </row>
    <row r="266" spans="2:6">
      <c r="B266" s="170" t="s">
        <v>449</v>
      </c>
      <c r="C266" s="441">
        <f>QUARTILE(Alpine:TPCL!C$209,2)</f>
        <v>20926.093644185654</v>
      </c>
      <c r="D266" s="441">
        <f>QUARTILE(Alpine:TPCL!D$209,2)</f>
        <v>17970.914918523551</v>
      </c>
      <c r="E266" s="441">
        <f>QUARTILE(Alpine:TPCL!E$209,2)</f>
        <v>18204.802015085941</v>
      </c>
      <c r="F266" s="613">
        <f>QUARTILE(Alpine:TPCL!F$209,2)</f>
        <v>18536.257211166452</v>
      </c>
    </row>
    <row r="267" spans="2:6">
      <c r="B267" s="170" t="s">
        <v>453</v>
      </c>
      <c r="C267" s="441">
        <f>QUARTILE(Alpine:TPCL!C$209,3)</f>
        <v>25706.530315140706</v>
      </c>
      <c r="D267" s="441">
        <f>QUARTILE(Alpine:TPCL!D$209,3)</f>
        <v>29363.865346140588</v>
      </c>
      <c r="E267" s="441">
        <f>QUARTILE(Alpine:TPCL!E$209,3)</f>
        <v>26341.39980417574</v>
      </c>
      <c r="F267" s="613">
        <f>QUARTILE(Alpine:TPCL!F$209,3)</f>
        <v>24809.148769588846</v>
      </c>
    </row>
    <row r="268" spans="2:6">
      <c r="B268" s="170" t="s">
        <v>448</v>
      </c>
      <c r="C268" s="441">
        <f>QUARTILE(Alpine:TPCL!C$209,4)</f>
        <v>38529.660961205351</v>
      </c>
      <c r="D268" s="441">
        <f>QUARTILE(Alpine:TPCL!D$209,4)</f>
        <v>42102.724149291476</v>
      </c>
      <c r="E268" s="441">
        <f>QUARTILE(Alpine:TPCL!E$209,4)</f>
        <v>49099.267347032517</v>
      </c>
      <c r="F268" s="613">
        <f>QUARTILE(Alpine:TPCL!F$209,4)</f>
        <v>50904.532269428913</v>
      </c>
    </row>
    <row r="269" spans="2:6">
      <c r="B269" s="177"/>
      <c r="C269" s="163"/>
      <c r="D269" s="163"/>
      <c r="E269" s="163"/>
      <c r="F269" s="178"/>
    </row>
    <row r="270" spans="2:6">
      <c r="B270" s="188" t="s">
        <v>289</v>
      </c>
      <c r="C270" s="163"/>
      <c r="D270" s="163"/>
      <c r="E270" s="163"/>
      <c r="F270" s="178"/>
    </row>
    <row r="271" spans="2:6">
      <c r="B271" s="170" t="s">
        <v>447</v>
      </c>
      <c r="C271" s="599">
        <f>QUARTILE(Alpine:TPCL!C$212,0)</f>
        <v>2.8402324137051727E-2</v>
      </c>
      <c r="D271" s="599">
        <f>QUARTILE(Alpine:TPCL!D$212,0)</f>
        <v>2.5650770583663187E-2</v>
      </c>
      <c r="E271" s="599">
        <f>QUARTILE(Alpine:TPCL!E$212,0)</f>
        <v>2.7914550039664792E-2</v>
      </c>
      <c r="F271" s="600">
        <f>QUARTILE(Alpine:TPCL!F$212,0)</f>
        <v>3.4386406903844792E-2</v>
      </c>
    </row>
    <row r="272" spans="2:6">
      <c r="B272" s="170" t="s">
        <v>452</v>
      </c>
      <c r="C272" s="599">
        <f>QUARTILE(Alpine:TPCL!C$212,1)</f>
        <v>5.147422821921302E-2</v>
      </c>
      <c r="D272" s="599">
        <f>QUARTILE(Alpine:TPCL!D$212,1)</f>
        <v>4.9403470073951704E-2</v>
      </c>
      <c r="E272" s="599">
        <f>QUARTILE(Alpine:TPCL!E$212,1)</f>
        <v>5.0009844348680187E-2</v>
      </c>
      <c r="F272" s="600">
        <f>QUARTILE(Alpine:TPCL!F$212,1)</f>
        <v>5.0657522186620139E-2</v>
      </c>
    </row>
    <row r="273" spans="2:29">
      <c r="B273" s="170" t="s">
        <v>449</v>
      </c>
      <c r="C273" s="599">
        <f>QUARTILE(Alpine:TPCL!C$212,2)</f>
        <v>6.7821044158270422E-2</v>
      </c>
      <c r="D273" s="599">
        <f>QUARTILE(Alpine:TPCL!D$212,2)</f>
        <v>6.1260165463779229E-2</v>
      </c>
      <c r="E273" s="599">
        <f>QUARTILE(Alpine:TPCL!E$212,2)</f>
        <v>6.0463896008659666E-2</v>
      </c>
      <c r="F273" s="600">
        <f>QUARTILE(Alpine:TPCL!F$212,2)</f>
        <v>6.2064102655132125E-2</v>
      </c>
    </row>
    <row r="274" spans="2:29">
      <c r="B274" s="170" t="s">
        <v>453</v>
      </c>
      <c r="C274" s="599">
        <f>QUARTILE(Alpine:TPCL!C$212,3)</f>
        <v>7.7740581078809046E-2</v>
      </c>
      <c r="D274" s="599">
        <f>QUARTILE(Alpine:TPCL!D$212,3)</f>
        <v>7.9827415196667709E-2</v>
      </c>
      <c r="E274" s="599">
        <f>QUARTILE(Alpine:TPCL!E$212,3)</f>
        <v>7.6149799327196982E-2</v>
      </c>
      <c r="F274" s="600">
        <f>QUARTILE(Alpine:TPCL!F$212,3)</f>
        <v>7.3389045209143244E-2</v>
      </c>
    </row>
    <row r="275" spans="2:29">
      <c r="B275" s="208" t="s">
        <v>448</v>
      </c>
      <c r="C275" s="614">
        <f>QUARTILE(Alpine:TPCL!C$212,4)</f>
        <v>0.11989387182175221</v>
      </c>
      <c r="D275" s="614">
        <f>QUARTILE(Alpine:TPCL!D$212,4)</f>
        <v>0.11989781869245725</v>
      </c>
      <c r="E275" s="614">
        <f>QUARTILE(Alpine:TPCL!E$212,4)</f>
        <v>0.11965526411427631</v>
      </c>
      <c r="F275" s="615">
        <f>QUARTILE(Alpine:TPCL!F$212,4)</f>
        <v>0.13267629583112181</v>
      </c>
    </row>
    <row r="276" spans="2:29">
      <c r="B276" s="207"/>
      <c r="C276" s="163"/>
      <c r="D276" s="163"/>
      <c r="E276" s="163"/>
      <c r="F276" s="163"/>
    </row>
    <row r="277" spans="2:29">
      <c r="B277" s="207"/>
      <c r="C277" s="163"/>
      <c r="D277" s="163"/>
      <c r="E277" s="163"/>
      <c r="F277" s="163"/>
    </row>
    <row r="278" spans="2:29">
      <c r="B278" s="576" t="s">
        <v>275</v>
      </c>
      <c r="C278" s="574" t="s">
        <v>246</v>
      </c>
      <c r="D278" s="585">
        <v>2009</v>
      </c>
      <c r="E278" s="585">
        <v>2010</v>
      </c>
      <c r="F278" s="586">
        <v>2011</v>
      </c>
    </row>
    <row r="279" spans="2:29">
      <c r="B279" s="175" t="s">
        <v>287</v>
      </c>
      <c r="C279" s="607">
        <f t="shared" ref="C279:C280" ca="1" si="58">IFERROR(EXP(SLOPE(S279:V279,$C$235:$F$235))-1,(IFERROR(EXP(SLOPE(T279:V279,$D$235:$F$235))-1,F279)))</f>
        <v>6.8315421695486211E-3</v>
      </c>
      <c r="D279" s="608">
        <f ca="1">D246/C246 - 1</f>
        <v>4.8855829944090212E-2</v>
      </c>
      <c r="E279" s="608">
        <f ca="1">E246/D246 - 1</f>
        <v>-7.140988758364275E-2</v>
      </c>
      <c r="F279" s="446">
        <f ca="1">F246/E246 - 1</f>
        <v>7.6568097277899705E-2</v>
      </c>
      <c r="K279" s="139"/>
      <c r="P279" s="139"/>
      <c r="R279" s="136" t="s">
        <v>423</v>
      </c>
      <c r="S279" s="136">
        <f ca="1">LN(C246)</f>
        <v>5.628368664448514</v>
      </c>
      <c r="T279" s="136">
        <f ca="1">LN(D246)</f>
        <v>5.6760685487112212</v>
      </c>
      <c r="U279" s="136">
        <f ca="1">LN(E246)</f>
        <v>5.6019806974188429</v>
      </c>
      <c r="V279" s="136">
        <f ca="1">LN(F246)</f>
        <v>5.6757589912784114</v>
      </c>
    </row>
    <row r="280" spans="2:29">
      <c r="B280" s="177" t="s">
        <v>288</v>
      </c>
      <c r="C280" s="609">
        <f t="shared" ca="1" si="58"/>
        <v>8.1321882614906471E-3</v>
      </c>
      <c r="D280" s="610">
        <f ca="1">D249/C249 - 1</f>
        <v>8.6308925941287695E-2</v>
      </c>
      <c r="E280" s="610">
        <f ca="1">E249/D249 - 1</f>
        <v>-9.7743252131290426E-2</v>
      </c>
      <c r="F280" s="414">
        <f ca="1">F249/E249 - 1</f>
        <v>8.4754361194894434E-2</v>
      </c>
      <c r="R280" s="136" t="s">
        <v>423</v>
      </c>
      <c r="S280" s="136">
        <f ca="1">LN(C249)</f>
        <v>9.7861251023316704</v>
      </c>
      <c r="T280" s="136">
        <f ca="1">LN(D249)</f>
        <v>9.8689107455844312</v>
      </c>
      <c r="U280" s="136">
        <f ca="1">LN(E249)</f>
        <v>9.7660545890317874</v>
      </c>
      <c r="V280" s="136">
        <f ca="1">LN(F249)</f>
        <v>9.847408155180867</v>
      </c>
    </row>
    <row r="281" spans="2:29">
      <c r="B281" s="192" t="s">
        <v>289</v>
      </c>
      <c r="C281" s="611">
        <f>IFERROR(EXP(SLOPE(S281:V281,$C$235:$F$235))-1,(IFERROR(EXP(SLOPE(T281:V281,$D$235:$F$235))-1,F281)))</f>
        <v>-1.8366583599828901E-2</v>
      </c>
      <c r="D281" s="612">
        <f>D252/C252 - 1</f>
        <v>3.7000552398958497E-2</v>
      </c>
      <c r="E281" s="612">
        <f>E252/D252 - 1</f>
        <v>-9.0308491898576482E-2</v>
      </c>
      <c r="F281" s="415">
        <f>F252/E252 - 1</f>
        <v>2.8473892273783274E-2</v>
      </c>
      <c r="R281" s="136" t="s">
        <v>423</v>
      </c>
      <c r="S281" s="136">
        <f>LN(C252)</f>
        <v>-2.7000734984092971</v>
      </c>
      <c r="T281" s="136">
        <f>LN(D252)</f>
        <v>-2.6637410364726</v>
      </c>
      <c r="U281" s="136">
        <f>LN(E252)</f>
        <v>-2.7583907755043859</v>
      </c>
      <c r="V281" s="136">
        <f>LN(F252)</f>
        <v>-2.7303147299900936</v>
      </c>
    </row>
    <row r="283" spans="2:29">
      <c r="V283" s="195" t="str">
        <f>$B$2</f>
        <v>INDUSTRY SUMMARY</v>
      </c>
      <c r="W283" s="126">
        <v>2010</v>
      </c>
      <c r="X283" s="126">
        <v>2011</v>
      </c>
      <c r="Y283" s="126">
        <v>2012</v>
      </c>
      <c r="Z283" s="126">
        <v>2013</v>
      </c>
      <c r="AA283" s="126">
        <v>2014</v>
      </c>
      <c r="AB283" s="126">
        <v>2015</v>
      </c>
      <c r="AC283" s="127">
        <v>2016</v>
      </c>
    </row>
    <row r="284" spans="2:29">
      <c r="B284" s="576" t="s">
        <v>290</v>
      </c>
      <c r="C284" s="572"/>
      <c r="D284" s="572"/>
      <c r="E284" s="572"/>
      <c r="F284" s="572"/>
      <c r="G284" s="572"/>
      <c r="H284" s="572"/>
      <c r="I284" s="573"/>
      <c r="V284" s="177" t="s">
        <v>280</v>
      </c>
      <c r="W284" s="150">
        <f>C286</f>
        <v>501901.29522602458</v>
      </c>
      <c r="X284" s="150">
        <f>D286</f>
        <v>531319.73926848639</v>
      </c>
      <c r="Y284" s="150"/>
      <c r="Z284" s="150"/>
      <c r="AA284" s="150"/>
      <c r="AB284" s="150"/>
      <c r="AC284" s="151"/>
    </row>
    <row r="285" spans="2:29">
      <c r="B285" s="195" t="str">
        <f>$B$2</f>
        <v>INDUSTRY SUMMARY</v>
      </c>
      <c r="C285" s="126">
        <v>2010</v>
      </c>
      <c r="D285" s="126">
        <v>2011</v>
      </c>
      <c r="E285" s="126">
        <v>2012</v>
      </c>
      <c r="F285" s="126">
        <v>2013</v>
      </c>
      <c r="G285" s="126">
        <v>2014</v>
      </c>
      <c r="H285" s="126">
        <v>2015</v>
      </c>
      <c r="I285" s="127">
        <v>2016</v>
      </c>
      <c r="V285" s="199" t="s">
        <v>277</v>
      </c>
      <c r="W285" s="150">
        <f t="shared" ref="W285:AA286" si="59">C287</f>
        <v>498994.72271058417</v>
      </c>
      <c r="X285" s="150">
        <f t="shared" si="59"/>
        <v>499130.07011028181</v>
      </c>
      <c r="Y285" s="150">
        <f t="shared" si="59"/>
        <v>528968.2540424671</v>
      </c>
      <c r="Z285" s="150">
        <f t="shared" si="59"/>
        <v>532552.05629315204</v>
      </c>
      <c r="AA285" s="150">
        <f t="shared" si="59"/>
        <v>542919.88808053581</v>
      </c>
      <c r="AB285" s="150"/>
      <c r="AC285" s="151"/>
    </row>
    <row r="286" spans="2:29">
      <c r="B286" s="177" t="s">
        <v>280</v>
      </c>
      <c r="C286" s="441">
        <f>SUM(Alpine:TPCL!C222)</f>
        <v>501901.29522602458</v>
      </c>
      <c r="D286" s="441">
        <f>SUM(Alpine:TPCL!D222)</f>
        <v>531319.73926848639</v>
      </c>
      <c r="E286" s="433"/>
      <c r="F286" s="433"/>
      <c r="G286" s="433"/>
      <c r="H286" s="433"/>
      <c r="I286" s="434"/>
      <c r="V286" s="199" t="s">
        <v>278</v>
      </c>
      <c r="W286" s="150"/>
      <c r="X286" s="150">
        <f t="shared" si="59"/>
        <v>587399.00425837131</v>
      </c>
      <c r="Y286" s="150">
        <f t="shared" si="59"/>
        <v>633819.89499842154</v>
      </c>
      <c r="Z286" s="150">
        <f t="shared" si="59"/>
        <v>625646.86271776306</v>
      </c>
      <c r="AA286" s="150">
        <f t="shared" si="59"/>
        <v>600990.36986110662</v>
      </c>
      <c r="AB286" s="150">
        <f>H288</f>
        <v>565733.86166450754</v>
      </c>
      <c r="AC286" s="151"/>
    </row>
    <row r="287" spans="2:29">
      <c r="B287" s="199" t="s">
        <v>277</v>
      </c>
      <c r="C287" s="441">
        <f>SUM(Alpine:TPCL!C223)</f>
        <v>498994.72271058417</v>
      </c>
      <c r="D287" s="441">
        <f>SUM(Alpine:TPCL!D223)</f>
        <v>499130.07011028181</v>
      </c>
      <c r="E287" s="441">
        <f>SUM(Alpine:TPCL!E223)</f>
        <v>528968.2540424671</v>
      </c>
      <c r="F287" s="441">
        <f>SUM(Alpine:TPCL!F223)</f>
        <v>532552.05629315204</v>
      </c>
      <c r="G287" s="441">
        <f>SUM(Alpine:TPCL!G223)</f>
        <v>542919.88808053581</v>
      </c>
      <c r="H287" s="433"/>
      <c r="I287" s="434"/>
      <c r="V287" s="200" t="s">
        <v>279</v>
      </c>
      <c r="W287" s="152"/>
      <c r="X287" s="152"/>
      <c r="Y287" s="152">
        <f>E289</f>
        <v>566726.88615071238</v>
      </c>
      <c r="Z287" s="152">
        <f>F289</f>
        <v>576734.85789121652</v>
      </c>
      <c r="AA287" s="152">
        <f>G289</f>
        <v>557400.35110285191</v>
      </c>
      <c r="AB287" s="152">
        <f>H289</f>
        <v>538147.63689741434</v>
      </c>
      <c r="AC287" s="153">
        <f>I289</f>
        <v>518446.10871021322</v>
      </c>
    </row>
    <row r="288" spans="2:29">
      <c r="B288" s="199" t="s">
        <v>278</v>
      </c>
      <c r="C288" s="433"/>
      <c r="D288" s="441">
        <f>SUM(Alpine:TPCL!D224)</f>
        <v>587399.00425837131</v>
      </c>
      <c r="E288" s="441">
        <f>SUM(Alpine:TPCL!E224)</f>
        <v>633819.89499842154</v>
      </c>
      <c r="F288" s="441">
        <f>SUM(Alpine:TPCL!F224)</f>
        <v>625646.86271776306</v>
      </c>
      <c r="G288" s="441">
        <f>SUM(Alpine:TPCL!G224)</f>
        <v>600990.36986110662</v>
      </c>
      <c r="H288" s="441">
        <f>SUM(Alpine:TPCL!H224)</f>
        <v>565733.86166450754</v>
      </c>
      <c r="I288" s="434"/>
    </row>
    <row r="289" spans="2:9">
      <c r="B289" s="200" t="s">
        <v>279</v>
      </c>
      <c r="C289" s="435"/>
      <c r="D289" s="435"/>
      <c r="E289" s="442">
        <f>SUM(Alpine:TPCL!E225)</f>
        <v>566726.88615071238</v>
      </c>
      <c r="F289" s="442">
        <f>SUM(Alpine:TPCL!F225)</f>
        <v>576734.85789121652</v>
      </c>
      <c r="G289" s="442">
        <f>SUM(Alpine:TPCL!G225)</f>
        <v>557400.35110285191</v>
      </c>
      <c r="H289" s="442">
        <f>SUM(Alpine:TPCL!H225)</f>
        <v>538147.63689741434</v>
      </c>
      <c r="I289" s="606">
        <f>SUM(Alpine:TPCL!I225)</f>
        <v>518446.10871021322</v>
      </c>
    </row>
    <row r="290" spans="2:9">
      <c r="C290" s="136"/>
      <c r="D290" s="136"/>
      <c r="E290" s="136"/>
      <c r="F290" s="136"/>
      <c r="G290" s="136"/>
      <c r="H290" s="136"/>
      <c r="I290" s="136"/>
    </row>
    <row r="291" spans="2:9">
      <c r="C291" s="136"/>
      <c r="D291" s="136"/>
      <c r="E291" s="136"/>
      <c r="F291" s="136"/>
      <c r="G291" s="136"/>
      <c r="H291" s="136"/>
      <c r="I291" s="136"/>
    </row>
    <row r="292" spans="2:9">
      <c r="B292" s="576" t="s">
        <v>291</v>
      </c>
      <c r="C292" s="577"/>
      <c r="D292" s="577"/>
      <c r="E292" s="577"/>
      <c r="F292" s="578"/>
      <c r="G292" s="136"/>
      <c r="H292" s="136"/>
      <c r="I292" s="136"/>
    </row>
    <row r="293" spans="2:9">
      <c r="B293" s="474" t="str">
        <f>$B$2</f>
        <v>INDUSTRY SUMMARY</v>
      </c>
      <c r="C293" s="475">
        <v>2008</v>
      </c>
      <c r="D293" s="475">
        <v>2009</v>
      </c>
      <c r="E293" s="475">
        <v>2010</v>
      </c>
      <c r="F293" s="476">
        <v>2011</v>
      </c>
    </row>
    <row r="294" spans="2:9">
      <c r="B294" s="199" t="s">
        <v>280</v>
      </c>
      <c r="C294" s="599">
        <f>AVERAGE(Alpine:TPCL!C230)</f>
        <v>214.39787611785715</v>
      </c>
      <c r="D294" s="599">
        <f>AVERAGE(Alpine:TPCL!D230)</f>
        <v>223.36605543103448</v>
      </c>
      <c r="E294" s="599">
        <f>AVERAGE(Alpine:TPCL!E230)</f>
        <v>170.65483759655174</v>
      </c>
      <c r="F294" s="600">
        <f>AVERAGE(Alpine:TPCL!F230)</f>
        <v>189.82731620689654</v>
      </c>
    </row>
    <row r="295" spans="2:9">
      <c r="B295" s="199" t="s">
        <v>292</v>
      </c>
      <c r="C295" s="599">
        <f>AVERAGE(Alpine:TPCL!C231)</f>
        <v>201.81854937500003</v>
      </c>
      <c r="D295" s="599">
        <f>AVERAGE(Alpine:TPCL!D231)</f>
        <v>191.69411764705885</v>
      </c>
      <c r="E295" s="599">
        <f>AVERAGE(Alpine:TPCL!E231)</f>
        <v>191.6970588235294</v>
      </c>
      <c r="F295" s="600">
        <f>AVERAGE(Alpine:TPCL!F231)</f>
        <v>195.20583529411766</v>
      </c>
    </row>
    <row r="296" spans="2:9">
      <c r="B296" s="199" t="s">
        <v>429</v>
      </c>
      <c r="C296" s="599">
        <f ca="1">AVERAGEIF('Industry calcs'!$D$262:$AF$262,"N",'Industry calcs'!$D$249:$AF$249)</f>
        <v>220.67559570624999</v>
      </c>
      <c r="D296" s="599">
        <f ca="1">AVERAGEIF('Industry calcs'!$D$262:$AF$262,"N",'Industry calcs'!$D$250:$AF$250)</f>
        <v>218.05225676470587</v>
      </c>
      <c r="E296" s="599">
        <f ca="1">AVERAGEIF('Industry calcs'!$D$262:$AF$262,"N",'Industry calcs'!$D$251:$AF$251)</f>
        <v>178.12505260588236</v>
      </c>
      <c r="F296" s="600">
        <f ca="1">AVERAGEIF('Industry calcs'!$D$262:$AF$262,"N",'Industry calcs'!$D$252:$AF$252)</f>
        <v>190.62067929411762</v>
      </c>
    </row>
    <row r="297" spans="2:9">
      <c r="B297" s="199" t="s">
        <v>430</v>
      </c>
      <c r="C297" s="599">
        <f ca="1">AVERAGEIF('Industry calcs'!$D$262:$AF$262,"Y",'Industry calcs'!$D$249:$AF$249)</f>
        <v>206.02758333333338</v>
      </c>
      <c r="D297" s="599">
        <f ca="1">AVERAGEIF('Industry calcs'!$D$262:$AF$262,"Y",'Industry calcs'!$D$250:$AF$250)</f>
        <v>230.89393687499998</v>
      </c>
      <c r="E297" s="599">
        <f ca="1">AVERAGEIF('Industry calcs'!$D$262:$AF$262,"Y",'Industry calcs'!$D$251:$AF$251)</f>
        <v>160.07203299999998</v>
      </c>
      <c r="F297" s="600">
        <f ca="1">AVERAGEIF('Industry calcs'!$D$262:$AF$262,"Y",'Industry calcs'!$D$252:$AF$252)</f>
        <v>188.70338516666666</v>
      </c>
    </row>
    <row r="298" spans="2:9">
      <c r="B298" s="208" t="s">
        <v>272</v>
      </c>
      <c r="C298" s="597">
        <f>'Industry calcs'!C28</f>
        <v>214.39787611785715</v>
      </c>
      <c r="D298" s="597">
        <f>'Industry calcs'!D28</f>
        <v>223.36605543103448</v>
      </c>
      <c r="E298" s="597">
        <f>'Industry calcs'!E28</f>
        <v>170.65483759655174</v>
      </c>
      <c r="F298" s="598">
        <f>'Industry calcs'!F28</f>
        <v>189.82731620689657</v>
      </c>
    </row>
    <row r="299" spans="2:9">
      <c r="B299" s="103"/>
    </row>
    <row r="300" spans="2:9">
      <c r="B300" s="128"/>
      <c r="C300" s="128"/>
      <c r="D300" s="128"/>
      <c r="E300" s="128"/>
      <c r="F300" s="128"/>
    </row>
    <row r="301" spans="2:9">
      <c r="B301" s="589" t="s">
        <v>293</v>
      </c>
      <c r="C301" s="590"/>
      <c r="D301" s="590"/>
      <c r="E301" s="590"/>
      <c r="F301" s="591"/>
    </row>
    <row r="302" spans="2:9">
      <c r="B302" s="592"/>
      <c r="C302" s="601">
        <v>2008</v>
      </c>
      <c r="D302" s="601">
        <v>2009</v>
      </c>
      <c r="E302" s="601">
        <v>2010</v>
      </c>
      <c r="F302" s="602">
        <v>2011</v>
      </c>
    </row>
    <row r="303" spans="2:9">
      <c r="B303" s="199" t="s">
        <v>280</v>
      </c>
      <c r="C303" s="599">
        <f>AVERAGE(Alpine:TPCL!C237)</f>
        <v>2.2133361725</v>
      </c>
      <c r="D303" s="599">
        <f>AVERAGE(Alpine:TPCL!D237)</f>
        <v>2.5370004117241378</v>
      </c>
      <c r="E303" s="599">
        <f>AVERAGE(Alpine:TPCL!E237)</f>
        <v>1.9844067431034487</v>
      </c>
      <c r="F303" s="600">
        <f>AVERAGE(Alpine:TPCL!F237)</f>
        <v>2.1560858624137933</v>
      </c>
    </row>
    <row r="304" spans="2:9">
      <c r="B304" s="199" t="s">
        <v>292</v>
      </c>
      <c r="C304" s="599">
        <f>AVERAGE(Alpine:TPCL!C238)</f>
        <v>2.6290473125</v>
      </c>
      <c r="D304" s="599">
        <f>AVERAGE(Alpine:TPCL!D238)</f>
        <v>2.5000588235294119</v>
      </c>
      <c r="E304" s="599">
        <f>AVERAGE(Alpine:TPCL!E238)</f>
        <v>2.5000588235294119</v>
      </c>
      <c r="F304" s="600">
        <f>AVERAGE(Alpine:TPCL!F238)</f>
        <v>2.6022705882352941</v>
      </c>
    </row>
    <row r="305" spans="2:6">
      <c r="B305" s="199" t="s">
        <v>429</v>
      </c>
      <c r="C305" s="599">
        <f ca="1">AVERAGEIF('Industry calcs'!$D$262:$AF$262,"N",'Industry calcs'!$D$253:$AF$253)</f>
        <v>2.2142696843750005</v>
      </c>
      <c r="D305" s="599">
        <f ca="1">AVERAGEIF('Industry calcs'!$D$262:$AF$262,"N",'Industry calcs'!$D$254:$AF$254)</f>
        <v>2.6848478770588233</v>
      </c>
      <c r="E305" s="599">
        <f ca="1">AVERAGEIF('Industry calcs'!$D$262:$AF$262,"N",'Industry calcs'!$D$255:$AF$255)</f>
        <v>1.9319064523529415</v>
      </c>
      <c r="F305" s="600">
        <f ca="1">AVERAGEIF('Industry calcs'!$D$262:$AF$262,"N",'Industry calcs'!$D$256:$AF$256)</f>
        <v>2.1609641335294119</v>
      </c>
    </row>
    <row r="306" spans="2:6">
      <c r="B306" s="170" t="s">
        <v>430</v>
      </c>
      <c r="C306" s="599">
        <f ca="1">AVERAGEIF('Industry calcs'!$D$262:$AF$262,"Y",'Industry calcs'!$D$253:$AF$253)</f>
        <v>2.2120914900000002</v>
      </c>
      <c r="D306" s="599">
        <f ca="1">AVERAGEIF('Industry calcs'!$D$262:$AF$262,"Y",'Industry calcs'!$D$254:$AF$254)</f>
        <v>2.3275498358333331</v>
      </c>
      <c r="E306" s="599">
        <f ca="1">AVERAGEIF('Industry calcs'!$D$262:$AF$262,"Y",'Industry calcs'!$D$255:$AF$255)</f>
        <v>2.0587821549999998</v>
      </c>
      <c r="F306" s="600">
        <f ca="1">AVERAGEIF('Industry calcs'!$D$262:$AF$262,"Y",'Industry calcs'!$D$256:$AF$256)</f>
        <v>2.1491749783333338</v>
      </c>
    </row>
    <row r="307" spans="2:6">
      <c r="B307" s="208" t="s">
        <v>272</v>
      </c>
      <c r="C307" s="596">
        <f>'Industry calcs'!C29</f>
        <v>2.2133361724999996</v>
      </c>
      <c r="D307" s="597">
        <f>'Industry calcs'!D29</f>
        <v>2.5370004117241378</v>
      </c>
      <c r="E307" s="597">
        <f>'Industry calcs'!E29</f>
        <v>1.984406743103448</v>
      </c>
      <c r="F307" s="598">
        <f>'Industry calcs'!F29</f>
        <v>2.1560858624137933</v>
      </c>
    </row>
    <row r="308" spans="2:6">
      <c r="C308" s="139"/>
    </row>
    <row r="309" spans="2:6">
      <c r="C309" s="139"/>
    </row>
    <row r="310" spans="2:6">
      <c r="B310" s="593" t="s">
        <v>450</v>
      </c>
      <c r="C310" s="594">
        <v>2008</v>
      </c>
      <c r="D310" s="572">
        <v>2009</v>
      </c>
      <c r="E310" s="572">
        <v>2010</v>
      </c>
      <c r="F310" s="573">
        <v>2011</v>
      </c>
    </row>
    <row r="311" spans="2:6">
      <c r="B311" s="170" t="s">
        <v>447</v>
      </c>
      <c r="C311" s="595">
        <f>QUARTILE(Alpine:TPCL!C230,0)</f>
        <v>16.935000000000002</v>
      </c>
      <c r="D311" s="409">
        <f>QUARTILE(Alpine:TPCL!D230,0)</f>
        <v>26.35</v>
      </c>
      <c r="E311" s="409">
        <f>QUARTILE(Alpine:TPCL!E230,0)</f>
        <v>29.991</v>
      </c>
      <c r="F311" s="503">
        <f>QUARTILE(Alpine:TPCL!F230,0)</f>
        <v>34.738355999999996</v>
      </c>
    </row>
    <row r="312" spans="2:6">
      <c r="B312" s="170" t="s">
        <v>452</v>
      </c>
      <c r="C312" s="595">
        <f>QUARTILE(Alpine:TPCL!C230,1)</f>
        <v>108.575</v>
      </c>
      <c r="D312" s="409">
        <f>QUARTILE(Alpine:TPCL!D230,1)</f>
        <v>115.81</v>
      </c>
      <c r="E312" s="409">
        <f>QUARTILE(Alpine:TPCL!E230,1)</f>
        <v>74.980100999999991</v>
      </c>
      <c r="F312" s="503">
        <f>QUARTILE(Alpine:TPCL!F230,1)</f>
        <v>111.54</v>
      </c>
    </row>
    <row r="313" spans="2:6">
      <c r="B313" s="170" t="s">
        <v>449</v>
      </c>
      <c r="C313" s="595">
        <f>QUARTILE(Alpine:TPCL!C230,2)</f>
        <v>153.80500000000001</v>
      </c>
      <c r="D313" s="409">
        <f>QUARTILE(Alpine:TPCL!D230,2)</f>
        <v>200.942508</v>
      </c>
      <c r="E313" s="409">
        <f>QUARTILE(Alpine:TPCL!E230,2)</f>
        <v>139.89975200000001</v>
      </c>
      <c r="F313" s="503">
        <f>QUARTILE(Alpine:TPCL!F230,2)</f>
        <v>177.40687600000001</v>
      </c>
    </row>
    <row r="314" spans="2:6">
      <c r="B314" s="170" t="s">
        <v>453</v>
      </c>
      <c r="C314" s="595">
        <f>QUARTILE(Alpine:TPCL!C230,3)</f>
        <v>254.57499999999999</v>
      </c>
      <c r="D314" s="409">
        <f>QUARTILE(Alpine:TPCL!D230,3)</f>
        <v>254.34</v>
      </c>
      <c r="E314" s="409">
        <f>QUARTILE(Alpine:TPCL!E230,3)</f>
        <v>279.3</v>
      </c>
      <c r="F314" s="503">
        <f>QUARTILE(Alpine:TPCL!F230,3)</f>
        <v>273.93</v>
      </c>
    </row>
    <row r="315" spans="2:6">
      <c r="B315" s="208" t="s">
        <v>448</v>
      </c>
      <c r="C315" s="596">
        <f>QUARTILE(Alpine:TPCL!C230,4)</f>
        <v>818.30200000000002</v>
      </c>
      <c r="D315" s="597">
        <f>QUARTILE(Alpine:TPCL!D230,4)</f>
        <v>915.15621999999996</v>
      </c>
      <c r="E315" s="597">
        <f>QUARTILE(Alpine:TPCL!E230,4)</f>
        <v>463.03188299999999</v>
      </c>
      <c r="F315" s="598">
        <f>QUARTILE(Alpine:TPCL!F230,4)</f>
        <v>440.017</v>
      </c>
    </row>
    <row r="316" spans="2:6">
      <c r="C316" s="139"/>
    </row>
    <row r="317" spans="2:6">
      <c r="C317" s="139"/>
    </row>
    <row r="318" spans="2:6">
      <c r="B318" s="593" t="s">
        <v>451</v>
      </c>
      <c r="C318" s="594">
        <v>2008</v>
      </c>
      <c r="D318" s="572">
        <v>2009</v>
      </c>
      <c r="E318" s="572">
        <v>2010</v>
      </c>
      <c r="F318" s="573">
        <v>2011</v>
      </c>
    </row>
    <row r="319" spans="2:6">
      <c r="B319" s="170" t="s">
        <v>447</v>
      </c>
      <c r="C319" s="595">
        <f>QUARTILE(Alpine:TPCL!C237,0)</f>
        <v>0.184</v>
      </c>
      <c r="D319" s="409">
        <f>QUARTILE(Alpine:TPCL!D237,0)</f>
        <v>0.38800000000000001</v>
      </c>
      <c r="E319" s="409">
        <f>QUARTILE(Alpine:TPCL!E237,0)</f>
        <v>0.56999999999999995</v>
      </c>
      <c r="F319" s="503">
        <f>QUARTILE(Alpine:TPCL!F237,0)</f>
        <v>0.53600000000000003</v>
      </c>
    </row>
    <row r="320" spans="2:6">
      <c r="B320" s="170" t="s">
        <v>452</v>
      </c>
      <c r="C320" s="595">
        <f>QUARTILE(Alpine:TPCL!C237,1)</f>
        <v>1.4327244699999999</v>
      </c>
      <c r="D320" s="409">
        <f>QUARTILE(Alpine:TPCL!D237,1)</f>
        <v>1.52</v>
      </c>
      <c r="E320" s="409">
        <f>QUARTILE(Alpine:TPCL!E237,1)</f>
        <v>1.34</v>
      </c>
      <c r="F320" s="503">
        <f>QUARTILE(Alpine:TPCL!F237,1)</f>
        <v>1.4785322299999999</v>
      </c>
    </row>
    <row r="321" spans="2:13">
      <c r="B321" s="170" t="s">
        <v>449</v>
      </c>
      <c r="C321" s="595">
        <f>QUARTILE(Alpine:TPCL!C237,2)</f>
        <v>1.7791999999999999</v>
      </c>
      <c r="D321" s="409">
        <f>QUARTILE(Alpine:TPCL!D237,2)</f>
        <v>2.0699540000000001</v>
      </c>
      <c r="E321" s="409">
        <f>QUARTILE(Alpine:TPCL!E237,2)</f>
        <v>2.02</v>
      </c>
      <c r="F321" s="503">
        <f>QUARTILE(Alpine:TPCL!F237,2)</f>
        <v>2.0700000000000003</v>
      </c>
    </row>
    <row r="322" spans="2:13">
      <c r="B322" s="170" t="s">
        <v>453</v>
      </c>
      <c r="C322" s="595">
        <f>QUARTILE(Alpine:TPCL!C237,3)</f>
        <v>2.7474999999999996</v>
      </c>
      <c r="D322" s="409">
        <f>QUARTILE(Alpine:TPCL!D237,3)</f>
        <v>3.0920000000000001</v>
      </c>
      <c r="E322" s="409">
        <f>QUARTILE(Alpine:TPCL!E237,3)</f>
        <v>2.4788800000000002</v>
      </c>
      <c r="F322" s="503">
        <f>QUARTILE(Alpine:TPCL!F237,3)</f>
        <v>2.84</v>
      </c>
    </row>
    <row r="323" spans="2:13">
      <c r="B323" s="208" t="s">
        <v>448</v>
      </c>
      <c r="C323" s="596">
        <f>QUARTILE(Alpine:TPCL!C237,4)</f>
        <v>6.3956900000000001</v>
      </c>
      <c r="D323" s="597">
        <f>QUARTILE(Alpine:TPCL!D237,4)</f>
        <v>10.88180624</v>
      </c>
      <c r="E323" s="597">
        <f>QUARTILE(Alpine:TPCL!E237,4)</f>
        <v>4.19263034</v>
      </c>
      <c r="F323" s="598">
        <f>QUARTILE(Alpine:TPCL!F237,4)</f>
        <v>4.9260000000000002</v>
      </c>
    </row>
    <row r="324" spans="2:13">
      <c r="C324" s="139"/>
    </row>
    <row r="325" spans="2:13">
      <c r="C325" s="139"/>
    </row>
    <row r="326" spans="2:13">
      <c r="C326" s="139"/>
    </row>
    <row r="327" spans="2:13">
      <c r="C327" s="139"/>
    </row>
    <row r="328" spans="2:13">
      <c r="C328" s="139"/>
    </row>
    <row r="329" spans="2:13">
      <c r="C329" s="139"/>
    </row>
    <row r="330" spans="2:13">
      <c r="C330" s="139"/>
    </row>
    <row r="332" spans="2:13">
      <c r="B332" s="758" t="s">
        <v>515</v>
      </c>
      <c r="C332" s="572">
        <v>2008</v>
      </c>
      <c r="D332" s="572">
        <v>2009</v>
      </c>
      <c r="E332" s="572">
        <v>2010</v>
      </c>
      <c r="F332" s="572">
        <v>2011</v>
      </c>
      <c r="G332" s="759" t="s">
        <v>516</v>
      </c>
    </row>
    <row r="333" spans="2:13">
      <c r="B333" s="162" t="s">
        <v>479</v>
      </c>
      <c r="C333" s="753">
        <f>SUMIF('FS (2011)'!$C$13:$C$244,C$332,'FS (2011)'!$I$13:$I$244)/1000000</f>
        <v>2.0064253659897919</v>
      </c>
      <c r="D333" s="753">
        <f>SUMIF('FS (2011)'!$C$13:$C$244,D$332,'FS (2011)'!$I$13:$I$244)/1000000</f>
        <v>2.0438279364547185</v>
      </c>
      <c r="E333" s="753">
        <f>SUMIF('FS (2011)'!$C$13:$C$244,E$332,'FS (2011)'!$I$13:$I$244)/1000000</f>
        <v>2.1055738850575301</v>
      </c>
      <c r="F333" s="753">
        <f>SUMIF('FS (2011)'!$C$13:$C$244,F$332,'FS (2011)'!$I$13:$I$244)/1000000</f>
        <v>2.1133572700264582</v>
      </c>
      <c r="G333" s="756">
        <f>EXP(SLOPE(J333:M333,$C$332:$F$332))-1</f>
        <v>1.8726466299773259E-2</v>
      </c>
      <c r="J333" s="136">
        <f>LN(C333)</f>
        <v>0.69635471391532022</v>
      </c>
      <c r="K333" s="136">
        <f t="shared" ref="K333:M333" si="60">LN(D333)</f>
        <v>0.71482448898146445</v>
      </c>
      <c r="L333" s="136">
        <f t="shared" si="60"/>
        <v>0.74458805945869289</v>
      </c>
      <c r="M333" s="136">
        <f t="shared" si="60"/>
        <v>0.74827780622782281</v>
      </c>
    </row>
    <row r="334" spans="2:13">
      <c r="B334" s="162" t="s">
        <v>480</v>
      </c>
      <c r="C334" s="753">
        <f>SUMIF('AV (2011)'!$C$11:$C$213,C$332,'AV (2011)'!$F$11:$F$213)/1000000</f>
        <v>8.0748117964841608</v>
      </c>
      <c r="D334" s="753">
        <f>SUMIF('AV (2011)'!$C$11:$C$213,D$332,'AV (2011)'!$F$11:$F$213)/1000000</f>
        <v>8.2899095304151658</v>
      </c>
      <c r="E334" s="753">
        <f>SUMIF('AV (2011)'!$C$11:$C$213,E$332,'AV (2011)'!$F$11:$F$213)/1000000</f>
        <v>8.5358143372874586</v>
      </c>
      <c r="F334" s="753">
        <f>SUMIF('AV (2011)'!$C$11:$C$213,F$332,'AV (2011)'!$F$11:$F$213)/1000000</f>
        <v>8.9751409510300721</v>
      </c>
      <c r="G334" s="756">
        <f t="shared" ref="G334:G341" si="61">EXP(SLOPE(J334:M334,$C$332:$F$332))-1</f>
        <v>3.5242701967604262E-2</v>
      </c>
      <c r="J334" s="136">
        <f t="shared" ref="J334:J341" si="62">LN(C334)</f>
        <v>2.0887495619001633</v>
      </c>
      <c r="K334" s="136">
        <f t="shared" ref="K334:K341" si="63">LN(D334)</f>
        <v>2.1150390559893641</v>
      </c>
      <c r="L334" s="136">
        <f t="shared" ref="L334:L341" si="64">LN(E334)</f>
        <v>2.1442707632108271</v>
      </c>
      <c r="M334" s="136">
        <f t="shared" ref="M334:M341" si="65">LN(F334)</f>
        <v>2.1944586391011702</v>
      </c>
    </row>
    <row r="335" spans="2:13">
      <c r="B335" s="162" t="s">
        <v>481</v>
      </c>
      <c r="C335" s="754">
        <f>SUMIF('FS (2011)'!$C$13:$C$244,C$332,'FS (2011)'!$S$13:$S$244)/1000000</f>
        <v>0.42894954896324594</v>
      </c>
      <c r="D335" s="754">
        <f>SUMIF('FS (2011)'!$C$13:$C$244,D$332,'FS (2011)'!$S$13:$S$244)/1000000</f>
        <v>0.43287296265245367</v>
      </c>
      <c r="E335" s="754">
        <f>SUMIF('FS (2011)'!$C$13:$C$244,E$332,'FS (2011)'!$S$13:$S$244)/1000000</f>
        <v>0.4489606150280509</v>
      </c>
      <c r="F335" s="754">
        <f>SUMIF('FS (2011)'!$C$13:$C$244,F$332,'FS (2011)'!$S$13:$S$244)/1000000</f>
        <v>0.45400745952269145</v>
      </c>
      <c r="G335" s="756">
        <f t="shared" si="61"/>
        <v>2.0896724228364194E-2</v>
      </c>
      <c r="J335" s="136">
        <f t="shared" si="62"/>
        <v>-0.84641596845399203</v>
      </c>
      <c r="K335" s="136">
        <f t="shared" si="63"/>
        <v>-0.83731098281996863</v>
      </c>
      <c r="L335" s="136">
        <f t="shared" si="64"/>
        <v>-0.80082011217399773</v>
      </c>
      <c r="M335" s="136">
        <f t="shared" si="65"/>
        <v>-0.78964165040904977</v>
      </c>
    </row>
    <row r="336" spans="2:13">
      <c r="B336" s="162" t="s">
        <v>482</v>
      </c>
      <c r="C336" s="754">
        <f>SUMIF('FS (2011)'!$C$13:$C$244,C$332,'FS (2011)'!$AG$13:$AG$244)/1000000+SUMIF('FS (2011)'!$C$13:$C$244,C$332,'FS (2011)'!$AH$13:$AH$244)/1000000</f>
        <v>0.54263198300642401</v>
      </c>
      <c r="D336" s="754">
        <f>SUMIF('FS (2011)'!$C$13:$C$244,D$332,'FS (2011)'!$AG$13:$AG$244)/1000000+SUMIF('FS (2011)'!$C$13:$C$244,D$332,'FS (2011)'!$AH$13:$AH$244)/1000000</f>
        <v>0.57769918874320814</v>
      </c>
      <c r="E336" s="754">
        <f>SUMIF('FS (2011)'!$C$13:$C$244,E$332,'FS (2011)'!$AG$13:$AG$244)/1000000+SUMIF('FS (2011)'!$C$13:$C$244,E$332,'FS (2011)'!$AH$13:$AH$244)/1000000</f>
        <v>0.5411168620425103</v>
      </c>
      <c r="F336" s="754">
        <f>SUMIF('FS (2011)'!$C$13:$C$244,F$332,'FS (2011)'!$AG$13:$AG$244)/1000000+SUMIF('FS (2011)'!$C$13:$C$244,F$332,'FS (2011)'!$AH$13:$AH$244)/1000000</f>
        <v>0.58516811855640261</v>
      </c>
      <c r="G336" s="756">
        <f t="shared" si="61"/>
        <v>1.6228830335803579E-2</v>
      </c>
      <c r="J336" s="136">
        <f t="shared" si="62"/>
        <v>-0.61132393650913375</v>
      </c>
      <c r="K336" s="136">
        <f t="shared" si="63"/>
        <v>-0.54870198048323549</v>
      </c>
      <c r="L336" s="136">
        <f t="shared" si="64"/>
        <v>-0.61412001229355861</v>
      </c>
      <c r="M336" s="136">
        <f t="shared" si="65"/>
        <v>-0.53585609088892339</v>
      </c>
    </row>
    <row r="337" spans="2:13">
      <c r="B337" s="162" t="s">
        <v>258</v>
      </c>
      <c r="C337" s="754">
        <f>SUMIF('FS (2011)'!$C$13:$C$244,C$332,'FS (2011)'!$AA$13:$AA$244)/1000000</f>
        <v>0.9303701456957314</v>
      </c>
      <c r="D337" s="754">
        <f>SUMIF('FS (2011)'!$C$13:$C$244,D$332,'FS (2011)'!$AA$13:$AA$244)/1000000</f>
        <v>0.90896660227581838</v>
      </c>
      <c r="E337" s="754">
        <f>SUMIF('FS (2011)'!$C$13:$C$244,E$332,'FS (2011)'!$AA$13:$AA$244)/1000000</f>
        <v>0.81519498293834691</v>
      </c>
      <c r="F337" s="754">
        <f>SUMIF('FS (2011)'!$C$13:$C$244,F$332,'FS (2011)'!$AA$13:$AA$244)/1000000</f>
        <v>0.99351742295391676</v>
      </c>
      <c r="G337" s="756">
        <f t="shared" si="61"/>
        <v>8.8515687085133354E-3</v>
      </c>
      <c r="J337" s="136">
        <f t="shared" si="62"/>
        <v>-7.2172765893820989E-2</v>
      </c>
      <c r="K337" s="136">
        <f t="shared" si="63"/>
        <v>-9.5446926650348415E-2</v>
      </c>
      <c r="L337" s="136">
        <f t="shared" si="64"/>
        <v>-0.20432795148614855</v>
      </c>
      <c r="M337" s="136">
        <f t="shared" si="65"/>
        <v>-6.5036801999828111E-3</v>
      </c>
    </row>
    <row r="338" spans="2:13">
      <c r="B338" s="162" t="s">
        <v>483</v>
      </c>
      <c r="C338" s="17">
        <f>SUMIF('MP (2011)'!$C$14:$C$245,C$332,'MP (2011)'!$M$14:$M$245)</f>
        <v>30542.899154000006</v>
      </c>
      <c r="D338" s="17">
        <f>SUMIF('MP (2011)'!$C$14:$C$245,D$332,'MP (2011)'!$M$14:$M$245)</f>
        <v>29900.958245999995</v>
      </c>
      <c r="E338" s="17">
        <f>SUMIF('MP (2011)'!$C$14:$C$245,E$332,'MP (2011)'!$M$14:$M$245)</f>
        <v>31041.25404</v>
      </c>
      <c r="F338" s="17">
        <f>SUMIF('MP (2011)'!$C$14:$C$245,F$332,'MP (2011)'!$M$14:$M$245)</f>
        <v>30945.748109</v>
      </c>
      <c r="G338" s="756">
        <f t="shared" si="61"/>
        <v>7.703190378664404E-3</v>
      </c>
      <c r="J338" s="136">
        <f t="shared" si="62"/>
        <v>10.326887503998581</v>
      </c>
      <c r="K338" s="136">
        <f t="shared" si="63"/>
        <v>10.305645807226444</v>
      </c>
      <c r="L338" s="136">
        <f t="shared" si="64"/>
        <v>10.343072374254263</v>
      </c>
      <c r="M338" s="136">
        <f t="shared" si="65"/>
        <v>10.339990889321538</v>
      </c>
    </row>
    <row r="339" spans="2:13">
      <c r="B339" s="162" t="s">
        <v>484</v>
      </c>
      <c r="C339" s="17">
        <f>SUMIF('MP (2011)'!$C$14:$C$245,C$332,'MP (2011)'!$L$14:$L$245)</f>
        <v>6132.9930299999996</v>
      </c>
      <c r="D339" s="17">
        <f>SUMIF('MP (2011)'!$C$14:$C$245,D$332,'MP (2011)'!$L$14:$L$245)</f>
        <v>6121.8312799999994</v>
      </c>
      <c r="E339" s="17">
        <f>SUMIF('MP (2011)'!$C$14:$C$245,E$332,'MP (2011)'!$L$14:$L$245)</f>
        <v>6320.0429999999978</v>
      </c>
      <c r="F339" s="17">
        <f>SUMIF('MP (2011)'!$C$14:$C$245,F$332,'MP (2011)'!$L$14:$L$245)</f>
        <v>6253.2476999999999</v>
      </c>
      <c r="G339" s="756">
        <f t="shared" si="61"/>
        <v>9.0526237038082158E-3</v>
      </c>
      <c r="J339" s="136">
        <f t="shared" si="62"/>
        <v>8.7214381691505292</v>
      </c>
      <c r="K339" s="136">
        <f t="shared" si="63"/>
        <v>8.7196165595045461</v>
      </c>
      <c r="L339" s="136">
        <f t="shared" si="64"/>
        <v>8.7514812909152262</v>
      </c>
      <c r="M339" s="136">
        <f t="shared" si="65"/>
        <v>8.7408562397684904</v>
      </c>
    </row>
    <row r="340" spans="2:13">
      <c r="B340" s="162" t="s">
        <v>485</v>
      </c>
      <c r="C340" s="17">
        <f>SUMIF('MP (2011)'!$C$14:$C$245,C$332,'MP (2011)'!$H$14:$H$245)</f>
        <v>145010.53383</v>
      </c>
      <c r="D340" s="17">
        <f>SUMIF('MP (2011)'!$C$14:$C$245,D$332,'MP (2011)'!$H$14:$H$245)</f>
        <v>147253.24801999997</v>
      </c>
      <c r="E340" s="17">
        <f>SUMIF('MP (2011)'!$C$14:$C$245,E$332,'MP (2011)'!$H$14:$H$245)</f>
        <v>148767.99510999999</v>
      </c>
      <c r="F340" s="17">
        <f>SUMIF('MP (2011)'!$C$14:$C$245,F$332,'MP (2011)'!$H$14:$H$245)</f>
        <v>149569.80215999999</v>
      </c>
      <c r="G340" s="756">
        <f t="shared" si="61"/>
        <v>1.0363789441316662E-2</v>
      </c>
      <c r="J340" s="136">
        <f t="shared" si="62"/>
        <v>11.884561665867487</v>
      </c>
      <c r="K340" s="136">
        <f t="shared" si="63"/>
        <v>11.899909159131344</v>
      </c>
      <c r="L340" s="136">
        <f t="shared" si="64"/>
        <v>11.910143291620338</v>
      </c>
      <c r="M340" s="136">
        <f t="shared" si="65"/>
        <v>11.915518466927352</v>
      </c>
    </row>
    <row r="341" spans="2:13">
      <c r="B341" s="705" t="s">
        <v>486</v>
      </c>
      <c r="C341" s="755">
        <f>SUMIF('MP (2011)'!$C$14:$C$245,C$332,'MP (2011)'!$O$14:$O$245)/1000000</f>
        <v>1.950455</v>
      </c>
      <c r="D341" s="755">
        <f>SUMIF('MP (2011)'!$C$14:$C$245,D$332,'MP (2011)'!$O$14:$O$245)/1000000</f>
        <v>1.979783064</v>
      </c>
      <c r="E341" s="755">
        <f>SUMIF('MP (2011)'!$C$14:$C$245,E$332,'MP (2011)'!$O$14:$O$245)/1000000</f>
        <v>1.997017</v>
      </c>
      <c r="F341" s="755">
        <f>SUMIF('MP (2011)'!$C$14:$C$245,F$332,'MP (2011)'!$O$14:$O$245)/1000000</f>
        <v>2.0086750000000002</v>
      </c>
      <c r="G341" s="757">
        <f t="shared" si="61"/>
        <v>9.737620901708377E-3</v>
      </c>
      <c r="J341" s="136">
        <f t="shared" si="62"/>
        <v>0.66806267869100044</v>
      </c>
      <c r="K341" s="136">
        <f t="shared" si="63"/>
        <v>0.68298727506754664</v>
      </c>
      <c r="L341" s="136">
        <f t="shared" si="64"/>
        <v>0.69165456716659846</v>
      </c>
      <c r="M341" s="136">
        <f t="shared" si="65"/>
        <v>0.69747530072040842</v>
      </c>
    </row>
  </sheetData>
  <sheetProtection password="80F5" sheet="1" objects="1" scenarios="1"/>
  <sortState ref="P502:Q530">
    <sortCondition descending="1" ref="Q502:Q530"/>
  </sortState>
  <pageMargins left="0.7" right="0.7" top="0.75" bottom="0.75" header="0.3" footer="0.3"/>
  <pageSetup paperSize="9" scale="95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cols>
    <col min="1" max="1" width="26.7109375" bestFit="1" customWidth="1"/>
  </cols>
  <sheetData>
    <row r="1" spans="1:1">
      <c r="A1" s="884" t="s">
        <v>559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 filterMode="1">
    <tabColor rgb="FF00B050"/>
  </sheetPr>
  <dimension ref="A2:AH274"/>
  <sheetViews>
    <sheetView showGridLines="0" zoomScale="70" zoomScaleNormal="70" workbookViewId="0">
      <pane xSplit="3" ySplit="12" topLeftCell="D13" activePane="bottomRight" state="frozen"/>
      <selection activeCell="Q270" sqref="Q270"/>
      <selection pane="topRight" activeCell="Q270" sqref="Q270"/>
      <selection pane="bottomLeft" activeCell="Q270" sqref="Q270"/>
      <selection pane="bottomRight"/>
    </sheetView>
  </sheetViews>
  <sheetFormatPr defaultColWidth="9.140625" defaultRowHeight="15"/>
  <cols>
    <col min="1" max="1" width="5.85546875" style="239" customWidth="1"/>
    <col min="2" max="2" width="14.7109375" style="259" customWidth="1"/>
    <col min="3" max="3" width="12.28515625" style="239" customWidth="1"/>
    <col min="4" max="4" width="14.28515625" style="239" customWidth="1"/>
    <col min="5" max="5" width="13.42578125" style="241" customWidth="1"/>
    <col min="6" max="6" width="17.85546875" style="241" customWidth="1"/>
    <col min="7" max="7" width="16.28515625" style="2" customWidth="1"/>
    <col min="8" max="8" width="14.5703125" style="1" customWidth="1"/>
    <col min="9" max="9" width="16.28515625" style="4" customWidth="1"/>
    <col min="10" max="10" width="16.7109375" style="4" customWidth="1"/>
    <col min="11" max="11" width="16.7109375" style="1" customWidth="1"/>
    <col min="12" max="12" width="11.7109375" style="1" customWidth="1"/>
    <col min="13" max="13" width="14.7109375" style="1" customWidth="1"/>
    <col min="14" max="14" width="13.42578125" style="1" customWidth="1"/>
    <col min="15" max="15" width="16.28515625" style="6" customWidth="1"/>
    <col min="16" max="16" width="16.5703125" style="1" customWidth="1"/>
    <col min="17" max="17" width="15.28515625" style="1" customWidth="1"/>
    <col min="18" max="18" width="10.42578125" style="1" customWidth="1"/>
    <col min="19" max="19" width="16.28515625" style="4" customWidth="1"/>
    <col min="20" max="20" width="15.28515625" style="2" customWidth="1"/>
    <col min="21" max="21" width="16.7109375" style="2" customWidth="1"/>
    <col min="22" max="22" width="12.7109375" style="6" customWidth="1"/>
    <col min="23" max="23" width="2.5703125" style="6" customWidth="1"/>
    <col min="24" max="24" width="13.5703125" style="6" customWidth="1"/>
    <col min="25" max="25" width="18.85546875" style="6" customWidth="1"/>
    <col min="26" max="26" width="19.140625" style="6" customWidth="1"/>
    <col min="27" max="27" width="29.7109375" style="2" customWidth="1"/>
    <col min="28" max="28" width="18.85546875" style="6" customWidth="1"/>
    <col min="29" max="29" width="13.42578125" style="6" customWidth="1"/>
    <col min="30" max="30" width="15.7109375" style="6" customWidth="1"/>
    <col min="31" max="31" width="19.140625" style="6" customWidth="1"/>
    <col min="32" max="32" width="13.42578125" style="6" customWidth="1"/>
    <col min="33" max="33" width="17.140625" style="241" customWidth="1"/>
    <col min="34" max="34" width="16.28515625" style="239" customWidth="1"/>
    <col min="35" max="35" width="9" style="239" customWidth="1"/>
    <col min="36" max="38" width="9.140625" style="239"/>
    <col min="39" max="39" width="9" style="239" customWidth="1"/>
    <col min="40" max="40" width="9.140625" style="239"/>
    <col min="41" max="41" width="9" style="239" customWidth="1"/>
    <col min="42" max="47" width="9.140625" style="239"/>
    <col min="48" max="48" width="12.140625" style="239" customWidth="1"/>
    <col min="49" max="49" width="20" style="239" customWidth="1"/>
    <col min="50" max="52" width="9.140625" style="239"/>
    <col min="53" max="53" width="9" style="239" customWidth="1"/>
    <col min="54" max="62" width="9.140625" style="239"/>
    <col min="63" max="63" width="9" style="239" customWidth="1"/>
    <col min="64" max="71" width="9.140625" style="239"/>
    <col min="72" max="72" width="11.85546875" style="239" customWidth="1"/>
    <col min="73" max="73" width="9" style="239" customWidth="1"/>
    <col min="74" max="16384" width="9.140625" style="239"/>
  </cols>
  <sheetData>
    <row r="2" spans="1:34" ht="15.75">
      <c r="B2" s="240" t="s">
        <v>335</v>
      </c>
    </row>
    <row r="4" spans="1:34">
      <c r="B4" s="242" t="s">
        <v>337</v>
      </c>
    </row>
    <row r="5" spans="1:34">
      <c r="B5" s="243" t="s">
        <v>336</v>
      </c>
    </row>
    <row r="6" spans="1:34">
      <c r="B6" s="243" t="s">
        <v>332</v>
      </c>
    </row>
    <row r="7" spans="1:34">
      <c r="B7" s="243" t="s">
        <v>333</v>
      </c>
    </row>
    <row r="8" spans="1:34">
      <c r="B8" s="243" t="s">
        <v>334</v>
      </c>
    </row>
    <row r="9" spans="1:34">
      <c r="B9" s="243"/>
    </row>
    <row r="10" spans="1:34" s="186" customFormat="1" ht="28.15" customHeight="1">
      <c r="B10" s="244"/>
      <c r="C10" s="245"/>
      <c r="D10" s="886" t="s">
        <v>343</v>
      </c>
      <c r="E10" s="886"/>
      <c r="F10" s="886"/>
      <c r="G10" s="886"/>
      <c r="H10" s="886"/>
      <c r="I10" s="886"/>
      <c r="J10" s="886"/>
      <c r="K10" s="886"/>
      <c r="L10" s="886"/>
      <c r="M10" s="886"/>
      <c r="N10" s="886"/>
      <c r="O10" s="886"/>
      <c r="P10" s="886"/>
      <c r="Q10" s="886"/>
      <c r="R10" s="886"/>
      <c r="S10" s="886"/>
      <c r="T10" s="886"/>
      <c r="U10" s="886"/>
      <c r="V10" s="886"/>
      <c r="W10" s="886"/>
      <c r="X10" s="886"/>
      <c r="Y10" s="886"/>
      <c r="Z10" s="886"/>
      <c r="AA10" s="886"/>
      <c r="AB10" s="887" t="s">
        <v>342</v>
      </c>
      <c r="AC10" s="887"/>
      <c r="AD10" s="887"/>
      <c r="AE10" s="887"/>
      <c r="AF10" s="887"/>
      <c r="AG10" s="887"/>
      <c r="AH10" s="887"/>
    </row>
    <row r="11" spans="1:34" s="102" customFormat="1" ht="28.9" customHeight="1">
      <c r="A11" s="246"/>
      <c r="B11" s="170"/>
      <c r="C11" s="121"/>
      <c r="D11" s="889" t="s">
        <v>105</v>
      </c>
      <c r="E11" s="889"/>
      <c r="F11" s="889"/>
      <c r="G11" s="889"/>
      <c r="H11" s="889"/>
      <c r="I11" s="889"/>
      <c r="J11" s="567" t="s">
        <v>106</v>
      </c>
      <c r="K11" s="247"/>
      <c r="L11" s="247"/>
      <c r="M11" s="247"/>
      <c r="N11" s="247"/>
      <c r="O11" s="22"/>
      <c r="P11" s="247"/>
      <c r="Q11" s="247"/>
      <c r="R11" s="248"/>
      <c r="S11" s="247"/>
      <c r="T11" s="247"/>
      <c r="U11" s="567"/>
      <c r="V11" s="19" t="s">
        <v>17</v>
      </c>
      <c r="W11" s="121"/>
      <c r="X11" s="890" t="s">
        <v>144</v>
      </c>
      <c r="Y11" s="890"/>
      <c r="Z11" s="890"/>
      <c r="AA11" s="21" t="s">
        <v>341</v>
      </c>
      <c r="AB11" s="888" t="s">
        <v>107</v>
      </c>
      <c r="AC11" s="888"/>
      <c r="AD11" s="888"/>
      <c r="AE11" s="888"/>
      <c r="AF11" s="888"/>
      <c r="AG11" s="888"/>
      <c r="AH11" s="888"/>
    </row>
    <row r="12" spans="1:34" s="254" customFormat="1" ht="72" customHeight="1">
      <c r="A12" s="249"/>
      <c r="B12" s="250" t="s">
        <v>28</v>
      </c>
      <c r="C12" s="251" t="s">
        <v>139</v>
      </c>
      <c r="D12" s="252" t="s">
        <v>0</v>
      </c>
      <c r="E12" s="11" t="s">
        <v>1</v>
      </c>
      <c r="F12" s="253" t="s">
        <v>2</v>
      </c>
      <c r="G12" s="13" t="s">
        <v>338</v>
      </c>
      <c r="H12" s="14" t="s">
        <v>4</v>
      </c>
      <c r="I12" s="11" t="s">
        <v>5</v>
      </c>
      <c r="J12" s="11" t="s">
        <v>6</v>
      </c>
      <c r="K12" s="14" t="s">
        <v>7</v>
      </c>
      <c r="L12" s="14" t="s">
        <v>8</v>
      </c>
      <c r="M12" s="14" t="s">
        <v>9</v>
      </c>
      <c r="N12" s="14" t="s">
        <v>10</v>
      </c>
      <c r="O12" s="12" t="s">
        <v>11</v>
      </c>
      <c r="P12" s="14" t="s">
        <v>12</v>
      </c>
      <c r="Q12" s="14" t="s">
        <v>339</v>
      </c>
      <c r="R12" s="14" t="s">
        <v>13</v>
      </c>
      <c r="S12" s="11" t="s">
        <v>14</v>
      </c>
      <c r="T12" s="13" t="s">
        <v>15</v>
      </c>
      <c r="U12" s="13" t="s">
        <v>16</v>
      </c>
      <c r="V12" s="12" t="s">
        <v>17</v>
      </c>
      <c r="W12" s="12"/>
      <c r="X12" s="12" t="s">
        <v>18</v>
      </c>
      <c r="Y12" s="12" t="s">
        <v>19</v>
      </c>
      <c r="Z12" s="12" t="s">
        <v>20</v>
      </c>
      <c r="AA12" s="13" t="s">
        <v>340</v>
      </c>
      <c r="AB12" s="12" t="s">
        <v>21</v>
      </c>
      <c r="AC12" s="12" t="s">
        <v>22</v>
      </c>
      <c r="AD12" s="12" t="s">
        <v>23</v>
      </c>
      <c r="AE12" s="12" t="s">
        <v>24</v>
      </c>
      <c r="AF12" s="12" t="s">
        <v>25</v>
      </c>
      <c r="AG12" s="253" t="s">
        <v>26</v>
      </c>
      <c r="AH12" s="253" t="s">
        <v>27</v>
      </c>
    </row>
    <row r="13" spans="1:34" s="7" customFormat="1" ht="15" hidden="1" customHeight="1">
      <c r="A13" s="246">
        <f>References!C258</f>
        <v>1</v>
      </c>
      <c r="B13" s="255" t="s">
        <v>29</v>
      </c>
      <c r="C13" s="121">
        <v>2004</v>
      </c>
      <c r="D13" s="17">
        <f>'FS (nominal)'!D14*CPI!$I$30</f>
        <v>30456.967174630285</v>
      </c>
      <c r="E13" s="15">
        <f>'FS (nominal)'!E14*CPI!$I$30</f>
        <v>30456.967174630285</v>
      </c>
      <c r="F13" s="15">
        <f>'FS (nominal)'!F14*CPI!$I$30</f>
        <v>0</v>
      </c>
      <c r="G13" s="15">
        <f>'FS (nominal)'!G14*CPI!$I$30</f>
        <v>1188.7639364929489</v>
      </c>
      <c r="H13" s="17">
        <f>'FS (nominal)'!H14*CPI!$I$30</f>
        <v>2342.9579949403696</v>
      </c>
      <c r="I13" s="15">
        <f>'FS (nominal)'!I14*CPI!$I$30</f>
        <v>33988.689106063604</v>
      </c>
      <c r="J13" s="15">
        <f>'FS (nominal)'!J14*CPI!$I$30</f>
        <v>9114.5839214060579</v>
      </c>
      <c r="K13" s="17">
        <f>'FS (nominal)'!K14*CPI!$I$30</f>
        <v>0</v>
      </c>
      <c r="L13" s="17">
        <f>'FS (nominal)'!L14*CPI!$I$30</f>
        <v>0</v>
      </c>
      <c r="M13" s="17">
        <f>'FS (nominal)'!M14*CPI!$I$30</f>
        <v>0</v>
      </c>
      <c r="N13" s="17">
        <f>'FS (nominal)'!N14*CPI!$I$30</f>
        <v>0</v>
      </c>
      <c r="O13" s="17">
        <f>'FS (nominal)'!O14*CPI!$I$30</f>
        <v>0</v>
      </c>
      <c r="P13" s="17">
        <f>'FS (nominal)'!P14*CPI!$I$30</f>
        <v>0</v>
      </c>
      <c r="Q13" s="17">
        <f>'FS (nominal)'!Q14*CPI!$I$30</f>
        <v>0</v>
      </c>
      <c r="R13" s="17">
        <f>'FS (nominal)'!R14*CPI!$I$30</f>
        <v>0</v>
      </c>
      <c r="S13" s="15">
        <f>'FS (nominal)'!S14*CPI!$I$30</f>
        <v>15088.295805304153</v>
      </c>
      <c r="T13" s="15">
        <f>'FS (nominal)'!T14*CPI!$I$30</f>
        <v>18900.39330075945</v>
      </c>
      <c r="U13" s="15">
        <f>'FS (nominal)'!U14*CPI!$I$30</f>
        <v>3900.085643286508</v>
      </c>
      <c r="V13" s="15">
        <f>'FS (nominal)'!V14*CPI!$I$30</f>
        <v>0</v>
      </c>
      <c r="W13" s="17"/>
      <c r="X13" s="17">
        <f>'FS (nominal)'!W14*CPI!$I$30</f>
        <v>4376.9550269284773</v>
      </c>
      <c r="Y13" s="17">
        <f>'FS (nominal)'!X14*CPI!$I$30</f>
        <v>0</v>
      </c>
      <c r="Z13" s="17">
        <f>'FS (nominal)'!Y14*CPI!$I$30</f>
        <v>0</v>
      </c>
      <c r="AA13" s="15">
        <f>'FS (nominal)'!Z14*CPI!$I$30</f>
        <v>10623.352630544465</v>
      </c>
      <c r="AB13" s="17">
        <f>'FS (nominal)'!AA14*CPI!$I$30</f>
        <v>0</v>
      </c>
      <c r="AC13" s="17">
        <f>'FS (nominal)'!AB14*CPI!$I$30</f>
        <v>0</v>
      </c>
      <c r="AD13" s="17">
        <f>'FS (nominal)'!AC14*CPI!$I$30</f>
        <v>0</v>
      </c>
      <c r="AE13" s="17">
        <f>'FS (nominal)'!AD14*CPI!$I$30</f>
        <v>0</v>
      </c>
      <c r="AF13" s="17">
        <f>'FS (nominal)'!AE14*CPI!$I$30</f>
        <v>0</v>
      </c>
      <c r="AG13" s="15">
        <f>'FS (nominal)'!AF14*CPI!$I$30</f>
        <v>0</v>
      </c>
      <c r="AH13" s="18">
        <f>'FS (nominal)'!AG14*CPI!$I$30</f>
        <v>0</v>
      </c>
    </row>
    <row r="14" spans="1:34" s="7" customFormat="1" ht="15" hidden="1" customHeight="1">
      <c r="A14" s="246">
        <f>References!D258</f>
        <v>2</v>
      </c>
      <c r="B14" s="255" t="s">
        <v>29</v>
      </c>
      <c r="C14" s="121">
        <v>2005</v>
      </c>
      <c r="D14" s="17">
        <f>'FS (nominal)'!D15*CPI!$I$34</f>
        <v>29211.242059332442</v>
      </c>
      <c r="E14" s="15">
        <f>'FS (nominal)'!E15*CPI!$I$34</f>
        <v>29211.242059332442</v>
      </c>
      <c r="F14" s="15">
        <f>'FS (nominal)'!F15*CPI!$I$34</f>
        <v>0</v>
      </c>
      <c r="G14" s="15">
        <f>'FS (nominal)'!G15*CPI!$I$34</f>
        <v>793.58817239421444</v>
      </c>
      <c r="H14" s="17">
        <f>'FS (nominal)'!H15*CPI!$I$34</f>
        <v>1970.6729378900886</v>
      </c>
      <c r="I14" s="15">
        <f>'FS (nominal)'!I15*CPI!$I$34</f>
        <v>31975.503169616746</v>
      </c>
      <c r="J14" s="15">
        <f>'FS (nominal)'!J15*CPI!$I$34</f>
        <v>10045.978217713839</v>
      </c>
      <c r="K14" s="17">
        <f>'FS (nominal)'!K15*CPI!$I$34</f>
        <v>0</v>
      </c>
      <c r="L14" s="17">
        <f>'FS (nominal)'!L15*CPI!$I$34</f>
        <v>0</v>
      </c>
      <c r="M14" s="17">
        <f>'FS (nominal)'!M15*CPI!$I$34</f>
        <v>0</v>
      </c>
      <c r="N14" s="17">
        <f>'FS (nominal)'!N15*CPI!$I$34</f>
        <v>0</v>
      </c>
      <c r="O14" s="17">
        <f>'FS (nominal)'!O15*CPI!$I$34</f>
        <v>0</v>
      </c>
      <c r="P14" s="17">
        <f>'FS (nominal)'!P15*CPI!$I$34</f>
        <v>0</v>
      </c>
      <c r="Q14" s="17">
        <f>'FS (nominal)'!Q15*CPI!$I$34</f>
        <v>0</v>
      </c>
      <c r="R14" s="17">
        <f>'FS (nominal)'!R15*CPI!$I$34</f>
        <v>0</v>
      </c>
      <c r="S14" s="15">
        <f>'FS (nominal)'!S15*CPI!$I$34</f>
        <v>15505.808103420666</v>
      </c>
      <c r="T14" s="15">
        <f>'FS (nominal)'!T15*CPI!$I$34</f>
        <v>16469.69506619608</v>
      </c>
      <c r="U14" s="15">
        <f>'FS (nominal)'!U15*CPI!$I$34</f>
        <v>4251.344860753803</v>
      </c>
      <c r="V14" s="15">
        <f>'FS (nominal)'!V15*CPI!$I$34</f>
        <v>0</v>
      </c>
      <c r="W14" s="17"/>
      <c r="X14" s="17">
        <f>'FS (nominal)'!W15*CPI!$I$34</f>
        <v>4927.9431109349616</v>
      </c>
      <c r="Y14" s="17">
        <f>'FS (nominal)'!X15*CPI!$I$34</f>
        <v>0</v>
      </c>
      <c r="Z14" s="17">
        <f>'FS (nominal)'!Y15*CPI!$I$34</f>
        <v>0</v>
      </c>
      <c r="AA14" s="15">
        <f>'FS (nominal)'!Z15*CPI!$I$34</f>
        <v>7290.4070945073154</v>
      </c>
      <c r="AB14" s="17">
        <f>'FS (nominal)'!AA15*CPI!$I$34</f>
        <v>0</v>
      </c>
      <c r="AC14" s="17">
        <f>'FS (nominal)'!AB15*CPI!$I$34</f>
        <v>0</v>
      </c>
      <c r="AD14" s="17">
        <f>'FS (nominal)'!AC15*CPI!$I$34</f>
        <v>0</v>
      </c>
      <c r="AE14" s="17">
        <f>'FS (nominal)'!AD15*CPI!$I$34</f>
        <v>0</v>
      </c>
      <c r="AF14" s="17">
        <f>'FS (nominal)'!AE15*CPI!$I$34</f>
        <v>0</v>
      </c>
      <c r="AG14" s="15">
        <f>'FS (nominal)'!AF15*CPI!$I$34</f>
        <v>0</v>
      </c>
      <c r="AH14" s="18">
        <f>'FS (nominal)'!AG15*CPI!$I$34</f>
        <v>0</v>
      </c>
    </row>
    <row r="15" spans="1:34" s="7" customFormat="1" ht="14.45" hidden="1" customHeight="1">
      <c r="A15" s="246">
        <f>References!E258</f>
        <v>3</v>
      </c>
      <c r="B15" s="255" t="s">
        <v>29</v>
      </c>
      <c r="C15" s="121">
        <v>2006</v>
      </c>
      <c r="D15" s="17">
        <f>'FS (nominal)'!D16*CPI!$I$38</f>
        <v>30401.293723302577</v>
      </c>
      <c r="E15" s="15">
        <f>'FS (nominal)'!E16*CPI!$I$38</f>
        <v>30401.293723302577</v>
      </c>
      <c r="F15" s="15">
        <f>'FS (nominal)'!F16*CPI!$I$38</f>
        <v>0</v>
      </c>
      <c r="G15" s="15">
        <f>'FS (nominal)'!G16*CPI!$I$38</f>
        <v>1587.8586695638071</v>
      </c>
      <c r="H15" s="17">
        <f>'FS (nominal)'!H16*CPI!$I$38</f>
        <v>2763.7095791344013</v>
      </c>
      <c r="I15" s="15">
        <f>'FS (nominal)'!I16*CPI!$I$38</f>
        <v>34752.861972000785</v>
      </c>
      <c r="J15" s="15">
        <f>'FS (nominal)'!J16*CPI!$I$38</f>
        <v>9676.7180568617259</v>
      </c>
      <c r="K15" s="17">
        <f>'FS (nominal)'!K16*CPI!$I$38</f>
        <v>0</v>
      </c>
      <c r="L15" s="17">
        <f>'FS (nominal)'!L16*CPI!$I$38</f>
        <v>0</v>
      </c>
      <c r="M15" s="17">
        <f>'FS (nominal)'!M16*CPI!$I$38</f>
        <v>0</v>
      </c>
      <c r="N15" s="17">
        <f>'FS (nominal)'!N16*CPI!$I$38</f>
        <v>0</v>
      </c>
      <c r="O15" s="17">
        <f>'FS (nominal)'!O16*CPI!$I$38</f>
        <v>0</v>
      </c>
      <c r="P15" s="17">
        <f>'FS (nominal)'!P16*CPI!$I$38</f>
        <v>0</v>
      </c>
      <c r="Q15" s="17">
        <f>'FS (nominal)'!Q16*CPI!$I$38</f>
        <v>0</v>
      </c>
      <c r="R15" s="17">
        <f>'FS (nominal)'!R16*CPI!$I$38</f>
        <v>0</v>
      </c>
      <c r="S15" s="15">
        <f>'FS (nominal)'!S16*CPI!$I$38</f>
        <v>14697.913872434501</v>
      </c>
      <c r="T15" s="15">
        <f>'FS (nominal)'!T16*CPI!$I$38</f>
        <v>20054.948099566285</v>
      </c>
      <c r="U15" s="15">
        <f>'FS (nominal)'!U16*CPI!$I$38</f>
        <v>4789.1392252160767</v>
      </c>
      <c r="V15" s="15">
        <f>'FS (nominal)'!V16*CPI!$I$38</f>
        <v>0</v>
      </c>
      <c r="W15" s="17"/>
      <c r="X15" s="17">
        <f>'FS (nominal)'!W16*CPI!$I$38</f>
        <v>5796.4673340445906</v>
      </c>
      <c r="Y15" s="17">
        <f>'FS (nominal)'!X16*CPI!$I$38</f>
        <v>0</v>
      </c>
      <c r="Z15" s="17">
        <f>'FS (nominal)'!Y16*CPI!$I$38</f>
        <v>0</v>
      </c>
      <c r="AA15" s="15">
        <f>'FS (nominal)'!Z16*CPI!$I$38</f>
        <v>9469.3415403056169</v>
      </c>
      <c r="AB15" s="17">
        <f>'FS (nominal)'!AA16*CPI!$I$38</f>
        <v>0</v>
      </c>
      <c r="AC15" s="17">
        <f>'FS (nominal)'!AB16*CPI!$I$38</f>
        <v>0</v>
      </c>
      <c r="AD15" s="17">
        <f>'FS (nominal)'!AC16*CPI!$I$38</f>
        <v>0</v>
      </c>
      <c r="AE15" s="17">
        <f>'FS (nominal)'!AD16*CPI!$I$38</f>
        <v>0</v>
      </c>
      <c r="AF15" s="17">
        <f>'FS (nominal)'!AE16*CPI!$I$38</f>
        <v>0</v>
      </c>
      <c r="AG15" s="15">
        <f>'FS (nominal)'!AF16*CPI!$I$38</f>
        <v>0</v>
      </c>
      <c r="AH15" s="18">
        <f>'FS (nominal)'!AG16*CPI!$I$38</f>
        <v>0</v>
      </c>
    </row>
    <row r="16" spans="1:34" s="7" customFormat="1" ht="15" hidden="1" customHeight="1">
      <c r="A16" s="246">
        <f>References!F258</f>
        <v>4</v>
      </c>
      <c r="B16" s="255" t="s">
        <v>29</v>
      </c>
      <c r="C16" s="121">
        <v>2007</v>
      </c>
      <c r="D16" s="17">
        <f>'FS (nominal)'!D17*CPI!$I$42</f>
        <v>30580.92088220669</v>
      </c>
      <c r="E16" s="15">
        <f>'FS (nominal)'!E17*CPI!$I$42</f>
        <v>30580.92088220669</v>
      </c>
      <c r="F16" s="15">
        <f>'FS (nominal)'!F17*CPI!$I$42</f>
        <v>0</v>
      </c>
      <c r="G16" s="15">
        <f>'FS (nominal)'!G17*CPI!$I$42</f>
        <v>852.82911925585768</v>
      </c>
      <c r="H16" s="17">
        <f>'FS (nominal)'!H17*CPI!$I$42</f>
        <v>2987.4003170795918</v>
      </c>
      <c r="I16" s="15">
        <f>'FS (nominal)'!I17*CPI!$I$42</f>
        <v>34421.150318542139</v>
      </c>
      <c r="J16" s="15">
        <f>'FS (nominal)'!J17*CPI!$I$42</f>
        <v>9569.8473668353472</v>
      </c>
      <c r="K16" s="17">
        <f>'FS (nominal)'!K17*CPI!$I$42</f>
        <v>0</v>
      </c>
      <c r="L16" s="17">
        <f>'FS (nominal)'!L17*CPI!$I$42</f>
        <v>0</v>
      </c>
      <c r="M16" s="17">
        <f>'FS (nominal)'!M17*CPI!$I$42</f>
        <v>0</v>
      </c>
      <c r="N16" s="17">
        <f>'FS (nominal)'!N17*CPI!$I$42</f>
        <v>0</v>
      </c>
      <c r="O16" s="17">
        <f>'FS (nominal)'!O17*CPI!$I$42</f>
        <v>0</v>
      </c>
      <c r="P16" s="17">
        <f>'FS (nominal)'!P17*CPI!$I$42</f>
        <v>0</v>
      </c>
      <c r="Q16" s="17">
        <f>'FS (nominal)'!Q17*CPI!$I$42</f>
        <v>0</v>
      </c>
      <c r="R16" s="17">
        <f>'FS (nominal)'!R17*CPI!$I$42</f>
        <v>0</v>
      </c>
      <c r="S16" s="15">
        <f>'FS (nominal)'!S17*CPI!$I$42</f>
        <v>17295.455495948754</v>
      </c>
      <c r="T16" s="15">
        <f>'FS (nominal)'!T17*CPI!$I$42</f>
        <v>17125.694822593385</v>
      </c>
      <c r="U16" s="15">
        <f>'FS (nominal)'!U17*CPI!$I$42</f>
        <v>5069.7495422236534</v>
      </c>
      <c r="V16" s="15">
        <f>'FS (nominal)'!V17*CPI!$I$42</f>
        <v>0</v>
      </c>
      <c r="W16" s="17"/>
      <c r="X16" s="17">
        <f>'FS (nominal)'!W17*CPI!$I$42</f>
        <v>4996.3370702313759</v>
      </c>
      <c r="Y16" s="17">
        <f>'FS (nominal)'!X17*CPI!$I$42</f>
        <v>0</v>
      </c>
      <c r="Z16" s="17">
        <f>'FS (nominal)'!Y17*CPI!$I$42</f>
        <v>0</v>
      </c>
      <c r="AA16" s="15">
        <f>'FS (nominal)'!Z17*CPI!$I$42</f>
        <v>7059.6082101383572</v>
      </c>
      <c r="AB16" s="17">
        <f>'FS (nominal)'!AA17*CPI!$I$42</f>
        <v>0</v>
      </c>
      <c r="AC16" s="17">
        <f>'FS (nominal)'!AB17*CPI!$I$42</f>
        <v>0</v>
      </c>
      <c r="AD16" s="17">
        <f>'FS (nominal)'!AC17*CPI!$I$42</f>
        <v>0</v>
      </c>
      <c r="AE16" s="17">
        <f>'FS (nominal)'!AD17*CPI!$I$42</f>
        <v>0</v>
      </c>
      <c r="AF16" s="17">
        <f>'FS (nominal)'!AE17*CPI!$I$42</f>
        <v>0</v>
      </c>
      <c r="AG16" s="15">
        <f>'FS (nominal)'!AF17*CPI!$I$42</f>
        <v>0</v>
      </c>
      <c r="AH16" s="18">
        <f>'FS (nominal)'!AG17*CPI!$I$42</f>
        <v>0</v>
      </c>
    </row>
    <row r="17" spans="1:34" s="7" customFormat="1" ht="15" customHeight="1">
      <c r="A17" s="246">
        <f>References!G258</f>
        <v>5</v>
      </c>
      <c r="B17" s="256" t="s">
        <v>29</v>
      </c>
      <c r="C17" s="121">
        <v>2008</v>
      </c>
      <c r="D17" s="17">
        <f>'FS (nominal)'!D18*CPI!$I$46</f>
        <v>31516.059707450597</v>
      </c>
      <c r="E17" s="15">
        <f>'FS (nominal)'!E18*CPI!$I$46</f>
        <v>31516.059707450597</v>
      </c>
      <c r="F17" s="15">
        <f>'FS (nominal)'!F18*CPI!$I$46</f>
        <v>2855.2333999600805</v>
      </c>
      <c r="G17" s="15">
        <f>'FS (nominal)'!G18*CPI!$I$46</f>
        <v>918.37407715776567</v>
      </c>
      <c r="H17" s="17">
        <f>'FS (nominal)'!H18*CPI!$I$46</f>
        <v>17.311031051295942</v>
      </c>
      <c r="I17" s="15">
        <f>'FS (nominal)'!I18*CPI!$I$46</f>
        <v>35306.97821561974</v>
      </c>
      <c r="J17" s="15">
        <f>'FS (nominal)'!J18*CPI!$I$46</f>
        <v>10086.38862279376</v>
      </c>
      <c r="K17" s="17">
        <f>'FS (nominal)'!K18*CPI!$I$46</f>
        <v>0</v>
      </c>
      <c r="L17" s="17">
        <f>'FS (nominal)'!L18*CPI!$I$46</f>
        <v>0</v>
      </c>
      <c r="M17" s="17">
        <f>'FS (nominal)'!M18*CPI!$I$46</f>
        <v>0</v>
      </c>
      <c r="N17" s="17">
        <f>'FS (nominal)'!N18*CPI!$I$46</f>
        <v>0</v>
      </c>
      <c r="O17" s="17">
        <f>'FS (nominal)'!O18*CPI!$I$46</f>
        <v>0</v>
      </c>
      <c r="P17" s="17">
        <f>'FS (nominal)'!P18*CPI!$I$46</f>
        <v>0</v>
      </c>
      <c r="Q17" s="17">
        <f>'FS (nominal)'!Q18*CPI!$I$46</f>
        <v>0</v>
      </c>
      <c r="R17" s="17">
        <f>'FS (nominal)'!R18*CPI!$I$46</f>
        <v>0</v>
      </c>
      <c r="S17" s="15">
        <f>'FS (nominal)'!S18*CPI!$I$46</f>
        <v>8244.2208662427638</v>
      </c>
      <c r="T17" s="15">
        <f>'FS (nominal)'!T18*CPI!$I$46</f>
        <v>16976.368726583216</v>
      </c>
      <c r="U17" s="15">
        <f>'FS (nominal)'!U18*CPI!$I$46</f>
        <v>6056.7585754612064</v>
      </c>
      <c r="V17" s="15">
        <f>'FS (nominal)'!V18*CPI!$I$46</f>
        <v>10919.610151122009</v>
      </c>
      <c r="W17" s="17"/>
      <c r="X17" s="17">
        <f>'FS (nominal)'!W18*CPI!$I$46</f>
        <v>1810.0626237061958</v>
      </c>
      <c r="Y17" s="17">
        <f>'FS (nominal)'!X18*CPI!$I$46</f>
        <v>3418.077904935702</v>
      </c>
      <c r="Z17" s="17">
        <f>'FS (nominal)'!Y18*CPI!$I$46</f>
        <v>0</v>
      </c>
      <c r="AA17" s="15">
        <f>'FS (nominal)'!Z18*CPI!$I$46</f>
        <v>12527.625647971257</v>
      </c>
      <c r="AB17" s="17">
        <f>'FS (nominal)'!AA18*CPI!$I$46</f>
        <v>0</v>
      </c>
      <c r="AC17" s="17">
        <f>'FS (nominal)'!AB18*CPI!$I$46</f>
        <v>0</v>
      </c>
      <c r="AD17" s="17">
        <f>'FS (nominal)'!AC18*CPI!$I$46</f>
        <v>0</v>
      </c>
      <c r="AE17" s="17">
        <f>'FS (nominal)'!AD18*CPI!$I$46</f>
        <v>0</v>
      </c>
      <c r="AF17" s="17">
        <f>'FS (nominal)'!AE18*CPI!$I$46</f>
        <v>10360.528641897863</v>
      </c>
      <c r="AG17" s="15">
        <f>'FS (nominal)'!AF18*CPI!$I$46</f>
        <v>10360.528641897863</v>
      </c>
      <c r="AH17" s="18">
        <f>'FS (nominal)'!AG18*CPI!$I$46</f>
        <v>1154.6437227338827</v>
      </c>
    </row>
    <row r="18" spans="1:34" s="7" customFormat="1" ht="15" customHeight="1">
      <c r="A18" s="246">
        <f>References!H258</f>
        <v>6</v>
      </c>
      <c r="B18" s="256" t="s">
        <v>29</v>
      </c>
      <c r="C18" s="121">
        <v>2009</v>
      </c>
      <c r="D18" s="17">
        <f>'FS (nominal)'!D19*CPI!$I$50</f>
        <v>31275.713638547593</v>
      </c>
      <c r="E18" s="15">
        <f>'FS (nominal)'!E19*CPI!$I$50</f>
        <v>31275.713638547593</v>
      </c>
      <c r="F18" s="15">
        <f>'FS (nominal)'!F19*CPI!$I$50</f>
        <v>3792.5363451163416</v>
      </c>
      <c r="G18" s="15">
        <f>'FS (nominal)'!G19*CPI!$I$50</f>
        <v>1994.6987439082977</v>
      </c>
      <c r="H18" s="17">
        <f>'FS (nominal)'!H19*CPI!$I$50</f>
        <v>3.9416451369345862</v>
      </c>
      <c r="I18" s="15">
        <f>'FS (nominal)'!I19*CPI!$I$50</f>
        <v>37066.890372709167</v>
      </c>
      <c r="J18" s="15">
        <f>'FS (nominal)'!J19*CPI!$I$50</f>
        <v>9129.0577560573784</v>
      </c>
      <c r="K18" s="17">
        <f>'FS (nominal)'!K19*CPI!$I$50</f>
        <v>0</v>
      </c>
      <c r="L18" s="17">
        <f>'FS (nominal)'!L19*CPI!$I$50</f>
        <v>0</v>
      </c>
      <c r="M18" s="17">
        <f>'FS (nominal)'!M19*CPI!$I$50</f>
        <v>0</v>
      </c>
      <c r="N18" s="17">
        <f>'FS (nominal)'!N19*CPI!$I$50</f>
        <v>0</v>
      </c>
      <c r="O18" s="17">
        <f>'FS (nominal)'!O19*CPI!$I$50</f>
        <v>0</v>
      </c>
      <c r="P18" s="17">
        <f>'FS (nominal)'!P19*CPI!$I$50</f>
        <v>0</v>
      </c>
      <c r="Q18" s="17">
        <f>'FS (nominal)'!Q19*CPI!$I$50</f>
        <v>0</v>
      </c>
      <c r="R18" s="17">
        <f>'FS (nominal)'!R19*CPI!$I$50</f>
        <v>0</v>
      </c>
      <c r="S18" s="15">
        <f>'FS (nominal)'!S19*CPI!$I$50</f>
        <v>8518.8408450820207</v>
      </c>
      <c r="T18" s="15">
        <f>'FS (nominal)'!T19*CPI!$I$50</f>
        <v>19418.991771569767</v>
      </c>
      <c r="U18" s="15">
        <f>'FS (nominal)'!U19*CPI!$I$50</f>
        <v>6368.7102752419505</v>
      </c>
      <c r="V18" s="15">
        <f>'FS (nominal)'!V19*CPI!$I$50</f>
        <v>13050.281496327814</v>
      </c>
      <c r="W18" s="17"/>
      <c r="X18" s="17">
        <f>'FS (nominal)'!W19*CPI!$I$50</f>
        <v>1831.580139007481</v>
      </c>
      <c r="Y18" s="17">
        <f>'FS (nominal)'!X19*CPI!$I$50</f>
        <v>3222.5019993136098</v>
      </c>
      <c r="Z18" s="17">
        <f>'FS (nominal)'!Y19*CPI!$I$50</f>
        <v>0</v>
      </c>
      <c r="AA18" s="15">
        <f>'FS (nominal)'!Z19*CPI!$I$50</f>
        <v>14441.203668062321</v>
      </c>
      <c r="AB18" s="17">
        <f>'FS (nominal)'!AA19*CPI!$I$50</f>
        <v>0</v>
      </c>
      <c r="AC18" s="17">
        <f>'FS (nominal)'!AB19*CPI!$I$50</f>
        <v>0</v>
      </c>
      <c r="AD18" s="17">
        <f>'FS (nominal)'!AC19*CPI!$I$50</f>
        <v>0</v>
      </c>
      <c r="AE18" s="17">
        <f>'FS (nominal)'!AD19*CPI!$I$50</f>
        <v>0</v>
      </c>
      <c r="AF18" s="17">
        <f>'FS (nominal)'!AE19*CPI!$I$50</f>
        <v>0</v>
      </c>
      <c r="AG18" s="15">
        <f>'FS (nominal)'!AF19*CPI!$I$50</f>
        <v>10343.574438877065</v>
      </c>
      <c r="AH18" s="18">
        <f>'FS (nominal)'!AG19*CPI!$I$50</f>
        <v>186.85702519047285</v>
      </c>
    </row>
    <row r="19" spans="1:34" s="7" customFormat="1" ht="15" customHeight="1">
      <c r="A19" s="246">
        <f>References!I258</f>
        <v>7</v>
      </c>
      <c r="B19" s="256" t="s">
        <v>29</v>
      </c>
      <c r="C19" s="121">
        <v>2010</v>
      </c>
      <c r="D19" s="17">
        <f>'FS (nominal)'!D20*CPI!$I$54</f>
        <v>33787.63789711945</v>
      </c>
      <c r="E19" s="15">
        <f>'FS (nominal)'!E20*CPI!$I$54</f>
        <v>33787.63789711945</v>
      </c>
      <c r="F19" s="15">
        <f>'FS (nominal)'!F20*CPI!$I$54</f>
        <v>1637.2684648756431</v>
      </c>
      <c r="G19" s="15">
        <f>'FS (nominal)'!G20*CPI!$I$54</f>
        <v>805.898790116138</v>
      </c>
      <c r="H19" s="17">
        <f>'FS (nominal)'!H20*CPI!$I$54</f>
        <v>3.0565061572040628</v>
      </c>
      <c r="I19" s="15">
        <f>'FS (nominal)'!I20*CPI!$I$54</f>
        <v>36233.861658268434</v>
      </c>
      <c r="J19" s="15">
        <f>'FS (nominal)'!J20*CPI!$I$54</f>
        <v>9910.2117970413074</v>
      </c>
      <c r="K19" s="17">
        <f>'FS (nominal)'!K20*CPI!$I$54</f>
        <v>2642.246670528953</v>
      </c>
      <c r="L19" s="17">
        <f>'FS (nominal)'!L20*CPI!$I$54</f>
        <v>3231.1824275821182</v>
      </c>
      <c r="M19" s="17">
        <f>'FS (nominal)'!M20*CPI!$I$54</f>
        <v>2687.761103715879</v>
      </c>
      <c r="N19" s="17">
        <f>'FS (nominal)'!N20*CPI!$I$54</f>
        <v>849.63128021341367</v>
      </c>
      <c r="O19" s="17">
        <f>'FS (nominal)'!O20*CPI!$I$54</f>
        <v>507.47477378674779</v>
      </c>
      <c r="P19" s="17">
        <f>'FS (nominal)'!P20*CPI!$I$54</f>
        <v>172.99519199159275</v>
      </c>
      <c r="Q19" s="17">
        <f>'FS (nominal)'!Q20*CPI!$I$54</f>
        <v>0</v>
      </c>
      <c r="R19" s="17">
        <f>'FS (nominal)'!R20*CPI!$I$54</f>
        <v>391.23278812212004</v>
      </c>
      <c r="S19" s="15">
        <f>'FS (nominal)'!S20*CPI!$I$54</f>
        <v>10482.524235940824</v>
      </c>
      <c r="T19" s="15">
        <f>'FS (nominal)'!T20*CPI!$I$54</f>
        <v>15841.1256252863</v>
      </c>
      <c r="U19" s="15">
        <f>'FS (nominal)'!U20*CPI!$I$54</f>
        <v>5818.5688879308018</v>
      </c>
      <c r="V19" s="15">
        <f>'FS (nominal)'!V20*CPI!$I$54</f>
        <v>10022.5567373555</v>
      </c>
      <c r="W19" s="17"/>
      <c r="X19" s="17">
        <f>'FS (nominal)'!W20*CPI!$I$54</f>
        <v>1560.4425713130875</v>
      </c>
      <c r="Y19" s="17">
        <f>'FS (nominal)'!X20*CPI!$I$54</f>
        <v>2406.6010492306859</v>
      </c>
      <c r="Z19" s="17">
        <f>'FS (nominal)'!Y20*CPI!$I$54</f>
        <v>0</v>
      </c>
      <c r="AA19" s="15">
        <f>'FS (nominal)'!Z20*CPI!$I$54</f>
        <v>10868.714807738943</v>
      </c>
      <c r="AB19" s="17">
        <f>'FS (nominal)'!AA20*CPI!$I$54</f>
        <v>2129.6247403734737</v>
      </c>
      <c r="AC19" s="17">
        <f>'FS (nominal)'!AB20*CPI!$I$54</f>
        <v>7164.945586483791</v>
      </c>
      <c r="AD19" s="17">
        <f>'FS (nominal)'!AC20*CPI!$I$54</f>
        <v>1009.5629648891163</v>
      </c>
      <c r="AE19" s="17">
        <f>'FS (nominal)'!AD20*CPI!$I$54</f>
        <v>1560.6174034652797</v>
      </c>
      <c r="AF19" s="17">
        <f>'FS (nominal)'!AE20*CPI!$I$54</f>
        <v>0</v>
      </c>
      <c r="AG19" s="15">
        <f>'FS (nominal)'!AF20*CPI!$I$54</f>
        <v>11864.750695211662</v>
      </c>
      <c r="AH19" s="18">
        <f>'FS (nominal)'!AG20*CPI!$I$54</f>
        <v>222.10611409016192</v>
      </c>
    </row>
    <row r="20" spans="1:34" s="7" customFormat="1" ht="15" customHeight="1">
      <c r="A20" s="246">
        <f>References!J258</f>
        <v>8</v>
      </c>
      <c r="B20" s="256" t="s">
        <v>29</v>
      </c>
      <c r="C20" s="121">
        <v>2011</v>
      </c>
      <c r="D20" s="17">
        <f>'FS (nominal)'!D21*CPI!$I$58</f>
        <v>33177.610999999997</v>
      </c>
      <c r="E20" s="15">
        <f>'FS (nominal)'!E21*CPI!$I$58</f>
        <v>33177.610999999997</v>
      </c>
      <c r="F20" s="15">
        <f>'FS (nominal)'!F21*CPI!$I$58</f>
        <v>1351.8019999999999</v>
      </c>
      <c r="G20" s="15">
        <f>'FS (nominal)'!G21*CPI!$I$58</f>
        <v>872.846</v>
      </c>
      <c r="H20" s="17">
        <f>'FS (nominal)'!H21*CPI!$I$58</f>
        <v>0.67100000000000004</v>
      </c>
      <c r="I20" s="15">
        <f>'FS (nominal)'!I21*CPI!$I$58</f>
        <v>35402.93</v>
      </c>
      <c r="J20" s="15">
        <f>'FS (nominal)'!J21*CPI!$I$58</f>
        <v>9646.2929999999997</v>
      </c>
      <c r="K20" s="17">
        <f>'FS (nominal)'!K21*CPI!$I$58</f>
        <v>3074.7080000000001</v>
      </c>
      <c r="L20" s="17">
        <f>'FS (nominal)'!L21*CPI!$I$58</f>
        <v>3176.0970000000002</v>
      </c>
      <c r="M20" s="17">
        <f>'FS (nominal)'!M21*CPI!$I$58</f>
        <v>2897.585</v>
      </c>
      <c r="N20" s="17">
        <f>'FS (nominal)'!N21*CPI!$I$58</f>
        <v>1404.713</v>
      </c>
      <c r="O20" s="17">
        <f>'FS (nominal)'!O21*CPI!$I$58</f>
        <v>656.97299999999996</v>
      </c>
      <c r="P20" s="17">
        <f>'FS (nominal)'!P21*CPI!$I$58</f>
        <v>200.76900000000001</v>
      </c>
      <c r="Q20" s="17">
        <f>'FS (nominal)'!Q21*CPI!$I$58</f>
        <v>0</v>
      </c>
      <c r="R20" s="17">
        <f>'FS (nominal)'!R21*CPI!$I$58</f>
        <v>646.995</v>
      </c>
      <c r="S20" s="15">
        <f>'FS (nominal)'!S21*CPI!$I$58</f>
        <v>12057.84</v>
      </c>
      <c r="T20" s="15">
        <f>'FS (nominal)'!T21*CPI!$I$58</f>
        <v>13698.797</v>
      </c>
      <c r="U20" s="15">
        <f>'FS (nominal)'!U21*CPI!$I$58</f>
        <v>5733.5649999999996</v>
      </c>
      <c r="V20" s="15">
        <f>'FS (nominal)'!V21*CPI!$I$58</f>
        <v>7965.232</v>
      </c>
      <c r="W20" s="17"/>
      <c r="X20" s="17">
        <f>'FS (nominal)'!W21*CPI!$I$58</f>
        <v>1289.8969</v>
      </c>
      <c r="Y20" s="17">
        <f>'FS (nominal)'!X21*CPI!$I$58</f>
        <v>5373.0883000000003</v>
      </c>
      <c r="Z20" s="17">
        <f>'FS (nominal)'!Y21*CPI!$I$58</f>
        <v>0</v>
      </c>
      <c r="AA20" s="15">
        <f>'FS (nominal)'!Z21*CPI!$I$58</f>
        <v>12048.423000000001</v>
      </c>
      <c r="AB20" s="17">
        <f>'FS (nominal)'!AA21*CPI!$I$58</f>
        <v>1625.0450000000001</v>
      </c>
      <c r="AC20" s="17">
        <f>'FS (nominal)'!AB21*CPI!$I$58</f>
        <v>9622.7999999999993</v>
      </c>
      <c r="AD20" s="17">
        <f>'FS (nominal)'!AC21*CPI!$I$58</f>
        <v>1856.827</v>
      </c>
      <c r="AE20" s="17">
        <f>'FS (nominal)'!AD21*CPI!$I$58</f>
        <v>1598.9159999999999</v>
      </c>
      <c r="AF20" s="17">
        <f>'FS (nominal)'!AE21*CPI!$I$58</f>
        <v>0</v>
      </c>
      <c r="AG20" s="15">
        <f>'FS (nominal)'!AF21*CPI!$I$58</f>
        <v>14703.588</v>
      </c>
      <c r="AH20" s="18">
        <f>'FS (nominal)'!AG21*CPI!$I$58</f>
        <v>261</v>
      </c>
    </row>
    <row r="21" spans="1:34" s="7" customFormat="1" ht="15" hidden="1" customHeight="1">
      <c r="A21" s="246">
        <f>References!C259</f>
        <v>24</v>
      </c>
      <c r="B21" s="255" t="s">
        <v>110</v>
      </c>
      <c r="C21" s="121">
        <v>2004</v>
      </c>
      <c r="D21" s="17">
        <f>'FS (nominal)'!D22*CPI!$I$30</f>
        <v>64039.36147881177</v>
      </c>
      <c r="E21" s="15">
        <f>'FS (nominal)'!E22*CPI!$I$30</f>
        <v>64039.36147881177</v>
      </c>
      <c r="F21" s="15">
        <f>'FS (nominal)'!F22*CPI!$I$30</f>
        <v>0</v>
      </c>
      <c r="G21" s="15">
        <f>'FS (nominal)'!G22*CPI!$I$30</f>
        <v>2730.7582804366675</v>
      </c>
      <c r="H21" s="17">
        <f>'FS (nominal)'!H22*CPI!$I$30</f>
        <v>8185.0282470231296</v>
      </c>
      <c r="I21" s="15">
        <f>'FS (nominal)'!I22*CPI!$I$30</f>
        <v>74955.148006271571</v>
      </c>
      <c r="J21" s="15">
        <f>'FS (nominal)'!J22*CPI!$I$30</f>
        <v>18330.260248645423</v>
      </c>
      <c r="K21" s="17">
        <f>'FS (nominal)'!K22*CPI!$I$30</f>
        <v>0</v>
      </c>
      <c r="L21" s="17">
        <f>'FS (nominal)'!L22*CPI!$I$30</f>
        <v>0</v>
      </c>
      <c r="M21" s="17">
        <f>'FS (nominal)'!M22*CPI!$I$30</f>
        <v>0</v>
      </c>
      <c r="N21" s="17">
        <f>'FS (nominal)'!N22*CPI!$I$30</f>
        <v>0</v>
      </c>
      <c r="O21" s="17">
        <f>'FS (nominal)'!O22*CPI!$I$30</f>
        <v>0</v>
      </c>
      <c r="P21" s="17">
        <f>'FS (nominal)'!P22*CPI!$I$30</f>
        <v>0</v>
      </c>
      <c r="Q21" s="17">
        <f>'FS (nominal)'!Q22*CPI!$I$30</f>
        <v>2730.7582804366675</v>
      </c>
      <c r="R21" s="17">
        <f>'FS (nominal)'!R22*CPI!$I$30</f>
        <v>0</v>
      </c>
      <c r="S21" s="15">
        <f>'FS (nominal)'!S22*CPI!$I$30</f>
        <v>38358.639091848105</v>
      </c>
      <c r="T21" s="15">
        <f>'FS (nominal)'!T22*CPI!$I$30</f>
        <v>36596.508914423466</v>
      </c>
      <c r="U21" s="15">
        <f>'FS (nominal)'!U22*CPI!$I$30</f>
        <v>11757.599230451551</v>
      </c>
      <c r="V21" s="15">
        <f>'FS (nominal)'!V22*CPI!$I$30</f>
        <v>0</v>
      </c>
      <c r="W21" s="17"/>
      <c r="X21" s="17">
        <f>'FS (nominal)'!W22*CPI!$I$30</f>
        <v>9072.7360471650791</v>
      </c>
      <c r="Y21" s="17">
        <f>'FS (nominal)'!X22*CPI!$I$30</f>
        <v>0</v>
      </c>
      <c r="Z21" s="17">
        <f>'FS (nominal)'!Y22*CPI!$I$30</f>
        <v>0</v>
      </c>
      <c r="AA21" s="15">
        <f>'FS (nominal)'!Z22*CPI!$I$30</f>
        <v>6663.2434467797848</v>
      </c>
      <c r="AB21" s="17">
        <f>'FS (nominal)'!AA22*CPI!$I$30</f>
        <v>0</v>
      </c>
      <c r="AC21" s="17">
        <f>'FS (nominal)'!AB22*CPI!$I$30</f>
        <v>0</v>
      </c>
      <c r="AD21" s="17">
        <f>'FS (nominal)'!AC22*CPI!$I$30</f>
        <v>0</v>
      </c>
      <c r="AE21" s="17">
        <f>'FS (nominal)'!AD22*CPI!$I$30</f>
        <v>0</v>
      </c>
      <c r="AF21" s="17">
        <f>'FS (nominal)'!AE22*CPI!$I$30</f>
        <v>0</v>
      </c>
      <c r="AG21" s="15">
        <f>'FS (nominal)'!AF22*CPI!$I$30</f>
        <v>0</v>
      </c>
      <c r="AH21" s="18">
        <f>'FS (nominal)'!AG22*CPI!$I$30</f>
        <v>0</v>
      </c>
    </row>
    <row r="22" spans="1:34" s="7" customFormat="1" ht="15" hidden="1" customHeight="1">
      <c r="A22" s="246">
        <f>References!D259</f>
        <v>25</v>
      </c>
      <c r="B22" s="255" t="s">
        <v>110</v>
      </c>
      <c r="C22" s="121">
        <v>2005</v>
      </c>
      <c r="D22" s="17">
        <f>'FS (nominal)'!D23*CPI!$I$34</f>
        <v>65475.085514234743</v>
      </c>
      <c r="E22" s="15">
        <f>'FS (nominal)'!E23*CPI!$I$34</f>
        <v>65475.085514234743</v>
      </c>
      <c r="F22" s="15">
        <f>'FS (nominal)'!F23*CPI!$I$34</f>
        <v>0</v>
      </c>
      <c r="G22" s="15">
        <f>'FS (nominal)'!G23*CPI!$I$34</f>
        <v>1323.157067925204</v>
      </c>
      <c r="H22" s="17">
        <f>'FS (nominal)'!H23*CPI!$I$34</f>
        <v>9509.3085362097845</v>
      </c>
      <c r="I22" s="15">
        <f>'FS (nominal)'!I23*CPI!$I$34</f>
        <v>76307.551118369724</v>
      </c>
      <c r="J22" s="15">
        <f>'FS (nominal)'!J23*CPI!$I$34</f>
        <v>18862.051333955111</v>
      </c>
      <c r="K22" s="17">
        <f>'FS (nominal)'!K23*CPI!$I$34</f>
        <v>0</v>
      </c>
      <c r="L22" s="17">
        <f>'FS (nominal)'!L23*CPI!$I$34</f>
        <v>0</v>
      </c>
      <c r="M22" s="17">
        <f>'FS (nominal)'!M23*CPI!$I$34</f>
        <v>0</v>
      </c>
      <c r="N22" s="17">
        <f>'FS (nominal)'!N23*CPI!$I$34</f>
        <v>0</v>
      </c>
      <c r="O22" s="17">
        <f>'FS (nominal)'!O23*CPI!$I$34</f>
        <v>0</v>
      </c>
      <c r="P22" s="17">
        <f>'FS (nominal)'!P23*CPI!$I$34</f>
        <v>0</v>
      </c>
      <c r="Q22" s="17">
        <f>'FS (nominal)'!Q23*CPI!$I$34</f>
        <v>1323.157067925204</v>
      </c>
      <c r="R22" s="17">
        <f>'FS (nominal)'!R23*CPI!$I$34</f>
        <v>0</v>
      </c>
      <c r="S22" s="15">
        <f>'FS (nominal)'!S23*CPI!$I$34</f>
        <v>36797.657283161876</v>
      </c>
      <c r="T22" s="15">
        <f>'FS (nominal)'!T23*CPI!$I$34</f>
        <v>39509.893835207848</v>
      </c>
      <c r="U22" s="15">
        <f>'FS (nominal)'!U23*CPI!$I$34</f>
        <v>11351.604631675038</v>
      </c>
      <c r="V22" s="15">
        <f>'FS (nominal)'!V23*CPI!$I$34</f>
        <v>0</v>
      </c>
      <c r="W22" s="17"/>
      <c r="X22" s="17">
        <f>'FS (nominal)'!W23*CPI!$I$34</f>
        <v>9577.58532441233</v>
      </c>
      <c r="Y22" s="17">
        <f>'FS (nominal)'!X23*CPI!$I$34</f>
        <v>0</v>
      </c>
      <c r="Z22" s="17">
        <f>'FS (nominal)'!Y23*CPI!$I$34</f>
        <v>0</v>
      </c>
      <c r="AA22" s="15">
        <f>'FS (nominal)'!Z23*CPI!$I$34</f>
        <v>9958.9935895437957</v>
      </c>
      <c r="AB22" s="17">
        <f>'FS (nominal)'!AA23*CPI!$I$34</f>
        <v>0</v>
      </c>
      <c r="AC22" s="17">
        <f>'FS (nominal)'!AB23*CPI!$I$34</f>
        <v>0</v>
      </c>
      <c r="AD22" s="17">
        <f>'FS (nominal)'!AC23*CPI!$I$34</f>
        <v>0</v>
      </c>
      <c r="AE22" s="17">
        <f>'FS (nominal)'!AD23*CPI!$I$34</f>
        <v>0</v>
      </c>
      <c r="AF22" s="17">
        <f>'FS (nominal)'!AE23*CPI!$I$34</f>
        <v>0</v>
      </c>
      <c r="AG22" s="15">
        <f>'FS (nominal)'!AF23*CPI!$I$34</f>
        <v>0</v>
      </c>
      <c r="AH22" s="18">
        <f>'FS (nominal)'!AG23*CPI!$I$34</f>
        <v>0</v>
      </c>
    </row>
    <row r="23" spans="1:34" s="7" customFormat="1" ht="14.45" hidden="1" customHeight="1">
      <c r="A23" s="246">
        <f>References!E259</f>
        <v>26</v>
      </c>
      <c r="B23" s="255" t="s">
        <v>110</v>
      </c>
      <c r="C23" s="121">
        <v>2006</v>
      </c>
      <c r="D23" s="17">
        <f>'FS (nominal)'!D24*CPI!$I$38</f>
        <v>65852.324518120964</v>
      </c>
      <c r="E23" s="15">
        <f>'FS (nominal)'!E24*CPI!$I$38</f>
        <v>65852.324518120964</v>
      </c>
      <c r="F23" s="15">
        <f>'FS (nominal)'!F24*CPI!$I$38</f>
        <v>0</v>
      </c>
      <c r="G23" s="15">
        <f>'FS (nominal)'!G24*CPI!$I$38</f>
        <v>2811.4517727527127</v>
      </c>
      <c r="H23" s="17">
        <f>'FS (nominal)'!H24*CPI!$I$38</f>
        <v>10198.358743857039</v>
      </c>
      <c r="I23" s="15">
        <f>'FS (nominal)'!I24*CPI!$I$38</f>
        <v>78862.135034730716</v>
      </c>
      <c r="J23" s="15">
        <f>'FS (nominal)'!J24*CPI!$I$38</f>
        <v>18527.741025145515</v>
      </c>
      <c r="K23" s="17">
        <f>'FS (nominal)'!K24*CPI!$I$38</f>
        <v>0</v>
      </c>
      <c r="L23" s="17">
        <f>'FS (nominal)'!L24*CPI!$I$38</f>
        <v>0</v>
      </c>
      <c r="M23" s="17">
        <f>'FS (nominal)'!M24*CPI!$I$38</f>
        <v>0</v>
      </c>
      <c r="N23" s="17">
        <f>'FS (nominal)'!N24*CPI!$I$38</f>
        <v>0</v>
      </c>
      <c r="O23" s="17">
        <f>'FS (nominal)'!O24*CPI!$I$38</f>
        <v>0</v>
      </c>
      <c r="P23" s="17">
        <f>'FS (nominal)'!P24*CPI!$I$38</f>
        <v>0</v>
      </c>
      <c r="Q23" s="17">
        <f>'FS (nominal)'!Q24*CPI!$I$38</f>
        <v>2811.4517727527127</v>
      </c>
      <c r="R23" s="17">
        <f>'FS (nominal)'!R24*CPI!$I$38</f>
        <v>0</v>
      </c>
      <c r="S23" s="15">
        <f>'FS (nominal)'!S24*CPI!$I$38</f>
        <v>38028.764664803231</v>
      </c>
      <c r="T23" s="15">
        <f>'FS (nominal)'!T24*CPI!$I$38</f>
        <v>40833.370369927485</v>
      </c>
      <c r="U23" s="15">
        <f>'FS (nominal)'!U24*CPI!$I$38</f>
        <v>10976.528430958237</v>
      </c>
      <c r="V23" s="15">
        <f>'FS (nominal)'!V24*CPI!$I$38</f>
        <v>0</v>
      </c>
      <c r="W23" s="17"/>
      <c r="X23" s="17">
        <f>'FS (nominal)'!W24*CPI!$I$38</f>
        <v>-2938.1040238791538</v>
      </c>
      <c r="Y23" s="17">
        <f>'FS (nominal)'!X24*CPI!$I$38</f>
        <v>0</v>
      </c>
      <c r="Z23" s="17">
        <f>'FS (nominal)'!Y24*CPI!$I$38</f>
        <v>0</v>
      </c>
      <c r="AA23" s="15">
        <f>'FS (nominal)'!Z24*CPI!$I$38</f>
        <v>24296.694013391338</v>
      </c>
      <c r="AB23" s="17">
        <f>'FS (nominal)'!AA24*CPI!$I$38</f>
        <v>0</v>
      </c>
      <c r="AC23" s="17">
        <f>'FS (nominal)'!AB24*CPI!$I$38</f>
        <v>0</v>
      </c>
      <c r="AD23" s="17">
        <f>'FS (nominal)'!AC24*CPI!$I$38</f>
        <v>0</v>
      </c>
      <c r="AE23" s="17">
        <f>'FS (nominal)'!AD24*CPI!$I$38</f>
        <v>0</v>
      </c>
      <c r="AF23" s="17">
        <f>'FS (nominal)'!AE24*CPI!$I$38</f>
        <v>0</v>
      </c>
      <c r="AG23" s="15">
        <f>'FS (nominal)'!AF24*CPI!$I$38</f>
        <v>0</v>
      </c>
      <c r="AH23" s="18">
        <f>'FS (nominal)'!AG24*CPI!$I$38</f>
        <v>0</v>
      </c>
    </row>
    <row r="24" spans="1:34" s="7" customFormat="1" ht="15" hidden="1" customHeight="1">
      <c r="A24" s="246">
        <f>References!F259</f>
        <v>27</v>
      </c>
      <c r="B24" s="255" t="s">
        <v>110</v>
      </c>
      <c r="C24" s="121">
        <v>2007</v>
      </c>
      <c r="D24" s="17">
        <f>'FS (nominal)'!D25*CPI!$I$42</f>
        <v>67974.388217743603</v>
      </c>
      <c r="E24" s="15">
        <f>'FS (nominal)'!E25*CPI!$I$42</f>
        <v>67974.388217743603</v>
      </c>
      <c r="F24" s="15">
        <f>'FS (nominal)'!F25*CPI!$I$42</f>
        <v>0</v>
      </c>
      <c r="G24" s="15">
        <f>'FS (nominal)'!G25*CPI!$I$42</f>
        <v>2026.1479509755172</v>
      </c>
      <c r="H24" s="17">
        <f>'FS (nominal)'!H25*CPI!$I$42</f>
        <v>8731.6801708251678</v>
      </c>
      <c r="I24" s="15">
        <f>'FS (nominal)'!I25*CPI!$I$42</f>
        <v>78732.216339544277</v>
      </c>
      <c r="J24" s="15">
        <f>'FS (nominal)'!J25*CPI!$I$42</f>
        <v>18653.39047006172</v>
      </c>
      <c r="K24" s="17">
        <f>'FS (nominal)'!K25*CPI!$I$42</f>
        <v>0</v>
      </c>
      <c r="L24" s="17">
        <f>'FS (nominal)'!L25*CPI!$I$42</f>
        <v>0</v>
      </c>
      <c r="M24" s="17">
        <f>'FS (nominal)'!M25*CPI!$I$42</f>
        <v>0</v>
      </c>
      <c r="N24" s="17">
        <f>'FS (nominal)'!N25*CPI!$I$42</f>
        <v>0</v>
      </c>
      <c r="O24" s="17">
        <f>'FS (nominal)'!O25*CPI!$I$42</f>
        <v>0</v>
      </c>
      <c r="P24" s="17">
        <f>'FS (nominal)'!P25*CPI!$I$42</f>
        <v>0</v>
      </c>
      <c r="Q24" s="17">
        <f>'FS (nominal)'!Q25*CPI!$I$42</f>
        <v>2026.1479509755172</v>
      </c>
      <c r="R24" s="17">
        <f>'FS (nominal)'!R25*CPI!$I$42</f>
        <v>0</v>
      </c>
      <c r="S24" s="15">
        <f>'FS (nominal)'!S25*CPI!$I$42</f>
        <v>37891.84222072718</v>
      </c>
      <c r="T24" s="15">
        <f>'FS (nominal)'!T25*CPI!$I$42</f>
        <v>40840.374118817097</v>
      </c>
      <c r="U24" s="15">
        <f>'FS (nominal)'!U25*CPI!$I$42</f>
        <v>11315.240003510107</v>
      </c>
      <c r="V24" s="15">
        <f>'FS (nominal)'!V25*CPI!$I$42</f>
        <v>0</v>
      </c>
      <c r="W24" s="17"/>
      <c r="X24" s="17">
        <f>'FS (nominal)'!W25*CPI!$I$42</f>
        <v>7894.4563723052634</v>
      </c>
      <c r="Y24" s="17">
        <f>'FS (nominal)'!X25*CPI!$I$42</f>
        <v>0</v>
      </c>
      <c r="Z24" s="17">
        <f>'FS (nominal)'!Y25*CPI!$I$42</f>
        <v>0</v>
      </c>
      <c r="AA24" s="15">
        <f>'FS (nominal)'!Z25*CPI!$I$42</f>
        <v>13030.608710913508</v>
      </c>
      <c r="AB24" s="17">
        <f>'FS (nominal)'!AA25*CPI!$I$42</f>
        <v>0</v>
      </c>
      <c r="AC24" s="17">
        <f>'FS (nominal)'!AB25*CPI!$I$42</f>
        <v>0</v>
      </c>
      <c r="AD24" s="17">
        <f>'FS (nominal)'!AC25*CPI!$I$42</f>
        <v>0</v>
      </c>
      <c r="AE24" s="17">
        <f>'FS (nominal)'!AD25*CPI!$I$42</f>
        <v>0</v>
      </c>
      <c r="AF24" s="17">
        <f>'FS (nominal)'!AE25*CPI!$I$42</f>
        <v>0</v>
      </c>
      <c r="AG24" s="15">
        <f>'FS (nominal)'!AF25*CPI!$I$42</f>
        <v>0</v>
      </c>
      <c r="AH24" s="18">
        <f>'FS (nominal)'!AG25*CPI!$I$42</f>
        <v>0</v>
      </c>
    </row>
    <row r="25" spans="1:34" s="7" customFormat="1" ht="15" customHeight="1">
      <c r="A25" s="246">
        <f>References!G259</f>
        <v>28</v>
      </c>
      <c r="B25" s="256" t="s">
        <v>30</v>
      </c>
      <c r="C25" s="121">
        <v>2008</v>
      </c>
      <c r="D25" s="17">
        <f>'FS (nominal)'!D26*CPI!$I$46</f>
        <v>69747.596304639155</v>
      </c>
      <c r="E25" s="15">
        <f>'FS (nominal)'!E26*CPI!$I$46</f>
        <v>69747.596304639155</v>
      </c>
      <c r="F25" s="15">
        <f>'FS (nominal)'!F26*CPI!$I$46</f>
        <v>7947.7437198825237</v>
      </c>
      <c r="G25" s="15">
        <f>'FS (nominal)'!G26*CPI!$I$46</f>
        <v>0</v>
      </c>
      <c r="H25" s="17">
        <f>'FS (nominal)'!H26*CPI!$I$46</f>
        <v>630.6877477117846</v>
      </c>
      <c r="I25" s="15">
        <f>'FS (nominal)'!I26*CPI!$I$46</f>
        <v>78326.027772233458</v>
      </c>
      <c r="J25" s="15">
        <f>'FS (nominal)'!J26*CPI!$I$46</f>
        <v>19942.670012260842</v>
      </c>
      <c r="K25" s="17">
        <f>'FS (nominal)'!K26*CPI!$I$46</f>
        <v>2121.6982692252859</v>
      </c>
      <c r="L25" s="17">
        <f>'FS (nominal)'!L26*CPI!$I$46</f>
        <v>4724.22856491118</v>
      </c>
      <c r="M25" s="17">
        <f>'FS (nominal)'!M26*CPI!$I$46</f>
        <v>10209.594821932651</v>
      </c>
      <c r="N25" s="17">
        <f>'FS (nominal)'!N26*CPI!$I$46</f>
        <v>0</v>
      </c>
      <c r="O25" s="17">
        <f>'FS (nominal)'!O26*CPI!$I$46</f>
        <v>0</v>
      </c>
      <c r="P25" s="17">
        <f>'FS (nominal)'!P26*CPI!$I$46</f>
        <v>776.23107410681189</v>
      </c>
      <c r="Q25" s="17">
        <f>'FS (nominal)'!Q26*CPI!$I$46</f>
        <v>0</v>
      </c>
      <c r="R25" s="17">
        <f>'FS (nominal)'!R26*CPI!$I$46</f>
        <v>1746.5199167403266</v>
      </c>
      <c r="S25" s="15">
        <f>'FS (nominal)'!S26*CPI!$I$46</f>
        <v>19578.272646916255</v>
      </c>
      <c r="T25" s="15">
        <f>'FS (nominal)'!T26*CPI!$I$46</f>
        <v>38805.085113056368</v>
      </c>
      <c r="U25" s="15">
        <f>'FS (nominal)'!U26*CPI!$I$46</f>
        <v>7803.817541558552</v>
      </c>
      <c r="V25" s="15">
        <f>'FS (nominal)'!V26*CPI!$I$46</f>
        <v>31001.267571497818</v>
      </c>
      <c r="W25" s="17"/>
      <c r="X25" s="17">
        <f>'FS (nominal)'!W26*CPI!$I$46</f>
        <v>2942.9120418864586</v>
      </c>
      <c r="Y25" s="17">
        <f>'FS (nominal)'!X26*CPI!$I$46</f>
        <v>8671.4078866014661</v>
      </c>
      <c r="Z25" s="17">
        <f>'FS (nominal)'!Y26*CPI!$I$46</f>
        <v>0</v>
      </c>
      <c r="AA25" s="15">
        <f>'FS (nominal)'!Z26*CPI!$I$46</f>
        <v>36729.763416212823</v>
      </c>
      <c r="AB25" s="17">
        <f>'FS (nominal)'!AA26*CPI!$I$46</f>
        <v>19548.085882923213</v>
      </c>
      <c r="AC25" s="17">
        <f>'FS (nominal)'!AB26*CPI!$I$46</f>
        <v>0</v>
      </c>
      <c r="AD25" s="17">
        <f>'FS (nominal)'!AC26*CPI!$I$46</f>
        <v>0</v>
      </c>
      <c r="AE25" s="17">
        <f>'FS (nominal)'!AD26*CPI!$I$46</f>
        <v>0</v>
      </c>
      <c r="AF25" s="17">
        <f>'FS (nominal)'!AE26*CPI!$I$46</f>
        <v>0</v>
      </c>
      <c r="AG25" s="15">
        <f>'FS (nominal)'!AF26*CPI!$I$46</f>
        <v>19548.085882923213</v>
      </c>
      <c r="AH25" s="18">
        <f>'FS (nominal)'!AG26*CPI!$I$46</f>
        <v>0</v>
      </c>
    </row>
    <row r="26" spans="1:34" s="7" customFormat="1" ht="15" customHeight="1">
      <c r="A26" s="246">
        <f>References!H259</f>
        <v>29</v>
      </c>
      <c r="B26" s="256" t="s">
        <v>30</v>
      </c>
      <c r="C26" s="121">
        <v>2009</v>
      </c>
      <c r="D26" s="17">
        <f>'FS (nominal)'!D27*CPI!$I$50</f>
        <v>74596.438739789941</v>
      </c>
      <c r="E26" s="15">
        <f>'FS (nominal)'!E27*CPI!$I$50</f>
        <v>74596.438739789941</v>
      </c>
      <c r="F26" s="15">
        <f>'FS (nominal)'!F27*CPI!$I$50</f>
        <v>6228.5675063490953</v>
      </c>
      <c r="G26" s="15">
        <f>'FS (nominal)'!G27*CPI!$I$50</f>
        <v>0</v>
      </c>
      <c r="H26" s="17">
        <f>'FS (nominal)'!H27*CPI!$I$50</f>
        <v>512.8187246894089</v>
      </c>
      <c r="I26" s="15">
        <f>'FS (nominal)'!I27*CPI!$I$50</f>
        <v>81337.824970828442</v>
      </c>
      <c r="J26" s="15">
        <f>'FS (nominal)'!J27*CPI!$I$50</f>
        <v>22450.871576635316</v>
      </c>
      <c r="K26" s="17">
        <f>'FS (nominal)'!K27*CPI!$I$50</f>
        <v>0</v>
      </c>
      <c r="L26" s="17">
        <f>'FS (nominal)'!L27*CPI!$I$50</f>
        <v>20578.148946393019</v>
      </c>
      <c r="M26" s="17">
        <f>'FS (nominal)'!M27*CPI!$I$50</f>
        <v>0</v>
      </c>
      <c r="N26" s="17">
        <f>'FS (nominal)'!N27*CPI!$I$50</f>
        <v>0</v>
      </c>
      <c r="O26" s="17">
        <f>'FS (nominal)'!O27*CPI!$I$50</f>
        <v>0</v>
      </c>
      <c r="P26" s="17">
        <f>'FS (nominal)'!P27*CPI!$I$50</f>
        <v>0</v>
      </c>
      <c r="Q26" s="17">
        <f>'FS (nominal)'!Q27*CPI!$I$50</f>
        <v>0</v>
      </c>
      <c r="R26" s="17">
        <f>'FS (nominal)'!R27*CPI!$I$50</f>
        <v>0</v>
      </c>
      <c r="S26" s="15">
        <f>'FS (nominal)'!S27*CPI!$I$50</f>
        <v>20578.148946393019</v>
      </c>
      <c r="T26" s="15">
        <f>'FS (nominal)'!T27*CPI!$I$50</f>
        <v>38308.80444780011</v>
      </c>
      <c r="U26" s="15">
        <f>'FS (nominal)'!U27*CPI!$I$50</f>
        <v>7952.3235637312073</v>
      </c>
      <c r="V26" s="15">
        <f>'FS (nominal)'!V27*CPI!$I$50</f>
        <v>30356.480884068904</v>
      </c>
      <c r="W26" s="17"/>
      <c r="X26" s="17">
        <f>'FS (nominal)'!W27*CPI!$I$50</f>
        <v>2727.6780213878774</v>
      </c>
      <c r="Y26" s="17">
        <f>'FS (nominal)'!X27*CPI!$I$50</f>
        <v>8007.0356121353534</v>
      </c>
      <c r="Z26" s="17">
        <f>'FS (nominal)'!Y27*CPI!$I$50</f>
        <v>0</v>
      </c>
      <c r="AA26" s="15">
        <f>'FS (nominal)'!Z27*CPI!$I$50</f>
        <v>35635.838578625837</v>
      </c>
      <c r="AB26" s="17">
        <f>'FS (nominal)'!AA27*CPI!$I$50</f>
        <v>0</v>
      </c>
      <c r="AC26" s="17">
        <f>'FS (nominal)'!AB27*CPI!$I$50</f>
        <v>0</v>
      </c>
      <c r="AD26" s="17">
        <f>'FS (nominal)'!AC27*CPI!$I$50</f>
        <v>0</v>
      </c>
      <c r="AE26" s="17">
        <f>'FS (nominal)'!AD27*CPI!$I$50</f>
        <v>0</v>
      </c>
      <c r="AF26" s="17">
        <f>'FS (nominal)'!AE27*CPI!$I$50</f>
        <v>0</v>
      </c>
      <c r="AG26" s="15">
        <f>'FS (nominal)'!AF27*CPI!$I$50</f>
        <v>19230.702175852832</v>
      </c>
      <c r="AH26" s="18">
        <f>'FS (nominal)'!AG27*CPI!$I$50</f>
        <v>0</v>
      </c>
    </row>
    <row r="27" spans="1:34" s="7" customFormat="1" ht="15" customHeight="1">
      <c r="A27" s="246">
        <f>References!I259</f>
        <v>30</v>
      </c>
      <c r="B27" s="256" t="s">
        <v>30</v>
      </c>
      <c r="C27" s="121">
        <v>2010</v>
      </c>
      <c r="D27" s="17">
        <f>'FS (nominal)'!D28*CPI!$I$54</f>
        <v>74325.060224731205</v>
      </c>
      <c r="E27" s="15">
        <f>'FS (nominal)'!E28*CPI!$I$54</f>
        <v>74325.060224731205</v>
      </c>
      <c r="F27" s="15">
        <f>'FS (nominal)'!F28*CPI!$I$54</f>
        <v>4302.5418339575863</v>
      </c>
      <c r="G27" s="15">
        <f>'FS (nominal)'!G28*CPI!$I$54</f>
        <v>0</v>
      </c>
      <c r="H27" s="17">
        <f>'FS (nominal)'!H28*CPI!$I$54</f>
        <v>609.26356066934318</v>
      </c>
      <c r="I27" s="15">
        <f>'FS (nominal)'!I28*CPI!$I$54</f>
        <v>79236.865619358126</v>
      </c>
      <c r="J27" s="15">
        <f>'FS (nominal)'!J28*CPI!$I$54</f>
        <v>21390.448923499767</v>
      </c>
      <c r="K27" s="17">
        <f>'FS (nominal)'!K28*CPI!$I$54</f>
        <v>3653.54369324459</v>
      </c>
      <c r="L27" s="17">
        <f>'FS (nominal)'!L28*CPI!$I$54</f>
        <v>4932.1821023416232</v>
      </c>
      <c r="M27" s="17">
        <f>'FS (nominal)'!M28*CPI!$I$54</f>
        <v>3206.2749589070622</v>
      </c>
      <c r="N27" s="17">
        <f>'FS (nominal)'!N28*CPI!$I$54</f>
        <v>1443.6897415860524</v>
      </c>
      <c r="O27" s="17">
        <f>'FS (nominal)'!O28*CPI!$I$54</f>
        <v>4612.267791220931</v>
      </c>
      <c r="P27" s="17">
        <f>'FS (nominal)'!P28*CPI!$I$54</f>
        <v>928.15903640430042</v>
      </c>
      <c r="Q27" s="17">
        <f>'FS (nominal)'!Q28*CPI!$I$54</f>
        <v>0</v>
      </c>
      <c r="R27" s="17">
        <f>'FS (nominal)'!R28*CPI!$I$54</f>
        <v>1613.8352510037453</v>
      </c>
      <c r="S27" s="15">
        <f>'FS (nominal)'!S28*CPI!$I$54</f>
        <v>20389.952574708306</v>
      </c>
      <c r="T27" s="15">
        <f>'FS (nominal)'!T28*CPI!$I$54</f>
        <v>37456.464121150057</v>
      </c>
      <c r="U27" s="15">
        <f>'FS (nominal)'!U28*CPI!$I$54</f>
        <v>8341.7147207027556</v>
      </c>
      <c r="V27" s="15">
        <f>'FS (nominal)'!V28*CPI!$I$54</f>
        <v>29114.749400447301</v>
      </c>
      <c r="W27" s="17"/>
      <c r="X27" s="17">
        <f>'FS (nominal)'!W28*CPI!$I$54</f>
        <v>3745.6714754654945</v>
      </c>
      <c r="Y27" s="17">
        <f>'FS (nominal)'!X28*CPI!$I$54</f>
        <v>5795.4829950419007</v>
      </c>
      <c r="Z27" s="17">
        <f>'FS (nominal)'!Y28*CPI!$I$54</f>
        <v>0</v>
      </c>
      <c r="AA27" s="15">
        <f>'FS (nominal)'!Z28*CPI!$I$54</f>
        <v>31164.560614373095</v>
      </c>
      <c r="AB27" s="17">
        <f>'FS (nominal)'!AA28*CPI!$I$54</f>
        <v>7870.5033548004621</v>
      </c>
      <c r="AC27" s="17">
        <f>'FS (nominal)'!AB28*CPI!$I$54</f>
        <v>9329.4756271725346</v>
      </c>
      <c r="AD27" s="17">
        <f>'FS (nominal)'!AC28*CPI!$I$54</f>
        <v>2575.6158551372905</v>
      </c>
      <c r="AE27" s="17">
        <f>'FS (nominal)'!AD28*CPI!$I$54</f>
        <v>2141.5919808143135</v>
      </c>
      <c r="AF27" s="17">
        <f>'FS (nominal)'!AE28*CPI!$I$54</f>
        <v>189.50338174665191</v>
      </c>
      <c r="AG27" s="15">
        <f>'FS (nominal)'!AF28*CPI!$I$54</f>
        <v>22106.690199671255</v>
      </c>
      <c r="AH27" s="18">
        <f>'FS (nominal)'!AG28*CPI!$I$54</f>
        <v>0</v>
      </c>
    </row>
    <row r="28" spans="1:34" s="7" customFormat="1" ht="15" customHeight="1">
      <c r="A28" s="246">
        <f>References!J259</f>
        <v>31</v>
      </c>
      <c r="B28" s="256" t="s">
        <v>30</v>
      </c>
      <c r="C28" s="121">
        <v>2011</v>
      </c>
      <c r="D28" s="17">
        <f>'FS (nominal)'!D29*CPI!$I$58</f>
        <v>72117</v>
      </c>
      <c r="E28" s="15">
        <f>'FS (nominal)'!E29*CPI!$I$58</f>
        <v>72117</v>
      </c>
      <c r="F28" s="15">
        <f>'FS (nominal)'!F29*CPI!$I$58</f>
        <v>4620</v>
      </c>
      <c r="G28" s="15">
        <f>'FS (nominal)'!G29*CPI!$I$58</f>
        <v>0</v>
      </c>
      <c r="H28" s="17">
        <f>'FS (nominal)'!H29*CPI!$I$58</f>
        <v>698</v>
      </c>
      <c r="I28" s="15">
        <f>'FS (nominal)'!I29*CPI!$I$58</f>
        <v>77435</v>
      </c>
      <c r="J28" s="15">
        <f>'FS (nominal)'!J29*CPI!$I$58</f>
        <v>19547</v>
      </c>
      <c r="K28" s="17">
        <f>'FS (nominal)'!K29*CPI!$I$58</f>
        <v>4453</v>
      </c>
      <c r="L28" s="17">
        <f>'FS (nominal)'!L29*CPI!$I$58</f>
        <v>4907</v>
      </c>
      <c r="M28" s="17">
        <f>'FS (nominal)'!M29*CPI!$I$58</f>
        <v>3194</v>
      </c>
      <c r="N28" s="17">
        <f>'FS (nominal)'!N29*CPI!$I$58</f>
        <v>1103</v>
      </c>
      <c r="O28" s="17">
        <f>'FS (nominal)'!O29*CPI!$I$58</f>
        <v>4155</v>
      </c>
      <c r="P28" s="17">
        <f>'FS (nominal)'!P29*CPI!$I$58</f>
        <v>862</v>
      </c>
      <c r="Q28" s="17">
        <f>'FS (nominal)'!Q29*CPI!$I$58</f>
        <v>0</v>
      </c>
      <c r="R28" s="17">
        <f>'FS (nominal)'!R29*CPI!$I$58</f>
        <v>331</v>
      </c>
      <c r="S28" s="15">
        <f>'FS (nominal)'!S29*CPI!$I$58</f>
        <v>19005</v>
      </c>
      <c r="T28" s="15">
        <f>'FS (nominal)'!T29*CPI!$I$58</f>
        <v>38883</v>
      </c>
      <c r="U28" s="15">
        <f>'FS (nominal)'!U29*CPI!$I$58</f>
        <v>8545</v>
      </c>
      <c r="V28" s="15">
        <f>'FS (nominal)'!V29*CPI!$I$58</f>
        <v>30338</v>
      </c>
      <c r="W28" s="17"/>
      <c r="X28" s="17">
        <f>'FS (nominal)'!W29*CPI!$I$58</f>
        <v>3625.9308000000001</v>
      </c>
      <c r="Y28" s="17">
        <f>'FS (nominal)'!X29*CPI!$I$58</f>
        <v>13233.054</v>
      </c>
      <c r="Z28" s="17">
        <f>'FS (nominal)'!Y29*CPI!$I$58</f>
        <v>0</v>
      </c>
      <c r="AA28" s="15">
        <f>'FS (nominal)'!Z29*CPI!$I$58</f>
        <v>39945.123</v>
      </c>
      <c r="AB28" s="17">
        <f>'FS (nominal)'!AA29*CPI!$I$58</f>
        <v>5776</v>
      </c>
      <c r="AC28" s="17">
        <f>'FS (nominal)'!AB29*CPI!$I$58</f>
        <v>5996</v>
      </c>
      <c r="AD28" s="17">
        <f>'FS (nominal)'!AC29*CPI!$I$58</f>
        <v>2041</v>
      </c>
      <c r="AE28" s="17">
        <f>'FS (nominal)'!AD29*CPI!$I$58</f>
        <v>7055</v>
      </c>
      <c r="AF28" s="17">
        <f>'FS (nominal)'!AE29*CPI!$I$58</f>
        <v>1426</v>
      </c>
      <c r="AG28" s="15">
        <f>'FS (nominal)'!AF29*CPI!$I$58</f>
        <v>22294</v>
      </c>
      <c r="AH28" s="18">
        <f>'FS (nominal)'!AG29*CPI!$I$58</f>
        <v>0</v>
      </c>
    </row>
    <row r="29" spans="1:34" s="7" customFormat="1" ht="15" hidden="1" customHeight="1">
      <c r="A29" s="246">
        <f>References!C260</f>
        <v>47</v>
      </c>
      <c r="B29" s="255" t="s">
        <v>111</v>
      </c>
      <c r="C29" s="121">
        <v>2004</v>
      </c>
      <c r="D29" s="17">
        <f>'FS (nominal)'!D30*CPI!$I$30</f>
        <v>6028.3487892896901</v>
      </c>
      <c r="E29" s="15">
        <f>'FS (nominal)'!E30*CPI!$I$30</f>
        <v>6028.3487892896901</v>
      </c>
      <c r="F29" s="15">
        <f>'FS (nominal)'!F30*CPI!$I$30</f>
        <v>0</v>
      </c>
      <c r="G29" s="15">
        <f>'FS (nominal)'!G30*CPI!$I$30</f>
        <v>136.89178937617567</v>
      </c>
      <c r="H29" s="17">
        <f>'FS (nominal)'!H30*CPI!$I$30</f>
        <v>415.17067211781728</v>
      </c>
      <c r="I29" s="15">
        <f>'FS (nominal)'!I30*CPI!$I$30</f>
        <v>6580.4112507836826</v>
      </c>
      <c r="J29" s="15">
        <f>'FS (nominal)'!J30*CPI!$I$30</f>
        <v>2178.8781915655609</v>
      </c>
      <c r="K29" s="17">
        <f>'FS (nominal)'!K30*CPI!$I$30</f>
        <v>0</v>
      </c>
      <c r="L29" s="17">
        <f>'FS (nominal)'!L30*CPI!$I$30</f>
        <v>0</v>
      </c>
      <c r="M29" s="17">
        <f>'FS (nominal)'!M30*CPI!$I$30</f>
        <v>0</v>
      </c>
      <c r="N29" s="17">
        <f>'FS (nominal)'!N30*CPI!$I$30</f>
        <v>0</v>
      </c>
      <c r="O29" s="17">
        <f>'FS (nominal)'!O30*CPI!$I$30</f>
        <v>0</v>
      </c>
      <c r="P29" s="17">
        <f>'FS (nominal)'!P30*CPI!$I$30</f>
        <v>0</v>
      </c>
      <c r="Q29" s="17">
        <f>'FS (nominal)'!Q30*CPI!$I$30</f>
        <v>0</v>
      </c>
      <c r="R29" s="17">
        <f>'FS (nominal)'!R30*CPI!$I$30</f>
        <v>0</v>
      </c>
      <c r="S29" s="15">
        <f>'FS (nominal)'!S30*CPI!$I$30</f>
        <v>4609.5815734285334</v>
      </c>
      <c r="T29" s="15">
        <f>'FS (nominal)'!T30*CPI!$I$30</f>
        <v>1970.8296773551499</v>
      </c>
      <c r="U29" s="15">
        <f>'FS (nominal)'!U30*CPI!$I$30</f>
        <v>463.97406910847843</v>
      </c>
      <c r="V29" s="15">
        <f>'FS (nominal)'!V30*CPI!$I$30</f>
        <v>0</v>
      </c>
      <c r="W29" s="17"/>
      <c r="X29" s="17">
        <f>'FS (nominal)'!W30*CPI!$I$30</f>
        <v>404.29715739036425</v>
      </c>
      <c r="Y29" s="17">
        <f>'FS (nominal)'!X30*CPI!$I$30</f>
        <v>0</v>
      </c>
      <c r="Z29" s="17">
        <f>'FS (nominal)'!Y30*CPI!$I$30</f>
        <v>0</v>
      </c>
      <c r="AA29" s="15">
        <f>'FS (nominal)'!Z30*CPI!$I$30</f>
        <v>1023.286748186488</v>
      </c>
      <c r="AB29" s="17">
        <f>'FS (nominal)'!AA30*CPI!$I$30</f>
        <v>0</v>
      </c>
      <c r="AC29" s="17">
        <f>'FS (nominal)'!AB30*CPI!$I$30</f>
        <v>0</v>
      </c>
      <c r="AD29" s="17">
        <f>'FS (nominal)'!AC30*CPI!$I$30</f>
        <v>0</v>
      </c>
      <c r="AE29" s="17">
        <f>'FS (nominal)'!AD30*CPI!$I$30</f>
        <v>0</v>
      </c>
      <c r="AF29" s="17">
        <f>'FS (nominal)'!AE30*CPI!$I$30</f>
        <v>0</v>
      </c>
      <c r="AG29" s="15">
        <f>'FS (nominal)'!AF30*CPI!$I$30</f>
        <v>0</v>
      </c>
      <c r="AH29" s="18">
        <f>'FS (nominal)'!AG30*CPI!$I$30</f>
        <v>0</v>
      </c>
    </row>
    <row r="30" spans="1:34" s="7" customFormat="1" ht="15" hidden="1" customHeight="1">
      <c r="A30" s="246">
        <f>References!D260</f>
        <v>48</v>
      </c>
      <c r="B30" s="255" t="s">
        <v>111</v>
      </c>
      <c r="C30" s="121">
        <v>2005</v>
      </c>
      <c r="D30" s="17">
        <f>'FS (nominal)'!D31*CPI!$I$34</f>
        <v>5707.0683760902712</v>
      </c>
      <c r="E30" s="15">
        <f>'FS (nominal)'!E31*CPI!$I$34</f>
        <v>5707.0683760902712</v>
      </c>
      <c r="F30" s="15">
        <f>'FS (nominal)'!F31*CPI!$I$34</f>
        <v>0</v>
      </c>
      <c r="G30" s="15">
        <f>'FS (nominal)'!G31*CPI!$I$34</f>
        <v>82.961006410107501</v>
      </c>
      <c r="H30" s="17">
        <f>'FS (nominal)'!H31*CPI!$I$34</f>
        <v>183.65867433483157</v>
      </c>
      <c r="I30" s="15">
        <f>'FS (nominal)'!I31*CPI!$I$34</f>
        <v>5973.6880568352099</v>
      </c>
      <c r="J30" s="15">
        <f>'FS (nominal)'!J31*CPI!$I$34</f>
        <v>2289.3430749654376</v>
      </c>
      <c r="K30" s="17">
        <f>'FS (nominal)'!K31*CPI!$I$34</f>
        <v>0</v>
      </c>
      <c r="L30" s="17">
        <f>'FS (nominal)'!L31*CPI!$I$34</f>
        <v>0</v>
      </c>
      <c r="M30" s="17">
        <f>'FS (nominal)'!M31*CPI!$I$34</f>
        <v>0</v>
      </c>
      <c r="N30" s="17">
        <f>'FS (nominal)'!N31*CPI!$I$34</f>
        <v>0</v>
      </c>
      <c r="O30" s="17">
        <f>'FS (nominal)'!O31*CPI!$I$34</f>
        <v>0</v>
      </c>
      <c r="P30" s="17">
        <f>'FS (nominal)'!P31*CPI!$I$34</f>
        <v>0</v>
      </c>
      <c r="Q30" s="17">
        <f>'FS (nominal)'!Q31*CPI!$I$34</f>
        <v>0</v>
      </c>
      <c r="R30" s="17">
        <f>'FS (nominal)'!R31*CPI!$I$34</f>
        <v>0</v>
      </c>
      <c r="S30" s="15">
        <f>'FS (nominal)'!S31*CPI!$I$34</f>
        <v>4245.6496348689079</v>
      </c>
      <c r="T30" s="15">
        <f>'FS (nominal)'!T31*CPI!$I$34</f>
        <v>1728.0384219663026</v>
      </c>
      <c r="U30" s="15">
        <f>'FS (nominal)'!U31*CPI!$I$34</f>
        <v>937.40498644085346</v>
      </c>
      <c r="V30" s="15">
        <f>'FS (nominal)'!V31*CPI!$I$34</f>
        <v>0</v>
      </c>
      <c r="W30" s="17"/>
      <c r="X30" s="17">
        <f>'FS (nominal)'!W31*CPI!$I$34</f>
        <v>-42.378696125718278</v>
      </c>
      <c r="Y30" s="17">
        <f>'FS (nominal)'!X31*CPI!$I$34</f>
        <v>0</v>
      </c>
      <c r="Z30" s="17">
        <f>'FS (nominal)'!Y31*CPI!$I$34</f>
        <v>0</v>
      </c>
      <c r="AA30" s="15">
        <f>'FS (nominal)'!Z31*CPI!$I$34</f>
        <v>586.92375199313528</v>
      </c>
      <c r="AB30" s="17">
        <f>'FS (nominal)'!AA31*CPI!$I$34</f>
        <v>0</v>
      </c>
      <c r="AC30" s="17">
        <f>'FS (nominal)'!AB31*CPI!$I$34</f>
        <v>0</v>
      </c>
      <c r="AD30" s="17">
        <f>'FS (nominal)'!AC31*CPI!$I$34</f>
        <v>0</v>
      </c>
      <c r="AE30" s="17">
        <f>'FS (nominal)'!AD31*CPI!$I$34</f>
        <v>0</v>
      </c>
      <c r="AF30" s="17">
        <f>'FS (nominal)'!AE31*CPI!$I$34</f>
        <v>0</v>
      </c>
      <c r="AG30" s="15">
        <f>'FS (nominal)'!AF31*CPI!$I$34</f>
        <v>0</v>
      </c>
      <c r="AH30" s="18">
        <f>'FS (nominal)'!AG31*CPI!$I$34</f>
        <v>0</v>
      </c>
    </row>
    <row r="31" spans="1:34" s="7" customFormat="1" ht="14.45" hidden="1" customHeight="1">
      <c r="A31" s="246">
        <f>References!E260</f>
        <v>49</v>
      </c>
      <c r="B31" s="255" t="s">
        <v>111</v>
      </c>
      <c r="C31" s="121">
        <v>2006</v>
      </c>
      <c r="D31" s="17">
        <f>'FS (nominal)'!D32*CPI!$I$38</f>
        <v>5737.0035316350913</v>
      </c>
      <c r="E31" s="15">
        <f>'FS (nominal)'!E32*CPI!$I$38</f>
        <v>5737.0035316350913</v>
      </c>
      <c r="F31" s="15">
        <f>'FS (nominal)'!F32*CPI!$I$38</f>
        <v>0</v>
      </c>
      <c r="G31" s="15">
        <f>'FS (nominal)'!G32*CPI!$I$38</f>
        <v>167.89296252026182</v>
      </c>
      <c r="H31" s="17">
        <f>'FS (nominal)'!H32*CPI!$I$38</f>
        <v>403.36231758974418</v>
      </c>
      <c r="I31" s="15">
        <f>'FS (nominal)'!I32*CPI!$I$38</f>
        <v>6308.2588117450978</v>
      </c>
      <c r="J31" s="15">
        <f>'FS (nominal)'!J32*CPI!$I$38</f>
        <v>2018.7033846367176</v>
      </c>
      <c r="K31" s="17">
        <f>'FS (nominal)'!K32*CPI!$I$38</f>
        <v>0</v>
      </c>
      <c r="L31" s="17">
        <f>'FS (nominal)'!L32*CPI!$I$38</f>
        <v>0</v>
      </c>
      <c r="M31" s="17">
        <f>'FS (nominal)'!M32*CPI!$I$38</f>
        <v>0</v>
      </c>
      <c r="N31" s="17">
        <f>'FS (nominal)'!N32*CPI!$I$38</f>
        <v>0</v>
      </c>
      <c r="O31" s="17">
        <f>'FS (nominal)'!O32*CPI!$I$38</f>
        <v>0</v>
      </c>
      <c r="P31" s="17">
        <f>'FS (nominal)'!P32*CPI!$I$38</f>
        <v>0</v>
      </c>
      <c r="Q31" s="17">
        <f>'FS (nominal)'!Q32*CPI!$I$38</f>
        <v>0</v>
      </c>
      <c r="R31" s="17">
        <f>'FS (nominal)'!R32*CPI!$I$38</f>
        <v>0</v>
      </c>
      <c r="S31" s="15">
        <f>'FS (nominal)'!S32*CPI!$I$38</f>
        <v>4186.0417435548497</v>
      </c>
      <c r="T31" s="15">
        <f>'FS (nominal)'!T32*CPI!$I$38</f>
        <v>2122.217068190248</v>
      </c>
      <c r="U31" s="15">
        <f>'FS (nominal)'!U32*CPI!$I$38</f>
        <v>944.07843102047809</v>
      </c>
      <c r="V31" s="15">
        <f>'FS (nominal)'!V32*CPI!$I$38</f>
        <v>0</v>
      </c>
      <c r="W31" s="17"/>
      <c r="X31" s="17">
        <f>'FS (nominal)'!W32*CPI!$I$38</f>
        <v>131.2162962120787</v>
      </c>
      <c r="Y31" s="17">
        <f>'FS (nominal)'!X32*CPI!$I$38</f>
        <v>0</v>
      </c>
      <c r="Z31" s="17">
        <f>'FS (nominal)'!Y32*CPI!$I$38</f>
        <v>0</v>
      </c>
      <c r="AA31" s="15">
        <f>'FS (nominal)'!Z32*CPI!$I$38</f>
        <v>791.01861502853819</v>
      </c>
      <c r="AB31" s="17">
        <f>'FS (nominal)'!AA32*CPI!$I$38</f>
        <v>0</v>
      </c>
      <c r="AC31" s="17">
        <f>'FS (nominal)'!AB32*CPI!$I$38</f>
        <v>0</v>
      </c>
      <c r="AD31" s="17">
        <f>'FS (nominal)'!AC32*CPI!$I$38</f>
        <v>0</v>
      </c>
      <c r="AE31" s="17">
        <f>'FS (nominal)'!AD32*CPI!$I$38</f>
        <v>0</v>
      </c>
      <c r="AF31" s="17">
        <f>'FS (nominal)'!AE32*CPI!$I$38</f>
        <v>0</v>
      </c>
      <c r="AG31" s="15">
        <f>'FS (nominal)'!AF32*CPI!$I$38</f>
        <v>0</v>
      </c>
      <c r="AH31" s="18">
        <f>'FS (nominal)'!AG32*CPI!$I$38</f>
        <v>0</v>
      </c>
    </row>
    <row r="32" spans="1:34" s="7" customFormat="1" ht="15" hidden="1" customHeight="1">
      <c r="A32" s="246">
        <f>References!F260</f>
        <v>50</v>
      </c>
      <c r="B32" s="255" t="s">
        <v>111</v>
      </c>
      <c r="C32" s="121">
        <v>2007</v>
      </c>
      <c r="D32" s="17">
        <f>'FS (nominal)'!D33*CPI!$I$42</f>
        <v>6151.7567870828098</v>
      </c>
      <c r="E32" s="15">
        <f>'FS (nominal)'!E33*CPI!$I$42</f>
        <v>6151.7567870828098</v>
      </c>
      <c r="F32" s="15">
        <f>'FS (nominal)'!F33*CPI!$I$42</f>
        <v>0</v>
      </c>
      <c r="G32" s="15">
        <f>'FS (nominal)'!G33*CPI!$I$42</f>
        <v>123.8726249744055</v>
      </c>
      <c r="H32" s="17">
        <f>'FS (nominal)'!H33*CPI!$I$42</f>
        <v>638.95106502471708</v>
      </c>
      <c r="I32" s="15">
        <f>'FS (nominal)'!I33*CPI!$I$42</f>
        <v>6914.5804770819323</v>
      </c>
      <c r="J32" s="15">
        <f>'FS (nominal)'!J33*CPI!$I$42</f>
        <v>1986.5119846725368</v>
      </c>
      <c r="K32" s="17">
        <f>'FS (nominal)'!K33*CPI!$I$42</f>
        <v>0</v>
      </c>
      <c r="L32" s="17">
        <f>'FS (nominal)'!L33*CPI!$I$42</f>
        <v>0</v>
      </c>
      <c r="M32" s="17">
        <f>'FS (nominal)'!M33*CPI!$I$42</f>
        <v>0</v>
      </c>
      <c r="N32" s="17">
        <f>'FS (nominal)'!N33*CPI!$I$42</f>
        <v>0</v>
      </c>
      <c r="O32" s="17">
        <f>'FS (nominal)'!O33*CPI!$I$42</f>
        <v>0</v>
      </c>
      <c r="P32" s="17">
        <f>'FS (nominal)'!P33*CPI!$I$42</f>
        <v>0</v>
      </c>
      <c r="Q32" s="17">
        <f>'FS (nominal)'!Q33*CPI!$I$42</f>
        <v>0</v>
      </c>
      <c r="R32" s="17">
        <f>'FS (nominal)'!R33*CPI!$I$42</f>
        <v>0</v>
      </c>
      <c r="S32" s="15">
        <f>'FS (nominal)'!S33*CPI!$I$42</f>
        <v>4134.8249337467469</v>
      </c>
      <c r="T32" s="15">
        <f>'FS (nominal)'!T33*CPI!$I$42</f>
        <v>2779.7555433351858</v>
      </c>
      <c r="U32" s="15">
        <f>'FS (nominal)'!U33*CPI!$I$42</f>
        <v>895.45453856729182</v>
      </c>
      <c r="V32" s="15">
        <f>'FS (nominal)'!V33*CPI!$I$42</f>
        <v>0</v>
      </c>
      <c r="W32" s="17"/>
      <c r="X32" s="17">
        <f>'FS (nominal)'!W33*CPI!$I$42</f>
        <v>289.05787580074303</v>
      </c>
      <c r="Y32" s="17">
        <f>'FS (nominal)'!X33*CPI!$I$42</f>
        <v>0</v>
      </c>
      <c r="Z32" s="17">
        <f>'FS (nominal)'!Y33*CPI!$I$42</f>
        <v>0</v>
      </c>
      <c r="AA32" s="15">
        <f>'FS (nominal)'!Z33*CPI!$I$42</f>
        <v>1434.5448225933835</v>
      </c>
      <c r="AB32" s="17">
        <f>'FS (nominal)'!AA33*CPI!$I$42</f>
        <v>0</v>
      </c>
      <c r="AC32" s="17">
        <f>'FS (nominal)'!AB33*CPI!$I$42</f>
        <v>0</v>
      </c>
      <c r="AD32" s="17">
        <f>'FS (nominal)'!AC33*CPI!$I$42</f>
        <v>0</v>
      </c>
      <c r="AE32" s="17">
        <f>'FS (nominal)'!AD33*CPI!$I$42</f>
        <v>0</v>
      </c>
      <c r="AF32" s="17">
        <f>'FS (nominal)'!AE33*CPI!$I$42</f>
        <v>0</v>
      </c>
      <c r="AG32" s="15">
        <f>'FS (nominal)'!AF33*CPI!$I$42</f>
        <v>0</v>
      </c>
      <c r="AH32" s="18">
        <f>'FS (nominal)'!AG33*CPI!$I$42</f>
        <v>0</v>
      </c>
    </row>
    <row r="33" spans="1:34" s="7" customFormat="1" ht="15" customHeight="1">
      <c r="A33" s="246">
        <f>References!G260</f>
        <v>51</v>
      </c>
      <c r="B33" s="256" t="s">
        <v>31</v>
      </c>
      <c r="C33" s="121">
        <v>2008</v>
      </c>
      <c r="D33" s="17">
        <f>'FS (nominal)'!D34*CPI!$I$46</f>
        <v>5996.3850474751216</v>
      </c>
      <c r="E33" s="15">
        <f>'FS (nominal)'!E34*CPI!$I$46</f>
        <v>5996.3850474751216</v>
      </c>
      <c r="F33" s="15">
        <f>'FS (nominal)'!F34*CPI!$I$46</f>
        <v>546.59604801687999</v>
      </c>
      <c r="G33" s="15">
        <f>'FS (nominal)'!G34*CPI!$I$46</f>
        <v>84.091699694904619</v>
      </c>
      <c r="H33" s="17">
        <f>'FS (nominal)'!H34*CPI!$I$46</f>
        <v>0</v>
      </c>
      <c r="I33" s="15">
        <f>'FS (nominal)'!I34*CPI!$I$46</f>
        <v>6627.0727951869058</v>
      </c>
      <c r="J33" s="15">
        <f>'FS (nominal)'!J34*CPI!$I$46</f>
        <v>2100.1362949445411</v>
      </c>
      <c r="K33" s="17">
        <f>'FS (nominal)'!K34*CPI!$I$46</f>
        <v>0</v>
      </c>
      <c r="L33" s="17">
        <f>'FS (nominal)'!L34*CPI!$I$46</f>
        <v>0</v>
      </c>
      <c r="M33" s="17">
        <f>'FS (nominal)'!M34*CPI!$I$46</f>
        <v>861.40087251575369</v>
      </c>
      <c r="N33" s="17">
        <f>'FS (nominal)'!N34*CPI!$I$46</f>
        <v>0</v>
      </c>
      <c r="O33" s="17">
        <f>'FS (nominal)'!O34*CPI!$I$46</f>
        <v>0</v>
      </c>
      <c r="P33" s="17">
        <f>'FS (nominal)'!P34*CPI!$I$46</f>
        <v>0</v>
      </c>
      <c r="Q33" s="17">
        <f>'FS (nominal)'!Q34*CPI!$I$46</f>
        <v>0</v>
      </c>
      <c r="R33" s="17">
        <f>'FS (nominal)'!R34*CPI!$I$46</f>
        <v>2028.9817798180832</v>
      </c>
      <c r="S33" s="15">
        <f>'FS (nominal)'!S34*CPI!$I$46</f>
        <v>2890.3826523338371</v>
      </c>
      <c r="T33" s="15">
        <f>'FS (nominal)'!T34*CPI!$I$46</f>
        <v>1636.5538479085283</v>
      </c>
      <c r="U33" s="15">
        <f>'FS (nominal)'!U34*CPI!$I$46</f>
        <v>1094.2701947477972</v>
      </c>
      <c r="V33" s="15">
        <f>'FS (nominal)'!V34*CPI!$I$46</f>
        <v>542.28365316073109</v>
      </c>
      <c r="W33" s="17"/>
      <c r="X33" s="17">
        <f>'FS (nominal)'!W34*CPI!$I$46</f>
        <v>-230.49372093467537</v>
      </c>
      <c r="Y33" s="17">
        <f>'FS (nominal)'!X34*CPI!$I$46</f>
        <v>808.52833492344098</v>
      </c>
      <c r="Z33" s="17">
        <f>'FS (nominal)'!Y34*CPI!$I$46</f>
        <v>0</v>
      </c>
      <c r="AA33" s="15">
        <f>'FS (nominal)'!Z34*CPI!$I$46</f>
        <v>1581.3057090188474</v>
      </c>
      <c r="AB33" s="17">
        <f>'FS (nominal)'!AA34*CPI!$I$46</f>
        <v>1198.8457700094093</v>
      </c>
      <c r="AC33" s="17">
        <f>'FS (nominal)'!AB34*CPI!$I$46</f>
        <v>0</v>
      </c>
      <c r="AD33" s="17">
        <f>'FS (nominal)'!AC34*CPI!$I$46</f>
        <v>0</v>
      </c>
      <c r="AE33" s="17">
        <f>'FS (nominal)'!AD34*CPI!$I$46</f>
        <v>0</v>
      </c>
      <c r="AF33" s="17">
        <f>'FS (nominal)'!AE34*CPI!$I$46</f>
        <v>0</v>
      </c>
      <c r="AG33" s="15">
        <f>'FS (nominal)'!AF34*CPI!$I$46</f>
        <v>1198.8457700094093</v>
      </c>
      <c r="AH33" s="18">
        <f>'FS (nominal)'!AG34*CPI!$I$46</f>
        <v>15.093381996521341</v>
      </c>
    </row>
    <row r="34" spans="1:34" s="7" customFormat="1" ht="15" customHeight="1">
      <c r="A34" s="246">
        <f>References!H260</f>
        <v>52</v>
      </c>
      <c r="B34" s="256" t="s">
        <v>31</v>
      </c>
      <c r="C34" s="121">
        <v>2009</v>
      </c>
      <c r="D34" s="17">
        <f>'FS (nominal)'!D35*CPI!$I$50</f>
        <v>4557.2352254787547</v>
      </c>
      <c r="E34" s="15">
        <f>'FS (nominal)'!E35*CPI!$I$50</f>
        <v>4865.5493170430354</v>
      </c>
      <c r="F34" s="15">
        <f>'FS (nominal)'!F35*CPI!$I$50</f>
        <v>444.30448211956883</v>
      </c>
      <c r="G34" s="15">
        <f>'FS (nominal)'!G35*CPI!$I$50</f>
        <v>156.75228224311891</v>
      </c>
      <c r="H34" s="17">
        <f>'FS (nominal)'!H35*CPI!$I$50</f>
        <v>0</v>
      </c>
      <c r="I34" s="15">
        <f>'FS (nominal)'!I35*CPI!$I$50</f>
        <v>5466.6060814057228</v>
      </c>
      <c r="J34" s="15">
        <f>'FS (nominal)'!J35*CPI!$I$50</f>
        <v>894.83753174548667</v>
      </c>
      <c r="K34" s="17">
        <f>'FS (nominal)'!K35*CPI!$I$50</f>
        <v>702.79003363305628</v>
      </c>
      <c r="L34" s="17">
        <f>'FS (nominal)'!L35*CPI!$I$50</f>
        <v>512.8187246894089</v>
      </c>
      <c r="M34" s="17">
        <f>'FS (nominal)'!M35*CPI!$I$50</f>
        <v>485.82826549522946</v>
      </c>
      <c r="N34" s="17">
        <f>'FS (nominal)'!N35*CPI!$I$50</f>
        <v>0</v>
      </c>
      <c r="O34" s="17">
        <f>'FS (nominal)'!O35*CPI!$I$50</f>
        <v>239.79984899444017</v>
      </c>
      <c r="P34" s="17">
        <f>'FS (nominal)'!P35*CPI!$I$50</f>
        <v>0</v>
      </c>
      <c r="Q34" s="17">
        <f>'FS (nominal)'!Q35*CPI!$I$50</f>
        <v>0</v>
      </c>
      <c r="R34" s="17">
        <f>'FS (nominal)'!R35*CPI!$I$50</f>
        <v>0</v>
      </c>
      <c r="S34" s="15">
        <f>'FS (nominal)'!S35*CPI!$I$50</f>
        <v>1941.2368728121348</v>
      </c>
      <c r="T34" s="15">
        <f>'FS (nominal)'!T35*CPI!$I$50</f>
        <v>2630.5316768481011</v>
      </c>
      <c r="U34" s="15">
        <f>'FS (nominal)'!U35*CPI!$I$50</f>
        <v>1147.0945157526251</v>
      </c>
      <c r="V34" s="15">
        <f>'FS (nominal)'!V35*CPI!$I$50</f>
        <v>1483.4371610954763</v>
      </c>
      <c r="W34" s="17"/>
      <c r="X34" s="17">
        <f>'FS (nominal)'!W35*CPI!$I$50</f>
        <v>117.98669541629484</v>
      </c>
      <c r="Y34" s="17">
        <f>'FS (nominal)'!X35*CPI!$I$50</f>
        <v>718.54920218546215</v>
      </c>
      <c r="Z34" s="17">
        <f>'FS (nominal)'!Y35*CPI!$I$50</f>
        <v>162.98084974946801</v>
      </c>
      <c r="AA34" s="15">
        <f>'FS (nominal)'!Z35*CPI!$I$50</f>
        <v>2246.9805383760031</v>
      </c>
      <c r="AB34" s="17">
        <f>'FS (nominal)'!AA35*CPI!$I$50</f>
        <v>416.27592834099789</v>
      </c>
      <c r="AC34" s="17">
        <f>'FS (nominal)'!AB35*CPI!$I$50</f>
        <v>0</v>
      </c>
      <c r="AD34" s="17">
        <f>'FS (nominal)'!AC35*CPI!$I$50</f>
        <v>0</v>
      </c>
      <c r="AE34" s="17">
        <f>'FS (nominal)'!AD35*CPI!$I$50</f>
        <v>644.6567369071314</v>
      </c>
      <c r="AF34" s="17">
        <f>'FS (nominal)'!AE35*CPI!$I$50</f>
        <v>0</v>
      </c>
      <c r="AG34" s="15">
        <f>'FS (nominal)'!AF35*CPI!$I$50</f>
        <v>1060.9326652481293</v>
      </c>
      <c r="AH34" s="18">
        <f>'FS (nominal)'!AG35*CPI!$I$50</f>
        <v>258.48555151348745</v>
      </c>
    </row>
    <row r="35" spans="1:34" s="7" customFormat="1" ht="15" customHeight="1">
      <c r="A35" s="246">
        <f>References!I260</f>
        <v>53</v>
      </c>
      <c r="B35" s="256" t="s">
        <v>31</v>
      </c>
      <c r="C35" s="121">
        <v>2010</v>
      </c>
      <c r="D35" s="17">
        <f>'FS (nominal)'!D36*CPI!$I$54</f>
        <v>5465.0330090808648</v>
      </c>
      <c r="E35" s="15">
        <f>'FS (nominal)'!E36*CPI!$I$54</f>
        <v>5465.0330090808648</v>
      </c>
      <c r="F35" s="15">
        <f>'FS (nominal)'!F36*CPI!$I$54</f>
        <v>1077.9278381072995</v>
      </c>
      <c r="G35" s="15">
        <f>'FS (nominal)'!G36*CPI!$I$54</f>
        <v>38.71574465791813</v>
      </c>
      <c r="H35" s="17">
        <f>'FS (nominal)'!H36*CPI!$I$54</f>
        <v>0</v>
      </c>
      <c r="I35" s="15">
        <f>'FS (nominal)'!I36*CPI!$I$54</f>
        <v>6581.6765918460824</v>
      </c>
      <c r="J35" s="15">
        <f>'FS (nominal)'!J36*CPI!$I$54</f>
        <v>841.55802861685197</v>
      </c>
      <c r="K35" s="17">
        <f>'FS (nominal)'!K36*CPI!$I$54</f>
        <v>723.37312387162831</v>
      </c>
      <c r="L35" s="17">
        <f>'FS (nominal)'!L36*CPI!$I$54</f>
        <v>558.32179138260881</v>
      </c>
      <c r="M35" s="17">
        <f>'FS (nominal)'!M36*CPI!$I$54</f>
        <v>1194.075072081054</v>
      </c>
      <c r="N35" s="17">
        <f>'FS (nominal)'!N36*CPI!$I$54</f>
        <v>0</v>
      </c>
      <c r="O35" s="17">
        <f>'FS (nominal)'!O36*CPI!$I$54</f>
        <v>92.714020101856576</v>
      </c>
      <c r="P35" s="17">
        <f>'FS (nominal)'!P36*CPI!$I$54</f>
        <v>0</v>
      </c>
      <c r="Q35" s="17">
        <f>'FS (nominal)'!Q36*CPI!$I$54</f>
        <v>0</v>
      </c>
      <c r="R35" s="17">
        <f>'FS (nominal)'!R36*CPI!$I$54</f>
        <v>0</v>
      </c>
      <c r="S35" s="15">
        <f>'FS (nominal)'!S36*CPI!$I$54</f>
        <v>2568.4840074371477</v>
      </c>
      <c r="T35" s="15">
        <f>'FS (nominal)'!T36*CPI!$I$54</f>
        <v>3171.6345557920827</v>
      </c>
      <c r="U35" s="15">
        <f>'FS (nominal)'!U36*CPI!$I$54</f>
        <v>1250.1110182964617</v>
      </c>
      <c r="V35" s="15">
        <f>'FS (nominal)'!V36*CPI!$I$54</f>
        <v>1921.523537495621</v>
      </c>
      <c r="W35" s="17"/>
      <c r="X35" s="17">
        <f>'FS (nominal)'!W36*CPI!$I$54</f>
        <v>104.10588344695641</v>
      </c>
      <c r="Y35" s="17">
        <f>'FS (nominal)'!X36*CPI!$I$54</f>
        <v>504.73106028131815</v>
      </c>
      <c r="Z35" s="17">
        <f>'FS (nominal)'!Y36*CPI!$I$54</f>
        <v>0</v>
      </c>
      <c r="AA35" s="15">
        <f>'FS (nominal)'!Z36*CPI!$I$54</f>
        <v>2322.1486633882132</v>
      </c>
      <c r="AB35" s="17">
        <f>'FS (nominal)'!AA36*CPI!$I$54</f>
        <v>455.41941742340538</v>
      </c>
      <c r="AC35" s="17">
        <f>'FS (nominal)'!AB36*CPI!$I$54</f>
        <v>341.30985422112036</v>
      </c>
      <c r="AD35" s="17">
        <f>'FS (nominal)'!AC36*CPI!$I$54</f>
        <v>546.09576675379265</v>
      </c>
      <c r="AE35" s="17">
        <f>'FS (nominal)'!AD36*CPI!$I$54</f>
        <v>167.08900326048877</v>
      </c>
      <c r="AF35" s="17">
        <f>'FS (nominal)'!AE36*CPI!$I$54</f>
        <v>0</v>
      </c>
      <c r="AG35" s="15">
        <f>'FS (nominal)'!AF36*CPI!$I$54</f>
        <v>1509.914041658807</v>
      </c>
      <c r="AH35" s="18">
        <f>'FS (nominal)'!AG36*CPI!$I$54</f>
        <v>137.54277707418285</v>
      </c>
    </row>
    <row r="36" spans="1:34" s="7" customFormat="1" ht="15" customHeight="1">
      <c r="A36" s="246">
        <f>References!J260</f>
        <v>54</v>
      </c>
      <c r="B36" s="256" t="s">
        <v>31</v>
      </c>
      <c r="C36" s="121">
        <v>2011</v>
      </c>
      <c r="D36" s="17">
        <f>'FS (nominal)'!D37*CPI!$I$58</f>
        <v>6200.4471999999996</v>
      </c>
      <c r="E36" s="15">
        <f>'FS (nominal)'!E37*CPI!$I$58</f>
        <v>6200.4471999999996</v>
      </c>
      <c r="F36" s="15">
        <f>'FS (nominal)'!F37*CPI!$I$58</f>
        <v>325.79676999999998</v>
      </c>
      <c r="G36" s="15">
        <f>'FS (nominal)'!G37*CPI!$I$58</f>
        <v>62.689950000000003</v>
      </c>
      <c r="H36" s="17">
        <f>'FS (nominal)'!H37*CPI!$I$58</f>
        <v>6.63</v>
      </c>
      <c r="I36" s="15">
        <f>'FS (nominal)'!I37*CPI!$I$58</f>
        <v>6595.5639000000001</v>
      </c>
      <c r="J36" s="15">
        <f>'FS (nominal)'!J37*CPI!$I$58</f>
        <v>1046.1690000000001</v>
      </c>
      <c r="K36" s="17">
        <f>'FS (nominal)'!K37*CPI!$I$58</f>
        <v>1709.944</v>
      </c>
      <c r="L36" s="17">
        <f>'FS (nominal)'!L37*CPI!$I$58</f>
        <v>274.90791999999999</v>
      </c>
      <c r="M36" s="17">
        <f>'FS (nominal)'!M37*CPI!$I$58</f>
        <v>323.79111999999998</v>
      </c>
      <c r="N36" s="17">
        <f>'FS (nominal)'!N37*CPI!$I$58</f>
        <v>320.76582000000002</v>
      </c>
      <c r="O36" s="17">
        <f>'FS (nominal)'!O37*CPI!$I$58</f>
        <v>196.00413</v>
      </c>
      <c r="P36" s="17">
        <f>'FS (nominal)'!P37*CPI!$I$58</f>
        <v>49.357370000000003</v>
      </c>
      <c r="Q36" s="17">
        <f>'FS (nominal)'!Q37*CPI!$I$58</f>
        <v>0</v>
      </c>
      <c r="R36" s="17">
        <f>'FS (nominal)'!R37*CPI!$I$58</f>
        <v>0</v>
      </c>
      <c r="S36" s="15">
        <f>'FS (nominal)'!S37*CPI!$I$58</f>
        <v>2874.7703000000001</v>
      </c>
      <c r="T36" s="15">
        <f>'FS (nominal)'!T37*CPI!$I$58</f>
        <v>2674.6246000000001</v>
      </c>
      <c r="U36" s="15">
        <f>'FS (nominal)'!U37*CPI!$I$58</f>
        <v>1149.701</v>
      </c>
      <c r="V36" s="15">
        <f>'FS (nominal)'!V37*CPI!$I$58</f>
        <v>1524.9236000000001</v>
      </c>
      <c r="W36" s="17"/>
      <c r="X36" s="17">
        <f>'FS (nominal)'!W37*CPI!$I$58</f>
        <v>100.35173</v>
      </c>
      <c r="Y36" s="17">
        <f>'FS (nominal)'!X37*CPI!$I$58</f>
        <v>1115.1384</v>
      </c>
      <c r="Z36" s="17">
        <f>'FS (nominal)'!Y37*CPI!$I$58</f>
        <v>0</v>
      </c>
      <c r="AA36" s="15">
        <f>'FS (nominal)'!Z37*CPI!$I$58</f>
        <v>2539.7102</v>
      </c>
      <c r="AB36" s="17">
        <f>'FS (nominal)'!AA37*CPI!$I$58</f>
        <v>321</v>
      </c>
      <c r="AC36" s="17">
        <f>'FS (nominal)'!AB37*CPI!$I$58</f>
        <v>0</v>
      </c>
      <c r="AD36" s="17">
        <f>'FS (nominal)'!AC37*CPI!$I$58</f>
        <v>216</v>
      </c>
      <c r="AE36" s="17">
        <f>'FS (nominal)'!AD37*CPI!$I$58</f>
        <v>737.24699999999996</v>
      </c>
      <c r="AF36" s="17">
        <f>'FS (nominal)'!AE37*CPI!$I$58</f>
        <v>21</v>
      </c>
      <c r="AG36" s="15">
        <f>'FS (nominal)'!AF37*CPI!$I$58</f>
        <v>1295.2470000000001</v>
      </c>
      <c r="AH36" s="18">
        <f>'FS (nominal)'!AG37*CPI!$I$58</f>
        <v>152.708</v>
      </c>
    </row>
    <row r="37" spans="1:34" s="7" customFormat="1" ht="15" hidden="1" customHeight="1">
      <c r="A37" s="246">
        <f>References!C261</f>
        <v>70</v>
      </c>
      <c r="B37" s="255" t="s">
        <v>32</v>
      </c>
      <c r="C37" s="121">
        <v>2004</v>
      </c>
      <c r="D37" s="17">
        <f>'FS (nominal)'!D38*CPI!$I$30</f>
        <v>7728.4928069501257</v>
      </c>
      <c r="E37" s="15">
        <f>'FS (nominal)'!E38*CPI!$I$30</f>
        <v>7728.4928069501257</v>
      </c>
      <c r="F37" s="15">
        <f>'FS (nominal)'!F38*CPI!$I$30</f>
        <v>0</v>
      </c>
      <c r="G37" s="15">
        <f>'FS (nominal)'!G38*CPI!$I$30</f>
        <v>99.036788587265249</v>
      </c>
      <c r="H37" s="17">
        <f>'FS (nominal)'!H38*CPI!$I$30</f>
        <v>845.43600013519119</v>
      </c>
      <c r="I37" s="15">
        <f>'FS (nominal)'!I38*CPI!$I$30</f>
        <v>8672.9655956725819</v>
      </c>
      <c r="J37" s="15">
        <f>'FS (nominal)'!J38*CPI!$I$30</f>
        <v>2711.4340290050059</v>
      </c>
      <c r="K37" s="17">
        <f>'FS (nominal)'!K38*CPI!$I$30</f>
        <v>0</v>
      </c>
      <c r="L37" s="17">
        <f>'FS (nominal)'!L38*CPI!$I$30</f>
        <v>0</v>
      </c>
      <c r="M37" s="17">
        <f>'FS (nominal)'!M38*CPI!$I$30</f>
        <v>0</v>
      </c>
      <c r="N37" s="17">
        <f>'FS (nominal)'!N38*CPI!$I$30</f>
        <v>0</v>
      </c>
      <c r="O37" s="17">
        <f>'FS (nominal)'!O38*CPI!$I$30</f>
        <v>0</v>
      </c>
      <c r="P37" s="17">
        <f>'FS (nominal)'!P38*CPI!$I$30</f>
        <v>0</v>
      </c>
      <c r="Q37" s="17">
        <f>'FS (nominal)'!Q38*CPI!$I$30</f>
        <v>0</v>
      </c>
      <c r="R37" s="17">
        <f>'FS (nominal)'!R38*CPI!$I$30</f>
        <v>0</v>
      </c>
      <c r="S37" s="15">
        <f>'FS (nominal)'!S38*CPI!$I$30</f>
        <v>5349.1943494268025</v>
      </c>
      <c r="T37" s="15">
        <f>'FS (nominal)'!T38*CPI!$I$30</f>
        <v>3323.7712462457803</v>
      </c>
      <c r="U37" s="15">
        <f>'FS (nominal)'!U38*CPI!$I$30</f>
        <v>1291.1015487778848</v>
      </c>
      <c r="V37" s="15">
        <f>'FS (nominal)'!V38*CPI!$I$30</f>
        <v>0</v>
      </c>
      <c r="W37" s="17"/>
      <c r="X37" s="17">
        <f>'FS (nominal)'!W38*CPI!$I$30</f>
        <v>6.0388285723942223</v>
      </c>
      <c r="Y37" s="17">
        <f>'FS (nominal)'!X38*CPI!$I$30</f>
        <v>0</v>
      </c>
      <c r="Z37" s="17">
        <f>'FS (nominal)'!Y38*CPI!$I$30</f>
        <v>0</v>
      </c>
      <c r="AA37" s="15">
        <f>'FS (nominal)'!Z38*CPI!$I$30</f>
        <v>2023.0075717520645</v>
      </c>
      <c r="AB37" s="17">
        <f>'FS (nominal)'!AA38*CPI!$I$30</f>
        <v>0</v>
      </c>
      <c r="AC37" s="17">
        <f>'FS (nominal)'!AB38*CPI!$I$30</f>
        <v>0</v>
      </c>
      <c r="AD37" s="17">
        <f>'FS (nominal)'!AC38*CPI!$I$30</f>
        <v>0</v>
      </c>
      <c r="AE37" s="17">
        <f>'FS (nominal)'!AD38*CPI!$I$30</f>
        <v>0</v>
      </c>
      <c r="AF37" s="17">
        <f>'FS (nominal)'!AE38*CPI!$I$30</f>
        <v>0</v>
      </c>
      <c r="AG37" s="15">
        <f>'FS (nominal)'!AF38*CPI!$I$30</f>
        <v>0</v>
      </c>
      <c r="AH37" s="18">
        <f>'FS (nominal)'!AG38*CPI!$I$30</f>
        <v>0</v>
      </c>
    </row>
    <row r="38" spans="1:34" s="7" customFormat="1" ht="15" hidden="1" customHeight="1">
      <c r="A38" s="246">
        <f>References!D261</f>
        <v>71</v>
      </c>
      <c r="B38" s="255" t="s">
        <v>32</v>
      </c>
      <c r="C38" s="121">
        <v>2005</v>
      </c>
      <c r="D38" s="17">
        <f>'FS (nominal)'!D39*CPI!$I$34</f>
        <v>7843.5903412683583</v>
      </c>
      <c r="E38" s="15">
        <f>'FS (nominal)'!E39*CPI!$I$34</f>
        <v>7843.5903412683583</v>
      </c>
      <c r="F38" s="15">
        <f>'FS (nominal)'!F39*CPI!$I$34</f>
        <v>0</v>
      </c>
      <c r="G38" s="15">
        <f>'FS (nominal)'!G39*CPI!$I$34</f>
        <v>301.35961689399664</v>
      </c>
      <c r="H38" s="17">
        <f>'FS (nominal)'!H39*CPI!$I$34</f>
        <v>488.53219144925237</v>
      </c>
      <c r="I38" s="15">
        <f>'FS (nominal)'!I39*CPI!$I$34</f>
        <v>8633.4821496116074</v>
      </c>
      <c r="J38" s="15">
        <f>'FS (nominal)'!J39*CPI!$I$34</f>
        <v>2771.0958522205783</v>
      </c>
      <c r="K38" s="17">
        <f>'FS (nominal)'!K39*CPI!$I$34</f>
        <v>0</v>
      </c>
      <c r="L38" s="17">
        <f>'FS (nominal)'!L39*CPI!$I$34</f>
        <v>0</v>
      </c>
      <c r="M38" s="17">
        <f>'FS (nominal)'!M39*CPI!$I$34</f>
        <v>0</v>
      </c>
      <c r="N38" s="17">
        <f>'FS (nominal)'!N39*CPI!$I$34</f>
        <v>0</v>
      </c>
      <c r="O38" s="17">
        <f>'FS (nominal)'!O39*CPI!$I$34</f>
        <v>0</v>
      </c>
      <c r="P38" s="17">
        <f>'FS (nominal)'!P39*CPI!$I$34</f>
        <v>0</v>
      </c>
      <c r="Q38" s="17">
        <f>'FS (nominal)'!Q39*CPI!$I$34</f>
        <v>0</v>
      </c>
      <c r="R38" s="17">
        <f>'FS (nominal)'!R39*CPI!$I$34</f>
        <v>0</v>
      </c>
      <c r="S38" s="15">
        <f>'FS (nominal)'!S39*CPI!$I$34</f>
        <v>5192.5674614039808</v>
      </c>
      <c r="T38" s="15">
        <f>'FS (nominal)'!T39*CPI!$I$34</f>
        <v>3440.9146882076257</v>
      </c>
      <c r="U38" s="15">
        <f>'FS (nominal)'!U39*CPI!$I$34</f>
        <v>1805.8033293569956</v>
      </c>
      <c r="V38" s="15">
        <f>'FS (nominal)'!V39*CPI!$I$34</f>
        <v>0</v>
      </c>
      <c r="W38" s="17"/>
      <c r="X38" s="17">
        <f>'FS (nominal)'!W39*CPI!$I$34</f>
        <v>580.35269972164201</v>
      </c>
      <c r="Y38" s="17">
        <f>'FS (nominal)'!X39*CPI!$I$34</f>
        <v>0</v>
      </c>
      <c r="Z38" s="17">
        <f>'FS (nominal)'!Y39*CPI!$I$34</f>
        <v>0</v>
      </c>
      <c r="AA38" s="15">
        <f>'FS (nominal)'!Z39*CPI!$I$34</f>
        <v>1054.7586591289883</v>
      </c>
      <c r="AB38" s="17">
        <f>'FS (nominal)'!AA39*CPI!$I$34</f>
        <v>0</v>
      </c>
      <c r="AC38" s="17">
        <f>'FS (nominal)'!AB39*CPI!$I$34</f>
        <v>0</v>
      </c>
      <c r="AD38" s="17">
        <f>'FS (nominal)'!AC39*CPI!$I$34</f>
        <v>0</v>
      </c>
      <c r="AE38" s="17">
        <f>'FS (nominal)'!AD39*CPI!$I$34</f>
        <v>0</v>
      </c>
      <c r="AF38" s="17">
        <f>'FS (nominal)'!AE39*CPI!$I$34</f>
        <v>0</v>
      </c>
      <c r="AG38" s="15">
        <f>'FS (nominal)'!AF39*CPI!$I$34</f>
        <v>0</v>
      </c>
      <c r="AH38" s="18">
        <f>'FS (nominal)'!AG39*CPI!$I$34</f>
        <v>0</v>
      </c>
    </row>
    <row r="39" spans="1:34" s="7" customFormat="1" ht="14.45" hidden="1" customHeight="1">
      <c r="A39" s="246">
        <f>References!E261</f>
        <v>72</v>
      </c>
      <c r="B39" s="255" t="s">
        <v>32</v>
      </c>
      <c r="C39" s="121">
        <v>2006</v>
      </c>
      <c r="D39" s="17">
        <f>'FS (nominal)'!D40*CPI!$I$38</f>
        <v>7556.9176505443247</v>
      </c>
      <c r="E39" s="15">
        <f>'FS (nominal)'!E40*CPI!$I$38</f>
        <v>7556.9176505443247</v>
      </c>
      <c r="F39" s="15">
        <f>'FS (nominal)'!F40*CPI!$I$38</f>
        <v>0</v>
      </c>
      <c r="G39" s="15">
        <f>'FS (nominal)'!G40*CPI!$I$38</f>
        <v>124.37022858362243</v>
      </c>
      <c r="H39" s="17">
        <f>'FS (nominal)'!H40*CPI!$I$38</f>
        <v>676.6196839457624</v>
      </c>
      <c r="I39" s="15">
        <f>'FS (nominal)'!I40*CPI!$I$38</f>
        <v>8357.9075630737098</v>
      </c>
      <c r="J39" s="15">
        <f>'FS (nominal)'!J40*CPI!$I$38</f>
        <v>1652.1843210007823</v>
      </c>
      <c r="K39" s="17">
        <f>'FS (nominal)'!K40*CPI!$I$38</f>
        <v>0</v>
      </c>
      <c r="L39" s="17">
        <f>'FS (nominal)'!L40*CPI!$I$38</f>
        <v>0</v>
      </c>
      <c r="M39" s="17">
        <f>'FS (nominal)'!M40*CPI!$I$38</f>
        <v>0</v>
      </c>
      <c r="N39" s="17">
        <f>'FS (nominal)'!N40*CPI!$I$38</f>
        <v>0</v>
      </c>
      <c r="O39" s="17">
        <f>'FS (nominal)'!O40*CPI!$I$38</f>
        <v>0</v>
      </c>
      <c r="P39" s="17">
        <f>'FS (nominal)'!P40*CPI!$I$38</f>
        <v>0</v>
      </c>
      <c r="Q39" s="17">
        <f>'FS (nominal)'!Q40*CPI!$I$38</f>
        <v>0</v>
      </c>
      <c r="R39" s="17">
        <f>'FS (nominal)'!R40*CPI!$I$38</f>
        <v>0</v>
      </c>
      <c r="S39" s="15">
        <f>'FS (nominal)'!S40*CPI!$I$38</f>
        <v>3416.187746599684</v>
      </c>
      <c r="T39" s="15">
        <f>'FS (nominal)'!T40*CPI!$I$38</f>
        <v>4941.7198164740248</v>
      </c>
      <c r="U39" s="15">
        <f>'FS (nominal)'!U40*CPI!$I$38</f>
        <v>1782.2596059414516</v>
      </c>
      <c r="V39" s="15">
        <f>'FS (nominal)'!V40*CPI!$I$38</f>
        <v>0</v>
      </c>
      <c r="W39" s="17"/>
      <c r="X39" s="17">
        <f>'FS (nominal)'!W40*CPI!$I$38</f>
        <v>1071.4095838534079</v>
      </c>
      <c r="Y39" s="17">
        <f>'FS (nominal)'!X40*CPI!$I$38</f>
        <v>0</v>
      </c>
      <c r="Z39" s="17">
        <f>'FS (nominal)'!Y40*CPI!$I$38</f>
        <v>0</v>
      </c>
      <c r="AA39" s="15">
        <f>'FS (nominal)'!Z40*CPI!$I$38</f>
        <v>2088.0506266791654</v>
      </c>
      <c r="AB39" s="17">
        <f>'FS (nominal)'!AA40*CPI!$I$38</f>
        <v>0</v>
      </c>
      <c r="AC39" s="17">
        <f>'FS (nominal)'!AB40*CPI!$I$38</f>
        <v>0</v>
      </c>
      <c r="AD39" s="17">
        <f>'FS (nominal)'!AC40*CPI!$I$38</f>
        <v>0</v>
      </c>
      <c r="AE39" s="17">
        <f>'FS (nominal)'!AD40*CPI!$I$38</f>
        <v>0</v>
      </c>
      <c r="AF39" s="17">
        <f>'FS (nominal)'!AE40*CPI!$I$38</f>
        <v>0</v>
      </c>
      <c r="AG39" s="15">
        <f>'FS (nominal)'!AF40*CPI!$I$38</f>
        <v>0</v>
      </c>
      <c r="AH39" s="18">
        <f>'FS (nominal)'!AG40*CPI!$I$38</f>
        <v>0</v>
      </c>
    </row>
    <row r="40" spans="1:34" s="7" customFormat="1" ht="15" hidden="1" customHeight="1">
      <c r="A40" s="246">
        <f>References!F261</f>
        <v>73</v>
      </c>
      <c r="B40" s="255" t="s">
        <v>32</v>
      </c>
      <c r="C40" s="121">
        <v>2007</v>
      </c>
      <c r="D40" s="17">
        <f>'FS (nominal)'!D41*CPI!$I$42</f>
        <v>7427.7345189691996</v>
      </c>
      <c r="E40" s="15">
        <f>'FS (nominal)'!E41*CPI!$I$42</f>
        <v>7427.7345189691996</v>
      </c>
      <c r="F40" s="15">
        <f>'FS (nominal)'!F41*CPI!$I$42</f>
        <v>0</v>
      </c>
      <c r="G40" s="15">
        <f>'FS (nominal)'!G41*CPI!$I$42</f>
        <v>50.874893965542462</v>
      </c>
      <c r="H40" s="17">
        <f>'FS (nominal)'!H41*CPI!$I$42</f>
        <v>1501.9153479392753</v>
      </c>
      <c r="I40" s="15">
        <f>'FS (nominal)'!I41*CPI!$I$42</f>
        <v>8980.5247608740174</v>
      </c>
      <c r="J40" s="15">
        <f>'FS (nominal)'!J41*CPI!$I$42</f>
        <v>1608.089039693451</v>
      </c>
      <c r="K40" s="17">
        <f>'FS (nominal)'!K41*CPI!$I$42</f>
        <v>0</v>
      </c>
      <c r="L40" s="17">
        <f>'FS (nominal)'!L41*CPI!$I$42</f>
        <v>0</v>
      </c>
      <c r="M40" s="17">
        <f>'FS (nominal)'!M41*CPI!$I$42</f>
        <v>0</v>
      </c>
      <c r="N40" s="17">
        <f>'FS (nominal)'!N41*CPI!$I$42</f>
        <v>0</v>
      </c>
      <c r="O40" s="17">
        <f>'FS (nominal)'!O41*CPI!$I$42</f>
        <v>0</v>
      </c>
      <c r="P40" s="17">
        <f>'FS (nominal)'!P41*CPI!$I$42</f>
        <v>0</v>
      </c>
      <c r="Q40" s="17">
        <f>'FS (nominal)'!Q41*CPI!$I$42</f>
        <v>0</v>
      </c>
      <c r="R40" s="17">
        <f>'FS (nominal)'!R41*CPI!$I$42</f>
        <v>0</v>
      </c>
      <c r="S40" s="15">
        <f>'FS (nominal)'!S41*CPI!$I$42</f>
        <v>3628.707110890105</v>
      </c>
      <c r="T40" s="15">
        <f>'FS (nominal)'!T41*CPI!$I$42</f>
        <v>5351.8176499839128</v>
      </c>
      <c r="U40" s="15">
        <f>'FS (nominal)'!U41*CPI!$I$42</f>
        <v>1761.8196975458511</v>
      </c>
      <c r="V40" s="15">
        <f>'FS (nominal)'!V41*CPI!$I$42</f>
        <v>0</v>
      </c>
      <c r="W40" s="17"/>
      <c r="X40" s="17">
        <f>'FS (nominal)'!W41*CPI!$I$42</f>
        <v>904.68833182203775</v>
      </c>
      <c r="Y40" s="17">
        <f>'FS (nominal)'!X41*CPI!$I$42</f>
        <v>0</v>
      </c>
      <c r="Z40" s="17">
        <f>'FS (nominal)'!Y41*CPI!$I$42</f>
        <v>0</v>
      </c>
      <c r="AA40" s="15">
        <f>'FS (nominal)'!Z41*CPI!$I$42</f>
        <v>2685.3096206160239</v>
      </c>
      <c r="AB40" s="17">
        <f>'FS (nominal)'!AA41*CPI!$I$42</f>
        <v>0</v>
      </c>
      <c r="AC40" s="17">
        <f>'FS (nominal)'!AB41*CPI!$I$42</f>
        <v>0</v>
      </c>
      <c r="AD40" s="17">
        <f>'FS (nominal)'!AC41*CPI!$I$42</f>
        <v>0</v>
      </c>
      <c r="AE40" s="17">
        <f>'FS (nominal)'!AD41*CPI!$I$42</f>
        <v>0</v>
      </c>
      <c r="AF40" s="17">
        <f>'FS (nominal)'!AE41*CPI!$I$42</f>
        <v>0</v>
      </c>
      <c r="AG40" s="15">
        <f>'FS (nominal)'!AF41*CPI!$I$42</f>
        <v>0</v>
      </c>
      <c r="AH40" s="18">
        <f>'FS (nominal)'!AG41*CPI!$I$42</f>
        <v>0</v>
      </c>
    </row>
    <row r="41" spans="1:34" s="7" customFormat="1" ht="15" customHeight="1">
      <c r="A41" s="246">
        <f>References!G261</f>
        <v>74</v>
      </c>
      <c r="B41" s="256" t="s">
        <v>32</v>
      </c>
      <c r="C41" s="121">
        <v>2008</v>
      </c>
      <c r="D41" s="17">
        <f>'FS (nominal)'!D42*CPI!$I$46</f>
        <v>6993.0107635938521</v>
      </c>
      <c r="E41" s="15">
        <f>'FS (nominal)'!E42*CPI!$I$46</f>
        <v>7326.5132697100171</v>
      </c>
      <c r="F41" s="15">
        <f>'FS (nominal)'!F42*CPI!$I$46</f>
        <v>704.19142915514237</v>
      </c>
      <c r="G41" s="15">
        <f>'FS (nominal)'!G42*CPI!$I$46</f>
        <v>30.697976841264861</v>
      </c>
      <c r="H41" s="17">
        <f>'FS (nominal)'!H42*CPI!$I$46</f>
        <v>23.771505252202672</v>
      </c>
      <c r="I41" s="15">
        <f>'FS (nominal)'!I42*CPI!$I$46</f>
        <v>8085.1741378346778</v>
      </c>
      <c r="J41" s="15">
        <f>'FS (nominal)'!J42*CPI!$I$46</f>
        <v>1648.6482827122122</v>
      </c>
      <c r="K41" s="17">
        <f>'FS (nominal)'!K42*CPI!$I$46</f>
        <v>874.08091975991556</v>
      </c>
      <c r="L41" s="17">
        <f>'FS (nominal)'!L42*CPI!$I$46</f>
        <v>458.35699959795841</v>
      </c>
      <c r="M41" s="17">
        <f>'FS (nominal)'!M42*CPI!$I$46</f>
        <v>373.71008984631175</v>
      </c>
      <c r="N41" s="17">
        <f>'FS (nominal)'!N42*CPI!$I$46</f>
        <v>142.2265664822788</v>
      </c>
      <c r="O41" s="17">
        <f>'FS (nominal)'!O42*CPI!$I$46</f>
        <v>311.15972962276527</v>
      </c>
      <c r="P41" s="17">
        <f>'FS (nominal)'!P42*CPI!$I$46</f>
        <v>50.198274920589654</v>
      </c>
      <c r="Q41" s="17">
        <f>'FS (nominal)'!Q42*CPI!$I$46</f>
        <v>0</v>
      </c>
      <c r="R41" s="17">
        <f>'FS (nominal)'!R42*CPI!$I$46</f>
        <v>3.0072701149097543</v>
      </c>
      <c r="S41" s="15">
        <f>'FS (nominal)'!S42*CPI!$I$46</f>
        <v>2212.73982447036</v>
      </c>
      <c r="T41" s="15">
        <f>'FS (nominal)'!T42*CPI!$I$46</f>
        <v>4223.7860306521052</v>
      </c>
      <c r="U41" s="15">
        <f>'FS (nominal)'!U42*CPI!$I$46</f>
        <v>1991.4423825953065</v>
      </c>
      <c r="V41" s="15">
        <f>'FS (nominal)'!V42*CPI!$I$46</f>
        <v>2232.3436480567989</v>
      </c>
      <c r="W41" s="17"/>
      <c r="X41" s="17">
        <f>'FS (nominal)'!W42*CPI!$I$46</f>
        <v>1166.8038137492513</v>
      </c>
      <c r="Y41" s="17">
        <f>'FS (nominal)'!X42*CPI!$I$46</f>
        <v>1273.0313596703829</v>
      </c>
      <c r="Z41" s="17">
        <f>'FS (nominal)'!Y42*CPI!$I$46</f>
        <v>9.5314707308032265</v>
      </c>
      <c r="AA41" s="15">
        <f>'FS (nominal)'!Z42*CPI!$I$46</f>
        <v>2348.1026647087338</v>
      </c>
      <c r="AB41" s="17">
        <f>'FS (nominal)'!AA42*CPI!$I$46</f>
        <v>198.69851990818626</v>
      </c>
      <c r="AC41" s="17">
        <f>'FS (nominal)'!AB42*CPI!$I$46</f>
        <v>507.97842270822048</v>
      </c>
      <c r="AD41" s="17">
        <f>'FS (nominal)'!AC42*CPI!$I$46</f>
        <v>354.60386272133672</v>
      </c>
      <c r="AE41" s="17">
        <f>'FS (nominal)'!AD42*CPI!$I$46</f>
        <v>2217.3514995295259</v>
      </c>
      <c r="AF41" s="17">
        <f>'FS (nominal)'!AE42*CPI!$I$46</f>
        <v>0</v>
      </c>
      <c r="AG41" s="15">
        <f>'FS (nominal)'!AF42*CPI!$I$46</f>
        <v>3278.6323048672693</v>
      </c>
      <c r="AH41" s="18">
        <f>'FS (nominal)'!AG42*CPI!$I$46</f>
        <v>60.528774200906724</v>
      </c>
    </row>
    <row r="42" spans="1:34" s="7" customFormat="1" ht="15" customHeight="1">
      <c r="A42" s="246">
        <f>References!H261</f>
        <v>75</v>
      </c>
      <c r="B42" s="256" t="s">
        <v>32</v>
      </c>
      <c r="C42" s="121">
        <v>2009</v>
      </c>
      <c r="D42" s="17">
        <f>'FS (nominal)'!D43*CPI!$I$50</f>
        <v>7534.4783478069849</v>
      </c>
      <c r="E42" s="15">
        <f>'FS (nominal)'!E43*CPI!$I$50</f>
        <v>8049.7653499897015</v>
      </c>
      <c r="F42" s="15">
        <f>'FS (nominal)'!F43*CPI!$I$50</f>
        <v>675.44300971103007</v>
      </c>
      <c r="G42" s="15">
        <f>'FS (nominal)'!G43*CPI!$I$50</f>
        <v>2.10802752968632</v>
      </c>
      <c r="H42" s="17">
        <f>'FS (nominal)'!H43*CPI!$I$50</f>
        <v>27.146131858054765</v>
      </c>
      <c r="I42" s="15">
        <f>'FS (nominal)'!I43*CPI!$I$50</f>
        <v>8754.4624671837446</v>
      </c>
      <c r="J42" s="15">
        <f>'FS (nominal)'!J43*CPI!$I$50</f>
        <v>2077.9435486306534</v>
      </c>
      <c r="K42" s="17">
        <f>'FS (nominal)'!K43*CPI!$I$50</f>
        <v>1070.7020695723795</v>
      </c>
      <c r="L42" s="17">
        <f>'FS (nominal)'!L43*CPI!$I$50</f>
        <v>468.78384241883435</v>
      </c>
      <c r="M42" s="17">
        <f>'FS (nominal)'!M43*CPI!$I$50</f>
        <v>360.921818436406</v>
      </c>
      <c r="N42" s="17">
        <f>'FS (nominal)'!N43*CPI!$I$50</f>
        <v>241.94597459537368</v>
      </c>
      <c r="O42" s="17">
        <f>'FS (nominal)'!O43*CPI!$I$50</f>
        <v>574.97820897522115</v>
      </c>
      <c r="P42" s="17">
        <f>'FS (nominal)'!P43*CPI!$I$50</f>
        <v>64.849704325073773</v>
      </c>
      <c r="Q42" s="17">
        <f>'FS (nominal)'!Q43*CPI!$I$50</f>
        <v>0</v>
      </c>
      <c r="R42" s="17">
        <f>'FS (nominal)'!R43*CPI!$I$50</f>
        <v>5.0939946950923183</v>
      </c>
      <c r="S42" s="15">
        <f>'FS (nominal)'!S43*CPI!$I$50</f>
        <v>2787.2756543345454</v>
      </c>
      <c r="T42" s="15">
        <f>'FS (nominal)'!T43*CPI!$I$50</f>
        <v>3889.2432642185449</v>
      </c>
      <c r="U42" s="15">
        <f>'FS (nominal)'!U43*CPI!$I$50</f>
        <v>2003.4220603198567</v>
      </c>
      <c r="V42" s="15">
        <f>'FS (nominal)'!V43*CPI!$I$50</f>
        <v>1885.8212038986883</v>
      </c>
      <c r="W42" s="17"/>
      <c r="X42" s="17">
        <f>'FS (nominal)'!W43*CPI!$I$50</f>
        <v>-0.29518013964445045</v>
      </c>
      <c r="Y42" s="17">
        <f>'FS (nominal)'!X43*CPI!$I$50</f>
        <v>1153.7033373052368</v>
      </c>
      <c r="Z42" s="17">
        <f>'FS (nominal)'!Y43*CPI!$I$50</f>
        <v>0</v>
      </c>
      <c r="AA42" s="15">
        <f>'FS (nominal)'!Z43*CPI!$I$50</f>
        <v>3039.8197753037261</v>
      </c>
      <c r="AB42" s="17">
        <f>'FS (nominal)'!AA43*CPI!$I$50</f>
        <v>806.41284266593425</v>
      </c>
      <c r="AC42" s="17">
        <f>'FS (nominal)'!AB43*CPI!$I$50</f>
        <v>0</v>
      </c>
      <c r="AD42" s="17">
        <f>'FS (nominal)'!AC43*CPI!$I$50</f>
        <v>2144.9860845082017</v>
      </c>
      <c r="AE42" s="17">
        <f>'FS (nominal)'!AD43*CPI!$I$50</f>
        <v>1588.5201539707593</v>
      </c>
      <c r="AF42" s="17">
        <f>'FS (nominal)'!AE43*CPI!$I$50</f>
        <v>7.524109547669708</v>
      </c>
      <c r="AG42" s="15">
        <f>'FS (nominal)'!AF43*CPI!$I$50</f>
        <v>4547.4431906925647</v>
      </c>
      <c r="AH42" s="18">
        <f>'FS (nominal)'!AG43*CPI!$I$50</f>
        <v>57.393135287253742</v>
      </c>
    </row>
    <row r="43" spans="1:34" s="7" customFormat="1" ht="15" customHeight="1">
      <c r="A43" s="246">
        <f>References!I261</f>
        <v>76</v>
      </c>
      <c r="B43" s="256" t="s">
        <v>32</v>
      </c>
      <c r="C43" s="121">
        <v>2010</v>
      </c>
      <c r="D43" s="17">
        <f>'FS (nominal)'!D44*CPI!$I$54</f>
        <v>8008.340575301122</v>
      </c>
      <c r="E43" s="15">
        <f>'FS (nominal)'!E44*CPI!$I$54</f>
        <v>8794.5870496618245</v>
      </c>
      <c r="F43" s="15">
        <f>'FS (nominal)'!F44*CPI!$I$54</f>
        <v>274.99793430519247</v>
      </c>
      <c r="G43" s="15">
        <f>'FS (nominal)'!G44*CPI!$I$54</f>
        <v>84.853705100913459</v>
      </c>
      <c r="H43" s="17">
        <f>'FS (nominal)'!H44*CPI!$I$54</f>
        <v>242.67334402198807</v>
      </c>
      <c r="I43" s="15">
        <f>'FS (nominal)'!I44*CPI!$I$54</f>
        <v>9397.1120330899194</v>
      </c>
      <c r="J43" s="15">
        <f>'FS (nominal)'!J44*CPI!$I$54</f>
        <v>2299.392261863059</v>
      </c>
      <c r="K43" s="17">
        <f>'FS (nominal)'!K44*CPI!$I$54</f>
        <v>1158.853932796206</v>
      </c>
      <c r="L43" s="17">
        <f>'FS (nominal)'!L44*CPI!$I$54</f>
        <v>370.47911131470448</v>
      </c>
      <c r="M43" s="17">
        <f>'FS (nominal)'!M44*CPI!$I$54</f>
        <v>519.20870092425423</v>
      </c>
      <c r="N43" s="17">
        <f>'FS (nominal)'!N44*CPI!$I$54</f>
        <v>130.98147719005146</v>
      </c>
      <c r="O43" s="17">
        <f>'FS (nominal)'!O44*CPI!$I$54</f>
        <v>424.12996389210741</v>
      </c>
      <c r="P43" s="17">
        <f>'FS (nominal)'!P44*CPI!$I$54</f>
        <v>64.241646412115003</v>
      </c>
      <c r="Q43" s="17">
        <f>'FS (nominal)'!Q44*CPI!$I$54</f>
        <v>0</v>
      </c>
      <c r="R43" s="17">
        <f>'FS (nominal)'!R44*CPI!$I$54</f>
        <v>2.701951442968392</v>
      </c>
      <c r="S43" s="15">
        <f>'FS (nominal)'!S44*CPI!$I$54</f>
        <v>2670.5967839724067</v>
      </c>
      <c r="T43" s="15">
        <f>'FS (nominal)'!T44*CPI!$I$54</f>
        <v>4427.1229872544527</v>
      </c>
      <c r="U43" s="15">
        <f>'FS (nominal)'!U44*CPI!$I$54</f>
        <v>2086.0032014497046</v>
      </c>
      <c r="V43" s="15">
        <f>'FS (nominal)'!V44*CPI!$I$54</f>
        <v>2341.1197858047476</v>
      </c>
      <c r="W43" s="17"/>
      <c r="X43" s="17">
        <f>'FS (nominal)'!W44*CPI!$I$54</f>
        <v>106.90959616825198</v>
      </c>
      <c r="Y43" s="17">
        <f>'FS (nominal)'!X44*CPI!$I$54</f>
        <v>871.05422998571839</v>
      </c>
      <c r="Z43" s="17">
        <f>'FS (nominal)'!Y44*CPI!$I$54</f>
        <v>0</v>
      </c>
      <c r="AA43" s="15">
        <f>'FS (nominal)'!Z44*CPI!$I$54</f>
        <v>3105.2644603756298</v>
      </c>
      <c r="AB43" s="17">
        <f>'FS (nominal)'!AA44*CPI!$I$54</f>
        <v>361.80474684055935</v>
      </c>
      <c r="AC43" s="17">
        <f>'FS (nominal)'!AB44*CPI!$I$54</f>
        <v>740.7901147907628</v>
      </c>
      <c r="AD43" s="17">
        <f>'FS (nominal)'!AC44*CPI!$I$54</f>
        <v>1967.9589978712509</v>
      </c>
      <c r="AE43" s="17">
        <f>'FS (nominal)'!AD44*CPI!$I$54</f>
        <v>2137.5278464606176</v>
      </c>
      <c r="AF43" s="17">
        <f>'FS (nominal)'!AE44*CPI!$I$54</f>
        <v>9.9222034895314053</v>
      </c>
      <c r="AG43" s="15">
        <f>'FS (nominal)'!AF44*CPI!$I$54</f>
        <v>5218.0039400177839</v>
      </c>
      <c r="AH43" s="18">
        <f>'FS (nominal)'!AG44*CPI!$I$54</f>
        <v>76.320958745385454</v>
      </c>
    </row>
    <row r="44" spans="1:34" s="7" customFormat="1" ht="15" customHeight="1">
      <c r="A44" s="246">
        <f>References!J261</f>
        <v>77</v>
      </c>
      <c r="B44" s="256" t="s">
        <v>32</v>
      </c>
      <c r="C44" s="121">
        <v>2011</v>
      </c>
      <c r="D44" s="17">
        <f>'FS (nominal)'!D45*CPI!$I$58</f>
        <v>8793</v>
      </c>
      <c r="E44" s="15">
        <f>'FS (nominal)'!E45*CPI!$I$58</f>
        <v>9562</v>
      </c>
      <c r="F44" s="15">
        <f>'FS (nominal)'!F45*CPI!$I$58</f>
        <v>389</v>
      </c>
      <c r="G44" s="15">
        <f>'FS (nominal)'!G45*CPI!$I$58</f>
        <v>141</v>
      </c>
      <c r="H44" s="17">
        <f>'FS (nominal)'!H45*CPI!$I$58</f>
        <v>29</v>
      </c>
      <c r="I44" s="15">
        <f>'FS (nominal)'!I45*CPI!$I$58</f>
        <v>10121</v>
      </c>
      <c r="J44" s="15">
        <f>'FS (nominal)'!J45*CPI!$I$58</f>
        <v>2259</v>
      </c>
      <c r="K44" s="17">
        <f>'FS (nominal)'!K45*CPI!$I$58</f>
        <v>1409</v>
      </c>
      <c r="L44" s="17">
        <f>'FS (nominal)'!L45*CPI!$I$58</f>
        <v>391</v>
      </c>
      <c r="M44" s="17">
        <f>'FS (nominal)'!M45*CPI!$I$58</f>
        <v>526</v>
      </c>
      <c r="N44" s="17">
        <f>'FS (nominal)'!N45*CPI!$I$58</f>
        <v>621</v>
      </c>
      <c r="O44" s="17">
        <f>'FS (nominal)'!O45*CPI!$I$58</f>
        <v>233</v>
      </c>
      <c r="P44" s="17">
        <f>'FS (nominal)'!P45*CPI!$I$58</f>
        <v>66</v>
      </c>
      <c r="Q44" s="17">
        <f>'FS (nominal)'!Q45*CPI!$I$58</f>
        <v>0</v>
      </c>
      <c r="R44" s="17">
        <f>'FS (nominal)'!R45*CPI!$I$58</f>
        <v>5</v>
      </c>
      <c r="S44" s="15">
        <f>'FS (nominal)'!S45*CPI!$I$58</f>
        <v>3251</v>
      </c>
      <c r="T44" s="15">
        <f>'FS (nominal)'!T45*CPI!$I$58</f>
        <v>4611</v>
      </c>
      <c r="U44" s="15">
        <f>'FS (nominal)'!U45*CPI!$I$58</f>
        <v>2228</v>
      </c>
      <c r="V44" s="15">
        <f>'FS (nominal)'!V45*CPI!$I$58</f>
        <v>2383</v>
      </c>
      <c r="W44" s="17"/>
      <c r="X44" s="17">
        <f>'FS (nominal)'!W45*CPI!$I$58</f>
        <v>190.48240999999999</v>
      </c>
      <c r="Y44" s="17">
        <f>'FS (nominal)'!X45*CPI!$I$58</f>
        <v>1935.6768999999999</v>
      </c>
      <c r="Z44" s="17">
        <f>'FS (nominal)'!Y45*CPI!$I$58</f>
        <v>0</v>
      </c>
      <c r="AA44" s="15">
        <f>'FS (nominal)'!Z45*CPI!$I$58</f>
        <v>4128.1944000000003</v>
      </c>
      <c r="AB44" s="17">
        <f>'FS (nominal)'!AA45*CPI!$I$58</f>
        <v>227</v>
      </c>
      <c r="AC44" s="17">
        <f>'FS (nominal)'!AB45*CPI!$I$58</f>
        <v>984</v>
      </c>
      <c r="AD44" s="17">
        <f>'FS (nominal)'!AC45*CPI!$I$58</f>
        <v>3322</v>
      </c>
      <c r="AE44" s="17">
        <f>'FS (nominal)'!AD45*CPI!$I$58</f>
        <v>573</v>
      </c>
      <c r="AF44" s="17">
        <f>'FS (nominal)'!AE45*CPI!$I$58</f>
        <v>19</v>
      </c>
      <c r="AG44" s="15">
        <f>'FS (nominal)'!AF45*CPI!$I$58</f>
        <v>5125</v>
      </c>
      <c r="AH44" s="18">
        <f>'FS (nominal)'!AG45*CPI!$I$58</f>
        <v>438</v>
      </c>
    </row>
    <row r="45" spans="1:34" s="7" customFormat="1" ht="15" hidden="1" customHeight="1">
      <c r="A45" s="246">
        <f>References!C262</f>
        <v>93</v>
      </c>
      <c r="B45" s="255" t="s">
        <v>33</v>
      </c>
      <c r="C45" s="121">
        <v>2004</v>
      </c>
      <c r="D45" s="17">
        <f>'FS (nominal)'!D46*CPI!$I$30</f>
        <v>29318.512718973951</v>
      </c>
      <c r="E45" s="15">
        <f>'FS (nominal)'!E46*CPI!$I$30</f>
        <v>29318.512718973951</v>
      </c>
      <c r="F45" s="15">
        <f>'FS (nominal)'!F46*CPI!$I$30</f>
        <v>0</v>
      </c>
      <c r="G45" s="15">
        <f>'FS (nominal)'!G46*CPI!$I$30</f>
        <v>1183.6104001892677</v>
      </c>
      <c r="H45" s="17">
        <f>'FS (nominal)'!H46*CPI!$I$30</f>
        <v>1292.3093144923637</v>
      </c>
      <c r="I45" s="15">
        <f>'FS (nominal)'!I46*CPI!$I$30</f>
        <v>31794.43243365558</v>
      </c>
      <c r="J45" s="15">
        <f>'FS (nominal)'!J46*CPI!$I$30</f>
        <v>5967.5703952399708</v>
      </c>
      <c r="K45" s="17">
        <f>'FS (nominal)'!K46*CPI!$I$30</f>
        <v>0</v>
      </c>
      <c r="L45" s="17">
        <f>'FS (nominal)'!L46*CPI!$I$30</f>
        <v>0</v>
      </c>
      <c r="M45" s="17">
        <f>'FS (nominal)'!M46*CPI!$I$30</f>
        <v>0</v>
      </c>
      <c r="N45" s="17">
        <f>'FS (nominal)'!N46*CPI!$I$30</f>
        <v>0</v>
      </c>
      <c r="O45" s="17">
        <f>'FS (nominal)'!O46*CPI!$I$30</f>
        <v>0</v>
      </c>
      <c r="P45" s="17">
        <f>'FS (nominal)'!P46*CPI!$I$30</f>
        <v>0</v>
      </c>
      <c r="Q45" s="17">
        <f>'FS (nominal)'!Q46*CPI!$I$30</f>
        <v>0</v>
      </c>
      <c r="R45" s="17">
        <f>'FS (nominal)'!R46*CPI!$I$30</f>
        <v>0</v>
      </c>
      <c r="S45" s="15">
        <f>'FS (nominal)'!S46*CPI!$I$30</f>
        <v>21620.214054885797</v>
      </c>
      <c r="T45" s="15">
        <f>'FS (nominal)'!T46*CPI!$I$30</f>
        <v>10174.218378769787</v>
      </c>
      <c r="U45" s="15">
        <f>'FS (nominal)'!U46*CPI!$I$30</f>
        <v>4990.4879322265851</v>
      </c>
      <c r="V45" s="15">
        <f>'FS (nominal)'!V46*CPI!$I$30</f>
        <v>0</v>
      </c>
      <c r="W45" s="17"/>
      <c r="X45" s="17">
        <f>'FS (nominal)'!W46*CPI!$I$30</f>
        <v>1095.443503032312</v>
      </c>
      <c r="Y45" s="17">
        <f>'FS (nominal)'!X46*CPI!$I$30</f>
        <v>0</v>
      </c>
      <c r="Z45" s="17">
        <f>'FS (nominal)'!Y46*CPI!$I$30</f>
        <v>0</v>
      </c>
      <c r="AA45" s="15">
        <f>'FS (nominal)'!Z46*CPI!$I$30</f>
        <v>3953.0171834892581</v>
      </c>
      <c r="AB45" s="17">
        <f>'FS (nominal)'!AA46*CPI!$I$30</f>
        <v>0</v>
      </c>
      <c r="AC45" s="17">
        <f>'FS (nominal)'!AB46*CPI!$I$30</f>
        <v>0</v>
      </c>
      <c r="AD45" s="17">
        <f>'FS (nominal)'!AC46*CPI!$I$30</f>
        <v>0</v>
      </c>
      <c r="AE45" s="17">
        <f>'FS (nominal)'!AD46*CPI!$I$30</f>
        <v>0</v>
      </c>
      <c r="AF45" s="17">
        <f>'FS (nominal)'!AE46*CPI!$I$30</f>
        <v>0</v>
      </c>
      <c r="AG45" s="15">
        <f>'FS (nominal)'!AF46*CPI!$I$30</f>
        <v>0</v>
      </c>
      <c r="AH45" s="18">
        <f>'FS (nominal)'!AG46*CPI!$I$30</f>
        <v>0</v>
      </c>
    </row>
    <row r="46" spans="1:34" s="7" customFormat="1" ht="15" hidden="1" customHeight="1">
      <c r="A46" s="246">
        <f>References!D262</f>
        <v>94</v>
      </c>
      <c r="B46" s="255" t="s">
        <v>33</v>
      </c>
      <c r="C46" s="121">
        <v>2005</v>
      </c>
      <c r="D46" s="17">
        <f>'FS (nominal)'!D47*CPI!$I$34</f>
        <v>31738.111840152513</v>
      </c>
      <c r="E46" s="15">
        <f>'FS (nominal)'!E47*CPI!$I$34</f>
        <v>31738.111840152513</v>
      </c>
      <c r="F46" s="15">
        <f>'FS (nominal)'!F47*CPI!$I$34</f>
        <v>0</v>
      </c>
      <c r="G46" s="15">
        <f>'FS (nominal)'!G47*CPI!$I$34</f>
        <v>580.35269972164201</v>
      </c>
      <c r="H46" s="17">
        <f>'FS (nominal)'!H47*CPI!$I$34</f>
        <v>1380.8391820963207</v>
      </c>
      <c r="I46" s="15">
        <f>'FS (nominal)'!I47*CPI!$I$34</f>
        <v>33699.303721970478</v>
      </c>
      <c r="J46" s="15">
        <f>'FS (nominal)'!J47*CPI!$I$34</f>
        <v>5936.5490156110354</v>
      </c>
      <c r="K46" s="17">
        <f>'FS (nominal)'!K47*CPI!$I$34</f>
        <v>0</v>
      </c>
      <c r="L46" s="17">
        <f>'FS (nominal)'!L47*CPI!$I$34</f>
        <v>0</v>
      </c>
      <c r="M46" s="17">
        <f>'FS (nominal)'!M47*CPI!$I$34</f>
        <v>0</v>
      </c>
      <c r="N46" s="17">
        <f>'FS (nominal)'!N47*CPI!$I$34</f>
        <v>0</v>
      </c>
      <c r="O46" s="17">
        <f>'FS (nominal)'!O47*CPI!$I$34</f>
        <v>0</v>
      </c>
      <c r="P46" s="17">
        <f>'FS (nominal)'!P47*CPI!$I$34</f>
        <v>0</v>
      </c>
      <c r="Q46" s="17">
        <f>'FS (nominal)'!Q47*CPI!$I$34</f>
        <v>0</v>
      </c>
      <c r="R46" s="17">
        <f>'FS (nominal)'!R47*CPI!$I$34</f>
        <v>0</v>
      </c>
      <c r="S46" s="15">
        <f>'FS (nominal)'!S47*CPI!$I$34</f>
        <v>21229.372386977873</v>
      </c>
      <c r="T46" s="15">
        <f>'FS (nominal)'!T47*CPI!$I$34</f>
        <v>12469.931334992603</v>
      </c>
      <c r="U46" s="15">
        <f>'FS (nominal)'!U47*CPI!$I$34</f>
        <v>5144.3028352608017</v>
      </c>
      <c r="V46" s="15">
        <f>'FS (nominal)'!V47*CPI!$I$34</f>
        <v>0</v>
      </c>
      <c r="W46" s="17"/>
      <c r="X46" s="17">
        <f>'FS (nominal)'!W47*CPI!$I$34</f>
        <v>2454.4328172811838</v>
      </c>
      <c r="Y46" s="17">
        <f>'FS (nominal)'!X47*CPI!$I$34</f>
        <v>0</v>
      </c>
      <c r="Z46" s="17">
        <f>'FS (nominal)'!Y47*CPI!$I$34</f>
        <v>0</v>
      </c>
      <c r="AA46" s="15">
        <f>'FS (nominal)'!Z47*CPI!$I$34</f>
        <v>4871.1956824506178</v>
      </c>
      <c r="AB46" s="17">
        <f>'FS (nominal)'!AA47*CPI!$I$34</f>
        <v>0</v>
      </c>
      <c r="AC46" s="17">
        <f>'FS (nominal)'!AB47*CPI!$I$34</f>
        <v>0</v>
      </c>
      <c r="AD46" s="17">
        <f>'FS (nominal)'!AC47*CPI!$I$34</f>
        <v>0</v>
      </c>
      <c r="AE46" s="17">
        <f>'FS (nominal)'!AD47*CPI!$I$34</f>
        <v>0</v>
      </c>
      <c r="AF46" s="17">
        <f>'FS (nominal)'!AE47*CPI!$I$34</f>
        <v>0</v>
      </c>
      <c r="AG46" s="15">
        <f>'FS (nominal)'!AF47*CPI!$I$34</f>
        <v>0</v>
      </c>
      <c r="AH46" s="18">
        <f>'FS (nominal)'!AG47*CPI!$I$34</f>
        <v>0</v>
      </c>
    </row>
    <row r="47" spans="1:34" s="7" customFormat="1" ht="14.45" hidden="1" customHeight="1">
      <c r="A47" s="246">
        <f>References!E262</f>
        <v>95</v>
      </c>
      <c r="B47" s="255" t="s">
        <v>33</v>
      </c>
      <c r="C47" s="121">
        <v>2006</v>
      </c>
      <c r="D47" s="17">
        <f>'FS (nominal)'!D48*CPI!$I$38</f>
        <v>31822.80435960761</v>
      </c>
      <c r="E47" s="15">
        <f>'FS (nominal)'!E48*CPI!$I$38</f>
        <v>31822.80435960761</v>
      </c>
      <c r="F47" s="15">
        <f>'FS (nominal)'!F48*CPI!$I$38</f>
        <v>0</v>
      </c>
      <c r="G47" s="15">
        <f>'FS (nominal)'!G48*CPI!$I$38</f>
        <v>1287.0607141497808</v>
      </c>
      <c r="H47" s="17">
        <f>'FS (nominal)'!H48*CPI!$I$38</f>
        <v>1876.9635414684303</v>
      </c>
      <c r="I47" s="15">
        <f>'FS (nominal)'!I48*CPI!$I$38</f>
        <v>34986.828615225822</v>
      </c>
      <c r="J47" s="15">
        <f>'FS (nominal)'!J48*CPI!$I$38</f>
        <v>6096.4232231403175</v>
      </c>
      <c r="K47" s="17">
        <f>'FS (nominal)'!K48*CPI!$I$38</f>
        <v>0</v>
      </c>
      <c r="L47" s="17">
        <f>'FS (nominal)'!L48*CPI!$I$38</f>
        <v>0</v>
      </c>
      <c r="M47" s="17">
        <f>'FS (nominal)'!M48*CPI!$I$38</f>
        <v>0</v>
      </c>
      <c r="N47" s="17">
        <f>'FS (nominal)'!N48*CPI!$I$38</f>
        <v>0</v>
      </c>
      <c r="O47" s="17">
        <f>'FS (nominal)'!O48*CPI!$I$38</f>
        <v>0</v>
      </c>
      <c r="P47" s="17">
        <f>'FS (nominal)'!P48*CPI!$I$38</f>
        <v>0</v>
      </c>
      <c r="Q47" s="17">
        <f>'FS (nominal)'!Q48*CPI!$I$38</f>
        <v>0</v>
      </c>
      <c r="R47" s="17">
        <f>'FS (nominal)'!R48*CPI!$I$38</f>
        <v>0</v>
      </c>
      <c r="S47" s="15">
        <f>'FS (nominal)'!S48*CPI!$I$38</f>
        <v>22157.29787949875</v>
      </c>
      <c r="T47" s="15">
        <f>'FS (nominal)'!T48*CPI!$I$38</f>
        <v>12829.53073572707</v>
      </c>
      <c r="U47" s="15">
        <f>'FS (nominal)'!U48*CPI!$I$38</f>
        <v>5066.0900450576473</v>
      </c>
      <c r="V47" s="15">
        <f>'FS (nominal)'!V48*CPI!$I$38</f>
        <v>0</v>
      </c>
      <c r="W47" s="17"/>
      <c r="X47" s="17">
        <f>'FS (nominal)'!W48*CPI!$I$38</f>
        <v>1848.4382596831958</v>
      </c>
      <c r="Y47" s="17">
        <f>'FS (nominal)'!X48*CPI!$I$38</f>
        <v>0</v>
      </c>
      <c r="Z47" s="17">
        <f>'FS (nominal)'!Y48*CPI!$I$38</f>
        <v>0</v>
      </c>
      <c r="AA47" s="15">
        <f>'FS (nominal)'!Z48*CPI!$I$38</f>
        <v>5915.0024309862265</v>
      </c>
      <c r="AB47" s="17">
        <f>'FS (nominal)'!AA48*CPI!$I$38</f>
        <v>0</v>
      </c>
      <c r="AC47" s="17">
        <f>'FS (nominal)'!AB48*CPI!$I$38</f>
        <v>0</v>
      </c>
      <c r="AD47" s="17">
        <f>'FS (nominal)'!AC48*CPI!$I$38</f>
        <v>0</v>
      </c>
      <c r="AE47" s="17">
        <f>'FS (nominal)'!AD48*CPI!$I$38</f>
        <v>0</v>
      </c>
      <c r="AF47" s="17">
        <f>'FS (nominal)'!AE48*CPI!$I$38</f>
        <v>0</v>
      </c>
      <c r="AG47" s="15">
        <f>'FS (nominal)'!AF48*CPI!$I$38</f>
        <v>0</v>
      </c>
      <c r="AH47" s="18">
        <f>'FS (nominal)'!AG48*CPI!$I$38</f>
        <v>0</v>
      </c>
    </row>
    <row r="48" spans="1:34" s="7" customFormat="1" ht="15" hidden="1" customHeight="1">
      <c r="A48" s="246">
        <f>References!F262</f>
        <v>96</v>
      </c>
      <c r="B48" s="255" t="s">
        <v>33</v>
      </c>
      <c r="C48" s="121">
        <v>2007</v>
      </c>
      <c r="D48" s="17">
        <f>'FS (nominal)'!D49*CPI!$I$42</f>
        <v>34298.526340421806</v>
      </c>
      <c r="E48" s="15">
        <f>'FS (nominal)'!E49*CPI!$I$42</f>
        <v>34298.526340421806</v>
      </c>
      <c r="F48" s="15">
        <f>'FS (nominal)'!F49*CPI!$I$42</f>
        <v>0</v>
      </c>
      <c r="G48" s="15">
        <f>'FS (nominal)'!G49*CPI!$I$42</f>
        <v>976.5767689472608</v>
      </c>
      <c r="H48" s="17">
        <f>'FS (nominal)'!H49*CPI!$I$42</f>
        <v>1910.0204756193878</v>
      </c>
      <c r="I48" s="15">
        <f>'FS (nominal)'!I49*CPI!$I$42</f>
        <v>37185.123584988454</v>
      </c>
      <c r="J48" s="15">
        <f>'FS (nominal)'!J49*CPI!$I$42</f>
        <v>6463.3234855354385</v>
      </c>
      <c r="K48" s="17">
        <f>'FS (nominal)'!K49*CPI!$I$42</f>
        <v>0</v>
      </c>
      <c r="L48" s="17">
        <f>'FS (nominal)'!L49*CPI!$I$42</f>
        <v>0</v>
      </c>
      <c r="M48" s="17">
        <f>'FS (nominal)'!M49*CPI!$I$42</f>
        <v>0</v>
      </c>
      <c r="N48" s="17">
        <f>'FS (nominal)'!N49*CPI!$I$42</f>
        <v>0</v>
      </c>
      <c r="O48" s="17">
        <f>'FS (nominal)'!O49*CPI!$I$42</f>
        <v>0</v>
      </c>
      <c r="P48" s="17">
        <f>'FS (nominal)'!P49*CPI!$I$42</f>
        <v>0</v>
      </c>
      <c r="Q48" s="17">
        <f>'FS (nominal)'!Q49*CPI!$I$42</f>
        <v>0</v>
      </c>
      <c r="R48" s="17">
        <f>'FS (nominal)'!R49*CPI!$I$42</f>
        <v>0</v>
      </c>
      <c r="S48" s="15">
        <f>'FS (nominal)'!S49*CPI!$I$42</f>
        <v>23646.871910375292</v>
      </c>
      <c r="T48" s="15">
        <f>'FS (nominal)'!T49*CPI!$I$42</f>
        <v>13538.251674613159</v>
      </c>
      <c r="U48" s="15">
        <f>'FS (nominal)'!U49*CPI!$I$42</f>
        <v>5375.0431450551387</v>
      </c>
      <c r="V48" s="15">
        <f>'FS (nominal)'!V49*CPI!$I$42</f>
        <v>0</v>
      </c>
      <c r="W48" s="17"/>
      <c r="X48" s="17">
        <f>'FS (nominal)'!W49*CPI!$I$42</f>
        <v>1788.3631204843948</v>
      </c>
      <c r="Y48" s="17">
        <f>'FS (nominal)'!X49*CPI!$I$42</f>
        <v>0</v>
      </c>
      <c r="Z48" s="17">
        <f>'FS (nominal)'!Y49*CPI!$I$42</f>
        <v>0</v>
      </c>
      <c r="AA48" s="15">
        <f>'FS (nominal)'!Z49*CPI!$I$42</f>
        <v>5651.5371339983039</v>
      </c>
      <c r="AB48" s="17">
        <f>'FS (nominal)'!AA49*CPI!$I$42</f>
        <v>0</v>
      </c>
      <c r="AC48" s="17">
        <f>'FS (nominal)'!AB49*CPI!$I$42</f>
        <v>0</v>
      </c>
      <c r="AD48" s="17">
        <f>'FS (nominal)'!AC49*CPI!$I$42</f>
        <v>0</v>
      </c>
      <c r="AE48" s="17">
        <f>'FS (nominal)'!AD49*CPI!$I$42</f>
        <v>0</v>
      </c>
      <c r="AF48" s="17">
        <f>'FS (nominal)'!AE49*CPI!$I$42</f>
        <v>0</v>
      </c>
      <c r="AG48" s="15">
        <f>'FS (nominal)'!AF49*CPI!$I$42</f>
        <v>0</v>
      </c>
      <c r="AH48" s="18">
        <f>'FS (nominal)'!AG49*CPI!$I$42</f>
        <v>0</v>
      </c>
    </row>
    <row r="49" spans="1:34" s="7" customFormat="1" ht="15" customHeight="1">
      <c r="A49" s="246">
        <f>References!G262</f>
        <v>97</v>
      </c>
      <c r="B49" s="256" t="s">
        <v>33</v>
      </c>
      <c r="C49" s="121">
        <v>2008</v>
      </c>
      <c r="D49" s="17">
        <f>'FS (nominal)'!D50*CPI!$I$46</f>
        <v>27066.746314618915</v>
      </c>
      <c r="E49" s="15">
        <f>'FS (nominal)'!E50*CPI!$I$46</f>
        <v>27066.746314618915</v>
      </c>
      <c r="F49" s="15">
        <f>'FS (nominal)'!F50*CPI!$I$46</f>
        <v>1816.5963331527471</v>
      </c>
      <c r="G49" s="15">
        <f>'FS (nominal)'!G50*CPI!$I$46</f>
        <v>0</v>
      </c>
      <c r="H49" s="17">
        <f>'FS (nominal)'!H50*CPI!$I$46</f>
        <v>448.48906503949127</v>
      </c>
      <c r="I49" s="15">
        <f>'FS (nominal)'!I50*CPI!$I$46</f>
        <v>29331.831712811152</v>
      </c>
      <c r="J49" s="15">
        <f>'FS (nominal)'!J50*CPI!$I$46</f>
        <v>7070.1713666562109</v>
      </c>
      <c r="K49" s="17">
        <f>'FS (nominal)'!K50*CPI!$I$46</f>
        <v>0</v>
      </c>
      <c r="L49" s="17">
        <f>'FS (nominal)'!L50*CPI!$I$46</f>
        <v>0</v>
      </c>
      <c r="M49" s="17">
        <f>'FS (nominal)'!M50*CPI!$I$46</f>
        <v>0</v>
      </c>
      <c r="N49" s="17">
        <f>'FS (nominal)'!N50*CPI!$I$46</f>
        <v>0</v>
      </c>
      <c r="O49" s="17">
        <f>'FS (nominal)'!O50*CPI!$I$46</f>
        <v>0</v>
      </c>
      <c r="P49" s="17">
        <f>'FS (nominal)'!P50*CPI!$I$46</f>
        <v>0</v>
      </c>
      <c r="Q49" s="17">
        <f>'FS (nominal)'!Q50*CPI!$I$46</f>
        <v>0</v>
      </c>
      <c r="R49" s="17">
        <f>'FS (nominal)'!R50*CPI!$I$46</f>
        <v>0</v>
      </c>
      <c r="S49" s="15">
        <f>'FS (nominal)'!S50*CPI!$I$46</f>
        <v>9969.1788087023451</v>
      </c>
      <c r="T49" s="15">
        <f>'FS (nominal)'!T50*CPI!$I$46</f>
        <v>12292.481537452595</v>
      </c>
      <c r="U49" s="15">
        <f>'FS (nominal)'!U50*CPI!$I$46</f>
        <v>6641.9521745886905</v>
      </c>
      <c r="V49" s="15">
        <f>'FS (nominal)'!V50*CPI!$I$46</f>
        <v>5650.5293628639047</v>
      </c>
      <c r="W49" s="17"/>
      <c r="X49" s="17">
        <f>'FS (nominal)'!W50*CPI!$I$46</f>
        <v>-809.05896432950294</v>
      </c>
      <c r="Y49" s="17">
        <f>'FS (nominal)'!X50*CPI!$I$46</f>
        <v>4900.6618990904162</v>
      </c>
      <c r="Z49" s="17">
        <f>'FS (nominal)'!Y50*CPI!$I$46</f>
        <v>7898.1511790368104</v>
      </c>
      <c r="AA49" s="15">
        <f>'FS (nominal)'!Z50*CPI!$I$46</f>
        <v>19258.401836560119</v>
      </c>
      <c r="AB49" s="17">
        <f>'FS (nominal)'!AA50*CPI!$I$46</f>
        <v>0</v>
      </c>
      <c r="AC49" s="17">
        <f>'FS (nominal)'!AB50*CPI!$I$46</f>
        <v>0</v>
      </c>
      <c r="AD49" s="17">
        <f>'FS (nominal)'!AC50*CPI!$I$46</f>
        <v>0</v>
      </c>
      <c r="AE49" s="17">
        <f>'FS (nominal)'!AD50*CPI!$I$46</f>
        <v>0</v>
      </c>
      <c r="AF49" s="17">
        <f>'FS (nominal)'!AE50*CPI!$I$46</f>
        <v>0</v>
      </c>
      <c r="AG49" s="15">
        <f>'FS (nominal)'!AF50*CPI!$I$46</f>
        <v>10401.496393031279</v>
      </c>
      <c r="AH49" s="18">
        <f>'FS (nominal)'!AG50*CPI!$I$46</f>
        <v>1125.5350574548772</v>
      </c>
    </row>
    <row r="50" spans="1:34" s="7" customFormat="1" ht="15" customHeight="1">
      <c r="A50" s="246">
        <f>References!H262</f>
        <v>98</v>
      </c>
      <c r="B50" s="256" t="s">
        <v>33</v>
      </c>
      <c r="C50" s="121">
        <v>2009</v>
      </c>
      <c r="D50" s="17">
        <f>'FS (nominal)'!D51*CPI!$I$50</f>
        <v>29475.657629212703</v>
      </c>
      <c r="E50" s="15">
        <f>'FS (nominal)'!E51*CPI!$I$50</f>
        <v>29475.657629212703</v>
      </c>
      <c r="F50" s="15">
        <f>'FS (nominal)'!F51*CPI!$I$50</f>
        <v>1023.5612602100347</v>
      </c>
      <c r="G50" s="15">
        <f>'FS (nominal)'!G51*CPI!$I$50</f>
        <v>0</v>
      </c>
      <c r="H50" s="17">
        <f>'FS (nominal)'!H51*CPI!$I$50</f>
        <v>374.75214496533727</v>
      </c>
      <c r="I50" s="15">
        <f>'FS (nominal)'!I51*CPI!$I$50</f>
        <v>30873.971034388076</v>
      </c>
      <c r="J50" s="15">
        <f>'FS (nominal)'!J51*CPI!$I$50</f>
        <v>7723.4237078728784</v>
      </c>
      <c r="K50" s="17">
        <f>'FS (nominal)'!K51*CPI!$I$50</f>
        <v>0</v>
      </c>
      <c r="L50" s="17">
        <f>'FS (nominal)'!L51*CPI!$I$50</f>
        <v>0</v>
      </c>
      <c r="M50" s="17">
        <f>'FS (nominal)'!M51*CPI!$I$50</f>
        <v>0</v>
      </c>
      <c r="N50" s="17">
        <f>'FS (nominal)'!N51*CPI!$I$50</f>
        <v>0</v>
      </c>
      <c r="O50" s="17">
        <f>'FS (nominal)'!O51*CPI!$I$50</f>
        <v>0</v>
      </c>
      <c r="P50" s="17">
        <f>'FS (nominal)'!P51*CPI!$I$50</f>
        <v>0</v>
      </c>
      <c r="Q50" s="17">
        <f>'FS (nominal)'!Q51*CPI!$I$50</f>
        <v>0</v>
      </c>
      <c r="R50" s="17">
        <f>'FS (nominal)'!R51*CPI!$I$50</f>
        <v>0</v>
      </c>
      <c r="S50" s="15">
        <f>'FS (nominal)'!S51*CPI!$I$50</f>
        <v>10147.374562427069</v>
      </c>
      <c r="T50" s="15">
        <f>'FS (nominal)'!T51*CPI!$I$50</f>
        <v>13003.172764088129</v>
      </c>
      <c r="U50" s="15">
        <f>'FS (nominal)'!U51*CPI!$I$50</f>
        <v>4857.8393885647592</v>
      </c>
      <c r="V50" s="15">
        <f>'FS (nominal)'!V51*CPI!$I$50</f>
        <v>8145.3333755233689</v>
      </c>
      <c r="W50" s="17"/>
      <c r="X50" s="17">
        <f>'FS (nominal)'!W51*CPI!$I$50</f>
        <v>-361.62163951952766</v>
      </c>
      <c r="Y50" s="17">
        <f>'FS (nominal)'!X51*CPI!$I$50</f>
        <v>4430.1653893060593</v>
      </c>
      <c r="Z50" s="17">
        <f>'FS (nominal)'!Y51*CPI!$I$50</f>
        <v>1735.6941451026146</v>
      </c>
      <c r="AA50" s="15">
        <f>'FS (nominal)'!Z51*CPI!$I$50</f>
        <v>14672.815026975079</v>
      </c>
      <c r="AB50" s="17">
        <f>'FS (nominal)'!AA51*CPI!$I$50</f>
        <v>2580.0134267554386</v>
      </c>
      <c r="AC50" s="17">
        <f>'FS (nominal)'!AB51*CPI!$I$50</f>
        <v>4050.829226274966</v>
      </c>
      <c r="AD50" s="17">
        <f>'FS (nominal)'!AC51*CPI!$I$50</f>
        <v>1043.9288835747132</v>
      </c>
      <c r="AE50" s="17">
        <f>'FS (nominal)'!AD51*CPI!$I$50</f>
        <v>2888.6411266936639</v>
      </c>
      <c r="AF50" s="17">
        <f>'FS (nominal)'!AE51*CPI!$I$50</f>
        <v>505.12343334477299</v>
      </c>
      <c r="AG50" s="15">
        <f>'FS (nominal)'!AF51*CPI!$I$50</f>
        <v>11068.536096643555</v>
      </c>
      <c r="AH50" s="18">
        <f>'FS (nominal)'!AG51*CPI!$I$50</f>
        <v>1528.0752282243113</v>
      </c>
    </row>
    <row r="51" spans="1:34" s="7" customFormat="1" ht="15" customHeight="1">
      <c r="A51" s="246">
        <f>References!I262</f>
        <v>99</v>
      </c>
      <c r="B51" s="256" t="s">
        <v>33</v>
      </c>
      <c r="C51" s="121">
        <v>2010</v>
      </c>
      <c r="D51" s="17">
        <f>'FS (nominal)'!D52*CPI!$I$54</f>
        <v>30190.877975263396</v>
      </c>
      <c r="E51" s="15">
        <f>'FS (nominal)'!E52*CPI!$I$54</f>
        <v>30190.877975263396</v>
      </c>
      <c r="F51" s="15">
        <f>'FS (nominal)'!F52*CPI!$I$54</f>
        <v>939.08439540298014</v>
      </c>
      <c r="G51" s="15">
        <f>'FS (nominal)'!G52*CPI!$I$54</f>
        <v>0</v>
      </c>
      <c r="H51" s="17">
        <f>'FS (nominal)'!H52*CPI!$I$54</f>
        <v>378.67666082832579</v>
      </c>
      <c r="I51" s="15">
        <f>'FS (nominal)'!I52*CPI!$I$54</f>
        <v>31508.638644337254</v>
      </c>
      <c r="J51" s="15">
        <f>'FS (nominal)'!J52*CPI!$I$54</f>
        <v>8129.2406763493291</v>
      </c>
      <c r="K51" s="17">
        <f>'FS (nominal)'!K52*CPI!$I$54</f>
        <v>4459.4710107515284</v>
      </c>
      <c r="L51" s="17">
        <f>'FS (nominal)'!L52*CPI!$I$54</f>
        <v>1782.9700757187893</v>
      </c>
      <c r="M51" s="17">
        <f>'FS (nominal)'!M52*CPI!$I$54</f>
        <v>1356.2468701193716</v>
      </c>
      <c r="N51" s="17">
        <f>'FS (nominal)'!N52*CPI!$I$54</f>
        <v>802.86944611031754</v>
      </c>
      <c r="O51" s="17">
        <f>'FS (nominal)'!O52*CPI!$I$54</f>
        <v>1379.6702012880276</v>
      </c>
      <c r="P51" s="17">
        <f>'FS (nominal)'!P52*CPI!$I$54</f>
        <v>0</v>
      </c>
      <c r="Q51" s="17">
        <f>'FS (nominal)'!Q52*CPI!$I$54</f>
        <v>0</v>
      </c>
      <c r="R51" s="17">
        <f>'FS (nominal)'!R52*CPI!$I$54</f>
        <v>0</v>
      </c>
      <c r="S51" s="15">
        <f>'FS (nominal)'!S52*CPI!$I$54</f>
        <v>9782.8573738244704</v>
      </c>
      <c r="T51" s="15">
        <f>'FS (nominal)'!T52*CPI!$I$54</f>
        <v>13596.540594163454</v>
      </c>
      <c r="U51" s="15">
        <f>'FS (nominal)'!U52*CPI!$I$54</f>
        <v>7136.0942060305561</v>
      </c>
      <c r="V51" s="15">
        <f>'FS (nominal)'!V52*CPI!$I$54</f>
        <v>6460.4466937835132</v>
      </c>
      <c r="W51" s="17"/>
      <c r="X51" s="17">
        <f>'FS (nominal)'!W52*CPI!$I$54</f>
        <v>260.31868651612729</v>
      </c>
      <c r="Y51" s="17">
        <f>'FS (nominal)'!X52*CPI!$I$54</f>
        <v>3028.8180829942603</v>
      </c>
      <c r="Z51" s="17">
        <f>'FS (nominal)'!Y52*CPI!$I$54</f>
        <v>0</v>
      </c>
      <c r="AA51" s="15">
        <f>'FS (nominal)'!Z52*CPI!$I$54</f>
        <v>9229.6297593705349</v>
      </c>
      <c r="AB51" s="17">
        <f>'FS (nominal)'!AA52*CPI!$I$54</f>
        <v>1367.6842142760904</v>
      </c>
      <c r="AC51" s="17">
        <f>'FS (nominal)'!AB52*CPI!$I$54</f>
        <v>4215.0283571986738</v>
      </c>
      <c r="AD51" s="17">
        <f>'FS (nominal)'!AC52*CPI!$I$54</f>
        <v>1306.2043249440865</v>
      </c>
      <c r="AE51" s="17">
        <f>'FS (nominal)'!AD52*CPI!$I$54</f>
        <v>4076.9427446309714</v>
      </c>
      <c r="AF51" s="17">
        <f>'FS (nominal)'!AE52*CPI!$I$54</f>
        <v>106.72547223734202</v>
      </c>
      <c r="AG51" s="15">
        <f>'FS (nominal)'!AF52*CPI!$I$54</f>
        <v>11072.584787259841</v>
      </c>
      <c r="AH51" s="18">
        <f>'FS (nominal)'!AG52*CPI!$I$54</f>
        <v>1710.2863593004765</v>
      </c>
    </row>
    <row r="52" spans="1:34" s="7" customFormat="1" ht="15" customHeight="1">
      <c r="A52" s="246">
        <f>References!J262</f>
        <v>100</v>
      </c>
      <c r="B52" s="256" t="s">
        <v>33</v>
      </c>
      <c r="C52" s="121">
        <v>2011</v>
      </c>
      <c r="D52" s="17">
        <f>'FS (nominal)'!D53*CPI!$I$58</f>
        <v>29866</v>
      </c>
      <c r="E52" s="15">
        <f>'FS (nominal)'!E53*CPI!$I$58</f>
        <v>29866</v>
      </c>
      <c r="F52" s="15">
        <f>'FS (nominal)'!F53*CPI!$I$58</f>
        <v>764</v>
      </c>
      <c r="G52" s="15">
        <f>'FS (nominal)'!G53*CPI!$I$58</f>
        <v>0</v>
      </c>
      <c r="H52" s="17">
        <f>'FS (nominal)'!H53*CPI!$I$58</f>
        <v>285</v>
      </c>
      <c r="I52" s="15">
        <f>'FS (nominal)'!I53*CPI!$I$58</f>
        <v>30915</v>
      </c>
      <c r="J52" s="15">
        <f>'FS (nominal)'!J53*CPI!$I$58</f>
        <v>8022</v>
      </c>
      <c r="K52" s="17">
        <f>'FS (nominal)'!K53*CPI!$I$58</f>
        <v>4188</v>
      </c>
      <c r="L52" s="17">
        <f>'FS (nominal)'!L53*CPI!$I$58</f>
        <v>1831</v>
      </c>
      <c r="M52" s="17">
        <f>'FS (nominal)'!M53*CPI!$I$58</f>
        <v>1342</v>
      </c>
      <c r="N52" s="17">
        <f>'FS (nominal)'!N53*CPI!$I$58</f>
        <v>787</v>
      </c>
      <c r="O52" s="17">
        <f>'FS (nominal)'!O53*CPI!$I$58</f>
        <v>1695</v>
      </c>
      <c r="P52" s="17">
        <f>'FS (nominal)'!P53*CPI!$I$58</f>
        <v>0</v>
      </c>
      <c r="Q52" s="17">
        <f>'FS (nominal)'!Q53*CPI!$I$58</f>
        <v>0</v>
      </c>
      <c r="R52" s="17">
        <f>'FS (nominal)'!R53*CPI!$I$58</f>
        <v>0</v>
      </c>
      <c r="S52" s="15">
        <f>'FS (nominal)'!S53*CPI!$I$58</f>
        <v>9843</v>
      </c>
      <c r="T52" s="15">
        <f>'FS (nominal)'!T53*CPI!$I$58</f>
        <v>13050</v>
      </c>
      <c r="U52" s="15">
        <f>'FS (nominal)'!U53*CPI!$I$58</f>
        <v>7141.1477999999997</v>
      </c>
      <c r="V52" s="15">
        <f>'FS (nominal)'!V53*CPI!$I$58</f>
        <v>5908.8522000000003</v>
      </c>
      <c r="W52" s="17"/>
      <c r="X52" s="17">
        <f>'FS (nominal)'!W53*CPI!$I$58</f>
        <v>-143.25961000000001</v>
      </c>
      <c r="Y52" s="17">
        <f>'FS (nominal)'!X53*CPI!$I$58</f>
        <v>6800.2286999999997</v>
      </c>
      <c r="Z52" s="17">
        <f>'FS (nominal)'!Y53*CPI!$I$58</f>
        <v>-476</v>
      </c>
      <c r="AA52" s="15">
        <f>'FS (nominal)'!Z53*CPI!$I$58</f>
        <v>12376.34</v>
      </c>
      <c r="AB52" s="17">
        <f>'FS (nominal)'!AA53*CPI!$I$58</f>
        <v>1966.0478000000001</v>
      </c>
      <c r="AC52" s="17">
        <f>'FS (nominal)'!AB53*CPI!$I$58</f>
        <v>2585.6104999999998</v>
      </c>
      <c r="AD52" s="17">
        <f>'FS (nominal)'!AC53*CPI!$I$58</f>
        <v>1407.6402</v>
      </c>
      <c r="AE52" s="17">
        <f>'FS (nominal)'!AD53*CPI!$I$58</f>
        <v>4594.1194999999998</v>
      </c>
      <c r="AF52" s="17">
        <f>'FS (nominal)'!AE53*CPI!$I$58</f>
        <v>385.9418</v>
      </c>
      <c r="AG52" s="15">
        <f>'FS (nominal)'!AF53*CPI!$I$58</f>
        <v>10939.36</v>
      </c>
      <c r="AH52" s="18">
        <f>'FS (nominal)'!AG53*CPI!$I$58</f>
        <v>424</v>
      </c>
    </row>
    <row r="53" spans="1:34" s="7" customFormat="1" ht="15" hidden="1" customHeight="1">
      <c r="A53" s="246">
        <f>References!C263</f>
        <v>116</v>
      </c>
      <c r="B53" s="255" t="s">
        <v>34</v>
      </c>
      <c r="C53" s="121">
        <v>2004</v>
      </c>
      <c r="D53" s="17">
        <f>'FS (nominal)'!D54*CPI!$I$30</f>
        <v>24000.720278123597</v>
      </c>
      <c r="E53" s="15">
        <f>'FS (nominal)'!E54*CPI!$I$30</f>
        <v>24000.720278123597</v>
      </c>
      <c r="F53" s="15">
        <f>'FS (nominal)'!F54*CPI!$I$30</f>
        <v>0</v>
      </c>
      <c r="G53" s="15">
        <f>'FS (nominal)'!G54*CPI!$I$30</f>
        <v>2489.2051375408987</v>
      </c>
      <c r="H53" s="17">
        <f>'FS (nominal)'!H54*CPI!$I$30</f>
        <v>706.54294297012405</v>
      </c>
      <c r="I53" s="15">
        <f>'FS (nominal)'!I54*CPI!$I$30</f>
        <v>27196.468358634622</v>
      </c>
      <c r="J53" s="15">
        <f>'FS (nominal)'!J54*CPI!$I$30</f>
        <v>6921.7053096782574</v>
      </c>
      <c r="K53" s="17">
        <f>'FS (nominal)'!K54*CPI!$I$30</f>
        <v>0</v>
      </c>
      <c r="L53" s="17">
        <f>'FS (nominal)'!L54*CPI!$I$30</f>
        <v>0</v>
      </c>
      <c r="M53" s="17">
        <f>'FS (nominal)'!M54*CPI!$I$30</f>
        <v>0</v>
      </c>
      <c r="N53" s="17">
        <f>'FS (nominal)'!N54*CPI!$I$30</f>
        <v>0</v>
      </c>
      <c r="O53" s="17">
        <f>'FS (nominal)'!O54*CPI!$I$30</f>
        <v>0</v>
      </c>
      <c r="P53" s="17">
        <f>'FS (nominal)'!P54*CPI!$I$30</f>
        <v>0</v>
      </c>
      <c r="Q53" s="17">
        <f>'FS (nominal)'!Q54*CPI!$I$30</f>
        <v>0</v>
      </c>
      <c r="R53" s="17">
        <f>'FS (nominal)'!R54*CPI!$I$30</f>
        <v>0</v>
      </c>
      <c r="S53" s="15">
        <f>'FS (nominal)'!S54*CPI!$I$30</f>
        <v>13105.465767809941</v>
      </c>
      <c r="T53" s="15">
        <f>'FS (nominal)'!T54*CPI!$I$30</f>
        <v>14091.002590824679</v>
      </c>
      <c r="U53" s="15">
        <f>'FS (nominal)'!U54*CPI!$I$30</f>
        <v>3623.2971434365336</v>
      </c>
      <c r="V53" s="15">
        <f>'FS (nominal)'!V54*CPI!$I$30</f>
        <v>0</v>
      </c>
      <c r="W53" s="17"/>
      <c r="X53" s="17">
        <f>'FS (nominal)'!W54*CPI!$I$30</f>
        <v>1951.7493945978126</v>
      </c>
      <c r="Y53" s="17">
        <f>'FS (nominal)'!X54*CPI!$I$30</f>
        <v>0</v>
      </c>
      <c r="Z53" s="17">
        <f>'FS (nominal)'!Y54*CPI!$I$30</f>
        <v>0</v>
      </c>
      <c r="AA53" s="15">
        <f>'FS (nominal)'!Z54*CPI!$I$30</f>
        <v>5197.0158694024676</v>
      </c>
      <c r="AB53" s="17">
        <f>'FS (nominal)'!AA54*CPI!$I$30</f>
        <v>0</v>
      </c>
      <c r="AC53" s="17">
        <f>'FS (nominal)'!AB54*CPI!$I$30</f>
        <v>0</v>
      </c>
      <c r="AD53" s="17">
        <f>'FS (nominal)'!AC54*CPI!$I$30</f>
        <v>0</v>
      </c>
      <c r="AE53" s="17">
        <f>'FS (nominal)'!AD54*CPI!$I$30</f>
        <v>0</v>
      </c>
      <c r="AF53" s="17">
        <f>'FS (nominal)'!AE54*CPI!$I$30</f>
        <v>0</v>
      </c>
      <c r="AG53" s="15">
        <f>'FS (nominal)'!AF54*CPI!$I$30</f>
        <v>0</v>
      </c>
      <c r="AH53" s="18">
        <f>'FS (nominal)'!AG54*CPI!$I$30</f>
        <v>0</v>
      </c>
    </row>
    <row r="54" spans="1:34" s="7" customFormat="1" ht="15" hidden="1" customHeight="1">
      <c r="A54" s="246">
        <f>References!D263</f>
        <v>117</v>
      </c>
      <c r="B54" s="255" t="s">
        <v>34</v>
      </c>
      <c r="C54" s="121">
        <v>2005</v>
      </c>
      <c r="D54" s="17">
        <f>'FS (nominal)'!D55*CPI!$I$34</f>
        <v>25766.247244436712</v>
      </c>
      <c r="E54" s="15">
        <f>'FS (nominal)'!E55*CPI!$I$34</f>
        <v>25766.247244436712</v>
      </c>
      <c r="F54" s="15">
        <f>'FS (nominal)'!F55*CPI!$I$34</f>
        <v>0</v>
      </c>
      <c r="G54" s="15">
        <f>'FS (nominal)'!G55*CPI!$I$34</f>
        <v>865.23171256674823</v>
      </c>
      <c r="H54" s="17">
        <f>'FS (nominal)'!H55*CPI!$I$34</f>
        <v>854.63703853531865</v>
      </c>
      <c r="I54" s="15">
        <f>'FS (nominal)'!I55*CPI!$I$34</f>
        <v>27486.115995538781</v>
      </c>
      <c r="J54" s="15">
        <f>'FS (nominal)'!J55*CPI!$I$34</f>
        <v>6367.3990928891717</v>
      </c>
      <c r="K54" s="17">
        <f>'FS (nominal)'!K55*CPI!$I$34</f>
        <v>0</v>
      </c>
      <c r="L54" s="17">
        <f>'FS (nominal)'!L55*CPI!$I$34</f>
        <v>0</v>
      </c>
      <c r="M54" s="17">
        <f>'FS (nominal)'!M55*CPI!$I$34</f>
        <v>0</v>
      </c>
      <c r="N54" s="17">
        <f>'FS (nominal)'!N55*CPI!$I$34</f>
        <v>0</v>
      </c>
      <c r="O54" s="17">
        <f>'FS (nominal)'!O55*CPI!$I$34</f>
        <v>0</v>
      </c>
      <c r="P54" s="17">
        <f>'FS (nominal)'!P55*CPI!$I$34</f>
        <v>0</v>
      </c>
      <c r="Q54" s="17">
        <f>'FS (nominal)'!Q55*CPI!$I$34</f>
        <v>778.11994830832725</v>
      </c>
      <c r="R54" s="17">
        <f>'FS (nominal)'!R55*CPI!$I$34</f>
        <v>0</v>
      </c>
      <c r="S54" s="15">
        <f>'FS (nominal)'!S55*CPI!$I$34</f>
        <v>13611.801758380012</v>
      </c>
      <c r="T54" s="15">
        <f>'FS (nominal)'!T55*CPI!$I$34</f>
        <v>13874.314237158767</v>
      </c>
      <c r="U54" s="15">
        <f>'FS (nominal)'!U55*CPI!$I$34</f>
        <v>3506.8371044031874</v>
      </c>
      <c r="V54" s="15">
        <f>'FS (nominal)'!V55*CPI!$I$34</f>
        <v>0</v>
      </c>
      <c r="W54" s="17"/>
      <c r="X54" s="17">
        <f>'FS (nominal)'!W55*CPI!$I$34</f>
        <v>2600.4038817142132</v>
      </c>
      <c r="Y54" s="17">
        <f>'FS (nominal)'!X55*CPI!$I$34</f>
        <v>0</v>
      </c>
      <c r="Z54" s="17">
        <f>'FS (nominal)'!Y55*CPI!$I$34</f>
        <v>0</v>
      </c>
      <c r="AA54" s="15">
        <f>'FS (nominal)'!Z55*CPI!$I$34</f>
        <v>4268.4764486626245</v>
      </c>
      <c r="AB54" s="17">
        <f>'FS (nominal)'!AA55*CPI!$I$34</f>
        <v>0</v>
      </c>
      <c r="AC54" s="17">
        <f>'FS (nominal)'!AB55*CPI!$I$34</f>
        <v>0</v>
      </c>
      <c r="AD54" s="17">
        <f>'FS (nominal)'!AC55*CPI!$I$34</f>
        <v>0</v>
      </c>
      <c r="AE54" s="17">
        <f>'FS (nominal)'!AD55*CPI!$I$34</f>
        <v>0</v>
      </c>
      <c r="AF54" s="17">
        <f>'FS (nominal)'!AE55*CPI!$I$34</f>
        <v>0</v>
      </c>
      <c r="AG54" s="15">
        <f>'FS (nominal)'!AF55*CPI!$I$34</f>
        <v>0</v>
      </c>
      <c r="AH54" s="18">
        <f>'FS (nominal)'!AG55*CPI!$I$34</f>
        <v>0</v>
      </c>
    </row>
    <row r="55" spans="1:34" s="7" customFormat="1" ht="14.45" hidden="1" customHeight="1">
      <c r="A55" s="246">
        <f>References!E263</f>
        <v>118</v>
      </c>
      <c r="B55" s="255" t="s">
        <v>34</v>
      </c>
      <c r="C55" s="121">
        <v>2006</v>
      </c>
      <c r="D55" s="17">
        <f>'FS (nominal)'!D56*CPI!$I$38</f>
        <v>26145.132273074534</v>
      </c>
      <c r="E55" s="15">
        <f>'FS (nominal)'!E56*CPI!$I$38</f>
        <v>26145.132273074534</v>
      </c>
      <c r="F55" s="15">
        <f>'FS (nominal)'!F56*CPI!$I$38</f>
        <v>0</v>
      </c>
      <c r="G55" s="15">
        <f>'FS (nominal)'!G56*CPI!$I$38</f>
        <v>1471.9045401181004</v>
      </c>
      <c r="H55" s="17">
        <f>'FS (nominal)'!H56*CPI!$I$38</f>
        <v>1486.7376866464222</v>
      </c>
      <c r="I55" s="15">
        <f>'FS (nominal)'!I56*CPI!$I$38</f>
        <v>29103.774499839059</v>
      </c>
      <c r="J55" s="15">
        <f>'FS (nominal)'!J56*CPI!$I$38</f>
        <v>5757.5428755317316</v>
      </c>
      <c r="K55" s="17">
        <f>'FS (nominal)'!K56*CPI!$I$38</f>
        <v>0</v>
      </c>
      <c r="L55" s="17">
        <f>'FS (nominal)'!L56*CPI!$I$38</f>
        <v>0</v>
      </c>
      <c r="M55" s="17">
        <f>'FS (nominal)'!M56*CPI!$I$38</f>
        <v>0</v>
      </c>
      <c r="N55" s="17">
        <f>'FS (nominal)'!N56*CPI!$I$38</f>
        <v>0</v>
      </c>
      <c r="O55" s="17">
        <f>'FS (nominal)'!O56*CPI!$I$38</f>
        <v>0</v>
      </c>
      <c r="P55" s="17">
        <f>'FS (nominal)'!P56*CPI!$I$38</f>
        <v>0</v>
      </c>
      <c r="Q55" s="17">
        <f>'FS (nominal)'!Q56*CPI!$I$38</f>
        <v>1471.9045401181004</v>
      </c>
      <c r="R55" s="17">
        <f>'FS (nominal)'!R56*CPI!$I$38</f>
        <v>0</v>
      </c>
      <c r="S55" s="15">
        <f>'FS (nominal)'!S56*CPI!$I$38</f>
        <v>13604.277389014038</v>
      </c>
      <c r="T55" s="15">
        <f>'FS (nominal)'!T56*CPI!$I$38</f>
        <v>15499.497110825019</v>
      </c>
      <c r="U55" s="15">
        <f>'FS (nominal)'!U56*CPI!$I$38</f>
        <v>3977.5652921330989</v>
      </c>
      <c r="V55" s="15">
        <f>'FS (nominal)'!V56*CPI!$I$38</f>
        <v>0</v>
      </c>
      <c r="W55" s="17"/>
      <c r="X55" s="17">
        <f>'FS (nominal)'!W56*CPI!$I$38</f>
        <v>2351.8820989220708</v>
      </c>
      <c r="Y55" s="17">
        <f>'FS (nominal)'!X56*CPI!$I$38</f>
        <v>0</v>
      </c>
      <c r="Z55" s="17">
        <f>'FS (nominal)'!Y56*CPI!$I$38</f>
        <v>0</v>
      </c>
      <c r="AA55" s="15">
        <f>'FS (nominal)'!Z56*CPI!$I$38</f>
        <v>5495.9934258316443</v>
      </c>
      <c r="AB55" s="17">
        <f>'FS (nominal)'!AA56*CPI!$I$38</f>
        <v>0</v>
      </c>
      <c r="AC55" s="17">
        <f>'FS (nominal)'!AB56*CPI!$I$38</f>
        <v>0</v>
      </c>
      <c r="AD55" s="17">
        <f>'FS (nominal)'!AC56*CPI!$I$38</f>
        <v>0</v>
      </c>
      <c r="AE55" s="17">
        <f>'FS (nominal)'!AD56*CPI!$I$38</f>
        <v>0</v>
      </c>
      <c r="AF55" s="17">
        <f>'FS (nominal)'!AE56*CPI!$I$38</f>
        <v>0</v>
      </c>
      <c r="AG55" s="15">
        <f>'FS (nominal)'!AF56*CPI!$I$38</f>
        <v>0</v>
      </c>
      <c r="AH55" s="18">
        <f>'FS (nominal)'!AG56*CPI!$I$38</f>
        <v>0</v>
      </c>
    </row>
    <row r="56" spans="1:34" s="7" customFormat="1" ht="15" hidden="1" customHeight="1">
      <c r="A56" s="246">
        <f>References!F263</f>
        <v>119</v>
      </c>
      <c r="B56" s="255" t="s">
        <v>34</v>
      </c>
      <c r="C56" s="121">
        <v>2007</v>
      </c>
      <c r="D56" s="17">
        <f>'FS (nominal)'!D57*CPI!$I$42</f>
        <v>27083.139204960953</v>
      </c>
      <c r="E56" s="15">
        <f>'FS (nominal)'!E57*CPI!$I$42</f>
        <v>27083.139204960953</v>
      </c>
      <c r="F56" s="15">
        <f>'FS (nominal)'!F57*CPI!$I$42</f>
        <v>0</v>
      </c>
      <c r="G56" s="15">
        <f>'FS (nominal)'!G57*CPI!$I$42</f>
        <v>1159.0628016497501</v>
      </c>
      <c r="H56" s="17">
        <f>'FS (nominal)'!H57*CPI!$I$42</f>
        <v>716.67241934068511</v>
      </c>
      <c r="I56" s="15">
        <f>'FS (nominal)'!I57*CPI!$I$42</f>
        <v>28958.874425951388</v>
      </c>
      <c r="J56" s="15">
        <f>'FS (nominal)'!J57*CPI!$I$42</f>
        <v>6701.1083160265607</v>
      </c>
      <c r="K56" s="17">
        <f>'FS (nominal)'!K57*CPI!$I$42</f>
        <v>0</v>
      </c>
      <c r="L56" s="17">
        <f>'FS (nominal)'!L57*CPI!$I$42</f>
        <v>0</v>
      </c>
      <c r="M56" s="17">
        <f>'FS (nominal)'!M57*CPI!$I$42</f>
        <v>0</v>
      </c>
      <c r="N56" s="17">
        <f>'FS (nominal)'!N57*CPI!$I$42</f>
        <v>0</v>
      </c>
      <c r="O56" s="17">
        <f>'FS (nominal)'!O57*CPI!$I$42</f>
        <v>0</v>
      </c>
      <c r="P56" s="17">
        <f>'FS (nominal)'!P57*CPI!$I$42</f>
        <v>0</v>
      </c>
      <c r="Q56" s="17">
        <f>'FS (nominal)'!Q57*CPI!$I$42</f>
        <v>1159.0628016497501</v>
      </c>
      <c r="R56" s="17">
        <f>'FS (nominal)'!R57*CPI!$I$42</f>
        <v>0</v>
      </c>
      <c r="S56" s="15">
        <f>'FS (nominal)'!S57*CPI!$I$42</f>
        <v>14890.860268523125</v>
      </c>
      <c r="T56" s="15">
        <f>'FS (nominal)'!T57*CPI!$I$42</f>
        <v>14068.014157428264</v>
      </c>
      <c r="U56" s="15">
        <f>'FS (nominal)'!U57*CPI!$I$42</f>
        <v>4023.5405271009454</v>
      </c>
      <c r="V56" s="15">
        <f>'FS (nominal)'!V57*CPI!$I$42</f>
        <v>0</v>
      </c>
      <c r="W56" s="17"/>
      <c r="X56" s="17">
        <f>'FS (nominal)'!W57*CPI!$I$42</f>
        <v>2613.421183490801</v>
      </c>
      <c r="Y56" s="17">
        <f>'FS (nominal)'!X57*CPI!$I$42</f>
        <v>0</v>
      </c>
      <c r="Z56" s="17">
        <f>'FS (nominal)'!Y57*CPI!$I$42</f>
        <v>0</v>
      </c>
      <c r="AA56" s="15">
        <f>'FS (nominal)'!Z57*CPI!$I$42</f>
        <v>3561.2425775879724</v>
      </c>
      <c r="AB56" s="17">
        <f>'FS (nominal)'!AA57*CPI!$I$42</f>
        <v>0</v>
      </c>
      <c r="AC56" s="17">
        <f>'FS (nominal)'!AB57*CPI!$I$42</f>
        <v>0</v>
      </c>
      <c r="AD56" s="17">
        <f>'FS (nominal)'!AC57*CPI!$I$42</f>
        <v>0</v>
      </c>
      <c r="AE56" s="17">
        <f>'FS (nominal)'!AD57*CPI!$I$42</f>
        <v>0</v>
      </c>
      <c r="AF56" s="17">
        <f>'FS (nominal)'!AE57*CPI!$I$42</f>
        <v>0</v>
      </c>
      <c r="AG56" s="15">
        <f>'FS (nominal)'!AF57*CPI!$I$42</f>
        <v>0</v>
      </c>
      <c r="AH56" s="18">
        <f>'FS (nominal)'!AG57*CPI!$I$42</f>
        <v>0</v>
      </c>
    </row>
    <row r="57" spans="1:34" s="7" customFormat="1" ht="15" customHeight="1">
      <c r="A57" s="246">
        <f>References!G263</f>
        <v>120</v>
      </c>
      <c r="B57" s="256" t="s">
        <v>34</v>
      </c>
      <c r="C57" s="121">
        <v>2008</v>
      </c>
      <c r="D57" s="17">
        <f>'FS (nominal)'!D58*CPI!$I$46</f>
        <v>26290.515240512101</v>
      </c>
      <c r="E57" s="15">
        <f>'FS (nominal)'!E58*CPI!$I$46</f>
        <v>26290.515240512101</v>
      </c>
      <c r="F57" s="15">
        <f>'FS (nominal)'!F58*CPI!$I$46</f>
        <v>821.68371589062178</v>
      </c>
      <c r="G57" s="15">
        <f>'FS (nominal)'!G58*CPI!$I$46</f>
        <v>54.400861110319063</v>
      </c>
      <c r="H57" s="17">
        <f>'FS (nominal)'!H58*CPI!$I$46</f>
        <v>461.42624960793813</v>
      </c>
      <c r="I57" s="15">
        <f>'FS (nominal)'!I58*CPI!$I$46</f>
        <v>27628.02606712098</v>
      </c>
      <c r="J57" s="15">
        <f>'FS (nominal)'!J58*CPI!$I$46</f>
        <v>8714.3473724729829</v>
      </c>
      <c r="K57" s="17">
        <f>'FS (nominal)'!K58*CPI!$I$46</f>
        <v>3454.206717801032</v>
      </c>
      <c r="L57" s="17">
        <f>'FS (nominal)'!L58*CPI!$I$46</f>
        <v>0</v>
      </c>
      <c r="M57" s="17">
        <f>'FS (nominal)'!M58*CPI!$I$46</f>
        <v>0</v>
      </c>
      <c r="N57" s="17">
        <f>'FS (nominal)'!N58*CPI!$I$46</f>
        <v>0</v>
      </c>
      <c r="O57" s="17">
        <f>'FS (nominal)'!O58*CPI!$I$46</f>
        <v>1836.1099198768211</v>
      </c>
      <c r="P57" s="17">
        <f>'FS (nominal)'!P58*CPI!$I$46</f>
        <v>0</v>
      </c>
      <c r="Q57" s="17">
        <f>'FS (nominal)'!Q58*CPI!$I$46</f>
        <v>0</v>
      </c>
      <c r="R57" s="17">
        <f>'FS (nominal)'!R58*CPI!$I$46</f>
        <v>0</v>
      </c>
      <c r="S57" s="15">
        <f>'FS (nominal)'!S58*CPI!$I$46</f>
        <v>5290.3166376778527</v>
      </c>
      <c r="T57" s="15">
        <f>'FS (nominal)'!T58*CPI!$I$46</f>
        <v>13623.362056970145</v>
      </c>
      <c r="U57" s="15">
        <f>'FS (nominal)'!U58*CPI!$I$46</f>
        <v>4494.0868324256498</v>
      </c>
      <c r="V57" s="15">
        <f>'FS (nominal)'!V58*CPI!$I$46</f>
        <v>9129.2752245444954</v>
      </c>
      <c r="W57" s="17"/>
      <c r="X57" s="17">
        <f>'FS (nominal)'!W58*CPI!$I$46</f>
        <v>1019.3656318354195</v>
      </c>
      <c r="Y57" s="17">
        <f>'FS (nominal)'!X58*CPI!$I$46</f>
        <v>3668.4809934133614</v>
      </c>
      <c r="Z57" s="17">
        <f>'FS (nominal)'!Y58*CPI!$I$46</f>
        <v>115.572182144792</v>
      </c>
      <c r="AA57" s="15">
        <f>'FS (nominal)'!Z58*CPI!$I$46</f>
        <v>11893.962347808731</v>
      </c>
      <c r="AB57" s="17">
        <f>'FS (nominal)'!AA58*CPI!$I$46</f>
        <v>0</v>
      </c>
      <c r="AC57" s="17">
        <f>'FS (nominal)'!AB58*CPI!$I$46</f>
        <v>0</v>
      </c>
      <c r="AD57" s="17">
        <f>'FS (nominal)'!AC58*CPI!$I$46</f>
        <v>0</v>
      </c>
      <c r="AE57" s="17">
        <f>'FS (nominal)'!AD58*CPI!$I$46</f>
        <v>0</v>
      </c>
      <c r="AF57" s="17">
        <f>'FS (nominal)'!AE58*CPI!$I$46</f>
        <v>0</v>
      </c>
      <c r="AG57" s="15">
        <f>'FS (nominal)'!AF58*CPI!$I$46</f>
        <v>4720.8002110005409</v>
      </c>
      <c r="AH57" s="18">
        <f>'FS (nominal)'!AG58*CPI!$I$46</f>
        <v>20.160445952496364</v>
      </c>
    </row>
    <row r="58" spans="1:34" s="7" customFormat="1" ht="15" customHeight="1">
      <c r="A58" s="246">
        <f>References!H263</f>
        <v>121</v>
      </c>
      <c r="B58" s="256" t="s">
        <v>34</v>
      </c>
      <c r="C58" s="121">
        <v>2009</v>
      </c>
      <c r="D58" s="17">
        <f>'FS (nominal)'!D59*CPI!$I$50</f>
        <v>27243.754272770944</v>
      </c>
      <c r="E58" s="15">
        <f>'FS (nominal)'!E59*CPI!$I$50</f>
        <v>27243.754272770944</v>
      </c>
      <c r="F58" s="15">
        <f>'FS (nominal)'!F59*CPI!$I$50</f>
        <v>1231.6774243942614</v>
      </c>
      <c r="G58" s="15">
        <f>'FS (nominal)'!G59*CPI!$I$50</f>
        <v>57.095202141533377</v>
      </c>
      <c r="H58" s="17">
        <f>'FS (nominal)'!H59*CPI!$I$50</f>
        <v>551.22822431189491</v>
      </c>
      <c r="I58" s="15">
        <f>'FS (nominal)'!I59*CPI!$I$50</f>
        <v>29083.755123618634</v>
      </c>
      <c r="J58" s="15">
        <f>'FS (nominal)'!J59*CPI!$I$50</f>
        <v>8758.664985489735</v>
      </c>
      <c r="K58" s="17">
        <f>'FS (nominal)'!K59*CPI!$I$50</f>
        <v>0</v>
      </c>
      <c r="L58" s="17">
        <f>'FS (nominal)'!L59*CPI!$I$50</f>
        <v>0</v>
      </c>
      <c r="M58" s="17">
        <f>'FS (nominal)'!M59*CPI!$I$50</f>
        <v>0</v>
      </c>
      <c r="N58" s="17">
        <f>'FS (nominal)'!N59*CPI!$I$50</f>
        <v>0</v>
      </c>
      <c r="O58" s="17">
        <f>'FS (nominal)'!O59*CPI!$I$50</f>
        <v>0</v>
      </c>
      <c r="P58" s="17">
        <f>'FS (nominal)'!P59*CPI!$I$50</f>
        <v>0</v>
      </c>
      <c r="Q58" s="17">
        <f>'FS (nominal)'!Q59*CPI!$I$50</f>
        <v>0</v>
      </c>
      <c r="R58" s="17">
        <f>'FS (nominal)'!R59*CPI!$I$50</f>
        <v>0</v>
      </c>
      <c r="S58" s="15">
        <f>'FS (nominal)'!S59*CPI!$I$50</f>
        <v>6350.024572722903</v>
      </c>
      <c r="T58" s="15">
        <f>'FS (nominal)'!T59*CPI!$I$50</f>
        <v>13975.065980643827</v>
      </c>
      <c r="U58" s="15">
        <f>'FS (nominal)'!U59*CPI!$I$50</f>
        <v>4287.4541667925032</v>
      </c>
      <c r="V58" s="15">
        <f>'FS (nominal)'!V59*CPI!$I$50</f>
        <v>9687.6112948040336</v>
      </c>
      <c r="W58" s="17"/>
      <c r="X58" s="17">
        <f>'FS (nominal)'!W59*CPI!$I$50</f>
        <v>1045.9023013796414</v>
      </c>
      <c r="Y58" s="17">
        <f>'FS (nominal)'!X59*CPI!$I$50</f>
        <v>3177.2168878303237</v>
      </c>
      <c r="Z58" s="17">
        <f>'FS (nominal)'!Y59*CPI!$I$50</f>
        <v>0</v>
      </c>
      <c r="AA58" s="15">
        <f>'FS (nominal)'!Z59*CPI!$I$50</f>
        <v>11818.925881254714</v>
      </c>
      <c r="AB58" s="17">
        <f>'FS (nominal)'!AA59*CPI!$I$50</f>
        <v>0</v>
      </c>
      <c r="AC58" s="17">
        <f>'FS (nominal)'!AB59*CPI!$I$50</f>
        <v>0</v>
      </c>
      <c r="AD58" s="17">
        <f>'FS (nominal)'!AC59*CPI!$I$50</f>
        <v>0</v>
      </c>
      <c r="AE58" s="17">
        <f>'FS (nominal)'!AD59*CPI!$I$50</f>
        <v>0</v>
      </c>
      <c r="AF58" s="17">
        <f>'FS (nominal)'!AE59*CPI!$I$50</f>
        <v>0</v>
      </c>
      <c r="AG58" s="15">
        <f>'FS (nominal)'!AF59*CPI!$I$50</f>
        <v>3823.3023543139529</v>
      </c>
      <c r="AH58" s="18">
        <f>'FS (nominal)'!AG59*CPI!$I$50</f>
        <v>368.52357745898814</v>
      </c>
    </row>
    <row r="59" spans="1:34" s="7" customFormat="1" ht="15" customHeight="1">
      <c r="A59" s="246">
        <f>References!I263</f>
        <v>122</v>
      </c>
      <c r="B59" s="256" t="s">
        <v>34</v>
      </c>
      <c r="C59" s="121">
        <v>2010</v>
      </c>
      <c r="D59" s="17">
        <f>'FS (nominal)'!D60*CPI!$I$54</f>
        <v>28155.515884778095</v>
      </c>
      <c r="E59" s="15">
        <f>'FS (nominal)'!E60*CPI!$I$54</f>
        <v>28155.515884778095</v>
      </c>
      <c r="F59" s="15">
        <f>'FS (nominal)'!F60*CPI!$I$54</f>
        <v>199.69173560399878</v>
      </c>
      <c r="G59" s="15">
        <f>'FS (nominal)'!G60*CPI!$I$54</f>
        <v>56.035946215407826</v>
      </c>
      <c r="H59" s="17">
        <f>'FS (nominal)'!H60*CPI!$I$54</f>
        <v>528.77556519630286</v>
      </c>
      <c r="I59" s="15">
        <f>'FS (nominal)'!I60*CPI!$I$54</f>
        <v>28940.019131793804</v>
      </c>
      <c r="J59" s="15">
        <f>'FS (nominal)'!J60*CPI!$I$54</f>
        <v>8893.4140820780885</v>
      </c>
      <c r="K59" s="17">
        <f>'FS (nominal)'!K60*CPI!$I$54</f>
        <v>2161.9686885290071</v>
      </c>
      <c r="L59" s="17">
        <f>'FS (nominal)'!L60*CPI!$I$54</f>
        <v>1411.0870092425425</v>
      </c>
      <c r="M59" s="17">
        <f>'FS (nominal)'!M60*CPI!$I$54</f>
        <v>976.04429953383078</v>
      </c>
      <c r="N59" s="17">
        <f>'FS (nominal)'!N60*CPI!$I$54</f>
        <v>146.71229554579503</v>
      </c>
      <c r="O59" s="17">
        <f>'FS (nominal)'!O60*CPI!$I$54</f>
        <v>1048.3816119209937</v>
      </c>
      <c r="P59" s="17">
        <f>'FS (nominal)'!P60*CPI!$I$54</f>
        <v>114.10956320228502</v>
      </c>
      <c r="Q59" s="17">
        <f>'FS (nominal)'!Q60*CPI!$I$54</f>
        <v>0</v>
      </c>
      <c r="R59" s="17">
        <f>'FS (nominal)'!R60*CPI!$I$54</f>
        <v>90.676349330387197</v>
      </c>
      <c r="S59" s="15">
        <f>'FS (nominal)'!S60*CPI!$I$54</f>
        <v>5948.9798173048412</v>
      </c>
      <c r="T59" s="15">
        <f>'FS (nominal)'!T60*CPI!$I$54</f>
        <v>14097.625232410874</v>
      </c>
      <c r="U59" s="15">
        <f>'FS (nominal)'!U60*CPI!$I$54</f>
        <v>4462.4989895179324</v>
      </c>
      <c r="V59" s="15">
        <f>'FS (nominal)'!V60*CPI!$I$54</f>
        <v>9635.1262428929422</v>
      </c>
      <c r="W59" s="17"/>
      <c r="X59" s="17">
        <f>'FS (nominal)'!W60*CPI!$I$54</f>
        <v>1706.2758156880707</v>
      </c>
      <c r="Y59" s="17">
        <f>'FS (nominal)'!X60*CPI!$I$54</f>
        <v>2278.145978146641</v>
      </c>
      <c r="Z59" s="17">
        <f>'FS (nominal)'!Y60*CPI!$I$54</f>
        <v>308.70712187761035</v>
      </c>
      <c r="AA59" s="15">
        <f>'FS (nominal)'!Z60*CPI!$I$54</f>
        <v>10515.703629112661</v>
      </c>
      <c r="AB59" s="17">
        <f>'FS (nominal)'!AA60*CPI!$I$54</f>
        <v>64.186629301285322</v>
      </c>
      <c r="AC59" s="17">
        <f>'FS (nominal)'!AB60*CPI!$I$54</f>
        <v>526.73789442483348</v>
      </c>
      <c r="AD59" s="17">
        <f>'FS (nominal)'!AC60*CPI!$I$54</f>
        <v>84.563337015979073</v>
      </c>
      <c r="AE59" s="17">
        <f>'FS (nominal)'!AD60*CPI!$I$54</f>
        <v>4080.4357198674243</v>
      </c>
      <c r="AF59" s="17">
        <f>'FS (nominal)'!AE60*CPI!$I$54</f>
        <v>3.0565061572040628</v>
      </c>
      <c r="AG59" s="15">
        <f>'FS (nominal)'!AF60*CPI!$I$54</f>
        <v>4758.9800867667263</v>
      </c>
      <c r="AH59" s="18">
        <f>'FS (nominal)'!AG60*CPI!$I$54</f>
        <v>335.19684190671222</v>
      </c>
    </row>
    <row r="60" spans="1:34" s="7" customFormat="1" ht="15" customHeight="1">
      <c r="A60" s="246">
        <f>References!J263</f>
        <v>123</v>
      </c>
      <c r="B60" s="256" t="s">
        <v>34</v>
      </c>
      <c r="C60" s="121">
        <v>2011</v>
      </c>
      <c r="D60" s="17">
        <f>'FS (nominal)'!D61*CPI!$I$58</f>
        <v>29453</v>
      </c>
      <c r="E60" s="15">
        <f>'FS (nominal)'!E61*CPI!$I$58</f>
        <v>29453</v>
      </c>
      <c r="F60" s="15">
        <f>'FS (nominal)'!F61*CPI!$I$58</f>
        <v>1234</v>
      </c>
      <c r="G60" s="15">
        <f>'FS (nominal)'!G61*CPI!$I$58</f>
        <v>55</v>
      </c>
      <c r="H60" s="17">
        <f>'FS (nominal)'!H61*CPI!$I$58</f>
        <v>281</v>
      </c>
      <c r="I60" s="15">
        <f>'FS (nominal)'!I61*CPI!$I$58</f>
        <v>31023</v>
      </c>
      <c r="J60" s="15">
        <f>'FS (nominal)'!J61*CPI!$I$58</f>
        <v>9172</v>
      </c>
      <c r="K60" s="17">
        <f>'FS (nominal)'!K61*CPI!$I$58</f>
        <v>2189</v>
      </c>
      <c r="L60" s="17">
        <f>'FS (nominal)'!L61*CPI!$I$58</f>
        <v>1242</v>
      </c>
      <c r="M60" s="17">
        <f>'FS (nominal)'!M61*CPI!$I$58</f>
        <v>1019</v>
      </c>
      <c r="N60" s="17">
        <f>'FS (nominal)'!N61*CPI!$I$58</f>
        <v>143</v>
      </c>
      <c r="O60" s="17">
        <f>'FS (nominal)'!O61*CPI!$I$58</f>
        <v>937</v>
      </c>
      <c r="P60" s="17">
        <f>'FS (nominal)'!P61*CPI!$I$58</f>
        <v>136</v>
      </c>
      <c r="Q60" s="17">
        <f>'FS (nominal)'!Q61*CPI!$I$58</f>
        <v>0</v>
      </c>
      <c r="R60" s="17">
        <f>'FS (nominal)'!R61*CPI!$I$58</f>
        <v>158</v>
      </c>
      <c r="S60" s="15">
        <f>'FS (nominal)'!S61*CPI!$I$58</f>
        <v>5824</v>
      </c>
      <c r="T60" s="15">
        <f>'FS (nominal)'!T61*CPI!$I$58</f>
        <v>16027</v>
      </c>
      <c r="U60" s="15">
        <f>'FS (nominal)'!U61*CPI!$I$58</f>
        <v>4854</v>
      </c>
      <c r="V60" s="15">
        <f>'FS (nominal)'!V61*CPI!$I$58</f>
        <v>11173</v>
      </c>
      <c r="W60" s="17"/>
      <c r="X60" s="17">
        <f>'FS (nominal)'!W61*CPI!$I$58</f>
        <v>1904.8026</v>
      </c>
      <c r="Y60" s="17">
        <f>'FS (nominal)'!X61*CPI!$I$58</f>
        <v>5011.0231999999996</v>
      </c>
      <c r="Z60" s="17">
        <f>'FS (nominal)'!Y61*CPI!$I$58</f>
        <v>0</v>
      </c>
      <c r="AA60" s="15">
        <f>'FS (nominal)'!Z61*CPI!$I$58</f>
        <v>14279.221</v>
      </c>
      <c r="AB60" s="17">
        <f>'FS (nominal)'!AA61*CPI!$I$58</f>
        <v>78</v>
      </c>
      <c r="AC60" s="17">
        <f>'FS (nominal)'!AB61*CPI!$I$58</f>
        <v>643</v>
      </c>
      <c r="AD60" s="17">
        <f>'FS (nominal)'!AC61*CPI!$I$58</f>
        <v>84</v>
      </c>
      <c r="AE60" s="17">
        <f>'FS (nominal)'!AD61*CPI!$I$58</f>
        <v>3801</v>
      </c>
      <c r="AF60" s="17">
        <f>'FS (nominal)'!AE61*CPI!$I$58</f>
        <v>0</v>
      </c>
      <c r="AG60" s="15">
        <f>'FS (nominal)'!AF61*CPI!$I$58</f>
        <v>4606</v>
      </c>
      <c r="AH60" s="18">
        <f>'FS (nominal)'!AG61*CPI!$I$58</f>
        <v>512</v>
      </c>
    </row>
    <row r="61" spans="1:34" s="7" customFormat="1" ht="15" hidden="1" customHeight="1">
      <c r="A61" s="246">
        <f>References!C264</f>
        <v>139</v>
      </c>
      <c r="B61" s="255" t="s">
        <v>35</v>
      </c>
      <c r="C61" s="121">
        <v>2004</v>
      </c>
      <c r="D61" s="17">
        <f>'FS (nominal)'!D62*CPI!$I$30</f>
        <v>25215.732586889317</v>
      </c>
      <c r="E61" s="15">
        <f>'FS (nominal)'!E62*CPI!$I$30</f>
        <v>25215.732586889317</v>
      </c>
      <c r="F61" s="15">
        <f>'FS (nominal)'!F62*CPI!$I$30</f>
        <v>0</v>
      </c>
      <c r="G61" s="15">
        <f>'FS (nominal)'!G62*CPI!$I$30</f>
        <v>1016.9387315911871</v>
      </c>
      <c r="H61" s="17">
        <f>'FS (nominal)'!H62*CPI!$I$30</f>
        <v>510.88489722455125</v>
      </c>
      <c r="I61" s="15">
        <f>'FS (nominal)'!I62*CPI!$I$30</f>
        <v>26743.556215705055</v>
      </c>
      <c r="J61" s="15">
        <f>'FS (nominal)'!J62*CPI!$I$30</f>
        <v>6509.8572010409716</v>
      </c>
      <c r="K61" s="17">
        <f>'FS (nominal)'!K62*CPI!$I$30</f>
        <v>0</v>
      </c>
      <c r="L61" s="17">
        <f>'FS (nominal)'!L62*CPI!$I$30</f>
        <v>0</v>
      </c>
      <c r="M61" s="17">
        <f>'FS (nominal)'!M62*CPI!$I$30</f>
        <v>0</v>
      </c>
      <c r="N61" s="17">
        <f>'FS (nominal)'!N62*CPI!$I$30</f>
        <v>0</v>
      </c>
      <c r="O61" s="17">
        <f>'FS (nominal)'!O62*CPI!$I$30</f>
        <v>0</v>
      </c>
      <c r="P61" s="17">
        <f>'FS (nominal)'!P62*CPI!$I$30</f>
        <v>0</v>
      </c>
      <c r="Q61" s="17">
        <f>'FS (nominal)'!Q62*CPI!$I$30</f>
        <v>0</v>
      </c>
      <c r="R61" s="17">
        <f>'FS (nominal)'!R62*CPI!$I$30</f>
        <v>0</v>
      </c>
      <c r="S61" s="15">
        <f>'FS (nominal)'!S62*CPI!$I$30</f>
        <v>21516.346203440615</v>
      </c>
      <c r="T61" s="15">
        <f>'FS (nominal)'!T62*CPI!$I$30</f>
        <v>5227.2100122644388</v>
      </c>
      <c r="U61" s="15">
        <f>'FS (nominal)'!U62*CPI!$I$30</f>
        <v>3721.1261663093201</v>
      </c>
      <c r="V61" s="15">
        <f>'FS (nominal)'!V62*CPI!$I$30</f>
        <v>0</v>
      </c>
      <c r="W61" s="17"/>
      <c r="X61" s="17">
        <f>'FS (nominal)'!W62*CPI!$I$30</f>
        <v>0</v>
      </c>
      <c r="Y61" s="17">
        <f>'FS (nominal)'!X62*CPI!$I$30</f>
        <v>0</v>
      </c>
      <c r="Z61" s="17">
        <f>'FS (nominal)'!Y62*CPI!$I$30</f>
        <v>0</v>
      </c>
      <c r="AA61" s="15">
        <f>'FS (nominal)'!Z62*CPI!$I$30</f>
        <v>396.147154349061</v>
      </c>
      <c r="AB61" s="17">
        <f>'FS (nominal)'!AA62*CPI!$I$30</f>
        <v>0</v>
      </c>
      <c r="AC61" s="17">
        <f>'FS (nominal)'!AB62*CPI!$I$30</f>
        <v>0</v>
      </c>
      <c r="AD61" s="17">
        <f>'FS (nominal)'!AC62*CPI!$I$30</f>
        <v>0</v>
      </c>
      <c r="AE61" s="17">
        <f>'FS (nominal)'!AD62*CPI!$I$30</f>
        <v>0</v>
      </c>
      <c r="AF61" s="17">
        <f>'FS (nominal)'!AE62*CPI!$I$30</f>
        <v>0</v>
      </c>
      <c r="AG61" s="15">
        <f>'FS (nominal)'!AF62*CPI!$I$30</f>
        <v>0</v>
      </c>
      <c r="AH61" s="18">
        <f>'FS (nominal)'!AG62*CPI!$I$30</f>
        <v>0</v>
      </c>
    </row>
    <row r="62" spans="1:34" s="7" customFormat="1" ht="15" hidden="1" customHeight="1">
      <c r="A62" s="246">
        <f>References!D264</f>
        <v>140</v>
      </c>
      <c r="B62" s="255" t="s">
        <v>35</v>
      </c>
      <c r="C62" s="121">
        <v>2005</v>
      </c>
      <c r="D62" s="17">
        <f>'FS (nominal)'!D63*CPI!$I$34</f>
        <v>25767.424430440205</v>
      </c>
      <c r="E62" s="15">
        <f>'FS (nominal)'!E63*CPI!$I$34</f>
        <v>25767.424430440205</v>
      </c>
      <c r="F62" s="15">
        <f>'FS (nominal)'!F63*CPI!$I$34</f>
        <v>0</v>
      </c>
      <c r="G62" s="15">
        <f>'FS (nominal)'!G63*CPI!$I$34</f>
        <v>514.43028352608019</v>
      </c>
      <c r="H62" s="17">
        <f>'FS (nominal)'!H63*CPI!$I$34</f>
        <v>573.28958370068892</v>
      </c>
      <c r="I62" s="15">
        <f>'FS (nominal)'!I63*CPI!$I$34</f>
        <v>26855.144297666975</v>
      </c>
      <c r="J62" s="15">
        <f>'FS (nominal)'!J63*CPI!$I$34</f>
        <v>6841.8050522965177</v>
      </c>
      <c r="K62" s="17">
        <f>'FS (nominal)'!K63*CPI!$I$34</f>
        <v>0</v>
      </c>
      <c r="L62" s="17">
        <f>'FS (nominal)'!L63*CPI!$I$34</f>
        <v>0</v>
      </c>
      <c r="M62" s="17">
        <f>'FS (nominal)'!M63*CPI!$I$34</f>
        <v>0</v>
      </c>
      <c r="N62" s="17">
        <f>'FS (nominal)'!N63*CPI!$I$34</f>
        <v>0</v>
      </c>
      <c r="O62" s="17">
        <f>'FS (nominal)'!O63*CPI!$I$34</f>
        <v>0</v>
      </c>
      <c r="P62" s="17">
        <f>'FS (nominal)'!P63*CPI!$I$34</f>
        <v>0</v>
      </c>
      <c r="Q62" s="17">
        <f>'FS (nominal)'!Q63*CPI!$I$34</f>
        <v>0</v>
      </c>
      <c r="R62" s="17">
        <f>'FS (nominal)'!R63*CPI!$I$34</f>
        <v>0</v>
      </c>
      <c r="S62" s="15">
        <f>'FS (nominal)'!S63*CPI!$I$34</f>
        <v>21235.258316995332</v>
      </c>
      <c r="T62" s="15">
        <f>'FS (nominal)'!T63*CPI!$I$34</f>
        <v>5619.8859806716409</v>
      </c>
      <c r="U62" s="15">
        <f>'FS (nominal)'!U63*CPI!$I$34</f>
        <v>4598.0885296404331</v>
      </c>
      <c r="V62" s="15">
        <f>'FS (nominal)'!V63*CPI!$I$34</f>
        <v>0</v>
      </c>
      <c r="W62" s="17"/>
      <c r="X62" s="17">
        <f>'FS (nominal)'!W63*CPI!$I$34</f>
        <v>0</v>
      </c>
      <c r="Y62" s="17">
        <f>'FS (nominal)'!X63*CPI!$I$34</f>
        <v>0</v>
      </c>
      <c r="Z62" s="17">
        <f>'FS (nominal)'!Y63*CPI!$I$34</f>
        <v>0</v>
      </c>
      <c r="AA62" s="15">
        <f>'FS (nominal)'!Z63*CPI!$I$34</f>
        <v>-11.771860034921744</v>
      </c>
      <c r="AB62" s="17">
        <f>'FS (nominal)'!AA63*CPI!$I$34</f>
        <v>0</v>
      </c>
      <c r="AC62" s="17">
        <f>'FS (nominal)'!AB63*CPI!$I$34</f>
        <v>0</v>
      </c>
      <c r="AD62" s="17">
        <f>'FS (nominal)'!AC63*CPI!$I$34</f>
        <v>0</v>
      </c>
      <c r="AE62" s="17">
        <f>'FS (nominal)'!AD63*CPI!$I$34</f>
        <v>0</v>
      </c>
      <c r="AF62" s="17">
        <f>'FS (nominal)'!AE63*CPI!$I$34</f>
        <v>0</v>
      </c>
      <c r="AG62" s="15">
        <f>'FS (nominal)'!AF63*CPI!$I$34</f>
        <v>0</v>
      </c>
      <c r="AH62" s="18">
        <f>'FS (nominal)'!AG63*CPI!$I$34</f>
        <v>0</v>
      </c>
    </row>
    <row r="63" spans="1:34" s="7" customFormat="1" ht="14.45" hidden="1" customHeight="1">
      <c r="A63" s="246">
        <f>References!E264</f>
        <v>141</v>
      </c>
      <c r="B63" s="255" t="s">
        <v>35</v>
      </c>
      <c r="C63" s="121">
        <v>2006</v>
      </c>
      <c r="D63" s="17">
        <f>'FS (nominal)'!D64*CPI!$I$38</f>
        <v>15892.004988189845</v>
      </c>
      <c r="E63" s="15">
        <f>'FS (nominal)'!E64*CPI!$I$38</f>
        <v>15892.004988189845</v>
      </c>
      <c r="F63" s="15">
        <f>'FS (nominal)'!F64*CPI!$I$38</f>
        <v>0</v>
      </c>
      <c r="G63" s="15">
        <f>'FS (nominal)'!G64*CPI!$I$38</f>
        <v>1296.1888043210558</v>
      </c>
      <c r="H63" s="17">
        <f>'FS (nominal)'!H64*CPI!$I$38</f>
        <v>506.60900450576474</v>
      </c>
      <c r="I63" s="15">
        <f>'FS (nominal)'!I64*CPI!$I$38</f>
        <v>17694.802797016666</v>
      </c>
      <c r="J63" s="15">
        <f>'FS (nominal)'!J64*CPI!$I$38</f>
        <v>6555.1097542468888</v>
      </c>
      <c r="K63" s="17">
        <f>'FS (nominal)'!K64*CPI!$I$38</f>
        <v>0</v>
      </c>
      <c r="L63" s="17">
        <f>'FS (nominal)'!L64*CPI!$I$38</f>
        <v>0</v>
      </c>
      <c r="M63" s="17">
        <f>'FS (nominal)'!M64*CPI!$I$38</f>
        <v>0</v>
      </c>
      <c r="N63" s="17">
        <f>'FS (nominal)'!N64*CPI!$I$38</f>
        <v>0</v>
      </c>
      <c r="O63" s="17">
        <f>'FS (nominal)'!O64*CPI!$I$38</f>
        <v>0</v>
      </c>
      <c r="P63" s="17">
        <f>'FS (nominal)'!P64*CPI!$I$38</f>
        <v>0</v>
      </c>
      <c r="Q63" s="17">
        <f>'FS (nominal)'!Q64*CPI!$I$38</f>
        <v>0</v>
      </c>
      <c r="R63" s="17">
        <f>'FS (nominal)'!R64*CPI!$I$38</f>
        <v>0</v>
      </c>
      <c r="S63" s="15">
        <f>'FS (nominal)'!S64*CPI!$I$38</f>
        <v>12071.89925151124</v>
      </c>
      <c r="T63" s="15">
        <f>'FS (nominal)'!T64*CPI!$I$38</f>
        <v>5622.9035455054254</v>
      </c>
      <c r="U63" s="15">
        <f>'FS (nominal)'!U64*CPI!$I$38</f>
        <v>4428.2647443398037</v>
      </c>
      <c r="V63" s="15">
        <f>'FS (nominal)'!V64*CPI!$I$38</f>
        <v>0</v>
      </c>
      <c r="W63" s="17"/>
      <c r="X63" s="17">
        <f>'FS (nominal)'!W64*CPI!$I$38</f>
        <v>0</v>
      </c>
      <c r="Y63" s="17">
        <f>'FS (nominal)'!X64*CPI!$I$38</f>
        <v>0</v>
      </c>
      <c r="Z63" s="17">
        <f>'FS (nominal)'!Y64*CPI!$I$38</f>
        <v>0</v>
      </c>
      <c r="AA63" s="15">
        <f>'FS (nominal)'!Z64*CPI!$I$38</f>
        <v>247.59944589583549</v>
      </c>
      <c r="AB63" s="17">
        <f>'FS (nominal)'!AA64*CPI!$I$38</f>
        <v>0</v>
      </c>
      <c r="AC63" s="17">
        <f>'FS (nominal)'!AB64*CPI!$I$38</f>
        <v>0</v>
      </c>
      <c r="AD63" s="17">
        <f>'FS (nominal)'!AC64*CPI!$I$38</f>
        <v>0</v>
      </c>
      <c r="AE63" s="17">
        <f>'FS (nominal)'!AD64*CPI!$I$38</f>
        <v>0</v>
      </c>
      <c r="AF63" s="17">
        <f>'FS (nominal)'!AE64*CPI!$I$38</f>
        <v>0</v>
      </c>
      <c r="AG63" s="15">
        <f>'FS (nominal)'!AF64*CPI!$I$38</f>
        <v>0</v>
      </c>
      <c r="AH63" s="18">
        <f>'FS (nominal)'!AG64*CPI!$I$38</f>
        <v>0</v>
      </c>
    </row>
    <row r="64" spans="1:34" s="7" customFormat="1" ht="15" hidden="1" customHeight="1">
      <c r="A64" s="246">
        <f>References!F264</f>
        <v>142</v>
      </c>
      <c r="B64" s="255" t="s">
        <v>35</v>
      </c>
      <c r="C64" s="121">
        <v>2007</v>
      </c>
      <c r="D64" s="17">
        <f>'FS (nominal)'!D65*CPI!$I$42</f>
        <v>17098.388276245358</v>
      </c>
      <c r="E64" s="15">
        <f>'FS (nominal)'!E65*CPI!$I$42</f>
        <v>17098.388276245358</v>
      </c>
      <c r="F64" s="15">
        <f>'FS (nominal)'!F65*CPI!$I$42</f>
        <v>0</v>
      </c>
      <c r="G64" s="15">
        <f>'FS (nominal)'!G65*CPI!$I$42</f>
        <v>672.43338110977868</v>
      </c>
      <c r="H64" s="17">
        <f>'FS (nominal)'!H65*CPI!$I$42</f>
        <v>489.94734840728938</v>
      </c>
      <c r="I64" s="15">
        <f>'FS (nominal)'!I65*CPI!$I$42</f>
        <v>18260.769005762428</v>
      </c>
      <c r="J64" s="15">
        <f>'FS (nominal)'!J65*CPI!$I$42</f>
        <v>6653.5513499283361</v>
      </c>
      <c r="K64" s="17">
        <f>'FS (nominal)'!K65*CPI!$I$42</f>
        <v>0</v>
      </c>
      <c r="L64" s="17">
        <f>'FS (nominal)'!L65*CPI!$I$42</f>
        <v>0</v>
      </c>
      <c r="M64" s="17">
        <f>'FS (nominal)'!M65*CPI!$I$42</f>
        <v>0</v>
      </c>
      <c r="N64" s="17">
        <f>'FS (nominal)'!N65*CPI!$I$42</f>
        <v>0</v>
      </c>
      <c r="O64" s="17">
        <f>'FS (nominal)'!O65*CPI!$I$42</f>
        <v>0</v>
      </c>
      <c r="P64" s="17">
        <f>'FS (nominal)'!P65*CPI!$I$42</f>
        <v>0</v>
      </c>
      <c r="Q64" s="17">
        <f>'FS (nominal)'!Q65*CPI!$I$42</f>
        <v>0</v>
      </c>
      <c r="R64" s="17">
        <f>'FS (nominal)'!R65*CPI!$I$42</f>
        <v>0</v>
      </c>
      <c r="S64" s="15">
        <f>'FS (nominal)'!S65*CPI!$I$42</f>
        <v>12901.209524088106</v>
      </c>
      <c r="T64" s="15">
        <f>'FS (nominal)'!T65*CPI!$I$42</f>
        <v>5359.5594816743214</v>
      </c>
      <c r="U64" s="15">
        <f>'FS (nominal)'!U65*CPI!$I$42</f>
        <v>4219.2982712727062</v>
      </c>
      <c r="V64" s="15">
        <f>'FS (nominal)'!V65*CPI!$I$42</f>
        <v>0</v>
      </c>
      <c r="W64" s="17"/>
      <c r="X64" s="17">
        <f>'FS (nominal)'!W65*CPI!$I$42</f>
        <v>371.60792113961452</v>
      </c>
      <c r="Y64" s="17">
        <f>'FS (nominal)'!X65*CPI!$I$42</f>
        <v>0</v>
      </c>
      <c r="Z64" s="17">
        <f>'FS (nominal)'!Y65*CPI!$I$42</f>
        <v>0</v>
      </c>
      <c r="AA64" s="15">
        <f>'FS (nominal)'!Z65*CPI!$I$42</f>
        <v>-70.782461169450386</v>
      </c>
      <c r="AB64" s="17">
        <f>'FS (nominal)'!AA65*CPI!$I$42</f>
        <v>0</v>
      </c>
      <c r="AC64" s="17">
        <f>'FS (nominal)'!AB65*CPI!$I$42</f>
        <v>0</v>
      </c>
      <c r="AD64" s="17">
        <f>'FS (nominal)'!AC65*CPI!$I$42</f>
        <v>0</v>
      </c>
      <c r="AE64" s="17">
        <f>'FS (nominal)'!AD65*CPI!$I$42</f>
        <v>0</v>
      </c>
      <c r="AF64" s="17">
        <f>'FS (nominal)'!AE65*CPI!$I$42</f>
        <v>0</v>
      </c>
      <c r="AG64" s="15">
        <f>'FS (nominal)'!AF65*CPI!$I$42</f>
        <v>0</v>
      </c>
      <c r="AH64" s="18">
        <f>'FS (nominal)'!AG65*CPI!$I$42</f>
        <v>0</v>
      </c>
    </row>
    <row r="65" spans="1:34" s="7" customFormat="1" ht="15" customHeight="1">
      <c r="A65" s="246">
        <f>References!G264</f>
        <v>143</v>
      </c>
      <c r="B65" s="256" t="s">
        <v>35</v>
      </c>
      <c r="C65" s="121">
        <v>2008</v>
      </c>
      <c r="D65" s="17">
        <f>'FS (nominal)'!D66*CPI!$I$46</f>
        <v>19258.077328847194</v>
      </c>
      <c r="E65" s="15">
        <f>'FS (nominal)'!E66*CPI!$I$46</f>
        <v>19924.342334122208</v>
      </c>
      <c r="F65" s="15">
        <f>'FS (nominal)'!F66*CPI!$I$46</f>
        <v>946.57067092469561</v>
      </c>
      <c r="G65" s="15">
        <f>'FS (nominal)'!G66*CPI!$I$46</f>
        <v>714.7794474066892</v>
      </c>
      <c r="H65" s="17">
        <f>'FS (nominal)'!H66*CPI!$I$46</f>
        <v>576.78281200992274</v>
      </c>
      <c r="I65" s="15">
        <f>'FS (nominal)'!I66*CPI!$I$46</f>
        <v>22162.475264463515</v>
      </c>
      <c r="J65" s="15">
        <f>'FS (nominal)'!J66*CPI!$I$46</f>
        <v>6839.4582418522423</v>
      </c>
      <c r="K65" s="17">
        <f>'FS (nominal)'!K66*CPI!$I$46</f>
        <v>0</v>
      </c>
      <c r="L65" s="17">
        <f>'FS (nominal)'!L66*CPI!$I$46</f>
        <v>0</v>
      </c>
      <c r="M65" s="17">
        <f>'FS (nominal)'!M66*CPI!$I$46</f>
        <v>0</v>
      </c>
      <c r="N65" s="17">
        <f>'FS (nominal)'!N66*CPI!$I$46</f>
        <v>0</v>
      </c>
      <c r="O65" s="17">
        <f>'FS (nominal)'!O66*CPI!$I$46</f>
        <v>0</v>
      </c>
      <c r="P65" s="17">
        <f>'FS (nominal)'!P66*CPI!$I$46</f>
        <v>0</v>
      </c>
      <c r="Q65" s="17">
        <f>'FS (nominal)'!Q66*CPI!$I$46</f>
        <v>0</v>
      </c>
      <c r="R65" s="17">
        <f>'FS (nominal)'!R66*CPI!$I$46</f>
        <v>0</v>
      </c>
      <c r="S65" s="15">
        <f>'FS (nominal)'!S66*CPI!$I$46</f>
        <v>7122.998203644036</v>
      </c>
      <c r="T65" s="15">
        <f>'FS (nominal)'!T66*CPI!$I$46</f>
        <v>8200.0188189672372</v>
      </c>
      <c r="U65" s="15">
        <f>'FS (nominal)'!U66*CPI!$I$46</f>
        <v>5749.5004419605939</v>
      </c>
      <c r="V65" s="15">
        <f>'FS (nominal)'!V66*CPI!$I$46</f>
        <v>2450.5183770066433</v>
      </c>
      <c r="W65" s="17"/>
      <c r="X65" s="17">
        <f>'FS (nominal)'!W66*CPI!$I$46</f>
        <v>119.21518550939521</v>
      </c>
      <c r="Y65" s="17">
        <f>'FS (nominal)'!X66*CPI!$I$46</f>
        <v>4008.2732352370899</v>
      </c>
      <c r="Z65" s="17">
        <f>'FS (nominal)'!Y66*CPI!$I$46</f>
        <v>0</v>
      </c>
      <c r="AA65" s="15">
        <f>'FS (nominal)'!Z66*CPI!$I$46</f>
        <v>6339.5764267343384</v>
      </c>
      <c r="AB65" s="17">
        <f>'FS (nominal)'!AA66*CPI!$I$46</f>
        <v>0</v>
      </c>
      <c r="AC65" s="17">
        <f>'FS (nominal)'!AB66*CPI!$I$46</f>
        <v>851.69798408941858</v>
      </c>
      <c r="AD65" s="17">
        <f>'FS (nominal)'!AC66*CPI!$I$46</f>
        <v>1797.1905563000769</v>
      </c>
      <c r="AE65" s="17">
        <f>'FS (nominal)'!AD66*CPI!$I$46</f>
        <v>5745.1880471044451</v>
      </c>
      <c r="AF65" s="17">
        <f>'FS (nominal)'!AE66*CPI!$I$46</f>
        <v>0</v>
      </c>
      <c r="AG65" s="15">
        <f>'FS (nominal)'!AF66*CPI!$I$46</f>
        <v>8394.0765874939407</v>
      </c>
      <c r="AH65" s="18">
        <f>'FS (nominal)'!AG66*CPI!$I$46</f>
        <v>988.61652077214785</v>
      </c>
    </row>
    <row r="66" spans="1:34" s="7" customFormat="1" ht="15" customHeight="1">
      <c r="A66" s="246">
        <f>References!H264</f>
        <v>144</v>
      </c>
      <c r="B66" s="256" t="s">
        <v>35</v>
      </c>
      <c r="C66" s="121">
        <v>2009</v>
      </c>
      <c r="D66" s="17">
        <f>'FS (nominal)'!D67*CPI!$I$50</f>
        <v>19164.264122451776</v>
      </c>
      <c r="E66" s="15">
        <f>'FS (nominal)'!E67*CPI!$I$50</f>
        <v>19164.264122451776</v>
      </c>
      <c r="F66" s="15">
        <f>'FS (nominal)'!F67*CPI!$I$50</f>
        <v>903.1422884206188</v>
      </c>
      <c r="G66" s="15">
        <f>'FS (nominal)'!G67*CPI!$I$50</f>
        <v>1818.7417118539358</v>
      </c>
      <c r="H66" s="17">
        <f>'FS (nominal)'!H67*CPI!$I$50</f>
        <v>634.27579106321627</v>
      </c>
      <c r="I66" s="15">
        <f>'FS (nominal)'!I67*CPI!$I$50</f>
        <v>22520.423913789546</v>
      </c>
      <c r="J66" s="15">
        <f>'FS (nominal)'!J67*CPI!$I$50</f>
        <v>6437.2245178117901</v>
      </c>
      <c r="K66" s="17">
        <f>'FS (nominal)'!K67*CPI!$I$50</f>
        <v>0</v>
      </c>
      <c r="L66" s="17">
        <f>'FS (nominal)'!L67*CPI!$I$50</f>
        <v>0</v>
      </c>
      <c r="M66" s="17">
        <f>'FS (nominal)'!M67*CPI!$I$50</f>
        <v>0</v>
      </c>
      <c r="N66" s="17">
        <f>'FS (nominal)'!N67*CPI!$I$50</f>
        <v>0</v>
      </c>
      <c r="O66" s="17">
        <f>'FS (nominal)'!O67*CPI!$I$50</f>
        <v>0</v>
      </c>
      <c r="P66" s="17">
        <f>'FS (nominal)'!P67*CPI!$I$50</f>
        <v>0</v>
      </c>
      <c r="Q66" s="17">
        <f>'FS (nominal)'!Q67*CPI!$I$50</f>
        <v>0</v>
      </c>
      <c r="R66" s="17">
        <f>'FS (nominal)'!R67*CPI!$I$50</f>
        <v>0</v>
      </c>
      <c r="S66" s="15">
        <f>'FS (nominal)'!S67*CPI!$I$50</f>
        <v>8282.9566888599056</v>
      </c>
      <c r="T66" s="15">
        <f>'FS (nominal)'!T67*CPI!$I$50</f>
        <v>7800.2427071178508</v>
      </c>
      <c r="U66" s="15">
        <f>'FS (nominal)'!U67*CPI!$I$50</f>
        <v>5852.7772667993668</v>
      </c>
      <c r="V66" s="15">
        <f>'FS (nominal)'!V67*CPI!$I$50</f>
        <v>1947.4654403184838</v>
      </c>
      <c r="W66" s="17"/>
      <c r="X66" s="17">
        <f>'FS (nominal)'!W67*CPI!$I$50</f>
        <v>57.188664911249894</v>
      </c>
      <c r="Y66" s="17">
        <f>'FS (nominal)'!X67*CPI!$I$50</f>
        <v>3660.3230617063614</v>
      </c>
      <c r="Z66" s="17">
        <f>'FS (nominal)'!Y67*CPI!$I$50</f>
        <v>0</v>
      </c>
      <c r="AA66" s="15">
        <f>'FS (nominal)'!Z67*CPI!$I$50</f>
        <v>5550.5998713707168</v>
      </c>
      <c r="AB66" s="17">
        <f>'FS (nominal)'!AA67*CPI!$I$50</f>
        <v>0</v>
      </c>
      <c r="AC66" s="17">
        <f>'FS (nominal)'!AB67*CPI!$I$50</f>
        <v>0</v>
      </c>
      <c r="AD66" s="17">
        <f>'FS (nominal)'!AC67*CPI!$I$50</f>
        <v>0</v>
      </c>
      <c r="AE66" s="17">
        <f>'FS (nominal)'!AD67*CPI!$I$50</f>
        <v>0</v>
      </c>
      <c r="AF66" s="17">
        <f>'FS (nominal)'!AE67*CPI!$I$50</f>
        <v>0</v>
      </c>
      <c r="AG66" s="15">
        <f>'FS (nominal)'!AF67*CPI!$I$50</f>
        <v>7587.4333173175901</v>
      </c>
      <c r="AH66" s="18">
        <f>'FS (nominal)'!AG67*CPI!$I$50</f>
        <v>623.89484521930103</v>
      </c>
    </row>
    <row r="67" spans="1:34" s="7" customFormat="1" ht="15" customHeight="1">
      <c r="A67" s="246">
        <f>References!I264</f>
        <v>145</v>
      </c>
      <c r="B67" s="256" t="s">
        <v>35</v>
      </c>
      <c r="C67" s="121">
        <v>2010</v>
      </c>
      <c r="D67" s="17">
        <f>'FS (nominal)'!D68*CPI!$I$54</f>
        <v>20732.281264315159</v>
      </c>
      <c r="E67" s="15">
        <f>'FS (nominal)'!E68*CPI!$I$54</f>
        <v>20732.281264315159</v>
      </c>
      <c r="F67" s="15">
        <f>'FS (nominal)'!F68*CPI!$I$54</f>
        <v>1478.3301447010317</v>
      </c>
      <c r="G67" s="15">
        <f>'FS (nominal)'!G68*CPI!$I$54</f>
        <v>527.75672981056823</v>
      </c>
      <c r="H67" s="17">
        <f>'FS (nominal)'!H68*CPI!$I$54</f>
        <v>669.37484842768981</v>
      </c>
      <c r="I67" s="15">
        <f>'FS (nominal)'!I68*CPI!$I$54</f>
        <v>23407.742987254449</v>
      </c>
      <c r="J67" s="15">
        <f>'FS (nominal)'!J68*CPI!$I$54</f>
        <v>6847.5926275228358</v>
      </c>
      <c r="K67" s="17">
        <f>'FS (nominal)'!K68*CPI!$I$54</f>
        <v>2219.0234701301497</v>
      </c>
      <c r="L67" s="17">
        <f>'FS (nominal)'!L68*CPI!$I$54</f>
        <v>1251.1298536821964</v>
      </c>
      <c r="M67" s="17">
        <f>'FS (nominal)'!M68*CPI!$I$54</f>
        <v>2266.90873325968</v>
      </c>
      <c r="N67" s="17">
        <f>'FS (nominal)'!N68*CPI!$I$54</f>
        <v>891.48096251785171</v>
      </c>
      <c r="O67" s="17">
        <f>'FS (nominal)'!O68*CPI!$I$54</f>
        <v>1426.3695400285628</v>
      </c>
      <c r="P67" s="17">
        <f>'FS (nominal)'!P68*CPI!$I$54</f>
        <v>125.31675244536659</v>
      </c>
      <c r="Q67" s="17">
        <f>'FS (nominal)'!Q68*CPI!$I$54</f>
        <v>0</v>
      </c>
      <c r="R67" s="17">
        <f>'FS (nominal)'!R68*CPI!$I$54</f>
        <v>233.31330333324348</v>
      </c>
      <c r="S67" s="15">
        <f>'FS (nominal)'!S68*CPI!$I$54</f>
        <v>8413.5426153970511</v>
      </c>
      <c r="T67" s="15">
        <f>'FS (nominal)'!T68*CPI!$I$54</f>
        <v>8146.607744334563</v>
      </c>
      <c r="U67" s="15">
        <f>'FS (nominal)'!U68*CPI!$I$54</f>
        <v>6513.414621001858</v>
      </c>
      <c r="V67" s="15">
        <f>'FS (nominal)'!V68*CPI!$I$54</f>
        <v>1633.1931233327043</v>
      </c>
      <c r="W67" s="17"/>
      <c r="X67" s="17">
        <f>'FS (nominal)'!W68*CPI!$I$54</f>
        <v>527.07827713885354</v>
      </c>
      <c r="Y67" s="17">
        <f>'FS (nominal)'!X68*CPI!$I$54</f>
        <v>2538.8267281937965</v>
      </c>
      <c r="Z67" s="17">
        <f>'FS (nominal)'!Y68*CPI!$I$54</f>
        <v>0</v>
      </c>
      <c r="AA67" s="15">
        <f>'FS (nominal)'!Z68*CPI!$I$54</f>
        <v>3644.9415641992937</v>
      </c>
      <c r="AB67" s="17">
        <f>'FS (nominal)'!AA68*CPI!$I$54</f>
        <v>117.16606935948909</v>
      </c>
      <c r="AC67" s="17">
        <f>'FS (nominal)'!AB68*CPI!$I$54</f>
        <v>1075.8901673358303</v>
      </c>
      <c r="AD67" s="17">
        <f>'FS (nominal)'!AC68*CPI!$I$54</f>
        <v>885.36795020344357</v>
      </c>
      <c r="AE67" s="17">
        <f>'FS (nominal)'!AD68*CPI!$I$54</f>
        <v>4015.2302551804041</v>
      </c>
      <c r="AF67" s="17">
        <f>'FS (nominal)'!AE68*CPI!$I$54</f>
        <v>16.301366171755003</v>
      </c>
      <c r="AG67" s="15">
        <f>'FS (nominal)'!AF68*CPI!$I$54</f>
        <v>6109.955808250922</v>
      </c>
      <c r="AH67" s="18">
        <f>'FS (nominal)'!AG68*CPI!$I$54</f>
        <v>260.82185874808005</v>
      </c>
    </row>
    <row r="68" spans="1:34" s="7" customFormat="1" ht="15" customHeight="1">
      <c r="A68" s="246">
        <f>References!J264</f>
        <v>146</v>
      </c>
      <c r="B68" s="256" t="s">
        <v>35</v>
      </c>
      <c r="C68" s="121">
        <v>2011</v>
      </c>
      <c r="D68" s="17">
        <f>'FS (nominal)'!D69*CPI!$I$58</f>
        <v>21380.382000000001</v>
      </c>
      <c r="E68" s="15">
        <f>'FS (nominal)'!E69*CPI!$I$58</f>
        <v>28435.382000000001</v>
      </c>
      <c r="F68" s="15">
        <f>'FS (nominal)'!F69*CPI!$I$58</f>
        <v>696</v>
      </c>
      <c r="G68" s="15">
        <f>'FS (nominal)'!G69*CPI!$I$58</f>
        <v>659</v>
      </c>
      <c r="H68" s="17">
        <f>'FS (nominal)'!H69*CPI!$I$58</f>
        <v>640</v>
      </c>
      <c r="I68" s="15">
        <f>'FS (nominal)'!I69*CPI!$I$58</f>
        <v>30430.382000000001</v>
      </c>
      <c r="J68" s="15">
        <f>'FS (nominal)'!J69*CPI!$I$58</f>
        <v>6955</v>
      </c>
      <c r="K68" s="17">
        <f>'FS (nominal)'!K69*CPI!$I$58</f>
        <v>2290</v>
      </c>
      <c r="L68" s="17">
        <f>'FS (nominal)'!L69*CPI!$I$58</f>
        <v>1247</v>
      </c>
      <c r="M68" s="17">
        <f>'FS (nominal)'!M69*CPI!$I$58</f>
        <v>1838</v>
      </c>
      <c r="N68" s="17">
        <f>'FS (nominal)'!N69*CPI!$I$58</f>
        <v>619</v>
      </c>
      <c r="O68" s="17">
        <f>'FS (nominal)'!O69*CPI!$I$58</f>
        <v>1445</v>
      </c>
      <c r="P68" s="17">
        <f>'FS (nominal)'!P69*CPI!$I$58</f>
        <v>120</v>
      </c>
      <c r="Q68" s="17">
        <f>'FS (nominal)'!Q69*CPI!$I$58</f>
        <v>0</v>
      </c>
      <c r="R68" s="17">
        <f>'FS (nominal)'!R69*CPI!$I$58</f>
        <v>219</v>
      </c>
      <c r="S68" s="15">
        <f>'FS (nominal)'!S69*CPI!$I$58</f>
        <v>7778</v>
      </c>
      <c r="T68" s="15">
        <f>'FS (nominal)'!T69*CPI!$I$58</f>
        <v>15697.382</v>
      </c>
      <c r="U68" s="15">
        <f>'FS (nominal)'!U69*CPI!$I$58</f>
        <v>6573</v>
      </c>
      <c r="V68" s="15">
        <f>'FS (nominal)'!V69*CPI!$I$58</f>
        <v>9124.3819999999996</v>
      </c>
      <c r="W68" s="17"/>
      <c r="X68" s="17">
        <f>'FS (nominal)'!W69*CPI!$I$58</f>
        <v>338.62488999999999</v>
      </c>
      <c r="Y68" s="17">
        <f>'FS (nominal)'!X69*CPI!$I$58</f>
        <v>5750.6764999999996</v>
      </c>
      <c r="Z68" s="17">
        <f>'FS (nominal)'!Y69*CPI!$I$58</f>
        <v>-1605</v>
      </c>
      <c r="AA68" s="15">
        <f>'FS (nominal)'!Z69*CPI!$I$58</f>
        <v>12931.433999999999</v>
      </c>
      <c r="AB68" s="17">
        <f>'FS (nominal)'!AA69*CPI!$I$58</f>
        <v>0</v>
      </c>
      <c r="AC68" s="17">
        <f>'FS (nominal)'!AB69*CPI!$I$58</f>
        <v>2529</v>
      </c>
      <c r="AD68" s="17">
        <f>'FS (nominal)'!AC69*CPI!$I$58</f>
        <v>873</v>
      </c>
      <c r="AE68" s="17">
        <f>'FS (nominal)'!AD69*CPI!$I$58</f>
        <v>2111</v>
      </c>
      <c r="AF68" s="17">
        <f>'FS (nominal)'!AE69*CPI!$I$58</f>
        <v>217</v>
      </c>
      <c r="AG68" s="15">
        <f>'FS (nominal)'!AF69*CPI!$I$58</f>
        <v>5730</v>
      </c>
      <c r="AH68" s="18">
        <f>'FS (nominal)'!AG69*CPI!$I$58</f>
        <v>159</v>
      </c>
    </row>
    <row r="69" spans="1:34" s="7" customFormat="1" ht="15" hidden="1" customHeight="1">
      <c r="A69" s="246">
        <f>References!C265</f>
        <v>162</v>
      </c>
      <c r="B69" s="255" t="s">
        <v>36</v>
      </c>
      <c r="C69" s="121">
        <v>2004</v>
      </c>
      <c r="D69" s="17">
        <f>'FS (nominal)'!D70*CPI!$I$30</f>
        <v>20779.117556962727</v>
      </c>
      <c r="E69" s="15">
        <f>'FS (nominal)'!E70*CPI!$I$30</f>
        <v>20779.117556962727</v>
      </c>
      <c r="F69" s="15">
        <f>'FS (nominal)'!F70*CPI!$I$30</f>
        <v>0</v>
      </c>
      <c r="G69" s="15">
        <f>'FS (nominal)'!G70*CPI!$I$30</f>
        <v>910.87516207708393</v>
      </c>
      <c r="H69" s="17">
        <f>'FS (nominal)'!H70*CPI!$I$30</f>
        <v>2231.8906520711807</v>
      </c>
      <c r="I69" s="15">
        <f>'FS (nominal)'!I70*CPI!$I$30</f>
        <v>23921.883371110995</v>
      </c>
      <c r="J69" s="15">
        <f>'FS (nominal)'!J70*CPI!$I$30</f>
        <v>6195.8755560136215</v>
      </c>
      <c r="K69" s="17">
        <f>'FS (nominal)'!K70*CPI!$I$30</f>
        <v>0</v>
      </c>
      <c r="L69" s="17">
        <f>'FS (nominal)'!L70*CPI!$I$30</f>
        <v>0</v>
      </c>
      <c r="M69" s="17">
        <f>'FS (nominal)'!M70*CPI!$I$30</f>
        <v>0</v>
      </c>
      <c r="N69" s="17">
        <f>'FS (nominal)'!N70*CPI!$I$30</f>
        <v>0</v>
      </c>
      <c r="O69" s="17">
        <f>'FS (nominal)'!O70*CPI!$I$30</f>
        <v>0</v>
      </c>
      <c r="P69" s="17">
        <f>'FS (nominal)'!P70*CPI!$I$30</f>
        <v>0</v>
      </c>
      <c r="Q69" s="17">
        <f>'FS (nominal)'!Q70*CPI!$I$30</f>
        <v>0</v>
      </c>
      <c r="R69" s="17">
        <f>'FS (nominal)'!R70*CPI!$I$30</f>
        <v>0</v>
      </c>
      <c r="S69" s="15">
        <f>'FS (nominal)'!S70*CPI!$I$30</f>
        <v>10341.851428876593</v>
      </c>
      <c r="T69" s="15">
        <f>'FS (nominal)'!T70*CPI!$I$30</f>
        <v>13580.031942234402</v>
      </c>
      <c r="U69" s="15">
        <f>'FS (nominal)'!U70*CPI!$I$30</f>
        <v>4198.0583537684415</v>
      </c>
      <c r="V69" s="15">
        <f>'FS (nominal)'!V70*CPI!$I$30</f>
        <v>0</v>
      </c>
      <c r="W69" s="17"/>
      <c r="X69" s="17">
        <f>'FS (nominal)'!W70*CPI!$I$30</f>
        <v>3343.6039670432369</v>
      </c>
      <c r="Y69" s="17">
        <f>'FS (nominal)'!X70*CPI!$I$30</f>
        <v>0</v>
      </c>
      <c r="Z69" s="17">
        <f>'FS (nominal)'!Y70*CPI!$I$30</f>
        <v>0</v>
      </c>
      <c r="AA69" s="15">
        <f>'FS (nominal)'!Z70*CPI!$I$30</f>
        <v>4843.7226581345485</v>
      </c>
      <c r="AB69" s="17">
        <f>'FS (nominal)'!AA70*CPI!$I$30</f>
        <v>0</v>
      </c>
      <c r="AC69" s="17">
        <f>'FS (nominal)'!AB70*CPI!$I$30</f>
        <v>0</v>
      </c>
      <c r="AD69" s="17">
        <f>'FS (nominal)'!AC70*CPI!$I$30</f>
        <v>0</v>
      </c>
      <c r="AE69" s="17">
        <f>'FS (nominal)'!AD70*CPI!$I$30</f>
        <v>0</v>
      </c>
      <c r="AF69" s="17">
        <f>'FS (nominal)'!AE70*CPI!$I$30</f>
        <v>0</v>
      </c>
      <c r="AG69" s="15">
        <f>'FS (nominal)'!AF70*CPI!$I$30</f>
        <v>0</v>
      </c>
      <c r="AH69" s="18">
        <f>'FS (nominal)'!AG70*CPI!$I$30</f>
        <v>0</v>
      </c>
    </row>
    <row r="70" spans="1:34" s="7" customFormat="1" ht="15" hidden="1" customHeight="1">
      <c r="A70" s="246">
        <f>References!D265</f>
        <v>163</v>
      </c>
      <c r="B70" s="255" t="s">
        <v>36</v>
      </c>
      <c r="C70" s="121">
        <v>2005</v>
      </c>
      <c r="D70" s="17">
        <f>'FS (nominal)'!D71*CPI!$I$34</f>
        <v>22450.983035869838</v>
      </c>
      <c r="E70" s="15">
        <f>'FS (nominal)'!E71*CPI!$I$34</f>
        <v>22450.983035869838</v>
      </c>
      <c r="F70" s="15">
        <f>'FS (nominal)'!F71*CPI!$I$34</f>
        <v>0</v>
      </c>
      <c r="G70" s="15">
        <f>'FS (nominal)'!G71*CPI!$I$34</f>
        <v>554.38279929860119</v>
      </c>
      <c r="H70" s="17">
        <f>'FS (nominal)'!H71*CPI!$I$34</f>
        <v>1271.2455195432062</v>
      </c>
      <c r="I70" s="15">
        <f>'FS (nominal)'!I71*CPI!$I$34</f>
        <v>24276.611354711644</v>
      </c>
      <c r="J70" s="15">
        <f>'FS (nominal)'!J71*CPI!$I$34</f>
        <v>6638.7251632760726</v>
      </c>
      <c r="K70" s="17">
        <f>'FS (nominal)'!K71*CPI!$I$34</f>
        <v>0</v>
      </c>
      <c r="L70" s="17">
        <f>'FS (nominal)'!L71*CPI!$I$34</f>
        <v>0</v>
      </c>
      <c r="M70" s="17">
        <f>'FS (nominal)'!M71*CPI!$I$34</f>
        <v>0</v>
      </c>
      <c r="N70" s="17">
        <f>'FS (nominal)'!N71*CPI!$I$34</f>
        <v>0</v>
      </c>
      <c r="O70" s="17">
        <f>'FS (nominal)'!O71*CPI!$I$34</f>
        <v>0</v>
      </c>
      <c r="P70" s="17">
        <f>'FS (nominal)'!P71*CPI!$I$34</f>
        <v>0</v>
      </c>
      <c r="Q70" s="17">
        <f>'FS (nominal)'!Q71*CPI!$I$34</f>
        <v>0</v>
      </c>
      <c r="R70" s="17">
        <f>'FS (nominal)'!R71*CPI!$I$34</f>
        <v>0</v>
      </c>
      <c r="S70" s="15">
        <f>'FS (nominal)'!S71*CPI!$I$34</f>
        <v>14235.263009549539</v>
      </c>
      <c r="T70" s="15">
        <f>'FS (nominal)'!T71*CPI!$I$34</f>
        <v>10041.348345162105</v>
      </c>
      <c r="U70" s="15">
        <f>'FS (nominal)'!U71*CPI!$I$34</f>
        <v>4933.8502303004852</v>
      </c>
      <c r="V70" s="15">
        <f>'FS (nominal)'!V71*CPI!$I$34</f>
        <v>0</v>
      </c>
      <c r="W70" s="17"/>
      <c r="X70" s="17">
        <f>'FS (nominal)'!W71*CPI!$I$34</f>
        <v>2404.4165383648078</v>
      </c>
      <c r="Y70" s="17">
        <f>'FS (nominal)'!X71*CPI!$I$34</f>
        <v>0</v>
      </c>
      <c r="Z70" s="17">
        <f>'FS (nominal)'!Y71*CPI!$I$34</f>
        <v>0</v>
      </c>
      <c r="AA70" s="15">
        <f>'FS (nominal)'!Z71*CPI!$I$34</f>
        <v>1475.0835163499016</v>
      </c>
      <c r="AB70" s="17">
        <f>'FS (nominal)'!AA71*CPI!$I$34</f>
        <v>0</v>
      </c>
      <c r="AC70" s="17">
        <f>'FS (nominal)'!AB71*CPI!$I$34</f>
        <v>0</v>
      </c>
      <c r="AD70" s="17">
        <f>'FS (nominal)'!AC71*CPI!$I$34</f>
        <v>0</v>
      </c>
      <c r="AE70" s="17">
        <f>'FS (nominal)'!AD71*CPI!$I$34</f>
        <v>0</v>
      </c>
      <c r="AF70" s="17">
        <f>'FS (nominal)'!AE71*CPI!$I$34</f>
        <v>0</v>
      </c>
      <c r="AG70" s="15">
        <f>'FS (nominal)'!AF71*CPI!$I$34</f>
        <v>0</v>
      </c>
      <c r="AH70" s="18">
        <f>'FS (nominal)'!AG71*CPI!$I$34</f>
        <v>0</v>
      </c>
    </row>
    <row r="71" spans="1:34" s="7" customFormat="1" ht="14.45" hidden="1" customHeight="1">
      <c r="A71" s="246">
        <f>References!E265</f>
        <v>164</v>
      </c>
      <c r="B71" s="255" t="s">
        <v>36</v>
      </c>
      <c r="C71" s="121">
        <v>2006</v>
      </c>
      <c r="D71" s="17">
        <f>'FS (nominal)'!D72*CPI!$I$38</f>
        <v>23895.062609900324</v>
      </c>
      <c r="E71" s="15">
        <f>'FS (nominal)'!E72*CPI!$I$38</f>
        <v>23895.062609900324</v>
      </c>
      <c r="F71" s="15">
        <f>'FS (nominal)'!F72*CPI!$I$38</f>
        <v>0</v>
      </c>
      <c r="G71" s="15">
        <f>'FS (nominal)'!G72*CPI!$I$38</f>
        <v>1238.1740862262459</v>
      </c>
      <c r="H71" s="17">
        <f>'FS (nominal)'!H72*CPI!$I$38</f>
        <v>1543.5395097597238</v>
      </c>
      <c r="I71" s="15">
        <f>'FS (nominal)'!I72*CPI!$I$38</f>
        <v>26676.776205886294</v>
      </c>
      <c r="J71" s="15">
        <f>'FS (nominal)'!J72*CPI!$I$38</f>
        <v>6754.5357042638198</v>
      </c>
      <c r="K71" s="17">
        <f>'FS (nominal)'!K72*CPI!$I$38</f>
        <v>0</v>
      </c>
      <c r="L71" s="17">
        <f>'FS (nominal)'!L72*CPI!$I$38</f>
        <v>0</v>
      </c>
      <c r="M71" s="17">
        <f>'FS (nominal)'!M72*CPI!$I$38</f>
        <v>0</v>
      </c>
      <c r="N71" s="17">
        <f>'FS (nominal)'!N72*CPI!$I$38</f>
        <v>0</v>
      </c>
      <c r="O71" s="17">
        <f>'FS (nominal)'!O72*CPI!$I$38</f>
        <v>0</v>
      </c>
      <c r="P71" s="17">
        <f>'FS (nominal)'!P72*CPI!$I$38</f>
        <v>0</v>
      </c>
      <c r="Q71" s="17">
        <f>'FS (nominal)'!Q72*CPI!$I$38</f>
        <v>0</v>
      </c>
      <c r="R71" s="17">
        <f>'FS (nominal)'!R72*CPI!$I$38</f>
        <v>0</v>
      </c>
      <c r="S71" s="15">
        <f>'FS (nominal)'!S72*CPI!$I$38</f>
        <v>15072.5318340749</v>
      </c>
      <c r="T71" s="15">
        <f>'FS (nominal)'!T72*CPI!$I$38</f>
        <v>11604.244371811392</v>
      </c>
      <c r="U71" s="15">
        <f>'FS (nominal)'!U72*CPI!$I$38</f>
        <v>4812.5698916744686</v>
      </c>
      <c r="V71" s="15">
        <f>'FS (nominal)'!V72*CPI!$I$38</f>
        <v>0</v>
      </c>
      <c r="W71" s="17"/>
      <c r="X71" s="17">
        <f>'FS (nominal)'!W72*CPI!$I$38</f>
        <v>2944.8565285833547</v>
      </c>
      <c r="Y71" s="17">
        <f>'FS (nominal)'!X72*CPI!$I$38</f>
        <v>0</v>
      </c>
      <c r="Z71" s="17">
        <f>'FS (nominal)'!Y72*CPI!$I$38</f>
        <v>0</v>
      </c>
      <c r="AA71" s="15">
        <f>'FS (nominal)'!Z72*CPI!$I$38</f>
        <v>2531.4784140531783</v>
      </c>
      <c r="AB71" s="17">
        <f>'FS (nominal)'!AA72*CPI!$I$38</f>
        <v>0</v>
      </c>
      <c r="AC71" s="17">
        <f>'FS (nominal)'!AB72*CPI!$I$38</f>
        <v>0</v>
      </c>
      <c r="AD71" s="17">
        <f>'FS (nominal)'!AC72*CPI!$I$38</f>
        <v>0</v>
      </c>
      <c r="AE71" s="17">
        <f>'FS (nominal)'!AD72*CPI!$I$38</f>
        <v>0</v>
      </c>
      <c r="AF71" s="17">
        <f>'FS (nominal)'!AE72*CPI!$I$38</f>
        <v>0</v>
      </c>
      <c r="AG71" s="15">
        <f>'FS (nominal)'!AF72*CPI!$I$38</f>
        <v>0</v>
      </c>
      <c r="AH71" s="18">
        <f>'FS (nominal)'!AG72*CPI!$I$38</f>
        <v>0</v>
      </c>
    </row>
    <row r="72" spans="1:34" s="7" customFormat="1" ht="15" hidden="1" customHeight="1">
      <c r="A72" s="246">
        <f>References!F265</f>
        <v>165</v>
      </c>
      <c r="B72" s="255" t="s">
        <v>36</v>
      </c>
      <c r="C72" s="121">
        <v>2007</v>
      </c>
      <c r="D72" s="17">
        <f>'FS (nominal)'!D73*CPI!$I$42</f>
        <v>25201.849772720627</v>
      </c>
      <c r="E72" s="15">
        <f>'FS (nominal)'!E73*CPI!$I$42</f>
        <v>25201.849772720627</v>
      </c>
      <c r="F72" s="15">
        <f>'FS (nominal)'!F73*CPI!$I$42</f>
        <v>0</v>
      </c>
      <c r="G72" s="15">
        <f>'FS (nominal)'!G73*CPI!$I$42</f>
        <v>959.74934478017974</v>
      </c>
      <c r="H72" s="17">
        <f>'FS (nominal)'!H73*CPI!$I$42</f>
        <v>1161.3809272530495</v>
      </c>
      <c r="I72" s="15">
        <f>'FS (nominal)'!I73*CPI!$I$42</f>
        <v>27322.980044753858</v>
      </c>
      <c r="J72" s="15">
        <f>'FS (nominal)'!J73*CPI!$I$42</f>
        <v>6817.1063921958648</v>
      </c>
      <c r="K72" s="17">
        <f>'FS (nominal)'!K73*CPI!$I$42</f>
        <v>0</v>
      </c>
      <c r="L72" s="17">
        <f>'FS (nominal)'!L73*CPI!$I$42</f>
        <v>0</v>
      </c>
      <c r="M72" s="17">
        <f>'FS (nominal)'!M73*CPI!$I$42</f>
        <v>0</v>
      </c>
      <c r="N72" s="17">
        <f>'FS (nominal)'!N73*CPI!$I$42</f>
        <v>0</v>
      </c>
      <c r="O72" s="17">
        <f>'FS (nominal)'!O73*CPI!$I$42</f>
        <v>0</v>
      </c>
      <c r="P72" s="17">
        <f>'FS (nominal)'!P73*CPI!$I$42</f>
        <v>0</v>
      </c>
      <c r="Q72" s="17">
        <f>'FS (nominal)'!Q73*CPI!$I$42</f>
        <v>0</v>
      </c>
      <c r="R72" s="17">
        <f>'FS (nominal)'!R73*CPI!$I$42</f>
        <v>0</v>
      </c>
      <c r="S72" s="15">
        <f>'FS (nominal)'!S73*CPI!$I$42</f>
        <v>16741.156936554831</v>
      </c>
      <c r="T72" s="15">
        <f>'FS (nominal)'!T73*CPI!$I$42</f>
        <v>10581.823108199025</v>
      </c>
      <c r="U72" s="15">
        <f>'FS (nominal)'!U73*CPI!$I$42</f>
        <v>4687.1072989732947</v>
      </c>
      <c r="V72" s="15">
        <f>'FS (nominal)'!V73*CPI!$I$42</f>
        <v>0</v>
      </c>
      <c r="W72" s="17"/>
      <c r="X72" s="17">
        <f>'FS (nominal)'!W73*CPI!$I$42</f>
        <v>2573.6657717845969</v>
      </c>
      <c r="Y72" s="17">
        <f>'FS (nominal)'!X73*CPI!$I$42</f>
        <v>0</v>
      </c>
      <c r="Z72" s="17">
        <f>'FS (nominal)'!Y73*CPI!$I$42</f>
        <v>0</v>
      </c>
      <c r="AA72" s="15">
        <f>'FS (nominal)'!Z73*CPI!$I$42</f>
        <v>1672.6127829291843</v>
      </c>
      <c r="AB72" s="17">
        <f>'FS (nominal)'!AA73*CPI!$I$42</f>
        <v>0</v>
      </c>
      <c r="AC72" s="17">
        <f>'FS (nominal)'!AB73*CPI!$I$42</f>
        <v>0</v>
      </c>
      <c r="AD72" s="17">
        <f>'FS (nominal)'!AC73*CPI!$I$42</f>
        <v>0</v>
      </c>
      <c r="AE72" s="17">
        <f>'FS (nominal)'!AD73*CPI!$I$42</f>
        <v>0</v>
      </c>
      <c r="AF72" s="17">
        <f>'FS (nominal)'!AE73*CPI!$I$42</f>
        <v>0</v>
      </c>
      <c r="AG72" s="15">
        <f>'FS (nominal)'!AF73*CPI!$I$42</f>
        <v>0</v>
      </c>
      <c r="AH72" s="18">
        <f>'FS (nominal)'!AG73*CPI!$I$42</f>
        <v>0</v>
      </c>
    </row>
    <row r="73" spans="1:34" s="7" customFormat="1" ht="15" customHeight="1">
      <c r="A73" s="246">
        <f>References!G265</f>
        <v>166</v>
      </c>
      <c r="B73" s="256" t="s">
        <v>36</v>
      </c>
      <c r="C73" s="121">
        <v>2008</v>
      </c>
      <c r="D73" s="17">
        <f>'FS (nominal)'!D74*CPI!$I$46</f>
        <v>23583.409369564597</v>
      </c>
      <c r="E73" s="15">
        <f>'FS (nominal)'!E74*CPI!$I$46</f>
        <v>26664.615494283025</v>
      </c>
      <c r="F73" s="15">
        <f>'FS (nominal)'!F74*CPI!$I$46</f>
        <v>728.79473068917332</v>
      </c>
      <c r="G73" s="15">
        <f>'FS (nominal)'!G74*CPI!$I$46</f>
        <v>0</v>
      </c>
      <c r="H73" s="17">
        <f>'FS (nominal)'!H74*CPI!$I$46</f>
        <v>541.20555444669378</v>
      </c>
      <c r="I73" s="15">
        <f>'FS (nominal)'!I74*CPI!$I$46</f>
        <v>27934.615779418891</v>
      </c>
      <c r="J73" s="15">
        <f>'FS (nominal)'!J74*CPI!$I$46</f>
        <v>7435.6468307148352</v>
      </c>
      <c r="K73" s="17">
        <f>'FS (nominal)'!K74*CPI!$I$46</f>
        <v>1727.1141398876564</v>
      </c>
      <c r="L73" s="17">
        <f>'FS (nominal)'!L74*CPI!$I$46</f>
        <v>1640.8662427646773</v>
      </c>
      <c r="M73" s="17">
        <f>'FS (nominal)'!M74*CPI!$I$46</f>
        <v>943.33637478258379</v>
      </c>
      <c r="N73" s="17">
        <f>'FS (nominal)'!N74*CPI!$I$46</f>
        <v>0</v>
      </c>
      <c r="O73" s="17">
        <f>'FS (nominal)'!O74*CPI!$I$46</f>
        <v>1085.6454050354994</v>
      </c>
      <c r="P73" s="17">
        <f>'FS (nominal)'!P74*CPI!$I$46</f>
        <v>265.21228365316074</v>
      </c>
      <c r="Q73" s="17">
        <f>'FS (nominal)'!Q74*CPI!$I$46</f>
        <v>0</v>
      </c>
      <c r="R73" s="17">
        <f>'FS (nominal)'!R74*CPI!$I$46</f>
        <v>0</v>
      </c>
      <c r="S73" s="15">
        <f>'FS (nominal)'!S74*CPI!$I$46</f>
        <v>5662.1744461235776</v>
      </c>
      <c r="T73" s="15">
        <f>'FS (nominal)'!T74*CPI!$I$46</f>
        <v>14836.794502580478</v>
      </c>
      <c r="U73" s="15">
        <f>'FS (nominal)'!U74*CPI!$I$46</f>
        <v>6537.5906019218155</v>
      </c>
      <c r="V73" s="15">
        <f>'FS (nominal)'!V74*CPI!$I$46</f>
        <v>8299.2039006586638</v>
      </c>
      <c r="W73" s="17"/>
      <c r="X73" s="17">
        <f>'FS (nominal)'!W74*CPI!$I$46</f>
        <v>-184.35488010036781</v>
      </c>
      <c r="Y73" s="17">
        <f>'FS (nominal)'!X74*CPI!$I$46</f>
        <v>4737.1657494796264</v>
      </c>
      <c r="Z73" s="17">
        <f>'FS (nominal)'!Y74*CPI!$I$46</f>
        <v>0</v>
      </c>
      <c r="AA73" s="15">
        <f>'FS (nominal)'!Z74*CPI!$I$46</f>
        <v>13220.724530238658</v>
      </c>
      <c r="AB73" s="17">
        <f>'FS (nominal)'!AA74*CPI!$I$46</f>
        <v>0</v>
      </c>
      <c r="AC73" s="17">
        <f>'FS (nominal)'!AB74*CPI!$I$46</f>
        <v>0</v>
      </c>
      <c r="AD73" s="17">
        <f>'FS (nominal)'!AC74*CPI!$I$46</f>
        <v>0</v>
      </c>
      <c r="AE73" s="17">
        <f>'FS (nominal)'!AD74*CPI!$I$46</f>
        <v>0</v>
      </c>
      <c r="AF73" s="17">
        <f>'FS (nominal)'!AE74*CPI!$I$46</f>
        <v>10802.549114653131</v>
      </c>
      <c r="AG73" s="15">
        <f>'FS (nominal)'!AF74*CPI!$I$46</f>
        <v>10802.549114653131</v>
      </c>
      <c r="AH73" s="18">
        <f>'FS (nominal)'!AG74*CPI!$I$46</f>
        <v>573.54851586781092</v>
      </c>
    </row>
    <row r="74" spans="1:34" s="7" customFormat="1" ht="15" customHeight="1">
      <c r="A74" s="246">
        <f>References!H265</f>
        <v>167</v>
      </c>
      <c r="B74" s="256" t="s">
        <v>36</v>
      </c>
      <c r="C74" s="121">
        <v>2009</v>
      </c>
      <c r="D74" s="17">
        <f>'FS (nominal)'!D75*CPI!$I$50</f>
        <v>24581.041663806707</v>
      </c>
      <c r="E74" s="15">
        <f>'FS (nominal)'!E75*CPI!$I$50</f>
        <v>27844.81103713363</v>
      </c>
      <c r="F74" s="15">
        <f>'FS (nominal)'!F75*CPI!$I$50</f>
        <v>1053.6660031573886</v>
      </c>
      <c r="G74" s="15">
        <f>'FS (nominal)'!G75*CPI!$I$50</f>
        <v>0</v>
      </c>
      <c r="H74" s="17">
        <f>'FS (nominal)'!H75*CPI!$I$50</f>
        <v>520.08538678014952</v>
      </c>
      <c r="I74" s="15">
        <f>'FS (nominal)'!I75*CPI!$I$50</f>
        <v>29418.562427071171</v>
      </c>
      <c r="J74" s="15">
        <f>'FS (nominal)'!J75*CPI!$I$50</f>
        <v>3911.5403939872322</v>
      </c>
      <c r="K74" s="17">
        <f>'FS (nominal)'!K75*CPI!$I$50</f>
        <v>2294.1890315052501</v>
      </c>
      <c r="L74" s="17">
        <f>'FS (nominal)'!L75*CPI!$I$50</f>
        <v>1678.5989429610813</v>
      </c>
      <c r="M74" s="17">
        <f>'FS (nominal)'!M75*CPI!$I$50</f>
        <v>1423.2276752007683</v>
      </c>
      <c r="N74" s="17">
        <f>'FS (nominal)'!N75*CPI!$I$50</f>
        <v>0</v>
      </c>
      <c r="O74" s="17">
        <f>'FS (nominal)'!O75*CPI!$I$50</f>
        <v>448.45686045713489</v>
      </c>
      <c r="P74" s="17">
        <f>'FS (nominal)'!P75*CPI!$I$50</f>
        <v>351.91406410872389</v>
      </c>
      <c r="Q74" s="17">
        <f>'FS (nominal)'!Q75*CPI!$I$50</f>
        <v>0</v>
      </c>
      <c r="R74" s="17">
        <f>'FS (nominal)'!R75*CPI!$I$50</f>
        <v>0</v>
      </c>
      <c r="S74" s="15">
        <f>'FS (nominal)'!S75*CPI!$I$50</f>
        <v>6196.3865742329581</v>
      </c>
      <c r="T74" s="15">
        <f>'FS (nominal)'!T75*CPI!$I$50</f>
        <v>19310.635458850978</v>
      </c>
      <c r="U74" s="15">
        <f>'FS (nominal)'!U75*CPI!$I$50</f>
        <v>7423.4143729837306</v>
      </c>
      <c r="V74" s="15">
        <f>'FS (nominal)'!V75*CPI!$I$50</f>
        <v>11887.221085867248</v>
      </c>
      <c r="W74" s="17"/>
      <c r="X74" s="17">
        <f>'FS (nominal)'!W75*CPI!$I$50</f>
        <v>631.16150731004166</v>
      </c>
      <c r="Y74" s="17">
        <f>'FS (nominal)'!X75*CPI!$I$50</f>
        <v>4309.1306198091825</v>
      </c>
      <c r="Z74" s="17">
        <f>'FS (nominal)'!Y75*CPI!$I$50</f>
        <v>0</v>
      </c>
      <c r="AA74" s="15">
        <f>'FS (nominal)'!Z75*CPI!$I$50</f>
        <v>15565.19019836639</v>
      </c>
      <c r="AB74" s="17">
        <f>'FS (nominal)'!AA75*CPI!$I$50</f>
        <v>0</v>
      </c>
      <c r="AC74" s="17">
        <f>'FS (nominal)'!AB75*CPI!$I$50</f>
        <v>0</v>
      </c>
      <c r="AD74" s="17">
        <f>'FS (nominal)'!AC75*CPI!$I$50</f>
        <v>0</v>
      </c>
      <c r="AE74" s="17">
        <f>'FS (nominal)'!AD75*CPI!$I$50</f>
        <v>0</v>
      </c>
      <c r="AF74" s="17">
        <f>'FS (nominal)'!AE75*CPI!$I$50</f>
        <v>0</v>
      </c>
      <c r="AG74" s="15">
        <f>'FS (nominal)'!AF75*CPI!$I$50</f>
        <v>16457.951540943093</v>
      </c>
      <c r="AH74" s="18">
        <f>'FS (nominal)'!AG75*CPI!$I$50</f>
        <v>751.58047909945753</v>
      </c>
    </row>
    <row r="75" spans="1:34" s="7" customFormat="1" ht="15" customHeight="1">
      <c r="A75" s="246">
        <f>References!I265</f>
        <v>168</v>
      </c>
      <c r="B75" s="256" t="s">
        <v>36</v>
      </c>
      <c r="C75" s="121">
        <v>2010</v>
      </c>
      <c r="D75" s="17">
        <f>'FS (nominal)'!D76*CPI!$I$54</f>
        <v>25160.729756406454</v>
      </c>
      <c r="E75" s="15">
        <f>'FS (nominal)'!E76*CPI!$I$54</f>
        <v>28354.7786906847</v>
      </c>
      <c r="F75" s="15">
        <f>'FS (nominal)'!F76*CPI!$I$54</f>
        <v>438.09921586591571</v>
      </c>
      <c r="G75" s="15">
        <f>'FS (nominal)'!G76*CPI!$I$54</f>
        <v>0</v>
      </c>
      <c r="H75" s="17">
        <f>'FS (nominal)'!H76*CPI!$I$54</f>
        <v>416.70367276548728</v>
      </c>
      <c r="I75" s="15">
        <f>'FS (nominal)'!I76*CPI!$I$54</f>
        <v>29209.581579316102</v>
      </c>
      <c r="J75" s="15">
        <f>'FS (nominal)'!J76*CPI!$I$54</f>
        <v>4906.7112176982555</v>
      </c>
      <c r="K75" s="17">
        <f>'FS (nominal)'!K76*CPI!$I$54</f>
        <v>2432.9789011344342</v>
      </c>
      <c r="L75" s="17">
        <f>'FS (nominal)'!L76*CPI!$I$54</f>
        <v>1431.4637169572361</v>
      </c>
      <c r="M75" s="17">
        <f>'FS (nominal)'!M76*CPI!$I$54</f>
        <v>1767.6793942496831</v>
      </c>
      <c r="N75" s="17">
        <f>'FS (nominal)'!N76*CPI!$I$54</f>
        <v>0</v>
      </c>
      <c r="O75" s="17">
        <f>'FS (nominal)'!O76*CPI!$I$54</f>
        <v>391.23278812212004</v>
      </c>
      <c r="P75" s="17">
        <f>'FS (nominal)'!P76*CPI!$I$54</f>
        <v>292.40575570585537</v>
      </c>
      <c r="Q75" s="17">
        <f>'FS (nominal)'!Q76*CPI!$I$54</f>
        <v>0</v>
      </c>
      <c r="R75" s="17">
        <f>'FS (nominal)'!R76*CPI!$I$54</f>
        <v>0</v>
      </c>
      <c r="S75" s="15">
        <f>'FS (nominal)'!S76*CPI!$I$54</f>
        <v>6315.760556169329</v>
      </c>
      <c r="T75" s="15">
        <f>'FS (nominal)'!T76*CPI!$I$54</f>
        <v>17987.109805448519</v>
      </c>
      <c r="U75" s="15">
        <f>'FS (nominal)'!U76*CPI!$I$54</f>
        <v>6746.7279243351022</v>
      </c>
      <c r="V75" s="15">
        <f>'FS (nominal)'!V76*CPI!$I$54</f>
        <v>11240.381881113415</v>
      </c>
      <c r="W75" s="17"/>
      <c r="X75" s="17">
        <f>'FS (nominal)'!W76*CPI!$I$54</f>
        <v>916.68896725499167</v>
      </c>
      <c r="Y75" s="17">
        <f>'FS (nominal)'!X76*CPI!$I$54</f>
        <v>3153.2610822128204</v>
      </c>
      <c r="Z75" s="17">
        <f>'FS (nominal)'!Y76*CPI!$I$54</f>
        <v>0</v>
      </c>
      <c r="AA75" s="15">
        <f>'FS (nominal)'!Z76*CPI!$I$54</f>
        <v>13476.953771927459</v>
      </c>
      <c r="AB75" s="17">
        <f>'FS (nominal)'!AA76*CPI!$I$54</f>
        <v>857.85939478860701</v>
      </c>
      <c r="AC75" s="17">
        <f>'FS (nominal)'!AB76*CPI!$I$54</f>
        <v>5329.5279027781517</v>
      </c>
      <c r="AD75" s="17">
        <f>'FS (nominal)'!AC76*CPI!$I$54</f>
        <v>3382.5334806391629</v>
      </c>
      <c r="AE75" s="17">
        <f>'FS (nominal)'!AD76*CPI!$I$54</f>
        <v>3897.0453504351804</v>
      </c>
      <c r="AF75" s="17">
        <f>'FS (nominal)'!AE76*CPI!$I$54</f>
        <v>0</v>
      </c>
      <c r="AG75" s="15">
        <f>'FS (nominal)'!AF76*CPI!$I$54</f>
        <v>13466.966128641101</v>
      </c>
      <c r="AH75" s="18">
        <f>'FS (nominal)'!AG76*CPI!$I$54</f>
        <v>463.5701005092829</v>
      </c>
    </row>
    <row r="76" spans="1:34" s="7" customFormat="1" ht="15" customHeight="1">
      <c r="A76" s="246">
        <f>References!J265</f>
        <v>169</v>
      </c>
      <c r="B76" s="256" t="s">
        <v>36</v>
      </c>
      <c r="C76" s="121">
        <v>2011</v>
      </c>
      <c r="D76" s="17">
        <f>'FS (nominal)'!D77*CPI!$I$58</f>
        <v>25651</v>
      </c>
      <c r="E76" s="15">
        <f>'FS (nominal)'!E77*CPI!$I$58</f>
        <v>28836</v>
      </c>
      <c r="F76" s="15">
        <f>'FS (nominal)'!F77*CPI!$I$58</f>
        <v>795</v>
      </c>
      <c r="G76" s="15">
        <f>'FS (nominal)'!G77*CPI!$I$58</f>
        <v>0</v>
      </c>
      <c r="H76" s="17">
        <f>'FS (nominal)'!H77*CPI!$I$58</f>
        <v>659</v>
      </c>
      <c r="I76" s="15">
        <f>'FS (nominal)'!I77*CPI!$I$58</f>
        <v>30290</v>
      </c>
      <c r="J76" s="15">
        <f>'FS (nominal)'!J77*CPI!$I$58</f>
        <v>4555</v>
      </c>
      <c r="K76" s="17">
        <f>'FS (nominal)'!K77*CPI!$I$58</f>
        <v>3029</v>
      </c>
      <c r="L76" s="17">
        <f>'FS (nominal)'!L77*CPI!$I$58</f>
        <v>1277</v>
      </c>
      <c r="M76" s="17">
        <f>'FS (nominal)'!M77*CPI!$I$58</f>
        <v>1322</v>
      </c>
      <c r="N76" s="17">
        <f>'FS (nominal)'!N77*CPI!$I$58</f>
        <v>0</v>
      </c>
      <c r="O76" s="17">
        <f>'FS (nominal)'!O77*CPI!$I$58</f>
        <v>471</v>
      </c>
      <c r="P76" s="17">
        <f>'FS (nominal)'!P77*CPI!$I$58</f>
        <v>287</v>
      </c>
      <c r="Q76" s="17">
        <f>'FS (nominal)'!Q77*CPI!$I$58</f>
        <v>0</v>
      </c>
      <c r="R76" s="17">
        <f>'FS (nominal)'!R77*CPI!$I$58</f>
        <v>0</v>
      </c>
      <c r="S76" s="15">
        <f>'FS (nominal)'!S77*CPI!$I$58</f>
        <v>6386</v>
      </c>
      <c r="T76" s="15">
        <f>'FS (nominal)'!T77*CPI!$I$58</f>
        <v>19349</v>
      </c>
      <c r="U76" s="15">
        <f>'FS (nominal)'!U77*CPI!$I$58</f>
        <v>7791</v>
      </c>
      <c r="V76" s="15">
        <f>'FS (nominal)'!V77*CPI!$I$58</f>
        <v>11558</v>
      </c>
      <c r="W76" s="17"/>
      <c r="X76" s="17">
        <f>'FS (nominal)'!W77*CPI!$I$58</f>
        <v>922.37915999999996</v>
      </c>
      <c r="Y76" s="17">
        <f>'FS (nominal)'!X77*CPI!$I$58</f>
        <v>7248.7066000000004</v>
      </c>
      <c r="Z76" s="17">
        <f>'FS (nominal)'!Y77*CPI!$I$58</f>
        <v>0</v>
      </c>
      <c r="AA76" s="15">
        <f>'FS (nominal)'!Z77*CPI!$I$58</f>
        <v>17884.327000000001</v>
      </c>
      <c r="AB76" s="17">
        <f>'FS (nominal)'!AA77*CPI!$I$58</f>
        <v>3265</v>
      </c>
      <c r="AC76" s="17">
        <f>'FS (nominal)'!AB77*CPI!$I$58</f>
        <v>5311</v>
      </c>
      <c r="AD76" s="17">
        <f>'FS (nominal)'!AC77*CPI!$I$58</f>
        <v>908</v>
      </c>
      <c r="AE76" s="17">
        <f>'FS (nominal)'!AD77*CPI!$I$58</f>
        <v>3342</v>
      </c>
      <c r="AF76" s="17">
        <f>'FS (nominal)'!AE77*CPI!$I$58</f>
        <v>0</v>
      </c>
      <c r="AG76" s="15">
        <f>'FS (nominal)'!AF77*CPI!$I$58</f>
        <v>12826</v>
      </c>
      <c r="AH76" s="18">
        <f>'FS (nominal)'!AG77*CPI!$I$58</f>
        <v>3557</v>
      </c>
    </row>
    <row r="77" spans="1:34" s="7" customFormat="1" ht="15" hidden="1" customHeight="1">
      <c r="A77" s="246">
        <f>References!C266</f>
        <v>185</v>
      </c>
      <c r="B77" s="255" t="s">
        <v>37</v>
      </c>
      <c r="C77" s="121">
        <v>2004</v>
      </c>
      <c r="D77" s="17">
        <f>'FS (nominal)'!D78*CPI!$I$30</f>
        <v>14604.303019478188</v>
      </c>
      <c r="E77" s="15">
        <f>'FS (nominal)'!E78*CPI!$I$30</f>
        <v>14604.303019478188</v>
      </c>
      <c r="F77" s="15">
        <f>'FS (nominal)'!F78*CPI!$I$30</f>
        <v>0</v>
      </c>
      <c r="G77" s="15">
        <f>'FS (nominal)'!G78*CPI!$I$30</f>
        <v>595.42849723807035</v>
      </c>
      <c r="H77" s="17">
        <f>'FS (nominal)'!H78*CPI!$I$30</f>
        <v>183.58038860078437</v>
      </c>
      <c r="I77" s="15">
        <f>'FS (nominal)'!I78*CPI!$I$30</f>
        <v>15383.311905317043</v>
      </c>
      <c r="J77" s="15">
        <f>'FS (nominal)'!J78*CPI!$I$30</f>
        <v>3408.3148462592994</v>
      </c>
      <c r="K77" s="17">
        <f>'FS (nominal)'!K78*CPI!$I$30</f>
        <v>0</v>
      </c>
      <c r="L77" s="17">
        <f>'FS (nominal)'!L78*CPI!$I$30</f>
        <v>0</v>
      </c>
      <c r="M77" s="17">
        <f>'FS (nominal)'!M78*CPI!$I$30</f>
        <v>0</v>
      </c>
      <c r="N77" s="17">
        <f>'FS (nominal)'!N78*CPI!$I$30</f>
        <v>0</v>
      </c>
      <c r="O77" s="17">
        <f>'FS (nominal)'!O78*CPI!$I$30</f>
        <v>0</v>
      </c>
      <c r="P77" s="17">
        <f>'FS (nominal)'!P78*CPI!$I$30</f>
        <v>0</v>
      </c>
      <c r="Q77" s="17">
        <f>'FS (nominal)'!Q78*CPI!$I$30</f>
        <v>595.42849723807035</v>
      </c>
      <c r="R77" s="17">
        <f>'FS (nominal)'!R78*CPI!$I$30</f>
        <v>0</v>
      </c>
      <c r="S77" s="15">
        <f>'FS (nominal)'!S78*CPI!$I$30</f>
        <v>6825.0840525199501</v>
      </c>
      <c r="T77" s="15">
        <f>'FS (nominal)'!T78*CPI!$I$30</f>
        <v>8558.2278527970921</v>
      </c>
      <c r="U77" s="15">
        <f>'FS (nominal)'!U78*CPI!$I$30</f>
        <v>1920.3474860213628</v>
      </c>
      <c r="V77" s="15">
        <f>'FS (nominal)'!V78*CPI!$I$30</f>
        <v>0</v>
      </c>
      <c r="W77" s="17"/>
      <c r="X77" s="17">
        <f>'FS (nominal)'!W78*CPI!$I$30</f>
        <v>2209.0034917818066</v>
      </c>
      <c r="Y77" s="17">
        <f>'FS (nominal)'!X78*CPI!$I$30</f>
        <v>0</v>
      </c>
      <c r="Z77" s="17">
        <f>'FS (nominal)'!Y78*CPI!$I$30</f>
        <v>0</v>
      </c>
      <c r="AA77" s="15">
        <f>'FS (nominal)'!Z78*CPI!$I$30</f>
        <v>4426.4613435649653</v>
      </c>
      <c r="AB77" s="17">
        <f>'FS (nominal)'!AA78*CPI!$I$30</f>
        <v>0</v>
      </c>
      <c r="AC77" s="17">
        <f>'FS (nominal)'!AB78*CPI!$I$30</f>
        <v>0</v>
      </c>
      <c r="AD77" s="17">
        <f>'FS (nominal)'!AC78*CPI!$I$30</f>
        <v>0</v>
      </c>
      <c r="AE77" s="17">
        <f>'FS (nominal)'!AD78*CPI!$I$30</f>
        <v>0</v>
      </c>
      <c r="AF77" s="17">
        <f>'FS (nominal)'!AE78*CPI!$I$30</f>
        <v>0</v>
      </c>
      <c r="AG77" s="15">
        <f>'FS (nominal)'!AF78*CPI!$I$30</f>
        <v>0</v>
      </c>
      <c r="AH77" s="18">
        <f>'FS (nominal)'!AG78*CPI!$I$30</f>
        <v>0</v>
      </c>
    </row>
    <row r="78" spans="1:34" s="7" customFormat="1" ht="15" hidden="1" customHeight="1">
      <c r="A78" s="246">
        <f>References!D266</f>
        <v>186</v>
      </c>
      <c r="B78" s="255" t="s">
        <v>37</v>
      </c>
      <c r="C78" s="121">
        <v>2005</v>
      </c>
      <c r="D78" s="17">
        <f>'FS (nominal)'!D79*CPI!$I$34</f>
        <v>15043.259938626497</v>
      </c>
      <c r="E78" s="15">
        <f>'FS (nominal)'!E79*CPI!$I$34</f>
        <v>15043.259938626497</v>
      </c>
      <c r="F78" s="15">
        <f>'FS (nominal)'!F79*CPI!$I$34</f>
        <v>0</v>
      </c>
      <c r="G78" s="15">
        <f>'FS (nominal)'!G79*CPI!$I$34</f>
        <v>303.71398890098101</v>
      </c>
      <c r="H78" s="17">
        <f>'FS (nominal)'!H79*CPI!$I$34</f>
        <v>307.2455469114575</v>
      </c>
      <c r="I78" s="15">
        <f>'FS (nominal)'!I79*CPI!$I$34</f>
        <v>15654.219474438934</v>
      </c>
      <c r="J78" s="15">
        <f>'FS (nominal)'!J79*CPI!$I$34</f>
        <v>3745.8058631120989</v>
      </c>
      <c r="K78" s="17">
        <f>'FS (nominal)'!K79*CPI!$I$34</f>
        <v>0</v>
      </c>
      <c r="L78" s="17">
        <f>'FS (nominal)'!L79*CPI!$I$34</f>
        <v>0</v>
      </c>
      <c r="M78" s="17">
        <f>'FS (nominal)'!M79*CPI!$I$34</f>
        <v>0</v>
      </c>
      <c r="N78" s="17">
        <f>'FS (nominal)'!N79*CPI!$I$34</f>
        <v>0</v>
      </c>
      <c r="O78" s="17">
        <f>'FS (nominal)'!O79*CPI!$I$34</f>
        <v>0</v>
      </c>
      <c r="P78" s="17">
        <f>'FS (nominal)'!P79*CPI!$I$34</f>
        <v>0</v>
      </c>
      <c r="Q78" s="17">
        <f>'FS (nominal)'!Q79*CPI!$I$34</f>
        <v>303.71398890098101</v>
      </c>
      <c r="R78" s="17">
        <f>'FS (nominal)'!R79*CPI!$I$34</f>
        <v>0</v>
      </c>
      <c r="S78" s="15">
        <f>'FS (nominal)'!S79*CPI!$I$34</f>
        <v>6605.1906655945904</v>
      </c>
      <c r="T78" s="15">
        <f>'FS (nominal)'!T79*CPI!$I$34</f>
        <v>9049.0288088443449</v>
      </c>
      <c r="U78" s="15">
        <f>'FS (nominal)'!U79*CPI!$I$34</f>
        <v>2075.3789241567033</v>
      </c>
      <c r="V78" s="15">
        <f>'FS (nominal)'!V79*CPI!$I$34</f>
        <v>0</v>
      </c>
      <c r="W78" s="17"/>
      <c r="X78" s="17">
        <f>'FS (nominal)'!W79*CPI!$I$34</f>
        <v>2206.0465705443348</v>
      </c>
      <c r="Y78" s="17">
        <f>'FS (nominal)'!X79*CPI!$I$34</f>
        <v>0</v>
      </c>
      <c r="Z78" s="17">
        <f>'FS (nominal)'!Y79*CPI!$I$34</f>
        <v>0</v>
      </c>
      <c r="AA78" s="15">
        <f>'FS (nominal)'!Z79*CPI!$I$34</f>
        <v>4767.6033141433063</v>
      </c>
      <c r="AB78" s="17">
        <f>'FS (nominal)'!AA79*CPI!$I$34</f>
        <v>0</v>
      </c>
      <c r="AC78" s="17">
        <f>'FS (nominal)'!AB79*CPI!$I$34</f>
        <v>0</v>
      </c>
      <c r="AD78" s="17">
        <f>'FS (nominal)'!AC79*CPI!$I$34</f>
        <v>0</v>
      </c>
      <c r="AE78" s="17">
        <f>'FS (nominal)'!AD79*CPI!$I$34</f>
        <v>0</v>
      </c>
      <c r="AF78" s="17">
        <f>'FS (nominal)'!AE79*CPI!$I$34</f>
        <v>0</v>
      </c>
      <c r="AG78" s="15">
        <f>'FS (nominal)'!AF79*CPI!$I$34</f>
        <v>0</v>
      </c>
      <c r="AH78" s="18">
        <f>'FS (nominal)'!AG79*CPI!$I$34</f>
        <v>0</v>
      </c>
    </row>
    <row r="79" spans="1:34" s="7" customFormat="1" ht="14.45" hidden="1" customHeight="1">
      <c r="A79" s="246">
        <f>References!E266</f>
        <v>187</v>
      </c>
      <c r="B79" s="255" t="s">
        <v>37</v>
      </c>
      <c r="C79" s="121">
        <v>2006</v>
      </c>
      <c r="D79" s="17">
        <f>'FS (nominal)'!D80*CPI!$I$38</f>
        <v>14810.326302893753</v>
      </c>
      <c r="E79" s="15">
        <f>'FS (nominal)'!E80*CPI!$I$38</f>
        <v>14810.326302893753</v>
      </c>
      <c r="F79" s="15">
        <f>'FS (nominal)'!F80*CPI!$I$38</f>
        <v>0</v>
      </c>
      <c r="G79" s="15">
        <f>'FS (nominal)'!G80*CPI!$I$38</f>
        <v>634.40226690361533</v>
      </c>
      <c r="H79" s="17">
        <f>'FS (nominal)'!H80*CPI!$I$38</f>
        <v>366.26461812241098</v>
      </c>
      <c r="I79" s="15">
        <f>'FS (nominal)'!I80*CPI!$I$38</f>
        <v>15810.993187919779</v>
      </c>
      <c r="J79" s="15">
        <f>'FS (nominal)'!J80*CPI!$I$38</f>
        <v>3717.4147222517604</v>
      </c>
      <c r="K79" s="17">
        <f>'FS (nominal)'!K80*CPI!$I$38</f>
        <v>0</v>
      </c>
      <c r="L79" s="17">
        <f>'FS (nominal)'!L80*CPI!$I$38</f>
        <v>0</v>
      </c>
      <c r="M79" s="17">
        <f>'FS (nominal)'!M80*CPI!$I$38</f>
        <v>0</v>
      </c>
      <c r="N79" s="17">
        <f>'FS (nominal)'!N80*CPI!$I$38</f>
        <v>0</v>
      </c>
      <c r="O79" s="17">
        <f>'FS (nominal)'!O80*CPI!$I$38</f>
        <v>0</v>
      </c>
      <c r="P79" s="17">
        <f>'FS (nominal)'!P80*CPI!$I$38</f>
        <v>0</v>
      </c>
      <c r="Q79" s="17">
        <f>'FS (nominal)'!Q80*CPI!$I$38</f>
        <v>634.40226690361533</v>
      </c>
      <c r="R79" s="17">
        <f>'FS (nominal)'!R80*CPI!$I$38</f>
        <v>0</v>
      </c>
      <c r="S79" s="15">
        <f>'FS (nominal)'!S80*CPI!$I$38</f>
        <v>7184.9479760648665</v>
      </c>
      <c r="T79" s="15">
        <f>'FS (nominal)'!T80*CPI!$I$38</f>
        <v>8626.0452118549128</v>
      </c>
      <c r="U79" s="15">
        <f>'FS (nominal)'!U80*CPI!$I$38</f>
        <v>2029.8590518372871</v>
      </c>
      <c r="V79" s="15">
        <f>'FS (nominal)'!V80*CPI!$I$38</f>
        <v>0</v>
      </c>
      <c r="W79" s="17"/>
      <c r="X79" s="17">
        <f>'FS (nominal)'!W80*CPI!$I$38</f>
        <v>2213.5618665341972</v>
      </c>
      <c r="Y79" s="17">
        <f>'FS (nominal)'!X80*CPI!$I$38</f>
        <v>0</v>
      </c>
      <c r="Z79" s="17">
        <f>'FS (nominal)'!Y80*CPI!$I$38</f>
        <v>0</v>
      </c>
      <c r="AA79" s="15">
        <f>'FS (nominal)'!Z80*CPI!$I$38</f>
        <v>4382.624293483429</v>
      </c>
      <c r="AB79" s="17">
        <f>'FS (nominal)'!AA80*CPI!$I$38</f>
        <v>0</v>
      </c>
      <c r="AC79" s="17">
        <f>'FS (nominal)'!AB80*CPI!$I$38</f>
        <v>0</v>
      </c>
      <c r="AD79" s="17">
        <f>'FS (nominal)'!AC80*CPI!$I$38</f>
        <v>0</v>
      </c>
      <c r="AE79" s="17">
        <f>'FS (nominal)'!AD80*CPI!$I$38</f>
        <v>0</v>
      </c>
      <c r="AF79" s="17">
        <f>'FS (nominal)'!AE80*CPI!$I$38</f>
        <v>0</v>
      </c>
      <c r="AG79" s="15">
        <f>'FS (nominal)'!AF80*CPI!$I$38</f>
        <v>0</v>
      </c>
      <c r="AH79" s="18">
        <f>'FS (nominal)'!AG80*CPI!$I$38</f>
        <v>0</v>
      </c>
    </row>
    <row r="80" spans="1:34" s="7" customFormat="1" ht="15" hidden="1" customHeight="1">
      <c r="A80" s="246">
        <f>References!F266</f>
        <v>188</v>
      </c>
      <c r="B80" s="255" t="s">
        <v>37</v>
      </c>
      <c r="C80" s="121">
        <v>2007</v>
      </c>
      <c r="D80" s="17">
        <f>'FS (nominal)'!D81*CPI!$I$42</f>
        <v>15568.823529411768</v>
      </c>
      <c r="E80" s="15">
        <f>'FS (nominal)'!E81*CPI!$I$42</f>
        <v>15568.823529411768</v>
      </c>
      <c r="F80" s="15">
        <f>'FS (nominal)'!F81*CPI!$I$42</f>
        <v>0</v>
      </c>
      <c r="G80" s="15">
        <f>'FS (nominal)'!G81*CPI!$I$42</f>
        <v>492.15930031883471</v>
      </c>
      <c r="H80" s="17">
        <f>'FS (nominal)'!H81*CPI!$I$42</f>
        <v>620.45251118846352</v>
      </c>
      <c r="I80" s="15">
        <f>'FS (nominal)'!I81*CPI!$I$42</f>
        <v>16681.435340919066</v>
      </c>
      <c r="J80" s="15">
        <f>'FS (nominal)'!J81*CPI!$I$42</f>
        <v>4328.7898908941997</v>
      </c>
      <c r="K80" s="17">
        <f>'FS (nominal)'!K81*CPI!$I$42</f>
        <v>0</v>
      </c>
      <c r="L80" s="17">
        <f>'FS (nominal)'!L81*CPI!$I$42</f>
        <v>0</v>
      </c>
      <c r="M80" s="17">
        <f>'FS (nominal)'!M81*CPI!$I$42</f>
        <v>0</v>
      </c>
      <c r="N80" s="17">
        <f>'FS (nominal)'!N81*CPI!$I$42</f>
        <v>0</v>
      </c>
      <c r="O80" s="17">
        <f>'FS (nominal)'!O81*CPI!$I$42</f>
        <v>0</v>
      </c>
      <c r="P80" s="17">
        <f>'FS (nominal)'!P81*CPI!$I$42</f>
        <v>0</v>
      </c>
      <c r="Q80" s="17">
        <f>'FS (nominal)'!Q81*CPI!$I$42</f>
        <v>492.15930031883471</v>
      </c>
      <c r="R80" s="17">
        <f>'FS (nominal)'!R81*CPI!$I$42</f>
        <v>0</v>
      </c>
      <c r="S80" s="15">
        <f>'FS (nominal)'!S81*CPI!$I$42</f>
        <v>8211.8714716120176</v>
      </c>
      <c r="T80" s="15">
        <f>'FS (nominal)'!T81*CPI!$I$42</f>
        <v>8469.5638693070468</v>
      </c>
      <c r="U80" s="15">
        <f>'FS (nominal)'!U81*CPI!$I$42</f>
        <v>2057.1152777371517</v>
      </c>
      <c r="V80" s="15">
        <f>'FS (nominal)'!V81*CPI!$I$42</f>
        <v>0</v>
      </c>
      <c r="W80" s="17"/>
      <c r="X80" s="17">
        <f>'FS (nominal)'!W81*CPI!$I$42</f>
        <v>2117.9439553046482</v>
      </c>
      <c r="Y80" s="17">
        <f>'FS (nominal)'!X81*CPI!$I$42</f>
        <v>0</v>
      </c>
      <c r="Z80" s="17">
        <f>'FS (nominal)'!Y81*CPI!$I$42</f>
        <v>0</v>
      </c>
      <c r="AA80" s="15">
        <f>'FS (nominal)'!Z81*CPI!$I$42</f>
        <v>4294.5046362652474</v>
      </c>
      <c r="AB80" s="17">
        <f>'FS (nominal)'!AA81*CPI!$I$42</f>
        <v>0</v>
      </c>
      <c r="AC80" s="17">
        <f>'FS (nominal)'!AB81*CPI!$I$42</f>
        <v>0</v>
      </c>
      <c r="AD80" s="17">
        <f>'FS (nominal)'!AC81*CPI!$I$42</f>
        <v>0</v>
      </c>
      <c r="AE80" s="17">
        <f>'FS (nominal)'!AD81*CPI!$I$42</f>
        <v>0</v>
      </c>
      <c r="AF80" s="17">
        <f>'FS (nominal)'!AE81*CPI!$I$42</f>
        <v>0</v>
      </c>
      <c r="AG80" s="15">
        <f>'FS (nominal)'!AF81*CPI!$I$42</f>
        <v>0</v>
      </c>
      <c r="AH80" s="18">
        <f>'FS (nominal)'!AG81*CPI!$I$42</f>
        <v>0</v>
      </c>
    </row>
    <row r="81" spans="1:34" s="7" customFormat="1" ht="15" customHeight="1">
      <c r="A81" s="246">
        <f>References!G266</f>
        <v>189</v>
      </c>
      <c r="B81" s="256" t="s">
        <v>37</v>
      </c>
      <c r="C81" s="121">
        <v>2008</v>
      </c>
      <c r="D81" s="17">
        <f>'FS (nominal)'!D82*CPI!$I$46</f>
        <v>14896.089931852526</v>
      </c>
      <c r="E81" s="15">
        <f>'FS (nominal)'!E82*CPI!$I$46</f>
        <v>14896.089931852526</v>
      </c>
      <c r="F81" s="15">
        <f>'FS (nominal)'!F82*CPI!$I$46</f>
        <v>30.186763993042682</v>
      </c>
      <c r="G81" s="15">
        <f>'FS (nominal)'!G82*CPI!$I$46</f>
        <v>0</v>
      </c>
      <c r="H81" s="17">
        <f>'FS (nominal)'!H82*CPI!$I$46</f>
        <v>344.99158849191639</v>
      </c>
      <c r="I81" s="15">
        <f>'FS (nominal)'!I82*CPI!$I$46</f>
        <v>15271.268284337486</v>
      </c>
      <c r="J81" s="15">
        <f>'FS (nominal)'!J82*CPI!$I$46</f>
        <v>3649.3641470160528</v>
      </c>
      <c r="K81" s="17">
        <f>'FS (nominal)'!K82*CPI!$I$46</f>
        <v>0</v>
      </c>
      <c r="L81" s="17">
        <f>'FS (nominal)'!L82*CPI!$I$46</f>
        <v>0</v>
      </c>
      <c r="M81" s="17">
        <f>'FS (nominal)'!M82*CPI!$I$46</f>
        <v>0</v>
      </c>
      <c r="N81" s="17">
        <f>'FS (nominal)'!N82*CPI!$I$46</f>
        <v>0</v>
      </c>
      <c r="O81" s="17">
        <f>'FS (nominal)'!O82*CPI!$I$46</f>
        <v>0</v>
      </c>
      <c r="P81" s="17">
        <f>'FS (nominal)'!P82*CPI!$I$46</f>
        <v>0</v>
      </c>
      <c r="Q81" s="17">
        <f>'FS (nominal)'!Q82*CPI!$I$46</f>
        <v>0</v>
      </c>
      <c r="R81" s="17">
        <f>'FS (nominal)'!R82*CPI!$I$46</f>
        <v>0</v>
      </c>
      <c r="S81" s="15">
        <f>'FS (nominal)'!S82*CPI!$I$46</f>
        <v>3584.6782241738188</v>
      </c>
      <c r="T81" s="15">
        <f>'FS (nominal)'!T82*CPI!$I$46</f>
        <v>8037.2259131476139</v>
      </c>
      <c r="U81" s="15">
        <f>'FS (nominal)'!U82*CPI!$I$46</f>
        <v>2160.5098229306263</v>
      </c>
      <c r="V81" s="15">
        <f>'FS (nominal)'!V82*CPI!$I$46</f>
        <v>5876.7160902169881</v>
      </c>
      <c r="W81" s="17"/>
      <c r="X81" s="17">
        <f>'FS (nominal)'!W82*CPI!$I$46</f>
        <v>1365.4708855179492</v>
      </c>
      <c r="Y81" s="17">
        <f>'FS (nominal)'!X82*CPI!$I$46</f>
        <v>1805.3887423512301</v>
      </c>
      <c r="Z81" s="17">
        <f>'FS (nominal)'!Y82*CPI!$I$46</f>
        <v>0</v>
      </c>
      <c r="AA81" s="15">
        <f>'FS (nominal)'!Z82*CPI!$I$46</f>
        <v>6316.6339470502689</v>
      </c>
      <c r="AB81" s="17">
        <f>'FS (nominal)'!AA82*CPI!$I$46</f>
        <v>0</v>
      </c>
      <c r="AC81" s="17">
        <f>'FS (nominal)'!AB82*CPI!$I$46</f>
        <v>0</v>
      </c>
      <c r="AD81" s="17">
        <f>'FS (nominal)'!AC82*CPI!$I$46</f>
        <v>0</v>
      </c>
      <c r="AE81" s="17">
        <f>'FS (nominal)'!AD82*CPI!$I$46</f>
        <v>0</v>
      </c>
      <c r="AF81" s="17">
        <f>'FS (nominal)'!AE82*CPI!$I$46</f>
        <v>2805.2128539248952</v>
      </c>
      <c r="AG81" s="15">
        <f>'FS (nominal)'!AF82*CPI!$I$46</f>
        <v>2805.2128539248952</v>
      </c>
      <c r="AH81" s="18">
        <f>'FS (nominal)'!AG82*CPI!$I$46</f>
        <v>118.59085854409625</v>
      </c>
    </row>
    <row r="82" spans="1:34" s="7" customFormat="1" ht="15" customHeight="1">
      <c r="A82" s="246">
        <f>References!H266</f>
        <v>190</v>
      </c>
      <c r="B82" s="256" t="s">
        <v>37</v>
      </c>
      <c r="C82" s="121">
        <v>2009</v>
      </c>
      <c r="D82" s="17">
        <f>'FS (nominal)'!D83*CPI!$I$50</f>
        <v>15165.523783375656</v>
      </c>
      <c r="E82" s="15">
        <f>'FS (nominal)'!E83*CPI!$I$50</f>
        <v>15165.523783375656</v>
      </c>
      <c r="F82" s="15">
        <f>'FS (nominal)'!F83*CPI!$I$50</f>
        <v>117.3046880362413</v>
      </c>
      <c r="G82" s="15">
        <f>'FS (nominal)'!G83*CPI!$I$50</f>
        <v>0</v>
      </c>
      <c r="H82" s="17">
        <f>'FS (nominal)'!H83*CPI!$I$50</f>
        <v>87.199945088887333</v>
      </c>
      <c r="I82" s="15">
        <f>'FS (nominal)'!I83*CPI!$I$50</f>
        <v>15370.028416500785</v>
      </c>
      <c r="J82" s="15">
        <f>'FS (nominal)'!J83*CPI!$I$50</f>
        <v>4043.3784062049544</v>
      </c>
      <c r="K82" s="17">
        <f>'FS (nominal)'!K83*CPI!$I$50</f>
        <v>0</v>
      </c>
      <c r="L82" s="17">
        <f>'FS (nominal)'!L83*CPI!$I$50</f>
        <v>0</v>
      </c>
      <c r="M82" s="17">
        <f>'FS (nominal)'!M83*CPI!$I$50</f>
        <v>0</v>
      </c>
      <c r="N82" s="17">
        <f>'FS (nominal)'!N83*CPI!$I$50</f>
        <v>0</v>
      </c>
      <c r="O82" s="17">
        <f>'FS (nominal)'!O83*CPI!$I$50</f>
        <v>0</v>
      </c>
      <c r="P82" s="17">
        <f>'FS (nominal)'!P83*CPI!$I$50</f>
        <v>0</v>
      </c>
      <c r="Q82" s="17">
        <f>'FS (nominal)'!Q83*CPI!$I$50</f>
        <v>0</v>
      </c>
      <c r="R82" s="17">
        <f>'FS (nominal)'!R83*CPI!$I$50</f>
        <v>0</v>
      </c>
      <c r="S82" s="15">
        <f>'FS (nominal)'!S83*CPI!$I$50</f>
        <v>3917.7689614935812</v>
      </c>
      <c r="T82" s="15">
        <f>'FS (nominal)'!T83*CPI!$I$50</f>
        <v>7408.8810488022491</v>
      </c>
      <c r="U82" s="15">
        <f>'FS (nominal)'!U83*CPI!$I$50</f>
        <v>2320.1413961150379</v>
      </c>
      <c r="V82" s="15">
        <f>'FS (nominal)'!V83*CPI!$I$50</f>
        <v>5088.7396526872108</v>
      </c>
      <c r="W82" s="17"/>
      <c r="X82" s="17">
        <f>'FS (nominal)'!W83*CPI!$I$50</f>
        <v>1087.7417693184154</v>
      </c>
      <c r="Y82" s="17">
        <f>'FS (nominal)'!X83*CPI!$I$50</f>
        <v>1595.7365722836155</v>
      </c>
      <c r="Z82" s="17">
        <f>'FS (nominal)'!Y83*CPI!$I$50</f>
        <v>0</v>
      </c>
      <c r="AA82" s="15">
        <f>'FS (nominal)'!Z83*CPI!$I$50</f>
        <v>5596.7345594618691</v>
      </c>
      <c r="AB82" s="17">
        <f>'FS (nominal)'!AA83*CPI!$I$50</f>
        <v>0</v>
      </c>
      <c r="AC82" s="17">
        <f>'FS (nominal)'!AB83*CPI!$I$50</f>
        <v>0</v>
      </c>
      <c r="AD82" s="17">
        <f>'FS (nominal)'!AC83*CPI!$I$50</f>
        <v>0</v>
      </c>
      <c r="AE82" s="17">
        <f>'FS (nominal)'!AD83*CPI!$I$50</f>
        <v>0</v>
      </c>
      <c r="AF82" s="17">
        <f>'FS (nominal)'!AE83*CPI!$I$50</f>
        <v>0</v>
      </c>
      <c r="AG82" s="15">
        <f>'FS (nominal)'!AF83*CPI!$I$50</f>
        <v>2981.4076463724336</v>
      </c>
      <c r="AH82" s="18">
        <f>'FS (nominal)'!AG83*CPI!$I$50</f>
        <v>80.971377582538238</v>
      </c>
    </row>
    <row r="83" spans="1:34" s="7" customFormat="1" ht="15" customHeight="1">
      <c r="A83" s="246">
        <f>References!I266</f>
        <v>191</v>
      </c>
      <c r="B83" s="256" t="s">
        <v>37</v>
      </c>
      <c r="C83" s="121">
        <v>2010</v>
      </c>
      <c r="D83" s="17">
        <f>'FS (nominal)'!D84*CPI!$I$54</f>
        <v>15628.934817170109</v>
      </c>
      <c r="E83" s="15">
        <f>'FS (nominal)'!E84*CPI!$I$54</f>
        <v>15628.934817170109</v>
      </c>
      <c r="F83" s="15">
        <f>'FS (nominal)'!F84*CPI!$I$54</f>
        <v>136.52394168844816</v>
      </c>
      <c r="G83" s="15">
        <f>'FS (nominal)'!G84*CPI!$I$54</f>
        <v>0</v>
      </c>
      <c r="H83" s="17">
        <f>'FS (nominal)'!H84*CPI!$I$54</f>
        <v>87.619843173183142</v>
      </c>
      <c r="I83" s="15">
        <f>'FS (nominal)'!I84*CPI!$I$54</f>
        <v>15853.078602031741</v>
      </c>
      <c r="J83" s="15">
        <f>'FS (nominal)'!J84*CPI!$I$54</f>
        <v>4107.9442752822606</v>
      </c>
      <c r="K83" s="17">
        <f>'FS (nominal)'!K84*CPI!$I$54</f>
        <v>1908.27867748107</v>
      </c>
      <c r="L83" s="17">
        <f>'FS (nominal)'!L84*CPI!$I$54</f>
        <v>1011.7035380345449</v>
      </c>
      <c r="M83" s="17">
        <f>'FS (nominal)'!M84*CPI!$I$54</f>
        <v>447.26873433752792</v>
      </c>
      <c r="N83" s="17">
        <f>'FS (nominal)'!N84*CPI!$I$54</f>
        <v>285.27390800571254</v>
      </c>
      <c r="O83" s="17">
        <f>'FS (nominal)'!O84*CPI!$I$54</f>
        <v>421.79784969416067</v>
      </c>
      <c r="P83" s="17">
        <f>'FS (nominal)'!P84*CPI!$I$54</f>
        <v>129.39209398830533</v>
      </c>
      <c r="Q83" s="17">
        <f>'FS (nominal)'!Q84*CPI!$I$54</f>
        <v>0</v>
      </c>
      <c r="R83" s="17">
        <f>'FS (nominal)'!R84*CPI!$I$54</f>
        <v>297.49993263452882</v>
      </c>
      <c r="S83" s="15">
        <f>'FS (nominal)'!S84*CPI!$I$54</f>
        <v>4501.21473417585</v>
      </c>
      <c r="T83" s="15">
        <f>'FS (nominal)'!T84*CPI!$I$54</f>
        <v>7243.9195925736294</v>
      </c>
      <c r="U83" s="15">
        <f>'FS (nominal)'!U84*CPI!$I$54</f>
        <v>2288.3042763601084</v>
      </c>
      <c r="V83" s="15">
        <f>'FS (nominal)'!V84*CPI!$I$54</f>
        <v>4955.6153162135206</v>
      </c>
      <c r="W83" s="17"/>
      <c r="X83" s="17">
        <f>'FS (nominal)'!W84*CPI!$I$54</f>
        <v>1097.8224329174639</v>
      </c>
      <c r="Y83" s="17">
        <f>'FS (nominal)'!X84*CPI!$I$54</f>
        <v>1131.5899997574843</v>
      </c>
      <c r="Z83" s="17">
        <f>'FS (nominal)'!Y84*CPI!$I$54</f>
        <v>0</v>
      </c>
      <c r="AA83" s="15">
        <f>'FS (nominal)'!Z84*CPI!$I$54</f>
        <v>4989.3828830535413</v>
      </c>
      <c r="AB83" s="17">
        <f>'FS (nominal)'!AA84*CPI!$I$54</f>
        <v>243.50165719059035</v>
      </c>
      <c r="AC83" s="17">
        <f>'FS (nominal)'!AB84*CPI!$I$54</f>
        <v>41.772250815122192</v>
      </c>
      <c r="AD83" s="17">
        <f>'FS (nominal)'!AC84*CPI!$I$54</f>
        <v>1531.3095847592356</v>
      </c>
      <c r="AE83" s="17">
        <f>'FS (nominal)'!AD84*CPI!$I$54</f>
        <v>698.92107461399576</v>
      </c>
      <c r="AF83" s="17">
        <f>'FS (nominal)'!AE84*CPI!$I$54</f>
        <v>0</v>
      </c>
      <c r="AG83" s="15">
        <f>'FS (nominal)'!AF84*CPI!$I$54</f>
        <v>2515.5045673789441</v>
      </c>
      <c r="AH83" s="18">
        <f>'FS (nominal)'!AG84*CPI!$I$54</f>
        <v>314.82013419201849</v>
      </c>
    </row>
    <row r="84" spans="1:34" s="7" customFormat="1" ht="15" customHeight="1">
      <c r="A84" s="246">
        <f>References!J266</f>
        <v>192</v>
      </c>
      <c r="B84" s="256" t="s">
        <v>37</v>
      </c>
      <c r="C84" s="121">
        <v>2011</v>
      </c>
      <c r="D84" s="17">
        <f>'FS (nominal)'!D85*CPI!$I$58</f>
        <v>16254</v>
      </c>
      <c r="E84" s="15">
        <f>'FS (nominal)'!E85*CPI!$I$58</f>
        <v>16254</v>
      </c>
      <c r="F84" s="15">
        <f>'FS (nominal)'!F85*CPI!$I$58</f>
        <v>41</v>
      </c>
      <c r="G84" s="15">
        <f>'FS (nominal)'!G85*CPI!$I$58</f>
        <v>0</v>
      </c>
      <c r="H84" s="17">
        <f>'FS (nominal)'!H85*CPI!$I$58</f>
        <v>86</v>
      </c>
      <c r="I84" s="15">
        <f>'FS (nominal)'!I85*CPI!$I$58</f>
        <v>16381</v>
      </c>
      <c r="J84" s="15">
        <f>'FS (nominal)'!J85*CPI!$I$58</f>
        <v>4338</v>
      </c>
      <c r="K84" s="17">
        <f>'FS (nominal)'!K85*CPI!$I$58</f>
        <v>2002</v>
      </c>
      <c r="L84" s="17">
        <f>'FS (nominal)'!L85*CPI!$I$58</f>
        <v>1081</v>
      </c>
      <c r="M84" s="17">
        <f>'FS (nominal)'!M85*CPI!$I$58</f>
        <v>565</v>
      </c>
      <c r="N84" s="17">
        <f>'FS (nominal)'!N85*CPI!$I$58</f>
        <v>253</v>
      </c>
      <c r="O84" s="17">
        <f>'FS (nominal)'!O85*CPI!$I$58</f>
        <v>464</v>
      </c>
      <c r="P84" s="17">
        <f>'FS (nominal)'!P85*CPI!$I$58</f>
        <v>145</v>
      </c>
      <c r="Q84" s="17">
        <f>'FS (nominal)'!Q85*CPI!$I$58</f>
        <v>0</v>
      </c>
      <c r="R84" s="17">
        <f>'FS (nominal)'!R85*CPI!$I$58</f>
        <v>222</v>
      </c>
      <c r="S84" s="15">
        <f>'FS (nominal)'!S85*CPI!$I$58</f>
        <v>4732</v>
      </c>
      <c r="T84" s="15">
        <f>'FS (nominal)'!T85*CPI!$I$58</f>
        <v>7311</v>
      </c>
      <c r="U84" s="15">
        <f>'FS (nominal)'!U85*CPI!$I$58</f>
        <v>2439</v>
      </c>
      <c r="V84" s="15">
        <f>'FS (nominal)'!V85*CPI!$I$58</f>
        <v>4872</v>
      </c>
      <c r="W84" s="17"/>
      <c r="X84" s="17">
        <f>'FS (nominal)'!W85*CPI!$I$58</f>
        <v>1000.9333</v>
      </c>
      <c r="Y84" s="17">
        <f>'FS (nominal)'!X85*CPI!$I$58</f>
        <v>2515.4398999999999</v>
      </c>
      <c r="Z84" s="17">
        <f>'FS (nominal)'!Y85*CPI!$I$58</f>
        <v>0</v>
      </c>
      <c r="AA84" s="15">
        <f>'FS (nominal)'!Z85*CPI!$I$58</f>
        <v>6386.5065999999997</v>
      </c>
      <c r="AB84" s="17">
        <f>'FS (nominal)'!AA85*CPI!$I$58</f>
        <v>378</v>
      </c>
      <c r="AC84" s="17">
        <f>'FS (nominal)'!AB85*CPI!$I$58</f>
        <v>78</v>
      </c>
      <c r="AD84" s="17">
        <f>'FS (nominal)'!AC85*CPI!$I$58</f>
        <v>1523</v>
      </c>
      <c r="AE84" s="17">
        <f>'FS (nominal)'!AD85*CPI!$I$58</f>
        <v>1393</v>
      </c>
      <c r="AF84" s="17">
        <f>'FS (nominal)'!AE85*CPI!$I$58</f>
        <v>4</v>
      </c>
      <c r="AG84" s="15">
        <f>'FS (nominal)'!AF85*CPI!$I$58</f>
        <v>3376</v>
      </c>
      <c r="AH84" s="18">
        <f>'FS (nominal)'!AG85*CPI!$I$58</f>
        <v>496</v>
      </c>
    </row>
    <row r="85" spans="1:34" s="7" customFormat="1" ht="15" hidden="1" customHeight="1">
      <c r="A85" s="246">
        <f>References!C267</f>
        <v>208</v>
      </c>
      <c r="B85" s="255" t="s">
        <v>38</v>
      </c>
      <c r="C85" s="121">
        <v>2004</v>
      </c>
      <c r="D85" s="17">
        <f>'FS (nominal)'!D86*CPI!$I$30</f>
        <v>26177.114095614477</v>
      </c>
      <c r="E85" s="15">
        <f>'FS (nominal)'!E86*CPI!$I$30</f>
        <v>26177.114095614477</v>
      </c>
      <c r="F85" s="15">
        <f>'FS (nominal)'!F86*CPI!$I$30</f>
        <v>0</v>
      </c>
      <c r="G85" s="15">
        <f>'FS (nominal)'!G86*CPI!$I$30</f>
        <v>607.50615438285877</v>
      </c>
      <c r="H85" s="17">
        <f>'FS (nominal)'!H86*CPI!$I$30</f>
        <v>2000.0600231769665</v>
      </c>
      <c r="I85" s="15">
        <f>'FS (nominal)'!I86*CPI!$I$30</f>
        <v>28784.680273174301</v>
      </c>
      <c r="J85" s="15">
        <f>'FS (nominal)'!J86*CPI!$I$30</f>
        <v>8838.4294985561846</v>
      </c>
      <c r="K85" s="17">
        <f>'FS (nominal)'!K86*CPI!$I$30</f>
        <v>0</v>
      </c>
      <c r="L85" s="17">
        <f>'FS (nominal)'!L86*CPI!$I$30</f>
        <v>0</v>
      </c>
      <c r="M85" s="17">
        <f>'FS (nominal)'!M86*CPI!$I$30</f>
        <v>0</v>
      </c>
      <c r="N85" s="17">
        <f>'FS (nominal)'!N86*CPI!$I$30</f>
        <v>0</v>
      </c>
      <c r="O85" s="17">
        <f>'FS (nominal)'!O86*CPI!$I$30</f>
        <v>0</v>
      </c>
      <c r="P85" s="17">
        <f>'FS (nominal)'!P86*CPI!$I$30</f>
        <v>0</v>
      </c>
      <c r="Q85" s="17">
        <f>'FS (nominal)'!Q86*CPI!$I$30</f>
        <v>297.11036576179578</v>
      </c>
      <c r="R85" s="17">
        <f>'FS (nominal)'!R86*CPI!$I$30</f>
        <v>0</v>
      </c>
      <c r="S85" s="15">
        <f>'FS (nominal)'!S86*CPI!$I$30</f>
        <v>13032.999824941211</v>
      </c>
      <c r="T85" s="15">
        <f>'FS (nominal)'!T86*CPI!$I$30</f>
        <v>15751.68044823309</v>
      </c>
      <c r="U85" s="15">
        <f>'FS (nominal)'!U86*CPI!$I$30</f>
        <v>2798.3931604474828</v>
      </c>
      <c r="V85" s="15">
        <f>'FS (nominal)'!V86*CPI!$I$30</f>
        <v>0</v>
      </c>
      <c r="W85" s="17"/>
      <c r="X85" s="17">
        <f>'FS (nominal)'!W86*CPI!$I$30</f>
        <v>3645.0369262971526</v>
      </c>
      <c r="Y85" s="17">
        <f>'FS (nominal)'!X86*CPI!$I$30</f>
        <v>0</v>
      </c>
      <c r="Z85" s="17">
        <f>'FS (nominal)'!Y86*CPI!$I$30</f>
        <v>0</v>
      </c>
      <c r="AA85" s="15">
        <f>'FS (nominal)'!Z86*CPI!$I$30</f>
        <v>6722.4239667892489</v>
      </c>
      <c r="AB85" s="17">
        <f>'FS (nominal)'!AA86*CPI!$I$30</f>
        <v>0</v>
      </c>
      <c r="AC85" s="17">
        <f>'FS (nominal)'!AB86*CPI!$I$30</f>
        <v>0</v>
      </c>
      <c r="AD85" s="17">
        <f>'FS (nominal)'!AC86*CPI!$I$30</f>
        <v>0</v>
      </c>
      <c r="AE85" s="17">
        <f>'FS (nominal)'!AD86*CPI!$I$30</f>
        <v>0</v>
      </c>
      <c r="AF85" s="17">
        <f>'FS (nominal)'!AE86*CPI!$I$30</f>
        <v>0</v>
      </c>
      <c r="AG85" s="15">
        <f>'FS (nominal)'!AF86*CPI!$I$30</f>
        <v>0</v>
      </c>
      <c r="AH85" s="18">
        <f>'FS (nominal)'!AG86*CPI!$I$30</f>
        <v>0</v>
      </c>
    </row>
    <row r="86" spans="1:34" s="7" customFormat="1" ht="15" hidden="1" customHeight="1">
      <c r="A86" s="246">
        <f>References!D267</f>
        <v>209</v>
      </c>
      <c r="B86" s="255" t="s">
        <v>38</v>
      </c>
      <c r="C86" s="121">
        <v>2005</v>
      </c>
      <c r="D86" s="17">
        <f>'FS (nominal)'!D87*CPI!$I$34</f>
        <v>27295.411862973047</v>
      </c>
      <c r="E86" s="15">
        <f>'FS (nominal)'!E87*CPI!$I$34</f>
        <v>27295.411862973047</v>
      </c>
      <c r="F86" s="15">
        <f>'FS (nominal)'!F87*CPI!$I$34</f>
        <v>0</v>
      </c>
      <c r="G86" s="15">
        <f>'FS (nominal)'!G87*CPI!$I$34</f>
        <v>238.96875870891139</v>
      </c>
      <c r="H86" s="17">
        <f>'FS (nominal)'!H87*CPI!$I$34</f>
        <v>342.56112701622277</v>
      </c>
      <c r="I86" s="15">
        <f>'FS (nominal)'!I87*CPI!$I$34</f>
        <v>27876.94174869818</v>
      </c>
      <c r="J86" s="15">
        <f>'FS (nominal)'!J87*CPI!$I$34</f>
        <v>9273.8713355113505</v>
      </c>
      <c r="K86" s="17">
        <f>'FS (nominal)'!K87*CPI!$I$34</f>
        <v>0</v>
      </c>
      <c r="L86" s="17">
        <f>'FS (nominal)'!L87*CPI!$I$34</f>
        <v>0</v>
      </c>
      <c r="M86" s="17">
        <f>'FS (nominal)'!M87*CPI!$I$34</f>
        <v>0</v>
      </c>
      <c r="N86" s="17">
        <f>'FS (nominal)'!N87*CPI!$I$34</f>
        <v>0</v>
      </c>
      <c r="O86" s="17">
        <f>'FS (nominal)'!O87*CPI!$I$34</f>
        <v>0</v>
      </c>
      <c r="P86" s="17">
        <f>'FS (nominal)'!P87*CPI!$I$34</f>
        <v>0</v>
      </c>
      <c r="Q86" s="17">
        <f>'FS (nominal)'!Q87*CPI!$I$34</f>
        <v>104.76955431080353</v>
      </c>
      <c r="R86" s="17">
        <f>'FS (nominal)'!R87*CPI!$I$34</f>
        <v>0</v>
      </c>
      <c r="S86" s="15">
        <f>'FS (nominal)'!S87*CPI!$I$34</f>
        <v>14234.533154227373</v>
      </c>
      <c r="T86" s="15">
        <f>'FS (nominal)'!T87*CPI!$I$34</f>
        <v>13642.408594470809</v>
      </c>
      <c r="U86" s="15">
        <f>'FS (nominal)'!U87*CPI!$I$34</f>
        <v>3407.9534801098448</v>
      </c>
      <c r="V86" s="15">
        <f>'FS (nominal)'!V87*CPI!$I$34</f>
        <v>0</v>
      </c>
      <c r="W86" s="17"/>
      <c r="X86" s="17">
        <f>'FS (nominal)'!W87*CPI!$I$34</f>
        <v>3310.2470418199946</v>
      </c>
      <c r="Y86" s="17">
        <f>'FS (nominal)'!X87*CPI!$I$34</f>
        <v>0</v>
      </c>
      <c r="Z86" s="17">
        <f>'FS (nominal)'!Y87*CPI!$I$34</f>
        <v>0</v>
      </c>
      <c r="AA86" s="15">
        <f>'FS (nominal)'!Z87*CPI!$I$34</f>
        <v>4514.5083233924888</v>
      </c>
      <c r="AB86" s="17">
        <f>'FS (nominal)'!AA87*CPI!$I$34</f>
        <v>0</v>
      </c>
      <c r="AC86" s="17">
        <f>'FS (nominal)'!AB87*CPI!$I$34</f>
        <v>0</v>
      </c>
      <c r="AD86" s="17">
        <f>'FS (nominal)'!AC87*CPI!$I$34</f>
        <v>0</v>
      </c>
      <c r="AE86" s="17">
        <f>'FS (nominal)'!AD87*CPI!$I$34</f>
        <v>0</v>
      </c>
      <c r="AF86" s="17">
        <f>'FS (nominal)'!AE87*CPI!$I$34</f>
        <v>0</v>
      </c>
      <c r="AG86" s="15">
        <f>'FS (nominal)'!AF87*CPI!$I$34</f>
        <v>0</v>
      </c>
      <c r="AH86" s="18">
        <f>'FS (nominal)'!AG87*CPI!$I$34</f>
        <v>0</v>
      </c>
    </row>
    <row r="87" spans="1:34" s="7" customFormat="1" ht="14.45" hidden="1" customHeight="1">
      <c r="A87" s="246">
        <f>References!E267</f>
        <v>210</v>
      </c>
      <c r="B87" s="255" t="s">
        <v>38</v>
      </c>
      <c r="C87" s="121">
        <v>2006</v>
      </c>
      <c r="D87" s="17">
        <f>'FS (nominal)'!D88*CPI!$I$38</f>
        <v>27021.42892951694</v>
      </c>
      <c r="E87" s="15">
        <f>'FS (nominal)'!E88*CPI!$I$38</f>
        <v>27021.42892951694</v>
      </c>
      <c r="F87" s="15">
        <f>'FS (nominal)'!F88*CPI!$I$38</f>
        <v>0</v>
      </c>
      <c r="G87" s="15">
        <f>'FS (nominal)'!G88*CPI!$I$38</f>
        <v>382.23877592214234</v>
      </c>
      <c r="H87" s="17">
        <f>'FS (nominal)'!H88*CPI!$I$38</f>
        <v>956.16744544106052</v>
      </c>
      <c r="I87" s="15">
        <f>'FS (nominal)'!I88*CPI!$I$38</f>
        <v>28359.835150880142</v>
      </c>
      <c r="J87" s="15">
        <f>'FS (nominal)'!J88*CPI!$I$38</f>
        <v>9012.8480328626938</v>
      </c>
      <c r="K87" s="17">
        <f>'FS (nominal)'!K88*CPI!$I$38</f>
        <v>0</v>
      </c>
      <c r="L87" s="17">
        <f>'FS (nominal)'!L88*CPI!$I$38</f>
        <v>0</v>
      </c>
      <c r="M87" s="17">
        <f>'FS (nominal)'!M88*CPI!$I$38</f>
        <v>0</v>
      </c>
      <c r="N87" s="17">
        <f>'FS (nominal)'!N88*CPI!$I$38</f>
        <v>0</v>
      </c>
      <c r="O87" s="17">
        <f>'FS (nominal)'!O88*CPI!$I$38</f>
        <v>0</v>
      </c>
      <c r="P87" s="17">
        <f>'FS (nominal)'!P88*CPI!$I$38</f>
        <v>0</v>
      </c>
      <c r="Q87" s="17">
        <f>'FS (nominal)'!Q88*CPI!$I$38</f>
        <v>244.17641208160734</v>
      </c>
      <c r="R87" s="17">
        <f>'FS (nominal)'!R88*CPI!$I$38</f>
        <v>0</v>
      </c>
      <c r="S87" s="15">
        <f>'FS (nominal)'!S88*CPI!$I$38</f>
        <v>12562.534098217275</v>
      </c>
      <c r="T87" s="15">
        <f>'FS (nominal)'!T88*CPI!$I$38</f>
        <v>15797.301052662868</v>
      </c>
      <c r="U87" s="15">
        <f>'FS (nominal)'!U88*CPI!$I$38</f>
        <v>3403.6366226141809</v>
      </c>
      <c r="V87" s="15">
        <f>'FS (nominal)'!V88*CPI!$I$38</f>
        <v>0</v>
      </c>
      <c r="W87" s="17"/>
      <c r="X87" s="17">
        <f>'FS (nominal)'!W88*CPI!$I$38</f>
        <v>3847.4900071924294</v>
      </c>
      <c r="Y87" s="17">
        <f>'FS (nominal)'!X88*CPI!$I$38</f>
        <v>0</v>
      </c>
      <c r="Z87" s="17">
        <f>'FS (nominal)'!Y88*CPI!$I$38</f>
        <v>0</v>
      </c>
      <c r="AA87" s="15">
        <f>'FS (nominal)'!Z88*CPI!$I$38</f>
        <v>6145.486707810921</v>
      </c>
      <c r="AB87" s="17">
        <f>'FS (nominal)'!AA88*CPI!$I$38</f>
        <v>0</v>
      </c>
      <c r="AC87" s="17">
        <f>'FS (nominal)'!AB88*CPI!$I$38</f>
        <v>0</v>
      </c>
      <c r="AD87" s="17">
        <f>'FS (nominal)'!AC88*CPI!$I$38</f>
        <v>0</v>
      </c>
      <c r="AE87" s="17">
        <f>'FS (nominal)'!AD88*CPI!$I$38</f>
        <v>0</v>
      </c>
      <c r="AF87" s="17">
        <f>'FS (nominal)'!AE88*CPI!$I$38</f>
        <v>0</v>
      </c>
      <c r="AG87" s="15">
        <f>'FS (nominal)'!AF88*CPI!$I$38</f>
        <v>0</v>
      </c>
      <c r="AH87" s="18">
        <f>'FS (nominal)'!AG88*CPI!$I$38</f>
        <v>0</v>
      </c>
    </row>
    <row r="88" spans="1:34" s="7" customFormat="1" ht="15" hidden="1" customHeight="1">
      <c r="A88" s="246">
        <f>References!F267</f>
        <v>211</v>
      </c>
      <c r="B88" s="255" t="s">
        <v>38</v>
      </c>
      <c r="C88" s="121">
        <v>2007</v>
      </c>
      <c r="D88" s="17">
        <f>'FS (nominal)'!D89*CPI!$I$42</f>
        <v>26471.534501418671</v>
      </c>
      <c r="E88" s="15">
        <f>'FS (nominal)'!E89*CPI!$I$42</f>
        <v>26471.534501418671</v>
      </c>
      <c r="F88" s="15">
        <f>'FS (nominal)'!F89*CPI!$I$42</f>
        <v>0</v>
      </c>
      <c r="G88" s="15">
        <f>'FS (nominal)'!G89*CPI!$I$42</f>
        <v>291.97765232398285</v>
      </c>
      <c r="H88" s="17">
        <f>'FS (nominal)'!H89*CPI!$I$42</f>
        <v>1446.6165501506423</v>
      </c>
      <c r="I88" s="15">
        <f>'FS (nominal)'!I89*CPI!$I$42</f>
        <v>28210.128703893297</v>
      </c>
      <c r="J88" s="15">
        <f>'FS (nominal)'!J89*CPI!$I$42</f>
        <v>10015.71825547723</v>
      </c>
      <c r="K88" s="17">
        <f>'FS (nominal)'!K89*CPI!$I$42</f>
        <v>0</v>
      </c>
      <c r="L88" s="17">
        <f>'FS (nominal)'!L89*CPI!$I$42</f>
        <v>0</v>
      </c>
      <c r="M88" s="17">
        <f>'FS (nominal)'!M89*CPI!$I$42</f>
        <v>0</v>
      </c>
      <c r="N88" s="17">
        <f>'FS (nominal)'!N89*CPI!$I$42</f>
        <v>0</v>
      </c>
      <c r="O88" s="17">
        <f>'FS (nominal)'!O89*CPI!$I$42</f>
        <v>0</v>
      </c>
      <c r="P88" s="17">
        <f>'FS (nominal)'!P89*CPI!$I$42</f>
        <v>0</v>
      </c>
      <c r="Q88" s="17">
        <f>'FS (nominal)'!Q89*CPI!$I$42</f>
        <v>186.90993652557992</v>
      </c>
      <c r="R88" s="17">
        <f>'FS (nominal)'!R89*CPI!$I$42</f>
        <v>0</v>
      </c>
      <c r="S88" s="15">
        <f>'FS (nominal)'!S89*CPI!$I$42</f>
        <v>16727.886331061516</v>
      </c>
      <c r="T88" s="15">
        <f>'FS (nominal)'!T89*CPI!$I$42</f>
        <v>11482.242372831779</v>
      </c>
      <c r="U88" s="15">
        <f>'FS (nominal)'!U89*CPI!$I$42</f>
        <v>3347.7892181238485</v>
      </c>
      <c r="V88" s="15">
        <f>'FS (nominal)'!V89*CPI!$I$42</f>
        <v>0</v>
      </c>
      <c r="W88" s="17"/>
      <c r="X88" s="17">
        <f>'FS (nominal)'!W89*CPI!$I$42</f>
        <v>2425.4052710094484</v>
      </c>
      <c r="Y88" s="17">
        <f>'FS (nominal)'!X89*CPI!$I$42</f>
        <v>0</v>
      </c>
      <c r="Z88" s="17">
        <f>'FS (nominal)'!Y89*CPI!$I$42</f>
        <v>0</v>
      </c>
      <c r="AA88" s="15">
        <f>'FS (nominal)'!Z89*CPI!$I$42</f>
        <v>3354.4250738584847</v>
      </c>
      <c r="AB88" s="17">
        <f>'FS (nominal)'!AA89*CPI!$I$42</f>
        <v>0</v>
      </c>
      <c r="AC88" s="17">
        <f>'FS (nominal)'!AB89*CPI!$I$42</f>
        <v>0</v>
      </c>
      <c r="AD88" s="17">
        <f>'FS (nominal)'!AC89*CPI!$I$42</f>
        <v>0</v>
      </c>
      <c r="AE88" s="17">
        <f>'FS (nominal)'!AD89*CPI!$I$42</f>
        <v>0</v>
      </c>
      <c r="AF88" s="17">
        <f>'FS (nominal)'!AE89*CPI!$I$42</f>
        <v>0</v>
      </c>
      <c r="AG88" s="15">
        <f>'FS (nominal)'!AF89*CPI!$I$42</f>
        <v>0</v>
      </c>
      <c r="AH88" s="18">
        <f>'FS (nominal)'!AG89*CPI!$I$42</f>
        <v>0</v>
      </c>
    </row>
    <row r="89" spans="1:34" s="7" customFormat="1" ht="15" customHeight="1">
      <c r="A89" s="246">
        <f>References!G267</f>
        <v>212</v>
      </c>
      <c r="B89" s="256" t="s">
        <v>38</v>
      </c>
      <c r="C89" s="121">
        <v>2008</v>
      </c>
      <c r="D89" s="17">
        <f>'FS (nominal)'!D90*CPI!$I$46</f>
        <v>27170.735404180086</v>
      </c>
      <c r="E89" s="15">
        <f>'FS (nominal)'!E90*CPI!$I$46</f>
        <v>27170.735404180086</v>
      </c>
      <c r="F89" s="15">
        <f>'FS (nominal)'!F90*CPI!$I$46</f>
        <v>1146.9911624419035</v>
      </c>
      <c r="G89" s="15">
        <f>'FS (nominal)'!G90*CPI!$I$46</f>
        <v>25.678101266003249</v>
      </c>
      <c r="H89" s="17">
        <f>'FS (nominal)'!H90*CPI!$I$46</f>
        <v>181.69329155712694</v>
      </c>
      <c r="I89" s="15">
        <f>'FS (nominal)'!I90*CPI!$I$46</f>
        <v>28525.097991788083</v>
      </c>
      <c r="J89" s="15">
        <f>'FS (nominal)'!J90*CPI!$I$46</f>
        <v>8255.0202888711465</v>
      </c>
      <c r="K89" s="17">
        <f>'FS (nominal)'!K90*CPI!$I$46</f>
        <v>0</v>
      </c>
      <c r="L89" s="17">
        <f>'FS (nominal)'!L90*CPI!$I$46</f>
        <v>0</v>
      </c>
      <c r="M89" s="17">
        <f>'FS (nominal)'!M90*CPI!$I$46</f>
        <v>0</v>
      </c>
      <c r="N89" s="17">
        <f>'FS (nominal)'!N90*CPI!$I$46</f>
        <v>0</v>
      </c>
      <c r="O89" s="17">
        <f>'FS (nominal)'!O90*CPI!$I$46</f>
        <v>0</v>
      </c>
      <c r="P89" s="17">
        <f>'FS (nominal)'!P90*CPI!$I$46</f>
        <v>182.76925563571038</v>
      </c>
      <c r="Q89" s="17">
        <f>'FS (nominal)'!Q90*CPI!$I$46</f>
        <v>0</v>
      </c>
      <c r="R89" s="17">
        <f>'FS (nominal)'!R90*CPI!$I$46</f>
        <v>0</v>
      </c>
      <c r="S89" s="15">
        <f>'FS (nominal)'!S90*CPI!$I$46</f>
        <v>6962.9668476804191</v>
      </c>
      <c r="T89" s="15">
        <f>'FS (nominal)'!T90*CPI!$I$46</f>
        <v>13307.111502095748</v>
      </c>
      <c r="U89" s="15">
        <f>'FS (nominal)'!U90*CPI!$I$46</f>
        <v>4429.8265429557177</v>
      </c>
      <c r="V89" s="15">
        <f>'FS (nominal)'!V90*CPI!$I$46</f>
        <v>8877.2845279005433</v>
      </c>
      <c r="W89" s="17"/>
      <c r="X89" s="17">
        <f>'FS (nominal)'!W90*CPI!$I$46</f>
        <v>2360.6711395169796</v>
      </c>
      <c r="Y89" s="17">
        <f>'FS (nominal)'!X90*CPI!$I$46</f>
        <v>2946.8223059222714</v>
      </c>
      <c r="Z89" s="17">
        <f>'FS (nominal)'!Y90*CPI!$I$46</f>
        <v>0</v>
      </c>
      <c r="AA89" s="15">
        <f>'FS (nominal)'!Z90*CPI!$I$46</f>
        <v>9463.4355864959653</v>
      </c>
      <c r="AB89" s="17">
        <f>'FS (nominal)'!AA90*CPI!$I$46</f>
        <v>0</v>
      </c>
      <c r="AC89" s="17">
        <f>'FS (nominal)'!AB90*CPI!$I$46</f>
        <v>0</v>
      </c>
      <c r="AD89" s="17">
        <f>'FS (nominal)'!AC90*CPI!$I$46</f>
        <v>0</v>
      </c>
      <c r="AE89" s="17">
        <f>'FS (nominal)'!AD90*CPI!$I$46</f>
        <v>0</v>
      </c>
      <c r="AF89" s="17">
        <f>'FS (nominal)'!AE90*CPI!$I$46</f>
        <v>3017.5983005902312</v>
      </c>
      <c r="AG89" s="15">
        <f>'FS (nominal)'!AF90*CPI!$I$46</f>
        <v>3017.5983005902312</v>
      </c>
      <c r="AH89" s="18">
        <f>'FS (nominal)'!AG90*CPI!$I$46</f>
        <v>202.68255823900088</v>
      </c>
    </row>
    <row r="90" spans="1:34" s="7" customFormat="1" ht="15" customHeight="1">
      <c r="A90" s="246">
        <f>References!H267</f>
        <v>213</v>
      </c>
      <c r="B90" s="256" t="s">
        <v>38</v>
      </c>
      <c r="C90" s="121">
        <v>2009</v>
      </c>
      <c r="D90" s="17">
        <f>'FS (nominal)'!D91*CPI!$I$50</f>
        <v>27299.356694900125</v>
      </c>
      <c r="E90" s="15">
        <f>'FS (nominal)'!E91*CPI!$I$50</f>
        <v>27299.356694900125</v>
      </c>
      <c r="F90" s="15">
        <f>'FS (nominal)'!F91*CPI!$I$50</f>
        <v>746.55898721394715</v>
      </c>
      <c r="G90" s="15">
        <f>'FS (nominal)'!G91*CPI!$I$50</f>
        <v>125.62996784130684</v>
      </c>
      <c r="H90" s="17">
        <f>'FS (nominal)'!H91*CPI!$I$50</f>
        <v>1662.9596328093894</v>
      </c>
      <c r="I90" s="15">
        <f>'FS (nominal)'!I91*CPI!$I$50</f>
        <v>29834.505127050579</v>
      </c>
      <c r="J90" s="15">
        <f>'FS (nominal)'!J91*CPI!$I$50</f>
        <v>7780.9695468734963</v>
      </c>
      <c r="K90" s="17">
        <f>'FS (nominal)'!K91*CPI!$I$50</f>
        <v>0</v>
      </c>
      <c r="L90" s="17">
        <f>'FS (nominal)'!L91*CPI!$I$50</f>
        <v>0</v>
      </c>
      <c r="M90" s="17">
        <f>'FS (nominal)'!M91*CPI!$I$50</f>
        <v>0</v>
      </c>
      <c r="N90" s="17">
        <f>'FS (nominal)'!N91*CPI!$I$50</f>
        <v>0</v>
      </c>
      <c r="O90" s="17">
        <f>'FS (nominal)'!O91*CPI!$I$50</f>
        <v>0</v>
      </c>
      <c r="P90" s="17">
        <f>'FS (nominal)'!P91*CPI!$I$50</f>
        <v>171.26600719884681</v>
      </c>
      <c r="Q90" s="17">
        <f>'FS (nominal)'!Q91*CPI!$I$50</f>
        <v>0</v>
      </c>
      <c r="R90" s="17">
        <f>'FS (nominal)'!R91*CPI!$I$50</f>
        <v>0</v>
      </c>
      <c r="S90" s="15">
        <f>'FS (nominal)'!S91*CPI!$I$50</f>
        <v>7269.7235354794402</v>
      </c>
      <c r="T90" s="15">
        <f>'FS (nominal)'!T91*CPI!$I$50</f>
        <v>14783.812252316558</v>
      </c>
      <c r="U90" s="15">
        <f>'FS (nominal)'!U91*CPI!$I$50</f>
        <v>4130.5794931978844</v>
      </c>
      <c r="V90" s="15">
        <f>'FS (nominal)'!V91*CPI!$I$50</f>
        <v>10653.232862928133</v>
      </c>
      <c r="W90" s="17"/>
      <c r="X90" s="17">
        <f>'FS (nominal)'!W91*CPI!$I$50</f>
        <v>2000.0267643626871</v>
      </c>
      <c r="Y90" s="17">
        <f>'FS (nominal)'!X91*CPI!$I$50</f>
        <v>2640.3853744526041</v>
      </c>
      <c r="Z90" s="17">
        <f>'FS (nominal)'!Y91*CPI!$I$50</f>
        <v>0</v>
      </c>
      <c r="AA90" s="15">
        <f>'FS (nominal)'!Z91*CPI!$I$50</f>
        <v>11293.590850161298</v>
      </c>
      <c r="AB90" s="17">
        <f>'FS (nominal)'!AA91*CPI!$I$50</f>
        <v>0</v>
      </c>
      <c r="AC90" s="17">
        <f>'FS (nominal)'!AB91*CPI!$I$50</f>
        <v>0</v>
      </c>
      <c r="AD90" s="17">
        <f>'FS (nominal)'!AC91*CPI!$I$50</f>
        <v>0</v>
      </c>
      <c r="AE90" s="17">
        <f>'FS (nominal)'!AD91*CPI!$I$50</f>
        <v>0</v>
      </c>
      <c r="AF90" s="17">
        <f>'FS (nominal)'!AE91*CPI!$I$50</f>
        <v>3091.4456723179346</v>
      </c>
      <c r="AG90" s="15">
        <f>'FS (nominal)'!AF91*CPI!$I$50</f>
        <v>3091.4456723179346</v>
      </c>
      <c r="AH90" s="18">
        <f>'FS (nominal)'!AG91*CPI!$I$50</f>
        <v>231.49509231930804</v>
      </c>
    </row>
    <row r="91" spans="1:34" s="7" customFormat="1" ht="15" customHeight="1">
      <c r="A91" s="246">
        <f>References!I267</f>
        <v>214</v>
      </c>
      <c r="B91" s="256" t="s">
        <v>38</v>
      </c>
      <c r="C91" s="121">
        <v>2010</v>
      </c>
      <c r="D91" s="17">
        <f>'FS (nominal)'!D92*CPI!$I$54</f>
        <v>27499.13628169545</v>
      </c>
      <c r="E91" s="15">
        <f>'FS (nominal)'!E92*CPI!$I$54</f>
        <v>27499.13628169545</v>
      </c>
      <c r="F91" s="15">
        <f>'FS (nominal)'!F92*CPI!$I$54</f>
        <v>602.81154106868576</v>
      </c>
      <c r="G91" s="15">
        <f>'FS (nominal)'!G92*CPI!$I$54</f>
        <v>0</v>
      </c>
      <c r="H91" s="17">
        <f>'FS (nominal)'!H92*CPI!$I$54</f>
        <v>182.92440506857804</v>
      </c>
      <c r="I91" s="15">
        <f>'FS (nominal)'!I92*CPI!$I$54</f>
        <v>28284.872319527898</v>
      </c>
      <c r="J91" s="15">
        <f>'FS (nominal)'!J92*CPI!$I$54</f>
        <v>7462.2631475842727</v>
      </c>
      <c r="K91" s="17">
        <f>'FS (nominal)'!K92*CPI!$I$54</f>
        <v>3047.2878365174743</v>
      </c>
      <c r="L91" s="17">
        <f>'FS (nominal)'!L92*CPI!$I$54</f>
        <v>1687.7663275848129</v>
      </c>
      <c r="M91" s="17">
        <f>'FS (nominal)'!M92*CPI!$I$54</f>
        <v>1230.7936956158551</v>
      </c>
      <c r="N91" s="17">
        <f>'FS (nominal)'!N92*CPI!$I$54</f>
        <v>232.05291226590495</v>
      </c>
      <c r="O91" s="17">
        <f>'FS (nominal)'!O92*CPI!$I$54</f>
        <v>634.08076052922297</v>
      </c>
      <c r="P91" s="17">
        <f>'FS (nominal)'!P92*CPI!$I$54</f>
        <v>162.94792645846243</v>
      </c>
      <c r="Q91" s="17">
        <f>'FS (nominal)'!Q92*CPI!$I$54</f>
        <v>0</v>
      </c>
      <c r="R91" s="17">
        <f>'FS (nominal)'!R92*CPI!$I$54</f>
        <v>0</v>
      </c>
      <c r="S91" s="15">
        <f>'FS (nominal)'!S92*CPI!$I$54</f>
        <v>6994.9294691600862</v>
      </c>
      <c r="T91" s="15">
        <f>'FS (nominal)'!T92*CPI!$I$54</f>
        <v>13827.67970278354</v>
      </c>
      <c r="U91" s="15">
        <f>'FS (nominal)'!U92*CPI!$I$54</f>
        <v>3725.1946162323834</v>
      </c>
      <c r="V91" s="15">
        <f>'FS (nominal)'!V92*CPI!$I$54</f>
        <v>10102.484577133462</v>
      </c>
      <c r="W91" s="17"/>
      <c r="X91" s="17">
        <f>'FS (nominal)'!W92*CPI!$I$54</f>
        <v>2491.8189879819997</v>
      </c>
      <c r="Y91" s="17">
        <f>'FS (nominal)'!X92*CPI!$I$54</f>
        <v>1817.8295284417015</v>
      </c>
      <c r="Z91" s="17">
        <f>'FS (nominal)'!Y92*CPI!$I$54</f>
        <v>0</v>
      </c>
      <c r="AA91" s="15">
        <f>'FS (nominal)'!Z92*CPI!$I$54</f>
        <v>9428.4952194767047</v>
      </c>
      <c r="AB91" s="17">
        <f>'FS (nominal)'!AA92*CPI!$I$54</f>
        <v>274.63184637439031</v>
      </c>
      <c r="AC91" s="17">
        <f>'FS (nominal)'!AB92*CPI!$I$54</f>
        <v>24.756681037967176</v>
      </c>
      <c r="AD91" s="17">
        <f>'FS (nominal)'!AC92*CPI!$I$54</f>
        <v>1192.384620409043</v>
      </c>
      <c r="AE91" s="17">
        <f>'FS (nominal)'!AD92*CPI!$I$54</f>
        <v>2011.8784442618089</v>
      </c>
      <c r="AF91" s="17">
        <f>'FS (nominal)'!AE92*CPI!$I$54</f>
        <v>0</v>
      </c>
      <c r="AG91" s="15">
        <f>'FS (nominal)'!AF92*CPI!$I$54</f>
        <v>3503.651612459917</v>
      </c>
      <c r="AH91" s="18">
        <f>'FS (nominal)'!AG92*CPI!$I$54</f>
        <v>110.36687141278864</v>
      </c>
    </row>
    <row r="92" spans="1:34" s="7" customFormat="1" ht="15" customHeight="1">
      <c r="A92" s="246">
        <f>References!J267</f>
        <v>215</v>
      </c>
      <c r="B92" s="256" t="s">
        <v>38</v>
      </c>
      <c r="C92" s="121">
        <v>2011</v>
      </c>
      <c r="D92" s="17">
        <f>'FS (nominal)'!D93*CPI!$I$58</f>
        <v>27462.531999999999</v>
      </c>
      <c r="E92" s="15">
        <f>'FS (nominal)'!E93*CPI!$I$58</f>
        <v>27462.531999999999</v>
      </c>
      <c r="F92" s="15">
        <f>'FS (nominal)'!F93*CPI!$I$58</f>
        <v>1139.837</v>
      </c>
      <c r="G92" s="15">
        <f>'FS (nominal)'!G93*CPI!$I$58</f>
        <v>0</v>
      </c>
      <c r="H92" s="17">
        <f>'FS (nominal)'!H93*CPI!$I$58</f>
        <v>13.23921</v>
      </c>
      <c r="I92" s="15">
        <f>'FS (nominal)'!I93*CPI!$I$58</f>
        <v>28615.608</v>
      </c>
      <c r="J92" s="15">
        <f>'FS (nominal)'!J93*CPI!$I$58</f>
        <v>7884.2341999999999</v>
      </c>
      <c r="K92" s="17">
        <f>'FS (nominal)'!K93*CPI!$I$58</f>
        <v>2863.7143999999998</v>
      </c>
      <c r="L92" s="17">
        <f>'FS (nominal)'!L93*CPI!$I$58</f>
        <v>1728.7253000000001</v>
      </c>
      <c r="M92" s="17">
        <f>'FS (nominal)'!M93*CPI!$I$58</f>
        <v>1146.8359</v>
      </c>
      <c r="N92" s="17">
        <f>'FS (nominal)'!N93*CPI!$I$58</f>
        <v>188.9897</v>
      </c>
      <c r="O92" s="17">
        <f>'FS (nominal)'!O93*CPI!$I$58</f>
        <v>698.87699999999995</v>
      </c>
      <c r="P92" s="17">
        <f>'FS (nominal)'!P93*CPI!$I$58</f>
        <v>204.94739000000001</v>
      </c>
      <c r="Q92" s="17">
        <f>'FS (nominal)'!Q93*CPI!$I$58</f>
        <v>0</v>
      </c>
      <c r="R92" s="17">
        <f>'FS (nominal)'!R93*CPI!$I$58</f>
        <v>0</v>
      </c>
      <c r="S92" s="15">
        <f>'FS (nominal)'!S93*CPI!$I$58</f>
        <v>6832.0897000000004</v>
      </c>
      <c r="T92" s="15">
        <f>'FS (nominal)'!T93*CPI!$I$58</f>
        <v>13899.284</v>
      </c>
      <c r="U92" s="15">
        <f>'FS (nominal)'!U93*CPI!$I$58</f>
        <v>4096.5924999999997</v>
      </c>
      <c r="V92" s="15">
        <f>'FS (nominal)'!V93*CPI!$I$58</f>
        <v>9802.6915000000008</v>
      </c>
      <c r="W92" s="17"/>
      <c r="X92" s="17">
        <f>'FS (nominal)'!W93*CPI!$I$58</f>
        <v>2370.2152000000001</v>
      </c>
      <c r="Y92" s="17">
        <f>'FS (nominal)'!X93*CPI!$I$58</f>
        <v>3950.9270999999999</v>
      </c>
      <c r="Z92" s="17">
        <f>'FS (nominal)'!Y93*CPI!$I$58</f>
        <v>160.59215</v>
      </c>
      <c r="AA92" s="15">
        <f>'FS (nominal)'!Z93*CPI!$I$58</f>
        <v>11543.995999999999</v>
      </c>
      <c r="AB92" s="17">
        <f>'FS (nominal)'!AA93*CPI!$I$58</f>
        <v>460.64332000000002</v>
      </c>
      <c r="AC92" s="17">
        <f>'FS (nominal)'!AB93*CPI!$I$58</f>
        <v>351.08485999999999</v>
      </c>
      <c r="AD92" s="17">
        <f>'FS (nominal)'!AC93*CPI!$I$58</f>
        <v>3487.6961000000001</v>
      </c>
      <c r="AE92" s="17">
        <f>'FS (nominal)'!AD93*CPI!$I$58</f>
        <v>1487.5572</v>
      </c>
      <c r="AF92" s="17">
        <f>'FS (nominal)'!AE93*CPI!$I$58</f>
        <v>135.25012000000001</v>
      </c>
      <c r="AG92" s="15">
        <f>'FS (nominal)'!AF93*CPI!$I$58</f>
        <v>5922.2316000000001</v>
      </c>
      <c r="AH92" s="18">
        <f>'FS (nominal)'!AG93*CPI!$I$58</f>
        <v>86.039720000000003</v>
      </c>
    </row>
    <row r="93" spans="1:34" s="7" customFormat="1" ht="15" hidden="1" customHeight="1">
      <c r="A93" s="246">
        <f>References!C268</f>
        <v>231</v>
      </c>
      <c r="B93" s="255" t="s">
        <v>39</v>
      </c>
      <c r="C93" s="121">
        <v>2004</v>
      </c>
      <c r="D93" s="17">
        <f>'FS (nominal)'!D94*CPI!$I$30</f>
        <v>29531.079484722228</v>
      </c>
      <c r="E93" s="15">
        <f>'FS (nominal)'!E94*CPI!$I$30</f>
        <v>29531.079484722228</v>
      </c>
      <c r="F93" s="15">
        <f>'FS (nominal)'!F94*CPI!$I$30</f>
        <v>0</v>
      </c>
      <c r="G93" s="15">
        <f>'FS (nominal)'!G94*CPI!$I$30</f>
        <v>734.3215544031375</v>
      </c>
      <c r="H93" s="17">
        <f>'FS (nominal)'!H94*CPI!$I$30</f>
        <v>4699.416395037184</v>
      </c>
      <c r="I93" s="15">
        <f>'FS (nominal)'!I94*CPI!$I$30</f>
        <v>34964.817434162549</v>
      </c>
      <c r="J93" s="15">
        <f>'FS (nominal)'!J94*CPI!$I$30</f>
        <v>7596.8463440719315</v>
      </c>
      <c r="K93" s="17">
        <f>'FS (nominal)'!K94*CPI!$I$30</f>
        <v>0</v>
      </c>
      <c r="L93" s="17">
        <f>'FS (nominal)'!L94*CPI!$I$30</f>
        <v>0</v>
      </c>
      <c r="M93" s="17">
        <f>'FS (nominal)'!M94*CPI!$I$30</f>
        <v>0</v>
      </c>
      <c r="N93" s="17">
        <f>'FS (nominal)'!N94*CPI!$I$30</f>
        <v>0</v>
      </c>
      <c r="O93" s="17">
        <f>'FS (nominal)'!O94*CPI!$I$30</f>
        <v>0</v>
      </c>
      <c r="P93" s="17">
        <f>'FS (nominal)'!P94*CPI!$I$30</f>
        <v>0</v>
      </c>
      <c r="Q93" s="17">
        <f>'FS (nominal)'!Q94*CPI!$I$30</f>
        <v>0</v>
      </c>
      <c r="R93" s="17">
        <f>'FS (nominal)'!R94*CPI!$I$30</f>
        <v>0</v>
      </c>
      <c r="S93" s="15">
        <f>'FS (nominal)'!S94*CPI!$I$30</f>
        <v>22405.261769297045</v>
      </c>
      <c r="T93" s="15">
        <f>'FS (nominal)'!T94*CPI!$I$30</f>
        <v>12559.555664865504</v>
      </c>
      <c r="U93" s="15">
        <f>'FS (nominal)'!U94*CPI!$I$30</f>
        <v>5346.7788179978443</v>
      </c>
      <c r="V93" s="15">
        <f>'FS (nominal)'!V94*CPI!$I$30</f>
        <v>0</v>
      </c>
      <c r="W93" s="17"/>
      <c r="X93" s="17">
        <f>'FS (nominal)'!W94*CPI!$I$30</f>
        <v>1426.3713087995154</v>
      </c>
      <c r="Y93" s="17">
        <f>'FS (nominal)'!X94*CPI!$I$30</f>
        <v>0</v>
      </c>
      <c r="Z93" s="17">
        <f>'FS (nominal)'!Y94*CPI!$I$30</f>
        <v>0</v>
      </c>
      <c r="AA93" s="15">
        <f>'FS (nominal)'!Z94*CPI!$I$30</f>
        <v>5786.4055380681439</v>
      </c>
      <c r="AB93" s="17">
        <f>'FS (nominal)'!AA94*CPI!$I$30</f>
        <v>0</v>
      </c>
      <c r="AC93" s="17">
        <f>'FS (nominal)'!AB94*CPI!$I$30</f>
        <v>0</v>
      </c>
      <c r="AD93" s="17">
        <f>'FS (nominal)'!AC94*CPI!$I$30</f>
        <v>0</v>
      </c>
      <c r="AE93" s="17">
        <f>'FS (nominal)'!AD94*CPI!$I$30</f>
        <v>0</v>
      </c>
      <c r="AF93" s="17">
        <f>'FS (nominal)'!AE94*CPI!$I$30</f>
        <v>0</v>
      </c>
      <c r="AG93" s="15">
        <f>'FS (nominal)'!AF94*CPI!$I$30</f>
        <v>0</v>
      </c>
      <c r="AH93" s="18">
        <f>'FS (nominal)'!AG94*CPI!$I$30</f>
        <v>0</v>
      </c>
    </row>
    <row r="94" spans="1:34" s="7" customFormat="1" ht="15" hidden="1" customHeight="1">
      <c r="A94" s="246">
        <f>References!D268</f>
        <v>232</v>
      </c>
      <c r="B94" s="255" t="s">
        <v>39</v>
      </c>
      <c r="C94" s="121">
        <v>2005</v>
      </c>
      <c r="D94" s="17">
        <f>'FS (nominal)'!D95*CPI!$I$34</f>
        <v>31149.518838406428</v>
      </c>
      <c r="E94" s="15">
        <f>'FS (nominal)'!E95*CPI!$I$34</f>
        <v>31149.518838406428</v>
      </c>
      <c r="F94" s="15">
        <f>'FS (nominal)'!F95*CPI!$I$34</f>
        <v>0</v>
      </c>
      <c r="G94" s="15">
        <f>'FS (nominal)'!G95*CPI!$I$34</f>
        <v>449.6850533340106</v>
      </c>
      <c r="H94" s="17">
        <f>'FS (nominal)'!H95*CPI!$I$34</f>
        <v>4890.0306585064927</v>
      </c>
      <c r="I94" s="15">
        <f>'FS (nominal)'!I95*CPI!$I$34</f>
        <v>36489.234550246932</v>
      </c>
      <c r="J94" s="15">
        <f>'FS (nominal)'!J95*CPI!$I$34</f>
        <v>8106.1028200471128</v>
      </c>
      <c r="K94" s="17">
        <f>'FS (nominal)'!K95*CPI!$I$34</f>
        <v>0</v>
      </c>
      <c r="L94" s="17">
        <f>'FS (nominal)'!L95*CPI!$I$34</f>
        <v>0</v>
      </c>
      <c r="M94" s="17">
        <f>'FS (nominal)'!M95*CPI!$I$34</f>
        <v>0</v>
      </c>
      <c r="N94" s="17">
        <f>'FS (nominal)'!N95*CPI!$I$34</f>
        <v>0</v>
      </c>
      <c r="O94" s="17">
        <f>'FS (nominal)'!O95*CPI!$I$34</f>
        <v>0</v>
      </c>
      <c r="P94" s="17">
        <f>'FS (nominal)'!P95*CPI!$I$34</f>
        <v>0</v>
      </c>
      <c r="Q94" s="17">
        <f>'FS (nominal)'!Q95*CPI!$I$34</f>
        <v>0</v>
      </c>
      <c r="R94" s="17">
        <f>'FS (nominal)'!R95*CPI!$I$34</f>
        <v>0</v>
      </c>
      <c r="S94" s="15">
        <f>'FS (nominal)'!S95*CPI!$I$34</f>
        <v>24153.502419652435</v>
      </c>
      <c r="T94" s="15">
        <f>'FS (nominal)'!T95*CPI!$I$34</f>
        <v>12335.732130594495</v>
      </c>
      <c r="U94" s="15">
        <f>'FS (nominal)'!U95*CPI!$I$34</f>
        <v>6367.3990928891717</v>
      </c>
      <c r="V94" s="15">
        <f>'FS (nominal)'!V95*CPI!$I$34</f>
        <v>0</v>
      </c>
      <c r="W94" s="17"/>
      <c r="X94" s="17">
        <f>'FS (nominal)'!W95*CPI!$I$34</f>
        <v>1164.2369574537604</v>
      </c>
      <c r="Y94" s="17">
        <f>'FS (nominal)'!X95*CPI!$I$34</f>
        <v>0</v>
      </c>
      <c r="Z94" s="17">
        <f>'FS (nominal)'!Y95*CPI!$I$34</f>
        <v>0</v>
      </c>
      <c r="AA94" s="15">
        <f>'FS (nominal)'!Z95*CPI!$I$34</f>
        <v>4804.0960802515638</v>
      </c>
      <c r="AB94" s="17">
        <f>'FS (nominal)'!AA95*CPI!$I$34</f>
        <v>0</v>
      </c>
      <c r="AC94" s="17">
        <f>'FS (nominal)'!AB95*CPI!$I$34</f>
        <v>0</v>
      </c>
      <c r="AD94" s="17">
        <f>'FS (nominal)'!AC95*CPI!$I$34</f>
        <v>0</v>
      </c>
      <c r="AE94" s="17">
        <f>'FS (nominal)'!AD95*CPI!$I$34</f>
        <v>0</v>
      </c>
      <c r="AF94" s="17">
        <f>'FS (nominal)'!AE95*CPI!$I$34</f>
        <v>0</v>
      </c>
      <c r="AG94" s="15">
        <f>'FS (nominal)'!AF95*CPI!$I$34</f>
        <v>0</v>
      </c>
      <c r="AH94" s="18">
        <f>'FS (nominal)'!AG95*CPI!$I$34</f>
        <v>0</v>
      </c>
    </row>
    <row r="95" spans="1:34" s="7" customFormat="1" ht="14.45" hidden="1" customHeight="1">
      <c r="A95" s="246">
        <f>References!E268</f>
        <v>233</v>
      </c>
      <c r="B95" s="255" t="s">
        <v>39</v>
      </c>
      <c r="C95" s="121">
        <v>2006</v>
      </c>
      <c r="D95" s="17">
        <f>'FS (nominal)'!D96*CPI!$I$38</f>
        <v>30705.754324897829</v>
      </c>
      <c r="E95" s="15">
        <f>'FS (nominal)'!E96*CPI!$I$38</f>
        <v>30705.754324897829</v>
      </c>
      <c r="F95" s="15">
        <f>'FS (nominal)'!F96*CPI!$I$38</f>
        <v>0</v>
      </c>
      <c r="G95" s="15">
        <f>'FS (nominal)'!G96*CPI!$I$38</f>
        <v>973.28261451220123</v>
      </c>
      <c r="H95" s="17">
        <f>'FS (nominal)'!H96*CPI!$I$38</f>
        <v>4945.1428502882536</v>
      </c>
      <c r="I95" s="15">
        <f>'FS (nominal)'!I96*CPI!$I$38</f>
        <v>36624.179789698283</v>
      </c>
      <c r="J95" s="15">
        <f>'FS (nominal)'!J96*CPI!$I$38</f>
        <v>7754.3126004981468</v>
      </c>
      <c r="K95" s="17">
        <f>'FS (nominal)'!K96*CPI!$I$38</f>
        <v>0</v>
      </c>
      <c r="L95" s="17">
        <f>'FS (nominal)'!L96*CPI!$I$38</f>
        <v>0</v>
      </c>
      <c r="M95" s="17">
        <f>'FS (nominal)'!M96*CPI!$I$38</f>
        <v>0</v>
      </c>
      <c r="N95" s="17">
        <f>'FS (nominal)'!N96*CPI!$I$38</f>
        <v>0</v>
      </c>
      <c r="O95" s="17">
        <f>'FS (nominal)'!O96*CPI!$I$38</f>
        <v>0</v>
      </c>
      <c r="P95" s="17">
        <f>'FS (nominal)'!P96*CPI!$I$38</f>
        <v>0</v>
      </c>
      <c r="Q95" s="17">
        <f>'FS (nominal)'!Q96*CPI!$I$38</f>
        <v>0</v>
      </c>
      <c r="R95" s="17">
        <f>'FS (nominal)'!R96*CPI!$I$38</f>
        <v>0</v>
      </c>
      <c r="S95" s="15">
        <f>'FS (nominal)'!S96*CPI!$I$38</f>
        <v>22409.461370480225</v>
      </c>
      <c r="T95" s="15">
        <f>'FS (nominal)'!T96*CPI!$I$38</f>
        <v>14214.718419218058</v>
      </c>
      <c r="U95" s="15">
        <f>'FS (nominal)'!U96*CPI!$I$38</f>
        <v>6587.0580698463509</v>
      </c>
      <c r="V95" s="15">
        <f>'FS (nominal)'!V96*CPI!$I$38</f>
        <v>0</v>
      </c>
      <c r="W95" s="17"/>
      <c r="X95" s="17">
        <f>'FS (nominal)'!W96*CPI!$I$38</f>
        <v>1631.6461181154134</v>
      </c>
      <c r="Y95" s="17">
        <f>'FS (nominal)'!X96*CPI!$I$38</f>
        <v>0</v>
      </c>
      <c r="Z95" s="17">
        <f>'FS (nominal)'!Y96*CPI!$I$38</f>
        <v>0</v>
      </c>
      <c r="AA95" s="15">
        <f>'FS (nominal)'!Z96*CPI!$I$38</f>
        <v>5991.4501861706549</v>
      </c>
      <c r="AB95" s="17">
        <f>'FS (nominal)'!AA96*CPI!$I$38</f>
        <v>0</v>
      </c>
      <c r="AC95" s="17">
        <f>'FS (nominal)'!AB96*CPI!$I$38</f>
        <v>0</v>
      </c>
      <c r="AD95" s="17">
        <f>'FS (nominal)'!AC96*CPI!$I$38</f>
        <v>0</v>
      </c>
      <c r="AE95" s="17">
        <f>'FS (nominal)'!AD96*CPI!$I$38</f>
        <v>0</v>
      </c>
      <c r="AF95" s="17">
        <f>'FS (nominal)'!AE96*CPI!$I$38</f>
        <v>0</v>
      </c>
      <c r="AG95" s="15">
        <f>'FS (nominal)'!AF96*CPI!$I$38</f>
        <v>0</v>
      </c>
      <c r="AH95" s="18">
        <f>'FS (nominal)'!AG96*CPI!$I$38</f>
        <v>0</v>
      </c>
    </row>
    <row r="96" spans="1:34" s="7" customFormat="1" ht="15" hidden="1" customHeight="1">
      <c r="A96" s="246">
        <f>References!F268</f>
        <v>234</v>
      </c>
      <c r="B96" s="255" t="s">
        <v>39</v>
      </c>
      <c r="C96" s="121">
        <v>2007</v>
      </c>
      <c r="D96" s="17">
        <f>'FS (nominal)'!D97*CPI!$I$42</f>
        <v>30362.357913826898</v>
      </c>
      <c r="E96" s="15">
        <f>'FS (nominal)'!E97*CPI!$I$42</f>
        <v>30362.357913826898</v>
      </c>
      <c r="F96" s="15">
        <f>'FS (nominal)'!F97*CPI!$I$42</f>
        <v>0</v>
      </c>
      <c r="G96" s="15">
        <f>'FS (nominal)'!G97*CPI!$I$42</f>
        <v>719.99034720800319</v>
      </c>
      <c r="H96" s="17">
        <f>'FS (nominal)'!H97*CPI!$I$42</f>
        <v>4844.174686284261</v>
      </c>
      <c r="I96" s="15">
        <f>'FS (nominal)'!I97*CPI!$I$42</f>
        <v>35926.522947319165</v>
      </c>
      <c r="J96" s="15">
        <f>'FS (nominal)'!J97*CPI!$I$42</f>
        <v>8188.6459765407917</v>
      </c>
      <c r="K96" s="17">
        <f>'FS (nominal)'!K97*CPI!$I$42</f>
        <v>0</v>
      </c>
      <c r="L96" s="17">
        <f>'FS (nominal)'!L97*CPI!$I$42</f>
        <v>0</v>
      </c>
      <c r="M96" s="17">
        <f>'FS (nominal)'!M97*CPI!$I$42</f>
        <v>0</v>
      </c>
      <c r="N96" s="17">
        <f>'FS (nominal)'!N97*CPI!$I$42</f>
        <v>0</v>
      </c>
      <c r="O96" s="17">
        <f>'FS (nominal)'!O97*CPI!$I$42</f>
        <v>0</v>
      </c>
      <c r="P96" s="17">
        <f>'FS (nominal)'!P97*CPI!$I$42</f>
        <v>0</v>
      </c>
      <c r="Q96" s="17">
        <f>'FS (nominal)'!Q97*CPI!$I$42</f>
        <v>0</v>
      </c>
      <c r="R96" s="17">
        <f>'FS (nominal)'!R97*CPI!$I$42</f>
        <v>0</v>
      </c>
      <c r="S96" s="15">
        <f>'FS (nominal)'!S97*CPI!$I$42</f>
        <v>23477.657589142076</v>
      </c>
      <c r="T96" s="15">
        <f>'FS (nominal)'!T97*CPI!$I$42</f>
        <v>12448.865358177087</v>
      </c>
      <c r="U96" s="15">
        <f>'FS (nominal)'!U97*CPI!$I$42</f>
        <v>6839.3553104981438</v>
      </c>
      <c r="V96" s="15">
        <f>'FS (nominal)'!V97*CPI!$I$42</f>
        <v>0</v>
      </c>
      <c r="W96" s="17"/>
      <c r="X96" s="17">
        <f>'FS (nominal)'!W97*CPI!$I$42</f>
        <v>862.66124550267659</v>
      </c>
      <c r="Y96" s="17">
        <f>'FS (nominal)'!X97*CPI!$I$42</f>
        <v>0</v>
      </c>
      <c r="Z96" s="17">
        <f>'FS (nominal)'!Y97*CPI!$I$42</f>
        <v>0</v>
      </c>
      <c r="AA96" s="15">
        <f>'FS (nominal)'!Z97*CPI!$I$42</f>
        <v>4742.4248983531761</v>
      </c>
      <c r="AB96" s="17">
        <f>'FS (nominal)'!AA97*CPI!$I$42</f>
        <v>0</v>
      </c>
      <c r="AC96" s="17">
        <f>'FS (nominal)'!AB97*CPI!$I$42</f>
        <v>0</v>
      </c>
      <c r="AD96" s="17">
        <f>'FS (nominal)'!AC97*CPI!$I$42</f>
        <v>0</v>
      </c>
      <c r="AE96" s="17">
        <f>'FS (nominal)'!AD97*CPI!$I$42</f>
        <v>0</v>
      </c>
      <c r="AF96" s="17">
        <f>'FS (nominal)'!AE97*CPI!$I$42</f>
        <v>0</v>
      </c>
      <c r="AG96" s="15">
        <f>'FS (nominal)'!AF97*CPI!$I$42</f>
        <v>0</v>
      </c>
      <c r="AH96" s="18">
        <f>'FS (nominal)'!AG97*CPI!$I$42</f>
        <v>0</v>
      </c>
    </row>
    <row r="97" spans="1:34" s="7" customFormat="1" ht="15" customHeight="1">
      <c r="A97" s="246">
        <f>References!G268</f>
        <v>235</v>
      </c>
      <c r="B97" s="256" t="s">
        <v>39</v>
      </c>
      <c r="C97" s="121">
        <v>2008</v>
      </c>
      <c r="D97" s="17">
        <f>'FS (nominal)'!D98*CPI!$I$46</f>
        <v>33642.070371532034</v>
      </c>
      <c r="E97" s="15">
        <f>'FS (nominal)'!E98*CPI!$I$46</f>
        <v>33642.070371532034</v>
      </c>
      <c r="F97" s="15">
        <f>'FS (nominal)'!F98*CPI!$I$46</f>
        <v>5413.133643180975</v>
      </c>
      <c r="G97" s="15">
        <f>'FS (nominal)'!G98*CPI!$I$46</f>
        <v>497.00350717116703</v>
      </c>
      <c r="H97" s="17">
        <f>'FS (nominal)'!H98*CPI!$I$46</f>
        <v>10.780987140372387</v>
      </c>
      <c r="I97" s="15">
        <f>'FS (nominal)'!I98*CPI!$I$46</f>
        <v>39562.988509024544</v>
      </c>
      <c r="J97" s="15">
        <f>'FS (nominal)'!J98*CPI!$I$46</f>
        <v>8571.9628753100842</v>
      </c>
      <c r="K97" s="17">
        <f>'FS (nominal)'!K98*CPI!$I$46</f>
        <v>0</v>
      </c>
      <c r="L97" s="17">
        <f>'FS (nominal)'!L98*CPI!$I$46</f>
        <v>0</v>
      </c>
      <c r="M97" s="17">
        <f>'FS (nominal)'!M98*CPI!$I$46</f>
        <v>0</v>
      </c>
      <c r="N97" s="17">
        <f>'FS (nominal)'!N98*CPI!$I$46</f>
        <v>0</v>
      </c>
      <c r="O97" s="17">
        <f>'FS (nominal)'!O98*CPI!$I$46</f>
        <v>0</v>
      </c>
      <c r="P97" s="17">
        <f>'FS (nominal)'!P98*CPI!$I$46</f>
        <v>0</v>
      </c>
      <c r="Q97" s="17">
        <f>'FS (nominal)'!Q98*CPI!$I$46</f>
        <v>0</v>
      </c>
      <c r="R97" s="17">
        <f>'FS (nominal)'!R98*CPI!$I$46</f>
        <v>0</v>
      </c>
      <c r="S97" s="15">
        <f>'FS (nominal)'!S98*CPI!$I$46</f>
        <v>7650.1884748082457</v>
      </c>
      <c r="T97" s="15">
        <f>'FS (nominal)'!T98*CPI!$I$46</f>
        <v>23340.837158906219</v>
      </c>
      <c r="U97" s="15">
        <f>'FS (nominal)'!U98*CPI!$I$46</f>
        <v>6727.3359755923693</v>
      </c>
      <c r="V97" s="15">
        <f>'FS (nominal)'!V98*CPI!$I$46</f>
        <v>16613.501183313849</v>
      </c>
      <c r="W97" s="17"/>
      <c r="X97" s="17">
        <f>'FS (nominal)'!W98*CPI!$I$46</f>
        <v>2228.8451099198769</v>
      </c>
      <c r="Y97" s="17">
        <f>'FS (nominal)'!X98*CPI!$I$46</f>
        <v>5316.6077997775938</v>
      </c>
      <c r="Z97" s="17">
        <f>'FS (nominal)'!Y98*CPI!$I$46</f>
        <v>0</v>
      </c>
      <c r="AA97" s="15">
        <f>'FS (nominal)'!Z98*CPI!$I$46</f>
        <v>19701.264304411048</v>
      </c>
      <c r="AB97" s="17">
        <f>'FS (nominal)'!AA98*CPI!$I$46</f>
        <v>0</v>
      </c>
      <c r="AC97" s="17">
        <f>'FS (nominal)'!AB98*CPI!$I$46</f>
        <v>15154.833623221464</v>
      </c>
      <c r="AD97" s="17">
        <f>'FS (nominal)'!AC98*CPI!$I$46</f>
        <v>0</v>
      </c>
      <c r="AE97" s="17">
        <f>'FS (nominal)'!AD98*CPI!$I$46</f>
        <v>0</v>
      </c>
      <c r="AF97" s="17">
        <f>'FS (nominal)'!AE98*CPI!$I$46</f>
        <v>0</v>
      </c>
      <c r="AG97" s="15">
        <f>'FS (nominal)'!AF98*CPI!$I$46</f>
        <v>15154.833623221464</v>
      </c>
      <c r="AH97" s="18">
        <f>'FS (nominal)'!AG98*CPI!$I$46</f>
        <v>288.93045536197997</v>
      </c>
    </row>
    <row r="98" spans="1:34" s="7" customFormat="1" ht="15" customHeight="1">
      <c r="A98" s="246">
        <f>References!H268</f>
        <v>236</v>
      </c>
      <c r="B98" s="256" t="s">
        <v>39</v>
      </c>
      <c r="C98" s="121">
        <v>2009</v>
      </c>
      <c r="D98" s="17">
        <f>'FS (nominal)'!D99*CPI!$I$50</f>
        <v>35636.748987576349</v>
      </c>
      <c r="E98" s="15">
        <f>'FS (nominal)'!E99*CPI!$I$50</f>
        <v>35636.748987576349</v>
      </c>
      <c r="F98" s="15">
        <f>'FS (nominal)'!F99*CPI!$I$50</f>
        <v>5354.4918662914388</v>
      </c>
      <c r="G98" s="15">
        <f>'FS (nominal)'!G99*CPI!$I$50</f>
        <v>1610.0847003912411</v>
      </c>
      <c r="H98" s="17">
        <f>'FS (nominal)'!H99*CPI!$I$50</f>
        <v>11.419040428306674</v>
      </c>
      <c r="I98" s="15">
        <f>'FS (nominal)'!I99*CPI!$I$50</f>
        <v>42612.744594687334</v>
      </c>
      <c r="J98" s="15">
        <f>'FS (nominal)'!J99*CPI!$I$50</f>
        <v>9353.232205367558</v>
      </c>
      <c r="K98" s="17">
        <f>'FS (nominal)'!K99*CPI!$I$50</f>
        <v>5535.1203239755632</v>
      </c>
      <c r="L98" s="17">
        <f>'FS (nominal)'!L99*CPI!$I$50</f>
        <v>0</v>
      </c>
      <c r="M98" s="17">
        <f>'FS (nominal)'!M99*CPI!$I$50</f>
        <v>3750.6357334065469</v>
      </c>
      <c r="N98" s="17">
        <f>'FS (nominal)'!N99*CPI!$I$50</f>
        <v>0</v>
      </c>
      <c r="O98" s="17">
        <f>'FS (nominal)'!O99*CPI!$I$50</f>
        <v>0</v>
      </c>
      <c r="P98" s="17">
        <f>'FS (nominal)'!P99*CPI!$I$50</f>
        <v>0</v>
      </c>
      <c r="Q98" s="17">
        <f>'FS (nominal)'!Q99*CPI!$I$50</f>
        <v>0</v>
      </c>
      <c r="R98" s="17">
        <f>'FS (nominal)'!R99*CPI!$I$50</f>
        <v>0</v>
      </c>
      <c r="S98" s="15">
        <f>'FS (nominal)'!S99*CPI!$I$50</f>
        <v>9285.7560573821102</v>
      </c>
      <c r="T98" s="15">
        <f>'FS (nominal)'!T99*CPI!$I$50</f>
        <v>23973.756331937668</v>
      </c>
      <c r="U98" s="15">
        <f>'FS (nominal)'!U99*CPI!$I$50</f>
        <v>6956.2718100075481</v>
      </c>
      <c r="V98" s="15">
        <f>'FS (nominal)'!V99*CPI!$I$50</f>
        <v>17017.484521930121</v>
      </c>
      <c r="W98" s="17"/>
      <c r="X98" s="17">
        <f>'FS (nominal)'!W99*CPI!$I$50</f>
        <v>1961.1766973985855</v>
      </c>
      <c r="Y98" s="17">
        <f>'FS (nominal)'!X99*CPI!$I$50</f>
        <v>4919.3990202759269</v>
      </c>
      <c r="Z98" s="17">
        <f>'FS (nominal)'!Y99*CPI!$I$50</f>
        <v>0</v>
      </c>
      <c r="AA98" s="15">
        <f>'FS (nominal)'!Z99*CPI!$I$50</f>
        <v>19975.706325760169</v>
      </c>
      <c r="AB98" s="17">
        <f>'FS (nominal)'!AA99*CPI!$I$50</f>
        <v>0</v>
      </c>
      <c r="AC98" s="17">
        <f>'FS (nominal)'!AB99*CPI!$I$50</f>
        <v>15751.009128972471</v>
      </c>
      <c r="AD98" s="17">
        <f>'FS (nominal)'!AC99*CPI!$I$50</f>
        <v>0</v>
      </c>
      <c r="AE98" s="17">
        <f>'FS (nominal)'!AD99*CPI!$I$50</f>
        <v>0</v>
      </c>
      <c r="AF98" s="17">
        <f>'FS (nominal)'!AE99*CPI!$I$50</f>
        <v>0</v>
      </c>
      <c r="AG98" s="15">
        <f>'FS (nominal)'!AF99*CPI!$I$50</f>
        <v>15751.009128972471</v>
      </c>
      <c r="AH98" s="18">
        <f>'FS (nominal)'!AG99*CPI!$I$50</f>
        <v>377.86642871851177</v>
      </c>
    </row>
    <row r="99" spans="1:34" s="7" customFormat="1" ht="15" customHeight="1">
      <c r="A99" s="246">
        <f>References!I268</f>
        <v>237</v>
      </c>
      <c r="B99" s="256" t="s">
        <v>39</v>
      </c>
      <c r="C99" s="121">
        <v>2010</v>
      </c>
      <c r="D99" s="17">
        <f>'FS (nominal)'!D100*CPI!$I$54</f>
        <v>35858.930236318069</v>
      </c>
      <c r="E99" s="15">
        <f>'FS (nominal)'!E100*CPI!$I$54</f>
        <v>35858.930236318069</v>
      </c>
      <c r="F99" s="15">
        <f>'FS (nominal)'!F100*CPI!$I$54</f>
        <v>3780.8981164614261</v>
      </c>
      <c r="G99" s="15">
        <f>'FS (nominal)'!G100*CPI!$I$54</f>
        <v>383.08210503624258</v>
      </c>
      <c r="H99" s="17">
        <f>'FS (nominal)'!H100*CPI!$I$54</f>
        <v>31.58389695777532</v>
      </c>
      <c r="I99" s="15">
        <f>'FS (nominal)'!I100*CPI!$I$54</f>
        <v>40054.494354773509</v>
      </c>
      <c r="J99" s="15">
        <f>'FS (nominal)'!J100*CPI!$I$54</f>
        <v>9972.3607555711224</v>
      </c>
      <c r="K99" s="17">
        <f>'FS (nominal)'!K100*CPI!$I$54</f>
        <v>5302.0193473633144</v>
      </c>
      <c r="L99" s="17">
        <f>'FS (nominal)'!L100*CPI!$I$54</f>
        <v>0</v>
      </c>
      <c r="M99" s="17">
        <f>'FS (nominal)'!M100*CPI!$I$54</f>
        <v>2646.9343321387187</v>
      </c>
      <c r="N99" s="17">
        <f>'FS (nominal)'!N100*CPI!$I$54</f>
        <v>382.06326965050789</v>
      </c>
      <c r="O99" s="17">
        <f>'FS (nominal)'!O100*CPI!$I$54</f>
        <v>706.05292231413853</v>
      </c>
      <c r="P99" s="17">
        <f>'FS (nominal)'!P100*CPI!$I$54</f>
        <v>0</v>
      </c>
      <c r="Q99" s="17">
        <f>'FS (nominal)'!Q100*CPI!$I$54</f>
        <v>0</v>
      </c>
      <c r="R99" s="17">
        <f>'FS (nominal)'!R100*CPI!$I$54</f>
        <v>0</v>
      </c>
      <c r="S99" s="15">
        <f>'FS (nominal)'!S100*CPI!$I$54</f>
        <v>9037.0698714666796</v>
      </c>
      <c r="T99" s="15">
        <f>'FS (nominal)'!T100*CPI!$I$54</f>
        <v>21045.063727735709</v>
      </c>
      <c r="U99" s="15">
        <f>'FS (nominal)'!U100*CPI!$I$54</f>
        <v>8026.3851688178693</v>
      </c>
      <c r="V99" s="15">
        <f>'FS (nominal)'!V100*CPI!$I$54</f>
        <v>13018.67855891784</v>
      </c>
      <c r="W99" s="17"/>
      <c r="X99" s="17">
        <f>'FS (nominal)'!W100*CPI!$I$54</f>
        <v>1874.8156405378456</v>
      </c>
      <c r="Y99" s="17">
        <f>'FS (nominal)'!X100*CPI!$I$54</f>
        <v>3613.3209891676315</v>
      </c>
      <c r="Z99" s="17">
        <f>'FS (nominal)'!Y100*CPI!$I$54</f>
        <v>0</v>
      </c>
      <c r="AA99" s="15">
        <f>'FS (nominal)'!Z100*CPI!$I$54</f>
        <v>14757.18360189701</v>
      </c>
      <c r="AB99" s="17">
        <f>'FS (nominal)'!AA100*CPI!$I$54</f>
        <v>6097.729783622106</v>
      </c>
      <c r="AC99" s="17">
        <f>'FS (nominal)'!AB100*CPI!$I$54</f>
        <v>3155.3331896203276</v>
      </c>
      <c r="AD99" s="17">
        <f>'FS (nominal)'!AC100*CPI!$I$54</f>
        <v>1535.3849263021743</v>
      </c>
      <c r="AE99" s="17">
        <f>'FS (nominal)'!AD100*CPI!$I$54</f>
        <v>2564.4086658942088</v>
      </c>
      <c r="AF99" s="17">
        <f>'FS (nominal)'!AE100*CPI!$I$54</f>
        <v>161.99482633181535</v>
      </c>
      <c r="AG99" s="15">
        <f>'FS (nominal)'!AF100*CPI!$I$54</f>
        <v>13514.851391770631</v>
      </c>
      <c r="AH99" s="18">
        <f>'FS (nominal)'!AG100*CPI!$I$54</f>
        <v>243.50165719059035</v>
      </c>
    </row>
    <row r="100" spans="1:34" s="7" customFormat="1" ht="15" customHeight="1">
      <c r="A100" s="246">
        <f>References!J268</f>
        <v>238</v>
      </c>
      <c r="B100" s="256" t="s">
        <v>39</v>
      </c>
      <c r="C100" s="121">
        <v>2011</v>
      </c>
      <c r="D100" s="17">
        <f>'FS (nominal)'!D101*CPI!$I$58</f>
        <v>39081</v>
      </c>
      <c r="E100" s="15">
        <f>'FS (nominal)'!E101*CPI!$I$58</f>
        <v>39081</v>
      </c>
      <c r="F100" s="15">
        <f>'FS (nominal)'!F101*CPI!$I$58</f>
        <v>3052</v>
      </c>
      <c r="G100" s="15">
        <f>'FS (nominal)'!G101*CPI!$I$58</f>
        <v>653</v>
      </c>
      <c r="H100" s="17">
        <f>'FS (nominal)'!H101*CPI!$I$58</f>
        <v>32</v>
      </c>
      <c r="I100" s="15">
        <f>'FS (nominal)'!I101*CPI!$I$58</f>
        <v>42818</v>
      </c>
      <c r="J100" s="15">
        <f>'FS (nominal)'!J101*CPI!$I$58</f>
        <v>10027</v>
      </c>
      <c r="K100" s="17">
        <f>'FS (nominal)'!K101*CPI!$I$58</f>
        <v>6645</v>
      </c>
      <c r="L100" s="17">
        <f>'FS (nominal)'!L101*CPI!$I$58</f>
        <v>0</v>
      </c>
      <c r="M100" s="17">
        <f>'FS (nominal)'!M101*CPI!$I$58</f>
        <v>2323</v>
      </c>
      <c r="N100" s="17">
        <f>'FS (nominal)'!N101*CPI!$I$58</f>
        <v>71</v>
      </c>
      <c r="O100" s="17">
        <f>'FS (nominal)'!O101*CPI!$I$58</f>
        <v>1070</v>
      </c>
      <c r="P100" s="17">
        <f>'FS (nominal)'!P101*CPI!$I$58</f>
        <v>0</v>
      </c>
      <c r="Q100" s="17">
        <f>'FS (nominal)'!Q101*CPI!$I$58</f>
        <v>0</v>
      </c>
      <c r="R100" s="17">
        <f>'FS (nominal)'!R101*CPI!$I$58</f>
        <v>0</v>
      </c>
      <c r="S100" s="15">
        <f>'FS (nominal)'!S101*CPI!$I$58</f>
        <v>10109</v>
      </c>
      <c r="T100" s="15">
        <f>'FS (nominal)'!T101*CPI!$I$58</f>
        <v>22682</v>
      </c>
      <c r="U100" s="15">
        <f>'FS (nominal)'!U101*CPI!$I$58</f>
        <v>8599</v>
      </c>
      <c r="V100" s="15">
        <f>'FS (nominal)'!V101*CPI!$I$58</f>
        <v>14083</v>
      </c>
      <c r="W100" s="17"/>
      <c r="X100" s="17">
        <f>'FS (nominal)'!W101*CPI!$I$58</f>
        <v>2206.5482000000002</v>
      </c>
      <c r="Y100" s="17">
        <f>'FS (nominal)'!X101*CPI!$I$58</f>
        <v>8041.2452000000003</v>
      </c>
      <c r="Z100" s="17">
        <f>'FS (nominal)'!Y101*CPI!$I$58</f>
        <v>0</v>
      </c>
      <c r="AA100" s="15">
        <f>'FS (nominal)'!Z101*CPI!$I$58</f>
        <v>19917.697</v>
      </c>
      <c r="AB100" s="17">
        <f>'FS (nominal)'!AA101*CPI!$I$58</f>
        <v>2622</v>
      </c>
      <c r="AC100" s="17">
        <f>'FS (nominal)'!AB101*CPI!$I$58</f>
        <v>3269</v>
      </c>
      <c r="AD100" s="17">
        <f>'FS (nominal)'!AC101*CPI!$I$58</f>
        <v>1531</v>
      </c>
      <c r="AE100" s="17">
        <f>'FS (nominal)'!AD101*CPI!$I$58</f>
        <v>3098</v>
      </c>
      <c r="AF100" s="17">
        <f>'FS (nominal)'!AE101*CPI!$I$58</f>
        <v>159</v>
      </c>
      <c r="AG100" s="15">
        <f>'FS (nominal)'!AF101*CPI!$I$58</f>
        <v>10679</v>
      </c>
      <c r="AH100" s="18">
        <f>'FS (nominal)'!AG101*CPI!$I$58</f>
        <v>1505</v>
      </c>
    </row>
    <row r="101" spans="1:34" s="7" customFormat="1" ht="15" hidden="1" customHeight="1">
      <c r="A101" s="246">
        <f>References!C269</f>
        <v>254</v>
      </c>
      <c r="B101" s="255" t="s">
        <v>40</v>
      </c>
      <c r="C101" s="121">
        <v>2004</v>
      </c>
      <c r="D101" s="17">
        <f>'FS (nominal)'!D102*CPI!$I$30</f>
        <v>19705.905397436825</v>
      </c>
      <c r="E101" s="15">
        <f>'FS (nominal)'!E102*CPI!$I$30</f>
        <v>19705.905397436825</v>
      </c>
      <c r="F101" s="15">
        <f>'FS (nominal)'!F102*CPI!$I$30</f>
        <v>0</v>
      </c>
      <c r="G101" s="15">
        <f>'FS (nominal)'!G102*CPI!$I$30</f>
        <v>632.86923438691451</v>
      </c>
      <c r="H101" s="17">
        <f>'FS (nominal)'!H102*CPI!$I$30</f>
        <v>3286.3305090969361</v>
      </c>
      <c r="I101" s="15">
        <f>'FS (nominal)'!I102*CPI!$I$30</f>
        <v>23625.105140920678</v>
      </c>
      <c r="J101" s="15">
        <f>'FS (nominal)'!J102*CPI!$I$30</f>
        <v>3899.8754920521887</v>
      </c>
      <c r="K101" s="17">
        <f>'FS (nominal)'!K102*CPI!$I$30</f>
        <v>0</v>
      </c>
      <c r="L101" s="17">
        <f>'FS (nominal)'!L102*CPI!$I$30</f>
        <v>0</v>
      </c>
      <c r="M101" s="17">
        <f>'FS (nominal)'!M102*CPI!$I$30</f>
        <v>0</v>
      </c>
      <c r="N101" s="17">
        <f>'FS (nominal)'!N102*CPI!$I$30</f>
        <v>0</v>
      </c>
      <c r="O101" s="17">
        <f>'FS (nominal)'!O102*CPI!$I$30</f>
        <v>0</v>
      </c>
      <c r="P101" s="17">
        <f>'FS (nominal)'!P102*CPI!$I$30</f>
        <v>0</v>
      </c>
      <c r="Q101" s="17">
        <f>'FS (nominal)'!Q102*CPI!$I$30</f>
        <v>0</v>
      </c>
      <c r="R101" s="17">
        <f>'FS (nominal)'!R102*CPI!$I$30</f>
        <v>0</v>
      </c>
      <c r="S101" s="15">
        <f>'FS (nominal)'!S102*CPI!$I$30</f>
        <v>15832.600751103173</v>
      </c>
      <c r="T101" s="15">
        <f>'FS (nominal)'!T102*CPI!$I$30</f>
        <v>7792.5043898175045</v>
      </c>
      <c r="U101" s="15">
        <f>'FS (nominal)'!U102*CPI!$I$30</f>
        <v>5049.6684522360492</v>
      </c>
      <c r="V101" s="15">
        <f>'FS (nominal)'!V102*CPI!$I$30</f>
        <v>0</v>
      </c>
      <c r="W101" s="17"/>
      <c r="X101" s="17">
        <f>'FS (nominal)'!W102*CPI!$I$30</f>
        <v>1399.8004630809808</v>
      </c>
      <c r="Y101" s="17">
        <f>'FS (nominal)'!X102*CPI!$I$30</f>
        <v>0</v>
      </c>
      <c r="Z101" s="17">
        <f>'FS (nominal)'!Y102*CPI!$I$30</f>
        <v>0</v>
      </c>
      <c r="AA101" s="15">
        <f>'FS (nominal)'!Z102*CPI!$I$30</f>
        <v>1343.0354745004752</v>
      </c>
      <c r="AB101" s="17">
        <f>'FS (nominal)'!AA102*CPI!$I$30</f>
        <v>0</v>
      </c>
      <c r="AC101" s="17">
        <f>'FS (nominal)'!AB102*CPI!$I$30</f>
        <v>0</v>
      </c>
      <c r="AD101" s="17">
        <f>'FS (nominal)'!AC102*CPI!$I$30</f>
        <v>0</v>
      </c>
      <c r="AE101" s="17">
        <f>'FS (nominal)'!AD102*CPI!$I$30</f>
        <v>0</v>
      </c>
      <c r="AF101" s="17">
        <f>'FS (nominal)'!AE102*CPI!$I$30</f>
        <v>0</v>
      </c>
      <c r="AG101" s="15">
        <f>'FS (nominal)'!AF102*CPI!$I$30</f>
        <v>0</v>
      </c>
      <c r="AH101" s="18">
        <f>'FS (nominal)'!AG102*CPI!$I$30</f>
        <v>0</v>
      </c>
    </row>
    <row r="102" spans="1:34" s="7" customFormat="1" ht="15" hidden="1" customHeight="1">
      <c r="A102" s="246">
        <f>References!D269</f>
        <v>255</v>
      </c>
      <c r="B102" s="255" t="s">
        <v>40</v>
      </c>
      <c r="C102" s="121">
        <v>2005</v>
      </c>
      <c r="D102" s="17">
        <f>'FS (nominal)'!D103*CPI!$I$34</f>
        <v>22096.958471551607</v>
      </c>
      <c r="E102" s="15">
        <f>'FS (nominal)'!E103*CPI!$I$34</f>
        <v>22096.958471551607</v>
      </c>
      <c r="F102" s="15">
        <f>'FS (nominal)'!F103*CPI!$I$34</f>
        <v>0</v>
      </c>
      <c r="G102" s="15">
        <f>'FS (nominal)'!G103*CPI!$I$34</f>
        <v>314.30866293241058</v>
      </c>
      <c r="H102" s="17">
        <f>'FS (nominal)'!H103*CPI!$I$34</f>
        <v>3438.5603162006414</v>
      </c>
      <c r="I102" s="15">
        <f>'FS (nominal)'!I103*CPI!$I$34</f>
        <v>25849.827450684657</v>
      </c>
      <c r="J102" s="15">
        <f>'FS (nominal)'!J103*CPI!$I$34</f>
        <v>4017.7358299187913</v>
      </c>
      <c r="K102" s="17">
        <f>'FS (nominal)'!K103*CPI!$I$34</f>
        <v>0</v>
      </c>
      <c r="L102" s="17">
        <f>'FS (nominal)'!L103*CPI!$I$34</f>
        <v>0</v>
      </c>
      <c r="M102" s="17">
        <f>'FS (nominal)'!M103*CPI!$I$34</f>
        <v>0</v>
      </c>
      <c r="N102" s="17">
        <f>'FS (nominal)'!N103*CPI!$I$34</f>
        <v>0</v>
      </c>
      <c r="O102" s="17">
        <f>'FS (nominal)'!O103*CPI!$I$34</f>
        <v>0</v>
      </c>
      <c r="P102" s="17">
        <f>'FS (nominal)'!P103*CPI!$I$34</f>
        <v>0</v>
      </c>
      <c r="Q102" s="17">
        <f>'FS (nominal)'!Q103*CPI!$I$34</f>
        <v>0</v>
      </c>
      <c r="R102" s="17">
        <f>'FS (nominal)'!R103*CPI!$I$34</f>
        <v>0</v>
      </c>
      <c r="S102" s="15">
        <f>'FS (nominal)'!S103*CPI!$I$34</f>
        <v>16699.560645539987</v>
      </c>
      <c r="T102" s="15">
        <f>'FS (nominal)'!T103*CPI!$I$34</f>
        <v>9150.2668051446708</v>
      </c>
      <c r="U102" s="15">
        <f>'FS (nominal)'!U103*CPI!$I$34</f>
        <v>5432.7134061163852</v>
      </c>
      <c r="V102" s="15">
        <f>'FS (nominal)'!V103*CPI!$I$34</f>
        <v>0</v>
      </c>
      <c r="W102" s="17"/>
      <c r="X102" s="17">
        <f>'FS (nominal)'!W103*CPI!$I$34</f>
        <v>1619.807940805232</v>
      </c>
      <c r="Y102" s="17">
        <f>'FS (nominal)'!X103*CPI!$I$34</f>
        <v>0</v>
      </c>
      <c r="Z102" s="17">
        <f>'FS (nominal)'!Y103*CPI!$I$34</f>
        <v>0</v>
      </c>
      <c r="AA102" s="15">
        <f>'FS (nominal)'!Z103*CPI!$I$34</f>
        <v>2096.5682722195625</v>
      </c>
      <c r="AB102" s="17">
        <f>'FS (nominal)'!AA103*CPI!$I$34</f>
        <v>0</v>
      </c>
      <c r="AC102" s="17">
        <f>'FS (nominal)'!AB103*CPI!$I$34</f>
        <v>0</v>
      </c>
      <c r="AD102" s="17">
        <f>'FS (nominal)'!AC103*CPI!$I$34</f>
        <v>0</v>
      </c>
      <c r="AE102" s="17">
        <f>'FS (nominal)'!AD103*CPI!$I$34</f>
        <v>0</v>
      </c>
      <c r="AF102" s="17">
        <f>'FS (nominal)'!AE103*CPI!$I$34</f>
        <v>0</v>
      </c>
      <c r="AG102" s="15">
        <f>'FS (nominal)'!AF103*CPI!$I$34</f>
        <v>0</v>
      </c>
      <c r="AH102" s="18">
        <f>'FS (nominal)'!AG103*CPI!$I$34</f>
        <v>0</v>
      </c>
    </row>
    <row r="103" spans="1:34" s="7" customFormat="1" ht="14.45" hidden="1" customHeight="1">
      <c r="A103" s="246">
        <f>References!E269</f>
        <v>256</v>
      </c>
      <c r="B103" s="255" t="s">
        <v>40</v>
      </c>
      <c r="C103" s="121">
        <v>2006</v>
      </c>
      <c r="D103" s="17">
        <f>'FS (nominal)'!D104*CPI!$I$38</f>
        <v>24491.806940802344</v>
      </c>
      <c r="E103" s="15">
        <f>'FS (nominal)'!E104*CPI!$I$38</f>
        <v>24491.806940802344</v>
      </c>
      <c r="F103" s="15">
        <f>'FS (nominal)'!F104*CPI!$I$38</f>
        <v>0</v>
      </c>
      <c r="G103" s="15">
        <f>'FS (nominal)'!G104*CPI!$I$38</f>
        <v>681.18372903139993</v>
      </c>
      <c r="H103" s="17">
        <f>'FS (nominal)'!H104*CPI!$I$38</f>
        <v>4991.9243124160375</v>
      </c>
      <c r="I103" s="15">
        <f>'FS (nominal)'!I104*CPI!$I$38</f>
        <v>30164.914982249782</v>
      </c>
      <c r="J103" s="15">
        <f>'FS (nominal)'!J104*CPI!$I$38</f>
        <v>3870.3102326206172</v>
      </c>
      <c r="K103" s="17">
        <f>'FS (nominal)'!K104*CPI!$I$38</f>
        <v>0</v>
      </c>
      <c r="L103" s="17">
        <f>'FS (nominal)'!L104*CPI!$I$38</f>
        <v>0</v>
      </c>
      <c r="M103" s="17">
        <f>'FS (nominal)'!M104*CPI!$I$38</f>
        <v>0</v>
      </c>
      <c r="N103" s="17">
        <f>'FS (nominal)'!N104*CPI!$I$38</f>
        <v>0</v>
      </c>
      <c r="O103" s="17">
        <f>'FS (nominal)'!O104*CPI!$I$38</f>
        <v>0</v>
      </c>
      <c r="P103" s="17">
        <f>'FS (nominal)'!P104*CPI!$I$38</f>
        <v>0</v>
      </c>
      <c r="Q103" s="17">
        <f>'FS (nominal)'!Q104*CPI!$I$38</f>
        <v>0</v>
      </c>
      <c r="R103" s="17">
        <f>'FS (nominal)'!R104*CPI!$I$38</f>
        <v>0</v>
      </c>
      <c r="S103" s="15">
        <f>'FS (nominal)'!S104*CPI!$I$38</f>
        <v>16896.094907030099</v>
      </c>
      <c r="T103" s="15">
        <f>'FS (nominal)'!T104*CPI!$I$38</f>
        <v>13268.820075219681</v>
      </c>
      <c r="U103" s="15">
        <f>'FS (nominal)'!U104*CPI!$I$38</f>
        <v>5756.4018642603223</v>
      </c>
      <c r="V103" s="15">
        <f>'FS (nominal)'!V104*CPI!$I$38</f>
        <v>0</v>
      </c>
      <c r="W103" s="17"/>
      <c r="X103" s="17">
        <f>'FS (nominal)'!W104*CPI!$I$38</f>
        <v>1813.0669102695049</v>
      </c>
      <c r="Y103" s="17">
        <f>'FS (nominal)'!X104*CPI!$I$38</f>
        <v>0</v>
      </c>
      <c r="Z103" s="17">
        <f>'FS (nominal)'!Y104*CPI!$I$38</f>
        <v>0</v>
      </c>
      <c r="AA103" s="15">
        <f>'FS (nominal)'!Z104*CPI!$I$38</f>
        <v>5698.2102894184445</v>
      </c>
      <c r="AB103" s="17">
        <f>'FS (nominal)'!AA104*CPI!$I$38</f>
        <v>0</v>
      </c>
      <c r="AC103" s="17">
        <f>'FS (nominal)'!AB104*CPI!$I$38</f>
        <v>0</v>
      </c>
      <c r="AD103" s="17">
        <f>'FS (nominal)'!AC104*CPI!$I$38</f>
        <v>0</v>
      </c>
      <c r="AE103" s="17">
        <f>'FS (nominal)'!AD104*CPI!$I$38</f>
        <v>0</v>
      </c>
      <c r="AF103" s="17">
        <f>'FS (nominal)'!AE104*CPI!$I$38</f>
        <v>0</v>
      </c>
      <c r="AG103" s="15">
        <f>'FS (nominal)'!AF104*CPI!$I$38</f>
        <v>0</v>
      </c>
      <c r="AH103" s="18">
        <f>'FS (nominal)'!AG104*CPI!$I$38</f>
        <v>0</v>
      </c>
    </row>
    <row r="104" spans="1:34" s="7" customFormat="1" ht="15" hidden="1" customHeight="1">
      <c r="A104" s="246">
        <f>References!F269</f>
        <v>257</v>
      </c>
      <c r="B104" s="255" t="s">
        <v>40</v>
      </c>
      <c r="C104" s="121">
        <v>2007</v>
      </c>
      <c r="D104" s="17">
        <f>'FS (nominal)'!D105*CPI!$I$42</f>
        <v>24281.7021089888</v>
      </c>
      <c r="E104" s="15">
        <f>'FS (nominal)'!E105*CPI!$I$42</f>
        <v>24281.7021089888</v>
      </c>
      <c r="F104" s="15">
        <f>'FS (nominal)'!F105*CPI!$I$42</f>
        <v>0</v>
      </c>
      <c r="G104" s="15">
        <f>'FS (nominal)'!G105*CPI!$I$42</f>
        <v>520.91467516892396</v>
      </c>
      <c r="H104" s="17">
        <f>'FS (nominal)'!H105*CPI!$I$42</f>
        <v>4016.9046713663092</v>
      </c>
      <c r="I104" s="15">
        <f>'FS (nominal)'!I105*CPI!$I$42</f>
        <v>28819.521455524035</v>
      </c>
      <c r="J104" s="15">
        <f>'FS (nominal)'!J105*CPI!$I$42</f>
        <v>3936.1684265949052</v>
      </c>
      <c r="K104" s="17">
        <f>'FS (nominal)'!K105*CPI!$I$42</f>
        <v>0</v>
      </c>
      <c r="L104" s="17">
        <f>'FS (nominal)'!L105*CPI!$I$42</f>
        <v>0</v>
      </c>
      <c r="M104" s="17">
        <f>'FS (nominal)'!M105*CPI!$I$42</f>
        <v>0</v>
      </c>
      <c r="N104" s="17">
        <f>'FS (nominal)'!N105*CPI!$I$42</f>
        <v>0</v>
      </c>
      <c r="O104" s="17">
        <f>'FS (nominal)'!O105*CPI!$I$42</f>
        <v>0</v>
      </c>
      <c r="P104" s="17">
        <f>'FS (nominal)'!P105*CPI!$I$42</f>
        <v>0</v>
      </c>
      <c r="Q104" s="17">
        <f>'FS (nominal)'!Q105*CPI!$I$42</f>
        <v>0</v>
      </c>
      <c r="R104" s="17">
        <f>'FS (nominal)'!R105*CPI!$I$42</f>
        <v>0</v>
      </c>
      <c r="S104" s="15">
        <f>'FS (nominal)'!S105*CPI!$I$42</f>
        <v>17638.104542662419</v>
      </c>
      <c r="T104" s="15">
        <f>'FS (nominal)'!T105*CPI!$I$42</f>
        <v>11181.416912861616</v>
      </c>
      <c r="U104" s="15">
        <f>'FS (nominal)'!U105*CPI!$I$42</f>
        <v>5994.3896802878298</v>
      </c>
      <c r="V104" s="15">
        <f>'FS (nominal)'!V105*CPI!$I$42</f>
        <v>0</v>
      </c>
      <c r="W104" s="17"/>
      <c r="X104" s="17">
        <f>'FS (nominal)'!W105*CPI!$I$42</f>
        <v>1926.6101149559777</v>
      </c>
      <c r="Y104" s="17">
        <f>'FS (nominal)'!X105*CPI!$I$42</f>
        <v>0</v>
      </c>
      <c r="Z104" s="17">
        <f>'FS (nominal)'!Y105*CPI!$I$42</f>
        <v>0</v>
      </c>
      <c r="AA104" s="15">
        <f>'FS (nominal)'!Z105*CPI!$I$42</f>
        <v>3259.3111416620359</v>
      </c>
      <c r="AB104" s="17">
        <f>'FS (nominal)'!AA105*CPI!$I$42</f>
        <v>0</v>
      </c>
      <c r="AC104" s="17">
        <f>'FS (nominal)'!AB105*CPI!$I$42</f>
        <v>0</v>
      </c>
      <c r="AD104" s="17">
        <f>'FS (nominal)'!AC105*CPI!$I$42</f>
        <v>0</v>
      </c>
      <c r="AE104" s="17">
        <f>'FS (nominal)'!AD105*CPI!$I$42</f>
        <v>0</v>
      </c>
      <c r="AF104" s="17">
        <f>'FS (nominal)'!AE105*CPI!$I$42</f>
        <v>0</v>
      </c>
      <c r="AG104" s="15">
        <f>'FS (nominal)'!AF105*CPI!$I$42</f>
        <v>0</v>
      </c>
      <c r="AH104" s="18">
        <f>'FS (nominal)'!AG105*CPI!$I$42</f>
        <v>0</v>
      </c>
    </row>
    <row r="105" spans="1:34" s="7" customFormat="1" ht="15" customHeight="1">
      <c r="A105" s="246">
        <f>References!G269</f>
        <v>258</v>
      </c>
      <c r="B105" s="256" t="s">
        <v>40</v>
      </c>
      <c r="C105" s="121">
        <v>2008</v>
      </c>
      <c r="D105" s="17">
        <f>'FS (nominal)'!D106*CPI!$I$46</f>
        <v>22581.855664224</v>
      </c>
      <c r="E105" s="15">
        <f>'FS (nominal)'!E106*CPI!$I$46</f>
        <v>22581.855664224</v>
      </c>
      <c r="F105" s="15">
        <f>'FS (nominal)'!F106*CPI!$I$46</f>
        <v>5805.4289689487041</v>
      </c>
      <c r="G105" s="15">
        <f>'FS (nominal)'!G106*CPI!$I$46</f>
        <v>371.94405634284732</v>
      </c>
      <c r="H105" s="17">
        <f>'FS (nominal)'!H106*CPI!$I$46</f>
        <v>5000.2218357047132</v>
      </c>
      <c r="I105" s="15">
        <f>'FS (nominal)'!I106*CPI!$I$46</f>
        <v>33759.450525220265</v>
      </c>
      <c r="J105" s="15">
        <f>'FS (nominal)'!J106*CPI!$I$46</f>
        <v>4310.2386587208803</v>
      </c>
      <c r="K105" s="17">
        <f>'FS (nominal)'!K106*CPI!$I$46</f>
        <v>0</v>
      </c>
      <c r="L105" s="17">
        <f>'FS (nominal)'!L106*CPI!$I$46</f>
        <v>0</v>
      </c>
      <c r="M105" s="17">
        <f>'FS (nominal)'!M106*CPI!$I$46</f>
        <v>0</v>
      </c>
      <c r="N105" s="17">
        <f>'FS (nominal)'!N106*CPI!$I$46</f>
        <v>0</v>
      </c>
      <c r="O105" s="17">
        <f>'FS (nominal)'!O106*CPI!$I$46</f>
        <v>0</v>
      </c>
      <c r="P105" s="17">
        <f>'FS (nominal)'!P106*CPI!$I$46</f>
        <v>0</v>
      </c>
      <c r="Q105" s="17">
        <f>'FS (nominal)'!Q106*CPI!$I$46</f>
        <v>0</v>
      </c>
      <c r="R105" s="17">
        <f>'FS (nominal)'!R106*CPI!$I$46</f>
        <v>0</v>
      </c>
      <c r="S105" s="15">
        <f>'FS (nominal)'!S106*CPI!$I$46</f>
        <v>14695.563571041601</v>
      </c>
      <c r="T105" s="15">
        <f>'FS (nominal)'!T106*CPI!$I$46</f>
        <v>14753.648295457786</v>
      </c>
      <c r="U105" s="15">
        <f>'FS (nominal)'!U106*CPI!$I$46</f>
        <v>9086.842337258704</v>
      </c>
      <c r="V105" s="15">
        <f>'FS (nominal)'!V106*CPI!$I$46</f>
        <v>5666.8059581990819</v>
      </c>
      <c r="W105" s="17"/>
      <c r="X105" s="17">
        <f>'FS (nominal)'!W106*CPI!$I$46</f>
        <v>-731.28067538992332</v>
      </c>
      <c r="Y105" s="17">
        <f>'FS (nominal)'!X106*CPI!$I$46</f>
        <v>4660.1898247269819</v>
      </c>
      <c r="Z105" s="17">
        <f>'FS (nominal)'!Y106*CPI!$I$46</f>
        <v>0</v>
      </c>
      <c r="AA105" s="15">
        <f>'FS (nominal)'!Z106*CPI!$I$46</f>
        <v>11058.276285820191</v>
      </c>
      <c r="AB105" s="17">
        <f>'FS (nominal)'!AA106*CPI!$I$46</f>
        <v>0</v>
      </c>
      <c r="AC105" s="17">
        <f>'FS (nominal)'!AB106*CPI!$I$46</f>
        <v>0</v>
      </c>
      <c r="AD105" s="17">
        <f>'FS (nominal)'!AC106*CPI!$I$46</f>
        <v>0</v>
      </c>
      <c r="AE105" s="17">
        <f>'FS (nominal)'!AD106*CPI!$I$46</f>
        <v>0</v>
      </c>
      <c r="AF105" s="17">
        <f>'FS (nominal)'!AE106*CPI!$I$46</f>
        <v>0</v>
      </c>
      <c r="AG105" s="15">
        <f>'FS (nominal)'!AF106*CPI!$I$46</f>
        <v>11311.411707678708</v>
      </c>
      <c r="AH105" s="18">
        <f>'FS (nominal)'!AG106*CPI!$I$46</f>
        <v>1771.316187163183</v>
      </c>
    </row>
    <row r="106" spans="1:34" s="7" customFormat="1" ht="15" customHeight="1">
      <c r="A106" s="246">
        <f>References!H269</f>
        <v>259</v>
      </c>
      <c r="B106" s="256" t="s">
        <v>40</v>
      </c>
      <c r="C106" s="121">
        <v>2009</v>
      </c>
      <c r="D106" s="17">
        <f>'FS (nominal)'!D107*CPI!$I$50</f>
        <v>25850.901245109468</v>
      </c>
      <c r="E106" s="15">
        <f>'FS (nominal)'!E107*CPI!$I$50</f>
        <v>25850.901245109468</v>
      </c>
      <c r="F106" s="15">
        <f>'FS (nominal)'!F107*CPI!$I$50</f>
        <v>3921.2050545679172</v>
      </c>
      <c r="G106" s="15">
        <f>'FS (nominal)'!G107*CPI!$I$50</f>
        <v>1373.3991351499756</v>
      </c>
      <c r="H106" s="17">
        <f>'FS (nominal)'!H107*CPI!$I$50</f>
        <v>4867.625506211818</v>
      </c>
      <c r="I106" s="15">
        <f>'FS (nominal)'!I107*CPI!$I$50</f>
        <v>36013.130941039184</v>
      </c>
      <c r="J106" s="15">
        <f>'FS (nominal)'!J107*CPI!$I$50</f>
        <v>4913.301667925045</v>
      </c>
      <c r="K106" s="17">
        <f>'FS (nominal)'!K107*CPI!$I$50</f>
        <v>0</v>
      </c>
      <c r="L106" s="17">
        <f>'FS (nominal)'!L107*CPI!$I$50</f>
        <v>0</v>
      </c>
      <c r="M106" s="17">
        <f>'FS (nominal)'!M107*CPI!$I$50</f>
        <v>0</v>
      </c>
      <c r="N106" s="17">
        <f>'FS (nominal)'!N107*CPI!$I$50</f>
        <v>0</v>
      </c>
      <c r="O106" s="17">
        <f>'FS (nominal)'!O107*CPI!$I$50</f>
        <v>0</v>
      </c>
      <c r="P106" s="17">
        <f>'FS (nominal)'!P107*CPI!$I$50</f>
        <v>0</v>
      </c>
      <c r="Q106" s="17">
        <f>'FS (nominal)'!Q107*CPI!$I$50</f>
        <v>0</v>
      </c>
      <c r="R106" s="17">
        <f>'FS (nominal)'!R107*CPI!$I$50</f>
        <v>0</v>
      </c>
      <c r="S106" s="15">
        <f>'FS (nominal)'!S107*CPI!$I$50</f>
        <v>14552.616131237555</v>
      </c>
      <c r="T106" s="15">
        <f>'FS (nominal)'!T107*CPI!$I$50</f>
        <v>16547.213141876582</v>
      </c>
      <c r="U106" s="15">
        <f>'FS (nominal)'!U107*CPI!$I$50</f>
        <v>8927.9456160340414</v>
      </c>
      <c r="V106" s="15">
        <f>'FS (nominal)'!V107*CPI!$I$50</f>
        <v>7619.2675258425406</v>
      </c>
      <c r="W106" s="17"/>
      <c r="X106" s="17">
        <f>'FS (nominal)'!W107*CPI!$I$50</f>
        <v>1158.602728505731</v>
      </c>
      <c r="Y106" s="17">
        <f>'FS (nominal)'!X107*CPI!$I$50</f>
        <v>4367.2233270368579</v>
      </c>
      <c r="Z106" s="17">
        <f>'FS (nominal)'!Y107*CPI!$I$50</f>
        <v>0</v>
      </c>
      <c r="AA106" s="15">
        <f>'FS (nominal)'!Z107*CPI!$I$50</f>
        <v>10827.888124373667</v>
      </c>
      <c r="AB106" s="17">
        <f>'FS (nominal)'!AA107*CPI!$I$50</f>
        <v>0</v>
      </c>
      <c r="AC106" s="17">
        <f>'FS (nominal)'!AB107*CPI!$I$50</f>
        <v>0</v>
      </c>
      <c r="AD106" s="17">
        <f>'FS (nominal)'!AC107*CPI!$I$50</f>
        <v>0</v>
      </c>
      <c r="AE106" s="17">
        <f>'FS (nominal)'!AD107*CPI!$I$50</f>
        <v>0</v>
      </c>
      <c r="AF106" s="17">
        <f>'FS (nominal)'!AE107*CPI!$I$50</f>
        <v>0</v>
      </c>
      <c r="AG106" s="15">
        <f>'FS (nominal)'!AF107*CPI!$I$50</f>
        <v>11564.373670121488</v>
      </c>
      <c r="AH106" s="18">
        <f>'FS (nominal)'!AG107*CPI!$I$50</f>
        <v>1735.6328975221356</v>
      </c>
    </row>
    <row r="107" spans="1:34" s="7" customFormat="1" ht="15" customHeight="1">
      <c r="A107" s="246">
        <f>References!I269</f>
        <v>260</v>
      </c>
      <c r="B107" s="256" t="s">
        <v>173</v>
      </c>
      <c r="C107" s="121">
        <v>2010</v>
      </c>
      <c r="D107" s="17">
        <f>'FS (nominal)'!D108*CPI!$I$54</f>
        <v>26204.446121096167</v>
      </c>
      <c r="E107" s="15">
        <f>'FS (nominal)'!E108*CPI!$I$54</f>
        <v>26204.446121096167</v>
      </c>
      <c r="F107" s="15">
        <f>'FS (nominal)'!F108*CPI!$I$54</f>
        <v>1512.5426369540025</v>
      </c>
      <c r="G107" s="15">
        <f>'FS (nominal)'!G108*CPI!$I$54</f>
        <v>331.24376061006166</v>
      </c>
      <c r="H107" s="17">
        <f>'FS (nominal)'!H108*CPI!$I$54</f>
        <v>4540.4154444773776</v>
      </c>
      <c r="I107" s="15">
        <f>'FS (nominal)'!I108*CPI!$I$54</f>
        <v>32588.64796313761</v>
      </c>
      <c r="J107" s="15">
        <f>'FS (nominal)'!J108*CPI!$I$54</f>
        <v>4907.9368766672951</v>
      </c>
      <c r="K107" s="17">
        <f>'FS (nominal)'!K108*CPI!$I$54</f>
        <v>7914.2113928484805</v>
      </c>
      <c r="L107" s="17">
        <f>'FS (nominal)'!L108*CPI!$I$54</f>
        <v>455.92883511627275</v>
      </c>
      <c r="M107" s="17">
        <f>'FS (nominal)'!M108*CPI!$I$54</f>
        <v>5102.225728220742</v>
      </c>
      <c r="N107" s="17">
        <f>'FS (nominal)'!N108*CPI!$I$54</f>
        <v>1128.7677238554606</v>
      </c>
      <c r="O107" s="17">
        <f>'FS (nominal)'!O108*CPI!$I$54</f>
        <v>862.24038694726619</v>
      </c>
      <c r="P107" s="17">
        <f>'FS (nominal)'!P108*CPI!$I$54</f>
        <v>142.43318692570935</v>
      </c>
      <c r="Q107" s="17">
        <f>'FS (nominal)'!Q108*CPI!$I$54</f>
        <v>0</v>
      </c>
      <c r="R107" s="17">
        <f>'FS (nominal)'!R108*CPI!$I$54</f>
        <v>330.61208267090615</v>
      </c>
      <c r="S107" s="15">
        <f>'FS (nominal)'!S108*CPI!$I$54</f>
        <v>15936.419336584837</v>
      </c>
      <c r="T107" s="15">
        <f>'FS (nominal)'!T108*CPI!$I$54</f>
        <v>11744.291749885479</v>
      </c>
      <c r="U107" s="15">
        <f>'FS (nominal)'!U108*CPI!$I$54</f>
        <v>7609.3400843146228</v>
      </c>
      <c r="V107" s="15">
        <f>'FS (nominal)'!V108*CPI!$I$54</f>
        <v>4134.9516655708549</v>
      </c>
      <c r="W107" s="17"/>
      <c r="X107" s="17">
        <f>'FS (nominal)'!W108*CPI!$I$54</f>
        <v>666.07596133221955</v>
      </c>
      <c r="Y107" s="17">
        <f>'FS (nominal)'!X108*CPI!$I$54</f>
        <v>3248.5650837487533</v>
      </c>
      <c r="Z107" s="17">
        <f>'FS (nominal)'!Y108*CPI!$I$54</f>
        <v>580.11264261270242</v>
      </c>
      <c r="AA107" s="15">
        <f>'FS (nominal)'!Z108*CPI!$I$54</f>
        <v>7297.5534306000909</v>
      </c>
      <c r="AB107" s="17">
        <f>'FS (nominal)'!AA108*CPI!$I$54</f>
        <v>144.38933048961221</v>
      </c>
      <c r="AC107" s="17">
        <f>'FS (nominal)'!AB108*CPI!$I$54</f>
        <v>4960.6298202150301</v>
      </c>
      <c r="AD107" s="17">
        <f>'FS (nominal)'!AC108*CPI!$I$54</f>
        <v>3598.2768658618734</v>
      </c>
      <c r="AE107" s="17">
        <f>'FS (nominal)'!AD108*CPI!$I$54</f>
        <v>5195.2960350569911</v>
      </c>
      <c r="AF107" s="17">
        <f>'FS (nominal)'!AE108*CPI!$I$54</f>
        <v>195.96122908571579</v>
      </c>
      <c r="AG107" s="15">
        <f>'FS (nominal)'!AF108*CPI!$I$54</f>
        <v>14094.553443722883</v>
      </c>
      <c r="AH107" s="18">
        <f>'FS (nominal)'!AG108*CPI!$I$54</f>
        <v>732.39287354153737</v>
      </c>
    </row>
    <row r="108" spans="1:34" s="7" customFormat="1" ht="15" customHeight="1">
      <c r="A108" s="246">
        <f>References!J269</f>
        <v>261</v>
      </c>
      <c r="B108" s="256" t="s">
        <v>40</v>
      </c>
      <c r="C108" s="121">
        <v>2011</v>
      </c>
      <c r="D108" s="17">
        <f>'FS (nominal)'!D109*CPI!$I$58</f>
        <v>27002</v>
      </c>
      <c r="E108" s="15">
        <f>'FS (nominal)'!E109*CPI!$I$58</f>
        <v>27002</v>
      </c>
      <c r="F108" s="15">
        <f>'FS (nominal)'!F109*CPI!$I$58</f>
        <v>2500</v>
      </c>
      <c r="G108" s="15">
        <f>'FS (nominal)'!G109*CPI!$I$58</f>
        <v>521</v>
      </c>
      <c r="H108" s="17">
        <f>'FS (nominal)'!H109*CPI!$I$58</f>
        <v>5269</v>
      </c>
      <c r="I108" s="15">
        <f>'FS (nominal)'!I109*CPI!$I$58</f>
        <v>35292</v>
      </c>
      <c r="J108" s="15">
        <f>'FS (nominal)'!J109*CPI!$I$58</f>
        <v>5195</v>
      </c>
      <c r="K108" s="17">
        <f>'FS (nominal)'!K109*CPI!$I$58</f>
        <v>8264</v>
      </c>
      <c r="L108" s="17">
        <f>'FS (nominal)'!L109*CPI!$I$58</f>
        <v>431</v>
      </c>
      <c r="M108" s="17">
        <f>'FS (nominal)'!M109*CPI!$I$58</f>
        <v>5849</v>
      </c>
      <c r="N108" s="17">
        <f>'FS (nominal)'!N109*CPI!$I$58</f>
        <v>667.4</v>
      </c>
      <c r="O108" s="17">
        <f>'FS (nominal)'!O109*CPI!$I$58</f>
        <v>1133</v>
      </c>
      <c r="P108" s="17">
        <f>'FS (nominal)'!P109*CPI!$I$58</f>
        <v>145</v>
      </c>
      <c r="Q108" s="17">
        <f>'FS (nominal)'!Q109*CPI!$I$58</f>
        <v>0</v>
      </c>
      <c r="R108" s="17">
        <f>'FS (nominal)'!R109*CPI!$I$58</f>
        <v>175</v>
      </c>
      <c r="S108" s="15">
        <f>'FS (nominal)'!S109*CPI!$I$58</f>
        <v>16664.400000000001</v>
      </c>
      <c r="T108" s="15">
        <f>'FS (nominal)'!T109*CPI!$I$58</f>
        <v>13432.6</v>
      </c>
      <c r="U108" s="15">
        <f>'FS (nominal)'!U109*CPI!$I$58</f>
        <v>7168</v>
      </c>
      <c r="V108" s="15">
        <f>'FS (nominal)'!V109*CPI!$I$58</f>
        <v>6264.6</v>
      </c>
      <c r="W108" s="17"/>
      <c r="X108" s="17">
        <f>'FS (nominal)'!W109*CPI!$I$58</f>
        <v>163.36478</v>
      </c>
      <c r="Y108" s="17">
        <f>'FS (nominal)'!X109*CPI!$I$58</f>
        <v>7412.77</v>
      </c>
      <c r="Z108" s="17">
        <f>'FS (nominal)'!Y109*CPI!$I$58</f>
        <v>0</v>
      </c>
      <c r="AA108" s="15">
        <f>'FS (nominal)'!Z109*CPI!$I$58</f>
        <v>13514.004999999999</v>
      </c>
      <c r="AB108" s="17">
        <f>'FS (nominal)'!AA109*CPI!$I$58</f>
        <v>299</v>
      </c>
      <c r="AC108" s="17">
        <f>'FS (nominal)'!AB109*CPI!$I$58</f>
        <v>4560</v>
      </c>
      <c r="AD108" s="17">
        <f>'FS (nominal)'!AC109*CPI!$I$58</f>
        <v>4148</v>
      </c>
      <c r="AE108" s="17">
        <f>'FS (nominal)'!AD109*CPI!$I$58</f>
        <v>4708</v>
      </c>
      <c r="AF108" s="17">
        <f>'FS (nominal)'!AE109*CPI!$I$58</f>
        <v>843</v>
      </c>
      <c r="AG108" s="15">
        <f>'FS (nominal)'!AF109*CPI!$I$58</f>
        <v>14558</v>
      </c>
      <c r="AH108" s="18">
        <f>'FS (nominal)'!AG109*CPI!$I$58</f>
        <v>686</v>
      </c>
    </row>
    <row r="109" spans="1:34" s="7" customFormat="1" ht="15" hidden="1" customHeight="1">
      <c r="A109" s="246">
        <f>References!C270</f>
        <v>277</v>
      </c>
      <c r="B109" s="255" t="s">
        <v>41</v>
      </c>
      <c r="C109" s="121">
        <v>2004</v>
      </c>
      <c r="D109" s="17">
        <f>'FS (nominal)'!D110*CPI!$I$30</f>
        <v>7889.1256469758127</v>
      </c>
      <c r="E109" s="15">
        <f>'FS (nominal)'!E110*CPI!$I$30</f>
        <v>7889.1256469758127</v>
      </c>
      <c r="F109" s="15">
        <f>'FS (nominal)'!F110*CPI!$I$30</f>
        <v>0</v>
      </c>
      <c r="G109" s="15">
        <f>'FS (nominal)'!G110*CPI!$I$30</f>
        <v>277.78611433013424</v>
      </c>
      <c r="H109" s="17">
        <f>'FS (nominal)'!H110*CPI!$I$30</f>
        <v>176.33379431391131</v>
      </c>
      <c r="I109" s="15">
        <f>'FS (nominal)'!I110*CPI!$I$30</f>
        <v>8343.2455556198584</v>
      </c>
      <c r="J109" s="15">
        <f>'FS (nominal)'!J110*CPI!$I$30</f>
        <v>2124.4598917682874</v>
      </c>
      <c r="K109" s="17">
        <f>'FS (nominal)'!K110*CPI!$I$30</f>
        <v>0</v>
      </c>
      <c r="L109" s="17">
        <f>'FS (nominal)'!L110*CPI!$I$30</f>
        <v>0</v>
      </c>
      <c r="M109" s="17">
        <f>'FS (nominal)'!M110*CPI!$I$30</f>
        <v>0</v>
      </c>
      <c r="N109" s="17">
        <f>'FS (nominal)'!N110*CPI!$I$30</f>
        <v>0</v>
      </c>
      <c r="O109" s="17">
        <f>'FS (nominal)'!O110*CPI!$I$30</f>
        <v>0</v>
      </c>
      <c r="P109" s="17">
        <f>'FS (nominal)'!P110*CPI!$I$30</f>
        <v>0</v>
      </c>
      <c r="Q109" s="17">
        <f>'FS (nominal)'!Q110*CPI!$I$30</f>
        <v>0</v>
      </c>
      <c r="R109" s="17">
        <f>'FS (nominal)'!R110*CPI!$I$30</f>
        <v>0</v>
      </c>
      <c r="S109" s="15">
        <f>'FS (nominal)'!S110*CPI!$I$30</f>
        <v>3829.8250806124161</v>
      </c>
      <c r="T109" s="15">
        <f>'FS (nominal)'!T110*CPI!$I$30</f>
        <v>4513.4204750074423</v>
      </c>
      <c r="U109" s="15">
        <f>'FS (nominal)'!U110*CPI!$I$30</f>
        <v>713.78953725699705</v>
      </c>
      <c r="V109" s="15">
        <f>'FS (nominal)'!V110*CPI!$I$30</f>
        <v>0</v>
      </c>
      <c r="W109" s="17"/>
      <c r="X109" s="17">
        <f>'FS (nominal)'!W110*CPI!$I$30</f>
        <v>1038.6785144518062</v>
      </c>
      <c r="Y109" s="17">
        <f>'FS (nominal)'!X110*CPI!$I$30</f>
        <v>0</v>
      </c>
      <c r="Z109" s="17">
        <f>'FS (nominal)'!Y110*CPI!$I$30</f>
        <v>0</v>
      </c>
      <c r="AA109" s="15">
        <f>'FS (nominal)'!Z110*CPI!$I$30</f>
        <v>2657.0845718534579</v>
      </c>
      <c r="AB109" s="17">
        <f>'FS (nominal)'!AA110*CPI!$I$30</f>
        <v>0</v>
      </c>
      <c r="AC109" s="17">
        <f>'FS (nominal)'!AB110*CPI!$I$30</f>
        <v>0</v>
      </c>
      <c r="AD109" s="17">
        <f>'FS (nominal)'!AC110*CPI!$I$30</f>
        <v>0</v>
      </c>
      <c r="AE109" s="17">
        <f>'FS (nominal)'!AD110*CPI!$I$30</f>
        <v>0</v>
      </c>
      <c r="AF109" s="17">
        <f>'FS (nominal)'!AE110*CPI!$I$30</f>
        <v>0</v>
      </c>
      <c r="AG109" s="15">
        <f>'FS (nominal)'!AF110*CPI!$I$30</f>
        <v>0</v>
      </c>
      <c r="AH109" s="18">
        <f>'FS (nominal)'!AG110*CPI!$I$30</f>
        <v>0</v>
      </c>
    </row>
    <row r="110" spans="1:34" s="7" customFormat="1" ht="15" hidden="1" customHeight="1">
      <c r="A110" s="246">
        <f>References!D270</f>
        <v>278</v>
      </c>
      <c r="B110" s="255" t="s">
        <v>41</v>
      </c>
      <c r="C110" s="121">
        <v>2005</v>
      </c>
      <c r="D110" s="17">
        <f>'FS (nominal)'!D111*CPI!$I$34</f>
        <v>8002.5104517398013</v>
      </c>
      <c r="E110" s="15">
        <f>'FS (nominal)'!E111*CPI!$I$34</f>
        <v>8002.5104517398013</v>
      </c>
      <c r="F110" s="15">
        <f>'FS (nominal)'!F111*CPI!$I$34</f>
        <v>0</v>
      </c>
      <c r="G110" s="15">
        <f>'FS (nominal)'!G111*CPI!$I$34</f>
        <v>148.32543644001396</v>
      </c>
      <c r="H110" s="17">
        <f>'FS (nominal)'!H111*CPI!$I$34</f>
        <v>131.84483239112353</v>
      </c>
      <c r="I110" s="15">
        <f>'FS (nominal)'!I111*CPI!$I$34</f>
        <v>8282.6807205709392</v>
      </c>
      <c r="J110" s="15">
        <f>'FS (nominal)'!J111*CPI!$I$34</f>
        <v>2115.4032482754374</v>
      </c>
      <c r="K110" s="17">
        <f>'FS (nominal)'!K111*CPI!$I$34</f>
        <v>0</v>
      </c>
      <c r="L110" s="17">
        <f>'FS (nominal)'!L111*CPI!$I$34</f>
        <v>0</v>
      </c>
      <c r="M110" s="17">
        <f>'FS (nominal)'!M111*CPI!$I$34</f>
        <v>0</v>
      </c>
      <c r="N110" s="17">
        <f>'FS (nominal)'!N111*CPI!$I$34</f>
        <v>0</v>
      </c>
      <c r="O110" s="17">
        <f>'FS (nominal)'!O111*CPI!$I$34</f>
        <v>0</v>
      </c>
      <c r="P110" s="17">
        <f>'FS (nominal)'!P111*CPI!$I$34</f>
        <v>0</v>
      </c>
      <c r="Q110" s="17">
        <f>'FS (nominal)'!Q111*CPI!$I$34</f>
        <v>0</v>
      </c>
      <c r="R110" s="17">
        <f>'FS (nominal)'!R111*CPI!$I$34</f>
        <v>0</v>
      </c>
      <c r="S110" s="15">
        <f>'FS (nominal)'!S111*CPI!$I$34</f>
        <v>3789.3617452413096</v>
      </c>
      <c r="T110" s="15">
        <f>'FS (nominal)'!T111*CPI!$I$34</f>
        <v>4493.3189753296292</v>
      </c>
      <c r="U110" s="15">
        <f>'FS (nominal)'!U111*CPI!$I$34</f>
        <v>1104.2004712756595</v>
      </c>
      <c r="V110" s="15">
        <f>'FS (nominal)'!V111*CPI!$I$34</f>
        <v>0</v>
      </c>
      <c r="W110" s="17"/>
      <c r="X110" s="17">
        <f>'FS (nominal)'!W111*CPI!$I$34</f>
        <v>1244.2856056912283</v>
      </c>
      <c r="Y110" s="17">
        <f>'FS (nominal)'!X111*CPI!$I$34</f>
        <v>0</v>
      </c>
      <c r="Z110" s="17">
        <f>'FS (nominal)'!Y111*CPI!$I$34</f>
        <v>0</v>
      </c>
      <c r="AA110" s="15">
        <f>'FS (nominal)'!Z111*CPI!$I$34</f>
        <v>2083.6192261811489</v>
      </c>
      <c r="AB110" s="17">
        <f>'FS (nominal)'!AA111*CPI!$I$34</f>
        <v>0</v>
      </c>
      <c r="AC110" s="17">
        <f>'FS (nominal)'!AB111*CPI!$I$34</f>
        <v>0</v>
      </c>
      <c r="AD110" s="17">
        <f>'FS (nominal)'!AC111*CPI!$I$34</f>
        <v>0</v>
      </c>
      <c r="AE110" s="17">
        <f>'FS (nominal)'!AD111*CPI!$I$34</f>
        <v>0</v>
      </c>
      <c r="AF110" s="17">
        <f>'FS (nominal)'!AE111*CPI!$I$34</f>
        <v>0</v>
      </c>
      <c r="AG110" s="15">
        <f>'FS (nominal)'!AF111*CPI!$I$34</f>
        <v>0</v>
      </c>
      <c r="AH110" s="18">
        <f>'FS (nominal)'!AG111*CPI!$I$34</f>
        <v>0</v>
      </c>
    </row>
    <row r="111" spans="1:34" s="7" customFormat="1" ht="14.45" hidden="1" customHeight="1">
      <c r="A111" s="246">
        <f>References!E270</f>
        <v>279</v>
      </c>
      <c r="B111" s="255" t="s">
        <v>41</v>
      </c>
      <c r="C111" s="121">
        <v>2006</v>
      </c>
      <c r="D111" s="17">
        <f>'FS (nominal)'!D112*CPI!$I$38</f>
        <v>8052.1165423359953</v>
      </c>
      <c r="E111" s="15">
        <f>'FS (nominal)'!E112*CPI!$I$38</f>
        <v>8052.1165423359953</v>
      </c>
      <c r="F111" s="15">
        <f>'FS (nominal)'!F112*CPI!$I$38</f>
        <v>0</v>
      </c>
      <c r="G111" s="15">
        <f>'FS (nominal)'!G112*CPI!$I$38</f>
        <v>320.62416726603578</v>
      </c>
      <c r="H111" s="17">
        <f>'FS (nominal)'!H112*CPI!$I$38</f>
        <v>170.01067943999763</v>
      </c>
      <c r="I111" s="15">
        <f>'FS (nominal)'!I112*CPI!$I$38</f>
        <v>8542.7513890420287</v>
      </c>
      <c r="J111" s="15">
        <f>'FS (nominal)'!J112*CPI!$I$38</f>
        <v>2033.2820856515152</v>
      </c>
      <c r="K111" s="17">
        <f>'FS (nominal)'!K112*CPI!$I$38</f>
        <v>0</v>
      </c>
      <c r="L111" s="17">
        <f>'FS (nominal)'!L112*CPI!$I$38</f>
        <v>0</v>
      </c>
      <c r="M111" s="17">
        <f>'FS (nominal)'!M112*CPI!$I$38</f>
        <v>0</v>
      </c>
      <c r="N111" s="17">
        <f>'FS (nominal)'!N112*CPI!$I$38</f>
        <v>0</v>
      </c>
      <c r="O111" s="17">
        <f>'FS (nominal)'!O112*CPI!$I$38</f>
        <v>0</v>
      </c>
      <c r="P111" s="17">
        <f>'FS (nominal)'!P112*CPI!$I$38</f>
        <v>0</v>
      </c>
      <c r="Q111" s="17">
        <f>'FS (nominal)'!Q112*CPI!$I$38</f>
        <v>0</v>
      </c>
      <c r="R111" s="17">
        <f>'FS (nominal)'!R112*CPI!$I$38</f>
        <v>0</v>
      </c>
      <c r="S111" s="15">
        <f>'FS (nominal)'!S112*CPI!$I$38</f>
        <v>3812.1186577787389</v>
      </c>
      <c r="T111" s="15">
        <f>'FS (nominal)'!T112*CPI!$I$38</f>
        <v>4730.6327312632902</v>
      </c>
      <c r="U111" s="15">
        <f>'FS (nominal)'!U112*CPI!$I$38</f>
        <v>1110.2039670813267</v>
      </c>
      <c r="V111" s="15">
        <f>'FS (nominal)'!V112*CPI!$I$38</f>
        <v>0</v>
      </c>
      <c r="W111" s="17"/>
      <c r="X111" s="17">
        <f>'FS (nominal)'!W112*CPI!$I$38</f>
        <v>1285.9197028783713</v>
      </c>
      <c r="Y111" s="17">
        <f>'FS (nominal)'!X112*CPI!$I$38</f>
        <v>0</v>
      </c>
      <c r="Z111" s="17">
        <f>'FS (nominal)'!Y112*CPI!$I$38</f>
        <v>0</v>
      </c>
      <c r="AA111" s="15">
        <f>'FS (nominal)'!Z112*CPI!$I$38</f>
        <v>2247.7922046764788</v>
      </c>
      <c r="AB111" s="17">
        <f>'FS (nominal)'!AA112*CPI!$I$38</f>
        <v>0</v>
      </c>
      <c r="AC111" s="17">
        <f>'FS (nominal)'!AB112*CPI!$I$38</f>
        <v>0</v>
      </c>
      <c r="AD111" s="17">
        <f>'FS (nominal)'!AC112*CPI!$I$38</f>
        <v>0</v>
      </c>
      <c r="AE111" s="17">
        <f>'FS (nominal)'!AD112*CPI!$I$38</f>
        <v>0</v>
      </c>
      <c r="AF111" s="17">
        <f>'FS (nominal)'!AE112*CPI!$I$38</f>
        <v>0</v>
      </c>
      <c r="AG111" s="15">
        <f>'FS (nominal)'!AF112*CPI!$I$38</f>
        <v>0</v>
      </c>
      <c r="AH111" s="18">
        <f>'FS (nominal)'!AG112*CPI!$I$38</f>
        <v>0</v>
      </c>
    </row>
    <row r="112" spans="1:34" s="7" customFormat="1" ht="15" hidden="1" customHeight="1">
      <c r="A112" s="246">
        <f>References!F270</f>
        <v>280</v>
      </c>
      <c r="B112" s="255" t="s">
        <v>41</v>
      </c>
      <c r="C112" s="121">
        <v>2007</v>
      </c>
      <c r="D112" s="17">
        <f>'FS (nominal)'!D113*CPI!$I$42</f>
        <v>8186.4340246292459</v>
      </c>
      <c r="E112" s="15">
        <f>'FS (nominal)'!E113*CPI!$I$42</f>
        <v>8186.4340246292459</v>
      </c>
      <c r="F112" s="15">
        <f>'FS (nominal)'!F113*CPI!$I$42</f>
        <v>0</v>
      </c>
      <c r="G112" s="15">
        <f>'FS (nominal)'!G113*CPI!$I$42</f>
        <v>248.844590048849</v>
      </c>
      <c r="H112" s="17">
        <f>'FS (nominal)'!H113*CPI!$I$42</f>
        <v>81.842220727177008</v>
      </c>
      <c r="I112" s="15">
        <f>'FS (nominal)'!I113*CPI!$I$42</f>
        <v>8517.1208354052724</v>
      </c>
      <c r="J112" s="15">
        <f>'FS (nominal)'!J113*CPI!$I$42</f>
        <v>2334.7152426360899</v>
      </c>
      <c r="K112" s="17">
        <f>'FS (nominal)'!K113*CPI!$I$42</f>
        <v>0</v>
      </c>
      <c r="L112" s="17">
        <f>'FS (nominal)'!L113*CPI!$I$42</f>
        <v>0</v>
      </c>
      <c r="M112" s="17">
        <f>'FS (nominal)'!M113*CPI!$I$42</f>
        <v>0</v>
      </c>
      <c r="N112" s="17">
        <f>'FS (nominal)'!N113*CPI!$I$42</f>
        <v>0</v>
      </c>
      <c r="O112" s="17">
        <f>'FS (nominal)'!O113*CPI!$I$42</f>
        <v>0</v>
      </c>
      <c r="P112" s="17">
        <f>'FS (nominal)'!P113*CPI!$I$42</f>
        <v>0</v>
      </c>
      <c r="Q112" s="17">
        <f>'FS (nominal)'!Q113*CPI!$I$42</f>
        <v>0</v>
      </c>
      <c r="R112" s="17">
        <f>'FS (nominal)'!R113*CPI!$I$42</f>
        <v>0</v>
      </c>
      <c r="S112" s="15">
        <f>'FS (nominal)'!S113*CPI!$I$42</f>
        <v>4322.154035159564</v>
      </c>
      <c r="T112" s="15">
        <f>'FS (nominal)'!T113*CPI!$I$42</f>
        <v>4194.9668002457083</v>
      </c>
      <c r="U112" s="15">
        <f>'FS (nominal)'!U113*CPI!$I$42</f>
        <v>1096.0221721707082</v>
      </c>
      <c r="V112" s="15">
        <f>'FS (nominal)'!V113*CPI!$I$42</f>
        <v>0</v>
      </c>
      <c r="W112" s="17"/>
      <c r="X112" s="17">
        <f>'FS (nominal)'!W113*CPI!$I$42</f>
        <v>1041.8293503378479</v>
      </c>
      <c r="Y112" s="17">
        <f>'FS (nominal)'!X113*CPI!$I$42</f>
        <v>0</v>
      </c>
      <c r="Z112" s="17">
        <f>'FS (nominal)'!Y113*CPI!$I$42</f>
        <v>0</v>
      </c>
      <c r="AA112" s="15">
        <f>'FS (nominal)'!Z113*CPI!$I$42</f>
        <v>1773.9854330593503</v>
      </c>
      <c r="AB112" s="17">
        <f>'FS (nominal)'!AA113*CPI!$I$42</f>
        <v>0</v>
      </c>
      <c r="AC112" s="17">
        <f>'FS (nominal)'!AB113*CPI!$I$42</f>
        <v>0</v>
      </c>
      <c r="AD112" s="17">
        <f>'FS (nominal)'!AC113*CPI!$I$42</f>
        <v>0</v>
      </c>
      <c r="AE112" s="17">
        <f>'FS (nominal)'!AD113*CPI!$I$42</f>
        <v>0</v>
      </c>
      <c r="AF112" s="17">
        <f>'FS (nominal)'!AE113*CPI!$I$42</f>
        <v>0</v>
      </c>
      <c r="AG112" s="15">
        <f>'FS (nominal)'!AF113*CPI!$I$42</f>
        <v>0</v>
      </c>
      <c r="AH112" s="18">
        <f>'FS (nominal)'!AG113*CPI!$I$42</f>
        <v>0</v>
      </c>
    </row>
    <row r="113" spans="1:34" s="7" customFormat="1" ht="15" customHeight="1">
      <c r="A113" s="246">
        <f>References!G270</f>
        <v>281</v>
      </c>
      <c r="B113" s="256" t="s">
        <v>41</v>
      </c>
      <c r="C113" s="121">
        <v>2008</v>
      </c>
      <c r="D113" s="17">
        <f>'FS (nominal)'!D114*CPI!$I$46</f>
        <v>8063.640409740241</v>
      </c>
      <c r="E113" s="15">
        <f>'FS (nominal)'!E114*CPI!$I$46</f>
        <v>8063.640409740241</v>
      </c>
      <c r="F113" s="15">
        <f>'FS (nominal)'!F114*CPI!$I$46</f>
        <v>125.97260043910921</v>
      </c>
      <c r="G113" s="15">
        <f>'FS (nominal)'!G114*CPI!$I$46</f>
        <v>175.90150808360181</v>
      </c>
      <c r="H113" s="17">
        <f>'FS (nominal)'!H114*CPI!$I$46</f>
        <v>0</v>
      </c>
      <c r="I113" s="15">
        <f>'FS (nominal)'!I114*CPI!$I$46</f>
        <v>8365.5145182629512</v>
      </c>
      <c r="J113" s="15">
        <f>'FS (nominal)'!J114*CPI!$I$46</f>
        <v>2233.4938715748053</v>
      </c>
      <c r="K113" s="17">
        <f>'FS (nominal)'!K114*CPI!$I$46</f>
        <v>0</v>
      </c>
      <c r="L113" s="17">
        <f>'FS (nominal)'!L114*CPI!$I$46</f>
        <v>0</v>
      </c>
      <c r="M113" s="17">
        <f>'FS (nominal)'!M114*CPI!$I$46</f>
        <v>0</v>
      </c>
      <c r="N113" s="17">
        <f>'FS (nominal)'!N114*CPI!$I$46</f>
        <v>0</v>
      </c>
      <c r="O113" s="17">
        <f>'FS (nominal)'!O114*CPI!$I$46</f>
        <v>0</v>
      </c>
      <c r="P113" s="17">
        <f>'FS (nominal)'!P114*CPI!$I$46</f>
        <v>0</v>
      </c>
      <c r="Q113" s="17">
        <f>'FS (nominal)'!Q114*CPI!$I$46</f>
        <v>0</v>
      </c>
      <c r="R113" s="17">
        <f>'FS (nominal)'!R114*CPI!$I$46</f>
        <v>0</v>
      </c>
      <c r="S113" s="15">
        <f>'FS (nominal)'!S114*CPI!$I$46</f>
        <v>1907.787312879587</v>
      </c>
      <c r="T113" s="15">
        <f>'FS (nominal)'!T114*CPI!$I$46</f>
        <v>4224.2333338085591</v>
      </c>
      <c r="U113" s="15">
        <f>'FS (nominal)'!U114*CPI!$I$46</f>
        <v>1089.2719134897777</v>
      </c>
      <c r="V113" s="15">
        <f>'FS (nominal)'!V114*CPI!$I$46</f>
        <v>3134.9614203187816</v>
      </c>
      <c r="W113" s="17"/>
      <c r="X113" s="17">
        <f>'FS (nominal)'!W114*CPI!$I$46</f>
        <v>919.77713638618798</v>
      </c>
      <c r="Y113" s="17">
        <f>'FS (nominal)'!X114*CPI!$I$46</f>
        <v>806.21512319865406</v>
      </c>
      <c r="Z113" s="17">
        <f>'FS (nominal)'!Y114*CPI!$I$46</f>
        <v>0</v>
      </c>
      <c r="AA113" s="15">
        <f>'FS (nominal)'!Z114*CPI!$I$46</f>
        <v>3021.3993532263121</v>
      </c>
      <c r="AB113" s="17">
        <f>'FS (nominal)'!AA114*CPI!$I$46</f>
        <v>0</v>
      </c>
      <c r="AC113" s="17">
        <f>'FS (nominal)'!AB114*CPI!$I$46</f>
        <v>0</v>
      </c>
      <c r="AD113" s="17">
        <f>'FS (nominal)'!AC114*CPI!$I$46</f>
        <v>0</v>
      </c>
      <c r="AE113" s="17">
        <f>'FS (nominal)'!AD114*CPI!$I$46</f>
        <v>0</v>
      </c>
      <c r="AF113" s="17">
        <f>'FS (nominal)'!AE114*CPI!$I$46</f>
        <v>0</v>
      </c>
      <c r="AG113" s="15">
        <f>'FS (nominal)'!AF114*CPI!$I$46</f>
        <v>876.51905078269795</v>
      </c>
      <c r="AH113" s="18">
        <f>'FS (nominal)'!AG114*CPI!$I$46</f>
        <v>18.242842550825465</v>
      </c>
    </row>
    <row r="114" spans="1:34" s="7" customFormat="1" ht="15" customHeight="1">
      <c r="A114" s="246">
        <f>References!H270</f>
        <v>282</v>
      </c>
      <c r="B114" s="256" t="s">
        <v>41</v>
      </c>
      <c r="C114" s="121">
        <v>2009</v>
      </c>
      <c r="D114" s="17">
        <f>'FS (nominal)'!D115*CPI!$I$50</f>
        <v>8606.1249796417032</v>
      </c>
      <c r="E114" s="15">
        <f>'FS (nominal)'!E115*CPI!$I$50</f>
        <v>8606.1249796417032</v>
      </c>
      <c r="F114" s="15">
        <f>'FS (nominal)'!F115*CPI!$I$50</f>
        <v>111.07612052989221</v>
      </c>
      <c r="G114" s="15">
        <f>'FS (nominal)'!G115*CPI!$I$50</f>
        <v>624.93293980369253</v>
      </c>
      <c r="H114" s="17">
        <f>'FS (nominal)'!H115*CPI!$I$50</f>
        <v>0</v>
      </c>
      <c r="I114" s="15">
        <f>'FS (nominal)'!I115*CPI!$I$50</f>
        <v>9342.134039975288</v>
      </c>
      <c r="J114" s="15">
        <f>'FS (nominal)'!J115*CPI!$I$50</f>
        <v>2543.3317317592141</v>
      </c>
      <c r="K114" s="17">
        <f>'FS (nominal)'!K115*CPI!$I$50</f>
        <v>0</v>
      </c>
      <c r="L114" s="17">
        <f>'FS (nominal)'!L115*CPI!$I$50</f>
        <v>0</v>
      </c>
      <c r="M114" s="17">
        <f>'FS (nominal)'!M115*CPI!$I$50</f>
        <v>0</v>
      </c>
      <c r="N114" s="17">
        <f>'FS (nominal)'!N115*CPI!$I$50</f>
        <v>0</v>
      </c>
      <c r="O114" s="17">
        <f>'FS (nominal)'!O115*CPI!$I$50</f>
        <v>0</v>
      </c>
      <c r="P114" s="17">
        <f>'FS (nominal)'!P115*CPI!$I$50</f>
        <v>0</v>
      </c>
      <c r="Q114" s="17">
        <f>'FS (nominal)'!Q115*CPI!$I$50</f>
        <v>0</v>
      </c>
      <c r="R114" s="17">
        <f>'FS (nominal)'!R115*CPI!$I$50</f>
        <v>0</v>
      </c>
      <c r="S114" s="15">
        <f>'FS (nominal)'!S115*CPI!$I$50</f>
        <v>1944.3511565653093</v>
      </c>
      <c r="T114" s="15">
        <f>'FS (nominal)'!T115*CPI!$I$50</f>
        <v>4854.4511516507646</v>
      </c>
      <c r="U114" s="15">
        <f>'FS (nominal)'!U115*CPI!$I$50</f>
        <v>1154.0560818450131</v>
      </c>
      <c r="V114" s="15">
        <f>'FS (nominal)'!V115*CPI!$I$50</f>
        <v>3700.3950698057511</v>
      </c>
      <c r="W114" s="17"/>
      <c r="X114" s="17">
        <f>'FS (nominal)'!W115*CPI!$I$50</f>
        <v>1019.9963499787217</v>
      </c>
      <c r="Y114" s="17">
        <f>'FS (nominal)'!X115*CPI!$I$50</f>
        <v>700.67905791475027</v>
      </c>
      <c r="Z114" s="17">
        <f>'FS (nominal)'!Y115*CPI!$I$50</f>
        <v>0</v>
      </c>
      <c r="AA114" s="15">
        <f>'FS (nominal)'!Z115*CPI!$I$50</f>
        <v>3381.0777985036711</v>
      </c>
      <c r="AB114" s="17">
        <f>'FS (nominal)'!AA115*CPI!$I$50</f>
        <v>0</v>
      </c>
      <c r="AC114" s="17">
        <f>'FS (nominal)'!AB115*CPI!$I$50</f>
        <v>0</v>
      </c>
      <c r="AD114" s="17">
        <f>'FS (nominal)'!AC115*CPI!$I$50</f>
        <v>0</v>
      </c>
      <c r="AE114" s="17">
        <f>'FS (nominal)'!AD115*CPI!$I$50</f>
        <v>0</v>
      </c>
      <c r="AF114" s="17">
        <f>'FS (nominal)'!AE115*CPI!$I$50</f>
        <v>0</v>
      </c>
      <c r="AG114" s="15">
        <f>'FS (nominal)'!AF115*CPI!$I$50</f>
        <v>1199.0532258905891</v>
      </c>
      <c r="AH114" s="18">
        <f>'FS (nominal)'!AG115*CPI!$I$50</f>
        <v>204.35203322122308</v>
      </c>
    </row>
    <row r="115" spans="1:34" s="7" customFormat="1" ht="15" customHeight="1">
      <c r="A115" s="246">
        <f>References!I270</f>
        <v>283</v>
      </c>
      <c r="B115" s="256" t="s">
        <v>41</v>
      </c>
      <c r="C115" s="121">
        <v>2010</v>
      </c>
      <c r="D115" s="17">
        <f>'FS (nominal)'!D116*CPI!$I$54</f>
        <v>8482.8234216270102</v>
      </c>
      <c r="E115" s="15">
        <f>'FS (nominal)'!E116*CPI!$I$54</f>
        <v>8482.8234216270102</v>
      </c>
      <c r="F115" s="15">
        <f>'FS (nominal)'!F116*CPI!$I$54</f>
        <v>137.54277707418285</v>
      </c>
      <c r="G115" s="15">
        <f>'FS (nominal)'!G116*CPI!$I$54</f>
        <v>155.88181401740721</v>
      </c>
      <c r="H115" s="17">
        <f>'FS (nominal)'!H116*CPI!$I$54</f>
        <v>0</v>
      </c>
      <c r="I115" s="15">
        <f>'FS (nominal)'!I116*CPI!$I$54</f>
        <v>8776.2480127185991</v>
      </c>
      <c r="J115" s="15">
        <f>'FS (nominal)'!J116*CPI!$I$54</f>
        <v>2525.6929212362907</v>
      </c>
      <c r="K115" s="17">
        <f>'FS (nominal)'!K116*CPI!$I$54</f>
        <v>1301.0527875831963</v>
      </c>
      <c r="L115" s="17">
        <f>'FS (nominal)'!L116*CPI!$I$54</f>
        <v>322.970817277896</v>
      </c>
      <c r="M115" s="17">
        <f>'FS (nominal)'!M116*CPI!$I$54</f>
        <v>329.08382959230414</v>
      </c>
      <c r="N115" s="17">
        <f>'FS (nominal)'!N116*CPI!$I$54</f>
        <v>75.393818544366894</v>
      </c>
      <c r="O115" s="17">
        <f>'FS (nominal)'!O116*CPI!$I$54</f>
        <v>103.92120934493815</v>
      </c>
      <c r="P115" s="17">
        <f>'FS (nominal)'!P116*CPI!$I$54</f>
        <v>61.13012314408126</v>
      </c>
      <c r="Q115" s="17">
        <f>'FS (nominal)'!Q116*CPI!$I$54</f>
        <v>0</v>
      </c>
      <c r="R115" s="17">
        <f>'FS (nominal)'!R116*CPI!$I$54</f>
        <v>0</v>
      </c>
      <c r="S115" s="15">
        <f>'FS (nominal)'!S116*CPI!$I$54</f>
        <v>2193.5525854867824</v>
      </c>
      <c r="T115" s="15">
        <f>'FS (nominal)'!T116*CPI!$I$54</f>
        <v>4057.0025059955265</v>
      </c>
      <c r="U115" s="15">
        <f>'FS (nominal)'!U116*CPI!$I$54</f>
        <v>1380.9744124653066</v>
      </c>
      <c r="V115" s="15">
        <f>'FS (nominal)'!V116*CPI!$I$54</f>
        <v>2676.0280935302194</v>
      </c>
      <c r="W115" s="17"/>
      <c r="X115" s="17">
        <f>'FS (nominal)'!W116*CPI!$I$54</f>
        <v>822.8126495567351</v>
      </c>
      <c r="Y115" s="17">
        <f>'FS (nominal)'!X116*CPI!$I$54</f>
        <v>484.9559239201314</v>
      </c>
      <c r="Z115" s="17">
        <f>'FS (nominal)'!Y116*CPI!$I$54</f>
        <v>0</v>
      </c>
      <c r="AA115" s="15">
        <f>'FS (nominal)'!Z116*CPI!$I$54</f>
        <v>2338.17137808197</v>
      </c>
      <c r="AB115" s="17">
        <f>'FS (nominal)'!AA116*CPI!$I$54</f>
        <v>0</v>
      </c>
      <c r="AC115" s="17">
        <f>'FS (nominal)'!AB116*CPI!$I$54</f>
        <v>219.04960793295785</v>
      </c>
      <c r="AD115" s="17">
        <f>'FS (nominal)'!AC116*CPI!$I$54</f>
        <v>779.40907008703607</v>
      </c>
      <c r="AE115" s="17">
        <f>'FS (nominal)'!AD116*CPI!$I$54</f>
        <v>455.41941742340538</v>
      </c>
      <c r="AF115" s="17">
        <f>'FS (nominal)'!AE116*CPI!$I$54</f>
        <v>0</v>
      </c>
      <c r="AG115" s="15">
        <f>'FS (nominal)'!AF116*CPI!$I$54</f>
        <v>1453.8780954433994</v>
      </c>
      <c r="AH115" s="18">
        <f>'FS (nominal)'!AG116*CPI!$I$54</f>
        <v>99.204001508986551</v>
      </c>
    </row>
    <row r="116" spans="1:34" s="7" customFormat="1" ht="15" customHeight="1">
      <c r="A116" s="246">
        <f>References!J270</f>
        <v>284</v>
      </c>
      <c r="B116" s="256" t="s">
        <v>41</v>
      </c>
      <c r="C116" s="121">
        <v>2011</v>
      </c>
      <c r="D116" s="17">
        <f>'FS (nominal)'!D117*CPI!$I$58</f>
        <v>8833</v>
      </c>
      <c r="E116" s="15">
        <f>'FS (nominal)'!E117*CPI!$I$58</f>
        <v>8833</v>
      </c>
      <c r="F116" s="15">
        <f>'FS (nominal)'!F117*CPI!$I$58</f>
        <v>66</v>
      </c>
      <c r="G116" s="15">
        <f>'FS (nominal)'!G117*CPI!$I$58</f>
        <v>220</v>
      </c>
      <c r="H116" s="17">
        <f>'FS (nominal)'!H117*CPI!$I$58</f>
        <v>0</v>
      </c>
      <c r="I116" s="15">
        <f>'FS (nominal)'!I117*CPI!$I$58</f>
        <v>9119</v>
      </c>
      <c r="J116" s="15">
        <f>'FS (nominal)'!J117*CPI!$I$58</f>
        <v>2455</v>
      </c>
      <c r="K116" s="17">
        <f>'FS (nominal)'!K117*CPI!$I$58</f>
        <v>1078</v>
      </c>
      <c r="L116" s="17">
        <f>'FS (nominal)'!L117*CPI!$I$58</f>
        <v>345</v>
      </c>
      <c r="M116" s="17">
        <f>'FS (nominal)'!M117*CPI!$I$58</f>
        <v>180</v>
      </c>
      <c r="N116" s="17">
        <f>'FS (nominal)'!N117*CPI!$I$58</f>
        <v>77</v>
      </c>
      <c r="O116" s="17">
        <f>'FS (nominal)'!O117*CPI!$I$58</f>
        <v>71</v>
      </c>
      <c r="P116" s="17">
        <f>'FS (nominal)'!P117*CPI!$I$58</f>
        <v>-2</v>
      </c>
      <c r="Q116" s="17">
        <f>'FS (nominal)'!Q117*CPI!$I$58</f>
        <v>0</v>
      </c>
      <c r="R116" s="17">
        <f>'FS (nominal)'!R117*CPI!$I$58</f>
        <v>0</v>
      </c>
      <c r="S116" s="15">
        <f>'FS (nominal)'!S117*CPI!$I$58</f>
        <v>1749</v>
      </c>
      <c r="T116" s="15">
        <f>'FS (nominal)'!T117*CPI!$I$58</f>
        <v>4915</v>
      </c>
      <c r="U116" s="15">
        <f>'FS (nominal)'!U117*CPI!$I$58</f>
        <v>1479.3735999999999</v>
      </c>
      <c r="V116" s="15">
        <f>'FS (nominal)'!V117*CPI!$I$58</f>
        <v>3435.6264000000001</v>
      </c>
      <c r="W116" s="17"/>
      <c r="X116" s="17">
        <f>'FS (nominal)'!W117*CPI!$I$58</f>
        <v>1042.9096999999999</v>
      </c>
      <c r="Y116" s="17">
        <f>'FS (nominal)'!X117*CPI!$I$58</f>
        <v>1058.9313</v>
      </c>
      <c r="Z116" s="17">
        <f>'FS (nominal)'!Y117*CPI!$I$58</f>
        <v>0</v>
      </c>
      <c r="AA116" s="15">
        <f>'FS (nominal)'!Z117*CPI!$I$58</f>
        <v>3451.6480000000001</v>
      </c>
      <c r="AB116" s="17">
        <f>'FS (nominal)'!AA117*CPI!$I$58</f>
        <v>0</v>
      </c>
      <c r="AC116" s="17">
        <f>'FS (nominal)'!AB117*CPI!$I$58</f>
        <v>235</v>
      </c>
      <c r="AD116" s="17">
        <f>'FS (nominal)'!AC117*CPI!$I$58</f>
        <v>456</v>
      </c>
      <c r="AE116" s="17">
        <f>'FS (nominal)'!AD117*CPI!$I$58</f>
        <v>1187</v>
      </c>
      <c r="AF116" s="17">
        <f>'FS (nominal)'!AE117*CPI!$I$58</f>
        <v>0</v>
      </c>
      <c r="AG116" s="15">
        <f>'FS (nominal)'!AF117*CPI!$I$58</f>
        <v>1878</v>
      </c>
      <c r="AH116" s="18">
        <f>'FS (nominal)'!AG117*CPI!$I$58</f>
        <v>18.305</v>
      </c>
    </row>
    <row r="117" spans="1:34" s="7" customFormat="1" ht="14.45" hidden="1" customHeight="1">
      <c r="A117" s="246">
        <f>References!C271</f>
        <v>300</v>
      </c>
      <c r="B117" s="255" t="s">
        <v>42</v>
      </c>
      <c r="C117" s="121">
        <v>2004</v>
      </c>
      <c r="D117" s="17">
        <f>'FS (nominal)'!D118*CPI!$I$30</f>
        <v>31252.145627854581</v>
      </c>
      <c r="E117" s="15">
        <f>'FS (nominal)'!E118*CPI!$I$30</f>
        <v>31252.145627854581</v>
      </c>
      <c r="F117" s="15">
        <f>'FS (nominal)'!F118*CPI!$I$30</f>
        <v>0</v>
      </c>
      <c r="G117" s="15">
        <f>'FS (nominal)'!G118*CPI!$I$30</f>
        <v>1394.9694002230653</v>
      </c>
      <c r="H117" s="17">
        <f>'FS (nominal)'!H118*CPI!$I$30</f>
        <v>4632.9892807408478</v>
      </c>
      <c r="I117" s="15">
        <f>'FS (nominal)'!I118*CPI!$I$30</f>
        <v>37280.104308818496</v>
      </c>
      <c r="J117" s="15">
        <f>'FS (nominal)'!J118*CPI!$I$30</f>
        <v>9900.055561583089</v>
      </c>
      <c r="K117" s="17">
        <f>'FS (nominal)'!K118*CPI!$I$30</f>
        <v>0</v>
      </c>
      <c r="L117" s="17">
        <f>'FS (nominal)'!L118*CPI!$I$30</f>
        <v>0</v>
      </c>
      <c r="M117" s="17">
        <f>'FS (nominal)'!M118*CPI!$I$30</f>
        <v>0</v>
      </c>
      <c r="N117" s="17">
        <f>'FS (nominal)'!N118*CPI!$I$30</f>
        <v>0</v>
      </c>
      <c r="O117" s="17">
        <f>'FS (nominal)'!O118*CPI!$I$30</f>
        <v>0</v>
      </c>
      <c r="P117" s="17">
        <f>'FS (nominal)'!P118*CPI!$I$30</f>
        <v>0</v>
      </c>
      <c r="Q117" s="17">
        <f>'FS (nominal)'!Q118*CPI!$I$30</f>
        <v>560.40329151818389</v>
      </c>
      <c r="R117" s="17">
        <f>'FS (nominal)'!R118*CPI!$I$30</f>
        <v>0</v>
      </c>
      <c r="S117" s="15">
        <f>'FS (nominal)'!S118*CPI!$I$30</f>
        <v>22669.76246076791</v>
      </c>
      <c r="T117" s="15">
        <f>'FS (nominal)'!T118*CPI!$I$30</f>
        <v>14610.341848050582</v>
      </c>
      <c r="U117" s="15">
        <f>'FS (nominal)'!U118*CPI!$I$30</f>
        <v>3808.0852977517966</v>
      </c>
      <c r="V117" s="15">
        <f>'FS (nominal)'!V118*CPI!$I$30</f>
        <v>0</v>
      </c>
      <c r="W117" s="17"/>
      <c r="X117" s="17">
        <f>'FS (nominal)'!W118*CPI!$I$30</f>
        <v>3117.2433090698978</v>
      </c>
      <c r="Y117" s="17">
        <f>'FS (nominal)'!X118*CPI!$I$30</f>
        <v>0</v>
      </c>
      <c r="Z117" s="17">
        <f>'FS (nominal)'!Y118*CPI!$I$30</f>
        <v>0</v>
      </c>
      <c r="AA117" s="15">
        <f>'FS (nominal)'!Z118*CPI!$I$30</f>
        <v>7675.3511155130573</v>
      </c>
      <c r="AB117" s="17">
        <f>'FS (nominal)'!AA118*CPI!$I$30</f>
        <v>0</v>
      </c>
      <c r="AC117" s="17">
        <f>'FS (nominal)'!AB118*CPI!$I$30</f>
        <v>0</v>
      </c>
      <c r="AD117" s="17">
        <f>'FS (nominal)'!AC118*CPI!$I$30</f>
        <v>0</v>
      </c>
      <c r="AE117" s="17">
        <f>'FS (nominal)'!AD118*CPI!$I$30</f>
        <v>0</v>
      </c>
      <c r="AF117" s="17">
        <f>'FS (nominal)'!AE118*CPI!$I$30</f>
        <v>0</v>
      </c>
      <c r="AG117" s="15">
        <f>'FS (nominal)'!AF118*CPI!$I$30</f>
        <v>0</v>
      </c>
      <c r="AH117" s="18">
        <f>'FS (nominal)'!AG118*CPI!$I$30</f>
        <v>0</v>
      </c>
    </row>
    <row r="118" spans="1:34" s="7" customFormat="1" ht="15" hidden="1" customHeight="1">
      <c r="A118" s="246">
        <f>References!D271</f>
        <v>301</v>
      </c>
      <c r="B118" s="255" t="s">
        <v>42</v>
      </c>
      <c r="C118" s="121">
        <v>2005</v>
      </c>
      <c r="D118" s="17">
        <f>'FS (nominal)'!D119*CPI!$I$34</f>
        <v>31925.28441470777</v>
      </c>
      <c r="E118" s="15">
        <f>'FS (nominal)'!E119*CPI!$I$34</f>
        <v>31925.28441470777</v>
      </c>
      <c r="F118" s="15">
        <f>'FS (nominal)'!F119*CPI!$I$34</f>
        <v>0</v>
      </c>
      <c r="G118" s="15">
        <f>'FS (nominal)'!G119*CPI!$I$34</f>
        <v>769.87964628388204</v>
      </c>
      <c r="H118" s="17">
        <f>'FS (nominal)'!H119*CPI!$I$34</f>
        <v>4918.2831225903046</v>
      </c>
      <c r="I118" s="15">
        <f>'FS (nominal)'!I119*CPI!$I$34</f>
        <v>37613.447183581957</v>
      </c>
      <c r="J118" s="15">
        <f>'FS (nominal)'!J119*CPI!$I$34</f>
        <v>10006.081029683482</v>
      </c>
      <c r="K118" s="17">
        <f>'FS (nominal)'!K119*CPI!$I$34</f>
        <v>0</v>
      </c>
      <c r="L118" s="17">
        <f>'FS (nominal)'!L119*CPI!$I$34</f>
        <v>0</v>
      </c>
      <c r="M118" s="17">
        <f>'FS (nominal)'!M119*CPI!$I$34</f>
        <v>0</v>
      </c>
      <c r="N118" s="17">
        <f>'FS (nominal)'!N119*CPI!$I$34</f>
        <v>0</v>
      </c>
      <c r="O118" s="17">
        <f>'FS (nominal)'!O119*CPI!$I$34</f>
        <v>0</v>
      </c>
      <c r="P118" s="17">
        <f>'FS (nominal)'!P119*CPI!$I$34</f>
        <v>0</v>
      </c>
      <c r="Q118" s="17">
        <f>'FS (nominal)'!Q119*CPI!$I$34</f>
        <v>310.77710492193404</v>
      </c>
      <c r="R118" s="17">
        <f>'FS (nominal)'!R119*CPI!$I$34</f>
        <v>0</v>
      </c>
      <c r="S118" s="15">
        <f>'FS (nominal)'!S119*CPI!$I$34</f>
        <v>22771.48605155262</v>
      </c>
      <c r="T118" s="15">
        <f>'FS (nominal)'!T119*CPI!$I$34</f>
        <v>14841.961132029335</v>
      </c>
      <c r="U118" s="15">
        <f>'FS (nominal)'!U119*CPI!$I$34</f>
        <v>5339.715711840503</v>
      </c>
      <c r="V118" s="15">
        <f>'FS (nominal)'!V119*CPI!$I$34</f>
        <v>0</v>
      </c>
      <c r="W118" s="17"/>
      <c r="X118" s="17">
        <f>'FS (nominal)'!W119*CPI!$I$34</f>
        <v>2539.19020953262</v>
      </c>
      <c r="Y118" s="17">
        <f>'FS (nominal)'!X119*CPI!$I$34</f>
        <v>0</v>
      </c>
      <c r="Z118" s="17">
        <f>'FS (nominal)'!Y119*CPI!$I$34</f>
        <v>0</v>
      </c>
      <c r="AA118" s="15">
        <f>'FS (nominal)'!Z119*CPI!$I$34</f>
        <v>6955.9920946352586</v>
      </c>
      <c r="AB118" s="17">
        <f>'FS (nominal)'!AA119*CPI!$I$34</f>
        <v>0</v>
      </c>
      <c r="AC118" s="17">
        <f>'FS (nominal)'!AB119*CPI!$I$34</f>
        <v>0</v>
      </c>
      <c r="AD118" s="17">
        <f>'FS (nominal)'!AC119*CPI!$I$34</f>
        <v>0</v>
      </c>
      <c r="AE118" s="17">
        <f>'FS (nominal)'!AD119*CPI!$I$34</f>
        <v>0</v>
      </c>
      <c r="AF118" s="17">
        <f>'FS (nominal)'!AE119*CPI!$I$34</f>
        <v>0</v>
      </c>
      <c r="AG118" s="15">
        <f>'FS (nominal)'!AF119*CPI!$I$34</f>
        <v>0</v>
      </c>
      <c r="AH118" s="18">
        <f>'FS (nominal)'!AG119*CPI!$I$34</f>
        <v>0</v>
      </c>
    </row>
    <row r="119" spans="1:34" s="7" customFormat="1" ht="14.45" hidden="1" customHeight="1">
      <c r="A119" s="246">
        <f>References!E271</f>
        <v>302</v>
      </c>
      <c r="B119" s="255" t="s">
        <v>42</v>
      </c>
      <c r="C119" s="121">
        <v>2006</v>
      </c>
      <c r="D119" s="17">
        <f>'FS (nominal)'!D120*CPI!$I$38</f>
        <v>26341.386211756948</v>
      </c>
      <c r="E119" s="15">
        <f>'FS (nominal)'!E120*CPI!$I$38</f>
        <v>26341.386211756948</v>
      </c>
      <c r="F119" s="15">
        <f>'FS (nominal)'!F120*CPI!$I$38</f>
        <v>0</v>
      </c>
      <c r="G119" s="15">
        <f>'FS (nominal)'!G120*CPI!$I$38</f>
        <v>1653.3253322721916</v>
      </c>
      <c r="H119" s="17">
        <f>'FS (nominal)'!H120*CPI!$I$38</f>
        <v>2600.3646875419772</v>
      </c>
      <c r="I119" s="15">
        <f>'FS (nominal)'!I120*CPI!$I$38</f>
        <v>30595.076231571118</v>
      </c>
      <c r="J119" s="15">
        <f>'FS (nominal)'!J120*CPI!$I$38</f>
        <v>9739.672212750469</v>
      </c>
      <c r="K119" s="17">
        <f>'FS (nominal)'!K120*CPI!$I$38</f>
        <v>0</v>
      </c>
      <c r="L119" s="17">
        <f>'FS (nominal)'!L120*CPI!$I$38</f>
        <v>0</v>
      </c>
      <c r="M119" s="17">
        <f>'FS (nominal)'!M120*CPI!$I$38</f>
        <v>0</v>
      </c>
      <c r="N119" s="17">
        <f>'FS (nominal)'!N120*CPI!$I$38</f>
        <v>0</v>
      </c>
      <c r="O119" s="17">
        <f>'FS (nominal)'!O120*CPI!$I$38</f>
        <v>0</v>
      </c>
      <c r="P119" s="17">
        <f>'FS (nominal)'!P120*CPI!$I$38</f>
        <v>0</v>
      </c>
      <c r="Q119" s="17">
        <f>'FS (nominal)'!Q120*CPI!$I$38</f>
        <v>645.8123796177091</v>
      </c>
      <c r="R119" s="17">
        <f>'FS (nominal)'!R120*CPI!$I$38</f>
        <v>0</v>
      </c>
      <c r="S119" s="15">
        <f>'FS (nominal)'!S120*CPI!$I$38</f>
        <v>17240.680310995733</v>
      </c>
      <c r="T119" s="15">
        <f>'FS (nominal)'!T120*CPI!$I$38</f>
        <v>13354.395920575384</v>
      </c>
      <c r="U119" s="15">
        <f>'FS (nominal)'!U120*CPI!$I$38</f>
        <v>5371.8810657953618</v>
      </c>
      <c r="V119" s="15">
        <f>'FS (nominal)'!V120*CPI!$I$38</f>
        <v>0</v>
      </c>
      <c r="W119" s="17"/>
      <c r="X119" s="17">
        <f>'FS (nominal)'!W120*CPI!$I$38</f>
        <v>2723.5939048541904</v>
      </c>
      <c r="Y119" s="17">
        <f>'FS (nominal)'!X120*CPI!$I$38</f>
        <v>0</v>
      </c>
      <c r="Z119" s="17">
        <f>'FS (nominal)'!Y120*CPI!$I$38</f>
        <v>0</v>
      </c>
      <c r="AA119" s="15">
        <f>'FS (nominal)'!Z120*CPI!$I$38</f>
        <v>5258.9209499258332</v>
      </c>
      <c r="AB119" s="17">
        <f>'FS (nominal)'!AA120*CPI!$I$38</f>
        <v>0</v>
      </c>
      <c r="AC119" s="17">
        <f>'FS (nominal)'!AB120*CPI!$I$38</f>
        <v>0</v>
      </c>
      <c r="AD119" s="17">
        <f>'FS (nominal)'!AC120*CPI!$I$38</f>
        <v>0</v>
      </c>
      <c r="AE119" s="17">
        <f>'FS (nominal)'!AD120*CPI!$I$38</f>
        <v>0</v>
      </c>
      <c r="AF119" s="17">
        <f>'FS (nominal)'!AE120*CPI!$I$38</f>
        <v>0</v>
      </c>
      <c r="AG119" s="15">
        <f>'FS (nominal)'!AF120*CPI!$I$38</f>
        <v>0</v>
      </c>
      <c r="AH119" s="18">
        <f>'FS (nominal)'!AG120*CPI!$I$38</f>
        <v>0</v>
      </c>
    </row>
    <row r="120" spans="1:34" s="7" customFormat="1" ht="15" hidden="1" customHeight="1">
      <c r="A120" s="246">
        <f>References!F271</f>
        <v>303</v>
      </c>
      <c r="B120" s="255" t="s">
        <v>42</v>
      </c>
      <c r="C120" s="121">
        <v>2007</v>
      </c>
      <c r="D120" s="17">
        <f>'FS (nominal)'!D121*CPI!$I$42</f>
        <v>26377.526545177996</v>
      </c>
      <c r="E120" s="15">
        <f>'FS (nominal)'!E121*CPI!$I$42</f>
        <v>26377.526545177996</v>
      </c>
      <c r="F120" s="15">
        <f>'FS (nominal)'!F121*CPI!$I$42</f>
        <v>0</v>
      </c>
      <c r="G120" s="15">
        <f>'FS (nominal)'!G121*CPI!$I$42</f>
        <v>1208.8317196595199</v>
      </c>
      <c r="H120" s="17">
        <f>'FS (nominal)'!H121*CPI!$I$42</f>
        <v>2918.6705472840558</v>
      </c>
      <c r="I120" s="15">
        <f>'FS (nominal)'!I121*CPI!$I$42</f>
        <v>30505.028812121571</v>
      </c>
      <c r="J120" s="15">
        <f>'FS (nominal)'!J121*CPI!$I$42</f>
        <v>9677.2896130107947</v>
      </c>
      <c r="K120" s="17">
        <f>'FS (nominal)'!K121*CPI!$I$42</f>
        <v>0</v>
      </c>
      <c r="L120" s="17">
        <f>'FS (nominal)'!L121*CPI!$I$42</f>
        <v>0</v>
      </c>
      <c r="M120" s="17">
        <f>'FS (nominal)'!M121*CPI!$I$42</f>
        <v>0</v>
      </c>
      <c r="N120" s="17">
        <f>'FS (nominal)'!N121*CPI!$I$42</f>
        <v>0</v>
      </c>
      <c r="O120" s="17">
        <f>'FS (nominal)'!O121*CPI!$I$42</f>
        <v>0</v>
      </c>
      <c r="P120" s="17">
        <f>'FS (nominal)'!P121*CPI!$I$42</f>
        <v>0</v>
      </c>
      <c r="Q120" s="17">
        <f>'FS (nominal)'!Q121*CPI!$I$42</f>
        <v>462.29794951297282</v>
      </c>
      <c r="R120" s="17">
        <f>'FS (nominal)'!R121*CPI!$I$42</f>
        <v>0</v>
      </c>
      <c r="S120" s="15">
        <f>'FS (nominal)'!S121*CPI!$I$42</f>
        <v>17067.420949483723</v>
      </c>
      <c r="T120" s="15">
        <f>'FS (nominal)'!T121*CPI!$I$42</f>
        <v>13437.607862637848</v>
      </c>
      <c r="U120" s="15">
        <f>'FS (nominal)'!U121*CPI!$I$42</f>
        <v>5391.6327843917288</v>
      </c>
      <c r="V120" s="15">
        <f>'FS (nominal)'!V121*CPI!$I$42</f>
        <v>0</v>
      </c>
      <c r="W120" s="17"/>
      <c r="X120" s="17">
        <f>'FS (nominal)'!W121*CPI!$I$42</f>
        <v>2570.2881212156672</v>
      </c>
      <c r="Y120" s="17">
        <f>'FS (nominal)'!X121*CPI!$I$42</f>
        <v>0</v>
      </c>
      <c r="Z120" s="17">
        <f>'FS (nominal)'!Y121*CPI!$I$42</f>
        <v>0</v>
      </c>
      <c r="AA120" s="15">
        <f>'FS (nominal)'!Z121*CPI!$I$42</f>
        <v>5475.6869570304507</v>
      </c>
      <c r="AB120" s="17">
        <f>'FS (nominal)'!AA121*CPI!$I$42</f>
        <v>0</v>
      </c>
      <c r="AC120" s="17">
        <f>'FS (nominal)'!AB121*CPI!$I$42</f>
        <v>0</v>
      </c>
      <c r="AD120" s="17">
        <f>'FS (nominal)'!AC121*CPI!$I$42</f>
        <v>0</v>
      </c>
      <c r="AE120" s="17">
        <f>'FS (nominal)'!AD121*CPI!$I$42</f>
        <v>0</v>
      </c>
      <c r="AF120" s="17">
        <f>'FS (nominal)'!AE121*CPI!$I$42</f>
        <v>0</v>
      </c>
      <c r="AG120" s="15">
        <f>'FS (nominal)'!AF121*CPI!$I$42</f>
        <v>0</v>
      </c>
      <c r="AH120" s="18">
        <f>'FS (nominal)'!AG121*CPI!$I$42</f>
        <v>0</v>
      </c>
    </row>
    <row r="121" spans="1:34" s="7" customFormat="1" ht="15" customHeight="1">
      <c r="A121" s="246">
        <f>References!G271</f>
        <v>304</v>
      </c>
      <c r="B121" s="256" t="s">
        <v>42</v>
      </c>
      <c r="C121" s="121">
        <v>2008</v>
      </c>
      <c r="D121" s="17">
        <f>'FS (nominal)'!D122*CPI!$I$46</f>
        <v>25207.364555900884</v>
      </c>
      <c r="E121" s="15">
        <f>'FS (nominal)'!E122*CPI!$I$46</f>
        <v>31178.770056171765</v>
      </c>
      <c r="F121" s="15">
        <f>'FS (nominal)'!F122*CPI!$I$46</f>
        <v>1917.8648406090499</v>
      </c>
      <c r="G121" s="15">
        <f>'FS (nominal)'!G122*CPI!$I$46</f>
        <v>904.47199424025541</v>
      </c>
      <c r="H121" s="17">
        <f>'FS (nominal)'!H122*CPI!$I$46</f>
        <v>227.23881154515124</v>
      </c>
      <c r="I121" s="15">
        <f>'FS (nominal)'!I122*CPI!$I$46</f>
        <v>34228.345842719056</v>
      </c>
      <c r="J121" s="15">
        <f>'FS (nominal)'!J122*CPI!$I$46</f>
        <v>10248.472570899034</v>
      </c>
      <c r="K121" s="17">
        <f>'FS (nominal)'!K122*CPI!$I$46</f>
        <v>0</v>
      </c>
      <c r="L121" s="17">
        <f>'FS (nominal)'!L122*CPI!$I$46</f>
        <v>0</v>
      </c>
      <c r="M121" s="17">
        <f>'FS (nominal)'!M122*CPI!$I$46</f>
        <v>0</v>
      </c>
      <c r="N121" s="17">
        <f>'FS (nominal)'!N122*CPI!$I$46</f>
        <v>0</v>
      </c>
      <c r="O121" s="17">
        <f>'FS (nominal)'!O122*CPI!$I$46</f>
        <v>0</v>
      </c>
      <c r="P121" s="17">
        <f>'FS (nominal)'!P122*CPI!$I$46</f>
        <v>0</v>
      </c>
      <c r="Q121" s="17">
        <f>'FS (nominal)'!Q122*CPI!$I$46</f>
        <v>0</v>
      </c>
      <c r="R121" s="17">
        <f>'FS (nominal)'!R122*CPI!$I$46</f>
        <v>0</v>
      </c>
      <c r="S121" s="15">
        <f>'FS (nominal)'!S122*CPI!$I$46</f>
        <v>7055.0779846596897</v>
      </c>
      <c r="T121" s="15">
        <f>'FS (nominal)'!T122*CPI!$I$46</f>
        <v>16924.794640301101</v>
      </c>
      <c r="U121" s="15">
        <f>'FS (nominal)'!U122*CPI!$I$46</f>
        <v>6008.8159568874562</v>
      </c>
      <c r="V121" s="15">
        <f>'FS (nominal)'!V122*CPI!$I$46</f>
        <v>10915.979114653132</v>
      </c>
      <c r="W121" s="17"/>
      <c r="X121" s="17">
        <f>'FS (nominal)'!W122*CPI!$I$46</f>
        <v>169.63208375580962</v>
      </c>
      <c r="Y121" s="17">
        <f>'FS (nominal)'!X122*CPI!$I$46</f>
        <v>4737.9882309885652</v>
      </c>
      <c r="Z121" s="17">
        <f>'FS (nominal)'!Y122*CPI!$I$46</f>
        <v>0</v>
      </c>
      <c r="AA121" s="15">
        <f>'FS (nominal)'!Z122*CPI!$I$46</f>
        <v>15484.335089390093</v>
      </c>
      <c r="AB121" s="17">
        <f>'FS (nominal)'!AA122*CPI!$I$46</f>
        <v>4480.0445966753159</v>
      </c>
      <c r="AC121" s="17">
        <f>'FS (nominal)'!AB122*CPI!$I$46</f>
        <v>0</v>
      </c>
      <c r="AD121" s="17">
        <f>'FS (nominal)'!AC122*CPI!$I$46</f>
        <v>0</v>
      </c>
      <c r="AE121" s="17">
        <f>'FS (nominal)'!AD122*CPI!$I$46</f>
        <v>0</v>
      </c>
      <c r="AF121" s="17">
        <f>'FS (nominal)'!AE122*CPI!$I$46</f>
        <v>0</v>
      </c>
      <c r="AG121" s="15">
        <f>'FS (nominal)'!AF122*CPI!$I$46</f>
        <v>4480.0445966753159</v>
      </c>
      <c r="AH121" s="18">
        <f>'FS (nominal)'!AG122*CPI!$I$46</f>
        <v>473.3573308944712</v>
      </c>
    </row>
    <row r="122" spans="1:34" s="7" customFormat="1" ht="15" customHeight="1">
      <c r="A122" s="246">
        <f>References!H271</f>
        <v>305</v>
      </c>
      <c r="B122" s="256" t="s">
        <v>42</v>
      </c>
      <c r="C122" s="121">
        <v>2009</v>
      </c>
      <c r="D122" s="17">
        <f>'FS (nominal)'!D123*CPI!$I$50</f>
        <v>28036.3903545885</v>
      </c>
      <c r="E122" s="15">
        <f>'FS (nominal)'!E123*CPI!$I$50</f>
        <v>34170.487101379629</v>
      </c>
      <c r="F122" s="15">
        <f>'FS (nominal)'!F123*CPI!$I$50</f>
        <v>2297.0184621044677</v>
      </c>
      <c r="G122" s="15">
        <f>'FS (nominal)'!G123*CPI!$I$50</f>
        <v>1905.0262651383066</v>
      </c>
      <c r="H122" s="17">
        <f>'FS (nominal)'!H123*CPI!$I$50</f>
        <v>393.49753792298702</v>
      </c>
      <c r="I122" s="15">
        <f>'FS (nominal)'!I123*CPI!$I$50</f>
        <v>38766.029055117018</v>
      </c>
      <c r="J122" s="15">
        <f>'FS (nominal)'!J123*CPI!$I$50</f>
        <v>12466.592054361998</v>
      </c>
      <c r="K122" s="17">
        <f>'FS (nominal)'!K123*CPI!$I$50</f>
        <v>0</v>
      </c>
      <c r="L122" s="17">
        <f>'FS (nominal)'!L123*CPI!$I$50</f>
        <v>0</v>
      </c>
      <c r="M122" s="17">
        <f>'FS (nominal)'!M123*CPI!$I$50</f>
        <v>0</v>
      </c>
      <c r="N122" s="17">
        <f>'FS (nominal)'!N123*CPI!$I$50</f>
        <v>0</v>
      </c>
      <c r="O122" s="17">
        <f>'FS (nominal)'!O123*CPI!$I$50</f>
        <v>0</v>
      </c>
      <c r="P122" s="17">
        <f>'FS (nominal)'!P123*CPI!$I$50</f>
        <v>0</v>
      </c>
      <c r="Q122" s="17">
        <f>'FS (nominal)'!Q123*CPI!$I$50</f>
        <v>0</v>
      </c>
      <c r="R122" s="17">
        <f>'FS (nominal)'!R123*CPI!$I$50</f>
        <v>0</v>
      </c>
      <c r="S122" s="15">
        <f>'FS (nominal)'!S123*CPI!$I$50</f>
        <v>8791.4270429542157</v>
      </c>
      <c r="T122" s="15">
        <f>'FS (nominal)'!T123*CPI!$I$50</f>
        <v>17508.010165419724</v>
      </c>
      <c r="U122" s="15">
        <f>'FS (nominal)'!U123*CPI!$I$50</f>
        <v>6135.9297103987901</v>
      </c>
      <c r="V122" s="15">
        <f>'FS (nominal)'!V123*CPI!$I$50</f>
        <v>11372.080143592557</v>
      </c>
      <c r="W122" s="17"/>
      <c r="X122" s="17">
        <f>'FS (nominal)'!W123*CPI!$I$50</f>
        <v>-136.11035276546085</v>
      </c>
      <c r="Y122" s="17">
        <f>'FS (nominal)'!X123*CPI!$I$50</f>
        <v>4198.1355744663315</v>
      </c>
      <c r="Z122" s="17">
        <f>'FS (nominal)'!Y123*CPI!$I$50</f>
        <v>0</v>
      </c>
      <c r="AA122" s="15">
        <f>'FS (nominal)'!Z123*CPI!$I$50</f>
        <v>15706.326423776507</v>
      </c>
      <c r="AB122" s="17">
        <f>'FS (nominal)'!AA123*CPI!$I$50</f>
        <v>3598.8003861623984</v>
      </c>
      <c r="AC122" s="17">
        <f>'FS (nominal)'!AB123*CPI!$I$50</f>
        <v>0</v>
      </c>
      <c r="AD122" s="17">
        <f>'FS (nominal)'!AC123*CPI!$I$50</f>
        <v>0</v>
      </c>
      <c r="AE122" s="17">
        <f>'FS (nominal)'!AD123*CPI!$I$50</f>
        <v>0</v>
      </c>
      <c r="AF122" s="17">
        <f>'FS (nominal)'!AE123*CPI!$I$50</f>
        <v>0</v>
      </c>
      <c r="AG122" s="15">
        <f>'FS (nominal)'!AF123*CPI!$I$50</f>
        <v>3598.8003861623984</v>
      </c>
      <c r="AH122" s="18">
        <f>'FS (nominal)'!AG123*CPI!$I$50</f>
        <v>228.93282574232953</v>
      </c>
    </row>
    <row r="123" spans="1:34" s="7" customFormat="1" ht="15" customHeight="1">
      <c r="A123" s="246">
        <f>References!I271</f>
        <v>306</v>
      </c>
      <c r="B123" s="256" t="s">
        <v>42</v>
      </c>
      <c r="C123" s="121">
        <v>2010</v>
      </c>
      <c r="D123" s="17">
        <f>'FS (nominal)'!D124*CPI!$I$54</f>
        <v>29943.463990191583</v>
      </c>
      <c r="E123" s="15">
        <f>'FS (nominal)'!E124*CPI!$I$54</f>
        <v>36138.517005200607</v>
      </c>
      <c r="F123" s="15">
        <f>'FS (nominal)'!F124*CPI!$I$54</f>
        <v>1584.4769999461075</v>
      </c>
      <c r="G123" s="15">
        <f>'FS (nominal)'!G124*CPI!$I$54</f>
        <v>514.57691224704263</v>
      </c>
      <c r="H123" s="17">
        <f>'FS (nominal)'!H124*CPI!$I$54</f>
        <v>283.61858577780168</v>
      </c>
      <c r="I123" s="15">
        <f>'FS (nominal)'!I124*CPI!$I$54</f>
        <v>38521.188871493621</v>
      </c>
      <c r="J123" s="15">
        <f>'FS (nominal)'!J124*CPI!$I$54</f>
        <v>12602.385476812804</v>
      </c>
      <c r="K123" s="17">
        <f>'FS (nominal)'!K124*CPI!$I$54</f>
        <v>2431.7061719705744</v>
      </c>
      <c r="L123" s="17">
        <f>'FS (nominal)'!L124*CPI!$I$54</f>
        <v>1533.2482247312116</v>
      </c>
      <c r="M123" s="17">
        <f>'FS (nominal)'!M124*CPI!$I$54</f>
        <v>1428.4919779041252</v>
      </c>
      <c r="N123" s="17">
        <f>'FS (nominal)'!N124*CPI!$I$54</f>
        <v>1452.4635443938453</v>
      </c>
      <c r="O123" s="17">
        <f>'FS (nominal)'!O124*CPI!$I$54</f>
        <v>549.36364050012116</v>
      </c>
      <c r="P123" s="17">
        <f>'FS (nominal)'!P124*CPI!$I$54</f>
        <v>174.22085096063159</v>
      </c>
      <c r="Q123" s="17">
        <f>'FS (nominal)'!Q124*CPI!$I$54</f>
        <v>0</v>
      </c>
      <c r="R123" s="17">
        <f>'FS (nominal)'!R124*CPI!$I$54</f>
        <v>0</v>
      </c>
      <c r="S123" s="15">
        <f>'FS (nominal)'!S124*CPI!$I$54</f>
        <v>7569.4944512139245</v>
      </c>
      <c r="T123" s="15">
        <f>'FS (nominal)'!T124*CPI!$I$54</f>
        <v>18349.30986041874</v>
      </c>
      <c r="U123" s="15">
        <f>'FS (nominal)'!U124*CPI!$I$54</f>
        <v>6176.5887631968953</v>
      </c>
      <c r="V123" s="15">
        <f>'FS (nominal)'!V124*CPI!$I$54</f>
        <v>12172.721199105386</v>
      </c>
      <c r="W123" s="17"/>
      <c r="X123" s="17">
        <f>'FS (nominal)'!W124*CPI!$I$54</f>
        <v>943.6008111611111</v>
      </c>
      <c r="Y123" s="17">
        <f>'FS (nominal)'!X124*CPI!$I$54</f>
        <v>2935.4610758804665</v>
      </c>
      <c r="Z123" s="17">
        <f>'FS (nominal)'!Y124*CPI!$I$54</f>
        <v>0</v>
      </c>
      <c r="AA123" s="15">
        <f>'FS (nominal)'!Z124*CPI!$I$54</f>
        <v>14164.581056290586</v>
      </c>
      <c r="AB123" s="17">
        <f>'FS (nominal)'!AA124*CPI!$I$54</f>
        <v>1004.3249182156233</v>
      </c>
      <c r="AC123" s="17">
        <f>'FS (nominal)'!AB124*CPI!$I$54</f>
        <v>345.03394207647324</v>
      </c>
      <c r="AD123" s="17">
        <f>'FS (nominal)'!AC124*CPI!$I$54</f>
        <v>447.7659260057664</v>
      </c>
      <c r="AE123" s="17">
        <f>'FS (nominal)'!AD124*CPI!$I$54</f>
        <v>1159.8724625313248</v>
      </c>
      <c r="AF123" s="17">
        <f>'FS (nominal)'!AE124*CPI!$I$54</f>
        <v>1012.9303992293388</v>
      </c>
      <c r="AG123" s="15">
        <f>'FS (nominal)'!AF124*CPI!$I$54</f>
        <v>3969.9276378701729</v>
      </c>
      <c r="AH123" s="18">
        <f>'FS (nominal)'!AG124*CPI!$I$54</f>
        <v>198.09222517851848</v>
      </c>
    </row>
    <row r="124" spans="1:34" s="7" customFormat="1" ht="15" customHeight="1">
      <c r="A124" s="246">
        <f>References!J271</f>
        <v>307</v>
      </c>
      <c r="B124" s="256" t="s">
        <v>42</v>
      </c>
      <c r="C124" s="121">
        <v>2011</v>
      </c>
      <c r="D124" s="17">
        <f>'FS (nominal)'!D125*CPI!$I$58</f>
        <v>26800.036</v>
      </c>
      <c r="E124" s="15">
        <f>'FS (nominal)'!E125*CPI!$I$58</f>
        <v>35977.963000000003</v>
      </c>
      <c r="F124" s="15">
        <f>'FS (nominal)'!F125*CPI!$I$58</f>
        <v>1949.9745</v>
      </c>
      <c r="G124" s="15">
        <f>'FS (nominal)'!G125*CPI!$I$58</f>
        <v>727.45554000000004</v>
      </c>
      <c r="H124" s="17">
        <f>'FS (nominal)'!H125*CPI!$I$58</f>
        <v>270.76427999999999</v>
      </c>
      <c r="I124" s="15">
        <f>'FS (nominal)'!I125*CPI!$I$58</f>
        <v>38926.156999999999</v>
      </c>
      <c r="J124" s="15">
        <f>'FS (nominal)'!J125*CPI!$I$58</f>
        <v>12061.383</v>
      </c>
      <c r="K124" s="17">
        <f>'FS (nominal)'!K125*CPI!$I$58</f>
        <v>2519.7357000000002</v>
      </c>
      <c r="L124" s="17">
        <f>'FS (nominal)'!L125*CPI!$I$58</f>
        <v>1463.8773000000001</v>
      </c>
      <c r="M124" s="17">
        <f>'FS (nominal)'!M125*CPI!$I$58</f>
        <v>1535.4165</v>
      </c>
      <c r="N124" s="17">
        <f>'FS (nominal)'!N125*CPI!$I$58</f>
        <v>1724.4665</v>
      </c>
      <c r="O124" s="17">
        <f>'FS (nominal)'!O125*CPI!$I$58</f>
        <v>568.13851</v>
      </c>
      <c r="P124" s="17">
        <f>'FS (nominal)'!P125*CPI!$I$58</f>
        <v>191.08139</v>
      </c>
      <c r="Q124" s="17">
        <f>'FS (nominal)'!Q125*CPI!$I$58</f>
        <v>0</v>
      </c>
      <c r="R124" s="17">
        <f>'FS (nominal)'!R125*CPI!$I$58</f>
        <v>0</v>
      </c>
      <c r="S124" s="15">
        <f>'FS (nominal)'!S125*CPI!$I$58</f>
        <v>8002.7159000000001</v>
      </c>
      <c r="T124" s="15">
        <f>'FS (nominal)'!T125*CPI!$I$58</f>
        <v>18862.058000000001</v>
      </c>
      <c r="U124" s="15">
        <f>'FS (nominal)'!U125*CPI!$I$58</f>
        <v>7557.9479000000001</v>
      </c>
      <c r="V124" s="15">
        <f>'FS (nominal)'!V125*CPI!$I$58</f>
        <v>11304.111000000001</v>
      </c>
      <c r="W124" s="17"/>
      <c r="X124" s="17">
        <f>'FS (nominal)'!W125*CPI!$I$58</f>
        <v>-173.98889</v>
      </c>
      <c r="Y124" s="17">
        <f>'FS (nominal)'!X125*CPI!$I$58</f>
        <v>6419.2906000000003</v>
      </c>
      <c r="Z124" s="17">
        <f>'FS (nominal)'!Y125*CPI!$I$58</f>
        <v>0</v>
      </c>
      <c r="AA124" s="15">
        <f>'FS (nominal)'!Z125*CPI!$I$58</f>
        <v>17897.39</v>
      </c>
      <c r="AB124" s="17">
        <f>'FS (nominal)'!AA125*CPI!$I$58</f>
        <v>826.09402999999998</v>
      </c>
      <c r="AC124" s="17">
        <f>'FS (nominal)'!AB125*CPI!$I$58</f>
        <v>1301.6771000000001</v>
      </c>
      <c r="AD124" s="17">
        <f>'FS (nominal)'!AC125*CPI!$I$58</f>
        <v>322.83125000000001</v>
      </c>
      <c r="AE124" s="17">
        <f>'FS (nominal)'!AD125*CPI!$I$58</f>
        <v>1831.9213</v>
      </c>
      <c r="AF124" s="17">
        <f>'FS (nominal)'!AE125*CPI!$I$58</f>
        <v>1542.6911</v>
      </c>
      <c r="AG124" s="15">
        <f>'FS (nominal)'!AF125*CPI!$I$58</f>
        <v>5825.2147999999997</v>
      </c>
      <c r="AH124" s="18">
        <f>'FS (nominal)'!AG125*CPI!$I$58</f>
        <v>281.68124</v>
      </c>
    </row>
    <row r="125" spans="1:34" s="102" customFormat="1" ht="15" hidden="1" customHeight="1">
      <c r="A125" s="246">
        <f>References!C272</f>
        <v>323</v>
      </c>
      <c r="B125" s="255" t="s">
        <v>43</v>
      </c>
      <c r="C125" s="121">
        <v>2004</v>
      </c>
      <c r="D125" s="17">
        <f>'FS (nominal)'!D126*CPI!$I$30</f>
        <v>9046.161578149402</v>
      </c>
      <c r="E125" s="15">
        <f>'FS (nominal)'!E126*CPI!$I$30</f>
        <v>9046.161578149402</v>
      </c>
      <c r="F125" s="15">
        <f>'FS (nominal)'!F126*CPI!$I$30</f>
        <v>0</v>
      </c>
      <c r="G125" s="15">
        <f>'FS (nominal)'!G126*CPI!$I$30</f>
        <v>333.13077043041284</v>
      </c>
      <c r="H125" s="17">
        <f>'FS (nominal)'!H126*CPI!$I$30</f>
        <v>1339.2998551455919</v>
      </c>
      <c r="I125" s="15">
        <f>'FS (nominal)'!I126*CPI!$I$30</f>
        <v>10718.592203725408</v>
      </c>
      <c r="J125" s="15">
        <f>'FS (nominal)'!J126*CPI!$I$30</f>
        <v>2659.4940644538433</v>
      </c>
      <c r="K125" s="17">
        <f>'FS (nominal)'!K126*CPI!$I$30</f>
        <v>0</v>
      </c>
      <c r="L125" s="17">
        <f>'FS (nominal)'!L126*CPI!$I$30</f>
        <v>0</v>
      </c>
      <c r="M125" s="17">
        <f>'FS (nominal)'!M126*CPI!$I$30</f>
        <v>0</v>
      </c>
      <c r="N125" s="17">
        <f>'FS (nominal)'!N126*CPI!$I$30</f>
        <v>0</v>
      </c>
      <c r="O125" s="17">
        <f>'FS (nominal)'!O126*CPI!$I$30</f>
        <v>0</v>
      </c>
      <c r="P125" s="17">
        <f>'FS (nominal)'!P126*CPI!$I$30</f>
        <v>0</v>
      </c>
      <c r="Q125" s="17">
        <f>'FS (nominal)'!Q126*CPI!$I$30</f>
        <v>0</v>
      </c>
      <c r="R125" s="17">
        <f>'FS (nominal)'!R126*CPI!$I$30</f>
        <v>0</v>
      </c>
      <c r="S125" s="15">
        <f>'FS (nominal)'!S126*CPI!$I$30</f>
        <v>6941.2481667042393</v>
      </c>
      <c r="T125" s="15">
        <f>'FS (nominal)'!T126*CPI!$I$30</f>
        <v>3777.3440370211683</v>
      </c>
      <c r="U125" s="15">
        <f>'FS (nominal)'!U126*CPI!$I$30</f>
        <v>1965.2763705999757</v>
      </c>
      <c r="V125" s="15">
        <f>'FS (nominal)'!V126*CPI!$I$30</f>
        <v>0</v>
      </c>
      <c r="W125" s="17"/>
      <c r="X125" s="17">
        <f>'FS (nominal)'!W126*CPI!$I$30</f>
        <v>985.33754167184816</v>
      </c>
      <c r="Y125" s="17">
        <f>'FS (nominal)'!X126*CPI!$I$30</f>
        <v>0</v>
      </c>
      <c r="Z125" s="17">
        <f>'FS (nominal)'!Y126*CPI!$I$30</f>
        <v>0</v>
      </c>
      <c r="AA125" s="15">
        <f>'FS (nominal)'!Z126*CPI!$I$30</f>
        <v>826.73012474934444</v>
      </c>
      <c r="AB125" s="17">
        <f>'FS (nominal)'!AA126*CPI!$I$30</f>
        <v>0</v>
      </c>
      <c r="AC125" s="17">
        <f>'FS (nominal)'!AB126*CPI!$I$30</f>
        <v>0</v>
      </c>
      <c r="AD125" s="17">
        <f>'FS (nominal)'!AC126*CPI!$I$30</f>
        <v>0</v>
      </c>
      <c r="AE125" s="17">
        <f>'FS (nominal)'!AD126*CPI!$I$30</f>
        <v>0</v>
      </c>
      <c r="AF125" s="17">
        <f>'FS (nominal)'!AE126*CPI!$I$30</f>
        <v>0</v>
      </c>
      <c r="AG125" s="15">
        <f>'FS (nominal)'!AF126*CPI!$I$30</f>
        <v>0</v>
      </c>
      <c r="AH125" s="18">
        <f>'FS (nominal)'!AG126*CPI!$I$30</f>
        <v>0</v>
      </c>
    </row>
    <row r="126" spans="1:34" s="102" customFormat="1" ht="15" hidden="1" customHeight="1">
      <c r="A126" s="246">
        <f>References!D272</f>
        <v>324</v>
      </c>
      <c r="B126" s="255" t="s">
        <v>43</v>
      </c>
      <c r="C126" s="121">
        <v>2005</v>
      </c>
      <c r="D126" s="17">
        <f>'FS (nominal)'!D127*CPI!$I$34</f>
        <v>8540.4232416635441</v>
      </c>
      <c r="E126" s="15">
        <f>'FS (nominal)'!E127*CPI!$I$34</f>
        <v>8540.4232416635441</v>
      </c>
      <c r="F126" s="15">
        <f>'FS (nominal)'!F127*CPI!$I$34</f>
        <v>0</v>
      </c>
      <c r="G126" s="15">
        <f>'FS (nominal)'!G127*CPI!$I$34</f>
        <v>188.27088909651391</v>
      </c>
      <c r="H126" s="17">
        <f>'FS (nominal)'!H127*CPI!$I$34</f>
        <v>1722.0724433006042</v>
      </c>
      <c r="I126" s="15">
        <f>'FS (nominal)'!I127*CPI!$I$34</f>
        <v>10450.766574060663</v>
      </c>
      <c r="J126" s="15">
        <f>'FS (nominal)'!J127*CPI!$I$34</f>
        <v>2738.793868284753</v>
      </c>
      <c r="K126" s="17">
        <f>'FS (nominal)'!K127*CPI!$I$34</f>
        <v>0</v>
      </c>
      <c r="L126" s="17">
        <f>'FS (nominal)'!L127*CPI!$I$34</f>
        <v>0</v>
      </c>
      <c r="M126" s="17">
        <f>'FS (nominal)'!M127*CPI!$I$34</f>
        <v>0</v>
      </c>
      <c r="N126" s="17">
        <f>'FS (nominal)'!N127*CPI!$I$34</f>
        <v>0</v>
      </c>
      <c r="O126" s="17">
        <f>'FS (nominal)'!O127*CPI!$I$34</f>
        <v>0</v>
      </c>
      <c r="P126" s="17">
        <f>'FS (nominal)'!P127*CPI!$I$34</f>
        <v>0</v>
      </c>
      <c r="Q126" s="17">
        <f>'FS (nominal)'!Q127*CPI!$I$34</f>
        <v>0</v>
      </c>
      <c r="R126" s="17">
        <f>'FS (nominal)'!R127*CPI!$I$34</f>
        <v>0</v>
      </c>
      <c r="S126" s="15">
        <f>'FS (nominal)'!S127*CPI!$I$34</f>
        <v>6782.7103149212107</v>
      </c>
      <c r="T126" s="15">
        <f>'FS (nominal)'!T127*CPI!$I$34</f>
        <v>3668.0562591394519</v>
      </c>
      <c r="U126" s="15">
        <f>'FS (nominal)'!U127*CPI!$I$34</f>
        <v>2391.3427106100239</v>
      </c>
      <c r="V126" s="15">
        <f>'FS (nominal)'!V127*CPI!$I$34</f>
        <v>0</v>
      </c>
      <c r="W126" s="17"/>
      <c r="X126" s="17">
        <f>'FS (nominal)'!W127*CPI!$I$34</f>
        <v>872.63385815670699</v>
      </c>
      <c r="Y126" s="17">
        <f>'FS (nominal)'!X127*CPI!$I$34</f>
        <v>0</v>
      </c>
      <c r="Z126" s="17">
        <f>'FS (nominal)'!Y127*CPI!$I$34</f>
        <v>0</v>
      </c>
      <c r="AA126" s="15">
        <f>'FS (nominal)'!Z127*CPI!$I$34</f>
        <v>404.07969037272085</v>
      </c>
      <c r="AB126" s="17">
        <f>'FS (nominal)'!AA127*CPI!$I$34</f>
        <v>0</v>
      </c>
      <c r="AC126" s="17">
        <f>'FS (nominal)'!AB127*CPI!$I$34</f>
        <v>0</v>
      </c>
      <c r="AD126" s="17">
        <f>'FS (nominal)'!AC127*CPI!$I$34</f>
        <v>0</v>
      </c>
      <c r="AE126" s="17">
        <f>'FS (nominal)'!AD127*CPI!$I$34</f>
        <v>0</v>
      </c>
      <c r="AF126" s="17">
        <f>'FS (nominal)'!AE127*CPI!$I$34</f>
        <v>0</v>
      </c>
      <c r="AG126" s="15">
        <f>'FS (nominal)'!AF127*CPI!$I$34</f>
        <v>0</v>
      </c>
      <c r="AH126" s="18">
        <f>'FS (nominal)'!AG127*CPI!$I$34</f>
        <v>0</v>
      </c>
    </row>
    <row r="127" spans="1:34" s="102" customFormat="1" ht="14.45" hidden="1" customHeight="1">
      <c r="A127" s="246">
        <f>References!E272</f>
        <v>325</v>
      </c>
      <c r="B127" s="255" t="s">
        <v>43</v>
      </c>
      <c r="C127" s="121">
        <v>2006</v>
      </c>
      <c r="D127" s="17">
        <f>'FS (nominal)'!D128*CPI!$I$38</f>
        <v>7812.2269096010723</v>
      </c>
      <c r="E127" s="15">
        <f>'FS (nominal)'!E128*CPI!$I$38</f>
        <v>7812.2269096010723</v>
      </c>
      <c r="F127" s="15">
        <f>'FS (nominal)'!F128*CPI!$I$38</f>
        <v>0</v>
      </c>
      <c r="G127" s="15">
        <f>'FS (nominal)'!G128*CPI!$I$38</f>
        <v>453.11269104573597</v>
      </c>
      <c r="H127" s="17">
        <f>'FS (nominal)'!H128*CPI!$I$38</f>
        <v>2389.562855149094</v>
      </c>
      <c r="I127" s="15">
        <f>'FS (nominal)'!I128*CPI!$I$38</f>
        <v>10654.902455795902</v>
      </c>
      <c r="J127" s="15">
        <f>'FS (nominal)'!J128*CPI!$I$38</f>
        <v>2479.5795163731227</v>
      </c>
      <c r="K127" s="17">
        <f>'FS (nominal)'!K128*CPI!$I$38</f>
        <v>0</v>
      </c>
      <c r="L127" s="17">
        <f>'FS (nominal)'!L128*CPI!$I$38</f>
        <v>0</v>
      </c>
      <c r="M127" s="17">
        <f>'FS (nominal)'!M128*CPI!$I$38</f>
        <v>0</v>
      </c>
      <c r="N127" s="17">
        <f>'FS (nominal)'!N128*CPI!$I$38</f>
        <v>0</v>
      </c>
      <c r="O127" s="17">
        <f>'FS (nominal)'!O128*CPI!$I$38</f>
        <v>0</v>
      </c>
      <c r="P127" s="17">
        <f>'FS (nominal)'!P128*CPI!$I$38</f>
        <v>0</v>
      </c>
      <c r="Q127" s="17">
        <f>'FS (nominal)'!Q128*CPI!$I$38</f>
        <v>0</v>
      </c>
      <c r="R127" s="17">
        <f>'FS (nominal)'!R128*CPI!$I$38</f>
        <v>0</v>
      </c>
      <c r="S127" s="15">
        <f>'FS (nominal)'!S128*CPI!$I$38</f>
        <v>5223.4571785991575</v>
      </c>
      <c r="T127" s="15">
        <f>'FS (nominal)'!T128*CPI!$I$38</f>
        <v>5431.4452771967444</v>
      </c>
      <c r="U127" s="15">
        <f>'FS (nominal)'!U128*CPI!$I$38</f>
        <v>3033.5256554958487</v>
      </c>
      <c r="V127" s="15">
        <f>'FS (nominal)'!V128*CPI!$I$38</f>
        <v>0</v>
      </c>
      <c r="W127" s="17"/>
      <c r="X127" s="17">
        <f>'FS (nominal)'!W128*CPI!$I$38</f>
        <v>1138.2762673918116</v>
      </c>
      <c r="Y127" s="17">
        <f>'FS (nominal)'!X128*CPI!$I$38</f>
        <v>0</v>
      </c>
      <c r="Z127" s="17">
        <f>'FS (nominal)'!Y128*CPI!$I$38</f>
        <v>0</v>
      </c>
      <c r="AA127" s="15">
        <f>'FS (nominal)'!Z128*CPI!$I$38</f>
        <v>1259.6433543090843</v>
      </c>
      <c r="AB127" s="17">
        <f>'FS (nominal)'!AA128*CPI!$I$38</f>
        <v>0</v>
      </c>
      <c r="AC127" s="17">
        <f>'FS (nominal)'!AB128*CPI!$I$38</f>
        <v>0</v>
      </c>
      <c r="AD127" s="17">
        <f>'FS (nominal)'!AC128*CPI!$I$38</f>
        <v>0</v>
      </c>
      <c r="AE127" s="17">
        <f>'FS (nominal)'!AD128*CPI!$I$38</f>
        <v>0</v>
      </c>
      <c r="AF127" s="17">
        <f>'FS (nominal)'!AE128*CPI!$I$38</f>
        <v>0</v>
      </c>
      <c r="AG127" s="15">
        <f>'FS (nominal)'!AF128*CPI!$I$38</f>
        <v>0</v>
      </c>
      <c r="AH127" s="18">
        <f>'FS (nominal)'!AG128*CPI!$I$38</f>
        <v>0</v>
      </c>
    </row>
    <row r="128" spans="1:34" s="102" customFormat="1" ht="15" hidden="1" customHeight="1">
      <c r="A128" s="246">
        <f>References!F272</f>
        <v>326</v>
      </c>
      <c r="B128" s="255" t="s">
        <v>43</v>
      </c>
      <c r="C128" s="121">
        <v>2007</v>
      </c>
      <c r="D128" s="17">
        <f>'FS (nominal)'!D129*CPI!$I$42</f>
        <v>8177.5596735601257</v>
      </c>
      <c r="E128" s="15">
        <f>'FS (nominal)'!E129*CPI!$I$42</f>
        <v>8177.5596735601257</v>
      </c>
      <c r="F128" s="15">
        <f>'FS (nominal)'!F129*CPI!$I$42</f>
        <v>0</v>
      </c>
      <c r="G128" s="15">
        <f>'FS (nominal)'!G129*CPI!$I$42</f>
        <v>319.91239301488872</v>
      </c>
      <c r="H128" s="17">
        <f>'FS (nominal)'!H129*CPI!$I$42</f>
        <v>2536.4883900312984</v>
      </c>
      <c r="I128" s="15">
        <f>'FS (nominal)'!I129*CPI!$I$42</f>
        <v>11033.960456606314</v>
      </c>
      <c r="J128" s="15">
        <f>'FS (nominal)'!J129*CPI!$I$42</f>
        <v>3274.9949866908478</v>
      </c>
      <c r="K128" s="17">
        <f>'FS (nominal)'!K129*CPI!$I$42</f>
        <v>0</v>
      </c>
      <c r="L128" s="17">
        <f>'FS (nominal)'!L129*CPI!$I$42</f>
        <v>0</v>
      </c>
      <c r="M128" s="17">
        <f>'FS (nominal)'!M129*CPI!$I$42</f>
        <v>0</v>
      </c>
      <c r="N128" s="17">
        <f>'FS (nominal)'!N129*CPI!$I$42</f>
        <v>0</v>
      </c>
      <c r="O128" s="17">
        <f>'FS (nominal)'!O129*CPI!$I$42</f>
        <v>0</v>
      </c>
      <c r="P128" s="17">
        <f>'FS (nominal)'!P129*CPI!$I$42</f>
        <v>0</v>
      </c>
      <c r="Q128" s="17">
        <f>'FS (nominal)'!Q129*CPI!$I$42</f>
        <v>0</v>
      </c>
      <c r="R128" s="17">
        <f>'FS (nominal)'!R129*CPI!$I$42</f>
        <v>0</v>
      </c>
      <c r="S128" s="15">
        <f>'FS (nominal)'!S129*CPI!$I$42</f>
        <v>6267.4363421768512</v>
      </c>
      <c r="T128" s="15">
        <f>'FS (nominal)'!T129*CPI!$I$42</f>
        <v>4766.5241144294614</v>
      </c>
      <c r="U128" s="15">
        <f>'FS (nominal)'!U129*CPI!$I$42</f>
        <v>2629.9267686547523</v>
      </c>
      <c r="V128" s="15">
        <f>'FS (nominal)'!V129*CPI!$I$42</f>
        <v>0</v>
      </c>
      <c r="W128" s="17"/>
      <c r="X128" s="17">
        <f>'FS (nominal)'!W129*CPI!$I$42</f>
        <v>1051.1527276450113</v>
      </c>
      <c r="Y128" s="17">
        <f>'FS (nominal)'!X129*CPI!$I$42</f>
        <v>0</v>
      </c>
      <c r="Z128" s="17">
        <f>'FS (nominal)'!Y129*CPI!$I$42</f>
        <v>0</v>
      </c>
      <c r="AA128" s="15">
        <f>'FS (nominal)'!Z129*CPI!$I$42</f>
        <v>1085.4446181296976</v>
      </c>
      <c r="AB128" s="17">
        <f>'FS (nominal)'!AA129*CPI!$I$42</f>
        <v>0</v>
      </c>
      <c r="AC128" s="17">
        <f>'FS (nominal)'!AB129*CPI!$I$42</f>
        <v>0</v>
      </c>
      <c r="AD128" s="17">
        <f>'FS (nominal)'!AC129*CPI!$I$42</f>
        <v>0</v>
      </c>
      <c r="AE128" s="17">
        <f>'FS (nominal)'!AD129*CPI!$I$42</f>
        <v>0</v>
      </c>
      <c r="AF128" s="17">
        <f>'FS (nominal)'!AE129*CPI!$I$42</f>
        <v>0</v>
      </c>
      <c r="AG128" s="15">
        <f>'FS (nominal)'!AF129*CPI!$I$42</f>
        <v>0</v>
      </c>
      <c r="AH128" s="18">
        <f>'FS (nominal)'!AG129*CPI!$I$42</f>
        <v>0</v>
      </c>
    </row>
    <row r="129" spans="1:34" s="102" customFormat="1" ht="15" customHeight="1">
      <c r="A129" s="246">
        <f>References!G272</f>
        <v>327</v>
      </c>
      <c r="B129" s="256" t="s">
        <v>43</v>
      </c>
      <c r="C129" s="121">
        <v>2008</v>
      </c>
      <c r="D129" s="17">
        <f>'FS (nominal)'!D130*CPI!$I$46</f>
        <v>8948.2193265090809</v>
      </c>
      <c r="E129" s="15">
        <f>'FS (nominal)'!E130*CPI!$I$46</f>
        <v>10840.754776881184</v>
      </c>
      <c r="F129" s="15">
        <f>'FS (nominal)'!F130*CPI!$I$46</f>
        <v>2049.4656553847908</v>
      </c>
      <c r="G129" s="15">
        <f>'FS (nominal)'!G130*CPI!$I$46</f>
        <v>254.43129651278832</v>
      </c>
      <c r="H129" s="17">
        <f>'FS (nominal)'!H130*CPI!$I$46</f>
        <v>11.859085854409626</v>
      </c>
      <c r="I129" s="15">
        <f>'FS (nominal)'!I130*CPI!$I$46</f>
        <v>13156.510814633171</v>
      </c>
      <c r="J129" s="15">
        <f>'FS (nominal)'!J130*CPI!$I$46</f>
        <v>3281.7324855293546</v>
      </c>
      <c r="K129" s="17">
        <f>'FS (nominal)'!K130*CPI!$I$46</f>
        <v>401.05272162185281</v>
      </c>
      <c r="L129" s="17">
        <f>'FS (nominal)'!L130*CPI!$I$46</f>
        <v>1002.631804054632</v>
      </c>
      <c r="M129" s="17">
        <f>'FS (nominal)'!M130*CPI!$I$46</f>
        <v>1136.3160445952497</v>
      </c>
      <c r="N129" s="17">
        <f>'FS (nominal)'!N130*CPI!$I$46</f>
        <v>0</v>
      </c>
      <c r="O129" s="17">
        <f>'FS (nominal)'!O130*CPI!$I$46</f>
        <v>189.74537367055402</v>
      </c>
      <c r="P129" s="17">
        <f>'FS (nominal)'!P130*CPI!$I$46</f>
        <v>90.560291979128053</v>
      </c>
      <c r="Q129" s="17">
        <f>'FS (nominal)'!Q130*CPI!$I$46</f>
        <v>0</v>
      </c>
      <c r="R129" s="17">
        <f>'FS (nominal)'!R130*CPI!$I$46</f>
        <v>0</v>
      </c>
      <c r="S129" s="15">
        <f>'FS (nominal)'!S130*CPI!$I$46</f>
        <v>2820.3062359214164</v>
      </c>
      <c r="T129" s="15">
        <f>'FS (nominal)'!T130*CPI!$I$46</f>
        <v>7054.4722009922725</v>
      </c>
      <c r="U129" s="15">
        <f>'FS (nominal)'!U130*CPI!$I$46</f>
        <v>2791.1975706424109</v>
      </c>
      <c r="V129" s="15">
        <f>'FS (nominal)'!V130*CPI!$I$46</f>
        <v>4263.2746303498616</v>
      </c>
      <c r="W129" s="17"/>
      <c r="X129" s="17">
        <f>'FS (nominal)'!W130*CPI!$I$46</f>
        <v>-382.90897790482165</v>
      </c>
      <c r="Y129" s="17">
        <f>'FS (nominal)'!X130*CPI!$I$46</f>
        <v>2072.1407665877791</v>
      </c>
      <c r="Z129" s="17">
        <f>'FS (nominal)'!Y130*CPI!$I$46</f>
        <v>0</v>
      </c>
      <c r="AA129" s="15">
        <f>'FS (nominal)'!Z130*CPI!$I$46</f>
        <v>6718.3243640614746</v>
      </c>
      <c r="AB129" s="17">
        <f>'FS (nominal)'!AA130*CPI!$I$46</f>
        <v>0</v>
      </c>
      <c r="AC129" s="17">
        <f>'FS (nominal)'!AB130*CPI!$I$46</f>
        <v>0</v>
      </c>
      <c r="AD129" s="17">
        <f>'FS (nominal)'!AC130*CPI!$I$46</f>
        <v>0</v>
      </c>
      <c r="AE129" s="17">
        <f>'FS (nominal)'!AD130*CPI!$I$46</f>
        <v>0</v>
      </c>
      <c r="AF129" s="17">
        <f>'FS (nominal)'!AE130*CPI!$I$46</f>
        <v>0</v>
      </c>
      <c r="AG129" s="15">
        <f>'FS (nominal)'!AF130*CPI!$I$46</f>
        <v>4785.6801916113027</v>
      </c>
      <c r="AH129" s="18">
        <f>'FS (nominal)'!AG130*CPI!$I$46</f>
        <v>86.247897122979097</v>
      </c>
    </row>
    <row r="130" spans="1:34" s="102" customFormat="1" ht="15" customHeight="1">
      <c r="A130" s="246">
        <f>References!H272</f>
        <v>328</v>
      </c>
      <c r="B130" s="256" t="s">
        <v>43</v>
      </c>
      <c r="C130" s="121">
        <v>2009</v>
      </c>
      <c r="D130" s="17">
        <f>'FS (nominal)'!D131*CPI!$I$50</f>
        <v>9368.8036241334303</v>
      </c>
      <c r="E130" s="15">
        <f>'FS (nominal)'!E131*CPI!$I$50</f>
        <v>11451.221360422813</v>
      </c>
      <c r="F130" s="15">
        <f>'FS (nominal)'!F131*CPI!$I$50</f>
        <v>1809.3988605944123</v>
      </c>
      <c r="G130" s="15">
        <f>'FS (nominal)'!G131*CPI!$I$50</f>
        <v>644.6567369071314</v>
      </c>
      <c r="H130" s="17">
        <f>'FS (nominal)'!H131*CPI!$I$50</f>
        <v>7.2666620907406116</v>
      </c>
      <c r="I130" s="15">
        <f>'FS (nominal)'!I131*CPI!$I$50</f>
        <v>13912.543620015096</v>
      </c>
      <c r="J130" s="15">
        <f>'FS (nominal)'!J131*CPI!$I$50</f>
        <v>4022.616514517124</v>
      </c>
      <c r="K130" s="17">
        <f>'FS (nominal)'!K131*CPI!$I$50</f>
        <v>420.42830667856396</v>
      </c>
      <c r="L130" s="17">
        <f>'FS (nominal)'!L131*CPI!$I$50</f>
        <v>1053.6660031573886</v>
      </c>
      <c r="M130" s="17">
        <f>'FS (nominal)'!M131*CPI!$I$50</f>
        <v>1291.3896629830458</v>
      </c>
      <c r="N130" s="17">
        <f>'FS (nominal)'!N131*CPI!$I$50</f>
        <v>0</v>
      </c>
      <c r="O130" s="17">
        <f>'FS (nominal)'!O131*CPI!$I$50</f>
        <v>277.17125403253476</v>
      </c>
      <c r="P130" s="17">
        <f>'FS (nominal)'!P131*CPI!$I$50</f>
        <v>79.933282998146723</v>
      </c>
      <c r="Q130" s="17">
        <f>'FS (nominal)'!Q131*CPI!$I$50</f>
        <v>0</v>
      </c>
      <c r="R130" s="17">
        <f>'FS (nominal)'!R131*CPI!$I$50</f>
        <v>0</v>
      </c>
      <c r="S130" s="15">
        <f>'FS (nominal)'!S131*CPI!$I$50</f>
        <v>3122.5885098496797</v>
      </c>
      <c r="T130" s="15">
        <f>'FS (nominal)'!T131*CPI!$I$50</f>
        <v>6767.3385956482925</v>
      </c>
      <c r="U130" s="15">
        <f>'FS (nominal)'!U131*CPI!$I$50</f>
        <v>2776.9030132473049</v>
      </c>
      <c r="V130" s="15">
        <f>'FS (nominal)'!V131*CPI!$I$50</f>
        <v>3990.4355824009872</v>
      </c>
      <c r="W130" s="17"/>
      <c r="X130" s="17">
        <f>'FS (nominal)'!W131*CPI!$I$50</f>
        <v>-491.00672766284561</v>
      </c>
      <c r="Y130" s="17">
        <f>'FS (nominal)'!X131*CPI!$I$50</f>
        <v>1868.3960596334678</v>
      </c>
      <c r="Z130" s="17">
        <f>'FS (nominal)'!Y131*CPI!$I$50</f>
        <v>0</v>
      </c>
      <c r="AA130" s="15">
        <f>'FS (nominal)'!Z131*CPI!$I$50</f>
        <v>6349.838338554463</v>
      </c>
      <c r="AB130" s="17">
        <f>'FS (nominal)'!AA131*CPI!$I$50</f>
        <v>0</v>
      </c>
      <c r="AC130" s="17">
        <f>'FS (nominal)'!AB131*CPI!$I$50</f>
        <v>0</v>
      </c>
      <c r="AD130" s="17">
        <f>'FS (nominal)'!AC131*CPI!$I$50</f>
        <v>0</v>
      </c>
      <c r="AE130" s="17">
        <f>'FS (nominal)'!AD131*CPI!$I$50</f>
        <v>0</v>
      </c>
      <c r="AF130" s="17">
        <f>'FS (nominal)'!AE131*CPI!$I$50</f>
        <v>0</v>
      </c>
      <c r="AG130" s="15">
        <f>'FS (nominal)'!AF131*CPI!$I$50</f>
        <v>3707.0357608621034</v>
      </c>
      <c r="AH130" s="18">
        <f>'FS (nominal)'!AG131*CPI!$I$50</f>
        <v>44.638067128835182</v>
      </c>
    </row>
    <row r="131" spans="1:34" s="102" customFormat="1" ht="15" customHeight="1">
      <c r="A131" s="246">
        <f>References!I272</f>
        <v>329</v>
      </c>
      <c r="B131" s="256" t="s">
        <v>43</v>
      </c>
      <c r="C131" s="121">
        <v>2010</v>
      </c>
      <c r="D131" s="17">
        <f>'FS (nominal)'!D132*CPI!$I$54</f>
        <v>10452.232222252162</v>
      </c>
      <c r="E131" s="15">
        <f>'FS (nominal)'!E132*CPI!$I$54</f>
        <v>12656.991996982026</v>
      </c>
      <c r="F131" s="15">
        <f>'FS (nominal)'!F132*CPI!$I$54</f>
        <v>1701.4550941769285</v>
      </c>
      <c r="G131" s="15">
        <f>'FS (nominal)'!G132*CPI!$I$54</f>
        <v>155.88181401740721</v>
      </c>
      <c r="H131" s="17">
        <f>'FS (nominal)'!H132*CPI!$I$54</f>
        <v>5.0941769286734386</v>
      </c>
      <c r="I131" s="15">
        <f>'FS (nominal)'!I132*CPI!$I$54</f>
        <v>14519.423082105033</v>
      </c>
      <c r="J131" s="15">
        <f>'FS (nominal)'!J132*CPI!$I$54</f>
        <v>3868.5179596346093</v>
      </c>
      <c r="K131" s="17">
        <f>'FS (nominal)'!K132*CPI!$I$54</f>
        <v>405.4964835224057</v>
      </c>
      <c r="L131" s="17">
        <f>'FS (nominal)'!L132*CPI!$I$54</f>
        <v>1065.7018134784832</v>
      </c>
      <c r="M131" s="17">
        <f>'FS (nominal)'!M132*CPI!$I$54</f>
        <v>992.34566570558582</v>
      </c>
      <c r="N131" s="17">
        <f>'FS (nominal)'!N132*CPI!$I$54</f>
        <v>416.70367276548728</v>
      </c>
      <c r="O131" s="17">
        <f>'FS (nominal)'!O132*CPI!$I$54</f>
        <v>221.08727870442723</v>
      </c>
      <c r="P131" s="17">
        <f>'FS (nominal)'!P132*CPI!$I$54</f>
        <v>87.619843173183142</v>
      </c>
      <c r="Q131" s="17">
        <f>'FS (nominal)'!Q132*CPI!$I$54</f>
        <v>0</v>
      </c>
      <c r="R131" s="17">
        <f>'FS (nominal)'!R132*CPI!$I$54</f>
        <v>0</v>
      </c>
      <c r="S131" s="15">
        <f>'FS (nominal)'!S132*CPI!$I$54</f>
        <v>3188.9547573495724</v>
      </c>
      <c r="T131" s="15">
        <f>'FS (nominal)'!T132*CPI!$I$54</f>
        <v>7461.9503651208524</v>
      </c>
      <c r="U131" s="15">
        <f>'FS (nominal)'!U132*CPI!$I$54</f>
        <v>2902.662013958125</v>
      </c>
      <c r="V131" s="15">
        <f>'FS (nominal)'!V132*CPI!$I$54</f>
        <v>4559.2883511627269</v>
      </c>
      <c r="W131" s="17"/>
      <c r="X131" s="17">
        <f>'FS (nominal)'!W132*CPI!$I$54</f>
        <v>-126.63310814044351</v>
      </c>
      <c r="Y131" s="17">
        <f>'FS (nominal)'!X132*CPI!$I$54</f>
        <v>1316.4128517420709</v>
      </c>
      <c r="Z131" s="17">
        <f>'FS (nominal)'!Y132*CPI!$I$54</f>
        <v>0</v>
      </c>
      <c r="AA131" s="15">
        <f>'FS (nominal)'!Z132*CPI!$I$54</f>
        <v>6002.3342906685339</v>
      </c>
      <c r="AB131" s="17">
        <f>'FS (nominal)'!AA132*CPI!$I$54</f>
        <v>338.25334806391629</v>
      </c>
      <c r="AC131" s="17">
        <f>'FS (nominal)'!AB132*CPI!$I$54</f>
        <v>5218.4748457330707</v>
      </c>
      <c r="AD131" s="17">
        <f>'FS (nominal)'!AC132*CPI!$I$54</f>
        <v>46.866427743795633</v>
      </c>
      <c r="AE131" s="17">
        <f>'FS (nominal)'!AD132*CPI!$I$54</f>
        <v>331.12150036377352</v>
      </c>
      <c r="AF131" s="17">
        <f>'FS (nominal)'!AE132*CPI!$I$54</f>
        <v>0</v>
      </c>
      <c r="AG131" s="15">
        <f>'FS (nominal)'!AF132*CPI!$I$54</f>
        <v>5934.7161219045556</v>
      </c>
      <c r="AH131" s="18">
        <f>'FS (nominal)'!AG132*CPI!$I$54</f>
        <v>56.035946215407826</v>
      </c>
    </row>
    <row r="132" spans="1:34" s="102" customFormat="1" ht="15" customHeight="1">
      <c r="A132" s="246">
        <f>References!J272</f>
        <v>330</v>
      </c>
      <c r="B132" s="256" t="s">
        <v>43</v>
      </c>
      <c r="C132" s="121">
        <v>2011</v>
      </c>
      <c r="D132" s="17">
        <f>'FS (nominal)'!D133*CPI!$I$58</f>
        <v>10134</v>
      </c>
      <c r="E132" s="15">
        <f>'FS (nominal)'!E133*CPI!$I$58</f>
        <v>12501</v>
      </c>
      <c r="F132" s="15">
        <f>'FS (nominal)'!F133*CPI!$I$58</f>
        <v>1485.1207999999999</v>
      </c>
      <c r="G132" s="15">
        <f>'FS (nominal)'!G133*CPI!$I$58</f>
        <v>248.14699999999999</v>
      </c>
      <c r="H132" s="17">
        <f>'FS (nominal)'!H133*CPI!$I$58</f>
        <v>2.1379999999999999</v>
      </c>
      <c r="I132" s="15">
        <f>'FS (nominal)'!I133*CPI!$I$58</f>
        <v>14236.406000000001</v>
      </c>
      <c r="J132" s="15">
        <f>'FS (nominal)'!J133*CPI!$I$58</f>
        <v>4095.3090000000002</v>
      </c>
      <c r="K132" s="17">
        <f>'FS (nominal)'!K133*CPI!$I$58</f>
        <v>420</v>
      </c>
      <c r="L132" s="17">
        <f>'FS (nominal)'!L133*CPI!$I$58</f>
        <v>1096</v>
      </c>
      <c r="M132" s="17">
        <f>'FS (nominal)'!M133*CPI!$I$58</f>
        <v>543</v>
      </c>
      <c r="N132" s="17">
        <f>'FS (nominal)'!N133*CPI!$I$58</f>
        <v>577</v>
      </c>
      <c r="O132" s="17">
        <f>'FS (nominal)'!O133*CPI!$I$58</f>
        <v>228</v>
      </c>
      <c r="P132" s="17">
        <f>'FS (nominal)'!P133*CPI!$I$58</f>
        <v>125</v>
      </c>
      <c r="Q132" s="17">
        <f>'FS (nominal)'!Q133*CPI!$I$58</f>
        <v>0</v>
      </c>
      <c r="R132" s="17">
        <f>'FS (nominal)'!R133*CPI!$I$58</f>
        <v>0</v>
      </c>
      <c r="S132" s="15">
        <f>'FS (nominal)'!S133*CPI!$I$58</f>
        <v>2989</v>
      </c>
      <c r="T132" s="15">
        <f>'FS (nominal)'!T133*CPI!$I$58</f>
        <v>7152.0968000000003</v>
      </c>
      <c r="U132" s="15">
        <f>'FS (nominal)'!U133*CPI!$I$58</f>
        <v>3270</v>
      </c>
      <c r="V132" s="15">
        <f>'FS (nominal)'!V133*CPI!$I$58</f>
        <v>3882.0967999999998</v>
      </c>
      <c r="W132" s="17"/>
      <c r="X132" s="17">
        <f>'FS (nominal)'!W133*CPI!$I$58</f>
        <v>-4.7213899999999998E-3</v>
      </c>
      <c r="Y132" s="17">
        <f>'FS (nominal)'!X133*CPI!$I$58</f>
        <v>3000.9535000000001</v>
      </c>
      <c r="Z132" s="17">
        <f>'FS (nominal)'!Y133*CPI!$I$58</f>
        <v>0</v>
      </c>
      <c r="AA132" s="15">
        <f>'FS (nominal)'!Z133*CPI!$I$58</f>
        <v>6883.0550000000003</v>
      </c>
      <c r="AB132" s="17">
        <f>'FS (nominal)'!AA133*CPI!$I$58</f>
        <v>124.23621</v>
      </c>
      <c r="AC132" s="17">
        <f>'FS (nominal)'!AB133*CPI!$I$58</f>
        <v>3509.1837</v>
      </c>
      <c r="AD132" s="17">
        <f>'FS (nominal)'!AC133*CPI!$I$58</f>
        <v>326.51672000000002</v>
      </c>
      <c r="AE132" s="17">
        <f>'FS (nominal)'!AD133*CPI!$I$58</f>
        <v>789.26205000000004</v>
      </c>
      <c r="AF132" s="17">
        <f>'FS (nominal)'!AE133*CPI!$I$58</f>
        <v>0</v>
      </c>
      <c r="AG132" s="15">
        <f>'FS (nominal)'!AF133*CPI!$I$58</f>
        <v>4749.1986999999999</v>
      </c>
      <c r="AH132" s="18">
        <f>'FS (nominal)'!AG133*CPI!$I$58</f>
        <v>39</v>
      </c>
    </row>
    <row r="133" spans="1:34" s="102" customFormat="1" ht="15" hidden="1" customHeight="1">
      <c r="A133" s="246">
        <f>References!C273</f>
        <v>346</v>
      </c>
      <c r="B133" s="255" t="s">
        <v>44</v>
      </c>
      <c r="C133" s="121">
        <v>2004</v>
      </c>
      <c r="D133" s="17">
        <f>'FS (nominal)'!D134*CPI!$I$30</f>
        <v>33972.03401686094</v>
      </c>
      <c r="E133" s="15">
        <f>'FS (nominal)'!E134*CPI!$I$30</f>
        <v>33972.03401686094</v>
      </c>
      <c r="F133" s="15">
        <f>'FS (nominal)'!F134*CPI!$I$30</f>
        <v>0</v>
      </c>
      <c r="G133" s="15">
        <f>'FS (nominal)'!G134*CPI!$I$30</f>
        <v>1324.9189887832924</v>
      </c>
      <c r="H133" s="17">
        <f>'FS (nominal)'!H134*CPI!$I$30</f>
        <v>2538.7235318345311</v>
      </c>
      <c r="I133" s="15">
        <f>'FS (nominal)'!I134*CPI!$I$30</f>
        <v>37835.676537478765</v>
      </c>
      <c r="J133" s="15">
        <f>'FS (nominal)'!J134*CPI!$I$30</f>
        <v>11665.809036151159</v>
      </c>
      <c r="K133" s="17">
        <f>'FS (nominal)'!K134*CPI!$I$30</f>
        <v>0</v>
      </c>
      <c r="L133" s="17">
        <f>'FS (nominal)'!L134*CPI!$I$30</f>
        <v>0</v>
      </c>
      <c r="M133" s="17">
        <f>'FS (nominal)'!M134*CPI!$I$30</f>
        <v>0</v>
      </c>
      <c r="N133" s="17">
        <f>'FS (nominal)'!N134*CPI!$I$30</f>
        <v>0</v>
      </c>
      <c r="O133" s="17">
        <f>'FS (nominal)'!O134*CPI!$I$30</f>
        <v>0</v>
      </c>
      <c r="P133" s="17">
        <f>'FS (nominal)'!P134*CPI!$I$30</f>
        <v>0</v>
      </c>
      <c r="Q133" s="17">
        <f>'FS (nominal)'!Q134*CPI!$I$30</f>
        <v>1324.9189887832924</v>
      </c>
      <c r="R133" s="17">
        <f>'FS (nominal)'!R134*CPI!$I$30</f>
        <v>0</v>
      </c>
      <c r="S133" s="15">
        <f>'FS (nominal)'!S134*CPI!$I$30</f>
        <v>22771.214780784136</v>
      </c>
      <c r="T133" s="15">
        <f>'FS (nominal)'!T134*CPI!$I$30</f>
        <v>15064.461756694627</v>
      </c>
      <c r="U133" s="15">
        <f>'FS (nominal)'!U134*CPI!$I$30</f>
        <v>4283.9449892564617</v>
      </c>
      <c r="V133" s="15">
        <f>'FS (nominal)'!V134*CPI!$I$30</f>
        <v>0</v>
      </c>
      <c r="W133" s="17"/>
      <c r="X133" s="17">
        <f>'FS (nominal)'!W134*CPI!$I$30</f>
        <v>3058.0627890604342</v>
      </c>
      <c r="Y133" s="17">
        <f>'FS (nominal)'!X134*CPI!$I$30</f>
        <v>0</v>
      </c>
      <c r="Z133" s="17">
        <f>'FS (nominal)'!Y134*CPI!$I$30</f>
        <v>0</v>
      </c>
      <c r="AA133" s="15">
        <f>'FS (nominal)'!Z134*CPI!$I$30</f>
        <v>7722.4539783777318</v>
      </c>
      <c r="AB133" s="17">
        <f>'FS (nominal)'!AA134*CPI!$I$30</f>
        <v>0</v>
      </c>
      <c r="AC133" s="17">
        <f>'FS (nominal)'!AB134*CPI!$I$30</f>
        <v>0</v>
      </c>
      <c r="AD133" s="17">
        <f>'FS (nominal)'!AC134*CPI!$I$30</f>
        <v>0</v>
      </c>
      <c r="AE133" s="17">
        <f>'FS (nominal)'!AD134*CPI!$I$30</f>
        <v>0</v>
      </c>
      <c r="AF133" s="17">
        <f>'FS (nominal)'!AE134*CPI!$I$30</f>
        <v>0</v>
      </c>
      <c r="AG133" s="15">
        <f>'FS (nominal)'!AF134*CPI!$I$30</f>
        <v>0</v>
      </c>
      <c r="AH133" s="18">
        <f>'FS (nominal)'!AG134*CPI!$I$30</f>
        <v>0</v>
      </c>
    </row>
    <row r="134" spans="1:34" s="102" customFormat="1" ht="15" hidden="1" customHeight="1">
      <c r="A134" s="246">
        <f>References!D273</f>
        <v>347</v>
      </c>
      <c r="B134" s="255" t="s">
        <v>44</v>
      </c>
      <c r="C134" s="121">
        <v>2005</v>
      </c>
      <c r="D134" s="17">
        <f>'FS (nominal)'!D135*CPI!$I$34</f>
        <v>35709.937415935114</v>
      </c>
      <c r="E134" s="15">
        <f>'FS (nominal)'!E135*CPI!$I$34</f>
        <v>35709.937415935114</v>
      </c>
      <c r="F134" s="15">
        <f>'FS (nominal)'!F135*CPI!$I$34</f>
        <v>0</v>
      </c>
      <c r="G134" s="15">
        <f>'FS (nominal)'!G135*CPI!$I$34</f>
        <v>732.20969417213246</v>
      </c>
      <c r="H134" s="17">
        <f>'FS (nominal)'!H135*CPI!$I$34</f>
        <v>3782.2986292203564</v>
      </c>
      <c r="I134" s="15">
        <f>'FS (nominal)'!I135*CPI!$I$34</f>
        <v>40224.445739327602</v>
      </c>
      <c r="J134" s="15">
        <f>'FS (nominal)'!J135*CPI!$I$34</f>
        <v>11850.731497155719</v>
      </c>
      <c r="K134" s="17">
        <f>'FS (nominal)'!K135*CPI!$I$34</f>
        <v>0</v>
      </c>
      <c r="L134" s="17">
        <f>'FS (nominal)'!L135*CPI!$I$34</f>
        <v>0</v>
      </c>
      <c r="M134" s="17">
        <f>'FS (nominal)'!M135*CPI!$I$34</f>
        <v>0</v>
      </c>
      <c r="N134" s="17">
        <f>'FS (nominal)'!N135*CPI!$I$34</f>
        <v>0</v>
      </c>
      <c r="O134" s="17">
        <f>'FS (nominal)'!O135*CPI!$I$34</f>
        <v>0</v>
      </c>
      <c r="P134" s="17">
        <f>'FS (nominal)'!P135*CPI!$I$34</f>
        <v>0</v>
      </c>
      <c r="Q134" s="17">
        <f>'FS (nominal)'!Q135*CPI!$I$34</f>
        <v>732.20969417213246</v>
      </c>
      <c r="R134" s="17">
        <f>'FS (nominal)'!R135*CPI!$I$34</f>
        <v>0</v>
      </c>
      <c r="S134" s="15">
        <f>'FS (nominal)'!S135*CPI!$I$34</f>
        <v>22756.182633507222</v>
      </c>
      <c r="T134" s="15">
        <f>'FS (nominal)'!T135*CPI!$I$34</f>
        <v>17468.263105820377</v>
      </c>
      <c r="U134" s="15">
        <f>'FS (nominal)'!U135*CPI!$I$34</f>
        <v>4654.5934578080578</v>
      </c>
      <c r="V134" s="15">
        <f>'FS (nominal)'!V135*CPI!$I$34</f>
        <v>0</v>
      </c>
      <c r="W134" s="17"/>
      <c r="X134" s="17">
        <f>'FS (nominal)'!W135*CPI!$I$34</f>
        <v>3071.2782831110831</v>
      </c>
      <c r="Y134" s="17">
        <f>'FS (nominal)'!X135*CPI!$I$34</f>
        <v>0</v>
      </c>
      <c r="Z134" s="17">
        <f>'FS (nominal)'!Y135*CPI!$I$34</f>
        <v>0</v>
      </c>
      <c r="AA134" s="15">
        <f>'FS (nominal)'!Z135*CPI!$I$34</f>
        <v>9742.3913649012356</v>
      </c>
      <c r="AB134" s="17">
        <f>'FS (nominal)'!AA135*CPI!$I$34</f>
        <v>0</v>
      </c>
      <c r="AC134" s="17">
        <f>'FS (nominal)'!AB135*CPI!$I$34</f>
        <v>0</v>
      </c>
      <c r="AD134" s="17">
        <f>'FS (nominal)'!AC135*CPI!$I$34</f>
        <v>0</v>
      </c>
      <c r="AE134" s="17">
        <f>'FS (nominal)'!AD135*CPI!$I$34</f>
        <v>0</v>
      </c>
      <c r="AF134" s="17">
        <f>'FS (nominal)'!AE135*CPI!$I$34</f>
        <v>0</v>
      </c>
      <c r="AG134" s="15">
        <f>'FS (nominal)'!AF135*CPI!$I$34</f>
        <v>0</v>
      </c>
      <c r="AH134" s="18">
        <f>'FS (nominal)'!AG135*CPI!$I$34</f>
        <v>0</v>
      </c>
    </row>
    <row r="135" spans="1:34" s="102" customFormat="1" ht="14.45" hidden="1" customHeight="1">
      <c r="A135" s="246">
        <f>References!E273</f>
        <v>348</v>
      </c>
      <c r="B135" s="255" t="s">
        <v>44</v>
      </c>
      <c r="C135" s="121">
        <v>2006</v>
      </c>
      <c r="D135" s="17">
        <f>'FS (nominal)'!D136*CPI!$I$38</f>
        <v>36263.620227932915</v>
      </c>
      <c r="E135" s="15">
        <f>'FS (nominal)'!E136*CPI!$I$38</f>
        <v>36263.620227932915</v>
      </c>
      <c r="F135" s="15">
        <f>'FS (nominal)'!F136*CPI!$I$38</f>
        <v>0</v>
      </c>
      <c r="G135" s="15">
        <f>'FS (nominal)'!G136*CPI!$I$38</f>
        <v>1431.969145618772</v>
      </c>
      <c r="H135" s="17">
        <f>'FS (nominal)'!H136*CPI!$I$38</f>
        <v>4540.083848937923</v>
      </c>
      <c r="I135" s="15">
        <f>'FS (nominal)'!I136*CPI!$I$38</f>
        <v>42235.673222489611</v>
      </c>
      <c r="J135" s="15">
        <f>'FS (nominal)'!J136*CPI!$I$38</f>
        <v>11696.506543217554</v>
      </c>
      <c r="K135" s="17">
        <f>'FS (nominal)'!K136*CPI!$I$38</f>
        <v>0</v>
      </c>
      <c r="L135" s="17">
        <f>'FS (nominal)'!L136*CPI!$I$38</f>
        <v>0</v>
      </c>
      <c r="M135" s="17">
        <f>'FS (nominal)'!M136*CPI!$I$38</f>
        <v>0</v>
      </c>
      <c r="N135" s="17">
        <f>'FS (nominal)'!N136*CPI!$I$38</f>
        <v>0</v>
      </c>
      <c r="O135" s="17">
        <f>'FS (nominal)'!O136*CPI!$I$38</f>
        <v>0</v>
      </c>
      <c r="P135" s="17">
        <f>'FS (nominal)'!P136*CPI!$I$38</f>
        <v>0</v>
      </c>
      <c r="Q135" s="17">
        <f>'FS (nominal)'!Q136*CPI!$I$38</f>
        <v>1431.969145618772</v>
      </c>
      <c r="R135" s="17">
        <f>'FS (nominal)'!R136*CPI!$I$38</f>
        <v>0</v>
      </c>
      <c r="S135" s="15">
        <f>'FS (nominal)'!S136*CPI!$I$38</f>
        <v>24853.507513839118</v>
      </c>
      <c r="T135" s="15">
        <f>'FS (nominal)'!T136*CPI!$I$38</f>
        <v>17382.165708650497</v>
      </c>
      <c r="U135" s="15">
        <f>'FS (nominal)'!U136*CPI!$I$38</f>
        <v>4558.3400292804736</v>
      </c>
      <c r="V135" s="15">
        <f>'FS (nominal)'!V136*CPI!$I$38</f>
        <v>0</v>
      </c>
      <c r="W135" s="17"/>
      <c r="X135" s="17">
        <f>'FS (nominal)'!W136*CPI!$I$38</f>
        <v>2794.3366036815719</v>
      </c>
      <c r="Y135" s="17">
        <f>'FS (nominal)'!X136*CPI!$I$38</f>
        <v>0</v>
      </c>
      <c r="Z135" s="17">
        <f>'FS (nominal)'!Y136*CPI!$I$38</f>
        <v>0</v>
      </c>
      <c r="AA135" s="15">
        <f>'FS (nominal)'!Z136*CPI!$I$38</f>
        <v>10029.489075688451</v>
      </c>
      <c r="AB135" s="17">
        <f>'FS (nominal)'!AA136*CPI!$I$38</f>
        <v>0</v>
      </c>
      <c r="AC135" s="17">
        <f>'FS (nominal)'!AB136*CPI!$I$38</f>
        <v>0</v>
      </c>
      <c r="AD135" s="17">
        <f>'FS (nominal)'!AC136*CPI!$I$38</f>
        <v>0</v>
      </c>
      <c r="AE135" s="17">
        <f>'FS (nominal)'!AD136*CPI!$I$38</f>
        <v>0</v>
      </c>
      <c r="AF135" s="17">
        <f>'FS (nominal)'!AE136*CPI!$I$38</f>
        <v>0</v>
      </c>
      <c r="AG135" s="15">
        <f>'FS (nominal)'!AF136*CPI!$I$38</f>
        <v>0</v>
      </c>
      <c r="AH135" s="18">
        <f>'FS (nominal)'!AG136*CPI!$I$38</f>
        <v>0</v>
      </c>
    </row>
    <row r="136" spans="1:34" s="102" customFormat="1" ht="15" hidden="1" customHeight="1">
      <c r="A136" s="246">
        <f>References!F273</f>
        <v>349</v>
      </c>
      <c r="B136" s="255" t="s">
        <v>44</v>
      </c>
      <c r="C136" s="121">
        <v>2007</v>
      </c>
      <c r="D136" s="17">
        <f>'FS (nominal)'!D137*CPI!$I$42</f>
        <v>38341.974434726653</v>
      </c>
      <c r="E136" s="15">
        <f>'FS (nominal)'!E137*CPI!$I$42</f>
        <v>38341.974434726653</v>
      </c>
      <c r="F136" s="15">
        <f>'FS (nominal)'!F137*CPI!$I$42</f>
        <v>0</v>
      </c>
      <c r="G136" s="15">
        <f>'FS (nominal)'!G137*CPI!$I$42</f>
        <v>1220.9974551730193</v>
      </c>
      <c r="H136" s="17">
        <f>'FS (nominal)'!H137*CPI!$I$42</f>
        <v>4647.3109661567269</v>
      </c>
      <c r="I136" s="15">
        <f>'FS (nominal)'!I137*CPI!$I$42</f>
        <v>44210.282856056401</v>
      </c>
      <c r="J136" s="15">
        <f>'FS (nominal)'!J137*CPI!$I$42</f>
        <v>12354.85740193641</v>
      </c>
      <c r="K136" s="17">
        <f>'FS (nominal)'!K137*CPI!$I$42</f>
        <v>0</v>
      </c>
      <c r="L136" s="17">
        <f>'FS (nominal)'!L137*CPI!$I$42</f>
        <v>0</v>
      </c>
      <c r="M136" s="17">
        <f>'FS (nominal)'!M137*CPI!$I$42</f>
        <v>0</v>
      </c>
      <c r="N136" s="17">
        <f>'FS (nominal)'!N137*CPI!$I$42</f>
        <v>0</v>
      </c>
      <c r="O136" s="17">
        <f>'FS (nominal)'!O137*CPI!$I$42</f>
        <v>0</v>
      </c>
      <c r="P136" s="17">
        <f>'FS (nominal)'!P137*CPI!$I$42</f>
        <v>0</v>
      </c>
      <c r="Q136" s="17">
        <f>'FS (nominal)'!Q137*CPI!$I$42</f>
        <v>1220.9974551730193</v>
      </c>
      <c r="R136" s="17">
        <f>'FS (nominal)'!R137*CPI!$I$42</f>
        <v>0</v>
      </c>
      <c r="S136" s="15">
        <f>'FS (nominal)'!S137*CPI!$I$42</f>
        <v>26454.94486208208</v>
      </c>
      <c r="T136" s="15">
        <f>'FS (nominal)'!T137*CPI!$I$42</f>
        <v>17755.337993974321</v>
      </c>
      <c r="U136" s="15">
        <f>'FS (nominal)'!U137*CPI!$I$42</f>
        <v>4395.1484482405594</v>
      </c>
      <c r="V136" s="15">
        <f>'FS (nominal)'!V137*CPI!$I$42</f>
        <v>0</v>
      </c>
      <c r="W136" s="17"/>
      <c r="X136" s="17">
        <f>'FS (nominal)'!W137*CPI!$I$42</f>
        <v>2933.0482347091001</v>
      </c>
      <c r="Y136" s="17">
        <f>'FS (nominal)'!X137*CPI!$I$42</f>
        <v>0</v>
      </c>
      <c r="Z136" s="17">
        <f>'FS (nominal)'!Y137*CPI!$I$42</f>
        <v>0</v>
      </c>
      <c r="AA136" s="15">
        <f>'FS (nominal)'!Z137*CPI!$I$42</f>
        <v>10427.141311024659</v>
      </c>
      <c r="AB136" s="17">
        <f>'FS (nominal)'!AA137*CPI!$I$42</f>
        <v>0</v>
      </c>
      <c r="AC136" s="17">
        <f>'FS (nominal)'!AB137*CPI!$I$42</f>
        <v>0</v>
      </c>
      <c r="AD136" s="17">
        <f>'FS (nominal)'!AC137*CPI!$I$42</f>
        <v>0</v>
      </c>
      <c r="AE136" s="17">
        <f>'FS (nominal)'!AD137*CPI!$I$42</f>
        <v>0</v>
      </c>
      <c r="AF136" s="17">
        <f>'FS (nominal)'!AE137*CPI!$I$42</f>
        <v>0</v>
      </c>
      <c r="AG136" s="15">
        <f>'FS (nominal)'!AF137*CPI!$I$42</f>
        <v>0</v>
      </c>
      <c r="AH136" s="18">
        <f>'FS (nominal)'!AG137*CPI!$I$42</f>
        <v>0</v>
      </c>
    </row>
    <row r="137" spans="1:34" s="102" customFormat="1" ht="15" customHeight="1">
      <c r="A137" s="246">
        <f>References!G273</f>
        <v>350</v>
      </c>
      <c r="B137" s="256" t="s">
        <v>44</v>
      </c>
      <c r="C137" s="121">
        <v>2008</v>
      </c>
      <c r="D137" s="17">
        <f>'FS (nominal)'!D138*CPI!$I$46</f>
        <v>40174.270479883664</v>
      </c>
      <c r="E137" s="15">
        <f>'FS (nominal)'!E138*CPI!$I$46</f>
        <v>44582.61612158193</v>
      </c>
      <c r="F137" s="15">
        <f>'FS (nominal)'!F138*CPI!$I$46</f>
        <v>7551.9391828006046</v>
      </c>
      <c r="G137" s="15">
        <f>'FS (nominal)'!G138*CPI!$I$46</f>
        <v>0</v>
      </c>
      <c r="H137" s="17">
        <f>'FS (nominal)'!H138*CPI!$I$46</f>
        <v>139.07473411080377</v>
      </c>
      <c r="I137" s="15">
        <f>'FS (nominal)'!I138*CPI!$I$46</f>
        <v>52273.630038493342</v>
      </c>
      <c r="J137" s="15">
        <f>'FS (nominal)'!J138*CPI!$I$46</f>
        <v>12525.350859684639</v>
      </c>
      <c r="K137" s="17">
        <f>'FS (nominal)'!K138*CPI!$I$46</f>
        <v>5492.9129480197307</v>
      </c>
      <c r="L137" s="17">
        <f>'FS (nominal)'!L138*CPI!$I$46</f>
        <v>403.20891904992726</v>
      </c>
      <c r="M137" s="17">
        <f>'FS (nominal)'!M138*CPI!$I$46</f>
        <v>1478.0733369450543</v>
      </c>
      <c r="N137" s="17">
        <f>'FS (nominal)'!N138*CPI!$I$46</f>
        <v>3777.6578939864844</v>
      </c>
      <c r="O137" s="17">
        <f>'FS (nominal)'!O138*CPI!$I$46</f>
        <v>2593.9055059735961</v>
      </c>
      <c r="P137" s="17">
        <f>'FS (nominal)'!P138*CPI!$I$46</f>
        <v>250.11890165663937</v>
      </c>
      <c r="Q137" s="17">
        <f>'FS (nominal)'!Q138*CPI!$I$46</f>
        <v>0</v>
      </c>
      <c r="R137" s="17">
        <f>'FS (nominal)'!R138*CPI!$I$46</f>
        <v>1694.7711784665391</v>
      </c>
      <c r="S137" s="15">
        <f>'FS (nominal)'!S138*CPI!$I$46</f>
        <v>15690.648684097972</v>
      </c>
      <c r="T137" s="15">
        <f>'FS (nominal)'!T138*CPI!$I$46</f>
        <v>24057.630494710727</v>
      </c>
      <c r="U137" s="15">
        <f>'FS (nominal)'!U138*CPI!$I$46</f>
        <v>7193.7508035699002</v>
      </c>
      <c r="V137" s="15">
        <f>'FS (nominal)'!V138*CPI!$I$46</f>
        <v>16863.879906760569</v>
      </c>
      <c r="W137" s="17"/>
      <c r="X137" s="17">
        <f>'FS (nominal)'!W138*CPI!$I$46</f>
        <v>399.00268457414955</v>
      </c>
      <c r="Y137" s="17">
        <f>'FS (nominal)'!X138*CPI!$I$46</f>
        <v>5830.0242817712633</v>
      </c>
      <c r="Z137" s="17">
        <f>'FS (nominal)'!Y138*CPI!$I$46</f>
        <v>1664.5844144734965</v>
      </c>
      <c r="AA137" s="15">
        <f>'FS (nominal)'!Z138*CPI!$I$46</f>
        <v>23959.485778278347</v>
      </c>
      <c r="AB137" s="17">
        <f>'FS (nominal)'!AA138*CPI!$I$46</f>
        <v>0</v>
      </c>
      <c r="AC137" s="17">
        <f>'FS (nominal)'!AB138*CPI!$I$46</f>
        <v>2366.4266773117388</v>
      </c>
      <c r="AD137" s="17">
        <f>'FS (nominal)'!AC138*CPI!$I$46</f>
        <v>0</v>
      </c>
      <c r="AE137" s="17">
        <f>'FS (nominal)'!AD138*CPI!$I$46</f>
        <v>2439.7373898662713</v>
      </c>
      <c r="AF137" s="17">
        <f>'FS (nominal)'!AE138*CPI!$I$46</f>
        <v>0</v>
      </c>
      <c r="AG137" s="15">
        <f>'FS (nominal)'!AF138*CPI!$I$46</f>
        <v>4806.1640671780096</v>
      </c>
      <c r="AH137" s="18">
        <f>'FS (nominal)'!AG138*CPI!$I$46</f>
        <v>859.24467508767918</v>
      </c>
    </row>
    <row r="138" spans="1:34" s="102" customFormat="1" ht="15" customHeight="1">
      <c r="A138" s="246">
        <f>References!H273</f>
        <v>351</v>
      </c>
      <c r="B138" s="256" t="s">
        <v>44</v>
      </c>
      <c r="C138" s="121">
        <v>2009</v>
      </c>
      <c r="D138" s="17">
        <f>'FS (nominal)'!D139*CPI!$I$50</f>
        <v>44491.072935685348</v>
      </c>
      <c r="E138" s="15">
        <f>'FS (nominal)'!E139*CPI!$I$50</f>
        <v>47469.366298304609</v>
      </c>
      <c r="F138" s="15">
        <f>'FS (nominal)'!F139*CPI!$I$50</f>
        <v>3870.0166106115712</v>
      </c>
      <c r="G138" s="15">
        <f>'FS (nominal)'!G139*CPI!$I$50</f>
        <v>-21.799986272221833</v>
      </c>
      <c r="H138" s="17">
        <f>'FS (nominal)'!H139*CPI!$I$50</f>
        <v>193.81225890589602</v>
      </c>
      <c r="I138" s="15">
        <f>'FS (nominal)'!I139*CPI!$I$50</f>
        <v>51511.395181549851</v>
      </c>
      <c r="J138" s="15">
        <f>'FS (nominal)'!J139*CPI!$I$50</f>
        <v>14875.376347038227</v>
      </c>
      <c r="K138" s="17">
        <f>'FS (nominal)'!K139*CPI!$I$50</f>
        <v>6582.5577596266021</v>
      </c>
      <c r="L138" s="17">
        <f>'FS (nominal)'!L139*CPI!$I$50</f>
        <v>497.24730592353615</v>
      </c>
      <c r="M138" s="17">
        <f>'FS (nominal)'!M139*CPI!$I$50</f>
        <v>1510.7390486649731</v>
      </c>
      <c r="N138" s="17">
        <f>'FS (nominal)'!N139*CPI!$I$50</f>
        <v>4229.8201935616707</v>
      </c>
      <c r="O138" s="17">
        <f>'FS (nominal)'!O139*CPI!$I$50</f>
        <v>1881.5464342096227</v>
      </c>
      <c r="P138" s="17">
        <f>'FS (nominal)'!P139*CPI!$I$50</f>
        <v>282.4655364129315</v>
      </c>
      <c r="Q138" s="17">
        <f>'FS (nominal)'!Q139*CPI!$I$50</f>
        <v>0</v>
      </c>
      <c r="R138" s="17">
        <f>'FS (nominal)'!R139*CPI!$I$50</f>
        <v>1599.7037545473261</v>
      </c>
      <c r="S138" s="15">
        <f>'FS (nominal)'!S139*CPI!$I$50</f>
        <v>16584.080032946662</v>
      </c>
      <c r="T138" s="15">
        <f>'FS (nominal)'!T139*CPI!$I$50</f>
        <v>20051.93880156496</v>
      </c>
      <c r="U138" s="15">
        <f>'FS (nominal)'!U139*CPI!$I$50</f>
        <v>7508.2267005285166</v>
      </c>
      <c r="V138" s="15">
        <f>'FS (nominal)'!V139*CPI!$I$50</f>
        <v>12543.712101036443</v>
      </c>
      <c r="W138" s="17"/>
      <c r="X138" s="17">
        <f>'FS (nominal)'!W139*CPI!$I$50</f>
        <v>953.4168977143247</v>
      </c>
      <c r="Y138" s="17">
        <f>'FS (nominal)'!X139*CPI!$I$50</f>
        <v>5416.2676292950764</v>
      </c>
      <c r="Z138" s="17">
        <f>'FS (nominal)'!Y139*CPI!$I$50</f>
        <v>0</v>
      </c>
      <c r="AA138" s="15">
        <f>'FS (nominal)'!Z139*CPI!$I$50</f>
        <v>17006.562728807738</v>
      </c>
      <c r="AB138" s="17">
        <f>'FS (nominal)'!AA139*CPI!$I$50</f>
        <v>0</v>
      </c>
      <c r="AC138" s="17">
        <f>'FS (nominal)'!AB139*CPI!$I$50</f>
        <v>0</v>
      </c>
      <c r="AD138" s="17">
        <f>'FS (nominal)'!AC139*CPI!$I$50</f>
        <v>0</v>
      </c>
      <c r="AE138" s="17">
        <f>'FS (nominal)'!AD139*CPI!$I$50</f>
        <v>0</v>
      </c>
      <c r="AF138" s="17">
        <f>'FS (nominal)'!AE139*CPI!$I$50</f>
        <v>0</v>
      </c>
      <c r="AG138" s="15">
        <f>'FS (nominal)'!AF139*CPI!$I$50</f>
        <v>7918.1702519047276</v>
      </c>
      <c r="AH138" s="18">
        <f>'FS (nominal)'!AG139*CPI!$I$50</f>
        <v>647.35578282654933</v>
      </c>
    </row>
    <row r="139" spans="1:34" s="102" customFormat="1" ht="15" customHeight="1">
      <c r="A139" s="246">
        <f>References!I273</f>
        <v>352</v>
      </c>
      <c r="B139" s="256" t="s">
        <v>44</v>
      </c>
      <c r="C139" s="121">
        <v>2010</v>
      </c>
      <c r="D139" s="17">
        <f>'FS (nominal)'!D140*CPI!$I$54</f>
        <v>46682.018538977652</v>
      </c>
      <c r="E139" s="15">
        <f>'FS (nominal)'!E140*CPI!$I$54</f>
        <v>51091.538088437381</v>
      </c>
      <c r="F139" s="15">
        <f>'FS (nominal)'!F140*CPI!$I$54</f>
        <v>2400.3761687909241</v>
      </c>
      <c r="G139" s="15">
        <f>'FS (nominal)'!G140*CPI!$I$54</f>
        <v>0</v>
      </c>
      <c r="H139" s="17">
        <f>'FS (nominal)'!H140*CPI!$I$54</f>
        <v>253.69001104793722</v>
      </c>
      <c r="I139" s="15">
        <f>'FS (nominal)'!I140*CPI!$I$54</f>
        <v>53745.604268276242</v>
      </c>
      <c r="J139" s="15">
        <f>'FS (nominal)'!J140*CPI!$I$54</f>
        <v>15254.003395219745</v>
      </c>
      <c r="K139" s="17">
        <f>'FS (nominal)'!K140*CPI!$I$54</f>
        <v>6818.0464013365299</v>
      </c>
      <c r="L139" s="17">
        <f>'FS (nominal)'!L140*CPI!$I$54</f>
        <v>509.41769286734382</v>
      </c>
      <c r="M139" s="17">
        <f>'FS (nominal)'!M140*CPI!$I$54</f>
        <v>1599.5715556034597</v>
      </c>
      <c r="N139" s="17">
        <f>'FS (nominal)'!N140*CPI!$I$54</f>
        <v>3785.9922933900993</v>
      </c>
      <c r="O139" s="17">
        <f>'FS (nominal)'!O140*CPI!$I$54</f>
        <v>1393.7668076850528</v>
      </c>
      <c r="P139" s="17">
        <f>'FS (nominal)'!P140*CPI!$I$54</f>
        <v>262.85952951954943</v>
      </c>
      <c r="Q139" s="17">
        <f>'FS (nominal)'!Q140*CPI!$I$54</f>
        <v>0</v>
      </c>
      <c r="R139" s="17">
        <f>'FS (nominal)'!R140*CPI!$I$54</f>
        <v>1464.0664493007462</v>
      </c>
      <c r="S139" s="15">
        <f>'FS (nominal)'!S140*CPI!$I$54</f>
        <v>15833.720729702782</v>
      </c>
      <c r="T139" s="15">
        <f>'FS (nominal)'!T140*CPI!$I$54</f>
        <v>22657.880143353719</v>
      </c>
      <c r="U139" s="15">
        <f>'FS (nominal)'!U140*CPI!$I$54</f>
        <v>9254.0818086281688</v>
      </c>
      <c r="V139" s="15">
        <f>'FS (nominal)'!V140*CPI!$I$54</f>
        <v>13403.79833472555</v>
      </c>
      <c r="W139" s="17"/>
      <c r="X139" s="17">
        <f>'FS (nominal)'!W140*CPI!$I$54</f>
        <v>1737.3003720190777</v>
      </c>
      <c r="Y139" s="17">
        <f>'FS (nominal)'!X140*CPI!$I$54</f>
        <v>3887.3149630837215</v>
      </c>
      <c r="Z139" s="17">
        <f>'FS (nominal)'!Y140*CPI!$I$54</f>
        <v>0</v>
      </c>
      <c r="AA139" s="15">
        <f>'FS (nominal)'!Z140*CPI!$I$54</f>
        <v>15553.813027673734</v>
      </c>
      <c r="AB139" s="17">
        <f>'FS (nominal)'!AA140*CPI!$I$54</f>
        <v>436.06154509444633</v>
      </c>
      <c r="AC139" s="17">
        <f>'FS (nominal)'!AB140*CPI!$I$54</f>
        <v>3643.355339387243</v>
      </c>
      <c r="AD139" s="17">
        <f>'FS (nominal)'!AC140*CPI!$I$54</f>
        <v>418.74134353695666</v>
      </c>
      <c r="AE139" s="17">
        <f>'FS (nominal)'!AD140*CPI!$I$54</f>
        <v>6550.0926948883071</v>
      </c>
      <c r="AF139" s="17">
        <f>'FS (nominal)'!AE140*CPI!$I$54</f>
        <v>99.84586780199939</v>
      </c>
      <c r="AG139" s="15">
        <f>'FS (nominal)'!AF140*CPI!$I$54</f>
        <v>11148.096790708953</v>
      </c>
      <c r="AH139" s="18">
        <f>'FS (nominal)'!AG140*CPI!$I$54</f>
        <v>500.24817439573167</v>
      </c>
    </row>
    <row r="140" spans="1:34" s="102" customFormat="1" ht="15" customHeight="1">
      <c r="A140" s="246">
        <f>References!J273</f>
        <v>353</v>
      </c>
      <c r="B140" s="256" t="s">
        <v>44</v>
      </c>
      <c r="C140" s="121">
        <v>2011</v>
      </c>
      <c r="D140" s="17">
        <f>'FS (nominal)'!D141*CPI!$I$58</f>
        <v>46108</v>
      </c>
      <c r="E140" s="15">
        <f>'FS (nominal)'!E141*CPI!$I$58</f>
        <v>50025</v>
      </c>
      <c r="F140" s="15">
        <f>'FS (nominal)'!F141*CPI!$I$58</f>
        <v>1534.1</v>
      </c>
      <c r="G140" s="15">
        <f>'FS (nominal)'!G141*CPI!$I$58</f>
        <v>0</v>
      </c>
      <c r="H140" s="17">
        <f>'FS (nominal)'!H141*CPI!$I$58</f>
        <v>134.5</v>
      </c>
      <c r="I140" s="15">
        <f>'FS (nominal)'!I141*CPI!$I$58</f>
        <v>51693.599999999999</v>
      </c>
      <c r="J140" s="15">
        <f>'FS (nominal)'!J141*CPI!$I$58</f>
        <v>14937</v>
      </c>
      <c r="K140" s="17">
        <f>'FS (nominal)'!K141*CPI!$I$58</f>
        <v>5940.732</v>
      </c>
      <c r="L140" s="17">
        <f>'FS (nominal)'!L141*CPI!$I$58</f>
        <v>617</v>
      </c>
      <c r="M140" s="17">
        <f>'FS (nominal)'!M141*CPI!$I$58</f>
        <v>1659</v>
      </c>
      <c r="N140" s="17">
        <f>'FS (nominal)'!N141*CPI!$I$58</f>
        <v>3172</v>
      </c>
      <c r="O140" s="17">
        <f>'FS (nominal)'!O141*CPI!$I$58</f>
        <v>1285</v>
      </c>
      <c r="P140" s="17">
        <f>'FS (nominal)'!P141*CPI!$I$58</f>
        <v>208</v>
      </c>
      <c r="Q140" s="17">
        <f>'FS (nominal)'!Q141*CPI!$I$58</f>
        <v>0</v>
      </c>
      <c r="R140" s="17">
        <f>'FS (nominal)'!R141*CPI!$I$58</f>
        <v>1912</v>
      </c>
      <c r="S140" s="15">
        <f>'FS (nominal)'!S141*CPI!$I$58</f>
        <v>14793.732</v>
      </c>
      <c r="T140" s="15">
        <f>'FS (nominal)'!T141*CPI!$I$58</f>
        <v>21962.867999999999</v>
      </c>
      <c r="U140" s="15">
        <f>'FS (nominal)'!U141*CPI!$I$58</f>
        <v>9544</v>
      </c>
      <c r="V140" s="15">
        <f>'FS (nominal)'!V141*CPI!$I$58</f>
        <v>12418.868</v>
      </c>
      <c r="W140" s="17"/>
      <c r="X140" s="17">
        <f>'FS (nominal)'!W141*CPI!$I$58</f>
        <v>1546.4671000000001</v>
      </c>
      <c r="Y140" s="17">
        <f>'FS (nominal)'!X141*CPI!$I$58</f>
        <v>8676.2242999999999</v>
      </c>
      <c r="Z140" s="17">
        <f>'FS (nominal)'!Y141*CPI!$I$58</f>
        <v>0</v>
      </c>
      <c r="AA140" s="15">
        <f>'FS (nominal)'!Z141*CPI!$I$58</f>
        <v>19548.625</v>
      </c>
      <c r="AB140" s="17">
        <f>'FS (nominal)'!AA141*CPI!$I$58</f>
        <v>594</v>
      </c>
      <c r="AC140" s="17">
        <f>'FS (nominal)'!AB141*CPI!$I$58</f>
        <v>1586</v>
      </c>
      <c r="AD140" s="17">
        <f>'FS (nominal)'!AC141*CPI!$I$58</f>
        <v>203</v>
      </c>
      <c r="AE140" s="17">
        <f>'FS (nominal)'!AD141*CPI!$I$58</f>
        <v>7419</v>
      </c>
      <c r="AF140" s="17">
        <f>'FS (nominal)'!AE141*CPI!$I$58</f>
        <v>24</v>
      </c>
      <c r="AG140" s="15">
        <f>'FS (nominal)'!AF141*CPI!$I$58</f>
        <v>9826</v>
      </c>
      <c r="AH140" s="18">
        <f>'FS (nominal)'!AG141*CPI!$I$58</f>
        <v>733</v>
      </c>
    </row>
    <row r="141" spans="1:34" s="102" customFormat="1" ht="15" hidden="1" customHeight="1">
      <c r="A141" s="246">
        <f>References!C274</f>
        <v>369</v>
      </c>
      <c r="B141" s="255" t="s">
        <v>45</v>
      </c>
      <c r="C141" s="121">
        <v>2004</v>
      </c>
      <c r="D141" s="17">
        <f>'FS (nominal)'!D142*CPI!$I$30</f>
        <v>165386.60587787506</v>
      </c>
      <c r="E141" s="15">
        <f>'FS (nominal)'!E142*CPI!$I$30</f>
        <v>165386.60587787506</v>
      </c>
      <c r="F141" s="15">
        <f>'FS (nominal)'!F142*CPI!$I$30</f>
        <v>0</v>
      </c>
      <c r="G141" s="15">
        <f>'FS (nominal)'!G142*CPI!$I$30</f>
        <v>7268.3340697336862</v>
      </c>
      <c r="H141" s="17">
        <f>'FS (nominal)'!H142*CPI!$I$30</f>
        <v>11256.37645894283</v>
      </c>
      <c r="I141" s="15">
        <f>'FS (nominal)'!I142*CPI!$I$30</f>
        <v>183911.31640655157</v>
      </c>
      <c r="J141" s="15">
        <f>'FS (nominal)'!J142*CPI!$I$30</f>
        <v>42038.701223865144</v>
      </c>
      <c r="K141" s="17">
        <f>'FS (nominal)'!K142*CPI!$I$30</f>
        <v>0</v>
      </c>
      <c r="L141" s="17">
        <f>'FS (nominal)'!L142*CPI!$I$30</f>
        <v>0</v>
      </c>
      <c r="M141" s="17">
        <f>'FS (nominal)'!M142*CPI!$I$30</f>
        <v>0</v>
      </c>
      <c r="N141" s="17">
        <f>'FS (nominal)'!N142*CPI!$I$30</f>
        <v>0</v>
      </c>
      <c r="O141" s="17">
        <f>'FS (nominal)'!O142*CPI!$I$30</f>
        <v>0</v>
      </c>
      <c r="P141" s="17">
        <f>'FS (nominal)'!P142*CPI!$I$30</f>
        <v>0</v>
      </c>
      <c r="Q141" s="17">
        <f>'FS (nominal)'!Q142*CPI!$I$30</f>
        <v>7268.3340697336862</v>
      </c>
      <c r="R141" s="17">
        <f>'FS (nominal)'!R142*CPI!$I$30</f>
        <v>0</v>
      </c>
      <c r="S141" s="15">
        <f>'FS (nominal)'!S142*CPI!$I$30</f>
        <v>85794.845293719205</v>
      </c>
      <c r="T141" s="15">
        <f>'FS (nominal)'!T142*CPI!$I$30</f>
        <v>98116.471112832369</v>
      </c>
      <c r="U141" s="15">
        <f>'FS (nominal)'!U142*CPI!$I$30</f>
        <v>26498.37977566585</v>
      </c>
      <c r="V141" s="15">
        <f>'FS (nominal)'!V142*CPI!$I$30</f>
        <v>0</v>
      </c>
      <c r="W141" s="17"/>
      <c r="X141" s="17">
        <f>'FS (nominal)'!W142*CPI!$I$30</f>
        <v>28462.206827408449</v>
      </c>
      <c r="Y141" s="17">
        <f>'FS (nominal)'!X142*CPI!$I$30</f>
        <v>0</v>
      </c>
      <c r="Z141" s="17">
        <f>'FS (nominal)'!Y142*CPI!$I$30</f>
        <v>0</v>
      </c>
      <c r="AA141" s="15">
        <f>'FS (nominal)'!Z142*CPI!$I$30</f>
        <v>42818.917875418476</v>
      </c>
      <c r="AB141" s="17">
        <f>'FS (nominal)'!AA142*CPI!$I$30</f>
        <v>0</v>
      </c>
      <c r="AC141" s="17">
        <f>'FS (nominal)'!AB142*CPI!$I$30</f>
        <v>0</v>
      </c>
      <c r="AD141" s="17">
        <f>'FS (nominal)'!AC142*CPI!$I$30</f>
        <v>0</v>
      </c>
      <c r="AE141" s="17">
        <f>'FS (nominal)'!AD142*CPI!$I$30</f>
        <v>0</v>
      </c>
      <c r="AF141" s="17">
        <f>'FS (nominal)'!AE142*CPI!$I$30</f>
        <v>0</v>
      </c>
      <c r="AG141" s="15">
        <f>'FS (nominal)'!AF142*CPI!$I$30</f>
        <v>0</v>
      </c>
      <c r="AH141" s="18">
        <f>'FS (nominal)'!AG142*CPI!$I$30</f>
        <v>0</v>
      </c>
    </row>
    <row r="142" spans="1:34" s="102" customFormat="1" ht="15" hidden="1" customHeight="1">
      <c r="A142" s="246">
        <f>References!D274</f>
        <v>370</v>
      </c>
      <c r="B142" s="255" t="s">
        <v>45</v>
      </c>
      <c r="C142" s="121">
        <v>2005</v>
      </c>
      <c r="D142" s="17">
        <f>'FS (nominal)'!D143*CPI!$I$34</f>
        <v>170059.82162248998</v>
      </c>
      <c r="E142" s="15">
        <f>'FS (nominal)'!E143*CPI!$I$34</f>
        <v>170059.82162248998</v>
      </c>
      <c r="F142" s="15">
        <f>'FS (nominal)'!F143*CPI!$I$34</f>
        <v>0</v>
      </c>
      <c r="G142" s="15">
        <f>'FS (nominal)'!G143*CPI!$I$34</f>
        <v>3754.046165136544</v>
      </c>
      <c r="H142" s="17">
        <f>'FS (nominal)'!H143*CPI!$I$34</f>
        <v>8345.0715787560239</v>
      </c>
      <c r="I142" s="15">
        <f>'FS (nominal)'!I143*CPI!$I$34</f>
        <v>182158.93936638255</v>
      </c>
      <c r="J142" s="15">
        <f>'FS (nominal)'!J143*CPI!$I$34</f>
        <v>46377.596979581198</v>
      </c>
      <c r="K142" s="17">
        <f>'FS (nominal)'!K143*CPI!$I$34</f>
        <v>0</v>
      </c>
      <c r="L142" s="17">
        <f>'FS (nominal)'!L143*CPI!$I$34</f>
        <v>0</v>
      </c>
      <c r="M142" s="17">
        <f>'FS (nominal)'!M143*CPI!$I$34</f>
        <v>0</v>
      </c>
      <c r="N142" s="17">
        <f>'FS (nominal)'!N143*CPI!$I$34</f>
        <v>0</v>
      </c>
      <c r="O142" s="17">
        <f>'FS (nominal)'!O143*CPI!$I$34</f>
        <v>0</v>
      </c>
      <c r="P142" s="17">
        <f>'FS (nominal)'!P143*CPI!$I$34</f>
        <v>0</v>
      </c>
      <c r="Q142" s="17">
        <f>'FS (nominal)'!Q143*CPI!$I$34</f>
        <v>3754.046165136544</v>
      </c>
      <c r="R142" s="17">
        <f>'FS (nominal)'!R143*CPI!$I$34</f>
        <v>0</v>
      </c>
      <c r="S142" s="15">
        <f>'FS (nominal)'!S143*CPI!$I$34</f>
        <v>97944.229862555891</v>
      </c>
      <c r="T142" s="15">
        <f>'FS (nominal)'!T143*CPI!$I$34</f>
        <v>84214.709503826671</v>
      </c>
      <c r="U142" s="15">
        <f>'FS (nominal)'!U143*CPI!$I$34</f>
        <v>27971.116628977557</v>
      </c>
      <c r="V142" s="15">
        <f>'FS (nominal)'!V143*CPI!$I$34</f>
        <v>0</v>
      </c>
      <c r="W142" s="17"/>
      <c r="X142" s="17">
        <f>'FS (nominal)'!W143*CPI!$I$34</f>
        <v>24361.86434227055</v>
      </c>
      <c r="Y142" s="17">
        <f>'FS (nominal)'!X143*CPI!$I$34</f>
        <v>0</v>
      </c>
      <c r="Z142" s="17">
        <f>'FS (nominal)'!Y143*CPI!$I$34</f>
        <v>0</v>
      </c>
      <c r="AA142" s="15">
        <f>'FS (nominal)'!Z143*CPI!$I$34</f>
        <v>28838.702713551287</v>
      </c>
      <c r="AB142" s="17">
        <f>'FS (nominal)'!AA143*CPI!$I$34</f>
        <v>0</v>
      </c>
      <c r="AC142" s="17">
        <f>'FS (nominal)'!AB143*CPI!$I$34</f>
        <v>0</v>
      </c>
      <c r="AD142" s="17">
        <f>'FS (nominal)'!AC143*CPI!$I$34</f>
        <v>0</v>
      </c>
      <c r="AE142" s="17">
        <f>'FS (nominal)'!AD143*CPI!$I$34</f>
        <v>0</v>
      </c>
      <c r="AF142" s="17">
        <f>'FS (nominal)'!AE143*CPI!$I$34</f>
        <v>0</v>
      </c>
      <c r="AG142" s="15">
        <f>'FS (nominal)'!AF143*CPI!$I$34</f>
        <v>0</v>
      </c>
      <c r="AH142" s="18">
        <f>'FS (nominal)'!AG143*CPI!$I$34</f>
        <v>0</v>
      </c>
    </row>
    <row r="143" spans="1:34" s="102" customFormat="1" ht="15" hidden="1" customHeight="1">
      <c r="A143" s="246">
        <f>References!E274</f>
        <v>371</v>
      </c>
      <c r="B143" s="255" t="s">
        <v>45</v>
      </c>
      <c r="C143" s="121">
        <v>2006</v>
      </c>
      <c r="D143" s="17">
        <f>'FS (nominal)'!D144*CPI!$I$38</f>
        <v>172596.21098101127</v>
      </c>
      <c r="E143" s="15">
        <f>'FS (nominal)'!E144*CPI!$I$38</f>
        <v>172596.21098101127</v>
      </c>
      <c r="F143" s="15">
        <f>'FS (nominal)'!F144*CPI!$I$38</f>
        <v>0</v>
      </c>
      <c r="G143" s="15">
        <f>'FS (nominal)'!G144*CPI!$I$38</f>
        <v>8193.6019399907582</v>
      </c>
      <c r="H143" s="17">
        <f>'FS (nominal)'!H144*CPI!$I$38</f>
        <v>11646.302047275543</v>
      </c>
      <c r="I143" s="15">
        <f>'FS (nominal)'!I144*CPI!$I$38</f>
        <v>192436.1149682776</v>
      </c>
      <c r="J143" s="15">
        <f>'FS (nominal)'!J144*CPI!$I$38</f>
        <v>45889.191313542447</v>
      </c>
      <c r="K143" s="17">
        <f>'FS (nominal)'!K144*CPI!$I$38</f>
        <v>0</v>
      </c>
      <c r="L143" s="17">
        <f>'FS (nominal)'!L144*CPI!$I$38</f>
        <v>0</v>
      </c>
      <c r="M143" s="17">
        <f>'FS (nominal)'!M144*CPI!$I$38</f>
        <v>0</v>
      </c>
      <c r="N143" s="17">
        <f>'FS (nominal)'!N144*CPI!$I$38</f>
        <v>0</v>
      </c>
      <c r="O143" s="17">
        <f>'FS (nominal)'!O144*CPI!$I$38</f>
        <v>0</v>
      </c>
      <c r="P143" s="17">
        <f>'FS (nominal)'!P144*CPI!$I$38</f>
        <v>0</v>
      </c>
      <c r="Q143" s="17">
        <f>'FS (nominal)'!Q144*CPI!$I$38</f>
        <v>8193.6019399907582</v>
      </c>
      <c r="R143" s="17">
        <f>'FS (nominal)'!R144*CPI!$I$38</f>
        <v>0</v>
      </c>
      <c r="S143" s="15">
        <f>'FS (nominal)'!S144*CPI!$I$38</f>
        <v>95564.258025621224</v>
      </c>
      <c r="T143" s="15">
        <f>'FS (nominal)'!T144*CPI!$I$38</f>
        <v>96871.856942656363</v>
      </c>
      <c r="U143" s="15">
        <f>'FS (nominal)'!U144*CPI!$I$38</f>
        <v>27855.508168917197</v>
      </c>
      <c r="V143" s="15">
        <f>'FS (nominal)'!V144*CPI!$I$38</f>
        <v>0</v>
      </c>
      <c r="W143" s="17"/>
      <c r="X143" s="17">
        <f>'FS (nominal)'!W144*CPI!$I$38</f>
        <v>26264.938456572519</v>
      </c>
      <c r="Y143" s="17">
        <f>'FS (nominal)'!X144*CPI!$I$38</f>
        <v>0</v>
      </c>
      <c r="Z143" s="17">
        <f>'FS (nominal)'!Y144*CPI!$I$38</f>
        <v>0</v>
      </c>
      <c r="AA143" s="15">
        <f>'FS (nominal)'!Z144*CPI!$I$38</f>
        <v>39407.106280665757</v>
      </c>
      <c r="AB143" s="17">
        <f>'FS (nominal)'!AA144*CPI!$I$38</f>
        <v>0</v>
      </c>
      <c r="AC143" s="17">
        <f>'FS (nominal)'!AB144*CPI!$I$38</f>
        <v>0</v>
      </c>
      <c r="AD143" s="17">
        <f>'FS (nominal)'!AC144*CPI!$I$38</f>
        <v>0</v>
      </c>
      <c r="AE143" s="17">
        <f>'FS (nominal)'!AD144*CPI!$I$38</f>
        <v>0</v>
      </c>
      <c r="AF143" s="17">
        <f>'FS (nominal)'!AE144*CPI!$I$38</f>
        <v>0</v>
      </c>
      <c r="AG143" s="15">
        <f>'FS (nominal)'!AF144*CPI!$I$38</f>
        <v>0</v>
      </c>
      <c r="AH143" s="18">
        <f>'FS (nominal)'!AG144*CPI!$I$38</f>
        <v>0</v>
      </c>
    </row>
    <row r="144" spans="1:34" s="102" customFormat="1" ht="15" hidden="1" customHeight="1">
      <c r="A144" s="246">
        <f>References!F274</f>
        <v>372</v>
      </c>
      <c r="B144" s="255" t="s">
        <v>45</v>
      </c>
      <c r="C144" s="121">
        <v>2007</v>
      </c>
      <c r="D144" s="17">
        <f>'FS (nominal)'!D145*CPI!$I$42</f>
        <v>177690.520958259</v>
      </c>
      <c r="E144" s="15">
        <f>'FS (nominal)'!E145*CPI!$I$42</f>
        <v>177690.520958259</v>
      </c>
      <c r="F144" s="15">
        <f>'FS (nominal)'!F145*CPI!$I$42</f>
        <v>0</v>
      </c>
      <c r="G144" s="15">
        <f>'FS (nominal)'!G145*CPI!$I$42</f>
        <v>6304.0629479041754</v>
      </c>
      <c r="H144" s="17">
        <f>'FS (nominal)'!H145*CPI!$I$42</f>
        <v>8742.7399303828952</v>
      </c>
      <c r="I144" s="15">
        <f>'FS (nominal)'!I145*CPI!$I$42</f>
        <v>192737.32383654607</v>
      </c>
      <c r="J144" s="15">
        <f>'FS (nominal)'!J145*CPI!$I$42</f>
        <v>46173.390177552879</v>
      </c>
      <c r="K144" s="17">
        <f>'FS (nominal)'!K145*CPI!$I$42</f>
        <v>0</v>
      </c>
      <c r="L144" s="17">
        <f>'FS (nominal)'!L145*CPI!$I$42</f>
        <v>0</v>
      </c>
      <c r="M144" s="17">
        <f>'FS (nominal)'!M145*CPI!$I$42</f>
        <v>0</v>
      </c>
      <c r="N144" s="17">
        <f>'FS (nominal)'!N145*CPI!$I$42</f>
        <v>0</v>
      </c>
      <c r="O144" s="17">
        <f>'FS (nominal)'!O145*CPI!$I$42</f>
        <v>0</v>
      </c>
      <c r="P144" s="17">
        <f>'FS (nominal)'!P145*CPI!$I$42</f>
        <v>0</v>
      </c>
      <c r="Q144" s="17">
        <f>'FS (nominal)'!Q145*CPI!$I$42</f>
        <v>6304.0629479041754</v>
      </c>
      <c r="R144" s="17">
        <f>'FS (nominal)'!R145*CPI!$I$42</f>
        <v>0</v>
      </c>
      <c r="S144" s="15">
        <f>'FS (nominal)'!S145*CPI!$I$42</f>
        <v>92165.400298359033</v>
      </c>
      <c r="T144" s="15">
        <f>'FS (nominal)'!T145*CPI!$I$42</f>
        <v>100571.92353818704</v>
      </c>
      <c r="U144" s="15">
        <f>'FS (nominal)'!U145*CPI!$I$42</f>
        <v>27840.732734665227</v>
      </c>
      <c r="V144" s="15">
        <f>'FS (nominal)'!V145*CPI!$I$42</f>
        <v>0</v>
      </c>
      <c r="W144" s="17"/>
      <c r="X144" s="17">
        <f>'FS (nominal)'!W145*CPI!$I$42</f>
        <v>29988.538040775737</v>
      </c>
      <c r="Y144" s="17">
        <f>'FS (nominal)'!X145*CPI!$I$42</f>
        <v>0</v>
      </c>
      <c r="Z144" s="17">
        <f>'FS (nominal)'!Y145*CPI!$I$42</f>
        <v>0</v>
      </c>
      <c r="AA144" s="15">
        <f>'FS (nominal)'!Z145*CPI!$I$42</f>
        <v>40259.736742036454</v>
      </c>
      <c r="AB144" s="17">
        <f>'FS (nominal)'!AA145*CPI!$I$42</f>
        <v>0</v>
      </c>
      <c r="AC144" s="17">
        <f>'FS (nominal)'!AB145*CPI!$I$42</f>
        <v>0</v>
      </c>
      <c r="AD144" s="17">
        <f>'FS (nominal)'!AC145*CPI!$I$42</f>
        <v>0</v>
      </c>
      <c r="AE144" s="17">
        <f>'FS (nominal)'!AD145*CPI!$I$42</f>
        <v>0</v>
      </c>
      <c r="AF144" s="17">
        <f>'FS (nominal)'!AE145*CPI!$I$42</f>
        <v>0</v>
      </c>
      <c r="AG144" s="15">
        <f>'FS (nominal)'!AF145*CPI!$I$42</f>
        <v>0</v>
      </c>
      <c r="AH144" s="18">
        <f>'FS (nominal)'!AG145*CPI!$I$42</f>
        <v>0</v>
      </c>
    </row>
    <row r="145" spans="1:34" s="102" customFormat="1" ht="15" customHeight="1">
      <c r="A145" s="246">
        <f>References!G274</f>
        <v>373</v>
      </c>
      <c r="B145" s="256" t="s">
        <v>45</v>
      </c>
      <c r="C145" s="121">
        <v>2008</v>
      </c>
      <c r="D145" s="17">
        <f>'FS (nominal)'!D146*CPI!$I$46</f>
        <v>182599.73539391518</v>
      </c>
      <c r="E145" s="15">
        <f>'FS (nominal)'!E146*CPI!$I$46</f>
        <v>182599.73539391518</v>
      </c>
      <c r="F145" s="15">
        <f>'FS (nominal)'!F146*CPI!$I$46</f>
        <v>9196.1820307376456</v>
      </c>
      <c r="G145" s="15">
        <f>'FS (nominal)'!G146*CPI!$I$46</f>
        <v>0</v>
      </c>
      <c r="H145" s="17">
        <f>'FS (nominal)'!H146*CPI!$I$46</f>
        <v>1224.7201391463032</v>
      </c>
      <c r="I145" s="15">
        <f>'FS (nominal)'!I146*CPI!$I$46</f>
        <v>193020.63756379913</v>
      </c>
      <c r="J145" s="15">
        <f>'FS (nominal)'!J146*CPI!$I$46</f>
        <v>47618.542100310791</v>
      </c>
      <c r="K145" s="17">
        <f>'FS (nominal)'!K146*CPI!$I$46</f>
        <v>0</v>
      </c>
      <c r="L145" s="17">
        <f>'FS (nominal)'!L146*CPI!$I$46</f>
        <v>0</v>
      </c>
      <c r="M145" s="17">
        <f>'FS (nominal)'!M146*CPI!$I$46</f>
        <v>38538.794730689173</v>
      </c>
      <c r="N145" s="17">
        <f>'FS (nominal)'!N146*CPI!$I$46</f>
        <v>0</v>
      </c>
      <c r="O145" s="17">
        <f>'FS (nominal)'!O146*CPI!$I$46</f>
        <v>0</v>
      </c>
      <c r="P145" s="17">
        <f>'FS (nominal)'!P146*CPI!$I$46</f>
        <v>0</v>
      </c>
      <c r="Q145" s="17">
        <f>'FS (nominal)'!Q146*CPI!$I$46</f>
        <v>0</v>
      </c>
      <c r="R145" s="17">
        <f>'FS (nominal)'!R146*CPI!$I$46</f>
        <v>0</v>
      </c>
      <c r="S145" s="15">
        <f>'FS (nominal)'!S146*CPI!$I$46</f>
        <v>38538.794730689173</v>
      </c>
      <c r="T145" s="15">
        <f>'FS (nominal)'!T146*CPI!$I$46</f>
        <v>106863.30073279917</v>
      </c>
      <c r="U145" s="15">
        <f>'FS (nominal)'!U146*CPI!$I$46</f>
        <v>27929.225285848705</v>
      </c>
      <c r="V145" s="15">
        <f>'FS (nominal)'!V146*CPI!$I$46</f>
        <v>78934.075446950461</v>
      </c>
      <c r="W145" s="17"/>
      <c r="X145" s="17">
        <f>'FS (nominal)'!W146*CPI!$I$46</f>
        <v>16300.826681873912</v>
      </c>
      <c r="Y145" s="17">
        <f>'FS (nominal)'!X146*CPI!$I$46</f>
        <v>23994.747152918364</v>
      </c>
      <c r="Z145" s="17">
        <f>'FS (nominal)'!Y146*CPI!$I$46</f>
        <v>-527.19027116420966</v>
      </c>
      <c r="AA145" s="15">
        <f>'FS (nominal)'!Z146*CPI!$I$46</f>
        <v>86100.805646830704</v>
      </c>
      <c r="AB145" s="17">
        <f>'FS (nominal)'!AA146*CPI!$I$46</f>
        <v>36310.3646887742</v>
      </c>
      <c r="AC145" s="17">
        <f>'FS (nominal)'!AB146*CPI!$I$46</f>
        <v>0</v>
      </c>
      <c r="AD145" s="17">
        <f>'FS (nominal)'!AC146*CPI!$I$46</f>
        <v>0</v>
      </c>
      <c r="AE145" s="17">
        <f>'FS (nominal)'!AD146*CPI!$I$46</f>
        <v>0</v>
      </c>
      <c r="AF145" s="17">
        <f>'FS (nominal)'!AE146*CPI!$I$46</f>
        <v>0</v>
      </c>
      <c r="AG145" s="15">
        <f>'FS (nominal)'!AF146*CPI!$I$46</f>
        <v>36310.3646887742</v>
      </c>
      <c r="AH145" s="18">
        <f>'FS (nominal)'!AG146*CPI!$I$46</f>
        <v>2809.525248781044</v>
      </c>
    </row>
    <row r="146" spans="1:34" s="102" customFormat="1" ht="15" customHeight="1">
      <c r="A146" s="246">
        <f>References!H274</f>
        <v>374</v>
      </c>
      <c r="B146" s="256" t="s">
        <v>45</v>
      </c>
      <c r="C146" s="121">
        <v>2009</v>
      </c>
      <c r="D146" s="17">
        <f>'FS (nominal)'!D147*CPI!$I$50</f>
        <v>187287.83444299534</v>
      </c>
      <c r="E146" s="15">
        <f>'FS (nominal)'!E147*CPI!$I$50</f>
        <v>187287.83444299534</v>
      </c>
      <c r="F146" s="15">
        <f>'FS (nominal)'!F147*CPI!$I$50</f>
        <v>9529.7082847141155</v>
      </c>
      <c r="G146" s="15">
        <f>'FS (nominal)'!G147*CPI!$I$50</f>
        <v>0</v>
      </c>
      <c r="H146" s="17">
        <f>'FS (nominal)'!H147*CPI!$I$50</f>
        <v>1508.3514311208726</v>
      </c>
      <c r="I146" s="15">
        <f>'FS (nominal)'!I147*CPI!$I$50</f>
        <v>198325.89415883034</v>
      </c>
      <c r="J146" s="15">
        <f>'FS (nominal)'!J147*CPI!$I$50</f>
        <v>50993.282174480046</v>
      </c>
      <c r="K146" s="17">
        <f>'FS (nominal)'!K147*CPI!$I$50</f>
        <v>0</v>
      </c>
      <c r="L146" s="17">
        <f>'FS (nominal)'!L147*CPI!$I$50</f>
        <v>0</v>
      </c>
      <c r="M146" s="17">
        <f>'FS (nominal)'!M147*CPI!$I$50</f>
        <v>0</v>
      </c>
      <c r="N146" s="17">
        <f>'FS (nominal)'!N147*CPI!$I$50</f>
        <v>0</v>
      </c>
      <c r="O146" s="17">
        <f>'FS (nominal)'!O147*CPI!$I$50</f>
        <v>0</v>
      </c>
      <c r="P146" s="17">
        <f>'FS (nominal)'!P147*CPI!$I$50</f>
        <v>0</v>
      </c>
      <c r="Q146" s="17">
        <f>'FS (nominal)'!Q147*CPI!$I$50</f>
        <v>0</v>
      </c>
      <c r="R146" s="17">
        <f>'FS (nominal)'!R147*CPI!$I$50</f>
        <v>0</v>
      </c>
      <c r="S146" s="15">
        <f>'FS (nominal)'!S147*CPI!$I$50</f>
        <v>39215.061019973902</v>
      </c>
      <c r="T146" s="15">
        <f>'FS (nominal)'!T147*CPI!$I$50</f>
        <v>108117.55096437638</v>
      </c>
      <c r="U146" s="15">
        <f>'FS (nominal)'!U147*CPI!$I$50</f>
        <v>28420.953531470921</v>
      </c>
      <c r="V146" s="15">
        <f>'FS (nominal)'!V147*CPI!$I$50</f>
        <v>79696.597432905459</v>
      </c>
      <c r="W146" s="17"/>
      <c r="X146" s="17">
        <f>'FS (nominal)'!W147*CPI!$I$50</f>
        <v>14325.367883862991</v>
      </c>
      <c r="Y146" s="17">
        <f>'FS (nominal)'!X147*CPI!$I$50</f>
        <v>21594.105125677801</v>
      </c>
      <c r="Z146" s="17">
        <f>'FS (nominal)'!Y147*CPI!$I$50</f>
        <v>-529.42823803967315</v>
      </c>
      <c r="AA146" s="15">
        <f>'FS (nominal)'!Z147*CPI!$I$50</f>
        <v>86435.906436680598</v>
      </c>
      <c r="AB146" s="17">
        <f>'FS (nominal)'!AA147*CPI!$I$50</f>
        <v>0</v>
      </c>
      <c r="AC146" s="17">
        <f>'FS (nominal)'!AB147*CPI!$I$50</f>
        <v>0</v>
      </c>
      <c r="AD146" s="17">
        <f>'FS (nominal)'!AC147*CPI!$I$50</f>
        <v>0</v>
      </c>
      <c r="AE146" s="17">
        <f>'FS (nominal)'!AD147*CPI!$I$50</f>
        <v>0</v>
      </c>
      <c r="AF146" s="17">
        <f>'FS (nominal)'!AE147*CPI!$I$50</f>
        <v>0</v>
      </c>
      <c r="AG146" s="15">
        <f>'FS (nominal)'!AF147*CPI!$I$50</f>
        <v>35774.815567300422</v>
      </c>
      <c r="AH146" s="18">
        <f>'FS (nominal)'!AG147*CPI!$I$50</f>
        <v>3047.8456997734907</v>
      </c>
    </row>
    <row r="147" spans="1:34" s="102" customFormat="1" ht="15" customHeight="1">
      <c r="A147" s="246">
        <f>References!I274</f>
        <v>375</v>
      </c>
      <c r="B147" s="256" t="s">
        <v>45</v>
      </c>
      <c r="C147" s="121">
        <v>2010</v>
      </c>
      <c r="D147" s="17">
        <f>'FS (nominal)'!D148*CPI!$I$54</f>
        <v>193732.5674328366</v>
      </c>
      <c r="E147" s="15">
        <f>'FS (nominal)'!E148*CPI!$I$54</f>
        <v>193732.5674328366</v>
      </c>
      <c r="F147" s="15">
        <f>'FS (nominal)'!F148*CPI!$I$54</f>
        <v>5519.0312845248036</v>
      </c>
      <c r="G147" s="15">
        <f>'FS (nominal)'!G148*CPI!$I$54</f>
        <v>0</v>
      </c>
      <c r="H147" s="17">
        <f>'FS (nominal)'!H148*CPI!$I$54</f>
        <v>1278.638409097033</v>
      </c>
      <c r="I147" s="15">
        <f>'FS (nominal)'!I148*CPI!$I$54</f>
        <v>200530.23712645844</v>
      </c>
      <c r="J147" s="15">
        <f>'FS (nominal)'!J148*CPI!$I$54</f>
        <v>54753.232464767854</v>
      </c>
      <c r="K147" s="17">
        <f>'FS (nominal)'!K148*CPI!$I$54</f>
        <v>10096.658672630754</v>
      </c>
      <c r="L147" s="17">
        <f>'FS (nominal)'!L148*CPI!$I$54</f>
        <v>9954.0217186278987</v>
      </c>
      <c r="M147" s="17">
        <f>'FS (nominal)'!M148*CPI!$I$54</f>
        <v>13980.459163051384</v>
      </c>
      <c r="N147" s="17">
        <f>'FS (nominal)'!N148*CPI!$I$54</f>
        <v>2157.8933469860685</v>
      </c>
      <c r="O147" s="17">
        <f>'FS (nominal)'!O148*CPI!$I$54</f>
        <v>3319.3656867236123</v>
      </c>
      <c r="P147" s="17">
        <f>'FS (nominal)'!P148*CPI!$I$54</f>
        <v>2151.7803346716605</v>
      </c>
      <c r="Q147" s="17">
        <f>'FS (nominal)'!Q148*CPI!$I$54</f>
        <v>0</v>
      </c>
      <c r="R147" s="17">
        <f>'FS (nominal)'!R148*CPI!$I$54</f>
        <v>0</v>
      </c>
      <c r="S147" s="15">
        <f>'FS (nominal)'!S148*CPI!$I$54</f>
        <v>41660.178922691382</v>
      </c>
      <c r="T147" s="15">
        <f>'FS (nominal)'!T148*CPI!$I$54</f>
        <v>104116.82573899921</v>
      </c>
      <c r="U147" s="15">
        <f>'FS (nominal)'!U148*CPI!$I$54</f>
        <v>29686.825469537329</v>
      </c>
      <c r="V147" s="15">
        <f>'FS (nominal)'!V148*CPI!$I$54</f>
        <v>74430.000269461874</v>
      </c>
      <c r="W147" s="17"/>
      <c r="X147" s="17">
        <f>'FS (nominal)'!W148*CPI!$I$54</f>
        <v>13745.874353156745</v>
      </c>
      <c r="Y147" s="17">
        <f>'FS (nominal)'!X148*CPI!$I$54</f>
        <v>15341.138272749316</v>
      </c>
      <c r="Z147" s="17">
        <f>'FS (nominal)'!Y148*CPI!$I$54</f>
        <v>-1175.7360351378295</v>
      </c>
      <c r="AA147" s="15">
        <f>'FS (nominal)'!Z148*CPI!$I$54</f>
        <v>74849.528153916617</v>
      </c>
      <c r="AB147" s="17">
        <f>'FS (nominal)'!AA148*CPI!$I$54</f>
        <v>5184.8532780038258</v>
      </c>
      <c r="AC147" s="17">
        <f>'FS (nominal)'!AB148*CPI!$I$54</f>
        <v>13807.257147476488</v>
      </c>
      <c r="AD147" s="17">
        <f>'FS (nominal)'!AC148*CPI!$I$54</f>
        <v>3011.677400231737</v>
      </c>
      <c r="AE147" s="17">
        <f>'FS (nominal)'!AD148*CPI!$I$54</f>
        <v>12552.051952251351</v>
      </c>
      <c r="AF147" s="17">
        <f>'FS (nominal)'!AE148*CPI!$I$54</f>
        <v>2576.6346905230253</v>
      </c>
      <c r="AG147" s="15">
        <f>'FS (nominal)'!AF148*CPI!$I$54</f>
        <v>37132.474468486427</v>
      </c>
      <c r="AH147" s="18">
        <f>'FS (nominal)'!AG148*CPI!$I$54</f>
        <v>5805.3240279162501</v>
      </c>
    </row>
    <row r="148" spans="1:34" s="102" customFormat="1" ht="15" customHeight="1">
      <c r="A148" s="246">
        <f>References!J274</f>
        <v>376</v>
      </c>
      <c r="B148" s="256" t="s">
        <v>45</v>
      </c>
      <c r="C148" s="121">
        <v>2011</v>
      </c>
      <c r="D148" s="17">
        <f>'FS (nominal)'!D149*CPI!$I$54</f>
        <v>193732.5674328366</v>
      </c>
      <c r="E148" s="15">
        <v>193732.5674328366</v>
      </c>
      <c r="F148" s="15">
        <v>5519.0312845248036</v>
      </c>
      <c r="G148" s="15">
        <v>0</v>
      </c>
      <c r="H148" s="17">
        <v>1278.638409097033</v>
      </c>
      <c r="I148" s="15">
        <v>200530.23712645844</v>
      </c>
      <c r="J148" s="15">
        <v>54753.232464767854</v>
      </c>
      <c r="K148" s="17">
        <v>10096.658672630754</v>
      </c>
      <c r="L148" s="17">
        <v>9954.0217186278987</v>
      </c>
      <c r="M148" s="17">
        <v>13980.459163051384</v>
      </c>
      <c r="N148" s="17">
        <v>2157.8933469860685</v>
      </c>
      <c r="O148" s="17">
        <v>3319.3656867236123</v>
      </c>
      <c r="P148" s="17">
        <v>2151.7803346716605</v>
      </c>
      <c r="Q148" s="17">
        <v>0</v>
      </c>
      <c r="R148" s="17">
        <v>0</v>
      </c>
      <c r="S148" s="15">
        <v>41660.178922691382</v>
      </c>
      <c r="T148" s="15">
        <v>104116.82573899921</v>
      </c>
      <c r="U148" s="15">
        <v>29686.825469537329</v>
      </c>
      <c r="V148" s="15">
        <v>74430.000269461874</v>
      </c>
      <c r="W148" s="17"/>
      <c r="X148" s="17">
        <v>13745.874353156745</v>
      </c>
      <c r="Y148" s="17">
        <v>15341.138272749316</v>
      </c>
      <c r="Z148" s="17">
        <v>-1175.7360351378295</v>
      </c>
      <c r="AA148" s="15">
        <v>74849.528153916617</v>
      </c>
      <c r="AB148" s="17">
        <v>5184.8532780038258</v>
      </c>
      <c r="AC148" s="17">
        <v>13807.257147476488</v>
      </c>
      <c r="AD148" s="17">
        <v>3011.677400231737</v>
      </c>
      <c r="AE148" s="17">
        <v>12552.051952251351</v>
      </c>
      <c r="AF148" s="17">
        <v>2576.6346905230253</v>
      </c>
      <c r="AG148" s="15">
        <v>37132.474468486427</v>
      </c>
      <c r="AH148" s="18">
        <v>5805.3240279162501</v>
      </c>
    </row>
    <row r="149" spans="1:34" s="102" customFormat="1" ht="15" hidden="1" customHeight="1">
      <c r="A149" s="246">
        <f>References!C275</f>
        <v>392</v>
      </c>
      <c r="B149" s="255" t="s">
        <v>46</v>
      </c>
      <c r="C149" s="121">
        <v>2004</v>
      </c>
      <c r="D149" s="17">
        <f>'FS (nominal)'!D150*CPI!$I$30</f>
        <v>14693.677682349622</v>
      </c>
      <c r="E149" s="15">
        <f>'FS (nominal)'!E150*CPI!$I$30</f>
        <v>14693.677682349622</v>
      </c>
      <c r="F149" s="15">
        <f>'FS (nominal)'!F150*CPI!$I$30</f>
        <v>0</v>
      </c>
      <c r="G149" s="15">
        <f>'FS (nominal)'!G150*CPI!$I$30</f>
        <v>683.59539439502601</v>
      </c>
      <c r="H149" s="17">
        <f>'FS (nominal)'!H150*CPI!$I$30</f>
        <v>1638.938074547792</v>
      </c>
      <c r="I149" s="15">
        <f>'FS (nominal)'!I150*CPI!$I$30</f>
        <v>17016.211151292442</v>
      </c>
      <c r="J149" s="15">
        <f>'FS (nominal)'!J150*CPI!$I$30</f>
        <v>5011.0199493727259</v>
      </c>
      <c r="K149" s="17">
        <f>'FS (nominal)'!K150*CPI!$I$30</f>
        <v>0</v>
      </c>
      <c r="L149" s="17">
        <f>'FS (nominal)'!L150*CPI!$I$30</f>
        <v>0</v>
      </c>
      <c r="M149" s="17">
        <f>'FS (nominal)'!M150*CPI!$I$30</f>
        <v>0</v>
      </c>
      <c r="N149" s="17">
        <f>'FS (nominal)'!N150*CPI!$I$30</f>
        <v>0</v>
      </c>
      <c r="O149" s="17">
        <f>'FS (nominal)'!O150*CPI!$I$30</f>
        <v>0</v>
      </c>
      <c r="P149" s="17">
        <f>'FS (nominal)'!P150*CPI!$I$30</f>
        <v>0</v>
      </c>
      <c r="Q149" s="17">
        <f>'FS (nominal)'!Q150*CPI!$I$30</f>
        <v>0</v>
      </c>
      <c r="R149" s="17">
        <f>'FS (nominal)'!R150*CPI!$I$30</f>
        <v>0</v>
      </c>
      <c r="S149" s="15">
        <f>'FS (nominal)'!S150*CPI!$I$30</f>
        <v>8949.543944288238</v>
      </c>
      <c r="T149" s="15">
        <f>'FS (nominal)'!T150*CPI!$I$30</f>
        <v>8066.6672070042023</v>
      </c>
      <c r="U149" s="15">
        <f>'FS (nominal)'!U150*CPI!$I$30</f>
        <v>4089.4947092253674</v>
      </c>
      <c r="V149" s="15">
        <f>'FS (nominal)'!V150*CPI!$I$30</f>
        <v>0</v>
      </c>
      <c r="W149" s="17"/>
      <c r="X149" s="17">
        <f>'FS (nominal)'!W150*CPI!$I$30</f>
        <v>0</v>
      </c>
      <c r="Y149" s="17">
        <f>'FS (nominal)'!X150*CPI!$I$30</f>
        <v>0</v>
      </c>
      <c r="Z149" s="17">
        <f>'FS (nominal)'!Y150*CPI!$I$30</f>
        <v>0</v>
      </c>
      <c r="AA149" s="15">
        <f>'FS (nominal)'!Z150*CPI!$I$30</f>
        <v>3977.1724977788349</v>
      </c>
      <c r="AB149" s="17">
        <f>'FS (nominal)'!AA150*CPI!$I$30</f>
        <v>0</v>
      </c>
      <c r="AC149" s="17">
        <f>'FS (nominal)'!AB150*CPI!$I$30</f>
        <v>0</v>
      </c>
      <c r="AD149" s="17">
        <f>'FS (nominal)'!AC150*CPI!$I$30</f>
        <v>0</v>
      </c>
      <c r="AE149" s="17">
        <f>'FS (nominal)'!AD150*CPI!$I$30</f>
        <v>0</v>
      </c>
      <c r="AF149" s="17">
        <f>'FS (nominal)'!AE150*CPI!$I$30</f>
        <v>0</v>
      </c>
      <c r="AG149" s="15">
        <f>'FS (nominal)'!AF150*CPI!$I$30</f>
        <v>0</v>
      </c>
      <c r="AH149" s="18">
        <f>'FS (nominal)'!AG150*CPI!$I$30</f>
        <v>0</v>
      </c>
    </row>
    <row r="150" spans="1:34" s="102" customFormat="1" ht="15" hidden="1" customHeight="1">
      <c r="A150" s="246">
        <f>References!D275</f>
        <v>393</v>
      </c>
      <c r="B150" s="255" t="s">
        <v>46</v>
      </c>
      <c r="C150" s="121">
        <v>2005</v>
      </c>
      <c r="D150" s="17">
        <f>'FS (nominal)'!D151*CPI!$I$34</f>
        <v>15253.976233251597</v>
      </c>
      <c r="E150" s="15">
        <f>'FS (nominal)'!E151*CPI!$I$34</f>
        <v>15253.976233251597</v>
      </c>
      <c r="F150" s="15">
        <f>'FS (nominal)'!F151*CPI!$I$34</f>
        <v>0</v>
      </c>
      <c r="G150" s="15">
        <f>'FS (nominal)'!G151*CPI!$I$34</f>
        <v>368.45921909305059</v>
      </c>
      <c r="H150" s="17">
        <f>'FS (nominal)'!H151*CPI!$I$34</f>
        <v>707.48878809879682</v>
      </c>
      <c r="I150" s="15">
        <f>'FS (nominal)'!I151*CPI!$I$34</f>
        <v>16329.924240443443</v>
      </c>
      <c r="J150" s="15">
        <f>'FS (nominal)'!J151*CPI!$I$34</f>
        <v>5051.3051409849204</v>
      </c>
      <c r="K150" s="17">
        <f>'FS (nominal)'!K151*CPI!$I$34</f>
        <v>0</v>
      </c>
      <c r="L150" s="17">
        <f>'FS (nominal)'!L151*CPI!$I$34</f>
        <v>0</v>
      </c>
      <c r="M150" s="17">
        <f>'FS (nominal)'!M151*CPI!$I$34</f>
        <v>0</v>
      </c>
      <c r="N150" s="17">
        <f>'FS (nominal)'!N151*CPI!$I$34</f>
        <v>0</v>
      </c>
      <c r="O150" s="17">
        <f>'FS (nominal)'!O151*CPI!$I$34</f>
        <v>0</v>
      </c>
      <c r="P150" s="17">
        <f>'FS (nominal)'!P151*CPI!$I$34</f>
        <v>0</v>
      </c>
      <c r="Q150" s="17">
        <f>'FS (nominal)'!Q151*CPI!$I$34</f>
        <v>0</v>
      </c>
      <c r="R150" s="17">
        <f>'FS (nominal)'!R151*CPI!$I$34</f>
        <v>0</v>
      </c>
      <c r="S150" s="15">
        <f>'FS (nominal)'!S151*CPI!$I$34</f>
        <v>9024.3079027710082</v>
      </c>
      <c r="T150" s="15">
        <f>'FS (nominal)'!T151*CPI!$I$34</f>
        <v>7305.6163376724344</v>
      </c>
      <c r="U150" s="15">
        <f>'FS (nominal)'!U151*CPI!$I$34</f>
        <v>4068.3548280689547</v>
      </c>
      <c r="V150" s="15">
        <f>'FS (nominal)'!V151*CPI!$I$34</f>
        <v>0</v>
      </c>
      <c r="W150" s="17"/>
      <c r="X150" s="17">
        <f>'FS (nominal)'!W151*CPI!$I$34</f>
        <v>0</v>
      </c>
      <c r="Y150" s="17">
        <f>'FS (nominal)'!X151*CPI!$I$34</f>
        <v>0</v>
      </c>
      <c r="Z150" s="17">
        <f>'FS (nominal)'!Y151*CPI!$I$34</f>
        <v>0</v>
      </c>
      <c r="AA150" s="15">
        <f>'FS (nominal)'!Z151*CPI!$I$34</f>
        <v>3237.2615096034797</v>
      </c>
      <c r="AB150" s="17">
        <f>'FS (nominal)'!AA151*CPI!$I$34</f>
        <v>0</v>
      </c>
      <c r="AC150" s="17">
        <f>'FS (nominal)'!AB151*CPI!$I$34</f>
        <v>0</v>
      </c>
      <c r="AD150" s="17">
        <f>'FS (nominal)'!AC151*CPI!$I$34</f>
        <v>0</v>
      </c>
      <c r="AE150" s="17">
        <f>'FS (nominal)'!AD151*CPI!$I$34</f>
        <v>0</v>
      </c>
      <c r="AF150" s="17">
        <f>'FS (nominal)'!AE151*CPI!$I$34</f>
        <v>0</v>
      </c>
      <c r="AG150" s="15">
        <f>'FS (nominal)'!AF151*CPI!$I$34</f>
        <v>0</v>
      </c>
      <c r="AH150" s="18">
        <f>'FS (nominal)'!AG151*CPI!$I$34</f>
        <v>0</v>
      </c>
    </row>
    <row r="151" spans="1:34" s="102" customFormat="1" ht="14.45" hidden="1" customHeight="1">
      <c r="A151" s="246">
        <f>References!E275</f>
        <v>394</v>
      </c>
      <c r="B151" s="255" t="s">
        <v>46</v>
      </c>
      <c r="C151" s="121">
        <v>2006</v>
      </c>
      <c r="D151" s="17">
        <f>'FS (nominal)'!D152*CPI!$I$38</f>
        <v>17670.841560317069</v>
      </c>
      <c r="E151" s="15">
        <f>'FS (nominal)'!E152*CPI!$I$38</f>
        <v>17670.841560317069</v>
      </c>
      <c r="F151" s="15">
        <f>'FS (nominal)'!F152*CPI!$I$38</f>
        <v>0</v>
      </c>
      <c r="G151" s="15">
        <f>'FS (nominal)'!G152*CPI!$I$38</f>
        <v>725.68316861636572</v>
      </c>
      <c r="H151" s="17">
        <f>'FS (nominal)'!H152*CPI!$I$38</f>
        <v>1134.1652037809238</v>
      </c>
      <c r="I151" s="15">
        <f>'FS (nominal)'!I152*CPI!$I$38</f>
        <v>19530.689932714358</v>
      </c>
      <c r="J151" s="15">
        <f>'FS (nominal)'!J152*CPI!$I$38</f>
        <v>4726.0686861776521</v>
      </c>
      <c r="K151" s="17">
        <f>'FS (nominal)'!K152*CPI!$I$38</f>
        <v>0</v>
      </c>
      <c r="L151" s="17">
        <f>'FS (nominal)'!L152*CPI!$I$38</f>
        <v>0</v>
      </c>
      <c r="M151" s="17">
        <f>'FS (nominal)'!M152*CPI!$I$38</f>
        <v>0</v>
      </c>
      <c r="N151" s="17">
        <f>'FS (nominal)'!N152*CPI!$I$38</f>
        <v>0</v>
      </c>
      <c r="O151" s="17">
        <f>'FS (nominal)'!O152*CPI!$I$38</f>
        <v>0</v>
      </c>
      <c r="P151" s="17">
        <f>'FS (nominal)'!P152*CPI!$I$38</f>
        <v>0</v>
      </c>
      <c r="Q151" s="17">
        <f>'FS (nominal)'!Q152*CPI!$I$38</f>
        <v>0</v>
      </c>
      <c r="R151" s="17">
        <f>'FS (nominal)'!R152*CPI!$I$38</f>
        <v>0</v>
      </c>
      <c r="S151" s="15">
        <f>'FS (nominal)'!S152*CPI!$I$38</f>
        <v>9213.6660166307447</v>
      </c>
      <c r="T151" s="15">
        <f>'FS (nominal)'!T152*CPI!$I$38</f>
        <v>10317.023916083615</v>
      </c>
      <c r="U151" s="15">
        <f>'FS (nominal)'!U152*CPI!$I$38</f>
        <v>4038.0388895177962</v>
      </c>
      <c r="V151" s="15">
        <f>'FS (nominal)'!V152*CPI!$I$38</f>
        <v>0</v>
      </c>
      <c r="W151" s="17"/>
      <c r="X151" s="17">
        <f>'FS (nominal)'!W152*CPI!$I$38</f>
        <v>0</v>
      </c>
      <c r="Y151" s="17">
        <f>'FS (nominal)'!X152*CPI!$I$38</f>
        <v>0</v>
      </c>
      <c r="Z151" s="17">
        <f>'FS (nominal)'!Y152*CPI!$I$38</f>
        <v>0</v>
      </c>
      <c r="AA151" s="15">
        <f>'FS (nominal)'!Z152*CPI!$I$38</f>
        <v>6278.9850265658188</v>
      </c>
      <c r="AB151" s="17">
        <f>'FS (nominal)'!AA152*CPI!$I$38</f>
        <v>0</v>
      </c>
      <c r="AC151" s="17">
        <f>'FS (nominal)'!AB152*CPI!$I$38</f>
        <v>0</v>
      </c>
      <c r="AD151" s="17">
        <f>'FS (nominal)'!AC152*CPI!$I$38</f>
        <v>0</v>
      </c>
      <c r="AE151" s="17">
        <f>'FS (nominal)'!AD152*CPI!$I$38</f>
        <v>0</v>
      </c>
      <c r="AF151" s="17">
        <f>'FS (nominal)'!AE152*CPI!$I$38</f>
        <v>0</v>
      </c>
      <c r="AG151" s="15">
        <f>'FS (nominal)'!AF152*CPI!$I$38</f>
        <v>0</v>
      </c>
      <c r="AH151" s="18">
        <f>'FS (nominal)'!AG152*CPI!$I$38</f>
        <v>0</v>
      </c>
    </row>
    <row r="152" spans="1:34" s="102" customFormat="1" ht="15" hidden="1" customHeight="1">
      <c r="A152" s="246">
        <f>References!F275</f>
        <v>395</v>
      </c>
      <c r="B152" s="255" t="s">
        <v>46</v>
      </c>
      <c r="C152" s="121">
        <v>2007</v>
      </c>
      <c r="D152" s="17">
        <f>'FS (nominal)'!D153*CPI!$I$42</f>
        <v>20149.775938222134</v>
      </c>
      <c r="E152" s="15">
        <f>'FS (nominal)'!E153*CPI!$I$42</f>
        <v>20149.775938222134</v>
      </c>
      <c r="F152" s="15">
        <f>'FS (nominal)'!F153*CPI!$I$42</f>
        <v>0</v>
      </c>
      <c r="G152" s="15">
        <f>'FS (nominal)'!G153*CPI!$I$42</f>
        <v>534.18638663819593</v>
      </c>
      <c r="H152" s="17">
        <f>'FS (nominal)'!H153*CPI!$I$42</f>
        <v>1428.9209348582797</v>
      </c>
      <c r="I152" s="15">
        <f>'FS (nominal)'!I153*CPI!$I$42</f>
        <v>22112.883259718608</v>
      </c>
      <c r="J152" s="15">
        <f>'FS (nominal)'!J153*CPI!$I$42</f>
        <v>5433.6598707110898</v>
      </c>
      <c r="K152" s="17">
        <f>'FS (nominal)'!K153*CPI!$I$42</f>
        <v>0</v>
      </c>
      <c r="L152" s="17">
        <f>'FS (nominal)'!L153*CPI!$I$42</f>
        <v>0</v>
      </c>
      <c r="M152" s="17">
        <f>'FS (nominal)'!M153*CPI!$I$42</f>
        <v>0</v>
      </c>
      <c r="N152" s="17">
        <f>'FS (nominal)'!N153*CPI!$I$42</f>
        <v>0</v>
      </c>
      <c r="O152" s="17">
        <f>'FS (nominal)'!O153*CPI!$I$42</f>
        <v>0</v>
      </c>
      <c r="P152" s="17">
        <f>'FS (nominal)'!P153*CPI!$I$42</f>
        <v>0</v>
      </c>
      <c r="Q152" s="17">
        <f>'FS (nominal)'!Q153*CPI!$I$42</f>
        <v>0</v>
      </c>
      <c r="R152" s="17">
        <f>'FS (nominal)'!R153*CPI!$I$42</f>
        <v>0</v>
      </c>
      <c r="S152" s="15">
        <f>'FS (nominal)'!S153*CPI!$I$42</f>
        <v>10788.795448562321</v>
      </c>
      <c r="T152" s="15">
        <f>'FS (nominal)'!T153*CPI!$I$42</f>
        <v>11324.087811156289</v>
      </c>
      <c r="U152" s="15">
        <f>'FS (nominal)'!U153*CPI!$I$42</f>
        <v>5015.6009594290235</v>
      </c>
      <c r="V152" s="15">
        <f>'FS (nominal)'!V153*CPI!$I$42</f>
        <v>0</v>
      </c>
      <c r="W152" s="17"/>
      <c r="X152" s="17">
        <f>'FS (nominal)'!W153*CPI!$I$42</f>
        <v>0</v>
      </c>
      <c r="Y152" s="17">
        <f>'FS (nominal)'!X153*CPI!$I$42</f>
        <v>0</v>
      </c>
      <c r="Z152" s="17">
        <f>'FS (nominal)'!Y153*CPI!$I$42</f>
        <v>0</v>
      </c>
      <c r="AA152" s="15">
        <f>'FS (nominal)'!Z153*CPI!$I$42</f>
        <v>6280.8374528329487</v>
      </c>
      <c r="AB152" s="17">
        <f>'FS (nominal)'!AA153*CPI!$I$42</f>
        <v>0</v>
      </c>
      <c r="AC152" s="17">
        <f>'FS (nominal)'!AB153*CPI!$I$42</f>
        <v>0</v>
      </c>
      <c r="AD152" s="17">
        <f>'FS (nominal)'!AC153*CPI!$I$42</f>
        <v>0</v>
      </c>
      <c r="AE152" s="17">
        <f>'FS (nominal)'!AD153*CPI!$I$42</f>
        <v>0</v>
      </c>
      <c r="AF152" s="17">
        <f>'FS (nominal)'!AE153*CPI!$I$42</f>
        <v>0</v>
      </c>
      <c r="AG152" s="15">
        <f>'FS (nominal)'!AF153*CPI!$I$42</f>
        <v>0</v>
      </c>
      <c r="AH152" s="18">
        <f>'FS (nominal)'!AG153*CPI!$I$42</f>
        <v>0</v>
      </c>
    </row>
    <row r="153" spans="1:34" s="102" customFormat="1" ht="15" customHeight="1">
      <c r="A153" s="246">
        <f>References!G275</f>
        <v>396</v>
      </c>
      <c r="B153" s="256" t="s">
        <v>46</v>
      </c>
      <c r="C153" s="121">
        <v>2008</v>
      </c>
      <c r="D153" s="17">
        <f>'FS (nominal)'!D154*CPI!$I$46</f>
        <v>24114.912035584955</v>
      </c>
      <c r="E153" s="15">
        <f>'FS (nominal)'!E154*CPI!$I$46</f>
        <v>24114.912035584955</v>
      </c>
      <c r="F153" s="15">
        <f>'FS (nominal)'!F154*CPI!$I$46</f>
        <v>1372.4196629694047</v>
      </c>
      <c r="G153" s="15">
        <f>'FS (nominal)'!G154*CPI!$I$46</f>
        <v>381.64694476918248</v>
      </c>
      <c r="H153" s="17">
        <f>'FS (nominal)'!H154*CPI!$I$46</f>
        <v>271.68087593738414</v>
      </c>
      <c r="I153" s="15">
        <f>'FS (nominal)'!I154*CPI!$I$46</f>
        <v>26140.659519260927</v>
      </c>
      <c r="J153" s="15">
        <f>'FS (nominal)'!J154*CPI!$I$46</f>
        <v>4881.6309771606166</v>
      </c>
      <c r="K153" s="17">
        <f>'FS (nominal)'!K154*CPI!$I$46</f>
        <v>0</v>
      </c>
      <c r="L153" s="17">
        <f>'FS (nominal)'!L154*CPI!$I$46</f>
        <v>0</v>
      </c>
      <c r="M153" s="17">
        <f>'FS (nominal)'!M154*CPI!$I$46</f>
        <v>0</v>
      </c>
      <c r="N153" s="17">
        <f>'FS (nominal)'!N154*CPI!$I$46</f>
        <v>0</v>
      </c>
      <c r="O153" s="17">
        <f>'FS (nominal)'!O154*CPI!$I$46</f>
        <v>0</v>
      </c>
      <c r="P153" s="17">
        <f>'FS (nominal)'!P154*CPI!$I$46</f>
        <v>0</v>
      </c>
      <c r="Q153" s="17">
        <f>'FS (nominal)'!Q154*CPI!$I$46</f>
        <v>0</v>
      </c>
      <c r="R153" s="17">
        <f>'FS (nominal)'!R154*CPI!$I$46</f>
        <v>0</v>
      </c>
      <c r="S153" s="15">
        <f>'FS (nominal)'!S154*CPI!$I$46</f>
        <v>4554.9670668073331</v>
      </c>
      <c r="T153" s="15">
        <f>'FS (nominal)'!T154*CPI!$I$46</f>
        <v>16704.061475292976</v>
      </c>
      <c r="U153" s="15">
        <f>'FS (nominal)'!U154*CPI!$I$46</f>
        <v>4609.9501012232322</v>
      </c>
      <c r="V153" s="15">
        <f>'FS (nominal)'!V154*CPI!$I$46</f>
        <v>12094.111374069744</v>
      </c>
      <c r="W153" s="17"/>
      <c r="X153" s="17">
        <f>'FS (nominal)'!W154*CPI!$I$46</f>
        <v>1244.9434382538279</v>
      </c>
      <c r="Y153" s="17">
        <f>'FS (nominal)'!X154*CPI!$I$46</f>
        <v>3606.7536968720592</v>
      </c>
      <c r="Z153" s="17">
        <f>'FS (nominal)'!Y154*CPI!$I$46</f>
        <v>0</v>
      </c>
      <c r="AA153" s="15">
        <f>'FS (nominal)'!Z154*CPI!$I$46</f>
        <v>14455.921632687976</v>
      </c>
      <c r="AB153" s="17">
        <f>'FS (nominal)'!AA154*CPI!$I$46</f>
        <v>0</v>
      </c>
      <c r="AC153" s="17">
        <f>'FS (nominal)'!AB154*CPI!$I$46</f>
        <v>0</v>
      </c>
      <c r="AD153" s="17">
        <f>'FS (nominal)'!AC154*CPI!$I$46</f>
        <v>0</v>
      </c>
      <c r="AE153" s="17">
        <f>'FS (nominal)'!AD154*CPI!$I$46</f>
        <v>0</v>
      </c>
      <c r="AF153" s="17">
        <f>'FS (nominal)'!AE154*CPI!$I$46</f>
        <v>7952.0561147386725</v>
      </c>
      <c r="AG153" s="15">
        <f>'FS (nominal)'!AF154*CPI!$I$46</f>
        <v>7952.0561147386725</v>
      </c>
      <c r="AH153" s="18">
        <f>'FS (nominal)'!AG154*CPI!$I$46</f>
        <v>1.0780987140372387</v>
      </c>
    </row>
    <row r="154" spans="1:34" s="102" customFormat="1" ht="15" customHeight="1">
      <c r="A154" s="246">
        <f>References!H275</f>
        <v>397</v>
      </c>
      <c r="B154" s="256" t="s">
        <v>46</v>
      </c>
      <c r="C154" s="121">
        <v>2009</v>
      </c>
      <c r="D154" s="17">
        <f>'FS (nominal)'!D155*CPI!$I$50</f>
        <v>24697.204447800119</v>
      </c>
      <c r="E154" s="15">
        <f>'FS (nominal)'!E155*CPI!$I$50</f>
        <v>24697.204447800119</v>
      </c>
      <c r="F154" s="15">
        <f>'FS (nominal)'!F155*CPI!$I$50</f>
        <v>1344.3324867870131</v>
      </c>
      <c r="G154" s="15">
        <f>'FS (nominal)'!G155*CPI!$I$50</f>
        <v>1545.7228361589673</v>
      </c>
      <c r="H154" s="17">
        <f>'FS (nominal)'!H155*CPI!$I$50</f>
        <v>369.56167204337964</v>
      </c>
      <c r="I154" s="15">
        <f>'FS (nominal)'!I155*CPI!$I$50</f>
        <v>27956.821442789478</v>
      </c>
      <c r="J154" s="15">
        <f>'FS (nominal)'!J155*CPI!$I$50</f>
        <v>5622.3202690644503</v>
      </c>
      <c r="K154" s="17">
        <f>'FS (nominal)'!K155*CPI!$I$50</f>
        <v>0</v>
      </c>
      <c r="L154" s="17">
        <f>'FS (nominal)'!L155*CPI!$I$50</f>
        <v>0</v>
      </c>
      <c r="M154" s="17">
        <f>'FS (nominal)'!M155*CPI!$I$50</f>
        <v>0</v>
      </c>
      <c r="N154" s="17">
        <f>'FS (nominal)'!N155*CPI!$I$50</f>
        <v>0</v>
      </c>
      <c r="O154" s="17">
        <f>'FS (nominal)'!O155*CPI!$I$50</f>
        <v>0</v>
      </c>
      <c r="P154" s="17">
        <f>'FS (nominal)'!P155*CPI!$I$50</f>
        <v>0</v>
      </c>
      <c r="Q154" s="17">
        <f>'FS (nominal)'!Q155*CPI!$I$50</f>
        <v>0</v>
      </c>
      <c r="R154" s="17">
        <f>'FS (nominal)'!R155*CPI!$I$50</f>
        <v>0</v>
      </c>
      <c r="S154" s="15">
        <f>'FS (nominal)'!S155*CPI!$I$50</f>
        <v>5589.1012423639213</v>
      </c>
      <c r="T154" s="15">
        <f>'FS (nominal)'!T155*CPI!$I$50</f>
        <v>16745.399931361102</v>
      </c>
      <c r="U154" s="15">
        <f>'FS (nominal)'!U155*CPI!$I$50</f>
        <v>4524.0161987782267</v>
      </c>
      <c r="V154" s="15">
        <f>'FS (nominal)'!V155*CPI!$I$50</f>
        <v>12221.383732582877</v>
      </c>
      <c r="W154" s="17"/>
      <c r="X154" s="17">
        <f>'FS (nominal)'!W155*CPI!$I$50</f>
        <v>1176.3001649804376</v>
      </c>
      <c r="Y154" s="17">
        <f>'FS (nominal)'!X155*CPI!$I$50</f>
        <v>3263.5534496533724</v>
      </c>
      <c r="Z154" s="17">
        <f>'FS (nominal)'!Y155*CPI!$I$50</f>
        <v>0</v>
      </c>
      <c r="AA154" s="15">
        <f>'FS (nominal)'!Z155*CPI!$I$50</f>
        <v>14308.636913446355</v>
      </c>
      <c r="AB154" s="17">
        <f>'FS (nominal)'!AA155*CPI!$I$50</f>
        <v>0</v>
      </c>
      <c r="AC154" s="17">
        <f>'FS (nominal)'!AB155*CPI!$I$50</f>
        <v>0</v>
      </c>
      <c r="AD154" s="17">
        <f>'FS (nominal)'!AC155*CPI!$I$50</f>
        <v>0</v>
      </c>
      <c r="AE154" s="17">
        <f>'FS (nominal)'!AD155*CPI!$I$50</f>
        <v>0</v>
      </c>
      <c r="AF154" s="17">
        <f>'FS (nominal)'!AE155*CPI!$I$50</f>
        <v>0</v>
      </c>
      <c r="AG154" s="15">
        <f>'FS (nominal)'!AF155*CPI!$I$50</f>
        <v>5389.7870821607503</v>
      </c>
      <c r="AH154" s="18">
        <f>'FS (nominal)'!AG155*CPI!$I$50</f>
        <v>427.69496876930458</v>
      </c>
    </row>
    <row r="155" spans="1:34" s="102" customFormat="1" ht="15" customHeight="1">
      <c r="A155" s="246">
        <f>References!I275</f>
        <v>398</v>
      </c>
      <c r="B155" s="256" t="s">
        <v>46</v>
      </c>
      <c r="C155" s="121">
        <v>2010</v>
      </c>
      <c r="D155" s="17">
        <f>'FS (nominal)'!D156*CPI!$I$54</f>
        <v>25814.23216835978</v>
      </c>
      <c r="E155" s="15">
        <f>'FS (nominal)'!E156*CPI!$I$54</f>
        <v>25814.23216835978</v>
      </c>
      <c r="F155" s="15">
        <f>'FS (nominal)'!F156*CPI!$I$54</f>
        <v>709.10942847134265</v>
      </c>
      <c r="G155" s="15">
        <f>'FS (nominal)'!G156*CPI!$I$54</f>
        <v>389.19511735065072</v>
      </c>
      <c r="H155" s="17">
        <f>'FS (nominal)'!H156*CPI!$I$54</f>
        <v>323.98965266363069</v>
      </c>
      <c r="I155" s="15">
        <f>'FS (nominal)'!I156*CPI!$I$54</f>
        <v>27236.526366845406</v>
      </c>
      <c r="J155" s="15">
        <f>'FS (nominal)'!J156*CPI!$I$54</f>
        <v>6035.5808250922901</v>
      </c>
      <c r="K155" s="17">
        <f>'FS (nominal)'!K156*CPI!$I$54</f>
        <v>1539.4602678451131</v>
      </c>
      <c r="L155" s="17">
        <f>'FS (nominal)'!L156*CPI!$I$54</f>
        <v>100.86470318773408</v>
      </c>
      <c r="M155" s="17">
        <f>'FS (nominal)'!M156*CPI!$I$54</f>
        <v>1196.1127428525233</v>
      </c>
      <c r="N155" s="17">
        <f>'FS (nominal)'!N156*CPI!$I$54</f>
        <v>643.90396378432263</v>
      </c>
      <c r="O155" s="17">
        <f>'FS (nominal)'!O156*CPI!$I$54</f>
        <v>1461.0099431435422</v>
      </c>
      <c r="P155" s="17">
        <f>'FS (nominal)'!P156*CPI!$I$54</f>
        <v>172.18318018916221</v>
      </c>
      <c r="Q155" s="17">
        <f>'FS (nominal)'!Q156*CPI!$I$54</f>
        <v>0</v>
      </c>
      <c r="R155" s="17">
        <f>'FS (nominal)'!R156*CPI!$I$54</f>
        <v>0</v>
      </c>
      <c r="S155" s="15">
        <f>'FS (nominal)'!S156*CPI!$I$54</f>
        <v>5113.5348010023972</v>
      </c>
      <c r="T155" s="15">
        <f>'FS (nominal)'!T156*CPI!$I$54</f>
        <v>16087.410740750718</v>
      </c>
      <c r="U155" s="15">
        <f>'FS (nominal)'!U156*CPI!$I$54</f>
        <v>4691.7369513082367</v>
      </c>
      <c r="V155" s="15">
        <f>'FS (nominal)'!V156*CPI!$I$54</f>
        <v>11395.673789442482</v>
      </c>
      <c r="W155" s="17"/>
      <c r="X155" s="17">
        <f>'FS (nominal)'!W156*CPI!$I$54</f>
        <v>1599.8531617040767</v>
      </c>
      <c r="Y155" s="17">
        <f>'FS (nominal)'!X156*CPI!$I$54</f>
        <v>2311.0285845706121</v>
      </c>
      <c r="Z155" s="17">
        <f>'FS (nominal)'!Y156*CPI!$I$54</f>
        <v>0</v>
      </c>
      <c r="AA155" s="15">
        <f>'FS (nominal)'!Z156*CPI!$I$54</f>
        <v>12106.849416076095</v>
      </c>
      <c r="AB155" s="17">
        <f>'FS (nominal)'!AA156*CPI!$I$54</f>
        <v>883.33027943197419</v>
      </c>
      <c r="AC155" s="17">
        <f>'FS (nominal)'!AB156*CPI!$I$54</f>
        <v>628.62143299830234</v>
      </c>
      <c r="AD155" s="17">
        <f>'FS (nominal)'!AC156*CPI!$I$54</f>
        <v>281.19856646277378</v>
      </c>
      <c r="AE155" s="17">
        <f>'FS (nominal)'!AD156*CPI!$I$54</f>
        <v>4734.5280375090933</v>
      </c>
      <c r="AF155" s="17">
        <f>'FS (nominal)'!AE156*CPI!$I$54</f>
        <v>19.357872328959065</v>
      </c>
      <c r="AG155" s="15">
        <f>'FS (nominal)'!AF156*CPI!$I$54</f>
        <v>6547.0361887311028</v>
      </c>
      <c r="AH155" s="18">
        <f>'FS (nominal)'!AG156*CPI!$I$54</f>
        <v>0</v>
      </c>
    </row>
    <row r="156" spans="1:34" s="102" customFormat="1" ht="15" customHeight="1">
      <c r="A156" s="246">
        <f>References!J275</f>
        <v>399</v>
      </c>
      <c r="B156" s="256" t="s">
        <v>46</v>
      </c>
      <c r="C156" s="121">
        <v>2011</v>
      </c>
      <c r="D156" s="17">
        <f>'FS (nominal)'!D157*CPI!$I$58</f>
        <v>28166.376</v>
      </c>
      <c r="E156" s="15">
        <f>'FS (nominal)'!E157*CPI!$I$58</f>
        <v>28166.376</v>
      </c>
      <c r="F156" s="15">
        <f>'FS (nominal)'!F157*CPI!$I$58</f>
        <v>1051</v>
      </c>
      <c r="G156" s="15">
        <f>'FS (nominal)'!G157*CPI!$I$58</f>
        <v>585</v>
      </c>
      <c r="H156" s="17">
        <f>'FS (nominal)'!H157*CPI!$I$58</f>
        <v>274</v>
      </c>
      <c r="I156" s="15">
        <f>'FS (nominal)'!I157*CPI!$I$58</f>
        <v>30076.376</v>
      </c>
      <c r="J156" s="15">
        <f>'FS (nominal)'!J157*CPI!$I$58</f>
        <v>6009</v>
      </c>
      <c r="K156" s="17">
        <f>'FS (nominal)'!K157*CPI!$I$58</f>
        <v>1615</v>
      </c>
      <c r="L156" s="17">
        <f>'FS (nominal)'!L157*CPI!$I$58</f>
        <v>131</v>
      </c>
      <c r="M156" s="17">
        <f>'FS (nominal)'!M157*CPI!$I$58</f>
        <v>1194</v>
      </c>
      <c r="N156" s="17">
        <f>'FS (nominal)'!N157*CPI!$I$58</f>
        <v>700</v>
      </c>
      <c r="O156" s="17">
        <f>'FS (nominal)'!O157*CPI!$I$58</f>
        <v>1342</v>
      </c>
      <c r="P156" s="17">
        <f>'FS (nominal)'!P157*CPI!$I$58</f>
        <v>159</v>
      </c>
      <c r="Q156" s="17">
        <f>'FS (nominal)'!Q157*CPI!$I$58</f>
        <v>0</v>
      </c>
      <c r="R156" s="17">
        <f>'FS (nominal)'!R157*CPI!$I$58</f>
        <v>0</v>
      </c>
      <c r="S156" s="15">
        <f>'FS (nominal)'!S157*CPI!$I$58</f>
        <v>5141</v>
      </c>
      <c r="T156" s="15">
        <f>'FS (nominal)'!T157*CPI!$I$58</f>
        <v>18926.376</v>
      </c>
      <c r="U156" s="15">
        <f>'FS (nominal)'!U157*CPI!$I$58</f>
        <v>4931</v>
      </c>
      <c r="V156" s="15">
        <f>'FS (nominal)'!V157*CPI!$I$58</f>
        <v>13995.376</v>
      </c>
      <c r="W156" s="17"/>
      <c r="X156" s="17">
        <f>'FS (nominal)'!W157*CPI!$I$58</f>
        <v>2166.4146999999998</v>
      </c>
      <c r="Y156" s="17">
        <f>'FS (nominal)'!X157*CPI!$I$58</f>
        <v>5313.6589999999997</v>
      </c>
      <c r="Z156" s="17">
        <f>'FS (nominal)'!Y157*CPI!$I$58</f>
        <v>0</v>
      </c>
      <c r="AA156" s="15">
        <f>'FS (nominal)'!Z157*CPI!$I$58</f>
        <v>17142.62</v>
      </c>
      <c r="AB156" s="17">
        <f>'FS (nominal)'!AA157*CPI!$I$58</f>
        <v>1162</v>
      </c>
      <c r="AC156" s="17">
        <f>'FS (nominal)'!AB157*CPI!$I$58</f>
        <v>1689</v>
      </c>
      <c r="AD156" s="17">
        <f>'FS (nominal)'!AC157*CPI!$I$58</f>
        <v>932</v>
      </c>
      <c r="AE156" s="17">
        <f>'FS (nominal)'!AD157*CPI!$I$58</f>
        <v>5329</v>
      </c>
      <c r="AF156" s="17">
        <f>'FS (nominal)'!AE157*CPI!$I$58</f>
        <v>0</v>
      </c>
      <c r="AG156" s="15">
        <f>'FS (nominal)'!AF157*CPI!$I$58</f>
        <v>9112</v>
      </c>
      <c r="AH156" s="18">
        <f>'FS (nominal)'!AG157*CPI!$I$58</f>
        <v>336</v>
      </c>
    </row>
    <row r="157" spans="1:34" s="102" customFormat="1" ht="15" hidden="1" customHeight="1">
      <c r="A157" s="246">
        <f>References!C276</f>
        <v>415</v>
      </c>
      <c r="B157" s="255" t="s">
        <v>47</v>
      </c>
      <c r="C157" s="121">
        <v>2004</v>
      </c>
      <c r="D157" s="17">
        <f>'FS (nominal)'!D158*CPI!$I$30</f>
        <v>270539.52004326117</v>
      </c>
      <c r="E157" s="15">
        <f>'FS (nominal)'!E158*CPI!$I$30</f>
        <v>270539.52004326117</v>
      </c>
      <c r="F157" s="15">
        <f>'FS (nominal)'!F158*CPI!$I$30</f>
        <v>0</v>
      </c>
      <c r="G157" s="15">
        <f>'FS (nominal)'!G158*CPI!$I$30</f>
        <v>8311.8436470434081</v>
      </c>
      <c r="H157" s="17">
        <f>'FS (nominal)'!H158*CPI!$I$30</f>
        <v>734.3215544031375</v>
      </c>
      <c r="I157" s="15">
        <f>'FS (nominal)'!I158*CPI!$I$30</f>
        <v>279585.68524470774</v>
      </c>
      <c r="J157" s="15">
        <f>'FS (nominal)'!J158*CPI!$I$30</f>
        <v>63040.539232937765</v>
      </c>
      <c r="K157" s="17">
        <f>'FS (nominal)'!K158*CPI!$I$30</f>
        <v>0</v>
      </c>
      <c r="L157" s="17">
        <f>'FS (nominal)'!L158*CPI!$I$30</f>
        <v>0</v>
      </c>
      <c r="M157" s="17">
        <f>'FS (nominal)'!M158*CPI!$I$30</f>
        <v>0</v>
      </c>
      <c r="N157" s="17">
        <f>'FS (nominal)'!N158*CPI!$I$30</f>
        <v>0</v>
      </c>
      <c r="O157" s="17">
        <f>'FS (nominal)'!O158*CPI!$I$30</f>
        <v>0</v>
      </c>
      <c r="P157" s="17">
        <f>'FS (nominal)'!P158*CPI!$I$30</f>
        <v>0</v>
      </c>
      <c r="Q157" s="17">
        <f>'FS (nominal)'!Q158*CPI!$I$30</f>
        <v>5043.6296236636545</v>
      </c>
      <c r="R157" s="17">
        <f>'FS (nominal)'!R158*CPI!$I$30</f>
        <v>0</v>
      </c>
      <c r="S157" s="15">
        <f>'FS (nominal)'!S158*CPI!$I$30</f>
        <v>125299.65404860773</v>
      </c>
      <c r="T157" s="15">
        <f>'FS (nominal)'!T158*CPI!$I$30</f>
        <v>154286.0311961</v>
      </c>
      <c r="U157" s="15">
        <f>'FS (nominal)'!U158*CPI!$I$30</f>
        <v>34394.752016928534</v>
      </c>
      <c r="V157" s="15">
        <f>'FS (nominal)'!V158*CPI!$I$30</f>
        <v>0</v>
      </c>
      <c r="W157" s="17"/>
      <c r="X157" s="17">
        <f>'FS (nominal)'!W158*CPI!$I$30</f>
        <v>25998.364769871609</v>
      </c>
      <c r="Y157" s="17">
        <f>'FS (nominal)'!X158*CPI!$I$30</f>
        <v>0</v>
      </c>
      <c r="Z157" s="17">
        <f>'FS (nominal)'!Y158*CPI!$I$30</f>
        <v>0</v>
      </c>
      <c r="AA157" s="15">
        <f>'FS (nominal)'!Z158*CPI!$I$30</f>
        <v>52785.400551297898</v>
      </c>
      <c r="AB157" s="17">
        <f>'FS (nominal)'!AA158*CPI!$I$30</f>
        <v>0</v>
      </c>
      <c r="AC157" s="17">
        <f>'FS (nominal)'!AB158*CPI!$I$30</f>
        <v>0</v>
      </c>
      <c r="AD157" s="17">
        <f>'FS (nominal)'!AC158*CPI!$I$30</f>
        <v>0</v>
      </c>
      <c r="AE157" s="17">
        <f>'FS (nominal)'!AD158*CPI!$I$30</f>
        <v>0</v>
      </c>
      <c r="AF157" s="17">
        <f>'FS (nominal)'!AE158*CPI!$I$30</f>
        <v>0</v>
      </c>
      <c r="AG157" s="15">
        <f>'FS (nominal)'!AF158*CPI!$I$30</f>
        <v>0</v>
      </c>
      <c r="AH157" s="18">
        <f>'FS (nominal)'!AG158*CPI!$I$30</f>
        <v>0</v>
      </c>
    </row>
    <row r="158" spans="1:34" s="102" customFormat="1" ht="15" hidden="1" customHeight="1">
      <c r="A158" s="246">
        <f>References!D276</f>
        <v>416</v>
      </c>
      <c r="B158" s="255" t="s">
        <v>47</v>
      </c>
      <c r="C158" s="121">
        <v>2005</v>
      </c>
      <c r="D158" s="17">
        <f>'FS (nominal)'!D159*CPI!$I$34</f>
        <v>281255.63432635728</v>
      </c>
      <c r="E158" s="15">
        <f>'FS (nominal)'!E159*CPI!$I$34</f>
        <v>281255.63432635728</v>
      </c>
      <c r="F158" s="15">
        <f>'FS (nominal)'!F159*CPI!$I$34</f>
        <v>0</v>
      </c>
      <c r="G158" s="15">
        <f>'FS (nominal)'!G159*CPI!$I$34</f>
        <v>5990.6995717716754</v>
      </c>
      <c r="H158" s="17">
        <f>'FS (nominal)'!H159*CPI!$I$34</f>
        <v>148.32543644001396</v>
      </c>
      <c r="I158" s="15">
        <f>'FS (nominal)'!I159*CPI!$I$34</f>
        <v>287394.65933456901</v>
      </c>
      <c r="J158" s="15">
        <f>'FS (nominal)'!J159*CPI!$I$34</f>
        <v>66924.201484533609</v>
      </c>
      <c r="K158" s="17">
        <f>'FS (nominal)'!K159*CPI!$I$34</f>
        <v>0</v>
      </c>
      <c r="L158" s="17">
        <f>'FS (nominal)'!L159*CPI!$I$34</f>
        <v>0</v>
      </c>
      <c r="M158" s="17">
        <f>'FS (nominal)'!M159*CPI!$I$34</f>
        <v>0</v>
      </c>
      <c r="N158" s="17">
        <f>'FS (nominal)'!N159*CPI!$I$34</f>
        <v>0</v>
      </c>
      <c r="O158" s="17">
        <f>'FS (nominal)'!O159*CPI!$I$34</f>
        <v>0</v>
      </c>
      <c r="P158" s="17">
        <f>'FS (nominal)'!P159*CPI!$I$34</f>
        <v>0</v>
      </c>
      <c r="Q158" s="17">
        <f>'FS (nominal)'!Q159*CPI!$I$34</f>
        <v>5830.6022752967401</v>
      </c>
      <c r="R158" s="17">
        <f>'FS (nominal)'!R159*CPI!$I$34</f>
        <v>0</v>
      </c>
      <c r="S158" s="15">
        <f>'FS (nominal)'!S159*CPI!$I$34</f>
        <v>140315.86287225323</v>
      </c>
      <c r="T158" s="15">
        <f>'FS (nominal)'!T159*CPI!$I$34</f>
        <v>147078.79646231577</v>
      </c>
      <c r="U158" s="15">
        <f>'FS (nominal)'!U159*CPI!$I$34</f>
        <v>43634.753591444431</v>
      </c>
      <c r="V158" s="15">
        <f>'FS (nominal)'!V159*CPI!$I$34</f>
        <v>0</v>
      </c>
      <c r="W158" s="17"/>
      <c r="X158" s="17">
        <f>'FS (nominal)'!W159*CPI!$I$34</f>
        <v>19282.306737201816</v>
      </c>
      <c r="Y158" s="17">
        <f>'FS (nominal)'!X159*CPI!$I$34</f>
        <v>0</v>
      </c>
      <c r="Z158" s="17">
        <f>'FS (nominal)'!Y159*CPI!$I$34</f>
        <v>0</v>
      </c>
      <c r="AA158" s="15">
        <f>'FS (nominal)'!Z159*CPI!$I$34</f>
        <v>39148.497732135751</v>
      </c>
      <c r="AB158" s="17">
        <f>'FS (nominal)'!AA159*CPI!$I$34</f>
        <v>0</v>
      </c>
      <c r="AC158" s="17">
        <f>'FS (nominal)'!AB159*CPI!$I$34</f>
        <v>0</v>
      </c>
      <c r="AD158" s="17">
        <f>'FS (nominal)'!AC159*CPI!$I$34</f>
        <v>0</v>
      </c>
      <c r="AE158" s="17">
        <f>'FS (nominal)'!AD159*CPI!$I$34</f>
        <v>0</v>
      </c>
      <c r="AF158" s="17">
        <f>'FS (nominal)'!AE159*CPI!$I$34</f>
        <v>0</v>
      </c>
      <c r="AG158" s="15">
        <f>'FS (nominal)'!AF159*CPI!$I$34</f>
        <v>0</v>
      </c>
      <c r="AH158" s="18">
        <f>'FS (nominal)'!AG159*CPI!$I$34</f>
        <v>0</v>
      </c>
    </row>
    <row r="159" spans="1:34" s="102" customFormat="1" ht="14.45" hidden="1" customHeight="1">
      <c r="A159" s="246">
        <f>References!E276</f>
        <v>417</v>
      </c>
      <c r="B159" s="255" t="s">
        <v>47</v>
      </c>
      <c r="C159" s="121">
        <v>2006</v>
      </c>
      <c r="D159" s="17">
        <f>'FS (nominal)'!D160*CPI!$I$38</f>
        <v>285477.59707281267</v>
      </c>
      <c r="E159" s="15">
        <f>'FS (nominal)'!E160*CPI!$I$38</f>
        <v>285477.59707281267</v>
      </c>
      <c r="F159" s="15">
        <f>'FS (nominal)'!F160*CPI!$I$38</f>
        <v>0</v>
      </c>
      <c r="G159" s="15">
        <f>'FS (nominal)'!G160*CPI!$I$38</f>
        <v>4803.6574526334898</v>
      </c>
      <c r="H159" s="17">
        <f>'FS (nominal)'!H160*CPI!$I$38</f>
        <v>10820.209886775152</v>
      </c>
      <c r="I159" s="15">
        <f>'FS (nominal)'!I160*CPI!$I$38</f>
        <v>301101.46441222134</v>
      </c>
      <c r="J159" s="15">
        <f>'FS (nominal)'!J160*CPI!$I$38</f>
        <v>68442.420104220248</v>
      </c>
      <c r="K159" s="17">
        <f>'FS (nominal)'!K160*CPI!$I$38</f>
        <v>0</v>
      </c>
      <c r="L159" s="17">
        <f>'FS (nominal)'!L160*CPI!$I$38</f>
        <v>0</v>
      </c>
      <c r="M159" s="17">
        <f>'FS (nominal)'!M160*CPI!$I$38</f>
        <v>0</v>
      </c>
      <c r="N159" s="17">
        <f>'FS (nominal)'!N160*CPI!$I$38</f>
        <v>0</v>
      </c>
      <c r="O159" s="17">
        <f>'FS (nominal)'!O160*CPI!$I$38</f>
        <v>0</v>
      </c>
      <c r="P159" s="17">
        <f>'FS (nominal)'!P160*CPI!$I$38</f>
        <v>0</v>
      </c>
      <c r="Q159" s="17">
        <f>'FS (nominal)'!Q160*CPI!$I$38</f>
        <v>10820.209886775152</v>
      </c>
      <c r="R159" s="17">
        <f>'FS (nominal)'!R160*CPI!$I$38</f>
        <v>0</v>
      </c>
      <c r="S159" s="15">
        <f>'FS (nominal)'!S160*CPI!$I$38</f>
        <v>141191.01674673951</v>
      </c>
      <c r="T159" s="15">
        <f>'FS (nominal)'!T160*CPI!$I$38</f>
        <v>159910.4476654818</v>
      </c>
      <c r="U159" s="15">
        <f>'FS (nominal)'!U160*CPI!$I$38</f>
        <v>44386.479469096295</v>
      </c>
      <c r="V159" s="15">
        <f>'FS (nominal)'!V160*CPI!$I$38</f>
        <v>0</v>
      </c>
      <c r="W159" s="17"/>
      <c r="X159" s="17">
        <f>'FS (nominal)'!W160*CPI!$I$38</f>
        <v>21530.882691495</v>
      </c>
      <c r="Y159" s="17">
        <f>'FS (nominal)'!X160*CPI!$I$38</f>
        <v>0</v>
      </c>
      <c r="Z159" s="17">
        <f>'FS (nominal)'!Y160*CPI!$I$38</f>
        <v>0</v>
      </c>
      <c r="AA159" s="15">
        <f>'FS (nominal)'!Z160*CPI!$I$38</f>
        <v>48518.081282869658</v>
      </c>
      <c r="AB159" s="17">
        <f>'FS (nominal)'!AA160*CPI!$I$38</f>
        <v>0</v>
      </c>
      <c r="AC159" s="17">
        <f>'FS (nominal)'!AB160*CPI!$I$38</f>
        <v>0</v>
      </c>
      <c r="AD159" s="17">
        <f>'FS (nominal)'!AC160*CPI!$I$38</f>
        <v>0</v>
      </c>
      <c r="AE159" s="17">
        <f>'FS (nominal)'!AD160*CPI!$I$38</f>
        <v>0</v>
      </c>
      <c r="AF159" s="17">
        <f>'FS (nominal)'!AE160*CPI!$I$38</f>
        <v>0</v>
      </c>
      <c r="AG159" s="15">
        <f>'FS (nominal)'!AF160*CPI!$I$38</f>
        <v>0</v>
      </c>
      <c r="AH159" s="18">
        <f>'FS (nominal)'!AG160*CPI!$I$38</f>
        <v>0</v>
      </c>
    </row>
    <row r="160" spans="1:34" s="102" customFormat="1" ht="15" hidden="1" customHeight="1">
      <c r="A160" s="246">
        <f>References!F276</f>
        <v>418</v>
      </c>
      <c r="B160" s="255" t="s">
        <v>47</v>
      </c>
      <c r="C160" s="121">
        <v>2007</v>
      </c>
      <c r="D160" s="17">
        <f>'FS (nominal)'!D161*CPI!$I$42</f>
        <v>296784.22382777085</v>
      </c>
      <c r="E160" s="15">
        <f>'FS (nominal)'!E161*CPI!$I$42</f>
        <v>296784.22382777085</v>
      </c>
      <c r="F160" s="15">
        <f>'FS (nominal)'!F161*CPI!$I$42</f>
        <v>0</v>
      </c>
      <c r="G160" s="15">
        <f>'FS (nominal)'!G161*CPI!$I$42</f>
        <v>7181.1018808318959</v>
      </c>
      <c r="H160" s="17">
        <f>'FS (nominal)'!H161*CPI!$I$42</f>
        <v>13690.876356509787</v>
      </c>
      <c r="I160" s="15">
        <f>'FS (nominal)'!I161*CPI!$I$42</f>
        <v>317656.20206511253</v>
      </c>
      <c r="J160" s="15">
        <f>'FS (nominal)'!J161*CPI!$I$42</f>
        <v>75862.208734314219</v>
      </c>
      <c r="K160" s="17">
        <f>'FS (nominal)'!K161*CPI!$I$42</f>
        <v>0</v>
      </c>
      <c r="L160" s="17">
        <f>'FS (nominal)'!L161*CPI!$I$42</f>
        <v>0</v>
      </c>
      <c r="M160" s="17">
        <f>'FS (nominal)'!M161*CPI!$I$42</f>
        <v>0</v>
      </c>
      <c r="N160" s="17">
        <f>'FS (nominal)'!N161*CPI!$I$42</f>
        <v>0</v>
      </c>
      <c r="O160" s="17">
        <f>'FS (nominal)'!O161*CPI!$I$42</f>
        <v>0</v>
      </c>
      <c r="P160" s="17">
        <f>'FS (nominal)'!P161*CPI!$I$42</f>
        <v>0</v>
      </c>
      <c r="Q160" s="17">
        <f>'FS (nominal)'!Q161*CPI!$I$42</f>
        <v>7181.1018808318959</v>
      </c>
      <c r="R160" s="17">
        <f>'FS (nominal)'!R161*CPI!$I$42</f>
        <v>0</v>
      </c>
      <c r="S160" s="15">
        <f>'FS (nominal)'!S161*CPI!$I$42</f>
        <v>155301.14370959724</v>
      </c>
      <c r="T160" s="15">
        <f>'FS (nominal)'!T161*CPI!$I$42</f>
        <v>162355.05835551527</v>
      </c>
      <c r="U160" s="15">
        <f>'FS (nominal)'!U161*CPI!$I$42</f>
        <v>50711.20952408811</v>
      </c>
      <c r="V160" s="15">
        <f>'FS (nominal)'!V161*CPI!$I$42</f>
        <v>0</v>
      </c>
      <c r="W160" s="17"/>
      <c r="X160" s="17">
        <f>'FS (nominal)'!W161*CPI!$I$42</f>
        <v>17361.610553719252</v>
      </c>
      <c r="Y160" s="17">
        <f>'FS (nominal)'!X161*CPI!$I$42</f>
        <v>0</v>
      </c>
      <c r="Z160" s="17">
        <f>'FS (nominal)'!Y161*CPI!$I$42</f>
        <v>0</v>
      </c>
      <c r="AA160" s="15">
        <f>'FS (nominal)'!Z161*CPI!$I$42</f>
        <v>50758.766490186332</v>
      </c>
      <c r="AB160" s="17">
        <f>'FS (nominal)'!AA161*CPI!$I$42</f>
        <v>0</v>
      </c>
      <c r="AC160" s="17">
        <f>'FS (nominal)'!AB161*CPI!$I$42</f>
        <v>0</v>
      </c>
      <c r="AD160" s="17">
        <f>'FS (nominal)'!AC161*CPI!$I$42</f>
        <v>0</v>
      </c>
      <c r="AE160" s="17">
        <f>'FS (nominal)'!AD161*CPI!$I$42</f>
        <v>0</v>
      </c>
      <c r="AF160" s="17">
        <f>'FS (nominal)'!AE161*CPI!$I$42</f>
        <v>0</v>
      </c>
      <c r="AG160" s="15">
        <f>'FS (nominal)'!AF161*CPI!$I$42</f>
        <v>0</v>
      </c>
      <c r="AH160" s="18">
        <f>'FS (nominal)'!AG161*CPI!$I$42</f>
        <v>0</v>
      </c>
    </row>
    <row r="161" spans="1:34" s="102" customFormat="1" ht="15" customHeight="1">
      <c r="A161" s="246">
        <f>References!G276</f>
        <v>419</v>
      </c>
      <c r="B161" s="256" t="s">
        <v>47</v>
      </c>
      <c r="C161" s="121">
        <v>2008</v>
      </c>
      <c r="D161" s="17">
        <f>'FS (nominal)'!D162*CPI!$I$46</f>
        <v>287725.2380285706</v>
      </c>
      <c r="E161" s="15">
        <f>'FS (nominal)'!E162*CPI!$I$46</f>
        <v>287725.2380285706</v>
      </c>
      <c r="F161" s="15">
        <f>'FS (nominal)'!F162*CPI!$I$46</f>
        <v>20741.541159362434</v>
      </c>
      <c r="G161" s="15">
        <f>'FS (nominal)'!G162*CPI!$I$46</f>
        <v>0</v>
      </c>
      <c r="H161" s="17">
        <f>'FS (nominal)'!H162*CPI!$I$46</f>
        <v>0</v>
      </c>
      <c r="I161" s="15">
        <f>'FS (nominal)'!I162*CPI!$I$46</f>
        <v>308466.77918793308</v>
      </c>
      <c r="J161" s="15">
        <f>'FS (nominal)'!J162*CPI!$I$46</f>
        <v>68344.989877676708</v>
      </c>
      <c r="K161" s="17">
        <f>'FS (nominal)'!K162*CPI!$I$46</f>
        <v>33665.788543240851</v>
      </c>
      <c r="L161" s="17">
        <f>'FS (nominal)'!L162*CPI!$I$46</f>
        <v>0</v>
      </c>
      <c r="M161" s="17">
        <f>'FS (nominal)'!M162*CPI!$I$46</f>
        <v>0</v>
      </c>
      <c r="N161" s="17">
        <f>'FS (nominal)'!N162*CPI!$I$46</f>
        <v>0</v>
      </c>
      <c r="O161" s="17">
        <f>'FS (nominal)'!O162*CPI!$I$46</f>
        <v>28469.352741581362</v>
      </c>
      <c r="P161" s="17">
        <f>'FS (nominal)'!P162*CPI!$I$46</f>
        <v>0</v>
      </c>
      <c r="Q161" s="17">
        <f>'FS (nominal)'!Q162*CPI!$I$46</f>
        <v>0</v>
      </c>
      <c r="R161" s="17">
        <f>'FS (nominal)'!R162*CPI!$I$46</f>
        <v>0</v>
      </c>
      <c r="S161" s="15">
        <f>'FS (nominal)'!S162*CPI!$I$46</f>
        <v>62135.141284822217</v>
      </c>
      <c r="T161" s="15">
        <f>'FS (nominal)'!T162*CPI!$I$46</f>
        <v>177986.64802543411</v>
      </c>
      <c r="U161" s="15">
        <f>'FS (nominal)'!U162*CPI!$I$46</f>
        <v>61438.883573322688</v>
      </c>
      <c r="V161" s="15">
        <f>'FS (nominal)'!V162*CPI!$I$46</f>
        <v>116547.76445211143</v>
      </c>
      <c r="W161" s="17"/>
      <c r="X161" s="17">
        <f>'FS (nominal)'!W162*CPI!$I$46</f>
        <v>12563.078924182373</v>
      </c>
      <c r="Y161" s="17">
        <f>'FS (nominal)'!X162*CPI!$I$46</f>
        <v>37109.925819052776</v>
      </c>
      <c r="Z161" s="17">
        <f>'FS (nominal)'!Y162*CPI!$I$46</f>
        <v>0</v>
      </c>
      <c r="AA161" s="15">
        <f>'FS (nominal)'!Z162*CPI!$I$46</f>
        <v>141094.60595648826</v>
      </c>
      <c r="AB161" s="17">
        <f>'FS (nominal)'!AA162*CPI!$I$46</f>
        <v>0</v>
      </c>
      <c r="AC161" s="17">
        <f>'FS (nominal)'!AB162*CPI!$I$46</f>
        <v>0</v>
      </c>
      <c r="AD161" s="17">
        <f>'FS (nominal)'!AC162*CPI!$I$46</f>
        <v>0</v>
      </c>
      <c r="AE161" s="17">
        <f>'FS (nominal)'!AD162*CPI!$I$46</f>
        <v>0</v>
      </c>
      <c r="AF161" s="17">
        <f>'FS (nominal)'!AE162*CPI!$I$46</f>
        <v>0</v>
      </c>
      <c r="AG161" s="15">
        <f>'FS (nominal)'!AF162*CPI!$I$46</f>
        <v>60401.558552650335</v>
      </c>
      <c r="AH161" s="18">
        <f>'FS (nominal)'!AG162*CPI!$I$46</f>
        <v>3731.4395864959652</v>
      </c>
    </row>
    <row r="162" spans="1:34" s="102" customFormat="1" ht="15" customHeight="1">
      <c r="A162" s="246">
        <f>References!H276</f>
        <v>420</v>
      </c>
      <c r="B162" s="256" t="s">
        <v>47</v>
      </c>
      <c r="C162" s="121">
        <v>2009</v>
      </c>
      <c r="D162" s="17">
        <f>'FS (nominal)'!D163*CPI!$I$50</f>
        <v>287980.93293980358</v>
      </c>
      <c r="E162" s="15">
        <f>'FS (nominal)'!E163*CPI!$I$50</f>
        <v>287980.93293980358</v>
      </c>
      <c r="F162" s="15">
        <f>'FS (nominal)'!F163*CPI!$I$50</f>
        <v>23846.070698057512</v>
      </c>
      <c r="G162" s="15">
        <f>'FS (nominal)'!G163*CPI!$I$50</f>
        <v>9.342851259523643</v>
      </c>
      <c r="H162" s="17">
        <f>'FS (nominal)'!H163*CPI!$I$50</f>
        <v>0</v>
      </c>
      <c r="I162" s="15">
        <f>'FS (nominal)'!I163*CPI!$I$50</f>
        <v>311836.34648912062</v>
      </c>
      <c r="J162" s="15">
        <f>'FS (nominal)'!J163*CPI!$I$50</f>
        <v>67788.614455350384</v>
      </c>
      <c r="K162" s="17">
        <f>'FS (nominal)'!K163*CPI!$I$50</f>
        <v>27159.668611435231</v>
      </c>
      <c r="L162" s="17">
        <f>'FS (nominal)'!L163*CPI!$I$50</f>
        <v>9269.1465440318461</v>
      </c>
      <c r="M162" s="17">
        <f>'FS (nominal)'!M163*CPI!$I$50</f>
        <v>0</v>
      </c>
      <c r="N162" s="17">
        <f>'FS (nominal)'!N163*CPI!$I$50</f>
        <v>23976.870615690845</v>
      </c>
      <c r="O162" s="17">
        <f>'FS (nominal)'!O163*CPI!$I$50</f>
        <v>0</v>
      </c>
      <c r="P162" s="17">
        <f>'FS (nominal)'!P163*CPI!$I$50</f>
        <v>0</v>
      </c>
      <c r="Q162" s="17">
        <f>'FS (nominal)'!Q163*CPI!$I$50</f>
        <v>0</v>
      </c>
      <c r="R162" s="17">
        <f>'FS (nominal)'!R163*CPI!$I$50</f>
        <v>0</v>
      </c>
      <c r="S162" s="15">
        <f>'FS (nominal)'!S163*CPI!$I$50</f>
        <v>60405.685771157921</v>
      </c>
      <c r="T162" s="15">
        <f>'FS (nominal)'!T163*CPI!$I$50</f>
        <v>183642.04626261233</v>
      </c>
      <c r="U162" s="15">
        <f>'FS (nominal)'!U163*CPI!$I$50</f>
        <v>57549.887569496859</v>
      </c>
      <c r="V162" s="15">
        <f>'FS (nominal)'!V163*CPI!$I$50</f>
        <v>126092.15869311547</v>
      </c>
      <c r="W162" s="17"/>
      <c r="X162" s="17">
        <f>'FS (nominal)'!W163*CPI!$I$50</f>
        <v>11504.539974466328</v>
      </c>
      <c r="Y162" s="17">
        <f>'FS (nominal)'!X163*CPI!$I$50</f>
        <v>32709.293192943915</v>
      </c>
      <c r="Z162" s="17">
        <f>'FS (nominal)'!Y163*CPI!$I$50</f>
        <v>0</v>
      </c>
      <c r="AA162" s="15">
        <f>'FS (nominal)'!Z163*CPI!$I$50</f>
        <v>147296.91191159305</v>
      </c>
      <c r="AB162" s="17">
        <f>'FS (nominal)'!AA163*CPI!$I$50</f>
        <v>0</v>
      </c>
      <c r="AC162" s="17">
        <f>'FS (nominal)'!AB163*CPI!$I$50</f>
        <v>0</v>
      </c>
      <c r="AD162" s="17">
        <f>'FS (nominal)'!AC163*CPI!$I$50</f>
        <v>0</v>
      </c>
      <c r="AE162" s="17">
        <f>'FS (nominal)'!AD163*CPI!$I$50</f>
        <v>0</v>
      </c>
      <c r="AF162" s="17">
        <f>'FS (nominal)'!AE163*CPI!$I$50</f>
        <v>0</v>
      </c>
      <c r="AG162" s="15">
        <f>'FS (nominal)'!AF163*CPI!$I$50</f>
        <v>101540.18367767174</v>
      </c>
      <c r="AH162" s="18">
        <f>'FS (nominal)'!AG163*CPI!$I$50</f>
        <v>4073.4831491523087</v>
      </c>
    </row>
    <row r="163" spans="1:34" s="102" customFormat="1" ht="15" customHeight="1">
      <c r="A163" s="246">
        <f>References!I276</f>
        <v>421</v>
      </c>
      <c r="B163" s="256" t="s">
        <v>47</v>
      </c>
      <c r="C163" s="121">
        <v>2010</v>
      </c>
      <c r="D163" s="17">
        <f>'FS (nominal)'!D164*CPI!$I$54</f>
        <v>297363.40869284037</v>
      </c>
      <c r="E163" s="15">
        <f>'FS (nominal)'!E164*CPI!$I$54</f>
        <v>297363.40869284037</v>
      </c>
      <c r="F163" s="15">
        <f>'FS (nominal)'!F164*CPI!$I$54</f>
        <v>18010.270990272424</v>
      </c>
      <c r="G163" s="15">
        <f>'FS (nominal)'!G164*CPI!$I$54</f>
        <v>0.27604325941095631</v>
      </c>
      <c r="H163" s="17">
        <f>'FS (nominal)'!H164*CPI!$I$54</f>
        <v>0</v>
      </c>
      <c r="I163" s="15">
        <f>'FS (nominal)'!I164*CPI!$I$54</f>
        <v>315373.95273099618</v>
      </c>
      <c r="J163" s="15">
        <f>'FS (nominal)'!J164*CPI!$I$54</f>
        <v>72202.8149090566</v>
      </c>
      <c r="K163" s="17">
        <f>'FS (nominal)'!K164*CPI!$I$54</f>
        <v>26425.012774918487</v>
      </c>
      <c r="L163" s="17">
        <f>'FS (nominal)'!L164*CPI!$I$54</f>
        <v>6167.2874074263691</v>
      </c>
      <c r="M163" s="17">
        <f>'FS (nominal)'!M164*CPI!$I$54</f>
        <v>12699.679161973536</v>
      </c>
      <c r="N163" s="17">
        <f>'FS (nominal)'!N164*CPI!$I$54</f>
        <v>5232.8357380291554</v>
      </c>
      <c r="O163" s="17">
        <f>'FS (nominal)'!O164*CPI!$I$54</f>
        <v>6776.9110245210304</v>
      </c>
      <c r="P163" s="17">
        <f>'FS (nominal)'!P164*CPI!$I$54</f>
        <v>1211.9907829215056</v>
      </c>
      <c r="Q163" s="17">
        <f>'FS (nominal)'!Q164*CPI!$I$54</f>
        <v>0</v>
      </c>
      <c r="R163" s="17">
        <f>'FS (nominal)'!R164*CPI!$I$54</f>
        <v>7.065623400070059E-12</v>
      </c>
      <c r="S163" s="15">
        <f>'FS (nominal)'!S164*CPI!$I$54</f>
        <v>58513.716176605318</v>
      </c>
      <c r="T163" s="15">
        <f>'FS (nominal)'!T164*CPI!$I$54</f>
        <v>184657.42368300501</v>
      </c>
      <c r="U163" s="15">
        <f>'FS (nominal)'!U164*CPI!$I$54</f>
        <v>61130.45528441701</v>
      </c>
      <c r="V163" s="15">
        <f>'FS (nominal)'!V164*CPI!$I$54</f>
        <v>123526.97451160032</v>
      </c>
      <c r="W163" s="17"/>
      <c r="X163" s="17">
        <f>'FS (nominal)'!W164*CPI!$I$54</f>
        <v>17722.95024197677</v>
      </c>
      <c r="Y163" s="17">
        <f>'FS (nominal)'!X164*CPI!$I$54</f>
        <v>24700.558490743981</v>
      </c>
      <c r="Z163" s="17">
        <f>'FS (nominal)'!Y164*CPI!$I$54</f>
        <v>0</v>
      </c>
      <c r="AA163" s="15">
        <f>'FS (nominal)'!Z164*CPI!$I$54</f>
        <v>130504.58072269676</v>
      </c>
      <c r="AB163" s="17">
        <f>'FS (nominal)'!AA164*CPI!$I$54</f>
        <v>25936.288647570796</v>
      </c>
      <c r="AC163" s="17">
        <f>'FS (nominal)'!AB164*CPI!$I$54</f>
        <v>28929.468072539137</v>
      </c>
      <c r="AD163" s="17">
        <f>'FS (nominal)'!AC164*CPI!$I$54</f>
        <v>2935.8515954838185</v>
      </c>
      <c r="AE163" s="17">
        <f>'FS (nominal)'!AD164*CPI!$I$54</f>
        <v>24166.013260758264</v>
      </c>
      <c r="AF163" s="17">
        <f>'FS (nominal)'!AE164*CPI!$I$54</f>
        <v>6.9520843846837854</v>
      </c>
      <c r="AG163" s="15">
        <f>'FS (nominal)'!AF164*CPI!$I$54</f>
        <v>81974.573090188889</v>
      </c>
      <c r="AH163" s="18">
        <f>'FS (nominal)'!AG164*CPI!$I$54</f>
        <v>2161.7985430195895</v>
      </c>
    </row>
    <row r="164" spans="1:34" s="102" customFormat="1" ht="15" customHeight="1">
      <c r="A164" s="246">
        <f>References!J276</f>
        <v>422</v>
      </c>
      <c r="B164" s="256" t="s">
        <v>47</v>
      </c>
      <c r="C164" s="121">
        <v>2011</v>
      </c>
      <c r="D164" s="17">
        <f>'FS (nominal)'!D165*CPI!$I$58</f>
        <v>292560.95</v>
      </c>
      <c r="E164" s="15">
        <f>'FS (nominal)'!E165*CPI!$I$58</f>
        <v>292560.95</v>
      </c>
      <c r="F164" s="15">
        <f>'FS (nominal)'!F165*CPI!$I$58</f>
        <v>14838.188</v>
      </c>
      <c r="G164" s="15">
        <f>'FS (nominal)'!G165*CPI!$I$58</f>
        <v>-21.033359999999998</v>
      </c>
      <c r="H164" s="17">
        <f>'FS (nominal)'!H165*CPI!$I$58</f>
        <v>107.84219</v>
      </c>
      <c r="I164" s="15">
        <f>'FS (nominal)'!I165*CPI!$I$58</f>
        <v>307485.95</v>
      </c>
      <c r="J164" s="15">
        <f>'FS (nominal)'!J165*CPI!$I$58</f>
        <v>73519.164999999994</v>
      </c>
      <c r="K164" s="17">
        <f>'FS (nominal)'!K165*CPI!$I$58</f>
        <v>21634.546999999999</v>
      </c>
      <c r="L164" s="17">
        <f>'FS (nominal)'!L165*CPI!$I$58</f>
        <v>6767.5159000000003</v>
      </c>
      <c r="M164" s="17">
        <f>'FS (nominal)'!M165*CPI!$I$58</f>
        <v>12708.371999999999</v>
      </c>
      <c r="N164" s="17">
        <f>'FS (nominal)'!N165*CPI!$I$58</f>
        <v>7402.6661999999997</v>
      </c>
      <c r="O164" s="17">
        <f>'FS (nominal)'!O165*CPI!$I$58</f>
        <v>6621.9450999999999</v>
      </c>
      <c r="P164" s="17">
        <f>'FS (nominal)'!P165*CPI!$I$58</f>
        <v>2132.4744999999998</v>
      </c>
      <c r="Q164" s="17">
        <f>'FS (nominal)'!Q165*CPI!$I$58</f>
        <v>0</v>
      </c>
      <c r="R164" s="17">
        <f>'FS (nominal)'!R165*CPI!$I$58</f>
        <v>3.2059999999999997E-11</v>
      </c>
      <c r="S164" s="15">
        <f>'FS (nominal)'!S165*CPI!$I$58</f>
        <v>57267.519999999997</v>
      </c>
      <c r="T164" s="15">
        <f>'FS (nominal)'!T165*CPI!$I$58</f>
        <v>176699.26</v>
      </c>
      <c r="U164" s="15">
        <f>'FS (nominal)'!U165*CPI!$I$58</f>
        <v>68090</v>
      </c>
      <c r="V164" s="15">
        <f>'FS (nominal)'!V165*CPI!$I$58</f>
        <v>108609.26</v>
      </c>
      <c r="W164" s="17"/>
      <c r="X164" s="17">
        <f>'FS (nominal)'!W165*CPI!$I$58</f>
        <v>17573.645</v>
      </c>
      <c r="Y164" s="17">
        <f>'FS (nominal)'!X165*CPI!$I$58</f>
        <v>55276.989000000001</v>
      </c>
      <c r="Z164" s="17">
        <f>'FS (nominal)'!Y165*CPI!$I$58</f>
        <v>0</v>
      </c>
      <c r="AA164" s="15">
        <f>'FS (nominal)'!Z165*CPI!$I$58</f>
        <v>146312.60999999999</v>
      </c>
      <c r="AB164" s="17">
        <f>'FS (nominal)'!AA165*CPI!$I$58</f>
        <v>19589</v>
      </c>
      <c r="AC164" s="17">
        <f>'FS (nominal)'!AB165*CPI!$I$58</f>
        <v>20346</v>
      </c>
      <c r="AD164" s="17">
        <f>'FS (nominal)'!AC165*CPI!$I$58</f>
        <v>13548</v>
      </c>
      <c r="AE164" s="17">
        <f>'FS (nominal)'!AD165*CPI!$I$58</f>
        <v>21198</v>
      </c>
      <c r="AF164" s="17">
        <f>'FS (nominal)'!AE165*CPI!$I$58</f>
        <v>2148</v>
      </c>
      <c r="AG164" s="15">
        <f>'FS (nominal)'!AF165*CPI!$I$58</f>
        <v>76829</v>
      </c>
      <c r="AH164" s="18">
        <f>'FS (nominal)'!AG165*CPI!$I$58</f>
        <v>2949</v>
      </c>
    </row>
    <row r="165" spans="1:34" s="102" customFormat="1" ht="15" hidden="1" customHeight="1">
      <c r="A165" s="246">
        <f>References!C277</f>
        <v>438</v>
      </c>
      <c r="B165" s="255" t="s">
        <v>48</v>
      </c>
      <c r="C165" s="121">
        <v>2004</v>
      </c>
      <c r="D165" s="17">
        <f>'FS (nominal)'!D166*CPI!$I$30</f>
        <v>6040.0363381087018</v>
      </c>
      <c r="E165" s="15">
        <f>'FS (nominal)'!E166*CPI!$I$30</f>
        <v>6040.0363381087018</v>
      </c>
      <c r="F165" s="15">
        <f>'FS (nominal)'!F166*CPI!$I$30</f>
        <v>0</v>
      </c>
      <c r="G165" s="15">
        <f>'FS (nominal)'!G166*CPI!$I$30</f>
        <v>188.41145145869973</v>
      </c>
      <c r="H165" s="17">
        <f>'FS (nominal)'!H166*CPI!$I$30</f>
        <v>130.4386971637152</v>
      </c>
      <c r="I165" s="15">
        <f>'FS (nominal)'!I166*CPI!$I$30</f>
        <v>6358.8864867311167</v>
      </c>
      <c r="J165" s="15">
        <f>'FS (nominal)'!J166*CPI!$I$30</f>
        <v>1948.1260974543761</v>
      </c>
      <c r="K165" s="17">
        <f>'FS (nominal)'!K166*CPI!$I$30</f>
        <v>0</v>
      </c>
      <c r="L165" s="17">
        <f>'FS (nominal)'!L166*CPI!$I$30</f>
        <v>0</v>
      </c>
      <c r="M165" s="17">
        <f>'FS (nominal)'!M166*CPI!$I$30</f>
        <v>0</v>
      </c>
      <c r="N165" s="17">
        <f>'FS (nominal)'!N166*CPI!$I$30</f>
        <v>0</v>
      </c>
      <c r="O165" s="17">
        <f>'FS (nominal)'!O166*CPI!$I$30</f>
        <v>0</v>
      </c>
      <c r="P165" s="17">
        <f>'FS (nominal)'!P166*CPI!$I$30</f>
        <v>0</v>
      </c>
      <c r="Q165" s="17">
        <f>'FS (nominal)'!Q166*CPI!$I$30</f>
        <v>188.41145145869973</v>
      </c>
      <c r="R165" s="17">
        <f>'FS (nominal)'!R166*CPI!$I$30</f>
        <v>0</v>
      </c>
      <c r="S165" s="15">
        <f>'FS (nominal)'!S166*CPI!$I$30</f>
        <v>5449.4389037285464</v>
      </c>
      <c r="T165" s="15">
        <f>'FS (nominal)'!T166*CPI!$I$30</f>
        <v>909.4475830025699</v>
      </c>
      <c r="U165" s="15">
        <f>'FS (nominal)'!U166*CPI!$I$30</f>
        <v>368.3685429160476</v>
      </c>
      <c r="V165" s="15">
        <f>'FS (nominal)'!V166*CPI!$I$30</f>
        <v>0</v>
      </c>
      <c r="W165" s="17"/>
      <c r="X165" s="17">
        <f>'FS (nominal)'!W166*CPI!$I$30</f>
        <v>178.74932574286899</v>
      </c>
      <c r="Y165" s="17">
        <f>'FS (nominal)'!X166*CPI!$I$30</f>
        <v>0</v>
      </c>
      <c r="Z165" s="17">
        <f>'FS (nominal)'!Y166*CPI!$I$30</f>
        <v>0</v>
      </c>
      <c r="AA165" s="15">
        <f>'FS (nominal)'!Z166*CPI!$I$30</f>
        <v>362.32971434365334</v>
      </c>
      <c r="AB165" s="17">
        <f>'FS (nominal)'!AA166*CPI!$I$30</f>
        <v>0</v>
      </c>
      <c r="AC165" s="17">
        <f>'FS (nominal)'!AB166*CPI!$I$30</f>
        <v>0</v>
      </c>
      <c r="AD165" s="17">
        <f>'FS (nominal)'!AC166*CPI!$I$30</f>
        <v>0</v>
      </c>
      <c r="AE165" s="17">
        <f>'FS (nominal)'!AD166*CPI!$I$30</f>
        <v>0</v>
      </c>
      <c r="AF165" s="17">
        <f>'FS (nominal)'!AE166*CPI!$I$30</f>
        <v>0</v>
      </c>
      <c r="AG165" s="15">
        <f>'FS (nominal)'!AF166*CPI!$I$30</f>
        <v>0</v>
      </c>
      <c r="AH165" s="18">
        <f>'FS (nominal)'!AG166*CPI!$I$30</f>
        <v>0</v>
      </c>
    </row>
    <row r="166" spans="1:34" s="102" customFormat="1" ht="15" hidden="1" customHeight="1">
      <c r="A166" s="246">
        <f>References!D277</f>
        <v>439</v>
      </c>
      <c r="B166" s="255" t="s">
        <v>48</v>
      </c>
      <c r="C166" s="121">
        <v>2005</v>
      </c>
      <c r="D166" s="17">
        <f>'FS (nominal)'!D167*CPI!$I$34</f>
        <v>6865.3487723663611</v>
      </c>
      <c r="E166" s="15">
        <f>'FS (nominal)'!E167*CPI!$I$34</f>
        <v>6865.3487723663611</v>
      </c>
      <c r="F166" s="15">
        <f>'FS (nominal)'!F167*CPI!$I$34</f>
        <v>0</v>
      </c>
      <c r="G166" s="15">
        <f>'FS (nominal)'!G167*CPI!$I$34</f>
        <v>115.36422834223309</v>
      </c>
      <c r="H166" s="17">
        <f>'FS (nominal)'!H167*CPI!$I$34</f>
        <v>240.14594471240358</v>
      </c>
      <c r="I166" s="15">
        <f>'FS (nominal)'!I167*CPI!$I$34</f>
        <v>7220.8589454209978</v>
      </c>
      <c r="J166" s="15">
        <f>'FS (nominal)'!J167*CPI!$I$34</f>
        <v>2074.2017381532114</v>
      </c>
      <c r="K166" s="17">
        <f>'FS (nominal)'!K167*CPI!$I$34</f>
        <v>0</v>
      </c>
      <c r="L166" s="17">
        <f>'FS (nominal)'!L167*CPI!$I$34</f>
        <v>0</v>
      </c>
      <c r="M166" s="17">
        <f>'FS (nominal)'!M167*CPI!$I$34</f>
        <v>0</v>
      </c>
      <c r="N166" s="17">
        <f>'FS (nominal)'!N167*CPI!$I$34</f>
        <v>0</v>
      </c>
      <c r="O166" s="17">
        <f>'FS (nominal)'!O167*CPI!$I$34</f>
        <v>0</v>
      </c>
      <c r="P166" s="17">
        <f>'FS (nominal)'!P167*CPI!$I$34</f>
        <v>0</v>
      </c>
      <c r="Q166" s="17">
        <f>'FS (nominal)'!Q167*CPI!$I$34</f>
        <v>115.36422834223309</v>
      </c>
      <c r="R166" s="17">
        <f>'FS (nominal)'!R167*CPI!$I$34</f>
        <v>0</v>
      </c>
      <c r="S166" s="15">
        <f>'FS (nominal)'!S167*CPI!$I$34</f>
        <v>6022.4835938659644</v>
      </c>
      <c r="T166" s="15">
        <f>'FS (nominal)'!T167*CPI!$I$34</f>
        <v>1198.3753515550336</v>
      </c>
      <c r="U166" s="15">
        <f>'FS (nominal)'!U167*CPI!$I$34</f>
        <v>929.97694275881781</v>
      </c>
      <c r="V166" s="15">
        <f>'FS (nominal)'!V167*CPI!$I$34</f>
        <v>0</v>
      </c>
      <c r="W166" s="17"/>
      <c r="X166" s="17">
        <f>'FS (nominal)'!W167*CPI!$I$34</f>
        <v>88.288950261913072</v>
      </c>
      <c r="Y166" s="17">
        <f>'FS (nominal)'!X167*CPI!$I$34</f>
        <v>0</v>
      </c>
      <c r="Z166" s="17">
        <f>'FS (nominal)'!Y167*CPI!$I$34</f>
        <v>0</v>
      </c>
      <c r="AA166" s="15">
        <f>'FS (nominal)'!Z167*CPI!$I$34</f>
        <v>180.10945853430269</v>
      </c>
      <c r="AB166" s="17">
        <f>'FS (nominal)'!AA167*CPI!$I$34</f>
        <v>0</v>
      </c>
      <c r="AC166" s="17">
        <f>'FS (nominal)'!AB167*CPI!$I$34</f>
        <v>0</v>
      </c>
      <c r="AD166" s="17">
        <f>'FS (nominal)'!AC167*CPI!$I$34</f>
        <v>0</v>
      </c>
      <c r="AE166" s="17">
        <f>'FS (nominal)'!AD167*CPI!$I$34</f>
        <v>0</v>
      </c>
      <c r="AF166" s="17">
        <f>'FS (nominal)'!AE167*CPI!$I$34</f>
        <v>0</v>
      </c>
      <c r="AG166" s="15">
        <f>'FS (nominal)'!AF167*CPI!$I$34</f>
        <v>0</v>
      </c>
      <c r="AH166" s="18">
        <f>'FS (nominal)'!AG167*CPI!$I$34</f>
        <v>0</v>
      </c>
    </row>
    <row r="167" spans="1:34" s="102" customFormat="1" ht="14.45" hidden="1" customHeight="1">
      <c r="A167" s="246">
        <f>References!E277</f>
        <v>440</v>
      </c>
      <c r="B167" s="255" t="s">
        <v>48</v>
      </c>
      <c r="C167" s="121">
        <v>2006</v>
      </c>
      <c r="D167" s="17">
        <f>'FS (nominal)'!D168*CPI!$I$38</f>
        <v>6681.7620053733299</v>
      </c>
      <c r="E167" s="15">
        <f>'FS (nominal)'!E168*CPI!$I$38</f>
        <v>6681.7620053733299</v>
      </c>
      <c r="F167" s="15">
        <f>'FS (nominal)'!F168*CPI!$I$38</f>
        <v>0</v>
      </c>
      <c r="G167" s="15">
        <f>'FS (nominal)'!G168*CPI!$I$38</f>
        <v>166.58764562576948</v>
      </c>
      <c r="H167" s="17">
        <f>'FS (nominal)'!H168*CPI!$I$38</f>
        <v>495.19889179167097</v>
      </c>
      <c r="I167" s="15">
        <f>'FS (nominal)'!I168*CPI!$I$38</f>
        <v>7343.5485427907706</v>
      </c>
      <c r="J167" s="15">
        <f>'FS (nominal)'!J168*CPI!$I$38</f>
        <v>1376.0595933197123</v>
      </c>
      <c r="K167" s="17">
        <f>'FS (nominal)'!K168*CPI!$I$38</f>
        <v>0</v>
      </c>
      <c r="L167" s="17">
        <f>'FS (nominal)'!L168*CPI!$I$38</f>
        <v>0</v>
      </c>
      <c r="M167" s="17">
        <f>'FS (nominal)'!M168*CPI!$I$38</f>
        <v>0</v>
      </c>
      <c r="N167" s="17">
        <f>'FS (nominal)'!N168*CPI!$I$38</f>
        <v>0</v>
      </c>
      <c r="O167" s="17">
        <f>'FS (nominal)'!O168*CPI!$I$38</f>
        <v>0</v>
      </c>
      <c r="P167" s="17">
        <f>'FS (nominal)'!P168*CPI!$I$38</f>
        <v>0</v>
      </c>
      <c r="Q167" s="17">
        <f>'FS (nominal)'!Q168*CPI!$I$38</f>
        <v>166.58764562576948</v>
      </c>
      <c r="R167" s="17">
        <f>'FS (nominal)'!R168*CPI!$I$38</f>
        <v>0</v>
      </c>
      <c r="S167" s="15">
        <f>'FS (nominal)'!S168*CPI!$I$38</f>
        <v>5101.4613944713383</v>
      </c>
      <c r="T167" s="15">
        <f>'FS (nominal)'!T168*CPI!$I$38</f>
        <v>2242.0871483194319</v>
      </c>
      <c r="U167" s="15">
        <f>'FS (nominal)'!U168*CPI!$I$38</f>
        <v>850.05339719998813</v>
      </c>
      <c r="V167" s="15">
        <f>'FS (nominal)'!V168*CPI!$I$38</f>
        <v>0</v>
      </c>
      <c r="W167" s="17"/>
      <c r="X167" s="17">
        <f>'FS (nominal)'!W168*CPI!$I$38</f>
        <v>476.94271144912085</v>
      </c>
      <c r="Y167" s="17">
        <f>'FS (nominal)'!X168*CPI!$I$38</f>
        <v>0</v>
      </c>
      <c r="Z167" s="17">
        <f>'FS (nominal)'!Y168*CPI!$I$38</f>
        <v>0</v>
      </c>
      <c r="AA167" s="15">
        <f>'FS (nominal)'!Z168*CPI!$I$38</f>
        <v>915.09103967032286</v>
      </c>
      <c r="AB167" s="17">
        <f>'FS (nominal)'!AA168*CPI!$I$38</f>
        <v>0</v>
      </c>
      <c r="AC167" s="17">
        <f>'FS (nominal)'!AB168*CPI!$I$38</f>
        <v>0</v>
      </c>
      <c r="AD167" s="17">
        <f>'FS (nominal)'!AC168*CPI!$I$38</f>
        <v>0</v>
      </c>
      <c r="AE167" s="17">
        <f>'FS (nominal)'!AD168*CPI!$I$38</f>
        <v>0</v>
      </c>
      <c r="AF167" s="17">
        <f>'FS (nominal)'!AE168*CPI!$I$38</f>
        <v>0</v>
      </c>
      <c r="AG167" s="15">
        <f>'FS (nominal)'!AF168*CPI!$I$38</f>
        <v>0</v>
      </c>
      <c r="AH167" s="18">
        <f>'FS (nominal)'!AG168*CPI!$I$38</f>
        <v>0</v>
      </c>
    </row>
    <row r="168" spans="1:34" s="102" customFormat="1" ht="15" hidden="1" customHeight="1">
      <c r="A168" s="246">
        <f>References!F277</f>
        <v>441</v>
      </c>
      <c r="B168" s="255" t="s">
        <v>48</v>
      </c>
      <c r="C168" s="121">
        <v>2007</v>
      </c>
      <c r="D168" s="17">
        <f>'FS (nominal)'!D169*CPI!$I$42</f>
        <v>6537.4238745722068</v>
      </c>
      <c r="E168" s="15">
        <f>'FS (nominal)'!E169*CPI!$I$42</f>
        <v>6537.4238745722068</v>
      </c>
      <c r="F168" s="15">
        <f>'FS (nominal)'!F169*CPI!$I$42</f>
        <v>0</v>
      </c>
      <c r="G168" s="15">
        <f>'FS (nominal)'!G169*CPI!$I$42</f>
        <v>123.86930704653818</v>
      </c>
      <c r="H168" s="17">
        <f>'FS (nominal)'!H169*CPI!$I$42</f>
        <v>244.42068622575837</v>
      </c>
      <c r="I168" s="15">
        <f>'FS (nominal)'!I169*CPI!$I$42</f>
        <v>6905.7138678445035</v>
      </c>
      <c r="J168" s="15">
        <f>'FS (nominal)'!J169*CPI!$I$42</f>
        <v>1715.3687074033992</v>
      </c>
      <c r="K168" s="17">
        <f>'FS (nominal)'!K169*CPI!$I$42</f>
        <v>0</v>
      </c>
      <c r="L168" s="17">
        <f>'FS (nominal)'!L169*CPI!$I$42</f>
        <v>0</v>
      </c>
      <c r="M168" s="17">
        <f>'FS (nominal)'!M169*CPI!$I$42</f>
        <v>0</v>
      </c>
      <c r="N168" s="17">
        <f>'FS (nominal)'!N169*CPI!$I$42</f>
        <v>0</v>
      </c>
      <c r="O168" s="17">
        <f>'FS (nominal)'!O169*CPI!$I$42</f>
        <v>0</v>
      </c>
      <c r="P168" s="17">
        <f>'FS (nominal)'!P169*CPI!$I$42</f>
        <v>0</v>
      </c>
      <c r="Q168" s="17">
        <f>'FS (nominal)'!Q169*CPI!$I$42</f>
        <v>123.86930704653818</v>
      </c>
      <c r="R168" s="17">
        <f>'FS (nominal)'!R169*CPI!$I$42</f>
        <v>0</v>
      </c>
      <c r="S168" s="15">
        <f>'FS (nominal)'!S169*CPI!$I$42</f>
        <v>5096.3372042004275</v>
      </c>
      <c r="T168" s="15">
        <f>'FS (nominal)'!T169*CPI!$I$42</f>
        <v>1809.3766636440755</v>
      </c>
      <c r="U168" s="15">
        <f>'FS (nominal)'!U169*CPI!$I$42</f>
        <v>844.96563021031398</v>
      </c>
      <c r="V168" s="15">
        <f>'FS (nominal)'!V169*CPI!$I$42</f>
        <v>0</v>
      </c>
      <c r="W168" s="17"/>
      <c r="X168" s="17">
        <f>'FS (nominal)'!W169*CPI!$I$42</f>
        <v>450.13221399947355</v>
      </c>
      <c r="Y168" s="17">
        <f>'FS (nominal)'!X169*CPI!$I$42</f>
        <v>0</v>
      </c>
      <c r="Z168" s="17">
        <f>'FS (nominal)'!Y169*CPI!$I$42</f>
        <v>0</v>
      </c>
      <c r="AA168" s="15">
        <f>'FS (nominal)'!Z169*CPI!$I$42</f>
        <v>506.53698774387931</v>
      </c>
      <c r="AB168" s="17">
        <f>'FS (nominal)'!AA169*CPI!$I$42</f>
        <v>0</v>
      </c>
      <c r="AC168" s="17">
        <f>'FS (nominal)'!AB169*CPI!$I$42</f>
        <v>0</v>
      </c>
      <c r="AD168" s="17">
        <f>'FS (nominal)'!AC169*CPI!$I$42</f>
        <v>0</v>
      </c>
      <c r="AE168" s="17">
        <f>'FS (nominal)'!AD169*CPI!$I$42</f>
        <v>0</v>
      </c>
      <c r="AF168" s="17">
        <f>'FS (nominal)'!AE169*CPI!$I$42</f>
        <v>0</v>
      </c>
      <c r="AG168" s="15">
        <f>'FS (nominal)'!AF169*CPI!$I$42</f>
        <v>0</v>
      </c>
      <c r="AH168" s="18">
        <f>'FS (nominal)'!AG169*CPI!$I$42</f>
        <v>0</v>
      </c>
    </row>
    <row r="169" spans="1:34" s="102" customFormat="1" ht="15" customHeight="1">
      <c r="A169" s="246">
        <f>References!G277</f>
        <v>442</v>
      </c>
      <c r="B169" s="256" t="s">
        <v>48</v>
      </c>
      <c r="C169" s="121">
        <v>2008</v>
      </c>
      <c r="D169" s="17">
        <f>'FS (nominal)'!D170*CPI!$I$46</f>
        <v>4398.6427532719335</v>
      </c>
      <c r="E169" s="15">
        <f>'FS (nominal)'!E170*CPI!$I$46</f>
        <v>6489.0761597901392</v>
      </c>
      <c r="F169" s="15">
        <f>'FS (nominal)'!F170*CPI!$I$46</f>
        <v>120.74705597217073</v>
      </c>
      <c r="G169" s="15">
        <f>'FS (nominal)'!G170*CPI!$I$46</f>
        <v>0</v>
      </c>
      <c r="H169" s="17">
        <f>'FS (nominal)'!H170*CPI!$I$46</f>
        <v>0</v>
      </c>
      <c r="I169" s="15">
        <f>'FS (nominal)'!I170*CPI!$I$46</f>
        <v>6609.8232157623106</v>
      </c>
      <c r="J169" s="15">
        <f>'FS (nominal)'!J170*CPI!$I$46</f>
        <v>1584.8051096347408</v>
      </c>
      <c r="K169" s="17">
        <f>'FS (nominal)'!K170*CPI!$I$46</f>
        <v>0</v>
      </c>
      <c r="L169" s="17">
        <f>'FS (nominal)'!L170*CPI!$I$46</f>
        <v>0</v>
      </c>
      <c r="M169" s="17">
        <f>'FS (nominal)'!M170*CPI!$I$46</f>
        <v>0</v>
      </c>
      <c r="N169" s="17">
        <f>'FS (nominal)'!N170*CPI!$I$46</f>
        <v>0</v>
      </c>
      <c r="O169" s="17">
        <f>'FS (nominal)'!O170*CPI!$I$46</f>
        <v>0</v>
      </c>
      <c r="P169" s="17">
        <f>'FS (nominal)'!P170*CPI!$I$46</f>
        <v>0</v>
      </c>
      <c r="Q169" s="17">
        <f>'FS (nominal)'!Q170*CPI!$I$46</f>
        <v>0</v>
      </c>
      <c r="R169" s="17">
        <f>'FS (nominal)'!R170*CPI!$I$46</f>
        <v>0</v>
      </c>
      <c r="S169" s="15">
        <f>'FS (nominal)'!S170*CPI!$I$46</f>
        <v>1998.7950158250405</v>
      </c>
      <c r="T169" s="15">
        <f>'FS (nominal)'!T170*CPI!$I$46</f>
        <v>3026.2230903025288</v>
      </c>
      <c r="U169" s="15">
        <f>'FS (nominal)'!U170*CPI!$I$46</f>
        <v>977.83553363177543</v>
      </c>
      <c r="V169" s="15">
        <f>'FS (nominal)'!V170*CPI!$I$46</f>
        <v>2048.3875566707534</v>
      </c>
      <c r="W169" s="17"/>
      <c r="X169" s="17">
        <f>'FS (nominal)'!W170*CPI!$I$46</f>
        <v>-334.21060135154397</v>
      </c>
      <c r="Y169" s="17">
        <f>'FS (nominal)'!X170*CPI!$I$46</f>
        <v>900.75749136893728</v>
      </c>
      <c r="Z169" s="17">
        <f>'FS (nominal)'!Y170*CPI!$I$46</f>
        <v>0</v>
      </c>
      <c r="AA169" s="15">
        <f>'FS (nominal)'!Z170*CPI!$I$46</f>
        <v>3283.355670953209</v>
      </c>
      <c r="AB169" s="17">
        <f>'FS (nominal)'!AA170*CPI!$I$46</f>
        <v>0</v>
      </c>
      <c r="AC169" s="17">
        <f>'FS (nominal)'!AB170*CPI!$I$46</f>
        <v>0</v>
      </c>
      <c r="AD169" s="17">
        <f>'FS (nominal)'!AC170*CPI!$I$46</f>
        <v>0</v>
      </c>
      <c r="AE169" s="17">
        <f>'FS (nominal)'!AD170*CPI!$I$46</f>
        <v>0</v>
      </c>
      <c r="AF169" s="17">
        <f>'FS (nominal)'!AE170*CPI!$I$46</f>
        <v>0</v>
      </c>
      <c r="AG169" s="15">
        <f>'FS (nominal)'!AF170*CPI!$I$46</f>
        <v>1485.6200279433149</v>
      </c>
      <c r="AH169" s="18">
        <f>'FS (nominal)'!AG170*CPI!$I$46</f>
        <v>42.04584984745231</v>
      </c>
    </row>
    <row r="170" spans="1:34" s="102" customFormat="1" ht="15" customHeight="1">
      <c r="A170" s="246">
        <f>References!H277</f>
        <v>443</v>
      </c>
      <c r="B170" s="256" t="s">
        <v>48</v>
      </c>
      <c r="C170" s="121">
        <v>2009</v>
      </c>
      <c r="D170" s="17">
        <f>'FS (nominal)'!D171*CPI!$I$50</f>
        <v>4055.8355412176529</v>
      </c>
      <c r="E170" s="15">
        <f>'FS (nominal)'!E171*CPI!$I$50</f>
        <v>6034.443819067882</v>
      </c>
      <c r="F170" s="15">
        <f>'FS (nominal)'!F171*CPI!$I$50</f>
        <v>14.533324181481223</v>
      </c>
      <c r="G170" s="15">
        <f>'FS (nominal)'!G171*CPI!$I$50</f>
        <v>0</v>
      </c>
      <c r="H170" s="17">
        <f>'FS (nominal)'!H171*CPI!$I$50</f>
        <v>0</v>
      </c>
      <c r="I170" s="15">
        <f>'FS (nominal)'!I171*CPI!$I$50</f>
        <v>6048.9771432493635</v>
      </c>
      <c r="J170" s="15">
        <f>'FS (nominal)'!J171*CPI!$I$50</f>
        <v>1726.3512938430911</v>
      </c>
      <c r="K170" s="17">
        <f>'FS (nominal)'!K171*CPI!$I$50</f>
        <v>0</v>
      </c>
      <c r="L170" s="17">
        <f>'FS (nominal)'!L171*CPI!$I$50</f>
        <v>0</v>
      </c>
      <c r="M170" s="17">
        <f>'FS (nominal)'!M171*CPI!$I$50</f>
        <v>0</v>
      </c>
      <c r="N170" s="17">
        <f>'FS (nominal)'!N171*CPI!$I$50</f>
        <v>0</v>
      </c>
      <c r="O170" s="17">
        <f>'FS (nominal)'!O171*CPI!$I$50</f>
        <v>0</v>
      </c>
      <c r="P170" s="17">
        <f>'FS (nominal)'!P171*CPI!$I$50</f>
        <v>0</v>
      </c>
      <c r="Q170" s="17">
        <f>'FS (nominal)'!Q171*CPI!$I$50</f>
        <v>0</v>
      </c>
      <c r="R170" s="17">
        <f>'FS (nominal)'!R171*CPI!$I$50</f>
        <v>0</v>
      </c>
      <c r="S170" s="15">
        <f>'FS (nominal)'!S171*CPI!$I$50</f>
        <v>1912.1702244491723</v>
      </c>
      <c r="T170" s="15">
        <f>'FS (nominal)'!T171*CPI!$I$50</f>
        <v>2410.4556249571001</v>
      </c>
      <c r="U170" s="15">
        <f>'FS (nominal)'!U171*CPI!$I$50</f>
        <v>900.02800466744429</v>
      </c>
      <c r="V170" s="15">
        <f>'FS (nominal)'!V171*CPI!$I$50</f>
        <v>1510.4276202896556</v>
      </c>
      <c r="W170" s="17"/>
      <c r="X170" s="17">
        <f>'FS (nominal)'!W171*CPI!$I$50</f>
        <v>-424.06931962385875</v>
      </c>
      <c r="Y170" s="17">
        <f>'FS (nominal)'!X171*CPI!$I$50</f>
        <v>795.45888937332677</v>
      </c>
      <c r="Z170" s="17">
        <f>'FS (nominal)'!Y171*CPI!$I$50</f>
        <v>0</v>
      </c>
      <c r="AA170" s="15">
        <f>'FS (nominal)'!Z171*CPI!$I$50</f>
        <v>2729.9558085249491</v>
      </c>
      <c r="AB170" s="17">
        <f>'FS (nominal)'!AA171*CPI!$I$50</f>
        <v>0</v>
      </c>
      <c r="AC170" s="17">
        <f>'FS (nominal)'!AB171*CPI!$I$50</f>
        <v>0</v>
      </c>
      <c r="AD170" s="17">
        <f>'FS (nominal)'!AC171*CPI!$I$50</f>
        <v>0</v>
      </c>
      <c r="AE170" s="17">
        <f>'FS (nominal)'!AD171*CPI!$I$50</f>
        <v>0</v>
      </c>
      <c r="AF170" s="17">
        <f>'FS (nominal)'!AE171*CPI!$I$50</f>
        <v>0</v>
      </c>
      <c r="AG170" s="15">
        <f>'FS (nominal)'!AF171*CPI!$I$50</f>
        <v>847.08518086347704</v>
      </c>
      <c r="AH170" s="18">
        <f>'FS (nominal)'!AG171*CPI!$I$50</f>
        <v>0</v>
      </c>
    </row>
    <row r="171" spans="1:34" s="102" customFormat="1" ht="15" customHeight="1">
      <c r="A171" s="246">
        <f>References!I277</f>
        <v>444</v>
      </c>
      <c r="B171" s="256" t="s">
        <v>48</v>
      </c>
      <c r="C171" s="121">
        <v>2010</v>
      </c>
      <c r="D171" s="17">
        <f>'FS (nominal)'!D172*CPI!$I$54</f>
        <v>4766.1119344668687</v>
      </c>
      <c r="E171" s="15">
        <f>'FS (nominal)'!E172*CPI!$I$54</f>
        <v>6294.3650130689002</v>
      </c>
      <c r="F171" s="15">
        <f>'FS (nominal)'!F172*CPI!$I$54</f>
        <v>0</v>
      </c>
      <c r="G171" s="15">
        <f>'FS (nominal)'!G172*CPI!$I$54</f>
        <v>0</v>
      </c>
      <c r="H171" s="17">
        <f>'FS (nominal)'!H172*CPI!$I$54</f>
        <v>0</v>
      </c>
      <c r="I171" s="15">
        <f>'FS (nominal)'!I172*CPI!$I$54</f>
        <v>6294.3650130689002</v>
      </c>
      <c r="J171" s="15">
        <f>'FS (nominal)'!J172*CPI!$I$54</f>
        <v>1780.9242542642342</v>
      </c>
      <c r="K171" s="17">
        <f>'FS (nominal)'!K172*CPI!$I$54</f>
        <v>870.08541941742328</v>
      </c>
      <c r="L171" s="17">
        <f>'FS (nominal)'!L172*CPI!$I$54</f>
        <v>280.17973107703909</v>
      </c>
      <c r="M171" s="17">
        <f>'FS (nominal)'!M172*CPI!$I$54</f>
        <v>158.93832017461128</v>
      </c>
      <c r="N171" s="17">
        <f>'FS (nominal)'!N172*CPI!$I$54</f>
        <v>359.64889116434478</v>
      </c>
      <c r="O171" s="17">
        <f>'FS (nominal)'!O172*CPI!$I$54</f>
        <v>90.676349330387197</v>
      </c>
      <c r="P171" s="17">
        <f>'FS (nominal)'!P172*CPI!$I$54</f>
        <v>23.433213871897816</v>
      </c>
      <c r="Q171" s="17">
        <f>'FS (nominal)'!Q172*CPI!$I$54</f>
        <v>0</v>
      </c>
      <c r="R171" s="17">
        <f>'FS (nominal)'!R172*CPI!$I$54</f>
        <v>70.299641615693446</v>
      </c>
      <c r="S171" s="15">
        <f>'FS (nominal)'!S172*CPI!$I$54</f>
        <v>1853.2615666513968</v>
      </c>
      <c r="T171" s="15">
        <f>'FS (nominal)'!T172*CPI!$I$54</f>
        <v>2660.1791921532695</v>
      </c>
      <c r="U171" s="15">
        <f>'FS (nominal)'!U172*CPI!$I$54</f>
        <v>1120.7189243081564</v>
      </c>
      <c r="V171" s="15">
        <f>'FS (nominal)'!V172*CPI!$I$54</f>
        <v>1539.4602678451131</v>
      </c>
      <c r="W171" s="17"/>
      <c r="X171" s="17">
        <f>'FS (nominal)'!W172*CPI!$I$54</f>
        <v>-103.93558511223087</v>
      </c>
      <c r="Y171" s="17">
        <f>'FS (nominal)'!X172*CPI!$I$54</f>
        <v>551.21032039018075</v>
      </c>
      <c r="Z171" s="17">
        <f>'FS (nominal)'!Y172*CPI!$I$54</f>
        <v>-9.1695184716121894</v>
      </c>
      <c r="AA171" s="15">
        <f>'FS (nominal)'!Z172*CPI!$I$54</f>
        <v>2185.4366446875583</v>
      </c>
      <c r="AB171" s="17">
        <f>'FS (nominal)'!AA172*CPI!$I$54</f>
        <v>40.753415429387509</v>
      </c>
      <c r="AC171" s="17">
        <f>'FS (nominal)'!AB172*CPI!$I$54</f>
        <v>14.263695400285627</v>
      </c>
      <c r="AD171" s="17">
        <f>'FS (nominal)'!AC172*CPI!$I$54</f>
        <v>56.035946215407826</v>
      </c>
      <c r="AE171" s="17">
        <f>'FS (nominal)'!AD172*CPI!$I$54</f>
        <v>945.4792379617902</v>
      </c>
      <c r="AF171" s="17">
        <f>'FS (nominal)'!AE172*CPI!$I$54</f>
        <v>0</v>
      </c>
      <c r="AG171" s="15">
        <f>'FS (nominal)'!AF172*CPI!$I$54</f>
        <v>1056.5322950068712</v>
      </c>
      <c r="AH171" s="18">
        <f>'FS (nominal)'!AG172*CPI!$I$54</f>
        <v>86.601007787448452</v>
      </c>
    </row>
    <row r="172" spans="1:34" s="102" customFormat="1" ht="15" customHeight="1">
      <c r="A172" s="246">
        <f>References!J277</f>
        <v>445</v>
      </c>
      <c r="B172" s="256" t="s">
        <v>48</v>
      </c>
      <c r="C172" s="121">
        <v>2011</v>
      </c>
      <c r="D172" s="17">
        <f>'FS (nominal)'!D173*CPI!$I$58</f>
        <v>5123</v>
      </c>
      <c r="E172" s="15">
        <f>'FS (nominal)'!E173*CPI!$I$58</f>
        <v>6558</v>
      </c>
      <c r="F172" s="15">
        <f>'FS (nominal)'!F173*CPI!$I$58</f>
        <v>0</v>
      </c>
      <c r="G172" s="15">
        <f>'FS (nominal)'!G173*CPI!$I$58</f>
        <v>0</v>
      </c>
      <c r="H172" s="17">
        <f>'FS (nominal)'!H173*CPI!$I$58</f>
        <v>0</v>
      </c>
      <c r="I172" s="15">
        <f>'FS (nominal)'!I173*CPI!$I$58</f>
        <v>6558</v>
      </c>
      <c r="J172" s="15">
        <f>'FS (nominal)'!J173*CPI!$I$58</f>
        <v>1752</v>
      </c>
      <c r="K172" s="17">
        <f>'FS (nominal)'!K173*CPI!$I$58</f>
        <v>822</v>
      </c>
      <c r="L172" s="17">
        <f>'FS (nominal)'!L173*CPI!$I$58</f>
        <v>207</v>
      </c>
      <c r="M172" s="17">
        <f>'FS (nominal)'!M173*CPI!$I$58</f>
        <v>166</v>
      </c>
      <c r="N172" s="17">
        <f>'FS (nominal)'!N173*CPI!$I$58</f>
        <v>332</v>
      </c>
      <c r="O172" s="17">
        <f>'FS (nominal)'!O173*CPI!$I$58</f>
        <v>327</v>
      </c>
      <c r="P172" s="17">
        <f>'FS (nominal)'!P173*CPI!$I$58</f>
        <v>22</v>
      </c>
      <c r="Q172" s="17">
        <f>'FS (nominal)'!Q173*CPI!$I$58</f>
        <v>0</v>
      </c>
      <c r="R172" s="17">
        <f>'FS (nominal)'!R173*CPI!$I$58</f>
        <v>71</v>
      </c>
      <c r="S172" s="15">
        <f>'FS (nominal)'!S173*CPI!$I$58</f>
        <v>1947</v>
      </c>
      <c r="T172" s="15">
        <f>'FS (nominal)'!T173*CPI!$I$58</f>
        <v>2859</v>
      </c>
      <c r="U172" s="15">
        <f>'FS (nominal)'!U173*CPI!$I$58</f>
        <v>946</v>
      </c>
      <c r="V172" s="15">
        <f>'FS (nominal)'!V173*CPI!$I$58</f>
        <v>1913</v>
      </c>
      <c r="W172" s="17"/>
      <c r="X172" s="17">
        <f>'FS (nominal)'!W173*CPI!$I$58</f>
        <v>-31.580855</v>
      </c>
      <c r="Y172" s="17">
        <f>'FS (nominal)'!X173*CPI!$I$58</f>
        <v>1211.8332</v>
      </c>
      <c r="Z172" s="17">
        <f>'FS (nominal)'!Y173*CPI!$I$58</f>
        <v>0</v>
      </c>
      <c r="AA172" s="15">
        <f>'FS (nominal)'!Z173*CPI!$I$58</f>
        <v>3156.4140000000002</v>
      </c>
      <c r="AB172" s="17">
        <f>'FS (nominal)'!AA173*CPI!$I$58</f>
        <v>30</v>
      </c>
      <c r="AC172" s="17">
        <f>'FS (nominal)'!AB173*CPI!$I$58</f>
        <v>39</v>
      </c>
      <c r="AD172" s="17">
        <f>'FS (nominal)'!AC173*CPI!$I$58</f>
        <v>65</v>
      </c>
      <c r="AE172" s="17">
        <f>'FS (nominal)'!AD173*CPI!$I$58</f>
        <v>1352</v>
      </c>
      <c r="AF172" s="17">
        <f>'FS (nominal)'!AE173*CPI!$I$58</f>
        <v>0</v>
      </c>
      <c r="AG172" s="15">
        <f>'FS (nominal)'!AF173*CPI!$I$58</f>
        <v>1486</v>
      </c>
      <c r="AH172" s="18">
        <f>'FS (nominal)'!AG173*CPI!$I$58</f>
        <v>24</v>
      </c>
    </row>
    <row r="173" spans="1:34" s="102" customFormat="1" ht="15" hidden="1" customHeight="1">
      <c r="A173" s="246">
        <f>References!C278</f>
        <v>461</v>
      </c>
      <c r="B173" s="255" t="s">
        <v>49</v>
      </c>
      <c r="C173" s="121">
        <v>2004</v>
      </c>
      <c r="D173" s="17">
        <f>'FS (nominal)'!D174*CPI!$I$30</f>
        <v>23087.649397977591</v>
      </c>
      <c r="E173" s="15">
        <f>'FS (nominal)'!E174*CPI!$I$30</f>
        <v>23087.649397977591</v>
      </c>
      <c r="F173" s="15">
        <f>'FS (nominal)'!F174*CPI!$I$30</f>
        <v>0</v>
      </c>
      <c r="G173" s="15">
        <f>'FS (nominal)'!G174*CPI!$I$30</f>
        <v>469.82086293227053</v>
      </c>
      <c r="H173" s="17">
        <f>'FS (nominal)'!H174*CPI!$I$30</f>
        <v>7.2465942868730675</v>
      </c>
      <c r="I173" s="15">
        <f>'FS (nominal)'!I174*CPI!$I$30</f>
        <v>23564.716855196737</v>
      </c>
      <c r="J173" s="15">
        <f>'FS (nominal)'!J174*CPI!$I$30</f>
        <v>4712.7018178964508</v>
      </c>
      <c r="K173" s="17">
        <f>'FS (nominal)'!K174*CPI!$I$30</f>
        <v>0</v>
      </c>
      <c r="L173" s="17">
        <f>'FS (nominal)'!L174*CPI!$I$30</f>
        <v>0</v>
      </c>
      <c r="M173" s="17">
        <f>'FS (nominal)'!M174*CPI!$I$30</f>
        <v>0</v>
      </c>
      <c r="N173" s="17">
        <f>'FS (nominal)'!N174*CPI!$I$30</f>
        <v>0</v>
      </c>
      <c r="O173" s="17">
        <f>'FS (nominal)'!O174*CPI!$I$30</f>
        <v>0</v>
      </c>
      <c r="P173" s="17">
        <f>'FS (nominal)'!P174*CPI!$I$30</f>
        <v>0</v>
      </c>
      <c r="Q173" s="17">
        <f>'FS (nominal)'!Q174*CPI!$I$30</f>
        <v>184.7881543152632</v>
      </c>
      <c r="R173" s="17">
        <f>'FS (nominal)'!R174*CPI!$I$30</f>
        <v>0</v>
      </c>
      <c r="S173" s="15">
        <f>'FS (nominal)'!S174*CPI!$I$30</f>
        <v>16697.361002670026</v>
      </c>
      <c r="T173" s="15">
        <f>'FS (nominal)'!T174*CPI!$I$30</f>
        <v>6867.3558525267099</v>
      </c>
      <c r="U173" s="15">
        <f>'FS (nominal)'!U174*CPI!$I$30</f>
        <v>3748.9047777423334</v>
      </c>
      <c r="V173" s="15">
        <f>'FS (nominal)'!V174*CPI!$I$30</f>
        <v>0</v>
      </c>
      <c r="W173" s="17"/>
      <c r="X173" s="17">
        <f>'FS (nominal)'!W174*CPI!$I$30</f>
        <v>338.17440005407644</v>
      </c>
      <c r="Y173" s="17">
        <f>'FS (nominal)'!X174*CPI!$I$30</f>
        <v>0</v>
      </c>
      <c r="Z173" s="17">
        <f>'FS (nominal)'!Y174*CPI!$I$30</f>
        <v>0</v>
      </c>
      <c r="AA173" s="15">
        <f>'FS (nominal)'!Z174*CPI!$I$30</f>
        <v>686.01092582398371</v>
      </c>
      <c r="AB173" s="17">
        <f>'FS (nominal)'!AA174*CPI!$I$30</f>
        <v>0</v>
      </c>
      <c r="AC173" s="17">
        <f>'FS (nominal)'!AB174*CPI!$I$30</f>
        <v>0</v>
      </c>
      <c r="AD173" s="17">
        <f>'FS (nominal)'!AC174*CPI!$I$30</f>
        <v>0</v>
      </c>
      <c r="AE173" s="17">
        <f>'FS (nominal)'!AD174*CPI!$I$30</f>
        <v>0</v>
      </c>
      <c r="AF173" s="17">
        <f>'FS (nominal)'!AE174*CPI!$I$30</f>
        <v>0</v>
      </c>
      <c r="AG173" s="15">
        <f>'FS (nominal)'!AF174*CPI!$I$30</f>
        <v>0</v>
      </c>
      <c r="AH173" s="18">
        <f>'FS (nominal)'!AG174*CPI!$I$30</f>
        <v>0</v>
      </c>
    </row>
    <row r="174" spans="1:34" s="102" customFormat="1" ht="15" hidden="1" customHeight="1">
      <c r="A174" s="246">
        <f>References!D278</f>
        <v>462</v>
      </c>
      <c r="B174" s="255" t="s">
        <v>49</v>
      </c>
      <c r="C174" s="121">
        <v>2005</v>
      </c>
      <c r="D174" s="17">
        <f>'FS (nominal)'!D175*CPI!$I$34</f>
        <v>23795.637874590811</v>
      </c>
      <c r="E174" s="15">
        <f>'FS (nominal)'!E175*CPI!$I$34</f>
        <v>23795.637874590811</v>
      </c>
      <c r="F174" s="15">
        <f>'FS (nominal)'!F175*CPI!$I$34</f>
        <v>0</v>
      </c>
      <c r="G174" s="15">
        <f>'FS (nominal)'!G175*CPI!$I$34</f>
        <v>261.3352927752627</v>
      </c>
      <c r="H174" s="17">
        <f>'FS (nominal)'!H175*CPI!$I$34</f>
        <v>18.83497605587479</v>
      </c>
      <c r="I174" s="15">
        <f>'FS (nominal)'!I175*CPI!$I$34</f>
        <v>24075.808143421949</v>
      </c>
      <c r="J174" s="15">
        <f>'FS (nominal)'!J175*CPI!$I$34</f>
        <v>4897.0937745274459</v>
      </c>
      <c r="K174" s="17">
        <f>'FS (nominal)'!K175*CPI!$I$34</f>
        <v>0</v>
      </c>
      <c r="L174" s="17">
        <f>'FS (nominal)'!L175*CPI!$I$34</f>
        <v>0</v>
      </c>
      <c r="M174" s="17">
        <f>'FS (nominal)'!M175*CPI!$I$34</f>
        <v>0</v>
      </c>
      <c r="N174" s="17">
        <f>'FS (nominal)'!N175*CPI!$I$34</f>
        <v>0</v>
      </c>
      <c r="O174" s="17">
        <f>'FS (nominal)'!O175*CPI!$I$34</f>
        <v>0</v>
      </c>
      <c r="P174" s="17">
        <f>'FS (nominal)'!P175*CPI!$I$34</f>
        <v>0</v>
      </c>
      <c r="Q174" s="17">
        <f>'FS (nominal)'!Q175*CPI!$I$34</f>
        <v>233.08282869145052</v>
      </c>
      <c r="R174" s="17">
        <f>'FS (nominal)'!R175*CPI!$I$34</f>
        <v>0</v>
      </c>
      <c r="S174" s="15">
        <f>'FS (nominal)'!S175*CPI!$I$34</f>
        <v>15465.869713880187</v>
      </c>
      <c r="T174" s="15">
        <f>'FS (nominal)'!T175*CPI!$I$34</f>
        <v>8609.938429541764</v>
      </c>
      <c r="U174" s="15">
        <f>'FS (nominal)'!U175*CPI!$I$34</f>
        <v>4807.6276382620399</v>
      </c>
      <c r="V174" s="15">
        <f>'FS (nominal)'!V175*CPI!$I$34</f>
        <v>0</v>
      </c>
      <c r="W174" s="17"/>
      <c r="X174" s="17">
        <f>'FS (nominal)'!W175*CPI!$I$34</f>
        <v>470.87440139686976</v>
      </c>
      <c r="Y174" s="17">
        <f>'FS (nominal)'!X175*CPI!$I$34</f>
        <v>0</v>
      </c>
      <c r="Z174" s="17">
        <f>'FS (nominal)'!Y175*CPI!$I$34</f>
        <v>0</v>
      </c>
      <c r="AA174" s="15">
        <f>'FS (nominal)'!Z175*CPI!$I$34</f>
        <v>954.69784883215345</v>
      </c>
      <c r="AB174" s="17">
        <f>'FS (nominal)'!AA175*CPI!$I$34</f>
        <v>0</v>
      </c>
      <c r="AC174" s="17">
        <f>'FS (nominal)'!AB175*CPI!$I$34</f>
        <v>0</v>
      </c>
      <c r="AD174" s="17">
        <f>'FS (nominal)'!AC175*CPI!$I$34</f>
        <v>0</v>
      </c>
      <c r="AE174" s="17">
        <f>'FS (nominal)'!AD175*CPI!$I$34</f>
        <v>0</v>
      </c>
      <c r="AF174" s="17">
        <f>'FS (nominal)'!AE175*CPI!$I$34</f>
        <v>0</v>
      </c>
      <c r="AG174" s="15">
        <f>'FS (nominal)'!AF175*CPI!$I$34</f>
        <v>0</v>
      </c>
      <c r="AH174" s="18">
        <f>'FS (nominal)'!AG175*CPI!$I$34</f>
        <v>0</v>
      </c>
    </row>
    <row r="175" spans="1:34" s="102" customFormat="1" ht="14.45" hidden="1" customHeight="1">
      <c r="A175" s="246">
        <f>References!E278</f>
        <v>463</v>
      </c>
      <c r="B175" s="255" t="s">
        <v>49</v>
      </c>
      <c r="C175" s="121">
        <v>2006</v>
      </c>
      <c r="D175" s="17">
        <f>'FS (nominal)'!D176*CPI!$I$38</f>
        <v>23785.520963799936</v>
      </c>
      <c r="E175" s="15">
        <f>'FS (nominal)'!E176*CPI!$I$38</f>
        <v>23785.520963799936</v>
      </c>
      <c r="F175" s="15">
        <f>'FS (nominal)'!F176*CPI!$I$38</f>
        <v>0</v>
      </c>
      <c r="G175" s="15">
        <f>'FS (nominal)'!G176*CPI!$I$38</f>
        <v>581.91574841878389</v>
      </c>
      <c r="H175" s="17">
        <f>'FS (nominal)'!H176*CPI!$I$38</f>
        <v>22.820225428187602</v>
      </c>
      <c r="I175" s="15">
        <f>'FS (nominal)'!I176*CPI!$I$38</f>
        <v>24390.256937646907</v>
      </c>
      <c r="J175" s="15">
        <f>'FS (nominal)'!J176*CPI!$I$38</f>
        <v>4658.749021164499</v>
      </c>
      <c r="K175" s="17">
        <f>'FS (nominal)'!K176*CPI!$I$38</f>
        <v>0</v>
      </c>
      <c r="L175" s="17">
        <f>'FS (nominal)'!L176*CPI!$I$38</f>
        <v>0</v>
      </c>
      <c r="M175" s="17">
        <f>'FS (nominal)'!M176*CPI!$I$38</f>
        <v>0</v>
      </c>
      <c r="N175" s="17">
        <f>'FS (nominal)'!N176*CPI!$I$38</f>
        <v>0</v>
      </c>
      <c r="O175" s="17">
        <f>'FS (nominal)'!O176*CPI!$I$38</f>
        <v>0</v>
      </c>
      <c r="P175" s="17">
        <f>'FS (nominal)'!P176*CPI!$I$38</f>
        <v>0</v>
      </c>
      <c r="Q175" s="17">
        <f>'FS (nominal)'!Q176*CPI!$I$38</f>
        <v>540.83934264804611</v>
      </c>
      <c r="R175" s="17">
        <f>'FS (nominal)'!R176*CPI!$I$38</f>
        <v>0</v>
      </c>
      <c r="S175" s="15">
        <f>'FS (nominal)'!S176*CPI!$I$38</f>
        <v>15720.853297478439</v>
      </c>
      <c r="T175" s="15">
        <f>'FS (nominal)'!T176*CPI!$I$38</f>
        <v>8669.4036401684698</v>
      </c>
      <c r="U175" s="15">
        <f>'FS (nominal)'!U176*CPI!$I$38</f>
        <v>4764.863069405571</v>
      </c>
      <c r="V175" s="15">
        <f>'FS (nominal)'!V176*CPI!$I$38</f>
        <v>0</v>
      </c>
      <c r="W175" s="17"/>
      <c r="X175" s="17">
        <f>'FS (nominal)'!W176*CPI!$I$38</f>
        <v>522.5831623054961</v>
      </c>
      <c r="Y175" s="17">
        <f>'FS (nominal)'!X176*CPI!$I$38</f>
        <v>0</v>
      </c>
      <c r="Z175" s="17">
        <f>'FS (nominal)'!Y176*CPI!$I$38</f>
        <v>0</v>
      </c>
      <c r="AA175" s="15">
        <f>'FS (nominal)'!Z176*CPI!$I$38</f>
        <v>1062.2814936821328</v>
      </c>
      <c r="AB175" s="17">
        <f>'FS (nominal)'!AA176*CPI!$I$38</f>
        <v>0</v>
      </c>
      <c r="AC175" s="17">
        <f>'FS (nominal)'!AB176*CPI!$I$38</f>
        <v>0</v>
      </c>
      <c r="AD175" s="17">
        <f>'FS (nominal)'!AC176*CPI!$I$38</f>
        <v>0</v>
      </c>
      <c r="AE175" s="17">
        <f>'FS (nominal)'!AD176*CPI!$I$38</f>
        <v>0</v>
      </c>
      <c r="AF175" s="17">
        <f>'FS (nominal)'!AE176*CPI!$I$38</f>
        <v>0</v>
      </c>
      <c r="AG175" s="15">
        <f>'FS (nominal)'!AF176*CPI!$I$38</f>
        <v>0</v>
      </c>
      <c r="AH175" s="18">
        <f>'FS (nominal)'!AG176*CPI!$I$38</f>
        <v>0</v>
      </c>
    </row>
    <row r="176" spans="1:34" s="102" customFormat="1" ht="15" hidden="1" customHeight="1">
      <c r="A176" s="246">
        <f>References!F278</f>
        <v>464</v>
      </c>
      <c r="B176" s="255" t="s">
        <v>49</v>
      </c>
      <c r="C176" s="121">
        <v>2007</v>
      </c>
      <c r="D176" s="17">
        <f>'FS (nominal)'!D177*CPI!$I$42</f>
        <v>23636.918126773337</v>
      </c>
      <c r="E176" s="15">
        <f>'FS (nominal)'!E177*CPI!$I$42</f>
        <v>23636.918126773337</v>
      </c>
      <c r="F176" s="15">
        <f>'FS (nominal)'!F177*CPI!$I$42</f>
        <v>0</v>
      </c>
      <c r="G176" s="15">
        <f>'FS (nominal)'!G177*CPI!$I$42</f>
        <v>429.11867083979297</v>
      </c>
      <c r="H176" s="17">
        <f>'FS (nominal)'!H177*CPI!$I$42</f>
        <v>18.80159124813526</v>
      </c>
      <c r="I176" s="15">
        <f>'FS (nominal)'!I177*CPI!$I$42</f>
        <v>24084.838388861266</v>
      </c>
      <c r="J176" s="15">
        <f>'FS (nominal)'!J177*CPI!$I$42</f>
        <v>4538.9253224910062</v>
      </c>
      <c r="K176" s="17">
        <f>'FS (nominal)'!K177*CPI!$I$42</f>
        <v>0</v>
      </c>
      <c r="L176" s="17">
        <f>'FS (nominal)'!L177*CPI!$I$42</f>
        <v>0</v>
      </c>
      <c r="M176" s="17">
        <f>'FS (nominal)'!M177*CPI!$I$42</f>
        <v>0</v>
      </c>
      <c r="N176" s="17">
        <f>'FS (nominal)'!N177*CPI!$I$42</f>
        <v>0</v>
      </c>
      <c r="O176" s="17">
        <f>'FS (nominal)'!O177*CPI!$I$42</f>
        <v>0</v>
      </c>
      <c r="P176" s="17">
        <f>'FS (nominal)'!P177*CPI!$I$42</f>
        <v>0</v>
      </c>
      <c r="Q176" s="17">
        <f>'FS (nominal)'!Q177*CPI!$I$42</f>
        <v>385.98560856465912</v>
      </c>
      <c r="R176" s="17">
        <f>'FS (nominal)'!R177*CPI!$I$42</f>
        <v>0</v>
      </c>
      <c r="S176" s="15">
        <f>'FS (nominal)'!S177*CPI!$I$42</f>
        <v>15342.098458478371</v>
      </c>
      <c r="T176" s="15">
        <f>'FS (nominal)'!T177*CPI!$I$42</f>
        <v>8742.7399303828952</v>
      </c>
      <c r="U176" s="15">
        <f>'FS (nominal)'!U177*CPI!$I$42</f>
        <v>4796.6177201860364</v>
      </c>
      <c r="V176" s="15">
        <f>'FS (nominal)'!V177*CPI!$I$42</f>
        <v>0</v>
      </c>
      <c r="W176" s="17"/>
      <c r="X176" s="17">
        <f>'FS (nominal)'!W177*CPI!$I$42</f>
        <v>436.86050253020159</v>
      </c>
      <c r="Y176" s="17">
        <f>'FS (nominal)'!X177*CPI!$I$42</f>
        <v>0</v>
      </c>
      <c r="Z176" s="17">
        <f>'FS (nominal)'!Y177*CPI!$I$42</f>
        <v>0</v>
      </c>
      <c r="AA176" s="15">
        <f>'FS (nominal)'!Z177*CPI!$I$42</f>
        <v>886.99271652967514</v>
      </c>
      <c r="AB176" s="17">
        <f>'FS (nominal)'!AA177*CPI!$I$42</f>
        <v>0</v>
      </c>
      <c r="AC176" s="17">
        <f>'FS (nominal)'!AB177*CPI!$I$42</f>
        <v>0</v>
      </c>
      <c r="AD176" s="17">
        <f>'FS (nominal)'!AC177*CPI!$I$42</f>
        <v>0</v>
      </c>
      <c r="AE176" s="17">
        <f>'FS (nominal)'!AD177*CPI!$I$42</f>
        <v>0</v>
      </c>
      <c r="AF176" s="17">
        <f>'FS (nominal)'!AE177*CPI!$I$42</f>
        <v>0</v>
      </c>
      <c r="AG176" s="15">
        <f>'FS (nominal)'!AF177*CPI!$I$42</f>
        <v>0</v>
      </c>
      <c r="AH176" s="18">
        <f>'FS (nominal)'!AG177*CPI!$I$42</f>
        <v>0</v>
      </c>
    </row>
    <row r="177" spans="1:34" s="102" customFormat="1" ht="15" customHeight="1">
      <c r="A177" s="246">
        <f>References!G278</f>
        <v>465</v>
      </c>
      <c r="B177" s="256" t="s">
        <v>49</v>
      </c>
      <c r="C177" s="121">
        <v>2008</v>
      </c>
      <c r="D177" s="17">
        <f>'FS (nominal)'!D178*CPI!$I$46</f>
        <v>24492.246585497989</v>
      </c>
      <c r="E177" s="15">
        <f>'FS (nominal)'!E178*CPI!$I$46</f>
        <v>24492.246585497989</v>
      </c>
      <c r="F177" s="15">
        <f>'FS (nominal)'!F178*CPI!$I$46</f>
        <v>1640.8662427646773</v>
      </c>
      <c r="G177" s="15">
        <f>'FS (nominal)'!G178*CPI!$I$46</f>
        <v>0</v>
      </c>
      <c r="H177" s="17">
        <f>'FS (nominal)'!H178*CPI!$I$46</f>
        <v>0</v>
      </c>
      <c r="I177" s="15">
        <f>'FS (nominal)'!I178*CPI!$I$46</f>
        <v>26133.112828262667</v>
      </c>
      <c r="J177" s="15">
        <f>'FS (nominal)'!J178*CPI!$I$46</f>
        <v>4946.3169000028511</v>
      </c>
      <c r="K177" s="17">
        <f>'FS (nominal)'!K178*CPI!$I$46</f>
        <v>0</v>
      </c>
      <c r="L177" s="17">
        <f>'FS (nominal)'!L178*CPI!$I$46</f>
        <v>3142.6577514185506</v>
      </c>
      <c r="M177" s="17">
        <f>'FS (nominal)'!M178*CPI!$I$46</f>
        <v>0</v>
      </c>
      <c r="N177" s="17">
        <f>'FS (nominal)'!N178*CPI!$I$46</f>
        <v>0</v>
      </c>
      <c r="O177" s="17">
        <f>'FS (nominal)'!O178*CPI!$I$46</f>
        <v>3252.6238202503491</v>
      </c>
      <c r="P177" s="17">
        <f>'FS (nominal)'!P178*CPI!$I$46</f>
        <v>0</v>
      </c>
      <c r="Q177" s="17">
        <f>'FS (nominal)'!Q178*CPI!$I$46</f>
        <v>0</v>
      </c>
      <c r="R177" s="17">
        <f>'FS (nominal)'!R178*CPI!$I$46</f>
        <v>-431.23948561489544</v>
      </c>
      <c r="S177" s="15">
        <f>'FS (nominal)'!S178*CPI!$I$46</f>
        <v>5964.0420860540044</v>
      </c>
      <c r="T177" s="15">
        <f>'FS (nominal)'!T178*CPI!$I$46</f>
        <v>15222.75384220581</v>
      </c>
      <c r="U177" s="15">
        <f>'FS (nominal)'!U178*CPI!$I$46</f>
        <v>4896.7243591571378</v>
      </c>
      <c r="V177" s="15">
        <f>'FS (nominal)'!V178*CPI!$I$46</f>
        <v>10326.029483048673</v>
      </c>
      <c r="W177" s="17"/>
      <c r="X177" s="17">
        <f>'FS (nominal)'!W178*CPI!$I$46</f>
        <v>2055.3148799577998</v>
      </c>
      <c r="Y177" s="17">
        <f>'FS (nominal)'!X178*CPI!$I$46</f>
        <v>4118.292885574976</v>
      </c>
      <c r="Z177" s="17">
        <f>'FS (nominal)'!Y178*CPI!$I$46</f>
        <v>0</v>
      </c>
      <c r="AA177" s="15">
        <f>'FS (nominal)'!Z178*CPI!$I$46</f>
        <v>12389.008027715205</v>
      </c>
      <c r="AB177" s="17">
        <f>'FS (nominal)'!AA178*CPI!$I$46</f>
        <v>0</v>
      </c>
      <c r="AC177" s="17">
        <f>'FS (nominal)'!AB178*CPI!$I$46</f>
        <v>0</v>
      </c>
      <c r="AD177" s="17">
        <f>'FS (nominal)'!AC178*CPI!$I$46</f>
        <v>11238.079433149895</v>
      </c>
      <c r="AE177" s="17">
        <f>'FS (nominal)'!AD178*CPI!$I$46</f>
        <v>0</v>
      </c>
      <c r="AF177" s="17">
        <f>'FS (nominal)'!AE178*CPI!$I$46</f>
        <v>0</v>
      </c>
      <c r="AG177" s="15">
        <f>'FS (nominal)'!AF178*CPI!$I$46</f>
        <v>11238.079433149895</v>
      </c>
      <c r="AH177" s="18">
        <f>'FS (nominal)'!AG178*CPI!$I$46</f>
        <v>366.55356277266117</v>
      </c>
    </row>
    <row r="178" spans="1:34" s="102" customFormat="1" ht="15" customHeight="1">
      <c r="A178" s="246">
        <f>References!H278</f>
        <v>466</v>
      </c>
      <c r="B178" s="256" t="s">
        <v>49</v>
      </c>
      <c r="C178" s="121">
        <v>2009</v>
      </c>
      <c r="D178" s="17">
        <f>'FS (nominal)'!D179*CPI!$I$50</f>
        <v>25095.936577664896</v>
      </c>
      <c r="E178" s="15">
        <f>'FS (nominal)'!E179*CPI!$I$50</f>
        <v>25095.936577664896</v>
      </c>
      <c r="F178" s="15">
        <f>'FS (nominal)'!F179*CPI!$I$50</f>
        <v>852.27565378543454</v>
      </c>
      <c r="G178" s="15">
        <f>'FS (nominal)'!G179*CPI!$I$50</f>
        <v>72.666620907406113</v>
      </c>
      <c r="H178" s="17">
        <f>'FS (nominal)'!H179*CPI!$I$50</f>
        <v>0</v>
      </c>
      <c r="I178" s="15">
        <f>'FS (nominal)'!I179*CPI!$I$50</f>
        <v>26020.878852357739</v>
      </c>
      <c r="J178" s="15">
        <f>'FS (nominal)'!J179*CPI!$I$50</f>
        <v>5247.5681240991125</v>
      </c>
      <c r="K178" s="17">
        <f>'FS (nominal)'!K179*CPI!$I$50</f>
        <v>0</v>
      </c>
      <c r="L178" s="17">
        <f>'FS (nominal)'!L179*CPI!$I$50</f>
        <v>0</v>
      </c>
      <c r="M178" s="17">
        <f>'FS (nominal)'!M179*CPI!$I$50</f>
        <v>0</v>
      </c>
      <c r="N178" s="17">
        <f>'FS (nominal)'!N179*CPI!$I$50</f>
        <v>0</v>
      </c>
      <c r="O178" s="17">
        <f>'FS (nominal)'!O179*CPI!$I$50</f>
        <v>0</v>
      </c>
      <c r="P178" s="17">
        <f>'FS (nominal)'!P179*CPI!$I$50</f>
        <v>0</v>
      </c>
      <c r="Q178" s="17">
        <f>'FS (nominal)'!Q179*CPI!$I$50</f>
        <v>0</v>
      </c>
      <c r="R178" s="17">
        <f>'FS (nominal)'!R179*CPI!$I$50</f>
        <v>0</v>
      </c>
      <c r="S178" s="15">
        <f>'FS (nominal)'!S179*CPI!$I$50</f>
        <v>6850.3861623996136</v>
      </c>
      <c r="T178" s="15">
        <f>'FS (nominal)'!T179*CPI!$I$50</f>
        <v>13922.924565859012</v>
      </c>
      <c r="U178" s="15">
        <f>'FS (nominal)'!U179*CPI!$I$50</f>
        <v>6207.8056146612653</v>
      </c>
      <c r="V178" s="15">
        <f>'FS (nominal)'!V179*CPI!$I$50</f>
        <v>7715.1189511977464</v>
      </c>
      <c r="W178" s="17"/>
      <c r="X178" s="17">
        <f>'FS (nominal)'!W179*CPI!$I$50</f>
        <v>1644.2145512801148</v>
      </c>
      <c r="Y178" s="17">
        <f>'FS (nominal)'!X179*CPI!$I$50</f>
        <v>3968.6490913583625</v>
      </c>
      <c r="Z178" s="17">
        <f>'FS (nominal)'!Y179*CPI!$I$50</f>
        <v>0</v>
      </c>
      <c r="AA178" s="15">
        <f>'FS (nominal)'!Z179*CPI!$I$50</f>
        <v>10039.553387466536</v>
      </c>
      <c r="AB178" s="17">
        <f>'FS (nominal)'!AA179*CPI!$I$50</f>
        <v>0</v>
      </c>
      <c r="AC178" s="17">
        <f>'FS (nominal)'!AB179*CPI!$I$50</f>
        <v>0</v>
      </c>
      <c r="AD178" s="17">
        <f>'FS (nominal)'!AC179*CPI!$I$50</f>
        <v>0</v>
      </c>
      <c r="AE178" s="17">
        <f>'FS (nominal)'!AD179*CPI!$I$50</f>
        <v>0</v>
      </c>
      <c r="AF178" s="17">
        <f>'FS (nominal)'!AE179*CPI!$I$50</f>
        <v>0</v>
      </c>
      <c r="AG178" s="15">
        <f>'FS (nominal)'!AF179*CPI!$I$50</f>
        <v>6821.3195140366515</v>
      </c>
      <c r="AH178" s="18">
        <f>'FS (nominal)'!AG179*CPI!$I$50</f>
        <v>194.12368728121348</v>
      </c>
    </row>
    <row r="179" spans="1:34" s="102" customFormat="1" ht="15" customHeight="1">
      <c r="A179" s="246">
        <f>References!I278</f>
        <v>467</v>
      </c>
      <c r="B179" s="256" t="s">
        <v>49</v>
      </c>
      <c r="C179" s="121">
        <v>2010</v>
      </c>
      <c r="D179" s="17">
        <f>'FS (nominal)'!D180*CPI!$I$54</f>
        <v>27882.468001401197</v>
      </c>
      <c r="E179" s="15">
        <f>'FS (nominal)'!E180*CPI!$I$54</f>
        <v>27882.468001401197</v>
      </c>
      <c r="F179" s="15">
        <f>'FS (nominal)'!F180*CPI!$I$54</f>
        <v>88.481023971329236</v>
      </c>
      <c r="G179" s="15">
        <f>'FS (nominal)'!G180*CPI!$I$54</f>
        <v>19.029460930721346</v>
      </c>
      <c r="H179" s="17">
        <f>'FS (nominal)'!H180*CPI!$I$54</f>
        <v>0</v>
      </c>
      <c r="I179" s="15">
        <f>'FS (nominal)'!I180*CPI!$I$54</f>
        <v>27989.978567810082</v>
      </c>
      <c r="J179" s="15">
        <f>'FS (nominal)'!J180*CPI!$I$54</f>
        <v>5228.2329454070214</v>
      </c>
      <c r="K179" s="17">
        <f>'FS (nominal)'!K180*CPI!$I$54</f>
        <v>2437.0542426773727</v>
      </c>
      <c r="L179" s="17">
        <f>'FS (nominal)'!L180*CPI!$I$54</f>
        <v>1778.8865834927647</v>
      </c>
      <c r="M179" s="17">
        <f>'FS (nominal)'!M180*CPI!$I$54</f>
        <v>2611.2750936380044</v>
      </c>
      <c r="N179" s="17">
        <f>'FS (nominal)'!N180*CPI!$I$54</f>
        <v>0</v>
      </c>
      <c r="O179" s="17">
        <f>'FS (nominal)'!O180*CPI!$I$54</f>
        <v>0</v>
      </c>
      <c r="P179" s="17">
        <f>'FS (nominal)'!P180*CPI!$I$54</f>
        <v>171.16434480342753</v>
      </c>
      <c r="Q179" s="17">
        <f>'FS (nominal)'!Q180*CPI!$I$54</f>
        <v>0</v>
      </c>
      <c r="R179" s="17">
        <f>'FS (nominal)'!R180*CPI!$I$54</f>
        <v>0</v>
      </c>
      <c r="S179" s="15">
        <f>'FS (nominal)'!S180*CPI!$I$54</f>
        <v>6998.3802646115701</v>
      </c>
      <c r="T179" s="15">
        <f>'FS (nominal)'!T180*CPI!$I$54</f>
        <v>15763.365052140873</v>
      </c>
      <c r="U179" s="15">
        <f>'FS (nominal)'!U180*CPI!$I$54</f>
        <v>6381.9848562420839</v>
      </c>
      <c r="V179" s="15">
        <f>'FS (nominal)'!V180*CPI!$I$54</f>
        <v>9381.3805015494036</v>
      </c>
      <c r="W179" s="17"/>
      <c r="X179" s="17">
        <f>'FS (nominal)'!W180*CPI!$I$54</f>
        <v>2321.3157654603751</v>
      </c>
      <c r="Y179" s="17">
        <f>'FS (nominal)'!X180*CPI!$I$54</f>
        <v>2798.0263972407101</v>
      </c>
      <c r="Z179" s="17">
        <f>'FS (nominal)'!Y180*CPI!$I$54</f>
        <v>0</v>
      </c>
      <c r="AA179" s="15">
        <f>'FS (nominal)'!Z180*CPI!$I$54</f>
        <v>9858.0910314462017</v>
      </c>
      <c r="AB179" s="17">
        <f>'FS (nominal)'!AA180*CPI!$I$54</f>
        <v>679.56320228503671</v>
      </c>
      <c r="AC179" s="17">
        <f>'FS (nominal)'!AB180*CPI!$I$54</f>
        <v>2104.9139069278649</v>
      </c>
      <c r="AD179" s="17">
        <f>'FS (nominal)'!AC180*CPI!$I$54</f>
        <v>81.506830858775018</v>
      </c>
      <c r="AE179" s="17">
        <f>'FS (nominal)'!AD180*CPI!$I$54</f>
        <v>4210.8466492414645</v>
      </c>
      <c r="AF179" s="17">
        <f>'FS (nominal)'!AE180*CPI!$I$54</f>
        <v>3.0565061572040628</v>
      </c>
      <c r="AG179" s="15">
        <f>'FS (nominal)'!AF180*CPI!$I$54</f>
        <v>7079.8870954703443</v>
      </c>
      <c r="AH179" s="18">
        <f>'FS (nominal)'!AG180*CPI!$I$54</f>
        <v>290.36808493438599</v>
      </c>
    </row>
    <row r="180" spans="1:34" s="102" customFormat="1" ht="15" customHeight="1">
      <c r="A180" s="246">
        <f>References!J278</f>
        <v>468</v>
      </c>
      <c r="B180" s="256" t="s">
        <v>49</v>
      </c>
      <c r="C180" s="121">
        <v>2011</v>
      </c>
      <c r="D180" s="17">
        <f>'FS (nominal)'!D181*CPI!$I$58</f>
        <v>30653</v>
      </c>
      <c r="E180" s="15">
        <f>'FS (nominal)'!E181*CPI!$I$58</f>
        <v>30653</v>
      </c>
      <c r="F180" s="15">
        <f>'FS (nominal)'!F181*CPI!$I$58</f>
        <v>164</v>
      </c>
      <c r="G180" s="15">
        <f>'FS (nominal)'!G181*CPI!$I$58</f>
        <v>52</v>
      </c>
      <c r="H180" s="17">
        <f>'FS (nominal)'!H181*CPI!$I$58</f>
        <v>0</v>
      </c>
      <c r="I180" s="15">
        <f>'FS (nominal)'!I181*CPI!$I$58</f>
        <v>30869</v>
      </c>
      <c r="J180" s="15">
        <f>'FS (nominal)'!J181*CPI!$I$58</f>
        <v>5356.4345000000003</v>
      </c>
      <c r="K180" s="17">
        <f>'FS (nominal)'!K181*CPI!$I$58</f>
        <v>1862.5905</v>
      </c>
      <c r="L180" s="17">
        <f>'FS (nominal)'!L181*CPI!$I$58</f>
        <v>2822.7276999999999</v>
      </c>
      <c r="M180" s="17">
        <f>'FS (nominal)'!M181*CPI!$I$58</f>
        <v>1120</v>
      </c>
      <c r="N180" s="17">
        <f>'FS (nominal)'!N181*CPI!$I$58</f>
        <v>126</v>
      </c>
      <c r="O180" s="17">
        <f>'FS (nominal)'!O181*CPI!$I$58</f>
        <v>1216</v>
      </c>
      <c r="P180" s="17">
        <f>'FS (nominal)'!P181*CPI!$I$58</f>
        <v>0</v>
      </c>
      <c r="Q180" s="17">
        <f>'FS (nominal)'!Q181*CPI!$I$58</f>
        <v>0</v>
      </c>
      <c r="R180" s="17">
        <f>'FS (nominal)'!R181*CPI!$I$58</f>
        <v>0</v>
      </c>
      <c r="S180" s="15">
        <f>'FS (nominal)'!S181*CPI!$I$58</f>
        <v>7147.3181000000004</v>
      </c>
      <c r="T180" s="15">
        <f>'FS (nominal)'!T181*CPI!$I$58</f>
        <v>18365.246999999999</v>
      </c>
      <c r="U180" s="15">
        <f>'FS (nominal)'!U181*CPI!$I$58</f>
        <v>7016</v>
      </c>
      <c r="V180" s="15">
        <f>'FS (nominal)'!V181*CPI!$I$58</f>
        <v>11349.246999999999</v>
      </c>
      <c r="W180" s="17"/>
      <c r="X180" s="17">
        <f>'FS (nominal)'!W181*CPI!$I$58</f>
        <v>2368</v>
      </c>
      <c r="Y180" s="17">
        <f>'FS (nominal)'!X181*CPI!$I$58</f>
        <v>6490</v>
      </c>
      <c r="Z180" s="17">
        <f>'FS (nominal)'!Y181*CPI!$I$58</f>
        <v>0</v>
      </c>
      <c r="AA180" s="15">
        <f>'FS (nominal)'!Z181*CPI!$I$58</f>
        <v>15471.246999999999</v>
      </c>
      <c r="AB180" s="17">
        <f>'FS (nominal)'!AA181*CPI!$I$58</f>
        <v>1432</v>
      </c>
      <c r="AC180" s="17">
        <f>'FS (nominal)'!AB181*CPI!$I$58</f>
        <v>1087</v>
      </c>
      <c r="AD180" s="17">
        <f>'FS (nominal)'!AC181*CPI!$I$58</f>
        <v>2126</v>
      </c>
      <c r="AE180" s="17">
        <f>'FS (nominal)'!AD181*CPI!$I$58</f>
        <v>3720</v>
      </c>
      <c r="AF180" s="17">
        <f>'FS (nominal)'!AE181*CPI!$I$58</f>
        <v>37</v>
      </c>
      <c r="AG180" s="15">
        <f>'FS (nominal)'!AF181*CPI!$I$58</f>
        <v>8402</v>
      </c>
      <c r="AH180" s="18">
        <f>'FS (nominal)'!AG181*CPI!$I$58</f>
        <v>350</v>
      </c>
    </row>
    <row r="181" spans="1:34" s="102" customFormat="1" ht="15" hidden="1" customHeight="1">
      <c r="A181" s="246">
        <f>References!C279</f>
        <v>484</v>
      </c>
      <c r="B181" s="255" t="s">
        <v>50</v>
      </c>
      <c r="C181" s="121">
        <v>2004</v>
      </c>
      <c r="D181" s="17">
        <f>'FS (nominal)'!D182*CPI!$I$30</f>
        <v>31650.7083136326</v>
      </c>
      <c r="E181" s="15">
        <f>'FS (nominal)'!E182*CPI!$I$30</f>
        <v>31650.7083136326</v>
      </c>
      <c r="F181" s="15">
        <f>'FS (nominal)'!F182*CPI!$I$30</f>
        <v>0</v>
      </c>
      <c r="G181" s="15">
        <f>'FS (nominal)'!G182*CPI!$I$30</f>
        <v>1190.8569944761407</v>
      </c>
      <c r="H181" s="17">
        <f>'FS (nominal)'!H182*CPI!$I$30</f>
        <v>1218.635605909154</v>
      </c>
      <c r="I181" s="15">
        <f>'FS (nominal)'!I182*CPI!$I$30</f>
        <v>34060.200914017893</v>
      </c>
      <c r="J181" s="15">
        <f>'FS (nominal)'!J182*CPI!$I$30</f>
        <v>7944.6828698418394</v>
      </c>
      <c r="K181" s="17">
        <f>'FS (nominal)'!K182*CPI!$I$30</f>
        <v>0</v>
      </c>
      <c r="L181" s="17">
        <f>'FS (nominal)'!L182*CPI!$I$30</f>
        <v>0</v>
      </c>
      <c r="M181" s="17">
        <f>'FS (nominal)'!M182*CPI!$I$30</f>
        <v>0</v>
      </c>
      <c r="N181" s="17">
        <f>'FS (nominal)'!N182*CPI!$I$30</f>
        <v>0</v>
      </c>
      <c r="O181" s="17">
        <f>'FS (nominal)'!O182*CPI!$I$30</f>
        <v>0</v>
      </c>
      <c r="P181" s="17">
        <f>'FS (nominal)'!P182*CPI!$I$30</f>
        <v>0</v>
      </c>
      <c r="Q181" s="17">
        <f>'FS (nominal)'!Q182*CPI!$I$30</f>
        <v>1190.8569944761407</v>
      </c>
      <c r="R181" s="17">
        <f>'FS (nominal)'!R182*CPI!$I$30</f>
        <v>0</v>
      </c>
      <c r="S181" s="15">
        <f>'FS (nominal)'!S182*CPI!$I$30</f>
        <v>19906.394506040317</v>
      </c>
      <c r="T181" s="15">
        <f>'FS (nominal)'!T182*CPI!$I$30</f>
        <v>14153.80640797758</v>
      </c>
      <c r="U181" s="15">
        <f>'FS (nominal)'!U182*CPI!$I$30</f>
        <v>9265.9785614816956</v>
      </c>
      <c r="V181" s="15">
        <f>'FS (nominal)'!V182*CPI!$I$30</f>
        <v>0</v>
      </c>
      <c r="W181" s="17"/>
      <c r="X181" s="17">
        <f>'FS (nominal)'!W182*CPI!$I$30</f>
        <v>2646.2146804231484</v>
      </c>
      <c r="Y181" s="17">
        <f>'FS (nominal)'!X182*CPI!$I$30</f>
        <v>0</v>
      </c>
      <c r="Z181" s="17">
        <f>'FS (nominal)'!Y182*CPI!$I$30</f>
        <v>0</v>
      </c>
      <c r="AA181" s="15">
        <f>'FS (nominal)'!Z182*CPI!$I$30</f>
        <v>2159.4850974881738</v>
      </c>
      <c r="AB181" s="17">
        <f>'FS (nominal)'!AA182*CPI!$I$30</f>
        <v>0</v>
      </c>
      <c r="AC181" s="17">
        <f>'FS (nominal)'!AB182*CPI!$I$30</f>
        <v>0</v>
      </c>
      <c r="AD181" s="17">
        <f>'FS (nominal)'!AC182*CPI!$I$30</f>
        <v>0</v>
      </c>
      <c r="AE181" s="17">
        <f>'FS (nominal)'!AD182*CPI!$I$30</f>
        <v>0</v>
      </c>
      <c r="AF181" s="17">
        <f>'FS (nominal)'!AE182*CPI!$I$30</f>
        <v>0</v>
      </c>
      <c r="AG181" s="15">
        <f>'FS (nominal)'!AF182*CPI!$I$30</f>
        <v>0</v>
      </c>
      <c r="AH181" s="18">
        <f>'FS (nominal)'!AG182*CPI!$I$30</f>
        <v>0</v>
      </c>
    </row>
    <row r="182" spans="1:34" s="102" customFormat="1" ht="15" hidden="1" customHeight="1">
      <c r="A182" s="246">
        <f>References!D279</f>
        <v>485</v>
      </c>
      <c r="B182" s="255" t="s">
        <v>50</v>
      </c>
      <c r="C182" s="121">
        <v>2005</v>
      </c>
      <c r="D182" s="17">
        <f>'FS (nominal)'!D183*CPI!$I$34</f>
        <v>30891.71510364164</v>
      </c>
      <c r="E182" s="15">
        <f>'FS (nominal)'!E183*CPI!$I$34</f>
        <v>30891.71510364164</v>
      </c>
      <c r="F182" s="15">
        <f>'FS (nominal)'!F183*CPI!$I$34</f>
        <v>0</v>
      </c>
      <c r="G182" s="15">
        <f>'FS (nominal)'!G183*CPI!$I$34</f>
        <v>650.98385993117245</v>
      </c>
      <c r="H182" s="17">
        <f>'FS (nominal)'!H183*CPI!$I$34</f>
        <v>1418.5091342080702</v>
      </c>
      <c r="I182" s="15">
        <f>'FS (nominal)'!I183*CPI!$I$34</f>
        <v>32961.20809778088</v>
      </c>
      <c r="J182" s="15">
        <f>'FS (nominal)'!J183*CPI!$I$34</f>
        <v>8738.2517039224113</v>
      </c>
      <c r="K182" s="17">
        <f>'FS (nominal)'!K183*CPI!$I$34</f>
        <v>0</v>
      </c>
      <c r="L182" s="17">
        <f>'FS (nominal)'!L183*CPI!$I$34</f>
        <v>0</v>
      </c>
      <c r="M182" s="17">
        <f>'FS (nominal)'!M183*CPI!$I$34</f>
        <v>0</v>
      </c>
      <c r="N182" s="17">
        <f>'FS (nominal)'!N183*CPI!$I$34</f>
        <v>0</v>
      </c>
      <c r="O182" s="17">
        <f>'FS (nominal)'!O183*CPI!$I$34</f>
        <v>0</v>
      </c>
      <c r="P182" s="17">
        <f>'FS (nominal)'!P183*CPI!$I$34</f>
        <v>0</v>
      </c>
      <c r="Q182" s="17">
        <f>'FS (nominal)'!Q183*CPI!$I$34</f>
        <v>650.98385993117245</v>
      </c>
      <c r="R182" s="17">
        <f>'FS (nominal)'!R183*CPI!$I$34</f>
        <v>0</v>
      </c>
      <c r="S182" s="15">
        <f>'FS (nominal)'!S183*CPI!$I$34</f>
        <v>18253.446170149655</v>
      </c>
      <c r="T182" s="15">
        <f>'FS (nominal)'!T183*CPI!$I$34</f>
        <v>14707.761927631227</v>
      </c>
      <c r="U182" s="15">
        <f>'FS (nominal)'!U183*CPI!$I$34</f>
        <v>11425.767349895044</v>
      </c>
      <c r="V182" s="15">
        <f>'FS (nominal)'!V183*CPI!$I$34</f>
        <v>0</v>
      </c>
      <c r="W182" s="17"/>
      <c r="X182" s="17">
        <f>'FS (nominal)'!W183*CPI!$I$34</f>
        <v>2429.7119112078481</v>
      </c>
      <c r="Y182" s="17">
        <f>'FS (nominal)'!X183*CPI!$I$34</f>
        <v>0</v>
      </c>
      <c r="Z182" s="17">
        <f>'FS (nominal)'!Y183*CPI!$I$34</f>
        <v>0</v>
      </c>
      <c r="AA182" s="15">
        <f>'FS (nominal)'!Z183*CPI!$I$34</f>
        <v>826.38457445150641</v>
      </c>
      <c r="AB182" s="17">
        <f>'FS (nominal)'!AA183*CPI!$I$34</f>
        <v>0</v>
      </c>
      <c r="AC182" s="17">
        <f>'FS (nominal)'!AB183*CPI!$I$34</f>
        <v>0</v>
      </c>
      <c r="AD182" s="17">
        <f>'FS (nominal)'!AC183*CPI!$I$34</f>
        <v>0</v>
      </c>
      <c r="AE182" s="17">
        <f>'FS (nominal)'!AD183*CPI!$I$34</f>
        <v>0</v>
      </c>
      <c r="AF182" s="17">
        <f>'FS (nominal)'!AE183*CPI!$I$34</f>
        <v>0</v>
      </c>
      <c r="AG182" s="15">
        <f>'FS (nominal)'!AF183*CPI!$I$34</f>
        <v>0</v>
      </c>
      <c r="AH182" s="18">
        <f>'FS (nominal)'!AG183*CPI!$I$34</f>
        <v>0</v>
      </c>
    </row>
    <row r="183" spans="1:34" s="102" customFormat="1" ht="14.45" hidden="1" customHeight="1">
      <c r="A183" s="246">
        <f>References!E279</f>
        <v>486</v>
      </c>
      <c r="B183" s="255" t="s">
        <v>50</v>
      </c>
      <c r="C183" s="121">
        <v>2006</v>
      </c>
      <c r="D183" s="17">
        <f>'FS (nominal)'!D184*CPI!$I$38</f>
        <v>30207.132399291928</v>
      </c>
      <c r="E183" s="15">
        <f>'FS (nominal)'!E184*CPI!$I$38</f>
        <v>30207.132399291928</v>
      </c>
      <c r="F183" s="15">
        <f>'FS (nominal)'!F184*CPI!$I$38</f>
        <v>0</v>
      </c>
      <c r="G183" s="15">
        <f>'FS (nominal)'!G184*CPI!$I$38</f>
        <v>1358.9444242485717</v>
      </c>
      <c r="H183" s="17">
        <f>'FS (nominal)'!H184*CPI!$I$38</f>
        <v>1968.2444431811807</v>
      </c>
      <c r="I183" s="15">
        <f>'FS (nominal)'!I184*CPI!$I$38</f>
        <v>33534.321266721679</v>
      </c>
      <c r="J183" s="15">
        <f>'FS (nominal)'!J184*CPI!$I$38</f>
        <v>8118.2951960777391</v>
      </c>
      <c r="K183" s="17">
        <f>'FS (nominal)'!K184*CPI!$I$38</f>
        <v>0</v>
      </c>
      <c r="L183" s="17">
        <f>'FS (nominal)'!L184*CPI!$I$38</f>
        <v>0</v>
      </c>
      <c r="M183" s="17">
        <f>'FS (nominal)'!M184*CPI!$I$38</f>
        <v>0</v>
      </c>
      <c r="N183" s="17">
        <f>'FS (nominal)'!N184*CPI!$I$38</f>
        <v>0</v>
      </c>
      <c r="O183" s="17">
        <f>'FS (nominal)'!O184*CPI!$I$38</f>
        <v>0</v>
      </c>
      <c r="P183" s="17">
        <f>'FS (nominal)'!P184*CPI!$I$38</f>
        <v>0</v>
      </c>
      <c r="Q183" s="17">
        <f>'FS (nominal)'!Q184*CPI!$I$38</f>
        <v>1358.9444242485717</v>
      </c>
      <c r="R183" s="17">
        <f>'FS (nominal)'!R184*CPI!$I$38</f>
        <v>0</v>
      </c>
      <c r="S183" s="15">
        <f>'FS (nominal)'!S184*CPI!$I$38</f>
        <v>18425.050010718671</v>
      </c>
      <c r="T183" s="15">
        <f>'FS (nominal)'!T184*CPI!$I$38</f>
        <v>15109.27125600301</v>
      </c>
      <c r="U183" s="15">
        <f>'FS (nominal)'!U184*CPI!$I$38</f>
        <v>11119.15483988441</v>
      </c>
      <c r="V183" s="15">
        <f>'FS (nominal)'!V184*CPI!$I$38</f>
        <v>0</v>
      </c>
      <c r="W183" s="17"/>
      <c r="X183" s="17">
        <f>'FS (nominal)'!W184*CPI!$I$38</f>
        <v>2413.2388390308388</v>
      </c>
      <c r="Y183" s="17">
        <f>'FS (nominal)'!X184*CPI!$I$38</f>
        <v>0</v>
      </c>
      <c r="Z183" s="17">
        <f>'FS (nominal)'!Y184*CPI!$I$38</f>
        <v>0</v>
      </c>
      <c r="AA183" s="15">
        <f>'FS (nominal)'!Z184*CPI!$I$38</f>
        <v>1516.4039797030662</v>
      </c>
      <c r="AB183" s="17">
        <f>'FS (nominal)'!AA184*CPI!$I$38</f>
        <v>0</v>
      </c>
      <c r="AC183" s="17">
        <f>'FS (nominal)'!AB184*CPI!$I$38</f>
        <v>0</v>
      </c>
      <c r="AD183" s="17">
        <f>'FS (nominal)'!AC184*CPI!$I$38</f>
        <v>0</v>
      </c>
      <c r="AE183" s="17">
        <f>'FS (nominal)'!AD184*CPI!$I$38</f>
        <v>0</v>
      </c>
      <c r="AF183" s="17">
        <f>'FS (nominal)'!AE184*CPI!$I$38</f>
        <v>0</v>
      </c>
      <c r="AG183" s="15">
        <f>'FS (nominal)'!AF184*CPI!$I$38</f>
        <v>0</v>
      </c>
      <c r="AH183" s="18">
        <f>'FS (nominal)'!AG184*CPI!$I$38</f>
        <v>0</v>
      </c>
    </row>
    <row r="184" spans="1:34" s="102" customFormat="1" ht="15" hidden="1" customHeight="1">
      <c r="A184" s="246">
        <f>References!F279</f>
        <v>487</v>
      </c>
      <c r="B184" s="255" t="s">
        <v>50</v>
      </c>
      <c r="C184" s="121">
        <v>2007</v>
      </c>
      <c r="D184" s="17">
        <f>'FS (nominal)'!D185*CPI!$I$42</f>
        <v>32263.530581800103</v>
      </c>
      <c r="E184" s="15">
        <f>'FS (nominal)'!E185*CPI!$I$42</f>
        <v>32263.530581800103</v>
      </c>
      <c r="F184" s="15">
        <f>'FS (nominal)'!F185*CPI!$I$42</f>
        <v>0</v>
      </c>
      <c r="G184" s="15">
        <f>'FS (nominal)'!G185*CPI!$I$42</f>
        <v>974.36481703571542</v>
      </c>
      <c r="H184" s="17">
        <f>'FS (nominal)'!H185*CPI!$I$42</f>
        <v>2881.0673647877852</v>
      </c>
      <c r="I184" s="15">
        <f>'FS (nominal)'!I185*CPI!$I$42</f>
        <v>36118.962763623604</v>
      </c>
      <c r="J184" s="15">
        <f>'FS (nominal)'!J185*CPI!$I$42</f>
        <v>9207.249831807414</v>
      </c>
      <c r="K184" s="17">
        <f>'FS (nominal)'!K185*CPI!$I$42</f>
        <v>0</v>
      </c>
      <c r="L184" s="17">
        <f>'FS (nominal)'!L185*CPI!$I$42</f>
        <v>0</v>
      </c>
      <c r="M184" s="17">
        <f>'FS (nominal)'!M185*CPI!$I$42</f>
        <v>0</v>
      </c>
      <c r="N184" s="17">
        <f>'FS (nominal)'!N185*CPI!$I$42</f>
        <v>0</v>
      </c>
      <c r="O184" s="17">
        <f>'FS (nominal)'!O185*CPI!$I$42</f>
        <v>0</v>
      </c>
      <c r="P184" s="17">
        <f>'FS (nominal)'!P185*CPI!$I$42</f>
        <v>0</v>
      </c>
      <c r="Q184" s="17">
        <f>'FS (nominal)'!Q185*CPI!$I$42</f>
        <v>974.36481703571542</v>
      </c>
      <c r="R184" s="17">
        <f>'FS (nominal)'!R185*CPI!$I$42</f>
        <v>0</v>
      </c>
      <c r="S184" s="15">
        <f>'FS (nominal)'!S185*CPI!$I$42</f>
        <v>20353.275514084304</v>
      </c>
      <c r="T184" s="15">
        <f>'FS (nominal)'!T185*CPI!$I$42</f>
        <v>15765.6872495393</v>
      </c>
      <c r="U184" s="15">
        <f>'FS (nominal)'!U185*CPI!$I$42</f>
        <v>10881.697428847225</v>
      </c>
      <c r="V184" s="15">
        <f>'FS (nominal)'!V185*CPI!$I$42</f>
        <v>0</v>
      </c>
      <c r="W184" s="17"/>
      <c r="X184" s="17">
        <f>'FS (nominal)'!W185*CPI!$I$42</f>
        <v>2283.8403486705474</v>
      </c>
      <c r="Y184" s="17">
        <f>'FS (nominal)'!X185*CPI!$I$42</f>
        <v>0</v>
      </c>
      <c r="Z184" s="17">
        <f>'FS (nominal)'!Y185*CPI!$I$42</f>
        <v>0</v>
      </c>
      <c r="AA184" s="15">
        <f>'FS (nominal)'!Z185*CPI!$I$42</f>
        <v>2266.1447333781848</v>
      </c>
      <c r="AB184" s="17">
        <f>'FS (nominal)'!AA185*CPI!$I$42</f>
        <v>0</v>
      </c>
      <c r="AC184" s="17">
        <f>'FS (nominal)'!AB185*CPI!$I$42</f>
        <v>0</v>
      </c>
      <c r="AD184" s="17">
        <f>'FS (nominal)'!AC185*CPI!$I$42</f>
        <v>0</v>
      </c>
      <c r="AE184" s="17">
        <f>'FS (nominal)'!AD185*CPI!$I$42</f>
        <v>0</v>
      </c>
      <c r="AF184" s="17">
        <f>'FS (nominal)'!AE185*CPI!$I$42</f>
        <v>0</v>
      </c>
      <c r="AG184" s="15">
        <f>'FS (nominal)'!AF185*CPI!$I$42</f>
        <v>0</v>
      </c>
      <c r="AH184" s="18">
        <f>'FS (nominal)'!AG185*CPI!$I$42</f>
        <v>0</v>
      </c>
    </row>
    <row r="185" spans="1:34" s="102" customFormat="1" ht="15" customHeight="1">
      <c r="A185" s="246">
        <f>References!G279</f>
        <v>488</v>
      </c>
      <c r="B185" s="256" t="s">
        <v>50</v>
      </c>
      <c r="C185" s="121">
        <v>2008</v>
      </c>
      <c r="D185" s="17">
        <f>'FS (nominal)'!D186*CPI!$I$46</f>
        <v>34909.914459239822</v>
      </c>
      <c r="E185" s="15">
        <f>'FS (nominal)'!E186*CPI!$I$46</f>
        <v>39160.857688688659</v>
      </c>
      <c r="F185" s="15">
        <f>'FS (nominal)'!F186*CPI!$I$46</f>
        <v>5325.8076473439587</v>
      </c>
      <c r="G185" s="15">
        <f>'FS (nominal)'!G186*CPI!$I$46</f>
        <v>0</v>
      </c>
      <c r="H185" s="17">
        <f>'FS (nominal)'!H186*CPI!$I$46</f>
        <v>922.85249921587626</v>
      </c>
      <c r="I185" s="15">
        <f>'FS (nominal)'!I186*CPI!$I$46</f>
        <v>45409.517835248495</v>
      </c>
      <c r="J185" s="15">
        <f>'FS (nominal)'!J186*CPI!$I$46</f>
        <v>9075.434974765476</v>
      </c>
      <c r="K185" s="17">
        <f>'FS (nominal)'!K186*CPI!$I$46</f>
        <v>0</v>
      </c>
      <c r="L185" s="17">
        <f>'FS (nominal)'!L186*CPI!$I$46</f>
        <v>0</v>
      </c>
      <c r="M185" s="17">
        <f>'FS (nominal)'!M186*CPI!$I$46</f>
        <v>0</v>
      </c>
      <c r="N185" s="17">
        <f>'FS (nominal)'!N186*CPI!$I$46</f>
        <v>0</v>
      </c>
      <c r="O185" s="17">
        <f>'FS (nominal)'!O186*CPI!$I$46</f>
        <v>0</v>
      </c>
      <c r="P185" s="17">
        <f>'FS (nominal)'!P186*CPI!$I$46</f>
        <v>0</v>
      </c>
      <c r="Q185" s="17">
        <f>'FS (nominal)'!Q186*CPI!$I$46</f>
        <v>0</v>
      </c>
      <c r="R185" s="17">
        <f>'FS (nominal)'!R186*CPI!$I$46</f>
        <v>0</v>
      </c>
      <c r="S185" s="15">
        <f>'FS (nominal)'!S186*CPI!$I$46</f>
        <v>9717.9818083316695</v>
      </c>
      <c r="T185" s="15">
        <f>'FS (nominal)'!T186*CPI!$I$46</f>
        <v>26616.101052151349</v>
      </c>
      <c r="U185" s="15">
        <f>'FS (nominal)'!U186*CPI!$I$46</f>
        <v>11510.859969775598</v>
      </c>
      <c r="V185" s="15">
        <f>'FS (nominal)'!V186*CPI!$I$46</f>
        <v>15105.241082375751</v>
      </c>
      <c r="W185" s="17"/>
      <c r="X185" s="17">
        <f>'FS (nominal)'!W186*CPI!$I$46</f>
        <v>220.80316595762881</v>
      </c>
      <c r="Y185" s="17">
        <f>'FS (nominal)'!X186*CPI!$I$46</f>
        <v>8529.7686790795815</v>
      </c>
      <c r="Z185" s="17">
        <f>'FS (nominal)'!Y186*CPI!$I$46</f>
        <v>0</v>
      </c>
      <c r="AA185" s="15">
        <f>'FS (nominal)'!Z186*CPI!$I$46</f>
        <v>23414.206088791307</v>
      </c>
      <c r="AB185" s="17">
        <f>'FS (nominal)'!AA186*CPI!$I$46</f>
        <v>0</v>
      </c>
      <c r="AC185" s="17">
        <f>'FS (nominal)'!AB186*CPI!$I$46</f>
        <v>0</v>
      </c>
      <c r="AD185" s="17">
        <f>'FS (nominal)'!AC186*CPI!$I$46</f>
        <v>0</v>
      </c>
      <c r="AE185" s="17">
        <f>'FS (nominal)'!AD186*CPI!$I$46</f>
        <v>0</v>
      </c>
      <c r="AF185" s="17">
        <f>'FS (nominal)'!AE186*CPI!$I$46</f>
        <v>20466.62598728294</v>
      </c>
      <c r="AG185" s="15">
        <f>'FS (nominal)'!AF186*CPI!$I$46</f>
        <v>20466.62598728294</v>
      </c>
      <c r="AH185" s="18">
        <f>'FS (nominal)'!AG186*CPI!$I$46</f>
        <v>235.02551966011802</v>
      </c>
    </row>
    <row r="186" spans="1:34" s="102" customFormat="1" ht="15" customHeight="1">
      <c r="A186" s="246">
        <f>References!H279</f>
        <v>489</v>
      </c>
      <c r="B186" s="256" t="s">
        <v>50</v>
      </c>
      <c r="C186" s="121">
        <v>2009</v>
      </c>
      <c r="D186" s="17">
        <f>'FS (nominal)'!D187*CPI!$I$50</f>
        <v>36481.757979271046</v>
      </c>
      <c r="E186" s="15">
        <f>'FS (nominal)'!E187*CPI!$I$50</f>
        <v>41574.650010295823</v>
      </c>
      <c r="F186" s="15">
        <f>'FS (nominal)'!F187*CPI!$I$50</f>
        <v>5244.4538403459383</v>
      </c>
      <c r="G186" s="15">
        <f>'FS (nominal)'!G187*CPI!$I$50</f>
        <v>0</v>
      </c>
      <c r="H186" s="17">
        <f>'FS (nominal)'!H187*CPI!$I$50</f>
        <v>772.34237078728779</v>
      </c>
      <c r="I186" s="15">
        <f>'FS (nominal)'!I187*CPI!$I$50</f>
        <v>47591.446221429047</v>
      </c>
      <c r="J186" s="15">
        <f>'FS (nominal)'!J187*CPI!$I$50</f>
        <v>9360.4988674582983</v>
      </c>
      <c r="K186" s="17">
        <f>'FS (nominal)'!K187*CPI!$I$50</f>
        <v>0</v>
      </c>
      <c r="L186" s="17">
        <f>'FS (nominal)'!L187*CPI!$I$50</f>
        <v>0</v>
      </c>
      <c r="M186" s="17">
        <f>'FS (nominal)'!M187*CPI!$I$50</f>
        <v>0</v>
      </c>
      <c r="N186" s="17">
        <f>'FS (nominal)'!N187*CPI!$I$50</f>
        <v>0</v>
      </c>
      <c r="O186" s="17">
        <f>'FS (nominal)'!O187*CPI!$I$50</f>
        <v>0</v>
      </c>
      <c r="P186" s="17">
        <f>'FS (nominal)'!P187*CPI!$I$50</f>
        <v>0</v>
      </c>
      <c r="Q186" s="17">
        <f>'FS (nominal)'!Q187*CPI!$I$50</f>
        <v>0</v>
      </c>
      <c r="R186" s="17">
        <f>'FS (nominal)'!R187*CPI!$I$50</f>
        <v>0</v>
      </c>
      <c r="S186" s="15">
        <f>'FS (nominal)'!S187*CPI!$I$50</f>
        <v>10993.421648706153</v>
      </c>
      <c r="T186" s="15">
        <f>'FS (nominal)'!T187*CPI!$I$50</f>
        <v>27237.525705264594</v>
      </c>
      <c r="U186" s="15">
        <f>'FS (nominal)'!U187*CPI!$I$50</f>
        <v>11502.087995057997</v>
      </c>
      <c r="V186" s="15">
        <f>'FS (nominal)'!V187*CPI!$I$50</f>
        <v>15735.437710206599</v>
      </c>
      <c r="W186" s="17"/>
      <c r="X186" s="17">
        <f>'FS (nominal)'!W187*CPI!$I$50</f>
        <v>-34.34096403212299</v>
      </c>
      <c r="Y186" s="17">
        <f>'FS (nominal)'!X187*CPI!$I$50</f>
        <v>7675.4209685771129</v>
      </c>
      <c r="Z186" s="17">
        <f>'FS (nominal)'!Y187*CPI!$I$50</f>
        <v>0</v>
      </c>
      <c r="AA186" s="15">
        <f>'FS (nominal)'!Z187*CPI!$I$50</f>
        <v>23445.200093348885</v>
      </c>
      <c r="AB186" s="17">
        <f>'FS (nominal)'!AA187*CPI!$I$50</f>
        <v>0</v>
      </c>
      <c r="AC186" s="17">
        <f>'FS (nominal)'!AB187*CPI!$I$50</f>
        <v>0</v>
      </c>
      <c r="AD186" s="17">
        <f>'FS (nominal)'!AC187*CPI!$I$50</f>
        <v>0</v>
      </c>
      <c r="AE186" s="17">
        <f>'FS (nominal)'!AD187*CPI!$I$50</f>
        <v>0</v>
      </c>
      <c r="AF186" s="17">
        <f>'FS (nominal)'!AE187*CPI!$I$50</f>
        <v>0</v>
      </c>
      <c r="AG186" s="15">
        <f>'FS (nominal)'!AF187*CPI!$I$50</f>
        <v>18035.147328711642</v>
      </c>
      <c r="AH186" s="18">
        <f>'FS (nominal)'!AG187*CPI!$I$50</f>
        <v>1047.4374356510396</v>
      </c>
    </row>
    <row r="187" spans="1:34" s="102" customFormat="1" ht="15" customHeight="1">
      <c r="A187" s="246">
        <f>References!I279</f>
        <v>490</v>
      </c>
      <c r="B187" s="256" t="s">
        <v>50</v>
      </c>
      <c r="C187" s="121">
        <v>2010</v>
      </c>
      <c r="D187" s="17">
        <f>'FS (nominal)'!D188*CPI!$I$54</f>
        <v>39563.415698849392</v>
      </c>
      <c r="E187" s="15">
        <f>'FS (nominal)'!E188*CPI!$I$54</f>
        <v>44547.558405863485</v>
      </c>
      <c r="F187" s="15">
        <f>'FS (nominal)'!F188*CPI!$I$54</f>
        <v>2420.7528765056181</v>
      </c>
      <c r="G187" s="15">
        <f>'FS (nominal)'!G188*CPI!$I$54</f>
        <v>0</v>
      </c>
      <c r="H187" s="17">
        <f>'FS (nominal)'!H188*CPI!$I$54</f>
        <v>824.2378270593623</v>
      </c>
      <c r="I187" s="15">
        <f>'FS (nominal)'!I188*CPI!$I$54</f>
        <v>47792.549109428466</v>
      </c>
      <c r="J187" s="15">
        <f>'FS (nominal)'!J188*CPI!$I$54</f>
        <v>10474.646600738324</v>
      </c>
      <c r="K187" s="17">
        <f>'FS (nominal)'!K188*CPI!$I$54</f>
        <v>2448.2614319204545</v>
      </c>
      <c r="L187" s="17">
        <f>'FS (nominal)'!L188*CPI!$I$54</f>
        <v>1970.4276360108861</v>
      </c>
      <c r="M187" s="17">
        <f>'FS (nominal)'!M188*CPI!$I$54</f>
        <v>2597.0113982377188</v>
      </c>
      <c r="N187" s="17">
        <f>'FS (nominal)'!N188*CPI!$I$54</f>
        <v>1170.6418582091562</v>
      </c>
      <c r="O187" s="17">
        <f>'FS (nominal)'!O188*CPI!$I$54</f>
        <v>2782.4394384414322</v>
      </c>
      <c r="P187" s="17">
        <f>'FS (nominal)'!P188*CPI!$I$54</f>
        <v>319.91431112069193</v>
      </c>
      <c r="Q187" s="17">
        <f>'FS (nominal)'!Q188*CPI!$I$54</f>
        <v>0</v>
      </c>
      <c r="R187" s="17">
        <f>'FS (nominal)'!R188*CPI!$I$54</f>
        <v>297.49993263452882</v>
      </c>
      <c r="S187" s="15">
        <f>'FS (nominal)'!S188*CPI!$I$54</f>
        <v>11586.196006574868</v>
      </c>
      <c r="T187" s="15">
        <f>'FS (nominal)'!T188*CPI!$I$54</f>
        <v>25731.706502115274</v>
      </c>
      <c r="U187" s="15">
        <f>'FS (nominal)'!U188*CPI!$I$54</f>
        <v>12484.808816792864</v>
      </c>
      <c r="V187" s="15">
        <f>'FS (nominal)'!V188*CPI!$I$54</f>
        <v>13246.897685322409</v>
      </c>
      <c r="W187" s="17"/>
      <c r="X187" s="17">
        <f>'FS (nominal)'!W188*CPI!$I$54</f>
        <v>711.96913638543811</v>
      </c>
      <c r="Y187" s="17">
        <f>'FS (nominal)'!X188*CPI!$I$54</f>
        <v>5437.800659939101</v>
      </c>
      <c r="Z187" s="17">
        <f>'FS (nominal)'!Y188*CPI!$I$54</f>
        <v>0</v>
      </c>
      <c r="AA187" s="15">
        <f>'FS (nominal)'!Z188*CPI!$I$54</f>
        <v>17972.728943978873</v>
      </c>
      <c r="AB187" s="17">
        <f>'FS (nominal)'!AA188*CPI!$I$54</f>
        <v>3034.0917787179001</v>
      </c>
      <c r="AC187" s="17">
        <f>'FS (nominal)'!AB188*CPI!$I$54</f>
        <v>8353.4313276387038</v>
      </c>
      <c r="AD187" s="17">
        <f>'FS (nominal)'!AC188*CPI!$I$54</f>
        <v>617.4142437552207</v>
      </c>
      <c r="AE187" s="17">
        <f>'FS (nominal)'!AD188*CPI!$I$54</f>
        <v>6303.5345315405129</v>
      </c>
      <c r="AF187" s="17">
        <f>'FS (nominal)'!AE188*CPI!$I$54</f>
        <v>17.320201557489689</v>
      </c>
      <c r="AG187" s="15">
        <f>'FS (nominal)'!AF188*CPI!$I$54</f>
        <v>18325.792083209828</v>
      </c>
      <c r="AH187" s="18">
        <f>'FS (nominal)'!AG188*CPI!$I$54</f>
        <v>740.69332542911798</v>
      </c>
    </row>
    <row r="188" spans="1:34" s="102" customFormat="1" ht="15" customHeight="1">
      <c r="A188" s="246">
        <f>References!J279</f>
        <v>491</v>
      </c>
      <c r="B188" s="256" t="s">
        <v>50</v>
      </c>
      <c r="C188" s="121">
        <v>2011</v>
      </c>
      <c r="D188" s="17">
        <f>'FS (nominal)'!D189*CPI!$I$58</f>
        <v>40133.877999999997</v>
      </c>
      <c r="E188" s="15">
        <f>'FS (nominal)'!E189*CPI!$I$58</f>
        <v>45000.902999999998</v>
      </c>
      <c r="F188" s="15">
        <f>'FS (nominal)'!F189*CPI!$I$58</f>
        <v>2116</v>
      </c>
      <c r="G188" s="15">
        <f>'FS (nominal)'!G189*CPI!$I$58</f>
        <v>0</v>
      </c>
      <c r="H188" s="17">
        <f>'FS (nominal)'!H189*CPI!$I$58</f>
        <v>687</v>
      </c>
      <c r="I188" s="15">
        <f>'FS (nominal)'!I189*CPI!$I$58</f>
        <v>47803.902999999998</v>
      </c>
      <c r="J188" s="15">
        <f>'FS (nominal)'!J189*CPI!$I$58</f>
        <v>10234</v>
      </c>
      <c r="K188" s="17">
        <f>'FS (nominal)'!K189*CPI!$I$58</f>
        <v>2324</v>
      </c>
      <c r="L188" s="17">
        <f>'FS (nominal)'!L189*CPI!$I$58</f>
        <v>2342</v>
      </c>
      <c r="M188" s="17">
        <f>'FS (nominal)'!M189*CPI!$I$58</f>
        <v>3150</v>
      </c>
      <c r="N188" s="17">
        <f>'FS (nominal)'!N189*CPI!$I$58</f>
        <v>718</v>
      </c>
      <c r="O188" s="17">
        <f>'FS (nominal)'!O189*CPI!$I$58</f>
        <v>2274</v>
      </c>
      <c r="P188" s="17">
        <f>'FS (nominal)'!P189*CPI!$I$58</f>
        <v>289</v>
      </c>
      <c r="Q188" s="17">
        <f>'FS (nominal)'!Q189*CPI!$I$58</f>
        <v>0</v>
      </c>
      <c r="R188" s="17">
        <f>'FS (nominal)'!R189*CPI!$I$58</f>
        <v>222</v>
      </c>
      <c r="S188" s="15">
        <f>'FS (nominal)'!S189*CPI!$I$58</f>
        <v>11319</v>
      </c>
      <c r="T188" s="15">
        <f>'FS (nominal)'!T189*CPI!$I$58</f>
        <v>26250.902999999998</v>
      </c>
      <c r="U188" s="15">
        <f>'FS (nominal)'!U189*CPI!$I$58</f>
        <v>12698</v>
      </c>
      <c r="V188" s="15">
        <f>'FS (nominal)'!V189*CPI!$I$58</f>
        <v>13552.903</v>
      </c>
      <c r="W188" s="17"/>
      <c r="X188" s="17">
        <f>'FS (nominal)'!W189*CPI!$I$58</f>
        <v>396.88992999999999</v>
      </c>
      <c r="Y188" s="17">
        <f>'FS (nominal)'!X189*CPI!$I$58</f>
        <v>12515.268</v>
      </c>
      <c r="Z188" s="17">
        <f>'FS (nominal)'!Y189*CPI!$I$58</f>
        <v>0</v>
      </c>
      <c r="AA188" s="15">
        <f>'FS (nominal)'!Z189*CPI!$I$58</f>
        <v>25671.280999999999</v>
      </c>
      <c r="AB188" s="17">
        <f>'FS (nominal)'!AA189*CPI!$I$58</f>
        <v>3335</v>
      </c>
      <c r="AC188" s="17">
        <f>'FS (nominal)'!AB189*CPI!$I$58</f>
        <v>2234</v>
      </c>
      <c r="AD188" s="17">
        <f>'FS (nominal)'!AC189*CPI!$I$58</f>
        <v>354</v>
      </c>
      <c r="AE188" s="17">
        <f>'FS (nominal)'!AD189*CPI!$I$58</f>
        <v>6013</v>
      </c>
      <c r="AF188" s="17">
        <f>'FS (nominal)'!AE189*CPI!$I$58</f>
        <v>86</v>
      </c>
      <c r="AG188" s="15">
        <f>'FS (nominal)'!AF189*CPI!$I$58</f>
        <v>12022</v>
      </c>
      <c r="AH188" s="18">
        <f>'FS (nominal)'!AG189*CPI!$I$58</f>
        <v>292</v>
      </c>
    </row>
    <row r="189" spans="1:34" s="102" customFormat="1" ht="15" hidden="1" customHeight="1">
      <c r="A189" s="246">
        <f>References!C280</f>
        <v>507</v>
      </c>
      <c r="B189" s="255" t="s">
        <v>51</v>
      </c>
      <c r="C189" s="121">
        <v>2004</v>
      </c>
      <c r="D189" s="17">
        <f>'FS (nominal)'!D190*CPI!$I$30</f>
        <v>22937.198022924964</v>
      </c>
      <c r="E189" s="15">
        <f>'FS (nominal)'!E190*CPI!$I$30</f>
        <v>22937.198022924964</v>
      </c>
      <c r="F189" s="15">
        <f>'FS (nominal)'!F190*CPI!$I$30</f>
        <v>0</v>
      </c>
      <c r="G189" s="15">
        <f>'FS (nominal)'!G190*CPI!$I$30</f>
        <v>950.16498853479516</v>
      </c>
      <c r="H189" s="17">
        <f>'FS (nominal)'!H190*CPI!$I$30</f>
        <v>701.09471183210997</v>
      </c>
      <c r="I189" s="15">
        <f>'FS (nominal)'!I190*CPI!$I$30</f>
        <v>24588.457723291867</v>
      </c>
      <c r="J189" s="15">
        <f>'FS (nominal)'!J190*CPI!$I$30</f>
        <v>4860.9248652058677</v>
      </c>
      <c r="K189" s="17">
        <f>'FS (nominal)'!K190*CPI!$I$30</f>
        <v>0</v>
      </c>
      <c r="L189" s="17">
        <f>'FS (nominal)'!L190*CPI!$I$30</f>
        <v>0</v>
      </c>
      <c r="M189" s="17">
        <f>'FS (nominal)'!M190*CPI!$I$30</f>
        <v>0</v>
      </c>
      <c r="N189" s="17">
        <f>'FS (nominal)'!N190*CPI!$I$30</f>
        <v>0</v>
      </c>
      <c r="O189" s="17">
        <f>'FS (nominal)'!O190*CPI!$I$30</f>
        <v>0</v>
      </c>
      <c r="P189" s="17">
        <f>'FS (nominal)'!P190*CPI!$I$30</f>
        <v>0</v>
      </c>
      <c r="Q189" s="17">
        <f>'FS (nominal)'!Q190*CPI!$I$30</f>
        <v>950.16498853479516</v>
      </c>
      <c r="R189" s="17">
        <f>'FS (nominal)'!R190*CPI!$I$30</f>
        <v>0</v>
      </c>
      <c r="S189" s="15">
        <f>'FS (nominal)'!S190*CPI!$I$30</f>
        <v>13892.646396472959</v>
      </c>
      <c r="T189" s="15">
        <f>'FS (nominal)'!T190*CPI!$I$30</f>
        <v>10695.811326818908</v>
      </c>
      <c r="U189" s="15">
        <f>'FS (nominal)'!U190*CPI!$I$30</f>
        <v>4312.8431995067967</v>
      </c>
      <c r="V189" s="15">
        <f>'FS (nominal)'!V190*CPI!$I$30</f>
        <v>0</v>
      </c>
      <c r="W189" s="17"/>
      <c r="X189" s="17">
        <f>'FS (nominal)'!W190*CPI!$I$30</f>
        <v>7844.4383155400947</v>
      </c>
      <c r="Y189" s="17">
        <f>'FS (nominal)'!X190*CPI!$I$30</f>
        <v>0</v>
      </c>
      <c r="Z189" s="17">
        <f>'FS (nominal)'!Y190*CPI!$I$30</f>
        <v>0</v>
      </c>
      <c r="AA189" s="15">
        <f>'FS (nominal)'!Z190*CPI!$I$30</f>
        <v>-2222.8795120754512</v>
      </c>
      <c r="AB189" s="17">
        <f>'FS (nominal)'!AA190*CPI!$I$30</f>
        <v>0</v>
      </c>
      <c r="AC189" s="17">
        <f>'FS (nominal)'!AB190*CPI!$I$30</f>
        <v>0</v>
      </c>
      <c r="AD189" s="17">
        <f>'FS (nominal)'!AC190*CPI!$I$30</f>
        <v>0</v>
      </c>
      <c r="AE189" s="17">
        <f>'FS (nominal)'!AD190*CPI!$I$30</f>
        <v>0</v>
      </c>
      <c r="AF189" s="17">
        <f>'FS (nominal)'!AE190*CPI!$I$30</f>
        <v>0</v>
      </c>
      <c r="AG189" s="15">
        <f>'FS (nominal)'!AF190*CPI!$I$30</f>
        <v>0</v>
      </c>
      <c r="AH189" s="18">
        <f>'FS (nominal)'!AG190*CPI!$I$30</f>
        <v>0</v>
      </c>
    </row>
    <row r="190" spans="1:34" s="102" customFormat="1" ht="15" hidden="1" customHeight="1">
      <c r="A190" s="246">
        <f>References!D280</f>
        <v>508</v>
      </c>
      <c r="B190" s="255" t="s">
        <v>51</v>
      </c>
      <c r="C190" s="121">
        <v>2005</v>
      </c>
      <c r="D190" s="17">
        <f>'FS (nominal)'!D191*CPI!$I$34</f>
        <v>24005.046315566033</v>
      </c>
      <c r="E190" s="15">
        <f>'FS (nominal)'!E191*CPI!$I$34</f>
        <v>24005.046315566033</v>
      </c>
      <c r="F190" s="15">
        <f>'FS (nominal)'!F191*CPI!$I$34</f>
        <v>0</v>
      </c>
      <c r="G190" s="15">
        <f>'FS (nominal)'!G191*CPI!$I$34</f>
        <v>568.22415232766207</v>
      </c>
      <c r="H190" s="17">
        <f>'FS (nominal)'!H191*CPI!$I$34</f>
        <v>1268.114204773917</v>
      </c>
      <c r="I190" s="15">
        <f>'FS (nominal)'!I191*CPI!$I$34</f>
        <v>25841.384672667609</v>
      </c>
      <c r="J190" s="15">
        <f>'FS (nominal)'!J191*CPI!$I$34</f>
        <v>6060.6785709352716</v>
      </c>
      <c r="K190" s="17">
        <f>'FS (nominal)'!K191*CPI!$I$34</f>
        <v>0</v>
      </c>
      <c r="L190" s="17">
        <f>'FS (nominal)'!L191*CPI!$I$34</f>
        <v>0</v>
      </c>
      <c r="M190" s="17">
        <f>'FS (nominal)'!M191*CPI!$I$34</f>
        <v>0</v>
      </c>
      <c r="N190" s="17">
        <f>'FS (nominal)'!N191*CPI!$I$34</f>
        <v>0</v>
      </c>
      <c r="O190" s="17">
        <f>'FS (nominal)'!O191*CPI!$I$34</f>
        <v>0</v>
      </c>
      <c r="P190" s="17">
        <f>'FS (nominal)'!P191*CPI!$I$34</f>
        <v>0</v>
      </c>
      <c r="Q190" s="17">
        <f>'FS (nominal)'!Q191*CPI!$I$34</f>
        <v>0</v>
      </c>
      <c r="R190" s="17">
        <f>'FS (nominal)'!R191*CPI!$I$34</f>
        <v>0</v>
      </c>
      <c r="S190" s="15">
        <f>'FS (nominal)'!S191*CPI!$I$34</f>
        <v>15415.634478367161</v>
      </c>
      <c r="T190" s="15">
        <f>'FS (nominal)'!T191*CPI!$I$34</f>
        <v>10425.750194300448</v>
      </c>
      <c r="U190" s="15">
        <f>'FS (nominal)'!U191*CPI!$I$34</f>
        <v>5180.7802979510143</v>
      </c>
      <c r="V190" s="15">
        <f>'FS (nominal)'!V191*CPI!$I$34</f>
        <v>0</v>
      </c>
      <c r="W190" s="17"/>
      <c r="X190" s="17">
        <f>'FS (nominal)'!W191*CPI!$I$34</f>
        <v>2224.4601140109594</v>
      </c>
      <c r="Y190" s="17">
        <f>'FS (nominal)'!X191*CPI!$I$34</f>
        <v>0</v>
      </c>
      <c r="Z190" s="17">
        <f>'FS (nominal)'!Y191*CPI!$I$34</f>
        <v>0</v>
      </c>
      <c r="AA190" s="15">
        <f>'FS (nominal)'!Z191*CPI!$I$34</f>
        <v>2237.8082261045556</v>
      </c>
      <c r="AB190" s="17">
        <f>'FS (nominal)'!AA191*CPI!$I$34</f>
        <v>0</v>
      </c>
      <c r="AC190" s="17">
        <f>'FS (nominal)'!AB191*CPI!$I$34</f>
        <v>0</v>
      </c>
      <c r="AD190" s="17">
        <f>'FS (nominal)'!AC191*CPI!$I$34</f>
        <v>0</v>
      </c>
      <c r="AE190" s="17">
        <f>'FS (nominal)'!AD191*CPI!$I$34</f>
        <v>0</v>
      </c>
      <c r="AF190" s="17">
        <f>'FS (nominal)'!AE191*CPI!$I$34</f>
        <v>0</v>
      </c>
      <c r="AG190" s="15">
        <f>'FS (nominal)'!AF191*CPI!$I$34</f>
        <v>0</v>
      </c>
      <c r="AH190" s="18">
        <f>'FS (nominal)'!AG191*CPI!$I$34</f>
        <v>0</v>
      </c>
    </row>
    <row r="191" spans="1:34" s="102" customFormat="1" ht="14.45" hidden="1" customHeight="1">
      <c r="A191" s="246">
        <f>References!E280</f>
        <v>509</v>
      </c>
      <c r="B191" s="255" t="s">
        <v>51</v>
      </c>
      <c r="C191" s="121">
        <v>2006</v>
      </c>
      <c r="D191" s="17">
        <f>'FS (nominal)'!D192*CPI!$I$38</f>
        <v>24571.686857891174</v>
      </c>
      <c r="E191" s="15">
        <f>'FS (nominal)'!E192*CPI!$I$38</f>
        <v>24571.686857891174</v>
      </c>
      <c r="F191" s="15">
        <f>'FS (nominal)'!F192*CPI!$I$38</f>
        <v>0</v>
      </c>
      <c r="G191" s="15">
        <f>'FS (nominal)'!G192*CPI!$I$38</f>
        <v>841.23566209453656</v>
      </c>
      <c r="H191" s="17">
        <f>'FS (nominal)'!H192*CPI!$I$38</f>
        <v>1682.7714101534536</v>
      </c>
      <c r="I191" s="15">
        <f>'FS (nominal)'!I192*CPI!$I$38</f>
        <v>27095.693930139165</v>
      </c>
      <c r="J191" s="15">
        <f>'FS (nominal)'!J192*CPI!$I$38</f>
        <v>5682.3616428585674</v>
      </c>
      <c r="K191" s="17">
        <f>'FS (nominal)'!K192*CPI!$I$38</f>
        <v>0</v>
      </c>
      <c r="L191" s="17">
        <f>'FS (nominal)'!L192*CPI!$I$38</f>
        <v>0</v>
      </c>
      <c r="M191" s="17">
        <f>'FS (nominal)'!M192*CPI!$I$38</f>
        <v>0</v>
      </c>
      <c r="N191" s="17">
        <f>'FS (nominal)'!N192*CPI!$I$38</f>
        <v>0</v>
      </c>
      <c r="O191" s="17">
        <f>'FS (nominal)'!O192*CPI!$I$38</f>
        <v>0</v>
      </c>
      <c r="P191" s="17">
        <f>'FS (nominal)'!P192*CPI!$I$38</f>
        <v>0</v>
      </c>
      <c r="Q191" s="17">
        <f>'FS (nominal)'!Q192*CPI!$I$38</f>
        <v>0</v>
      </c>
      <c r="R191" s="17">
        <f>'FS (nominal)'!R192*CPI!$I$38</f>
        <v>0</v>
      </c>
      <c r="S191" s="15">
        <f>'FS (nominal)'!S192*CPI!$I$38</f>
        <v>15757.178532315027</v>
      </c>
      <c r="T191" s="15">
        <f>'FS (nominal)'!T192*CPI!$I$38</f>
        <v>11338.515397824138</v>
      </c>
      <c r="U191" s="15">
        <f>'FS (nominal)'!U192*CPI!$I$38</f>
        <v>5106.0300036020617</v>
      </c>
      <c r="V191" s="15">
        <f>'FS (nominal)'!V192*CPI!$I$38</f>
        <v>0</v>
      </c>
      <c r="W191" s="17"/>
      <c r="X191" s="17">
        <f>'FS (nominal)'!W192*CPI!$I$38</f>
        <v>1932.3231263346706</v>
      </c>
      <c r="Y191" s="17">
        <f>'FS (nominal)'!X192*CPI!$I$38</f>
        <v>0</v>
      </c>
      <c r="Z191" s="17">
        <f>'FS (nominal)'!Y192*CPI!$I$38</f>
        <v>0</v>
      </c>
      <c r="AA191" s="15">
        <f>'FS (nominal)'!Z192*CPI!$I$38</f>
        <v>3384.936588887057</v>
      </c>
      <c r="AB191" s="17">
        <f>'FS (nominal)'!AA192*CPI!$I$38</f>
        <v>0</v>
      </c>
      <c r="AC191" s="17">
        <f>'FS (nominal)'!AB192*CPI!$I$38</f>
        <v>0</v>
      </c>
      <c r="AD191" s="17">
        <f>'FS (nominal)'!AC192*CPI!$I$38</f>
        <v>0</v>
      </c>
      <c r="AE191" s="17">
        <f>'FS (nominal)'!AD192*CPI!$I$38</f>
        <v>0</v>
      </c>
      <c r="AF191" s="17">
        <f>'FS (nominal)'!AE192*CPI!$I$38</f>
        <v>0</v>
      </c>
      <c r="AG191" s="15">
        <f>'FS (nominal)'!AF192*CPI!$I$38</f>
        <v>0</v>
      </c>
      <c r="AH191" s="18">
        <f>'FS (nominal)'!AG192*CPI!$I$38</f>
        <v>0</v>
      </c>
    </row>
    <row r="192" spans="1:34" s="102" customFormat="1" ht="15" hidden="1" customHeight="1">
      <c r="A192" s="246">
        <f>References!F280</f>
        <v>510</v>
      </c>
      <c r="B192" s="255" t="s">
        <v>51</v>
      </c>
      <c r="C192" s="121">
        <v>2007</v>
      </c>
      <c r="D192" s="17">
        <f>'FS (nominal)'!D193*CPI!$I$42</f>
        <v>25791.150259162845</v>
      </c>
      <c r="E192" s="15">
        <f>'FS (nominal)'!E193*CPI!$I$42</f>
        <v>25791.150259162845</v>
      </c>
      <c r="F192" s="15">
        <f>'FS (nominal)'!F193*CPI!$I$42</f>
        <v>0</v>
      </c>
      <c r="G192" s="15">
        <f>'FS (nominal)'!G193*CPI!$I$42</f>
        <v>714.21162283909098</v>
      </c>
      <c r="H192" s="17">
        <f>'FS (nominal)'!H193*CPI!$I$42</f>
        <v>2352.6685503261479</v>
      </c>
      <c r="I192" s="15">
        <f>'FS (nominal)'!I193*CPI!$I$42</f>
        <v>28858.030432328087</v>
      </c>
      <c r="J192" s="15">
        <f>'FS (nominal)'!J193*CPI!$I$42</f>
        <v>6490.4674534179667</v>
      </c>
      <c r="K192" s="17">
        <f>'FS (nominal)'!K193*CPI!$I$42</f>
        <v>0</v>
      </c>
      <c r="L192" s="17">
        <f>'FS (nominal)'!L193*CPI!$I$42</f>
        <v>0</v>
      </c>
      <c r="M192" s="17">
        <f>'FS (nominal)'!M193*CPI!$I$42</f>
        <v>0</v>
      </c>
      <c r="N192" s="17">
        <f>'FS (nominal)'!N193*CPI!$I$42</f>
        <v>0</v>
      </c>
      <c r="O192" s="17">
        <f>'FS (nominal)'!O193*CPI!$I$42</f>
        <v>0</v>
      </c>
      <c r="P192" s="17">
        <f>'FS (nominal)'!P193*CPI!$I$42</f>
        <v>0</v>
      </c>
      <c r="Q192" s="17">
        <f>'FS (nominal)'!Q193*CPI!$I$42</f>
        <v>0</v>
      </c>
      <c r="R192" s="17">
        <f>'FS (nominal)'!R193*CPI!$I$42</f>
        <v>0</v>
      </c>
      <c r="S192" s="15">
        <f>'FS (nominal)'!S193*CPI!$I$42</f>
        <v>16153.426935969814</v>
      </c>
      <c r="T192" s="15">
        <f>'FS (nominal)'!T193*CPI!$I$42</f>
        <v>12704.603496358272</v>
      </c>
      <c r="U192" s="15">
        <f>'FS (nominal)'!U193*CPI!$I$42</f>
        <v>5091.078288530729</v>
      </c>
      <c r="V192" s="15">
        <f>'FS (nominal)'!V193*CPI!$I$42</f>
        <v>0</v>
      </c>
      <c r="W192" s="17"/>
      <c r="X192" s="17">
        <f>'FS (nominal)'!W193*CPI!$I$42</f>
        <v>2177.1899812794341</v>
      </c>
      <c r="Y192" s="17">
        <f>'FS (nominal)'!X193*CPI!$I$42</f>
        <v>0</v>
      </c>
      <c r="Z192" s="17">
        <f>'FS (nominal)'!Y193*CPI!$I$42</f>
        <v>0</v>
      </c>
      <c r="AA192" s="15">
        <f>'FS (nominal)'!Z193*CPI!$I$42</f>
        <v>4619.6626732383702</v>
      </c>
      <c r="AB192" s="17">
        <f>'FS (nominal)'!AA193*CPI!$I$42</f>
        <v>0</v>
      </c>
      <c r="AC192" s="17">
        <f>'FS (nominal)'!AB193*CPI!$I$42</f>
        <v>0</v>
      </c>
      <c r="AD192" s="17">
        <f>'FS (nominal)'!AC193*CPI!$I$42</f>
        <v>0</v>
      </c>
      <c r="AE192" s="17">
        <f>'FS (nominal)'!AD193*CPI!$I$42</f>
        <v>0</v>
      </c>
      <c r="AF192" s="17">
        <f>'FS (nominal)'!AE193*CPI!$I$42</f>
        <v>0</v>
      </c>
      <c r="AG192" s="15">
        <f>'FS (nominal)'!AF193*CPI!$I$42</f>
        <v>0</v>
      </c>
      <c r="AH192" s="18">
        <f>'FS (nominal)'!AG193*CPI!$I$42</f>
        <v>0</v>
      </c>
    </row>
    <row r="193" spans="1:34" s="102" customFormat="1" ht="15" customHeight="1">
      <c r="A193" s="246">
        <f>References!G280</f>
        <v>511</v>
      </c>
      <c r="B193" s="256" t="s">
        <v>51</v>
      </c>
      <c r="C193" s="121">
        <v>2008</v>
      </c>
      <c r="D193" s="17">
        <f>'FS (nominal)'!D194*CPI!$I$46</f>
        <v>25463.61352684554</v>
      </c>
      <c r="E193" s="15">
        <f>'FS (nominal)'!E194*CPI!$I$46</f>
        <v>25463.61352684554</v>
      </c>
      <c r="F193" s="15">
        <f>'FS (nominal)'!F194*CPI!$I$46</f>
        <v>2779.3384847880011</v>
      </c>
      <c r="G193" s="15">
        <f>'FS (nominal)'!G194*CPI!$I$46</f>
        <v>633.9220438538963</v>
      </c>
      <c r="H193" s="17">
        <f>'FS (nominal)'!H194*CPI!$I$46</f>
        <v>0</v>
      </c>
      <c r="I193" s="15">
        <f>'FS (nominal)'!I194*CPI!$I$46</f>
        <v>28876.874055487438</v>
      </c>
      <c r="J193" s="15">
        <f>'FS (nominal)'!J194*CPI!$I$46</f>
        <v>6354.3138205354844</v>
      </c>
      <c r="K193" s="17">
        <f>'FS (nominal)'!K194*CPI!$I$46</f>
        <v>0</v>
      </c>
      <c r="L193" s="17">
        <f>'FS (nominal)'!L194*CPI!$I$46</f>
        <v>0</v>
      </c>
      <c r="M193" s="17">
        <f>'FS (nominal)'!M194*CPI!$I$46</f>
        <v>0</v>
      </c>
      <c r="N193" s="17">
        <f>'FS (nominal)'!N194*CPI!$I$46</f>
        <v>0</v>
      </c>
      <c r="O193" s="17">
        <f>'FS (nominal)'!O194*CPI!$I$46</f>
        <v>0</v>
      </c>
      <c r="P193" s="17">
        <f>'FS (nominal)'!P194*CPI!$I$46</f>
        <v>0</v>
      </c>
      <c r="Q193" s="17">
        <f>'FS (nominal)'!Q194*CPI!$I$46</f>
        <v>0</v>
      </c>
      <c r="R193" s="17">
        <f>'FS (nominal)'!R194*CPI!$I$46</f>
        <v>0</v>
      </c>
      <c r="S193" s="15">
        <f>'FS (nominal)'!S194*CPI!$I$46</f>
        <v>9321.2414815659649</v>
      </c>
      <c r="T193" s="15">
        <f>'FS (nominal)'!T194*CPI!$I$46</f>
        <v>13201.318753385987</v>
      </c>
      <c r="U193" s="15">
        <f>'FS (nominal)'!U194*CPI!$I$46</f>
        <v>5224.4663682244582</v>
      </c>
      <c r="V193" s="15">
        <f>'FS (nominal)'!V194*CPI!$I$46</f>
        <v>7976.8523851615291</v>
      </c>
      <c r="W193" s="17"/>
      <c r="X193" s="17">
        <f>'FS (nominal)'!W194*CPI!$I$46</f>
        <v>692.33923235151542</v>
      </c>
      <c r="Y193" s="17">
        <f>'FS (nominal)'!X194*CPI!$I$46</f>
        <v>4020.0816504519398</v>
      </c>
      <c r="Z193" s="17">
        <f>'FS (nominal)'!Y194*CPI!$I$46</f>
        <v>0</v>
      </c>
      <c r="AA193" s="15">
        <f>'FS (nominal)'!Z194*CPI!$I$46</f>
        <v>11304.59488950985</v>
      </c>
      <c r="AB193" s="17">
        <f>'FS (nominal)'!AA194*CPI!$I$46</f>
        <v>0</v>
      </c>
      <c r="AC193" s="17">
        <f>'FS (nominal)'!AB194*CPI!$I$46</f>
        <v>0</v>
      </c>
      <c r="AD193" s="17">
        <f>'FS (nominal)'!AC194*CPI!$I$46</f>
        <v>0</v>
      </c>
      <c r="AE193" s="17">
        <f>'FS (nominal)'!AD194*CPI!$I$46</f>
        <v>0</v>
      </c>
      <c r="AF193" s="17">
        <f>'FS (nominal)'!AE194*CPI!$I$46</f>
        <v>6504.1695417866613</v>
      </c>
      <c r="AG193" s="15">
        <f>'FS (nominal)'!AF194*CPI!$I$46</f>
        <v>6504.1695417866613</v>
      </c>
      <c r="AH193" s="18">
        <f>'FS (nominal)'!AG194*CPI!$I$46</f>
        <v>178.96438653018163</v>
      </c>
    </row>
    <row r="194" spans="1:34" s="102" customFormat="1" ht="15" customHeight="1">
      <c r="A194" s="246">
        <f>References!H280</f>
        <v>512</v>
      </c>
      <c r="B194" s="256" t="s">
        <v>51</v>
      </c>
      <c r="C194" s="121">
        <v>2009</v>
      </c>
      <c r="D194" s="17">
        <f>'FS (nominal)'!D195*CPI!$I$50</f>
        <v>26480.754753243178</v>
      </c>
      <c r="E194" s="15">
        <f>'FS (nominal)'!E195*CPI!$I$50</f>
        <v>26480.754753243178</v>
      </c>
      <c r="F194" s="15">
        <f>'FS (nominal)'!F195*CPI!$I$50</f>
        <v>2767.5601619877816</v>
      </c>
      <c r="G194" s="15">
        <f>'FS (nominal)'!G195*CPI!$I$50</f>
        <v>55.019012972750346</v>
      </c>
      <c r="H194" s="17">
        <f>'FS (nominal)'!H195*CPI!$I$50</f>
        <v>0</v>
      </c>
      <c r="I194" s="15">
        <f>'FS (nominal)'!I195*CPI!$I$50</f>
        <v>29303.333928203712</v>
      </c>
      <c r="J194" s="15">
        <f>'FS (nominal)'!J195*CPI!$I$50</f>
        <v>6536.881597913376</v>
      </c>
      <c r="K194" s="17">
        <f>'FS (nominal)'!K195*CPI!$I$50</f>
        <v>0</v>
      </c>
      <c r="L194" s="17">
        <f>'FS (nominal)'!L195*CPI!$I$50</f>
        <v>0</v>
      </c>
      <c r="M194" s="17">
        <f>'FS (nominal)'!M195*CPI!$I$50</f>
        <v>0</v>
      </c>
      <c r="N194" s="17">
        <f>'FS (nominal)'!N195*CPI!$I$50</f>
        <v>0</v>
      </c>
      <c r="O194" s="17">
        <f>'FS (nominal)'!O195*CPI!$I$50</f>
        <v>0</v>
      </c>
      <c r="P194" s="17">
        <f>'FS (nominal)'!P195*CPI!$I$50</f>
        <v>0</v>
      </c>
      <c r="Q194" s="17">
        <f>'FS (nominal)'!Q195*CPI!$I$50</f>
        <v>0</v>
      </c>
      <c r="R194" s="17">
        <f>'FS (nominal)'!R195*CPI!$I$50</f>
        <v>0</v>
      </c>
      <c r="S194" s="15">
        <f>'FS (nominal)'!S195*CPI!$I$50</f>
        <v>10274.022101722832</v>
      </c>
      <c r="T194" s="15">
        <f>'FS (nominal)'!T195*CPI!$I$50</f>
        <v>12492.430228567502</v>
      </c>
      <c r="U194" s="15">
        <f>'FS (nominal)'!U195*CPI!$I$50</f>
        <v>5230.9586107488485</v>
      </c>
      <c r="V194" s="15">
        <f>'FS (nominal)'!V195*CPI!$I$50</f>
        <v>7261.4716178186536</v>
      </c>
      <c r="W194" s="17"/>
      <c r="X194" s="17">
        <f>'FS (nominal)'!W195*CPI!$I$50</f>
        <v>257.49934089642386</v>
      </c>
      <c r="Y194" s="17">
        <f>'FS (nominal)'!X195*CPI!$I$50</f>
        <v>3613.419560766009</v>
      </c>
      <c r="Z194" s="17">
        <f>'FS (nominal)'!Y195*CPI!$I$50</f>
        <v>0</v>
      </c>
      <c r="AA194" s="15">
        <f>'FS (nominal)'!Z195*CPI!$I$50</f>
        <v>10617.391609307431</v>
      </c>
      <c r="AB194" s="17">
        <f>'FS (nominal)'!AA195*CPI!$I$50</f>
        <v>0</v>
      </c>
      <c r="AC194" s="17">
        <f>'FS (nominal)'!AB195*CPI!$I$50</f>
        <v>0</v>
      </c>
      <c r="AD194" s="17">
        <f>'FS (nominal)'!AC195*CPI!$I$50</f>
        <v>0</v>
      </c>
      <c r="AE194" s="17">
        <f>'FS (nominal)'!AD195*CPI!$I$50</f>
        <v>0</v>
      </c>
      <c r="AF194" s="17">
        <f>'FS (nominal)'!AE195*CPI!$I$50</f>
        <v>0</v>
      </c>
      <c r="AG194" s="15">
        <f>'FS (nominal)'!AF195*CPI!$I$50</f>
        <v>10918.678838629965</v>
      </c>
      <c r="AH194" s="18">
        <f>'FS (nominal)'!AG195*CPI!$I$50</f>
        <v>196.19987644999651</v>
      </c>
    </row>
    <row r="195" spans="1:34" s="102" customFormat="1" ht="15" customHeight="1">
      <c r="A195" s="246">
        <f>References!I280</f>
        <v>513</v>
      </c>
      <c r="B195" s="256" t="s">
        <v>51</v>
      </c>
      <c r="C195" s="121">
        <v>2010</v>
      </c>
      <c r="D195" s="17">
        <f>'FS (nominal)'!D196*CPI!$I$54</f>
        <v>27426.029748592056</v>
      </c>
      <c r="E195" s="15">
        <f>'FS (nominal)'!E196*CPI!$I$54</f>
        <v>27426.029748592056</v>
      </c>
      <c r="F195" s="15">
        <f>'FS (nominal)'!F196*CPI!$I$54</f>
        <v>1208.3387674813396</v>
      </c>
      <c r="G195" s="15">
        <f>'FS (nominal)'!G196*CPI!$I$54</f>
        <v>0</v>
      </c>
      <c r="H195" s="17">
        <f>'FS (nominal)'!H196*CPI!$I$54</f>
        <v>0</v>
      </c>
      <c r="I195" s="15">
        <f>'FS (nominal)'!I196*CPI!$I$54</f>
        <v>28634.368516073398</v>
      </c>
      <c r="J195" s="15">
        <f>'FS (nominal)'!J196*CPI!$I$54</f>
        <v>5936.7537926760251</v>
      </c>
      <c r="K195" s="17">
        <f>'FS (nominal)'!K196*CPI!$I$54</f>
        <v>3616.8656193581414</v>
      </c>
      <c r="L195" s="17">
        <f>'FS (nominal)'!L196*CPI!$I$54</f>
        <v>1523.1589016733581</v>
      </c>
      <c r="M195" s="17">
        <f>'FS (nominal)'!M196*CPI!$I$54</f>
        <v>1020.873056506157</v>
      </c>
      <c r="N195" s="17">
        <f>'FS (nominal)'!N196*CPI!$I$54</f>
        <v>4039.6823044380367</v>
      </c>
      <c r="O195" s="17">
        <f>'FS (nominal)'!O196*CPI!$I$54</f>
        <v>1050.419282692463</v>
      </c>
      <c r="P195" s="17">
        <f>'FS (nominal)'!P196*CPI!$I$54</f>
        <v>289.3492495486513</v>
      </c>
      <c r="Q195" s="17">
        <f>'FS (nominal)'!Q196*CPI!$I$54</f>
        <v>0</v>
      </c>
      <c r="R195" s="17">
        <f>'FS (nominal)'!R196*CPI!$I$54</f>
        <v>88.638678558917832</v>
      </c>
      <c r="S195" s="15">
        <f>'FS (nominal)'!S196*CPI!$I$54</f>
        <v>11628.987092775726</v>
      </c>
      <c r="T195" s="15">
        <f>'FS (nominal)'!T196*CPI!$I$54</f>
        <v>11068.627630621648</v>
      </c>
      <c r="U195" s="15">
        <f>'FS (nominal)'!U196*CPI!$I$54</f>
        <v>5337.6785858640287</v>
      </c>
      <c r="V195" s="15">
        <f>'FS (nominal)'!V196*CPI!$I$54</f>
        <v>5730.9490447576181</v>
      </c>
      <c r="W195" s="17"/>
      <c r="X195" s="17">
        <f>'FS (nominal)'!W196*CPI!$I$54</f>
        <v>932.18618703349398</v>
      </c>
      <c r="Y195" s="17">
        <f>'FS (nominal)'!X196*CPI!$I$54</f>
        <v>2656.9238093287699</v>
      </c>
      <c r="Z195" s="17">
        <f>'FS (nominal)'!Y196*CPI!$I$54</f>
        <v>0</v>
      </c>
      <c r="AA195" s="15">
        <f>'FS (nominal)'!Z196*CPI!$I$54</f>
        <v>7455.6866670528943</v>
      </c>
      <c r="AB195" s="17">
        <f>'FS (nominal)'!AA196*CPI!$I$54</f>
        <v>769.22071622968917</v>
      </c>
      <c r="AC195" s="17">
        <f>'FS (nominal)'!AB196*CPI!$I$54</f>
        <v>3054.4684864325936</v>
      </c>
      <c r="AD195" s="17">
        <f>'FS (nominal)'!AC196*CPI!$I$54</f>
        <v>2430.9412303629647</v>
      </c>
      <c r="AE195" s="17">
        <f>'FS (nominal)'!AD196*CPI!$I$54</f>
        <v>1932.7307267387025</v>
      </c>
      <c r="AF195" s="17">
        <f>'FS (nominal)'!AE196*CPI!$I$54</f>
        <v>118.18490474522378</v>
      </c>
      <c r="AG195" s="15">
        <f>'FS (nominal)'!AF196*CPI!$I$54</f>
        <v>8305.5460645091734</v>
      </c>
      <c r="AH195" s="18">
        <f>'FS (nominal)'!AG196*CPI!$I$54</f>
        <v>-42.791086200856881</v>
      </c>
    </row>
    <row r="196" spans="1:34" s="102" customFormat="1" ht="15" customHeight="1">
      <c r="A196" s="246">
        <f>References!J280</f>
        <v>514</v>
      </c>
      <c r="B196" s="256" t="s">
        <v>51</v>
      </c>
      <c r="C196" s="121">
        <v>2011</v>
      </c>
      <c r="D196" s="17">
        <f>'FS (nominal)'!D197*CPI!$I$58</f>
        <v>31490</v>
      </c>
      <c r="E196" s="15">
        <f>'FS (nominal)'!E197*CPI!$I$58</f>
        <v>31490</v>
      </c>
      <c r="F196" s="15">
        <f>'FS (nominal)'!F197*CPI!$I$58</f>
        <v>1141</v>
      </c>
      <c r="G196" s="15">
        <f>'FS (nominal)'!G197*CPI!$I$58</f>
        <v>535.40200000000004</v>
      </c>
      <c r="H196" s="17">
        <f>'FS (nominal)'!H197*CPI!$I$58</f>
        <v>0</v>
      </c>
      <c r="I196" s="15">
        <f>'FS (nominal)'!I197*CPI!$I$58</f>
        <v>33166.402000000002</v>
      </c>
      <c r="J196" s="15">
        <f>'FS (nominal)'!J197*CPI!$I$58</f>
        <v>5429.402</v>
      </c>
      <c r="K196" s="17">
        <f>'FS (nominal)'!K197*CPI!$I$58</f>
        <v>3973</v>
      </c>
      <c r="L196" s="17">
        <f>'FS (nominal)'!L197*CPI!$I$58</f>
        <v>2239</v>
      </c>
      <c r="M196" s="17">
        <f>'FS (nominal)'!M197*CPI!$I$58</f>
        <v>3952</v>
      </c>
      <c r="N196" s="17">
        <f>'FS (nominal)'!N197*CPI!$I$58</f>
        <v>729</v>
      </c>
      <c r="O196" s="17">
        <f>'FS (nominal)'!O197*CPI!$I$58</f>
        <v>1298</v>
      </c>
      <c r="P196" s="17">
        <f>'FS (nominal)'!P197*CPI!$I$58</f>
        <v>303</v>
      </c>
      <c r="Q196" s="17">
        <f>'FS (nominal)'!Q197*CPI!$I$58</f>
        <v>0</v>
      </c>
      <c r="R196" s="17">
        <f>'FS (nominal)'!R197*CPI!$I$58</f>
        <v>151</v>
      </c>
      <c r="S196" s="15">
        <f>'FS (nominal)'!S197*CPI!$I$58</f>
        <v>12645</v>
      </c>
      <c r="T196" s="15">
        <f>'FS (nominal)'!T197*CPI!$I$58</f>
        <v>15092</v>
      </c>
      <c r="U196" s="15">
        <f>'FS (nominal)'!U197*CPI!$I$58</f>
        <v>5715</v>
      </c>
      <c r="V196" s="15">
        <f>'FS (nominal)'!V197*CPI!$I$58</f>
        <v>9377</v>
      </c>
      <c r="W196" s="17"/>
      <c r="X196" s="17">
        <f>'FS (nominal)'!W197*CPI!$I$58</f>
        <v>1812.2360000000001</v>
      </c>
      <c r="Y196" s="17">
        <f>'FS (nominal)'!X197*CPI!$I$58</f>
        <v>5907.3645999999999</v>
      </c>
      <c r="Z196" s="17">
        <f>'FS (nominal)'!Y197*CPI!$I$58</f>
        <v>0</v>
      </c>
      <c r="AA196" s="15">
        <f>'FS (nominal)'!Z197*CPI!$I$58</f>
        <v>13472.129000000001</v>
      </c>
      <c r="AB196" s="17">
        <f>'FS (nominal)'!AA197*CPI!$I$58</f>
        <v>1006</v>
      </c>
      <c r="AC196" s="17">
        <f>'FS (nominal)'!AB197*CPI!$I$58</f>
        <v>6713</v>
      </c>
      <c r="AD196" s="17">
        <f>'FS (nominal)'!AC197*CPI!$I$58</f>
        <v>946</v>
      </c>
      <c r="AE196" s="17">
        <f>'FS (nominal)'!AD197*CPI!$I$58</f>
        <v>5046</v>
      </c>
      <c r="AF196" s="17">
        <f>'FS (nominal)'!AE197*CPI!$I$58</f>
        <v>152</v>
      </c>
      <c r="AG196" s="15">
        <f>'FS (nominal)'!AF197*CPI!$I$58</f>
        <v>13863</v>
      </c>
      <c r="AH196" s="18">
        <f>'FS (nominal)'!AG197*CPI!$I$58</f>
        <v>154</v>
      </c>
    </row>
    <row r="197" spans="1:34" s="102" customFormat="1" ht="15" hidden="1" customHeight="1">
      <c r="A197" s="246">
        <f>References!C281</f>
        <v>530</v>
      </c>
      <c r="B197" s="255" t="s">
        <v>52</v>
      </c>
      <c r="C197" s="121">
        <v>2004</v>
      </c>
      <c r="D197" s="17">
        <f>'FS (nominal)'!D198*CPI!$I$30</f>
        <v>87681.375339735154</v>
      </c>
      <c r="E197" s="15">
        <f>'FS (nominal)'!E198*CPI!$I$30</f>
        <v>87681.375339735154</v>
      </c>
      <c r="F197" s="15">
        <f>'FS (nominal)'!F198*CPI!$I$30</f>
        <v>0</v>
      </c>
      <c r="G197" s="15">
        <f>'FS (nominal)'!G198*CPI!$I$30</f>
        <v>3178.8393605083188</v>
      </c>
      <c r="H197" s="17">
        <f>'FS (nominal)'!H198*CPI!$I$30</f>
        <v>274.16281718669768</v>
      </c>
      <c r="I197" s="15">
        <f>'FS (nominal)'!I198*CPI!$I$30</f>
        <v>91134.37751743017</v>
      </c>
      <c r="J197" s="15">
        <f>'FS (nominal)'!J198*CPI!$I$30</f>
        <v>22028.438866379645</v>
      </c>
      <c r="K197" s="17">
        <f>'FS (nominal)'!K198*CPI!$I$30</f>
        <v>0</v>
      </c>
      <c r="L197" s="17">
        <f>'FS (nominal)'!L198*CPI!$I$30</f>
        <v>0</v>
      </c>
      <c r="M197" s="17">
        <f>'FS (nominal)'!M198*CPI!$I$30</f>
        <v>0</v>
      </c>
      <c r="N197" s="17">
        <f>'FS (nominal)'!N198*CPI!$I$30</f>
        <v>0</v>
      </c>
      <c r="O197" s="17">
        <f>'FS (nominal)'!O198*CPI!$I$30</f>
        <v>0</v>
      </c>
      <c r="P197" s="17">
        <f>'FS (nominal)'!P198*CPI!$I$30</f>
        <v>0</v>
      </c>
      <c r="Q197" s="17">
        <f>'FS (nominal)'!Q198*CPI!$I$30</f>
        <v>3181.2548919372766</v>
      </c>
      <c r="R197" s="17">
        <f>'FS (nominal)'!R198*CPI!$I$30</f>
        <v>0</v>
      </c>
      <c r="S197" s="15">
        <f>'FS (nominal)'!S198*CPI!$I$30</f>
        <v>49269.594556449985</v>
      </c>
      <c r="T197" s="15">
        <f>'FS (nominal)'!T198*CPI!$I$30</f>
        <v>41864.782960980185</v>
      </c>
      <c r="U197" s="15">
        <f>'FS (nominal)'!U198*CPI!$I$30</f>
        <v>14008.874522240118</v>
      </c>
      <c r="V197" s="15">
        <f>'FS (nominal)'!V198*CPI!$I$30</f>
        <v>0</v>
      </c>
      <c r="W197" s="17"/>
      <c r="X197" s="17">
        <f>'FS (nominal)'!W198*CPI!$I$30</f>
        <v>-1949.333863168855</v>
      </c>
      <c r="Y197" s="17">
        <f>'FS (nominal)'!X198*CPI!$I$30</f>
        <v>0</v>
      </c>
      <c r="Z197" s="17">
        <f>'FS (nominal)'!Y198*CPI!$I$30</f>
        <v>0</v>
      </c>
      <c r="AA197" s="15">
        <f>'FS (nominal)'!Z198*CPI!$I$30</f>
        <v>13257.644247834276</v>
      </c>
      <c r="AB197" s="17">
        <f>'FS (nominal)'!AA198*CPI!$I$30</f>
        <v>0</v>
      </c>
      <c r="AC197" s="17">
        <f>'FS (nominal)'!AB198*CPI!$I$30</f>
        <v>0</v>
      </c>
      <c r="AD197" s="17">
        <f>'FS (nominal)'!AC198*CPI!$I$30</f>
        <v>0</v>
      </c>
      <c r="AE197" s="17">
        <f>'FS (nominal)'!AD198*CPI!$I$30</f>
        <v>0</v>
      </c>
      <c r="AF197" s="17">
        <f>'FS (nominal)'!AE198*CPI!$I$30</f>
        <v>0</v>
      </c>
      <c r="AG197" s="15">
        <f>'FS (nominal)'!AF198*CPI!$I$30</f>
        <v>0</v>
      </c>
      <c r="AH197" s="18">
        <f>'FS (nominal)'!AG198*CPI!$I$30</f>
        <v>0</v>
      </c>
    </row>
    <row r="198" spans="1:34" s="102" customFormat="1" ht="15" hidden="1" customHeight="1">
      <c r="A198" s="246">
        <f>References!D281</f>
        <v>531</v>
      </c>
      <c r="B198" s="255" t="s">
        <v>52</v>
      </c>
      <c r="C198" s="121">
        <v>2005</v>
      </c>
      <c r="D198" s="17">
        <f>'FS (nominal)'!D199*CPI!$I$34</f>
        <v>105894.94413014204</v>
      </c>
      <c r="E198" s="15">
        <f>'FS (nominal)'!E199*CPI!$I$34</f>
        <v>105894.94413014204</v>
      </c>
      <c r="F198" s="15">
        <f>'FS (nominal)'!F199*CPI!$I$34</f>
        <v>0</v>
      </c>
      <c r="G198" s="15">
        <f>'FS (nominal)'!G199*CPI!$I$34</f>
        <v>3271.3999037047524</v>
      </c>
      <c r="H198" s="17">
        <f>'FS (nominal)'!H199*CPI!$I$34</f>
        <v>191.88131856922442</v>
      </c>
      <c r="I198" s="15">
        <f>'FS (nominal)'!I199*CPI!$I$34</f>
        <v>109358.22535241602</v>
      </c>
      <c r="J198" s="15">
        <f>'FS (nominal)'!J199*CPI!$I$34</f>
        <v>23398.92619141395</v>
      </c>
      <c r="K198" s="17">
        <f>'FS (nominal)'!K199*CPI!$I$34</f>
        <v>0</v>
      </c>
      <c r="L198" s="17">
        <f>'FS (nominal)'!L199*CPI!$I$34</f>
        <v>0</v>
      </c>
      <c r="M198" s="17">
        <f>'FS (nominal)'!M199*CPI!$I$34</f>
        <v>0</v>
      </c>
      <c r="N198" s="17">
        <f>'FS (nominal)'!N199*CPI!$I$34</f>
        <v>0</v>
      </c>
      <c r="O198" s="17">
        <f>'FS (nominal)'!O199*CPI!$I$34</f>
        <v>0</v>
      </c>
      <c r="P198" s="17">
        <f>'FS (nominal)'!P199*CPI!$I$34</f>
        <v>0</v>
      </c>
      <c r="Q198" s="17">
        <f>'FS (nominal)'!Q199*CPI!$I$34</f>
        <v>3271.3999037047524</v>
      </c>
      <c r="R198" s="17">
        <f>'FS (nominal)'!R199*CPI!$I$34</f>
        <v>0</v>
      </c>
      <c r="S198" s="15">
        <f>'FS (nominal)'!S199*CPI!$I$34</f>
        <v>53354.778422279313</v>
      </c>
      <c r="T198" s="15">
        <f>'FS (nominal)'!T199*CPI!$I$34</f>
        <v>56003.446930136706</v>
      </c>
      <c r="U198" s="15">
        <f>'FS (nominal)'!U199*CPI!$I$34</f>
        <v>15006.767172518239</v>
      </c>
      <c r="V198" s="15">
        <f>'FS (nominal)'!V199*CPI!$I$34</f>
        <v>0</v>
      </c>
      <c r="W198" s="17"/>
      <c r="X198" s="17">
        <f>'FS (nominal)'!W199*CPI!$I$34</f>
        <v>3930.6240656603704</v>
      </c>
      <c r="Y198" s="17">
        <f>'FS (nominal)'!X199*CPI!$I$34</f>
        <v>0</v>
      </c>
      <c r="Z198" s="17">
        <f>'FS (nominal)'!Y199*CPI!$I$34</f>
        <v>0</v>
      </c>
      <c r="AA198" s="15">
        <f>'FS (nominal)'!Z199*CPI!$I$34</f>
        <v>22013.378265303661</v>
      </c>
      <c r="AB198" s="17">
        <f>'FS (nominal)'!AA199*CPI!$I$34</f>
        <v>0</v>
      </c>
      <c r="AC198" s="17">
        <f>'FS (nominal)'!AB199*CPI!$I$34</f>
        <v>0</v>
      </c>
      <c r="AD198" s="17">
        <f>'FS (nominal)'!AC199*CPI!$I$34</f>
        <v>0</v>
      </c>
      <c r="AE198" s="17">
        <f>'FS (nominal)'!AD199*CPI!$I$34</f>
        <v>0</v>
      </c>
      <c r="AF198" s="17">
        <f>'FS (nominal)'!AE199*CPI!$I$34</f>
        <v>0</v>
      </c>
      <c r="AG198" s="15">
        <f>'FS (nominal)'!AF199*CPI!$I$34</f>
        <v>0</v>
      </c>
      <c r="AH198" s="18">
        <f>'FS (nominal)'!AG199*CPI!$I$34</f>
        <v>0</v>
      </c>
    </row>
    <row r="199" spans="1:34" s="102" customFormat="1" ht="14.45" hidden="1" customHeight="1">
      <c r="A199" s="246">
        <f>References!E281</f>
        <v>532</v>
      </c>
      <c r="B199" s="255" t="s">
        <v>52</v>
      </c>
      <c r="C199" s="121">
        <v>2006</v>
      </c>
      <c r="D199" s="17">
        <f>'FS (nominal)'!D200*CPI!$I$38</f>
        <v>94103.763598217207</v>
      </c>
      <c r="E199" s="15">
        <f>'FS (nominal)'!E200*CPI!$I$38</f>
        <v>94103.763598217207</v>
      </c>
      <c r="F199" s="15">
        <f>'FS (nominal)'!F200*CPI!$I$38</f>
        <v>0</v>
      </c>
      <c r="G199" s="15">
        <f>'FS (nominal)'!G200*CPI!$I$38</f>
        <v>4188.6523773438339</v>
      </c>
      <c r="H199" s="17">
        <f>'FS (nominal)'!H200*CPI!$I$38</f>
        <v>9342.6002903000044</v>
      </c>
      <c r="I199" s="15">
        <f>'FS (nominal)'!I200*CPI!$I$38</f>
        <v>107635.01626586105</v>
      </c>
      <c r="J199" s="15">
        <f>'FS (nominal)'!J200*CPI!$I$38</f>
        <v>22914.929363714578</v>
      </c>
      <c r="K199" s="17">
        <f>'FS (nominal)'!K200*CPI!$I$38</f>
        <v>0</v>
      </c>
      <c r="L199" s="17">
        <f>'FS (nominal)'!L200*CPI!$I$38</f>
        <v>0</v>
      </c>
      <c r="M199" s="17">
        <f>'FS (nominal)'!M200*CPI!$I$38</f>
        <v>0</v>
      </c>
      <c r="N199" s="17">
        <f>'FS (nominal)'!N200*CPI!$I$38</f>
        <v>0</v>
      </c>
      <c r="O199" s="17">
        <f>'FS (nominal)'!O200*CPI!$I$38</f>
        <v>0</v>
      </c>
      <c r="P199" s="17">
        <f>'FS (nominal)'!P200*CPI!$I$38</f>
        <v>0</v>
      </c>
      <c r="Q199" s="17">
        <f>'FS (nominal)'!Q200*CPI!$I$38</f>
        <v>4188.6523773438339</v>
      </c>
      <c r="R199" s="17">
        <f>'FS (nominal)'!R200*CPI!$I$38</f>
        <v>0</v>
      </c>
      <c r="S199" s="15">
        <f>'FS (nominal)'!S200*CPI!$I$38</f>
        <v>124584.73870264739</v>
      </c>
      <c r="T199" s="15">
        <f>'FS (nominal)'!T200*CPI!$I$38</f>
        <v>-16949.722436786342</v>
      </c>
      <c r="U199" s="15">
        <f>'FS (nominal)'!U200*CPI!$I$38</f>
        <v>15193.706090087306</v>
      </c>
      <c r="V199" s="15">
        <f>'FS (nominal)'!V200*CPI!$I$38</f>
        <v>0</v>
      </c>
      <c r="W199" s="17"/>
      <c r="X199" s="17">
        <f>'FS (nominal)'!W200*CPI!$I$38</f>
        <v>1631.6461181154134</v>
      </c>
      <c r="Y199" s="17">
        <f>'FS (nominal)'!X200*CPI!$I$38</f>
        <v>0</v>
      </c>
      <c r="Z199" s="17">
        <f>'FS (nominal)'!Y200*CPI!$I$38</f>
        <v>0</v>
      </c>
      <c r="AA199" s="15">
        <f>'FS (nominal)'!Z200*CPI!$I$38</f>
        <v>-47671.450919483897</v>
      </c>
      <c r="AB199" s="17">
        <f>'FS (nominal)'!AA200*CPI!$I$38</f>
        <v>0</v>
      </c>
      <c r="AC199" s="17">
        <f>'FS (nominal)'!AB200*CPI!$I$38</f>
        <v>0</v>
      </c>
      <c r="AD199" s="17">
        <f>'FS (nominal)'!AC200*CPI!$I$38</f>
        <v>0</v>
      </c>
      <c r="AE199" s="17">
        <f>'FS (nominal)'!AD200*CPI!$I$38</f>
        <v>0</v>
      </c>
      <c r="AF199" s="17">
        <f>'FS (nominal)'!AE200*CPI!$I$38</f>
        <v>0</v>
      </c>
      <c r="AG199" s="15">
        <f>'FS (nominal)'!AF200*CPI!$I$38</f>
        <v>0</v>
      </c>
      <c r="AH199" s="18">
        <f>'FS (nominal)'!AG200*CPI!$I$38</f>
        <v>0</v>
      </c>
    </row>
    <row r="200" spans="1:34" s="102" customFormat="1" ht="15" hidden="1" customHeight="1">
      <c r="A200" s="246">
        <f>References!F281</f>
        <v>533</v>
      </c>
      <c r="B200" s="255" t="s">
        <v>52</v>
      </c>
      <c r="C200" s="121">
        <v>2007</v>
      </c>
      <c r="D200" s="17">
        <f>'FS (nominal)'!D201*CPI!$I$42</f>
        <v>91951.946938894907</v>
      </c>
      <c r="E200" s="15">
        <f>'FS (nominal)'!E201*CPI!$I$42</f>
        <v>91951.946938894907</v>
      </c>
      <c r="F200" s="15">
        <f>'FS (nominal)'!F201*CPI!$I$42</f>
        <v>0</v>
      </c>
      <c r="G200" s="15">
        <f>'FS (nominal)'!G201*CPI!$I$42</f>
        <v>4565.4687454295499</v>
      </c>
      <c r="H200" s="17">
        <f>'FS (nominal)'!H201*CPI!$I$42</f>
        <v>7279.533740895663</v>
      </c>
      <c r="I200" s="15">
        <f>'FS (nominal)'!I201*CPI!$I$42</f>
        <v>103796.94942522013</v>
      </c>
      <c r="J200" s="15">
        <f>'FS (nominal)'!J201*CPI!$I$42</f>
        <v>22730.017843039754</v>
      </c>
      <c r="K200" s="17">
        <f>'FS (nominal)'!K201*CPI!$I$42</f>
        <v>0</v>
      </c>
      <c r="L200" s="17">
        <f>'FS (nominal)'!L201*CPI!$I$42</f>
        <v>0</v>
      </c>
      <c r="M200" s="17">
        <f>'FS (nominal)'!M201*CPI!$I$42</f>
        <v>0</v>
      </c>
      <c r="N200" s="17">
        <f>'FS (nominal)'!N201*CPI!$I$42</f>
        <v>0</v>
      </c>
      <c r="O200" s="17">
        <f>'FS (nominal)'!O201*CPI!$I$42</f>
        <v>0</v>
      </c>
      <c r="P200" s="17">
        <f>'FS (nominal)'!P201*CPI!$I$42</f>
        <v>0</v>
      </c>
      <c r="Q200" s="17">
        <f>'FS (nominal)'!Q201*CPI!$I$42</f>
        <v>4565.4687454295499</v>
      </c>
      <c r="R200" s="17">
        <f>'FS (nominal)'!R201*CPI!$I$42</f>
        <v>0</v>
      </c>
      <c r="S200" s="15">
        <f>'FS (nominal)'!S201*CPI!$I$42</f>
        <v>50630.473279316706</v>
      </c>
      <c r="T200" s="15">
        <f>'FS (nominal)'!T201*CPI!$I$42</f>
        <v>53166.47614590342</v>
      </c>
      <c r="U200" s="15">
        <f>'FS (nominal)'!U201*CPI!$I$42</f>
        <v>20173.001433293361</v>
      </c>
      <c r="V200" s="15">
        <f>'FS (nominal)'!V201*CPI!$I$42</f>
        <v>0</v>
      </c>
      <c r="W200" s="17"/>
      <c r="X200" s="17">
        <f>'FS (nominal)'!W201*CPI!$I$42</f>
        <v>1696.5671161552639</v>
      </c>
      <c r="Y200" s="17">
        <f>'FS (nominal)'!X201*CPI!$I$42</f>
        <v>0</v>
      </c>
      <c r="Z200" s="17">
        <f>'FS (nominal)'!Y201*CPI!$I$42</f>
        <v>0</v>
      </c>
      <c r="AA200" s="15">
        <f>'FS (nominal)'!Z201*CPI!$I$42</f>
        <v>17836.074238745725</v>
      </c>
      <c r="AB200" s="17">
        <f>'FS (nominal)'!AA201*CPI!$I$42</f>
        <v>0</v>
      </c>
      <c r="AC200" s="17">
        <f>'FS (nominal)'!AB201*CPI!$I$42</f>
        <v>0</v>
      </c>
      <c r="AD200" s="17">
        <f>'FS (nominal)'!AC201*CPI!$I$42</f>
        <v>0</v>
      </c>
      <c r="AE200" s="17">
        <f>'FS (nominal)'!AD201*CPI!$I$42</f>
        <v>0</v>
      </c>
      <c r="AF200" s="17">
        <f>'FS (nominal)'!AE201*CPI!$I$42</f>
        <v>0</v>
      </c>
      <c r="AG200" s="15">
        <f>'FS (nominal)'!AF201*CPI!$I$42</f>
        <v>0</v>
      </c>
      <c r="AH200" s="18">
        <f>'FS (nominal)'!AG201*CPI!$I$42</f>
        <v>0</v>
      </c>
    </row>
    <row r="201" spans="1:34" s="102" customFormat="1" ht="15" customHeight="1">
      <c r="A201" s="246">
        <f>References!G281</f>
        <v>534</v>
      </c>
      <c r="B201" s="256" t="s">
        <v>52</v>
      </c>
      <c r="C201" s="121">
        <v>2008</v>
      </c>
      <c r="D201" s="17">
        <f>'FS (nominal)'!D202*CPI!$I$46</f>
        <v>93275.729396937633</v>
      </c>
      <c r="E201" s="15">
        <f>'FS (nominal)'!E202*CPI!$I$46</f>
        <v>93275.729396937633</v>
      </c>
      <c r="F201" s="15">
        <f>'FS (nominal)'!F202*CPI!$I$46</f>
        <v>9650.1440638989461</v>
      </c>
      <c r="G201" s="15">
        <f>'FS (nominal)'!G202*CPI!$I$46</f>
        <v>0</v>
      </c>
      <c r="H201" s="17">
        <f>'FS (nominal)'!H202*CPI!$I$46</f>
        <v>143.18697994069171</v>
      </c>
      <c r="I201" s="15">
        <f>'FS (nominal)'!I202*CPI!$I$46</f>
        <v>103069.06060249209</v>
      </c>
      <c r="J201" s="15">
        <f>'FS (nominal)'!J202*CPI!$I$46</f>
        <v>23318.980863676537</v>
      </c>
      <c r="K201" s="17">
        <f>'FS (nominal)'!K202*CPI!$I$46</f>
        <v>8497.6162177012338</v>
      </c>
      <c r="L201" s="17">
        <f>'FS (nominal)'!L202*CPI!$I$46</f>
        <v>5656.273472812295</v>
      </c>
      <c r="M201" s="17">
        <f>'FS (nominal)'!M202*CPI!$I$46</f>
        <v>3362.4833729292004</v>
      </c>
      <c r="N201" s="17">
        <f>'FS (nominal)'!N202*CPI!$I$46</f>
        <v>987.06874835334031</v>
      </c>
      <c r="O201" s="17">
        <f>'FS (nominal)'!O202*CPI!$I$46</f>
        <v>3975.176898434604</v>
      </c>
      <c r="P201" s="17">
        <f>'FS (nominal)'!P202*CPI!$I$46</f>
        <v>534.32774823358329</v>
      </c>
      <c r="Q201" s="17">
        <f>'FS (nominal)'!Q202*CPI!$I$46</f>
        <v>0</v>
      </c>
      <c r="R201" s="17">
        <f>'FS (nominal)'!R202*CPI!$I$46</f>
        <v>554.75789136038327</v>
      </c>
      <c r="S201" s="15">
        <f>'FS (nominal)'!S202*CPI!$I$46</f>
        <v>23567.704705597218</v>
      </c>
      <c r="T201" s="15">
        <f>'FS (nominal)'!T202*CPI!$I$46</f>
        <v>56182.37611131704</v>
      </c>
      <c r="U201" s="15">
        <f>'FS (nominal)'!U202*CPI!$I$46</f>
        <v>18110.519948960678</v>
      </c>
      <c r="V201" s="15">
        <f>'FS (nominal)'!V202*CPI!$I$46</f>
        <v>38071.856162356366</v>
      </c>
      <c r="W201" s="17"/>
      <c r="X201" s="17">
        <f>'FS (nominal)'!W202*CPI!$I$46</f>
        <v>5089.415853183541</v>
      </c>
      <c r="Y201" s="17">
        <f>'FS (nominal)'!X202*CPI!$I$46</f>
        <v>11960.586692138802</v>
      </c>
      <c r="Z201" s="17">
        <f>'FS (nominal)'!Y202*CPI!$I$46</f>
        <v>0</v>
      </c>
      <c r="AA201" s="15">
        <f>'FS (nominal)'!Z202*CPI!$I$46</f>
        <v>44943.026677882008</v>
      </c>
      <c r="AB201" s="17">
        <f>'FS (nominal)'!AA202*CPI!$I$46</f>
        <v>10554.586410424567</v>
      </c>
      <c r="AC201" s="17">
        <f>'FS (nominal)'!AB202*CPI!$I$46</f>
        <v>5137.1403723874419</v>
      </c>
      <c r="AD201" s="17">
        <f>'FS (nominal)'!AC202*CPI!$I$46</f>
        <v>1293.7184568446864</v>
      </c>
      <c r="AE201" s="17">
        <f>'FS (nominal)'!AD202*CPI!$I$46</f>
        <v>20061.260870804937</v>
      </c>
      <c r="AF201" s="17">
        <f>'FS (nominal)'!AE202*CPI!$I$46</f>
        <v>0</v>
      </c>
      <c r="AG201" s="15">
        <f>'FS (nominal)'!AF202*CPI!$I$46</f>
        <v>37046.70611046163</v>
      </c>
      <c r="AH201" s="18">
        <f>'FS (nominal)'!AG202*CPI!$I$46</f>
        <v>2149.7288357902539</v>
      </c>
    </row>
    <row r="202" spans="1:34" s="102" customFormat="1" ht="15" customHeight="1">
      <c r="A202" s="246">
        <f>References!H281</f>
        <v>535</v>
      </c>
      <c r="B202" s="256" t="s">
        <v>52</v>
      </c>
      <c r="C202" s="121">
        <v>2009</v>
      </c>
      <c r="D202" s="17">
        <f>'FS (nominal)'!D203*CPI!$I$50</f>
        <v>93428.34961438668</v>
      </c>
      <c r="E202" s="15">
        <f>'FS (nominal)'!E203*CPI!$I$50</f>
        <v>93428.34961438668</v>
      </c>
      <c r="F202" s="15">
        <f>'FS (nominal)'!F203*CPI!$I$50</f>
        <v>6310.4796052440097</v>
      </c>
      <c r="G202" s="15">
        <f>'FS (nominal)'!G203*CPI!$I$50</f>
        <v>0</v>
      </c>
      <c r="H202" s="17">
        <f>'FS (nominal)'!H203*CPI!$I$50</f>
        <v>105.4229377088338</v>
      </c>
      <c r="I202" s="15">
        <f>'FS (nominal)'!I203*CPI!$I$50</f>
        <v>99844.251669435078</v>
      </c>
      <c r="J202" s="15">
        <f>'FS (nominal)'!J203*CPI!$I$50</f>
        <v>24735.979356716307</v>
      </c>
      <c r="K202" s="17">
        <f>'FS (nominal)'!K203*CPI!$I$50</f>
        <v>0</v>
      </c>
      <c r="L202" s="17">
        <f>'FS (nominal)'!L203*CPI!$I$50</f>
        <v>0</v>
      </c>
      <c r="M202" s="17">
        <f>'FS (nominal)'!M203*CPI!$I$50</f>
        <v>0</v>
      </c>
      <c r="N202" s="17">
        <f>'FS (nominal)'!N203*CPI!$I$50</f>
        <v>0</v>
      </c>
      <c r="O202" s="17">
        <f>'FS (nominal)'!O203*CPI!$I$50</f>
        <v>0</v>
      </c>
      <c r="P202" s="17">
        <f>'FS (nominal)'!P203*CPI!$I$50</f>
        <v>0</v>
      </c>
      <c r="Q202" s="17">
        <f>'FS (nominal)'!Q203*CPI!$I$50</f>
        <v>0</v>
      </c>
      <c r="R202" s="17">
        <f>'FS (nominal)'!R203*CPI!$I$50</f>
        <v>0</v>
      </c>
      <c r="S202" s="15">
        <f>'FS (nominal)'!S203*CPI!$I$50</f>
        <v>22274.996554053123</v>
      </c>
      <c r="T202" s="15">
        <f>'FS (nominal)'!T203*CPI!$I$50</f>
        <v>52833.276796760227</v>
      </c>
      <c r="U202" s="15">
        <f>'FS (nominal)'!U203*CPI!$I$50</f>
        <v>18232.68530908092</v>
      </c>
      <c r="V202" s="15">
        <f>'FS (nominal)'!V203*CPI!$I$50</f>
        <v>34600.590449584721</v>
      </c>
      <c r="W202" s="17"/>
      <c r="X202" s="17">
        <f>'FS (nominal)'!W203*CPI!$I$50</f>
        <v>4045.2146917152845</v>
      </c>
      <c r="Y202" s="17">
        <f>'FS (nominal)'!X203*CPI!$I$50</f>
        <v>11235.83749605326</v>
      </c>
      <c r="Z202" s="17">
        <f>'FS (nominal)'!Y203*CPI!$I$50</f>
        <v>0</v>
      </c>
      <c r="AA202" s="15">
        <f>'FS (nominal)'!Z203*CPI!$I$50</f>
        <v>41791.213150113246</v>
      </c>
      <c r="AB202" s="17">
        <f>'FS (nominal)'!AA203*CPI!$I$50</f>
        <v>0</v>
      </c>
      <c r="AC202" s="17">
        <f>'FS (nominal)'!AB203*CPI!$I$50</f>
        <v>0</v>
      </c>
      <c r="AD202" s="17">
        <f>'FS (nominal)'!AC203*CPI!$I$50</f>
        <v>0</v>
      </c>
      <c r="AE202" s="17">
        <f>'FS (nominal)'!AD203*CPI!$I$50</f>
        <v>0</v>
      </c>
      <c r="AF202" s="17">
        <f>'FS (nominal)'!AE203*CPI!$I$50</f>
        <v>0</v>
      </c>
      <c r="AG202" s="15">
        <f>'FS (nominal)'!AF203*CPI!$I$50</f>
        <v>32316.922506692281</v>
      </c>
      <c r="AH202" s="18">
        <f>'FS (nominal)'!AG203*CPI!$I$50</f>
        <v>1338.1039192806641</v>
      </c>
    </row>
    <row r="203" spans="1:34" s="102" customFormat="1" ht="15" customHeight="1">
      <c r="A203" s="246">
        <f>References!I281</f>
        <v>536</v>
      </c>
      <c r="B203" s="256" t="s">
        <v>52</v>
      </c>
      <c r="C203" s="121">
        <v>2010</v>
      </c>
      <c r="D203" s="17">
        <f>'FS (nominal)'!D204*CPI!$I$54</f>
        <v>105688.23668454096</v>
      </c>
      <c r="E203" s="15">
        <f>'FS (nominal)'!E204*CPI!$I$54</f>
        <v>105688.23668454096</v>
      </c>
      <c r="F203" s="15">
        <f>'FS (nominal)'!F204*CPI!$I$54</f>
        <v>6080.850737786639</v>
      </c>
      <c r="G203" s="15">
        <f>'FS (nominal)'!G204*CPI!$I$54</f>
        <v>0</v>
      </c>
      <c r="H203" s="17">
        <f>'FS (nominal)'!H204*CPI!$I$54</f>
        <v>460.22322626714441</v>
      </c>
      <c r="I203" s="15">
        <f>'FS (nominal)'!I204*CPI!$I$54</f>
        <v>112229.30249791166</v>
      </c>
      <c r="J203" s="15">
        <f>'FS (nominal)'!J204*CPI!$I$54</f>
        <v>26871.342143030364</v>
      </c>
      <c r="K203" s="17">
        <f>'FS (nominal)'!K204*CPI!$I$54</f>
        <v>12649.903959203468</v>
      </c>
      <c r="L203" s="17">
        <f>'FS (nominal)'!L204*CPI!$I$54</f>
        <v>3576.6389418231784</v>
      </c>
      <c r="M203" s="17">
        <f>'FS (nominal)'!M204*CPI!$I$54</f>
        <v>4036.9925790196971</v>
      </c>
      <c r="N203" s="17">
        <f>'FS (nominal)'!N204*CPI!$I$54</f>
        <v>2152.6361563956775</v>
      </c>
      <c r="O203" s="17">
        <f>'FS (nominal)'!O204*CPI!$I$54</f>
        <v>3371.4862485516419</v>
      </c>
      <c r="P203" s="17">
        <f>'FS (nominal)'!P204*CPI!$I$54</f>
        <v>457.98586376007108</v>
      </c>
      <c r="Q203" s="17">
        <f>'FS (nominal)'!Q204*CPI!$I$54</f>
        <v>0</v>
      </c>
      <c r="R203" s="17">
        <f>'FS (nominal)'!R204*CPI!$I$54</f>
        <v>13.296820619223409</v>
      </c>
      <c r="S203" s="15">
        <f>'FS (nominal)'!S204*CPI!$I$54</f>
        <v>26258.94056937296</v>
      </c>
      <c r="T203" s="15">
        <f>'FS (nominal)'!T204*CPI!$I$54</f>
        <v>59099.022842014492</v>
      </c>
      <c r="U203" s="15">
        <f>'FS (nominal)'!U204*CPI!$I$54</f>
        <v>18949.436505348818</v>
      </c>
      <c r="V203" s="15">
        <f>'FS (nominal)'!V204*CPI!$I$54</f>
        <v>40149.586336665678</v>
      </c>
      <c r="W203" s="17"/>
      <c r="X203" s="17">
        <f>'FS (nominal)'!W204*CPI!$I$54</f>
        <v>5839.1041264315154</v>
      </c>
      <c r="Y203" s="17">
        <f>'FS (nominal)'!X204*CPI!$I$54</f>
        <v>8177.1225773220867</v>
      </c>
      <c r="Z203" s="17">
        <f>'FS (nominal)'!Y204*CPI!$I$54</f>
        <v>0</v>
      </c>
      <c r="AA203" s="15">
        <f>'FS (nominal)'!Z204*CPI!$I$54</f>
        <v>42487.604685672704</v>
      </c>
      <c r="AB203" s="17">
        <f>'FS (nominal)'!AA204*CPI!$I$54</f>
        <v>12783.165589986795</v>
      </c>
      <c r="AC203" s="17">
        <f>'FS (nominal)'!AB204*CPI!$I$54</f>
        <v>7868.8426531217146</v>
      </c>
      <c r="AD203" s="17">
        <f>'FS (nominal)'!AC204*CPI!$I$54</f>
        <v>1249.3937581849045</v>
      </c>
      <c r="AE203" s="17">
        <f>'FS (nominal)'!AD204*CPI!$I$54</f>
        <v>12887.05623427016</v>
      </c>
      <c r="AF203" s="17">
        <f>'FS (nominal)'!AE204*CPI!$I$54</f>
        <v>0</v>
      </c>
      <c r="AG203" s="15">
        <f>'FS (nominal)'!AF204*CPI!$I$54</f>
        <v>34788.458235563572</v>
      </c>
      <c r="AH203" s="18">
        <f>'FS (nominal)'!AG204*CPI!$I$54</f>
        <v>2315.2553250518713</v>
      </c>
    </row>
    <row r="204" spans="1:34" s="102" customFormat="1" ht="15" customHeight="1">
      <c r="A204" s="246">
        <f>References!J281</f>
        <v>537</v>
      </c>
      <c r="B204" s="256" t="s">
        <v>52</v>
      </c>
      <c r="C204" s="121">
        <v>2011</v>
      </c>
      <c r="D204" s="17">
        <f>'FS (nominal)'!D205*CPI!$I$58</f>
        <v>105661</v>
      </c>
      <c r="E204" s="15">
        <f>'FS (nominal)'!E205*CPI!$I$58</f>
        <v>105661</v>
      </c>
      <c r="F204" s="15">
        <f>'FS (nominal)'!F205*CPI!$I$58</f>
        <v>5214.7259999999997</v>
      </c>
      <c r="G204" s="15">
        <f>'FS (nominal)'!G205*CPI!$I$58</f>
        <v>0</v>
      </c>
      <c r="H204" s="17">
        <f>'FS (nominal)'!H205*CPI!$I$58</f>
        <v>419.15827999999999</v>
      </c>
      <c r="I204" s="15">
        <f>'FS (nominal)'!I205*CPI!$I$58</f>
        <v>111294.88</v>
      </c>
      <c r="J204" s="15">
        <f>'FS (nominal)'!J205*CPI!$I$58</f>
        <v>26618.598000000002</v>
      </c>
      <c r="K204" s="17">
        <f>'FS (nominal)'!K205*CPI!$I$58</f>
        <v>15380.415999999999</v>
      </c>
      <c r="L204" s="17">
        <f>'FS (nominal)'!L205*CPI!$I$58</f>
        <v>4433.0780000000004</v>
      </c>
      <c r="M204" s="17">
        <f>'FS (nominal)'!M205*CPI!$I$58</f>
        <v>4305.4694</v>
      </c>
      <c r="N204" s="17">
        <f>'FS (nominal)'!N205*CPI!$I$58</f>
        <v>1243.4704999999999</v>
      </c>
      <c r="O204" s="17">
        <f>'FS (nominal)'!O205*CPI!$I$58</f>
        <v>3463.739</v>
      </c>
      <c r="P204" s="17">
        <f>'FS (nominal)'!P205*CPI!$I$58</f>
        <v>685.76472999999999</v>
      </c>
      <c r="Q204" s="17">
        <f>'FS (nominal)'!Q205*CPI!$I$58</f>
        <v>0</v>
      </c>
      <c r="R204" s="17">
        <f>'FS (nominal)'!R205*CPI!$I$58</f>
        <v>-2.1940000000000001E-11</v>
      </c>
      <c r="S204" s="15">
        <f>'FS (nominal)'!S205*CPI!$I$58</f>
        <v>29511.937999999998</v>
      </c>
      <c r="T204" s="15">
        <f>'FS (nominal)'!T205*CPI!$I$58</f>
        <v>55164.347999999998</v>
      </c>
      <c r="U204" s="15">
        <f>'FS (nominal)'!U205*CPI!$I$58</f>
        <v>19426.688999999998</v>
      </c>
      <c r="V204" s="15">
        <f>'FS (nominal)'!V205*CPI!$I$58</f>
        <v>35737.660000000003</v>
      </c>
      <c r="W204" s="17"/>
      <c r="X204" s="17">
        <f>'FS (nominal)'!W205*CPI!$I$58</f>
        <v>3478.5428999999999</v>
      </c>
      <c r="Y204" s="17">
        <f>'FS (nominal)'!X205*CPI!$I$58</f>
        <v>19174.698</v>
      </c>
      <c r="Z204" s="17">
        <f>'FS (nominal)'!Y205*CPI!$I$58</f>
        <v>-1709</v>
      </c>
      <c r="AA204" s="15">
        <f>'FS (nominal)'!Z205*CPI!$I$58</f>
        <v>49724.815000000002</v>
      </c>
      <c r="AB204" s="17">
        <f>'FS (nominal)'!AA205*CPI!$I$58</f>
        <v>8641.35</v>
      </c>
      <c r="AC204" s="17">
        <f>'FS (nominal)'!AB205*CPI!$I$58</f>
        <v>2664.0722999999998</v>
      </c>
      <c r="AD204" s="17">
        <f>'FS (nominal)'!AC205*CPI!$I$58</f>
        <v>5261.2479999999996</v>
      </c>
      <c r="AE204" s="17">
        <f>'FS (nominal)'!AD205*CPI!$I$58</f>
        <v>9920.9472999999998</v>
      </c>
      <c r="AF204" s="17">
        <f>'FS (nominal)'!AE205*CPI!$I$58</f>
        <v>970.06899999999996</v>
      </c>
      <c r="AG204" s="15">
        <f>'FS (nominal)'!AF205*CPI!$I$58</f>
        <v>27457.687000000002</v>
      </c>
      <c r="AH204" s="18">
        <f>'FS (nominal)'!AG205*CPI!$I$58</f>
        <v>8784.6108999999997</v>
      </c>
    </row>
    <row r="205" spans="1:34" s="102" customFormat="1" ht="15" hidden="1" customHeight="1">
      <c r="A205" s="246">
        <f>References!C282</f>
        <v>553</v>
      </c>
      <c r="B205" s="255" t="s">
        <v>53</v>
      </c>
      <c r="C205" s="121">
        <v>2004</v>
      </c>
      <c r="D205" s="17">
        <f>'FS (nominal)'!D206*CPI!$I$30</f>
        <v>576046.27305211383</v>
      </c>
      <c r="E205" s="15">
        <f>'FS (nominal)'!E206*CPI!$I$30</f>
        <v>576046.27305211383</v>
      </c>
      <c r="F205" s="15">
        <f>'FS (nominal)'!F206*CPI!$I$30</f>
        <v>0</v>
      </c>
      <c r="G205" s="15">
        <f>'FS (nominal)'!G206*CPI!$I$30</f>
        <v>17279.504077048827</v>
      </c>
      <c r="H205" s="17">
        <f>'FS (nominal)'!H206*CPI!$I$30</f>
        <v>46043.652333076992</v>
      </c>
      <c r="I205" s="15">
        <f>'FS (nominal)'!I206*CPI!$I$30</f>
        <v>639369.42946223961</v>
      </c>
      <c r="J205" s="15">
        <f>'FS (nominal)'!J206*CPI!$I$30</f>
        <v>137407.50533625815</v>
      </c>
      <c r="K205" s="17">
        <f>'FS (nominal)'!K206*CPI!$I$30</f>
        <v>0</v>
      </c>
      <c r="L205" s="17">
        <f>'FS (nominal)'!L206*CPI!$I$30</f>
        <v>0</v>
      </c>
      <c r="M205" s="17">
        <f>'FS (nominal)'!M206*CPI!$I$30</f>
        <v>0</v>
      </c>
      <c r="N205" s="17">
        <f>'FS (nominal)'!N206*CPI!$I$30</f>
        <v>0</v>
      </c>
      <c r="O205" s="17">
        <f>'FS (nominal)'!O206*CPI!$I$30</f>
        <v>0</v>
      </c>
      <c r="P205" s="17">
        <f>'FS (nominal)'!P206*CPI!$I$30</f>
        <v>0</v>
      </c>
      <c r="Q205" s="17">
        <f>'FS (nominal)'!Q206*CPI!$I$30</f>
        <v>17279.504077048827</v>
      </c>
      <c r="R205" s="17">
        <f>'FS (nominal)'!R206*CPI!$I$30</f>
        <v>0</v>
      </c>
      <c r="S205" s="15">
        <f>'FS (nominal)'!S206*CPI!$I$30</f>
        <v>315900.7847476576</v>
      </c>
      <c r="T205" s="15">
        <f>'FS (nominal)'!T206*CPI!$I$30</f>
        <v>323468.64471458207</v>
      </c>
      <c r="U205" s="15">
        <f>'FS (nominal)'!U206*CPI!$I$30</f>
        <v>79731.861407035394</v>
      </c>
      <c r="V205" s="15">
        <f>'FS (nominal)'!V206*CPI!$I$30</f>
        <v>0</v>
      </c>
      <c r="W205" s="17"/>
      <c r="X205" s="17">
        <f>'FS (nominal)'!W206*CPI!$I$30</f>
        <v>59353.230506633852</v>
      </c>
      <c r="Y205" s="17">
        <f>'FS (nominal)'!X206*CPI!$I$30</f>
        <v>0</v>
      </c>
      <c r="Z205" s="17">
        <f>'FS (nominal)'!Y206*CPI!$I$30</f>
        <v>0</v>
      </c>
      <c r="AA205" s="15">
        <f>'FS (nominal)'!Z206*CPI!$I$30</f>
        <v>53903.791602905309</v>
      </c>
      <c r="AB205" s="17">
        <f>'FS (nominal)'!AA206*CPI!$I$30</f>
        <v>0</v>
      </c>
      <c r="AC205" s="17">
        <f>'FS (nominal)'!AB206*CPI!$I$30</f>
        <v>0</v>
      </c>
      <c r="AD205" s="17">
        <f>'FS (nominal)'!AC206*CPI!$I$30</f>
        <v>0</v>
      </c>
      <c r="AE205" s="17">
        <f>'FS (nominal)'!AD206*CPI!$I$30</f>
        <v>0</v>
      </c>
      <c r="AF205" s="17">
        <f>'FS (nominal)'!AE206*CPI!$I$30</f>
        <v>0</v>
      </c>
      <c r="AG205" s="15">
        <f>'FS (nominal)'!AF206*CPI!$I$30</f>
        <v>0</v>
      </c>
      <c r="AH205" s="18">
        <f>'FS (nominal)'!AG206*CPI!$I$30</f>
        <v>0</v>
      </c>
    </row>
    <row r="206" spans="1:34" s="102" customFormat="1" ht="15" hidden="1" customHeight="1">
      <c r="A206" s="246">
        <f>References!D282</f>
        <v>554</v>
      </c>
      <c r="B206" s="255" t="s">
        <v>53</v>
      </c>
      <c r="C206" s="121">
        <v>2005</v>
      </c>
      <c r="D206" s="17">
        <f>'FS (nominal)'!D207*CPI!$I$34</f>
        <v>606283.7530065676</v>
      </c>
      <c r="E206" s="15">
        <f>'FS (nominal)'!E207*CPI!$I$34</f>
        <v>606283.7530065676</v>
      </c>
      <c r="F206" s="15">
        <f>'FS (nominal)'!F207*CPI!$I$34</f>
        <v>0</v>
      </c>
      <c r="G206" s="15">
        <f>'FS (nominal)'!G207*CPI!$I$34</f>
        <v>11602.345250418872</v>
      </c>
      <c r="H206" s="17">
        <f>'FS (nominal)'!H207*CPI!$I$34</f>
        <v>39746.508221909775</v>
      </c>
      <c r="I206" s="15">
        <f>'FS (nominal)'!I207*CPI!$I$34</f>
        <v>657632.60647889622</v>
      </c>
      <c r="J206" s="15">
        <f>'FS (nominal)'!J207*CPI!$I$34</f>
        <v>150307.81766989481</v>
      </c>
      <c r="K206" s="17">
        <f>'FS (nominal)'!K207*CPI!$I$34</f>
        <v>0</v>
      </c>
      <c r="L206" s="17">
        <f>'FS (nominal)'!L207*CPI!$I$34</f>
        <v>0</v>
      </c>
      <c r="M206" s="17">
        <f>'FS (nominal)'!M207*CPI!$I$34</f>
        <v>0</v>
      </c>
      <c r="N206" s="17">
        <f>'FS (nominal)'!N207*CPI!$I$34</f>
        <v>0</v>
      </c>
      <c r="O206" s="17">
        <f>'FS (nominal)'!O207*CPI!$I$34</f>
        <v>0</v>
      </c>
      <c r="P206" s="17">
        <f>'FS (nominal)'!P207*CPI!$I$34</f>
        <v>0</v>
      </c>
      <c r="Q206" s="17">
        <f>'FS (nominal)'!Q207*CPI!$I$34</f>
        <v>11602.345250418872</v>
      </c>
      <c r="R206" s="17">
        <f>'FS (nominal)'!R207*CPI!$I$34</f>
        <v>0</v>
      </c>
      <c r="S206" s="15">
        <f>'FS (nominal)'!S207*CPI!$I$34</f>
        <v>330135.92874936282</v>
      </c>
      <c r="T206" s="15">
        <f>'FS (nominal)'!T207*CPI!$I$34</f>
        <v>327496.6777295334</v>
      </c>
      <c r="U206" s="15">
        <f>'FS (nominal)'!U207*CPI!$I$34</f>
        <v>73502.316872047872</v>
      </c>
      <c r="V206" s="15">
        <f>'FS (nominal)'!V207*CPI!$I$34</f>
        <v>0</v>
      </c>
      <c r="W206" s="17"/>
      <c r="X206" s="17">
        <f>'FS (nominal)'!W207*CPI!$I$34</f>
        <v>59130.05295541192</v>
      </c>
      <c r="Y206" s="17">
        <f>'FS (nominal)'!X207*CPI!$I$34</f>
        <v>0</v>
      </c>
      <c r="Z206" s="17">
        <f>'FS (nominal)'!Y207*CPI!$I$34</f>
        <v>0</v>
      </c>
      <c r="AA206" s="15">
        <f>'FS (nominal)'!Z207*CPI!$I$34</f>
        <v>63219.597131543735</v>
      </c>
      <c r="AB206" s="17">
        <f>'FS (nominal)'!AA207*CPI!$I$34</f>
        <v>0</v>
      </c>
      <c r="AC206" s="17">
        <f>'FS (nominal)'!AB207*CPI!$I$34</f>
        <v>0</v>
      </c>
      <c r="AD206" s="17">
        <f>'FS (nominal)'!AC207*CPI!$I$34</f>
        <v>0</v>
      </c>
      <c r="AE206" s="17">
        <f>'FS (nominal)'!AD207*CPI!$I$34</f>
        <v>0</v>
      </c>
      <c r="AF206" s="17">
        <f>'FS (nominal)'!AE207*CPI!$I$34</f>
        <v>0</v>
      </c>
      <c r="AG206" s="15">
        <f>'FS (nominal)'!AF207*CPI!$I$34</f>
        <v>0</v>
      </c>
      <c r="AH206" s="18">
        <f>'FS (nominal)'!AG207*CPI!$I$34</f>
        <v>0</v>
      </c>
    </row>
    <row r="207" spans="1:34" s="102" customFormat="1" ht="14.45" hidden="1" customHeight="1">
      <c r="A207" s="246">
        <f>References!E282</f>
        <v>555</v>
      </c>
      <c r="B207" s="255" t="s">
        <v>53</v>
      </c>
      <c r="C207" s="121">
        <v>2006</v>
      </c>
      <c r="D207" s="17">
        <f>'FS (nominal)'!D208*CPI!$I$38</f>
        <v>609816.89703855745</v>
      </c>
      <c r="E207" s="15">
        <f>'FS (nominal)'!E208*CPI!$I$38</f>
        <v>609816.89703855745</v>
      </c>
      <c r="F207" s="15">
        <f>'FS (nominal)'!F208*CPI!$I$38</f>
        <v>0</v>
      </c>
      <c r="G207" s="15">
        <f>'FS (nominal)'!G208*CPI!$I$38</f>
        <v>25505.024949813873</v>
      </c>
      <c r="H207" s="17">
        <f>'FS (nominal)'!H208*CPI!$I$38</f>
        <v>36181.467416391439</v>
      </c>
      <c r="I207" s="15">
        <f>'FS (nominal)'!I208*CPI!$I$38</f>
        <v>671503.38940476277</v>
      </c>
      <c r="J207" s="15">
        <f>'FS (nominal)'!J208*CPI!$I$38</f>
        <v>145367.11800009783</v>
      </c>
      <c r="K207" s="17">
        <f>'FS (nominal)'!K208*CPI!$I$38</f>
        <v>0</v>
      </c>
      <c r="L207" s="17">
        <f>'FS (nominal)'!L208*CPI!$I$38</f>
        <v>0</v>
      </c>
      <c r="M207" s="17">
        <f>'FS (nominal)'!M208*CPI!$I$38</f>
        <v>0</v>
      </c>
      <c r="N207" s="17">
        <f>'FS (nominal)'!N208*CPI!$I$38</f>
        <v>0</v>
      </c>
      <c r="O207" s="17">
        <f>'FS (nominal)'!O208*CPI!$I$38</f>
        <v>0</v>
      </c>
      <c r="P207" s="17">
        <f>'FS (nominal)'!P208*CPI!$I$38</f>
        <v>0</v>
      </c>
      <c r="Q207" s="17">
        <f>'FS (nominal)'!Q208*CPI!$I$38</f>
        <v>25505.024949813873</v>
      </c>
      <c r="R207" s="17">
        <f>'FS (nominal)'!R208*CPI!$I$38</f>
        <v>0</v>
      </c>
      <c r="S207" s="15">
        <f>'FS (nominal)'!S208*CPI!$I$38</f>
        <v>337826.05319380364</v>
      </c>
      <c r="T207" s="15">
        <f>'FS (nominal)'!T208*CPI!$I$38</f>
        <v>333677.33621095913</v>
      </c>
      <c r="U207" s="15">
        <f>'FS (nominal)'!U208*CPI!$I$38</f>
        <v>73679.661839989305</v>
      </c>
      <c r="V207" s="15">
        <f>'FS (nominal)'!V208*CPI!$I$38</f>
        <v>0</v>
      </c>
      <c r="W207" s="17"/>
      <c r="X207" s="17">
        <f>'FS (nominal)'!W208*CPI!$I$38</f>
        <v>54943.11575217588</v>
      </c>
      <c r="Y207" s="17">
        <f>'FS (nominal)'!X208*CPI!$I$38</f>
        <v>0</v>
      </c>
      <c r="Z207" s="17">
        <f>'FS (nominal)'!Y208*CPI!$I$38</f>
        <v>0</v>
      </c>
      <c r="AA207" s="15">
        <f>'FS (nominal)'!Z208*CPI!$I$38</f>
        <v>61351.03505241096</v>
      </c>
      <c r="AB207" s="17">
        <f>'FS (nominal)'!AA208*CPI!$I$38</f>
        <v>0</v>
      </c>
      <c r="AC207" s="17">
        <f>'FS (nominal)'!AB208*CPI!$I$38</f>
        <v>0</v>
      </c>
      <c r="AD207" s="17">
        <f>'FS (nominal)'!AC208*CPI!$I$38</f>
        <v>0</v>
      </c>
      <c r="AE207" s="17">
        <f>'FS (nominal)'!AD208*CPI!$I$38</f>
        <v>0</v>
      </c>
      <c r="AF207" s="17">
        <f>'FS (nominal)'!AE208*CPI!$I$38</f>
        <v>0</v>
      </c>
      <c r="AG207" s="15">
        <f>'FS (nominal)'!AF208*CPI!$I$38</f>
        <v>0</v>
      </c>
      <c r="AH207" s="18">
        <f>'FS (nominal)'!AG208*CPI!$I$38</f>
        <v>0</v>
      </c>
    </row>
    <row r="208" spans="1:34" s="102" customFormat="1" ht="15" hidden="1" customHeight="1">
      <c r="A208" s="246">
        <f>References!F282</f>
        <v>556</v>
      </c>
      <c r="B208" s="255" t="s">
        <v>53</v>
      </c>
      <c r="C208" s="121">
        <v>2007</v>
      </c>
      <c r="D208" s="17">
        <f>'FS (nominal)'!D209*CPI!$I$42</f>
        <v>643329.62383362104</v>
      </c>
      <c r="E208" s="15">
        <f>'FS (nominal)'!E209*CPI!$I$42</f>
        <v>643329.62383362104</v>
      </c>
      <c r="F208" s="15">
        <f>'FS (nominal)'!F209*CPI!$I$42</f>
        <v>0</v>
      </c>
      <c r="G208" s="15">
        <f>'FS (nominal)'!G209*CPI!$I$42</f>
        <v>21235.844326790888</v>
      </c>
      <c r="H208" s="17">
        <f>'FS (nominal)'!H209*CPI!$I$42</f>
        <v>34448.939070406886</v>
      </c>
      <c r="I208" s="15">
        <f>'FS (nominal)'!I209*CPI!$I$42</f>
        <v>699014.40723081888</v>
      </c>
      <c r="J208" s="15">
        <f>'FS (nominal)'!J209*CPI!$I$42</f>
        <v>150897.1474537105</v>
      </c>
      <c r="K208" s="17">
        <f>'FS (nominal)'!K209*CPI!$I$42</f>
        <v>0</v>
      </c>
      <c r="L208" s="17">
        <f>'FS (nominal)'!L209*CPI!$I$42</f>
        <v>0</v>
      </c>
      <c r="M208" s="17">
        <f>'FS (nominal)'!M209*CPI!$I$42</f>
        <v>0</v>
      </c>
      <c r="N208" s="17">
        <f>'FS (nominal)'!N209*CPI!$I$42</f>
        <v>0</v>
      </c>
      <c r="O208" s="17">
        <f>'FS (nominal)'!O209*CPI!$I$42</f>
        <v>0</v>
      </c>
      <c r="P208" s="17">
        <f>'FS (nominal)'!P209*CPI!$I$42</f>
        <v>0</v>
      </c>
      <c r="Q208" s="17">
        <f>'FS (nominal)'!Q209*CPI!$I$42</f>
        <v>21235.844326790888</v>
      </c>
      <c r="R208" s="17">
        <f>'FS (nominal)'!R209*CPI!$I$42</f>
        <v>0</v>
      </c>
      <c r="S208" s="15">
        <f>'FS (nominal)'!S209*CPI!$I$42</f>
        <v>354720.77427092177</v>
      </c>
      <c r="T208" s="15">
        <f>'FS (nominal)'!T209*CPI!$I$42</f>
        <v>344293.63295989711</v>
      </c>
      <c r="U208" s="15">
        <f>'FS (nominal)'!U209*CPI!$I$42</f>
        <v>89868.288238219218</v>
      </c>
      <c r="V208" s="15">
        <f>'FS (nominal)'!V209*CPI!$I$42</f>
        <v>0</v>
      </c>
      <c r="W208" s="17"/>
      <c r="X208" s="17">
        <f>'FS (nominal)'!W209*CPI!$I$42</f>
        <v>56290.858220961192</v>
      </c>
      <c r="Y208" s="17">
        <f>'FS (nominal)'!X209*CPI!$I$42</f>
        <v>0</v>
      </c>
      <c r="Z208" s="17">
        <f>'FS (nominal)'!Y209*CPI!$I$42</f>
        <v>0</v>
      </c>
      <c r="AA208" s="15">
        <f>'FS (nominal)'!Z209*CPI!$I$42</f>
        <v>45391.465176821606</v>
      </c>
      <c r="AB208" s="17">
        <f>'FS (nominal)'!AA209*CPI!$I$42</f>
        <v>0</v>
      </c>
      <c r="AC208" s="17">
        <f>'FS (nominal)'!AB209*CPI!$I$42</f>
        <v>0</v>
      </c>
      <c r="AD208" s="17">
        <f>'FS (nominal)'!AC209*CPI!$I$42</f>
        <v>0</v>
      </c>
      <c r="AE208" s="17">
        <f>'FS (nominal)'!AD209*CPI!$I$42</f>
        <v>0</v>
      </c>
      <c r="AF208" s="17">
        <f>'FS (nominal)'!AE209*CPI!$I$42</f>
        <v>0</v>
      </c>
      <c r="AG208" s="15">
        <f>'FS (nominal)'!AF209*CPI!$I$42</f>
        <v>0</v>
      </c>
      <c r="AH208" s="18">
        <f>'FS (nominal)'!AG209*CPI!$I$42</f>
        <v>0</v>
      </c>
    </row>
    <row r="209" spans="1:34" s="102" customFormat="1" ht="15" customHeight="1">
      <c r="A209" s="246">
        <f>References!G282</f>
        <v>557</v>
      </c>
      <c r="B209" s="256" t="s">
        <v>53</v>
      </c>
      <c r="C209" s="121">
        <v>2008</v>
      </c>
      <c r="D209" s="17">
        <f>'FS (nominal)'!D210*CPI!$I$46</f>
        <v>646015.09869122633</v>
      </c>
      <c r="E209" s="15">
        <f>'FS (nominal)'!E210*CPI!$I$46</f>
        <v>646015.09869122633</v>
      </c>
      <c r="F209" s="15">
        <f>'FS (nominal)'!F210*CPI!$I$46</f>
        <v>26407.270096946191</v>
      </c>
      <c r="G209" s="15">
        <f>'FS (nominal)'!G210*CPI!$I$46</f>
        <v>2.2640072994782011E-3</v>
      </c>
      <c r="H209" s="17">
        <f>'FS (nominal)'!H210*CPI!$I$46</f>
        <v>11236.121605885204</v>
      </c>
      <c r="I209" s="15">
        <f>'FS (nominal)'!I210*CPI!$I$46</f>
        <v>683658.48931595904</v>
      </c>
      <c r="J209" s="15">
        <f>'FS (nominal)'!J210*CPI!$I$46</f>
        <v>162608.66953038119</v>
      </c>
      <c r="K209" s="17">
        <f>'FS (nominal)'!K210*CPI!$I$46</f>
        <v>0</v>
      </c>
      <c r="L209" s="17">
        <f>'FS (nominal)'!L210*CPI!$I$46</f>
        <v>0</v>
      </c>
      <c r="M209" s="17">
        <f>'FS (nominal)'!M210*CPI!$I$46</f>
        <v>0</v>
      </c>
      <c r="N209" s="17">
        <f>'FS (nominal)'!N210*CPI!$I$46</f>
        <v>0</v>
      </c>
      <c r="O209" s="17">
        <f>'FS (nominal)'!O210*CPI!$I$46</f>
        <v>0</v>
      </c>
      <c r="P209" s="17">
        <f>'FS (nominal)'!P210*CPI!$I$46</f>
        <v>0</v>
      </c>
      <c r="Q209" s="17">
        <f>'FS (nominal)'!Q210*CPI!$I$46</f>
        <v>0</v>
      </c>
      <c r="R209" s="17">
        <f>'FS (nominal)'!R210*CPI!$I$46</f>
        <v>0</v>
      </c>
      <c r="S209" s="15">
        <f>'FS (nominal)'!S210*CPI!$I$46</f>
        <v>124435.44729263493</v>
      </c>
      <c r="T209" s="15">
        <f>'FS (nominal)'!T210*CPI!$I$46</f>
        <v>396614.38327393</v>
      </c>
      <c r="U209" s="15">
        <f>'FS (nominal)'!U210*CPI!$I$46</f>
        <v>96129.532159904178</v>
      </c>
      <c r="V209" s="15">
        <f>'FS (nominal)'!V210*CPI!$I$46</f>
        <v>300484.84895782836</v>
      </c>
      <c r="W209" s="17"/>
      <c r="X209" s="17">
        <f>'FS (nominal)'!W210*CPI!$I$46</f>
        <v>51967.007983234005</v>
      </c>
      <c r="Y209" s="17">
        <f>'FS (nominal)'!X210*CPI!$I$46</f>
        <v>79695.79746856376</v>
      </c>
      <c r="Z209" s="17">
        <f>'FS (nominal)'!Y210*CPI!$I$46</f>
        <v>0</v>
      </c>
      <c r="AA209" s="15">
        <f>'FS (nominal)'!Z210*CPI!$I$46</f>
        <v>328213.6341307633</v>
      </c>
      <c r="AB209" s="17">
        <f>'FS (nominal)'!AA210*CPI!$I$46</f>
        <v>0</v>
      </c>
      <c r="AC209" s="17">
        <f>'FS (nominal)'!AB210*CPI!$I$46</f>
        <v>0</v>
      </c>
      <c r="AD209" s="17">
        <f>'FS (nominal)'!AC210*CPI!$I$46</f>
        <v>0</v>
      </c>
      <c r="AE209" s="17">
        <f>'FS (nominal)'!AD210*CPI!$I$46</f>
        <v>0</v>
      </c>
      <c r="AF209" s="17">
        <f>'FS (nominal)'!AE210*CPI!$I$46</f>
        <v>0</v>
      </c>
      <c r="AG209" s="15">
        <f>'FS (nominal)'!AF210*CPI!$I$46</f>
        <v>171620.44277608278</v>
      </c>
      <c r="AH209" s="18">
        <f>'FS (nominal)'!AG210*CPI!$I$46</f>
        <v>8407.0137720623879</v>
      </c>
    </row>
    <row r="210" spans="1:34" s="102" customFormat="1" ht="15" customHeight="1">
      <c r="A210" s="246">
        <f>References!H282</f>
        <v>558</v>
      </c>
      <c r="B210" s="256" t="s">
        <v>53</v>
      </c>
      <c r="C210" s="121">
        <v>2009</v>
      </c>
      <c r="D210" s="17">
        <f>'FS (nominal)'!D211*CPI!$I$50</f>
        <v>557350.65702793584</v>
      </c>
      <c r="E210" s="15">
        <f>'FS (nominal)'!E211*CPI!$I$50</f>
        <v>557350.65702793584</v>
      </c>
      <c r="F210" s="15">
        <f>'FS (nominal)'!F211*CPI!$I$50</f>
        <v>20948.748713020792</v>
      </c>
      <c r="G210" s="15">
        <f>'FS (nominal)'!G211*CPI!$I$50</f>
        <v>-140.14276889285466</v>
      </c>
      <c r="H210" s="17">
        <f>'FS (nominal)'!H211*CPI!$I$50</f>
        <v>14919.495366874868</v>
      </c>
      <c r="I210" s="15">
        <f>'FS (nominal)'!I211*CPI!$I$50</f>
        <v>593078.7583389387</v>
      </c>
      <c r="J210" s="15">
        <f>'FS (nominal)'!J211*CPI!$I$50</f>
        <v>147475.86903699633</v>
      </c>
      <c r="K210" s="17">
        <f>'FS (nominal)'!K211*CPI!$I$50</f>
        <v>0</v>
      </c>
      <c r="L210" s="17">
        <f>'FS (nominal)'!L211*CPI!$I$50</f>
        <v>0</v>
      </c>
      <c r="M210" s="17">
        <f>'FS (nominal)'!M211*CPI!$I$50</f>
        <v>0</v>
      </c>
      <c r="N210" s="17">
        <f>'FS (nominal)'!N211*CPI!$I$50</f>
        <v>0</v>
      </c>
      <c r="O210" s="17">
        <f>'FS (nominal)'!O211*CPI!$I$50</f>
        <v>0</v>
      </c>
      <c r="P210" s="17">
        <f>'FS (nominal)'!P211*CPI!$I$50</f>
        <v>0</v>
      </c>
      <c r="Q210" s="17">
        <f>'FS (nominal)'!Q211*CPI!$I$50</f>
        <v>0</v>
      </c>
      <c r="R210" s="17">
        <f>'FS (nominal)'!R211*CPI!$I$50</f>
        <v>0</v>
      </c>
      <c r="S210" s="15">
        <f>'FS (nominal)'!S211*CPI!$I$50</f>
        <v>97103.367423982403</v>
      </c>
      <c r="T210" s="15">
        <f>'FS (nominal)'!T211*CPI!$I$50</f>
        <v>348499.52187795995</v>
      </c>
      <c r="U210" s="15">
        <f>'FS (nominal)'!U211*CPI!$I$50</f>
        <v>81448.207644175956</v>
      </c>
      <c r="V210" s="15">
        <f>'FS (nominal)'!V211*CPI!$I$50</f>
        <v>267051.31630997313</v>
      </c>
      <c r="W210" s="17"/>
      <c r="X210" s="17">
        <f>'FS (nominal)'!W211*CPI!$I$50</f>
        <v>51682.220912073564</v>
      </c>
      <c r="Y210" s="17">
        <f>'FS (nominal)'!X211*CPI!$I$50</f>
        <v>73559.879497288755</v>
      </c>
      <c r="Z210" s="17">
        <f>'FS (nominal)'!Y211*CPI!$I$50</f>
        <v>0</v>
      </c>
      <c r="AA210" s="15">
        <f>'FS (nominal)'!Z211*CPI!$I$50</f>
        <v>288928.97281899914</v>
      </c>
      <c r="AB210" s="17">
        <f>'FS (nominal)'!AA211*CPI!$I$50</f>
        <v>0</v>
      </c>
      <c r="AC210" s="17">
        <f>'FS (nominal)'!AB211*CPI!$I$50</f>
        <v>0</v>
      </c>
      <c r="AD210" s="17">
        <f>'FS (nominal)'!AC211*CPI!$I$50</f>
        <v>0</v>
      </c>
      <c r="AE210" s="17">
        <f>'FS (nominal)'!AD211*CPI!$I$50</f>
        <v>0</v>
      </c>
      <c r="AF210" s="17">
        <f>'FS (nominal)'!AE211*CPI!$I$50</f>
        <v>0</v>
      </c>
      <c r="AG210" s="15">
        <f>'FS (nominal)'!AF211*CPI!$I$50</f>
        <v>144284.76628457679</v>
      </c>
      <c r="AH210" s="18">
        <f>'FS (nominal)'!AG211*CPI!$I$50</f>
        <v>3872.0927997803542</v>
      </c>
    </row>
    <row r="211" spans="1:34" s="102" customFormat="1" ht="15" customHeight="1">
      <c r="A211" s="246">
        <f>References!I282</f>
        <v>559</v>
      </c>
      <c r="B211" s="256" t="s">
        <v>53</v>
      </c>
      <c r="C211" s="121">
        <v>2010</v>
      </c>
      <c r="D211" s="17">
        <f>'FS (nominal)'!D212*CPI!$I$54</f>
        <v>542376.16177413706</v>
      </c>
      <c r="E211" s="15">
        <f>'FS (nominal)'!E212*CPI!$I$54</f>
        <v>542376.16177413706</v>
      </c>
      <c r="F211" s="15">
        <f>'FS (nominal)'!F212*CPI!$I$54</f>
        <v>20744.087528765052</v>
      </c>
      <c r="G211" s="15">
        <f>'FS (nominal)'!G212*CPI!$I$54</f>
        <v>0</v>
      </c>
      <c r="H211" s="17">
        <f>'FS (nominal)'!H212*CPI!$I$54</f>
        <v>16623.388453288779</v>
      </c>
      <c r="I211" s="15">
        <f>'FS (nominal)'!I212*CPI!$I$54</f>
        <v>579743.64081269689</v>
      </c>
      <c r="J211" s="15">
        <f>'FS (nominal)'!J212*CPI!$I$54</f>
        <v>147452.08210773082</v>
      </c>
      <c r="K211" s="17">
        <f>'FS (nominal)'!K212*CPI!$I$54</f>
        <v>38518.407450890569</v>
      </c>
      <c r="L211" s="17">
        <f>'FS (nominal)'!L212*CPI!$I$54</f>
        <v>2130.3847915712317</v>
      </c>
      <c r="M211" s="17">
        <f>'FS (nominal)'!M212*CPI!$I$54</f>
        <v>14590.444059173828</v>
      </c>
      <c r="N211" s="17">
        <f>'FS (nominal)'!N212*CPI!$I$54</f>
        <v>11044.292747433374</v>
      </c>
      <c r="O211" s="17">
        <f>'FS (nominal)'!O212*CPI!$I$54</f>
        <v>16128.676630379132</v>
      </c>
      <c r="P211" s="17">
        <f>'FS (nominal)'!P212*CPI!$I$54</f>
        <v>5283.8783720190777</v>
      </c>
      <c r="Q211" s="17">
        <f>'FS (nominal)'!Q212*CPI!$I$54</f>
        <v>0</v>
      </c>
      <c r="R211" s="17">
        <f>'FS (nominal)'!R212*CPI!$I$54</f>
        <v>4123.7700490959551</v>
      </c>
      <c r="S211" s="15">
        <f>'FS (nominal)'!S212*CPI!$I$54</f>
        <v>91819.854508097327</v>
      </c>
      <c r="T211" s="15">
        <f>'FS (nominal)'!T212*CPI!$I$54</f>
        <v>340471.6991026919</v>
      </c>
      <c r="U211" s="15">
        <f>'FS (nominal)'!U212*CPI!$I$54</f>
        <v>80478.35423378511</v>
      </c>
      <c r="V211" s="15">
        <f>'FS (nominal)'!V212*CPI!$I$54</f>
        <v>259993.34181240058</v>
      </c>
      <c r="W211" s="17"/>
      <c r="X211" s="17">
        <f>'FS (nominal)'!W212*CPI!$I$54</f>
        <v>57584.539323650664</v>
      </c>
      <c r="Y211" s="17">
        <f>'FS (nominal)'!X212*CPI!$I$54</f>
        <v>42824.766861038501</v>
      </c>
      <c r="Z211" s="17">
        <f>'FS (nominal)'!Y212*CPI!$I$54</f>
        <v>0</v>
      </c>
      <c r="AA211" s="15">
        <f>'FS (nominal)'!Z212*CPI!$I$54</f>
        <v>245233.56527444691</v>
      </c>
      <c r="AB211" s="17">
        <f>'FS (nominal)'!AA212*CPI!$I$54</f>
        <v>17080.775241842039</v>
      </c>
      <c r="AC211" s="17">
        <f>'FS (nominal)'!AB212*CPI!$I$54</f>
        <v>32267.535501603292</v>
      </c>
      <c r="AD211" s="17">
        <f>'FS (nominal)'!AC212*CPI!$I$54</f>
        <v>1753.4156988493976</v>
      </c>
      <c r="AE211" s="17">
        <f>'FS (nominal)'!AD212*CPI!$I$54</f>
        <v>43317.824095281714</v>
      </c>
      <c r="AF211" s="17">
        <f>'FS (nominal)'!AE212*CPI!$I$54</f>
        <v>21743.984802349703</v>
      </c>
      <c r="AG211" s="15">
        <f>'FS (nominal)'!AF212*CPI!$I$54</f>
        <v>116163.53533992615</v>
      </c>
      <c r="AH211" s="18">
        <f>'FS (nominal)'!AG212*CPI!$I$54</f>
        <v>1677.0030449192959</v>
      </c>
    </row>
    <row r="212" spans="1:34" s="102" customFormat="1" ht="15" customHeight="1">
      <c r="A212" s="246">
        <f>References!J282</f>
        <v>560</v>
      </c>
      <c r="B212" s="256" t="s">
        <v>53</v>
      </c>
      <c r="C212" s="121">
        <v>2011</v>
      </c>
      <c r="D212" s="17">
        <f>'FS (nominal)'!D213*CPI!$I$58</f>
        <v>538136</v>
      </c>
      <c r="E212" s="15">
        <f>'FS (nominal)'!E213*CPI!$I$58</f>
        <v>538136</v>
      </c>
      <c r="F212" s="15">
        <f>'FS (nominal)'!F213*CPI!$I$58</f>
        <v>24683</v>
      </c>
      <c r="G212" s="15">
        <f>'FS (nominal)'!G213*CPI!$I$58</f>
        <v>0</v>
      </c>
      <c r="H212" s="17">
        <f>'FS (nominal)'!H213*CPI!$I$58</f>
        <v>13987</v>
      </c>
      <c r="I212" s="15">
        <f>'FS (nominal)'!I213*CPI!$I$58</f>
        <v>576806</v>
      </c>
      <c r="J212" s="15">
        <f>'FS (nominal)'!J213*CPI!$I$58</f>
        <v>142508</v>
      </c>
      <c r="K212" s="17">
        <f>'FS (nominal)'!K213*CPI!$I$58</f>
        <v>42398</v>
      </c>
      <c r="L212" s="17">
        <f>'FS (nominal)'!L213*CPI!$I$58</f>
        <v>3898</v>
      </c>
      <c r="M212" s="17">
        <f>'FS (nominal)'!M213*CPI!$I$58</f>
        <v>15159</v>
      </c>
      <c r="N212" s="17">
        <f>'FS (nominal)'!N213*CPI!$I$58</f>
        <v>10315</v>
      </c>
      <c r="O212" s="17">
        <f>'FS (nominal)'!O213*CPI!$I$58</f>
        <v>13148</v>
      </c>
      <c r="P212" s="17">
        <f>'FS (nominal)'!P213*CPI!$I$58</f>
        <v>6791</v>
      </c>
      <c r="Q212" s="17">
        <f>'FS (nominal)'!Q213*CPI!$I$58</f>
        <v>0</v>
      </c>
      <c r="R212" s="17">
        <f>'FS (nominal)'!R213*CPI!$I$58</f>
        <v>431</v>
      </c>
      <c r="S212" s="15">
        <f>'FS (nominal)'!S213*CPI!$I$58</f>
        <v>92140</v>
      </c>
      <c r="T212" s="15">
        <f>'FS (nominal)'!T213*CPI!$I$58</f>
        <v>342158</v>
      </c>
      <c r="U212" s="15">
        <f>'FS (nominal)'!U213*CPI!$I$58</f>
        <v>87227.600999999995</v>
      </c>
      <c r="V212" s="15">
        <f>'FS (nominal)'!V213*CPI!$I$58</f>
        <v>254930.4</v>
      </c>
      <c r="W212" s="17"/>
      <c r="X212" s="17">
        <f>'FS (nominal)'!W213*CPI!$I$58</f>
        <v>51895.324000000001</v>
      </c>
      <c r="Y212" s="17">
        <f>'FS (nominal)'!X213*CPI!$I$58</f>
        <v>96300.592000000004</v>
      </c>
      <c r="Z212" s="17">
        <f>'FS (nominal)'!Y213*CPI!$I$58</f>
        <v>0</v>
      </c>
      <c r="AA212" s="15">
        <f>'FS (nominal)'!Z213*CPI!$I$58</f>
        <v>299335.67</v>
      </c>
      <c r="AB212" s="17">
        <f>'FS (nominal)'!AA213*CPI!$I$58</f>
        <v>25749</v>
      </c>
      <c r="AC212" s="17">
        <f>'FS (nominal)'!AB213*CPI!$I$58</f>
        <v>31098</v>
      </c>
      <c r="AD212" s="17">
        <f>'FS (nominal)'!AC213*CPI!$I$58</f>
        <v>2587</v>
      </c>
      <c r="AE212" s="17">
        <f>'FS (nominal)'!AD213*CPI!$I$58</f>
        <v>56101</v>
      </c>
      <c r="AF212" s="17">
        <f>'FS (nominal)'!AE213*CPI!$I$58</f>
        <v>17057</v>
      </c>
      <c r="AG212" s="15">
        <f>'FS (nominal)'!AF213*CPI!$I$58</f>
        <v>132592</v>
      </c>
      <c r="AH212" s="18">
        <f>'FS (nominal)'!AG213*CPI!$I$58</f>
        <v>17040</v>
      </c>
    </row>
    <row r="213" spans="1:34" s="102" customFormat="1" ht="15" hidden="1" customHeight="1">
      <c r="A213" s="246">
        <f>References!C283</f>
        <v>576</v>
      </c>
      <c r="B213" s="255" t="s">
        <v>54</v>
      </c>
      <c r="C213" s="121">
        <v>2004</v>
      </c>
      <c r="D213" s="17">
        <f>'FS (nominal)'!D214*CPI!$I$30</f>
        <v>10500.292174130498</v>
      </c>
      <c r="E213" s="15">
        <f>'FS (nominal)'!E214*CPI!$I$30</f>
        <v>10500.292174130498</v>
      </c>
      <c r="F213" s="15">
        <f>'FS (nominal)'!F214*CPI!$I$30</f>
        <v>0</v>
      </c>
      <c r="G213" s="15">
        <f>'FS (nominal)'!G214*CPI!$I$30</f>
        <v>587.46328235108228</v>
      </c>
      <c r="H213" s="17">
        <f>'FS (nominal)'!H214*CPI!$I$30</f>
        <v>711.26289138230743</v>
      </c>
      <c r="I213" s="15">
        <f>'FS (nominal)'!I214*CPI!$I$30</f>
        <v>11799.018347863888</v>
      </c>
      <c r="J213" s="15">
        <f>'FS (nominal)'!J214*CPI!$I$30</f>
        <v>4248.8763039708538</v>
      </c>
      <c r="K213" s="17">
        <f>'FS (nominal)'!K214*CPI!$I$30</f>
        <v>0</v>
      </c>
      <c r="L213" s="17">
        <f>'FS (nominal)'!L214*CPI!$I$30</f>
        <v>0</v>
      </c>
      <c r="M213" s="17">
        <f>'FS (nominal)'!M214*CPI!$I$30</f>
        <v>0</v>
      </c>
      <c r="N213" s="17">
        <f>'FS (nominal)'!N214*CPI!$I$30</f>
        <v>0</v>
      </c>
      <c r="O213" s="17">
        <f>'FS (nominal)'!O214*CPI!$I$30</f>
        <v>0</v>
      </c>
      <c r="P213" s="17">
        <f>'FS (nominal)'!P214*CPI!$I$30</f>
        <v>0</v>
      </c>
      <c r="Q213" s="17">
        <f>'FS (nominal)'!Q214*CPI!$I$30</f>
        <v>35.311446194217972</v>
      </c>
      <c r="R213" s="17">
        <f>'FS (nominal)'!R214*CPI!$I$30</f>
        <v>0</v>
      </c>
      <c r="S213" s="15">
        <f>'FS (nominal)'!S214*CPI!$I$30</f>
        <v>7967.9468530341301</v>
      </c>
      <c r="T213" s="15">
        <f>'FS (nominal)'!T214*CPI!$I$30</f>
        <v>3831.0714948297582</v>
      </c>
      <c r="U213" s="15">
        <f>'FS (nominal)'!U214*CPI!$I$30</f>
        <v>1596.261673026682</v>
      </c>
      <c r="V213" s="15">
        <f>'FS (nominal)'!V214*CPI!$I$30</f>
        <v>0</v>
      </c>
      <c r="W213" s="17"/>
      <c r="X213" s="17">
        <f>'FS (nominal)'!W214*CPI!$I$30</f>
        <v>289.66207460060474</v>
      </c>
      <c r="Y213" s="17">
        <f>'FS (nominal)'!X214*CPI!$I$30</f>
        <v>0</v>
      </c>
      <c r="Z213" s="17">
        <f>'FS (nominal)'!Y214*CPI!$I$30</f>
        <v>0</v>
      </c>
      <c r="AA213" s="15">
        <f>'FS (nominal)'!Z214*CPI!$I$30</f>
        <v>981.13210145403286</v>
      </c>
      <c r="AB213" s="17">
        <f>'FS (nominal)'!AA214*CPI!$I$30</f>
        <v>0</v>
      </c>
      <c r="AC213" s="17">
        <f>'FS (nominal)'!AB214*CPI!$I$30</f>
        <v>0</v>
      </c>
      <c r="AD213" s="17">
        <f>'FS (nominal)'!AC214*CPI!$I$30</f>
        <v>0</v>
      </c>
      <c r="AE213" s="17">
        <f>'FS (nominal)'!AD214*CPI!$I$30</f>
        <v>0</v>
      </c>
      <c r="AF213" s="17">
        <f>'FS (nominal)'!AE214*CPI!$I$30</f>
        <v>0</v>
      </c>
      <c r="AG213" s="15">
        <f>'FS (nominal)'!AF214*CPI!$I$30</f>
        <v>0</v>
      </c>
      <c r="AH213" s="18">
        <f>'FS (nominal)'!AG214*CPI!$I$30</f>
        <v>0</v>
      </c>
    </row>
    <row r="214" spans="1:34" s="102" customFormat="1" ht="15" hidden="1" customHeight="1">
      <c r="A214" s="246">
        <f>References!D283</f>
        <v>577</v>
      </c>
      <c r="B214" s="255" t="s">
        <v>54</v>
      </c>
      <c r="C214" s="121">
        <v>2005</v>
      </c>
      <c r="D214" s="17">
        <f>'FS (nominal)'!D215*CPI!$I$34</f>
        <v>10661.798354534698</v>
      </c>
      <c r="E214" s="15">
        <f>'FS (nominal)'!E215*CPI!$I$34</f>
        <v>10661.798354534698</v>
      </c>
      <c r="F214" s="15">
        <f>'FS (nominal)'!F215*CPI!$I$34</f>
        <v>0</v>
      </c>
      <c r="G214" s="15">
        <f>'FS (nominal)'!G215*CPI!$I$34</f>
        <v>274.48328324826684</v>
      </c>
      <c r="H214" s="17">
        <f>'FS (nominal)'!H215*CPI!$I$34</f>
        <v>1041.4423310574848</v>
      </c>
      <c r="I214" s="15">
        <f>'FS (nominal)'!I215*CPI!$I$34</f>
        <v>11977.72396884045</v>
      </c>
      <c r="J214" s="15">
        <f>'FS (nominal)'!J215*CPI!$I$34</f>
        <v>4440.3420736144708</v>
      </c>
      <c r="K214" s="17">
        <f>'FS (nominal)'!K215*CPI!$I$34</f>
        <v>0</v>
      </c>
      <c r="L214" s="17">
        <f>'FS (nominal)'!L215*CPI!$I$34</f>
        <v>0</v>
      </c>
      <c r="M214" s="17">
        <f>'FS (nominal)'!M215*CPI!$I$34</f>
        <v>0</v>
      </c>
      <c r="N214" s="17">
        <f>'FS (nominal)'!N215*CPI!$I$34</f>
        <v>0</v>
      </c>
      <c r="O214" s="17">
        <f>'FS (nominal)'!O215*CPI!$I$34</f>
        <v>0</v>
      </c>
      <c r="P214" s="17">
        <f>'FS (nominal)'!P215*CPI!$I$34</f>
        <v>0</v>
      </c>
      <c r="Q214" s="17">
        <f>'FS (nominal)'!Q215*CPI!$I$34</f>
        <v>0</v>
      </c>
      <c r="R214" s="17">
        <f>'FS (nominal)'!R215*CPI!$I$34</f>
        <v>0</v>
      </c>
      <c r="S214" s="15">
        <f>'FS (nominal)'!S215*CPI!$I$34</f>
        <v>8407.3976917109176</v>
      </c>
      <c r="T214" s="15">
        <f>'FS (nominal)'!T215*CPI!$I$34</f>
        <v>3570.3262771295322</v>
      </c>
      <c r="U214" s="15">
        <f>'FS (nominal)'!U215*CPI!$I$34</f>
        <v>1789.5817062288734</v>
      </c>
      <c r="V214" s="15">
        <f>'FS (nominal)'!V215*CPI!$I$34</f>
        <v>0</v>
      </c>
      <c r="W214" s="17"/>
      <c r="X214" s="17">
        <f>'FS (nominal)'!W215*CPI!$I$34</f>
        <v>92.994162717871305</v>
      </c>
      <c r="Y214" s="17">
        <f>'FS (nominal)'!X215*CPI!$I$34</f>
        <v>0</v>
      </c>
      <c r="Z214" s="17">
        <f>'FS (nominal)'!Y215*CPI!$I$34</f>
        <v>0</v>
      </c>
      <c r="AA214" s="15">
        <f>'FS (nominal)'!Z215*CPI!$I$34</f>
        <v>750.71034940301638</v>
      </c>
      <c r="AB214" s="17">
        <f>'FS (nominal)'!AA215*CPI!$I$34</f>
        <v>0</v>
      </c>
      <c r="AC214" s="17">
        <f>'FS (nominal)'!AB215*CPI!$I$34</f>
        <v>0</v>
      </c>
      <c r="AD214" s="17">
        <f>'FS (nominal)'!AC215*CPI!$I$34</f>
        <v>0</v>
      </c>
      <c r="AE214" s="17">
        <f>'FS (nominal)'!AD215*CPI!$I$34</f>
        <v>0</v>
      </c>
      <c r="AF214" s="17">
        <f>'FS (nominal)'!AE215*CPI!$I$34</f>
        <v>0</v>
      </c>
      <c r="AG214" s="15">
        <f>'FS (nominal)'!AF215*CPI!$I$34</f>
        <v>0</v>
      </c>
      <c r="AH214" s="18">
        <f>'FS (nominal)'!AG215*CPI!$I$34</f>
        <v>0</v>
      </c>
    </row>
    <row r="215" spans="1:34" s="102" customFormat="1" ht="14.45" hidden="1" customHeight="1">
      <c r="A215" s="246">
        <f>References!E283</f>
        <v>578</v>
      </c>
      <c r="B215" s="255" t="s">
        <v>54</v>
      </c>
      <c r="C215" s="121">
        <v>2006</v>
      </c>
      <c r="D215" s="17">
        <f>'FS (nominal)'!D216*CPI!$I$38</f>
        <v>11380.080156419035</v>
      </c>
      <c r="E215" s="15">
        <f>'FS (nominal)'!E216*CPI!$I$38</f>
        <v>11380.080156419035</v>
      </c>
      <c r="F215" s="15">
        <f>'FS (nominal)'!F216*CPI!$I$38</f>
        <v>0</v>
      </c>
      <c r="G215" s="15">
        <f>'FS (nominal)'!G216*CPI!$I$38</f>
        <v>720.35578699015537</v>
      </c>
      <c r="H215" s="17">
        <f>'FS (nominal)'!H216*CPI!$I$38</f>
        <v>1296.6235296154628</v>
      </c>
      <c r="I215" s="15">
        <f>'FS (nominal)'!I216*CPI!$I$38</f>
        <v>13397.059473024652</v>
      </c>
      <c r="J215" s="15">
        <f>'FS (nominal)'!J216*CPI!$I$38</f>
        <v>4230.5195039256587</v>
      </c>
      <c r="K215" s="17">
        <f>'FS (nominal)'!K216*CPI!$I$38</f>
        <v>0</v>
      </c>
      <c r="L215" s="17">
        <f>'FS (nominal)'!L216*CPI!$I$38</f>
        <v>0</v>
      </c>
      <c r="M215" s="17">
        <f>'FS (nominal)'!M216*CPI!$I$38</f>
        <v>0</v>
      </c>
      <c r="N215" s="17">
        <f>'FS (nominal)'!N216*CPI!$I$38</f>
        <v>0</v>
      </c>
      <c r="O215" s="17">
        <f>'FS (nominal)'!O216*CPI!$I$38</f>
        <v>0</v>
      </c>
      <c r="P215" s="17">
        <f>'FS (nominal)'!P216*CPI!$I$38</f>
        <v>0</v>
      </c>
      <c r="Q215" s="17">
        <f>'FS (nominal)'!Q216*CPI!$I$38</f>
        <v>720.35578699015537</v>
      </c>
      <c r="R215" s="17">
        <f>'FS (nominal)'!R216*CPI!$I$38</f>
        <v>0</v>
      </c>
      <c r="S215" s="15">
        <f>'FS (nominal)'!S216*CPI!$I$38</f>
        <v>9589.9783800091864</v>
      </c>
      <c r="T215" s="15">
        <f>'FS (nominal)'!T216*CPI!$I$38</f>
        <v>3807.0810930154653</v>
      </c>
      <c r="U215" s="15">
        <f>'FS (nominal)'!U216*CPI!$I$38</f>
        <v>1800.5716958363007</v>
      </c>
      <c r="V215" s="15">
        <f>'FS (nominal)'!V216*CPI!$I$38</f>
        <v>0</v>
      </c>
      <c r="W215" s="17"/>
      <c r="X215" s="17">
        <f>'FS (nominal)'!W216*CPI!$I$38</f>
        <v>173.26826661987141</v>
      </c>
      <c r="Y215" s="17">
        <f>'FS (nominal)'!X216*CPI!$I$38</f>
        <v>0</v>
      </c>
      <c r="Z215" s="17">
        <f>'FS (nominal)'!Y216*CPI!$I$38</f>
        <v>0</v>
      </c>
      <c r="AA215" s="15">
        <f>'FS (nominal)'!Z216*CPI!$I$38</f>
        <v>902.17593308923904</v>
      </c>
      <c r="AB215" s="17">
        <f>'FS (nominal)'!AA216*CPI!$I$38</f>
        <v>0</v>
      </c>
      <c r="AC215" s="17">
        <f>'FS (nominal)'!AB216*CPI!$I$38</f>
        <v>0</v>
      </c>
      <c r="AD215" s="17">
        <f>'FS (nominal)'!AC216*CPI!$I$38</f>
        <v>0</v>
      </c>
      <c r="AE215" s="17">
        <f>'FS (nominal)'!AD216*CPI!$I$38</f>
        <v>0</v>
      </c>
      <c r="AF215" s="17">
        <f>'FS (nominal)'!AE216*CPI!$I$38</f>
        <v>0</v>
      </c>
      <c r="AG215" s="15">
        <f>'FS (nominal)'!AF216*CPI!$I$38</f>
        <v>0</v>
      </c>
      <c r="AH215" s="18">
        <f>'FS (nominal)'!AG216*CPI!$I$38</f>
        <v>0</v>
      </c>
    </row>
    <row r="216" spans="1:34" s="102" customFormat="1" ht="15" hidden="1" customHeight="1">
      <c r="A216" s="246">
        <f>References!F283</f>
        <v>579</v>
      </c>
      <c r="B216" s="255" t="s">
        <v>54</v>
      </c>
      <c r="C216" s="121">
        <v>2007</v>
      </c>
      <c r="D216" s="17">
        <f>'FS (nominal)'!D217*CPI!$I$42</f>
        <v>12326.377415099309</v>
      </c>
      <c r="E216" s="15">
        <f>'FS (nominal)'!E217*CPI!$I$42</f>
        <v>12326.377415099309</v>
      </c>
      <c r="F216" s="15">
        <f>'FS (nominal)'!F217*CPI!$I$42</f>
        <v>0</v>
      </c>
      <c r="G216" s="15">
        <f>'FS (nominal)'!G217*CPI!$I$42</f>
        <v>547.85735542750172</v>
      </c>
      <c r="H216" s="17">
        <f>'FS (nominal)'!H217*CPI!$I$42</f>
        <v>1892.6068841957474</v>
      </c>
      <c r="I216" s="15">
        <f>'FS (nominal)'!I217*CPI!$I$42</f>
        <v>14766.841654722557</v>
      </c>
      <c r="J216" s="15">
        <f>'FS (nominal)'!J217*CPI!$I$42</f>
        <v>4705.445486295961</v>
      </c>
      <c r="K216" s="17">
        <f>'FS (nominal)'!K217*CPI!$I$42</f>
        <v>0</v>
      </c>
      <c r="L216" s="17">
        <f>'FS (nominal)'!L217*CPI!$I$42</f>
        <v>0</v>
      </c>
      <c r="M216" s="17">
        <f>'FS (nominal)'!M217*CPI!$I$42</f>
        <v>0</v>
      </c>
      <c r="N216" s="17">
        <f>'FS (nominal)'!N217*CPI!$I$42</f>
        <v>0</v>
      </c>
      <c r="O216" s="17">
        <f>'FS (nominal)'!O217*CPI!$I$42</f>
        <v>0</v>
      </c>
      <c r="P216" s="17">
        <f>'FS (nominal)'!P217*CPI!$I$42</f>
        <v>0</v>
      </c>
      <c r="Q216" s="17">
        <f>'FS (nominal)'!Q217*CPI!$I$42</f>
        <v>547.85735542750172</v>
      </c>
      <c r="R216" s="17">
        <f>'FS (nominal)'!R217*CPI!$I$42</f>
        <v>0</v>
      </c>
      <c r="S216" s="15">
        <f>'FS (nominal)'!S217*CPI!$I$42</f>
        <v>9803.5710536168735</v>
      </c>
      <c r="T216" s="15">
        <f>'FS (nominal)'!T217*CPI!$I$42</f>
        <v>4963.2706011056835</v>
      </c>
      <c r="U216" s="15">
        <f>'FS (nominal)'!U217*CPI!$I$42</f>
        <v>1853.8800301284116</v>
      </c>
      <c r="V216" s="15">
        <f>'FS (nominal)'!V217*CPI!$I$42</f>
        <v>0</v>
      </c>
      <c r="W216" s="17"/>
      <c r="X216" s="17">
        <f>'FS (nominal)'!W217*CPI!$I$42</f>
        <v>277.29582151110077</v>
      </c>
      <c r="Y216" s="17">
        <f>'FS (nominal)'!X217*CPI!$I$42</f>
        <v>0</v>
      </c>
      <c r="Z216" s="17">
        <f>'FS (nominal)'!Y217*CPI!$I$42</f>
        <v>0</v>
      </c>
      <c r="AA216" s="15">
        <f>'FS (nominal)'!Z217*CPI!$I$42</f>
        <v>1882.9240647029567</v>
      </c>
      <c r="AB216" s="17">
        <f>'FS (nominal)'!AA217*CPI!$I$42</f>
        <v>0</v>
      </c>
      <c r="AC216" s="17">
        <f>'FS (nominal)'!AB217*CPI!$I$42</f>
        <v>0</v>
      </c>
      <c r="AD216" s="17">
        <f>'FS (nominal)'!AC217*CPI!$I$42</f>
        <v>0</v>
      </c>
      <c r="AE216" s="17">
        <f>'FS (nominal)'!AD217*CPI!$I$42</f>
        <v>0</v>
      </c>
      <c r="AF216" s="17">
        <f>'FS (nominal)'!AE217*CPI!$I$42</f>
        <v>0</v>
      </c>
      <c r="AG216" s="15">
        <f>'FS (nominal)'!AF217*CPI!$I$42</f>
        <v>0</v>
      </c>
      <c r="AH216" s="18">
        <f>'FS (nominal)'!AG217*CPI!$I$42</f>
        <v>0</v>
      </c>
    </row>
    <row r="217" spans="1:34" s="102" customFormat="1" ht="15" customHeight="1">
      <c r="A217" s="246">
        <f>References!G283</f>
        <v>580</v>
      </c>
      <c r="B217" s="256" t="s">
        <v>54</v>
      </c>
      <c r="C217" s="121">
        <v>2008</v>
      </c>
      <c r="D217" s="17">
        <f>'FS (nominal)'!D218*CPI!$I$46</f>
        <v>11719.501179607081</v>
      </c>
      <c r="E217" s="15">
        <f>'FS (nominal)'!E218*CPI!$I$46</f>
        <v>16869.812683983917</v>
      </c>
      <c r="F217" s="15">
        <f>'FS (nominal)'!F218*CPI!$I$46</f>
        <v>2245.5929422029599</v>
      </c>
      <c r="G217" s="15">
        <f>'FS (nominal)'!G218*CPI!$I$46</f>
        <v>2.6952467850930965E-4</v>
      </c>
      <c r="H217" s="17">
        <f>'FS (nominal)'!H218*CPI!$I$46</f>
        <v>65.588474742664872</v>
      </c>
      <c r="I217" s="15">
        <f>'FS (nominal)'!I218*CPI!$I$46</f>
        <v>19180.994348892247</v>
      </c>
      <c r="J217" s="15">
        <f>'FS (nominal)'!J218*CPI!$I$46</f>
        <v>4403.4925803370306</v>
      </c>
      <c r="K217" s="17">
        <f>'FS (nominal)'!K218*CPI!$I$46</f>
        <v>1444.8828821248323</v>
      </c>
      <c r="L217" s="17">
        <f>'FS (nominal)'!L218*CPI!$I$46</f>
        <v>982.4191889053634</v>
      </c>
      <c r="M217" s="17">
        <f>'FS (nominal)'!M218*CPI!$I$46</f>
        <v>1076.49401800633</v>
      </c>
      <c r="N217" s="17">
        <f>'FS (nominal)'!N218*CPI!$I$46</f>
        <v>172.91898033417922</v>
      </c>
      <c r="O217" s="17">
        <f>'FS (nominal)'!O218*CPI!$I$46</f>
        <v>445.20248110974876</v>
      </c>
      <c r="P217" s="17">
        <f>'FS (nominal)'!P218*CPI!$I$46</f>
        <v>132.88428051381484</v>
      </c>
      <c r="Q217" s="17">
        <f>'FS (nominal)'!Q218*CPI!$I$46</f>
        <v>0</v>
      </c>
      <c r="R217" s="17">
        <f>'FS (nominal)'!R218*CPI!$I$46</f>
        <v>0</v>
      </c>
      <c r="S217" s="15">
        <f>'FS (nominal)'!S218*CPI!$I$46</f>
        <v>4254.8018525562429</v>
      </c>
      <c r="T217" s="15">
        <f>'FS (nominal)'!T218*CPI!$I$46</f>
        <v>10522.699808189102</v>
      </c>
      <c r="U217" s="15">
        <f>'FS (nominal)'!U218*CPI!$I$46</f>
        <v>3109.8010759601948</v>
      </c>
      <c r="V217" s="15">
        <f>'FS (nominal)'!V218*CPI!$I$46</f>
        <v>7412.8987322289067</v>
      </c>
      <c r="W217" s="17"/>
      <c r="X217" s="17">
        <f>'FS (nominal)'!W218*CPI!$I$46</f>
        <v>-61.959568596846388</v>
      </c>
      <c r="Y217" s="17">
        <f>'FS (nominal)'!X218*CPI!$I$46</f>
        <v>2473.7624009010292</v>
      </c>
      <c r="Z217" s="17">
        <f>'FS (nominal)'!Y218*CPI!$I$46</f>
        <v>0</v>
      </c>
      <c r="AA217" s="15">
        <f>'FS (nominal)'!Z218*CPI!$I$46</f>
        <v>9948.6207599441132</v>
      </c>
      <c r="AB217" s="17">
        <f>'FS (nominal)'!AA218*CPI!$I$46</f>
        <v>5206.5582861053281</v>
      </c>
      <c r="AC217" s="17">
        <f>'FS (nominal)'!AB218*CPI!$I$46</f>
        <v>0</v>
      </c>
      <c r="AD217" s="17">
        <f>'FS (nominal)'!AC218*CPI!$I$46</f>
        <v>0</v>
      </c>
      <c r="AE217" s="17">
        <f>'FS (nominal)'!AD218*CPI!$I$46</f>
        <v>0</v>
      </c>
      <c r="AF217" s="17">
        <f>'FS (nominal)'!AE218*CPI!$I$46</f>
        <v>0</v>
      </c>
      <c r="AG217" s="15">
        <f>'FS (nominal)'!AF218*CPI!$I$46</f>
        <v>5206.5582861053281</v>
      </c>
      <c r="AH217" s="18">
        <f>'FS (nominal)'!AG218*CPI!$I$46</f>
        <v>91.236626426392178</v>
      </c>
    </row>
    <row r="218" spans="1:34" s="102" customFormat="1" ht="15" customHeight="1">
      <c r="A218" s="246">
        <f>References!H283</f>
        <v>581</v>
      </c>
      <c r="B218" s="256" t="s">
        <v>54</v>
      </c>
      <c r="C218" s="121">
        <v>2009</v>
      </c>
      <c r="D218" s="17">
        <f>'FS (nominal)'!D219*CPI!$I$50</f>
        <v>14133.271595305096</v>
      </c>
      <c r="E218" s="15">
        <f>'FS (nominal)'!E219*CPI!$I$50</f>
        <v>18061.352988400024</v>
      </c>
      <c r="F218" s="15">
        <f>'FS (nominal)'!F219*CPI!$I$50</f>
        <v>1323.8061387603811</v>
      </c>
      <c r="G218" s="15">
        <f>'FS (nominal)'!G219*CPI!$I$50</f>
        <v>0</v>
      </c>
      <c r="H218" s="17">
        <f>'FS (nominal)'!H219*CPI!$I$50</f>
        <v>71.405335987370421</v>
      </c>
      <c r="I218" s="15">
        <f>'FS (nominal)'!I219*CPI!$I$50</f>
        <v>19456.564566957233</v>
      </c>
      <c r="J218" s="15">
        <f>'FS (nominal)'!J219*CPI!$I$50</f>
        <v>5195.9821937264041</v>
      </c>
      <c r="K218" s="17">
        <f>'FS (nominal)'!K219*CPI!$I$50</f>
        <v>1503.4837018052024</v>
      </c>
      <c r="L218" s="17">
        <f>'FS (nominal)'!L219*CPI!$I$50</f>
        <v>1000.14384990871</v>
      </c>
      <c r="M218" s="17">
        <f>'FS (nominal)'!M219*CPI!$I$50</f>
        <v>1416.5722432013174</v>
      </c>
      <c r="N218" s="17">
        <f>'FS (nominal)'!N219*CPI!$I$50</f>
        <v>199.56436175990109</v>
      </c>
      <c r="O218" s="17">
        <f>'FS (nominal)'!O219*CPI!$I$50</f>
        <v>551.13156732514221</v>
      </c>
      <c r="P218" s="17">
        <f>'FS (nominal)'!P219*CPI!$I$50</f>
        <v>156.51777667650487</v>
      </c>
      <c r="Q218" s="17">
        <f>'FS (nominal)'!Q219*CPI!$I$50</f>
        <v>0</v>
      </c>
      <c r="R218" s="17">
        <f>'FS (nominal)'!R219*CPI!$I$50</f>
        <v>0</v>
      </c>
      <c r="S218" s="15">
        <f>'FS (nominal)'!S219*CPI!$I$50</f>
        <v>4827.4134591529946</v>
      </c>
      <c r="T218" s="15">
        <f>'FS (nominal)'!T219*CPI!$I$50</f>
        <v>9433.1693293156659</v>
      </c>
      <c r="U218" s="15">
        <f>'FS (nominal)'!U219*CPI!$I$50</f>
        <v>3294.5221987233158</v>
      </c>
      <c r="V218" s="15">
        <f>'FS (nominal)'!V219*CPI!$I$50</f>
        <v>6138.6471305923515</v>
      </c>
      <c r="W218" s="17"/>
      <c r="X218" s="17">
        <f>'FS (nominal)'!W219*CPI!$I$50</f>
        <v>-56.754114365845275</v>
      </c>
      <c r="Y218" s="17">
        <f>'FS (nominal)'!X219*CPI!$I$50</f>
        <v>2234.342982524538</v>
      </c>
      <c r="Z218" s="17">
        <f>'FS (nominal)'!Y219*CPI!$I$50</f>
        <v>0</v>
      </c>
      <c r="AA218" s="15">
        <f>'FS (nominal)'!Z219*CPI!$I$50</f>
        <v>8429.7441973779914</v>
      </c>
      <c r="AB218" s="17">
        <f>'FS (nominal)'!AA219*CPI!$I$50</f>
        <v>0</v>
      </c>
      <c r="AC218" s="17">
        <f>'FS (nominal)'!AB219*CPI!$I$50</f>
        <v>0</v>
      </c>
      <c r="AD218" s="17">
        <f>'FS (nominal)'!AC219*CPI!$I$50</f>
        <v>0</v>
      </c>
      <c r="AE218" s="17">
        <f>'FS (nominal)'!AD219*CPI!$I$50</f>
        <v>0</v>
      </c>
      <c r="AF218" s="17">
        <f>'FS (nominal)'!AE219*CPI!$I$50</f>
        <v>0</v>
      </c>
      <c r="AG218" s="15">
        <f>'FS (nominal)'!AF219*CPI!$I$50</f>
        <v>4861.5248319582661</v>
      </c>
      <c r="AH218" s="18">
        <f>'FS (nominal)'!AG219*CPI!$I$50</f>
        <v>79.91853167410251</v>
      </c>
    </row>
    <row r="219" spans="1:34" s="102" customFormat="1" ht="15" customHeight="1">
      <c r="A219" s="246">
        <f>References!I283</f>
        <v>582</v>
      </c>
      <c r="B219" s="256" t="s">
        <v>54</v>
      </c>
      <c r="C219" s="121">
        <v>2010</v>
      </c>
      <c r="D219" s="17">
        <f>'FS (nominal)'!D220*CPI!$I$54</f>
        <v>15778.87987739484</v>
      </c>
      <c r="E219" s="15">
        <f>'FS (nominal)'!E220*CPI!$I$54</f>
        <v>19629.010914823095</v>
      </c>
      <c r="F219" s="15">
        <f>'FS (nominal)'!F220*CPI!$I$54</f>
        <v>1240.2773210368891</v>
      </c>
      <c r="G219" s="15">
        <f>'FS (nominal)'!G220*CPI!$I$54</f>
        <v>7.4374983158632198E-4</v>
      </c>
      <c r="H219" s="17">
        <f>'FS (nominal)'!H220*CPI!$I$54</f>
        <v>76.281203788634087</v>
      </c>
      <c r="I219" s="15">
        <f>'FS (nominal)'!I220*CPI!$I$54</f>
        <v>20945.570376977175</v>
      </c>
      <c r="J219" s="15">
        <f>'FS (nominal)'!J220*CPI!$I$54</f>
        <v>5565.2535026541982</v>
      </c>
      <c r="K219" s="17">
        <f>'FS (nominal)'!K220*CPI!$I$54</f>
        <v>1496.0005199805985</v>
      </c>
      <c r="L219" s="17">
        <f>'FS (nominal)'!L220*CPI!$I$54</f>
        <v>944.0150084988278</v>
      </c>
      <c r="M219" s="17">
        <f>'FS (nominal)'!M220*CPI!$I$54</f>
        <v>1951.2976771577157</v>
      </c>
      <c r="N219" s="17">
        <f>'FS (nominal)'!N220*CPI!$I$54</f>
        <v>152.23325242919887</v>
      </c>
      <c r="O219" s="17">
        <f>'FS (nominal)'!O220*CPI!$I$54</f>
        <v>456.81659732963266</v>
      </c>
      <c r="P219" s="17">
        <f>'FS (nominal)'!P220*CPI!$I$54</f>
        <v>149.41457301608685</v>
      </c>
      <c r="Q219" s="17">
        <f>'FS (nominal)'!Q220*CPI!$I$54</f>
        <v>0</v>
      </c>
      <c r="R219" s="17">
        <f>'FS (nominal)'!R220*CPI!$I$54</f>
        <v>0</v>
      </c>
      <c r="S219" s="15">
        <f>'FS (nominal)'!S220*CPI!$I$54</f>
        <v>5149.7775265285218</v>
      </c>
      <c r="T219" s="15">
        <f>'FS (nominal)'!T220*CPI!$I$54</f>
        <v>10230.538736493223</v>
      </c>
      <c r="U219" s="15">
        <f>'FS (nominal)'!U220*CPI!$I$54</f>
        <v>3323.4355265554682</v>
      </c>
      <c r="V219" s="15">
        <f>'FS (nominal)'!V220*CPI!$I$54</f>
        <v>6907.1035155883692</v>
      </c>
      <c r="W219" s="17"/>
      <c r="X219" s="17">
        <f>'FS (nominal)'!W220*CPI!$I$54</f>
        <v>414.86040597396993</v>
      </c>
      <c r="Y219" s="17">
        <f>'FS (nominal)'!X220*CPI!$I$54</f>
        <v>1595.8287619304247</v>
      </c>
      <c r="Z219" s="17">
        <f>'FS (nominal)'!Y220*CPI!$I$54</f>
        <v>0</v>
      </c>
      <c r="AA219" s="15">
        <f>'FS (nominal)'!Z220*CPI!$I$54</f>
        <v>8088.0718817331781</v>
      </c>
      <c r="AB219" s="17">
        <f>'FS (nominal)'!AA220*CPI!$I$54</f>
        <v>1274.7988260623531</v>
      </c>
      <c r="AC219" s="17">
        <f>'FS (nominal)'!AB220*CPI!$I$54</f>
        <v>307.36408288378101</v>
      </c>
      <c r="AD219" s="17">
        <f>'FS (nominal)'!AC220*CPI!$I$54</f>
        <v>1208.1120766080135</v>
      </c>
      <c r="AE219" s="17">
        <f>'FS (nominal)'!AD220*CPI!$I$54</f>
        <v>690.45800641049811</v>
      </c>
      <c r="AF219" s="17">
        <f>'FS (nominal)'!AE220*CPI!$I$54</f>
        <v>148.9991021341381</v>
      </c>
      <c r="AG219" s="15">
        <f>'FS (nominal)'!AF220*CPI!$I$54</f>
        <v>3629.7320839104304</v>
      </c>
      <c r="AH219" s="18">
        <f>'FS (nominal)'!AG220*CPI!$I$54</f>
        <v>39.176462019347355</v>
      </c>
    </row>
    <row r="220" spans="1:34" s="102" customFormat="1" ht="15" customHeight="1">
      <c r="A220" s="246">
        <f>References!J283</f>
        <v>583</v>
      </c>
      <c r="B220" s="256" t="s">
        <v>54</v>
      </c>
      <c r="C220" s="121">
        <v>2011</v>
      </c>
      <c r="D220" s="17">
        <f>'FS (nominal)'!D221*CPI!$I$58</f>
        <v>16066.277</v>
      </c>
      <c r="E220" s="15">
        <f>'FS (nominal)'!E221*CPI!$I$58</f>
        <v>19847.906999999999</v>
      </c>
      <c r="F220" s="15">
        <f>'FS (nominal)'!F221*CPI!$I$58</f>
        <v>689.40782999999999</v>
      </c>
      <c r="G220" s="15">
        <f>'FS (nominal)'!G221*CPI!$I$58</f>
        <v>2.0000000000000002E-5</v>
      </c>
      <c r="H220" s="17">
        <f>'FS (nominal)'!H221*CPI!$I$58</f>
        <v>75.296629999999993</v>
      </c>
      <c r="I220" s="15">
        <f>'FS (nominal)'!I221*CPI!$I$58</f>
        <v>20612.612000000001</v>
      </c>
      <c r="J220" s="15">
        <f>'FS (nominal)'!J221*CPI!$I$58</f>
        <v>5510.2291999999998</v>
      </c>
      <c r="K220" s="17">
        <f>'FS (nominal)'!K221*CPI!$I$58</f>
        <v>1688.8442</v>
      </c>
      <c r="L220" s="17">
        <f>'FS (nominal)'!L221*CPI!$I$58</f>
        <v>1043.4775999999999</v>
      </c>
      <c r="M220" s="17">
        <f>'FS (nominal)'!M221*CPI!$I$58</f>
        <v>1950.3819000000001</v>
      </c>
      <c r="N220" s="17">
        <f>'FS (nominal)'!N221*CPI!$I$58</f>
        <v>119.87846</v>
      </c>
      <c r="O220" s="17">
        <f>'FS (nominal)'!O221*CPI!$I$58</f>
        <v>493.31535000000002</v>
      </c>
      <c r="P220" s="17">
        <f>'FS (nominal)'!P221*CPI!$I$58</f>
        <v>122.13209000000001</v>
      </c>
      <c r="Q220" s="17">
        <f>'FS (nominal)'!Q221*CPI!$I$58</f>
        <v>0</v>
      </c>
      <c r="R220" s="17">
        <f>'FS (nominal)'!R221*CPI!$I$58</f>
        <v>0</v>
      </c>
      <c r="S220" s="15">
        <f>'FS (nominal)'!S221*CPI!$I$58</f>
        <v>5418.0295999999998</v>
      </c>
      <c r="T220" s="15">
        <f>'FS (nominal)'!T221*CPI!$I$58</f>
        <v>9684.3528000000006</v>
      </c>
      <c r="U220" s="15">
        <f>'FS (nominal)'!U221*CPI!$I$58</f>
        <v>3422.1142</v>
      </c>
      <c r="V220" s="15">
        <f>'FS (nominal)'!V221*CPI!$I$58</f>
        <v>6262.2385999999997</v>
      </c>
      <c r="W220" s="17"/>
      <c r="X220" s="17">
        <f>'FS (nominal)'!W221*CPI!$I$58</f>
        <v>248.05146999999999</v>
      </c>
      <c r="Y220" s="17">
        <f>'FS (nominal)'!X221*CPI!$I$58</f>
        <v>3507.8973000000001</v>
      </c>
      <c r="Z220" s="17">
        <f>'FS (nominal)'!Y221*CPI!$I$58</f>
        <v>0</v>
      </c>
      <c r="AA220" s="15">
        <f>'FS (nominal)'!Z221*CPI!$I$58</f>
        <v>9522.0843999999997</v>
      </c>
      <c r="AB220" s="17">
        <f>'FS (nominal)'!AA221*CPI!$I$58</f>
        <v>1402.2140999999999</v>
      </c>
      <c r="AC220" s="17">
        <f>'FS (nominal)'!AB221*CPI!$I$58</f>
        <v>445.31968999999998</v>
      </c>
      <c r="AD220" s="17">
        <f>'FS (nominal)'!AC221*CPI!$I$58</f>
        <v>1617.3276000000001</v>
      </c>
      <c r="AE220" s="17">
        <f>'FS (nominal)'!AD221*CPI!$I$58</f>
        <v>393.28685999999999</v>
      </c>
      <c r="AF220" s="17">
        <f>'FS (nominal)'!AE221*CPI!$I$58</f>
        <v>76.200474999999997</v>
      </c>
      <c r="AG220" s="15">
        <f>'FS (nominal)'!AF221*CPI!$I$58</f>
        <v>3934.3487</v>
      </c>
      <c r="AH220" s="18">
        <f>'FS (nominal)'!AG221*CPI!$I$58</f>
        <v>1335.5119</v>
      </c>
    </row>
    <row r="221" spans="1:34" s="102" customFormat="1" ht="15" hidden="1" customHeight="1">
      <c r="A221" s="246">
        <f>References!C284</f>
        <v>599</v>
      </c>
      <c r="B221" s="255" t="s">
        <v>55</v>
      </c>
      <c r="C221" s="121">
        <v>2004</v>
      </c>
      <c r="D221" s="17">
        <f>'FS (nominal)'!D222*CPI!$I$30</f>
        <v>51409.755402506496</v>
      </c>
      <c r="E221" s="15">
        <f>'FS (nominal)'!E222*CPI!$I$30</f>
        <v>51409.755402506496</v>
      </c>
      <c r="F221" s="15">
        <f>'FS (nominal)'!F222*CPI!$I$30</f>
        <v>0</v>
      </c>
      <c r="G221" s="15">
        <f>'FS (nominal)'!G222*CPI!$I$30</f>
        <v>2087.0191546194433</v>
      </c>
      <c r="H221" s="17">
        <f>'FS (nominal)'!H222*CPI!$I$30</f>
        <v>822.48845156009315</v>
      </c>
      <c r="I221" s="15">
        <f>'FS (nominal)'!I222*CPI!$I$30</f>
        <v>54319.26300868603</v>
      </c>
      <c r="J221" s="15">
        <f>'FS (nominal)'!J222*CPI!$I$30</f>
        <v>12820.433059192934</v>
      </c>
      <c r="K221" s="17">
        <f>'FS (nominal)'!K222*CPI!$I$30</f>
        <v>0</v>
      </c>
      <c r="L221" s="17">
        <f>'FS (nominal)'!L222*CPI!$I$30</f>
        <v>0</v>
      </c>
      <c r="M221" s="17">
        <f>'FS (nominal)'!M222*CPI!$I$30</f>
        <v>0</v>
      </c>
      <c r="N221" s="17">
        <f>'FS (nominal)'!N222*CPI!$I$30</f>
        <v>0</v>
      </c>
      <c r="O221" s="17">
        <f>'FS (nominal)'!O222*CPI!$I$30</f>
        <v>0</v>
      </c>
      <c r="P221" s="17">
        <f>'FS (nominal)'!P222*CPI!$I$30</f>
        <v>0</v>
      </c>
      <c r="Q221" s="17">
        <f>'FS (nominal)'!Q222*CPI!$I$30</f>
        <v>0</v>
      </c>
      <c r="R221" s="17">
        <f>'FS (nominal)'!R222*CPI!$I$30</f>
        <v>0</v>
      </c>
      <c r="S221" s="15">
        <f>'FS (nominal)'!S222*CPI!$I$30</f>
        <v>25388.443084059789</v>
      </c>
      <c r="T221" s="15">
        <f>'FS (nominal)'!T222*CPI!$I$30</f>
        <v>28930.819924626241</v>
      </c>
      <c r="U221" s="15">
        <f>'FS (nominal)'!U222*CPI!$I$30</f>
        <v>7540.0813554914266</v>
      </c>
      <c r="V221" s="15">
        <f>'FS (nominal)'!V222*CPI!$I$30</f>
        <v>0</v>
      </c>
      <c r="W221" s="17"/>
      <c r="X221" s="17">
        <f>'FS (nominal)'!W222*CPI!$I$30</f>
        <v>8123.4321955847081</v>
      </c>
      <c r="Y221" s="17">
        <f>'FS (nominal)'!X222*CPI!$I$30</f>
        <v>0</v>
      </c>
      <c r="Z221" s="17">
        <f>'FS (nominal)'!Y222*CPI!$I$30</f>
        <v>0</v>
      </c>
      <c r="AA221" s="15">
        <f>'FS (nominal)'!Z222*CPI!$I$30</f>
        <v>13217.787979256475</v>
      </c>
      <c r="AB221" s="17">
        <f>'FS (nominal)'!AA222*CPI!$I$30</f>
        <v>0</v>
      </c>
      <c r="AC221" s="17">
        <f>'FS (nominal)'!AB222*CPI!$I$30</f>
        <v>0</v>
      </c>
      <c r="AD221" s="17">
        <f>'FS (nominal)'!AC222*CPI!$I$30</f>
        <v>0</v>
      </c>
      <c r="AE221" s="17">
        <f>'FS (nominal)'!AD222*CPI!$I$30</f>
        <v>0</v>
      </c>
      <c r="AF221" s="17">
        <f>'FS (nominal)'!AE222*CPI!$I$30</f>
        <v>0</v>
      </c>
      <c r="AG221" s="15">
        <f>'FS (nominal)'!AF222*CPI!$I$30</f>
        <v>0</v>
      </c>
      <c r="AH221" s="18">
        <f>'FS (nominal)'!AG222*CPI!$I$30</f>
        <v>0</v>
      </c>
    </row>
    <row r="222" spans="1:34" s="102" customFormat="1" ht="15" hidden="1" customHeight="1">
      <c r="A222" s="246">
        <f>References!D284</f>
        <v>600</v>
      </c>
      <c r="B222" s="255" t="s">
        <v>55</v>
      </c>
      <c r="C222" s="121">
        <v>2005</v>
      </c>
      <c r="D222" s="17">
        <f>'FS (nominal)'!D223*CPI!$I$34</f>
        <v>51605.480021089941</v>
      </c>
      <c r="E222" s="15">
        <f>'FS (nominal)'!E223*CPI!$I$34</f>
        <v>51605.480021089941</v>
      </c>
      <c r="F222" s="15">
        <f>'FS (nominal)'!F223*CPI!$I$34</f>
        <v>0</v>
      </c>
      <c r="G222" s="15">
        <f>'FS (nominal)'!G223*CPI!$I$34</f>
        <v>1452.6475283093432</v>
      </c>
      <c r="H222" s="17">
        <f>'FS (nominal)'!H223*CPI!$I$34</f>
        <v>1237.2224896702753</v>
      </c>
      <c r="I222" s="15">
        <f>'FS (nominal)'!I223*CPI!$I$34</f>
        <v>54295.350039069563</v>
      </c>
      <c r="J222" s="15">
        <f>'FS (nominal)'!J223*CPI!$I$34</f>
        <v>13837.821471050511</v>
      </c>
      <c r="K222" s="17">
        <f>'FS (nominal)'!K223*CPI!$I$34</f>
        <v>0</v>
      </c>
      <c r="L222" s="17">
        <f>'FS (nominal)'!L223*CPI!$I$34</f>
        <v>0</v>
      </c>
      <c r="M222" s="17">
        <f>'FS (nominal)'!M223*CPI!$I$34</f>
        <v>0</v>
      </c>
      <c r="N222" s="17">
        <f>'FS (nominal)'!N223*CPI!$I$34</f>
        <v>0</v>
      </c>
      <c r="O222" s="17">
        <f>'FS (nominal)'!O223*CPI!$I$34</f>
        <v>0</v>
      </c>
      <c r="P222" s="17">
        <f>'FS (nominal)'!P223*CPI!$I$34</f>
        <v>0</v>
      </c>
      <c r="Q222" s="17">
        <f>'FS (nominal)'!Q223*CPI!$I$34</f>
        <v>0</v>
      </c>
      <c r="R222" s="17">
        <f>'FS (nominal)'!R223*CPI!$I$34</f>
        <v>0</v>
      </c>
      <c r="S222" s="15">
        <f>'FS (nominal)'!S223*CPI!$I$34</f>
        <v>25855.71338070212</v>
      </c>
      <c r="T222" s="15">
        <f>'FS (nominal)'!T223*CPI!$I$34</f>
        <v>28439.636658367443</v>
      </c>
      <c r="U222" s="15">
        <f>'FS (nominal)'!U223*CPI!$I$34</f>
        <v>7578.7234904826191</v>
      </c>
      <c r="V222" s="15">
        <f>'FS (nominal)'!V223*CPI!$I$34</f>
        <v>0</v>
      </c>
      <c r="W222" s="17"/>
      <c r="X222" s="17">
        <f>'FS (nominal)'!W223*CPI!$I$34</f>
        <v>6732.3267539717453</v>
      </c>
      <c r="Y222" s="17">
        <f>'FS (nominal)'!X223*CPI!$I$34</f>
        <v>0</v>
      </c>
      <c r="Z222" s="17">
        <f>'FS (nominal)'!Y223*CPI!$I$34</f>
        <v>0</v>
      </c>
      <c r="AA222" s="15">
        <f>'FS (nominal)'!Z223*CPI!$I$34</f>
        <v>9777.7069450060008</v>
      </c>
      <c r="AB222" s="17">
        <f>'FS (nominal)'!AA223*CPI!$I$34</f>
        <v>0</v>
      </c>
      <c r="AC222" s="17">
        <f>'FS (nominal)'!AB223*CPI!$I$34</f>
        <v>0</v>
      </c>
      <c r="AD222" s="17">
        <f>'FS (nominal)'!AC223*CPI!$I$34</f>
        <v>0</v>
      </c>
      <c r="AE222" s="17">
        <f>'FS (nominal)'!AD223*CPI!$I$34</f>
        <v>0</v>
      </c>
      <c r="AF222" s="17">
        <f>'FS (nominal)'!AE223*CPI!$I$34</f>
        <v>0</v>
      </c>
      <c r="AG222" s="15">
        <f>'FS (nominal)'!AF223*CPI!$I$34</f>
        <v>0</v>
      </c>
      <c r="AH222" s="18">
        <f>'FS (nominal)'!AG223*CPI!$I$34</f>
        <v>0</v>
      </c>
    </row>
    <row r="223" spans="1:34" s="102" customFormat="1" ht="14.45" hidden="1" customHeight="1">
      <c r="A223" s="246">
        <f>References!E284</f>
        <v>601</v>
      </c>
      <c r="B223" s="255" t="s">
        <v>55</v>
      </c>
      <c r="C223" s="121">
        <v>2006</v>
      </c>
      <c r="D223" s="17">
        <f>'FS (nominal)'!D224*CPI!$I$38</f>
        <v>51095.625744983452</v>
      </c>
      <c r="E223" s="15">
        <f>'FS (nominal)'!E224*CPI!$I$38</f>
        <v>51095.625744983452</v>
      </c>
      <c r="F223" s="15">
        <f>'FS (nominal)'!F224*CPI!$I$38</f>
        <v>0</v>
      </c>
      <c r="G223" s="15">
        <f>'FS (nominal)'!G224*CPI!$I$38</f>
        <v>2876.4894152230472</v>
      </c>
      <c r="H223" s="17">
        <f>'FS (nominal)'!H224*CPI!$I$38</f>
        <v>4464.7771050249039</v>
      </c>
      <c r="I223" s="15">
        <f>'FS (nominal)'!I224*CPI!$I$38</f>
        <v>58436.8922652314</v>
      </c>
      <c r="J223" s="15">
        <f>'FS (nominal)'!J224*CPI!$I$38</f>
        <v>14776.095964751472</v>
      </c>
      <c r="K223" s="17">
        <f>'FS (nominal)'!K224*CPI!$I$38</f>
        <v>0</v>
      </c>
      <c r="L223" s="17">
        <f>'FS (nominal)'!L224*CPI!$I$38</f>
        <v>0</v>
      </c>
      <c r="M223" s="17">
        <f>'FS (nominal)'!M224*CPI!$I$38</f>
        <v>0</v>
      </c>
      <c r="N223" s="17">
        <f>'FS (nominal)'!N224*CPI!$I$38</f>
        <v>0</v>
      </c>
      <c r="O223" s="17">
        <f>'FS (nominal)'!O224*CPI!$I$38</f>
        <v>0</v>
      </c>
      <c r="P223" s="17">
        <f>'FS (nominal)'!P224*CPI!$I$38</f>
        <v>0</v>
      </c>
      <c r="Q223" s="17">
        <f>'FS (nominal)'!Q224*CPI!$I$38</f>
        <v>0</v>
      </c>
      <c r="R223" s="17">
        <f>'FS (nominal)'!R224*CPI!$I$38</f>
        <v>0</v>
      </c>
      <c r="S223" s="15">
        <f>'FS (nominal)'!S224*CPI!$I$38</f>
        <v>27672.946365491694</v>
      </c>
      <c r="T223" s="15">
        <f>'FS (nominal)'!T224*CPI!$I$38</f>
        <v>30763.945899739705</v>
      </c>
      <c r="U223" s="15">
        <f>'FS (nominal)'!U224*CPI!$I$38</f>
        <v>8239.2423908471337</v>
      </c>
      <c r="V223" s="15">
        <f>'FS (nominal)'!V224*CPI!$I$38</f>
        <v>0</v>
      </c>
      <c r="W223" s="17"/>
      <c r="X223" s="17">
        <f>'FS (nominal)'!W224*CPI!$I$38</f>
        <v>6016.5524341416613</v>
      </c>
      <c r="Y223" s="17">
        <f>'FS (nominal)'!X224*CPI!$I$38</f>
        <v>0</v>
      </c>
      <c r="Z223" s="17">
        <f>'FS (nominal)'!Y224*CPI!$I$38</f>
        <v>0</v>
      </c>
      <c r="AA223" s="15">
        <f>'FS (nominal)'!Z224*CPI!$I$38</f>
        <v>11795.77452383017</v>
      </c>
      <c r="AB223" s="17">
        <f>'FS (nominal)'!AA224*CPI!$I$38</f>
        <v>0</v>
      </c>
      <c r="AC223" s="17">
        <f>'FS (nominal)'!AB224*CPI!$I$38</f>
        <v>0</v>
      </c>
      <c r="AD223" s="17">
        <f>'FS (nominal)'!AC224*CPI!$I$38</f>
        <v>0</v>
      </c>
      <c r="AE223" s="17">
        <f>'FS (nominal)'!AD224*CPI!$I$38</f>
        <v>0</v>
      </c>
      <c r="AF223" s="17">
        <f>'FS (nominal)'!AE224*CPI!$I$38</f>
        <v>0</v>
      </c>
      <c r="AG223" s="15">
        <f>'FS (nominal)'!AF224*CPI!$I$38</f>
        <v>0</v>
      </c>
      <c r="AH223" s="18">
        <f>'FS (nominal)'!AG224*CPI!$I$38</f>
        <v>0</v>
      </c>
    </row>
    <row r="224" spans="1:34" s="102" customFormat="1" ht="15" hidden="1" customHeight="1">
      <c r="A224" s="246">
        <f>References!F284</f>
        <v>602</v>
      </c>
      <c r="B224" s="255" t="s">
        <v>55</v>
      </c>
      <c r="C224" s="121">
        <v>2007</v>
      </c>
      <c r="D224" s="17">
        <f>'FS (nominal)'!D225*CPI!$I$42</f>
        <v>53637.621903062573</v>
      </c>
      <c r="E224" s="15">
        <f>'FS (nominal)'!E225*CPI!$I$42</f>
        <v>53637.621903062573</v>
      </c>
      <c r="F224" s="15">
        <f>'FS (nominal)'!F225*CPI!$I$42</f>
        <v>0</v>
      </c>
      <c r="G224" s="15">
        <f>'FS (nominal)'!G225*CPI!$I$42</f>
        <v>1510.7631555854566</v>
      </c>
      <c r="H224" s="17">
        <f>'FS (nominal)'!H225*CPI!$I$42</f>
        <v>5904.8056278702443</v>
      </c>
      <c r="I224" s="15">
        <f>'FS (nominal)'!I225*CPI!$I$42</f>
        <v>61053.190686518275</v>
      </c>
      <c r="J224" s="15">
        <f>'FS (nominal)'!J225*CPI!$I$42</f>
        <v>16625.030567174661</v>
      </c>
      <c r="K224" s="17">
        <f>'FS (nominal)'!K225*CPI!$I$42</f>
        <v>0</v>
      </c>
      <c r="L224" s="17">
        <f>'FS (nominal)'!L225*CPI!$I$42</f>
        <v>0</v>
      </c>
      <c r="M224" s="17">
        <f>'FS (nominal)'!M225*CPI!$I$42</f>
        <v>0</v>
      </c>
      <c r="N224" s="17">
        <f>'FS (nominal)'!N225*CPI!$I$42</f>
        <v>0</v>
      </c>
      <c r="O224" s="17">
        <f>'FS (nominal)'!O225*CPI!$I$42</f>
        <v>0</v>
      </c>
      <c r="P224" s="17">
        <f>'FS (nominal)'!P225*CPI!$I$42</f>
        <v>0</v>
      </c>
      <c r="Q224" s="17">
        <f>'FS (nominal)'!Q225*CPI!$I$42</f>
        <v>0</v>
      </c>
      <c r="R224" s="17">
        <f>'FS (nominal)'!R225*CPI!$I$42</f>
        <v>0</v>
      </c>
      <c r="S224" s="15">
        <f>'FS (nominal)'!S225*CPI!$I$42</f>
        <v>31379.855793137747</v>
      </c>
      <c r="T224" s="15">
        <f>'FS (nominal)'!T225*CPI!$I$42</f>
        <v>29673.334893380528</v>
      </c>
      <c r="U224" s="15">
        <f>'FS (nominal)'!U225*CPI!$I$42</f>
        <v>9470.472109281307</v>
      </c>
      <c r="V224" s="15">
        <f>'FS (nominal)'!V225*CPI!$I$42</f>
        <v>0</v>
      </c>
      <c r="W224" s="17"/>
      <c r="X224" s="17">
        <f>'FS (nominal)'!W225*CPI!$I$42</f>
        <v>5282.1411647702353</v>
      </c>
      <c r="Y224" s="17">
        <f>'FS (nominal)'!X225*CPI!$I$42</f>
        <v>0</v>
      </c>
      <c r="Z224" s="17">
        <f>'FS (nominal)'!Y225*CPI!$I$42</f>
        <v>0</v>
      </c>
      <c r="AA224" s="15">
        <f>'FS (nominal)'!Z225*CPI!$I$42</f>
        <v>11376.068681077604</v>
      </c>
      <c r="AB224" s="17">
        <f>'FS (nominal)'!AA225*CPI!$I$42</f>
        <v>0</v>
      </c>
      <c r="AC224" s="17">
        <f>'FS (nominal)'!AB225*CPI!$I$42</f>
        <v>0</v>
      </c>
      <c r="AD224" s="17">
        <f>'FS (nominal)'!AC225*CPI!$I$42</f>
        <v>0</v>
      </c>
      <c r="AE224" s="17">
        <f>'FS (nominal)'!AD225*CPI!$I$42</f>
        <v>0</v>
      </c>
      <c r="AF224" s="17">
        <f>'FS (nominal)'!AE225*CPI!$I$42</f>
        <v>0</v>
      </c>
      <c r="AG224" s="15">
        <f>'FS (nominal)'!AF225*CPI!$I$42</f>
        <v>0</v>
      </c>
      <c r="AH224" s="18">
        <f>'FS (nominal)'!AG225*CPI!$I$42</f>
        <v>0</v>
      </c>
    </row>
    <row r="225" spans="1:34" s="102" customFormat="1" ht="15" customHeight="1">
      <c r="A225" s="246">
        <f>References!G284</f>
        <v>603</v>
      </c>
      <c r="B225" s="256" t="s">
        <v>55</v>
      </c>
      <c r="C225" s="121">
        <v>2008</v>
      </c>
      <c r="D225" s="17">
        <f>'FS (nominal)'!D226*CPI!$I$46</f>
        <v>58277.646946765133</v>
      </c>
      <c r="E225" s="15">
        <f>'FS (nominal)'!E226*CPI!$I$46</f>
        <v>71887.806606883183</v>
      </c>
      <c r="F225" s="15">
        <f>'FS (nominal)'!F226*CPI!$I$46</f>
        <v>8869.0468834364583</v>
      </c>
      <c r="G225" s="15">
        <f>'FS (nominal)'!G226*CPI!$I$46</f>
        <v>589.71999657836955</v>
      </c>
      <c r="H225" s="17">
        <f>'FS (nominal)'!H226*CPI!$I$46</f>
        <v>1520.7431903281913</v>
      </c>
      <c r="I225" s="15">
        <f>'FS (nominal)'!I226*CPI!$I$46</f>
        <v>82867.3159225571</v>
      </c>
      <c r="J225" s="15">
        <f>'FS (nominal)'!J226*CPI!$I$46</f>
        <v>17287.312879587123</v>
      </c>
      <c r="K225" s="17">
        <f>'FS (nominal)'!K226*CPI!$I$46</f>
        <v>0</v>
      </c>
      <c r="L225" s="17">
        <f>'FS (nominal)'!L226*CPI!$I$46</f>
        <v>0</v>
      </c>
      <c r="M225" s="17">
        <f>'FS (nominal)'!M226*CPI!$I$46</f>
        <v>0</v>
      </c>
      <c r="N225" s="17">
        <f>'FS (nominal)'!N226*CPI!$I$46</f>
        <v>0</v>
      </c>
      <c r="O225" s="17">
        <f>'FS (nominal)'!O226*CPI!$I$46</f>
        <v>0</v>
      </c>
      <c r="P225" s="17">
        <f>'FS (nominal)'!P226*CPI!$I$46</f>
        <v>0</v>
      </c>
      <c r="Q225" s="17">
        <f>'FS (nominal)'!Q226*CPI!$I$46</f>
        <v>0</v>
      </c>
      <c r="R225" s="17">
        <f>'FS (nominal)'!R226*CPI!$I$46</f>
        <v>0</v>
      </c>
      <c r="S225" s="15">
        <f>'FS (nominal)'!S226*CPI!$I$46</f>
        <v>16134.894352599013</v>
      </c>
      <c r="T225" s="15">
        <f>'FS (nominal)'!T226*CPI!$I$46</f>
        <v>49445.108690370958</v>
      </c>
      <c r="U225" s="15">
        <f>'FS (nominal)'!U226*CPI!$I$46</f>
        <v>12520.971622708219</v>
      </c>
      <c r="V225" s="15">
        <f>'FS (nominal)'!V226*CPI!$I$46</f>
        <v>36924.137067662734</v>
      </c>
      <c r="W225" s="17"/>
      <c r="X225" s="17">
        <f>'FS (nominal)'!W226*CPI!$I$46</f>
        <v>1690.9045774286446</v>
      </c>
      <c r="Y225" s="17">
        <f>'FS (nominal)'!X226*CPI!$I$46</f>
        <v>9082.2897420090667</v>
      </c>
      <c r="Z225" s="17">
        <f>'FS (nominal)'!Y226*CPI!$I$46</f>
        <v>0</v>
      </c>
      <c r="AA225" s="15">
        <f>'FS (nominal)'!Z226*CPI!$I$46</f>
        <v>44315.522555672775</v>
      </c>
      <c r="AB225" s="17">
        <f>'FS (nominal)'!AA226*CPI!$I$46</f>
        <v>8987.4040101793507</v>
      </c>
      <c r="AC225" s="17">
        <f>'FS (nominal)'!AB226*CPI!$I$46</f>
        <v>13585.342905819622</v>
      </c>
      <c r="AD225" s="17">
        <f>'FS (nominal)'!AC226*CPI!$I$46</f>
        <v>1622.5368396681017</v>
      </c>
      <c r="AE225" s="17">
        <f>'FS (nominal)'!AD226*CPI!$I$46</f>
        <v>5747.5298931310763</v>
      </c>
      <c r="AF225" s="17">
        <f>'FS (nominal)'!AE226*CPI!$I$46</f>
        <v>4149.4836829004016</v>
      </c>
      <c r="AG225" s="15">
        <f>'FS (nominal)'!AF226*CPI!$I$46</f>
        <v>34092.297331698552</v>
      </c>
      <c r="AH225" s="18">
        <f>'FS (nominal)'!AG226*CPI!$I$46</f>
        <v>2629.475863705055</v>
      </c>
    </row>
    <row r="226" spans="1:34" s="102" customFormat="1" ht="15" customHeight="1">
      <c r="A226" s="246">
        <f>References!H284</f>
        <v>604</v>
      </c>
      <c r="B226" s="256" t="s">
        <v>55</v>
      </c>
      <c r="C226" s="121">
        <v>2009</v>
      </c>
      <c r="D226" s="17">
        <f>'FS (nominal)'!D227*CPI!$I$50</f>
        <v>64468.140203445648</v>
      </c>
      <c r="E226" s="15">
        <f>'FS (nominal)'!E227*CPI!$I$50</f>
        <v>77252.569829089145</v>
      </c>
      <c r="F226" s="15">
        <f>'FS (nominal)'!F227*CPI!$I$50</f>
        <v>6773.6535326240628</v>
      </c>
      <c r="G226" s="15">
        <f>'FS (nominal)'!G227*CPI!$I$50</f>
        <v>1942.3948673210236</v>
      </c>
      <c r="H226" s="17">
        <f>'FS (nominal)'!H227*CPI!$I$50</f>
        <v>1663.100917482325</v>
      </c>
      <c r="I226" s="15">
        <f>'FS (nominal)'!I227*CPI!$I$50</f>
        <v>87631.718731278714</v>
      </c>
      <c r="J226" s="15">
        <f>'FS (nominal)'!J227*CPI!$I$50</f>
        <v>19196.445054567914</v>
      </c>
      <c r="K226" s="17">
        <f>'FS (nominal)'!K227*CPI!$I$50</f>
        <v>0</v>
      </c>
      <c r="L226" s="17">
        <f>'FS (nominal)'!L227*CPI!$I$50</f>
        <v>0</v>
      </c>
      <c r="M226" s="17">
        <f>'FS (nominal)'!M227*CPI!$I$50</f>
        <v>0</v>
      </c>
      <c r="N226" s="17">
        <f>'FS (nominal)'!N227*CPI!$I$50</f>
        <v>0</v>
      </c>
      <c r="O226" s="17">
        <f>'FS (nominal)'!O227*CPI!$I$50</f>
        <v>0</v>
      </c>
      <c r="P226" s="17">
        <f>'FS (nominal)'!P227*CPI!$I$50</f>
        <v>0</v>
      </c>
      <c r="Q226" s="17">
        <f>'FS (nominal)'!Q227*CPI!$I$50</f>
        <v>0</v>
      </c>
      <c r="R226" s="17">
        <f>'FS (nominal)'!R227*CPI!$I$50</f>
        <v>0</v>
      </c>
      <c r="S226" s="15">
        <f>'FS (nominal)'!S227*CPI!$I$50</f>
        <v>16709.469401606144</v>
      </c>
      <c r="T226" s="15">
        <f>'FS (nominal)'!T227*CPI!$I$50</f>
        <v>51725.805313199242</v>
      </c>
      <c r="U226" s="15">
        <f>'FS (nominal)'!U227*CPI!$I$50</f>
        <v>15271.262021552608</v>
      </c>
      <c r="V226" s="15">
        <f>'FS (nominal)'!V227*CPI!$I$50</f>
        <v>36454.543291646638</v>
      </c>
      <c r="W226" s="17"/>
      <c r="X226" s="17">
        <f>'FS (nominal)'!W227*CPI!$I$50</f>
        <v>3061.0596057382099</v>
      </c>
      <c r="Y226" s="17">
        <f>'FS (nominal)'!X227*CPI!$I$50</f>
        <v>8599.4504467018978</v>
      </c>
      <c r="Z226" s="17">
        <f>'FS (nominal)'!Y227*CPI!$I$50</f>
        <v>0</v>
      </c>
      <c r="AA226" s="15">
        <f>'FS (nominal)'!Z227*CPI!$I$50</f>
        <v>41992.933613563036</v>
      </c>
      <c r="AB226" s="17">
        <f>'FS (nominal)'!AA227*CPI!$I$50</f>
        <v>0</v>
      </c>
      <c r="AC226" s="17">
        <f>'FS (nominal)'!AB227*CPI!$I$50</f>
        <v>0</v>
      </c>
      <c r="AD226" s="17">
        <f>'FS (nominal)'!AC227*CPI!$I$50</f>
        <v>0</v>
      </c>
      <c r="AE226" s="17">
        <f>'FS (nominal)'!AD227*CPI!$I$50</f>
        <v>0</v>
      </c>
      <c r="AF226" s="17">
        <f>'FS (nominal)'!AE227*CPI!$I$50</f>
        <v>0</v>
      </c>
      <c r="AG226" s="15">
        <f>'FS (nominal)'!AF227*CPI!$I$50</f>
        <v>33399.980081817543</v>
      </c>
      <c r="AH226" s="18">
        <f>'FS (nominal)'!AG227*CPI!$I$50</f>
        <v>4968.892048157044</v>
      </c>
    </row>
    <row r="227" spans="1:34" s="102" customFormat="1" ht="15" customHeight="1">
      <c r="A227" s="246">
        <f>References!I284</f>
        <v>605</v>
      </c>
      <c r="B227" s="256" t="s">
        <v>55</v>
      </c>
      <c r="C227" s="121">
        <v>2010</v>
      </c>
      <c r="D227" s="17">
        <f>'FS (nominal)'!D228*CPI!$I$54</f>
        <v>72380.816658133699</v>
      </c>
      <c r="E227" s="15">
        <f>'FS (nominal)'!E228*CPI!$I$54</f>
        <v>80319.321161919637</v>
      </c>
      <c r="F227" s="15">
        <f>'FS (nominal)'!F228*CPI!$I$54</f>
        <v>5615.6010871439721</v>
      </c>
      <c r="G227" s="15">
        <f>'FS (nominal)'!G228*CPI!$I$54</f>
        <v>500.86450867397798</v>
      </c>
      <c r="H227" s="17">
        <f>'FS (nominal)'!H228*CPI!$I$54</f>
        <v>1789.2834929535716</v>
      </c>
      <c r="I227" s="15">
        <f>'FS (nominal)'!I228*CPI!$I$54</f>
        <v>88225.070108054206</v>
      </c>
      <c r="J227" s="15">
        <f>'FS (nominal)'!J228*CPI!$I$54</f>
        <v>20080.226617444958</v>
      </c>
      <c r="K227" s="17">
        <f>'FS (nominal)'!K228*CPI!$I$54</f>
        <v>6130.8571143057306</v>
      </c>
      <c r="L227" s="17">
        <f>'FS (nominal)'!L228*CPI!$I$54</f>
        <v>3223.5247589393975</v>
      </c>
      <c r="M227" s="17">
        <f>'FS (nominal)'!M228*CPI!$I$54</f>
        <v>2780.1135391393382</v>
      </c>
      <c r="N227" s="17">
        <f>'FS (nominal)'!N228*CPI!$I$54</f>
        <v>1456.9810604941929</v>
      </c>
      <c r="O227" s="17">
        <f>'FS (nominal)'!O228*CPI!$I$54</f>
        <v>2174.0832525666242</v>
      </c>
      <c r="P227" s="17">
        <f>'FS (nominal)'!P228*CPI!$I$54</f>
        <v>551.18994368246604</v>
      </c>
      <c r="Q227" s="17">
        <f>'FS (nominal)'!Q228*CPI!$I$54</f>
        <v>0</v>
      </c>
      <c r="R227" s="17">
        <f>'FS (nominal)'!R228*CPI!$I$54</f>
        <v>931.76081307159586</v>
      </c>
      <c r="S227" s="15">
        <f>'FS (nominal)'!S228*CPI!$I$54</f>
        <v>17248.510186737083</v>
      </c>
      <c r="T227" s="15">
        <f>'FS (nominal)'!T228*CPI!$I$54</f>
        <v>50896.333303872161</v>
      </c>
      <c r="U227" s="15">
        <f>'FS (nominal)'!U228*CPI!$I$54</f>
        <v>14513.230600630539</v>
      </c>
      <c r="V227" s="15">
        <f>'FS (nominal)'!V228*CPI!$I$54</f>
        <v>36383.102703241624</v>
      </c>
      <c r="W227" s="17"/>
      <c r="X227" s="17">
        <f>'FS (nominal)'!W228*CPI!$I$54</f>
        <v>3917.7814013904226</v>
      </c>
      <c r="Y227" s="17">
        <f>'FS (nominal)'!X228*CPI!$I$54</f>
        <v>6279.9139538411782</v>
      </c>
      <c r="Z227" s="17">
        <f>'FS (nominal)'!Y228*CPI!$I$54</f>
        <v>0</v>
      </c>
      <c r="AA227" s="15">
        <f>'FS (nominal)'!Z228*CPI!$I$54</f>
        <v>38745.234848158223</v>
      </c>
      <c r="AB227" s="17">
        <f>'FS (nominal)'!AA228*CPI!$I$54</f>
        <v>5391.6885779149025</v>
      </c>
      <c r="AC227" s="17">
        <f>'FS (nominal)'!AB228*CPI!$I$54</f>
        <v>14940.904073994232</v>
      </c>
      <c r="AD227" s="17">
        <f>'FS (nominal)'!AC228*CPI!$I$54</f>
        <v>1306.952353884293</v>
      </c>
      <c r="AE227" s="17">
        <f>'FS (nominal)'!AD228*CPI!$I$54</f>
        <v>5204.3383009889239</v>
      </c>
      <c r="AF227" s="17">
        <f>'FS (nominal)'!AE228*CPI!$I$54</f>
        <v>2566.6251422758746</v>
      </c>
      <c r="AG227" s="15">
        <f>'FS (nominal)'!AF228*CPI!$I$54</f>
        <v>29410.509162242997</v>
      </c>
      <c r="AH227" s="18">
        <f>'FS (nominal)'!AG228*CPI!$I$54</f>
        <v>2513.3500361887309</v>
      </c>
    </row>
    <row r="228" spans="1:34" s="102" customFormat="1" ht="15" customHeight="1">
      <c r="A228" s="246">
        <f>References!J284</f>
        <v>606</v>
      </c>
      <c r="B228" s="256" t="s">
        <v>55</v>
      </c>
      <c r="C228" s="121">
        <v>2011</v>
      </c>
      <c r="D228" s="17">
        <f>'FS (nominal)'!D229*CPI!$I$58</f>
        <v>71290.664999999994</v>
      </c>
      <c r="E228" s="15">
        <f>'FS (nominal)'!E229*CPI!$I$58</f>
        <v>79115.964000000007</v>
      </c>
      <c r="F228" s="15">
        <f>'FS (nominal)'!F229*CPI!$I$58</f>
        <v>5479.0478999999996</v>
      </c>
      <c r="G228" s="15">
        <f>'FS (nominal)'!G229*CPI!$I$58</f>
        <v>903.83100000000002</v>
      </c>
      <c r="H228" s="17">
        <f>'FS (nominal)'!H229*CPI!$I$58</f>
        <v>2481.8393999999998</v>
      </c>
      <c r="I228" s="15">
        <f>'FS (nominal)'!I229*CPI!$I$58</f>
        <v>87980.683000000005</v>
      </c>
      <c r="J228" s="15">
        <f>'FS (nominal)'!J229*CPI!$I$58</f>
        <v>20554</v>
      </c>
      <c r="K228" s="17">
        <f>'FS (nominal)'!K229*CPI!$I$58</f>
        <v>5322.7161999999998</v>
      </c>
      <c r="L228" s="17">
        <f>'FS (nominal)'!L229*CPI!$I$58</f>
        <v>3425.5081</v>
      </c>
      <c r="M228" s="17">
        <f>'FS (nominal)'!M229*CPI!$I$58</f>
        <v>3052.9521</v>
      </c>
      <c r="N228" s="17">
        <f>'FS (nominal)'!N229*CPI!$I$58</f>
        <v>1579.5706</v>
      </c>
      <c r="O228" s="17">
        <f>'FS (nominal)'!O229*CPI!$I$58</f>
        <v>2428.0556000000001</v>
      </c>
      <c r="P228" s="17">
        <f>'FS (nominal)'!P229*CPI!$I$58</f>
        <v>488</v>
      </c>
      <c r="Q228" s="17">
        <f>'FS (nominal)'!Q229*CPI!$I$58</f>
        <v>0</v>
      </c>
      <c r="R228" s="17">
        <f>'FS (nominal)'!R229*CPI!$I$58</f>
        <v>1475.4087</v>
      </c>
      <c r="S228" s="15">
        <f>'FS (nominal)'!S229*CPI!$I$58</f>
        <v>17772.210999999999</v>
      </c>
      <c r="T228" s="15">
        <f>'FS (nominal)'!T229*CPI!$I$58</f>
        <v>49654.470999999998</v>
      </c>
      <c r="U228" s="15">
        <f>'FS (nominal)'!U229*CPI!$I$58</f>
        <v>13960.723</v>
      </c>
      <c r="V228" s="15">
        <f>'FS (nominal)'!V229*CPI!$I$58</f>
        <v>35693.748</v>
      </c>
      <c r="W228" s="17"/>
      <c r="X228" s="17">
        <f>'FS (nominal)'!W229*CPI!$I$58</f>
        <v>3720.0151000000001</v>
      </c>
      <c r="Y228" s="17">
        <f>'FS (nominal)'!X229*CPI!$I$58</f>
        <v>14111.218999999999</v>
      </c>
      <c r="Z228" s="17">
        <f>'FS (nominal)'!Y229*CPI!$I$58</f>
        <v>0</v>
      </c>
      <c r="AA228" s="15">
        <f>'FS (nominal)'!Z229*CPI!$I$58</f>
        <v>46084.951999999997</v>
      </c>
      <c r="AB228" s="17">
        <f>'FS (nominal)'!AA229*CPI!$I$58</f>
        <v>5137.6058999999996</v>
      </c>
      <c r="AC228" s="17">
        <f>'FS (nominal)'!AB229*CPI!$I$58</f>
        <v>29089.894</v>
      </c>
      <c r="AD228" s="17">
        <f>'FS (nominal)'!AC229*CPI!$I$58</f>
        <v>679.01775999999995</v>
      </c>
      <c r="AE228" s="17">
        <f>'FS (nominal)'!AD229*CPI!$I$58</f>
        <v>5518.9245000000001</v>
      </c>
      <c r="AF228" s="17">
        <f>'FS (nominal)'!AE229*CPI!$I$58</f>
        <v>3501.7374</v>
      </c>
      <c r="AG228" s="15">
        <f>'FS (nominal)'!AF229*CPI!$I$58</f>
        <v>43927.18</v>
      </c>
      <c r="AH228" s="18">
        <f>'FS (nominal)'!AG229*CPI!$I$58</f>
        <v>6402.2380999999996</v>
      </c>
    </row>
    <row r="229" spans="1:34" s="102" customFormat="1" ht="15" hidden="1" customHeight="1">
      <c r="A229" s="246">
        <f>References!C285</f>
        <v>622</v>
      </c>
      <c r="B229" s="256" t="s">
        <v>56</v>
      </c>
      <c r="C229" s="121">
        <v>2004</v>
      </c>
      <c r="D229" s="17"/>
      <c r="E229" s="15"/>
      <c r="F229" s="15"/>
      <c r="G229" s="15"/>
      <c r="H229" s="17"/>
      <c r="I229" s="15"/>
      <c r="J229" s="15"/>
      <c r="K229" s="17"/>
      <c r="L229" s="17"/>
      <c r="M229" s="17"/>
      <c r="N229" s="17"/>
      <c r="O229" s="17"/>
      <c r="P229" s="17"/>
      <c r="Q229" s="17"/>
      <c r="R229" s="17"/>
      <c r="S229" s="15"/>
      <c r="T229" s="15"/>
      <c r="U229" s="15"/>
      <c r="V229" s="15"/>
      <c r="W229" s="17"/>
      <c r="X229" s="17"/>
      <c r="Y229" s="17"/>
      <c r="Z229" s="17"/>
      <c r="AA229" s="15"/>
      <c r="AB229" s="17"/>
      <c r="AC229" s="17"/>
      <c r="AD229" s="17"/>
      <c r="AE229" s="17"/>
      <c r="AF229" s="17"/>
      <c r="AG229" s="15"/>
      <c r="AH229" s="18"/>
    </row>
    <row r="230" spans="1:34" s="102" customFormat="1" ht="15" hidden="1" customHeight="1">
      <c r="A230" s="246">
        <f>References!D285</f>
        <v>623</v>
      </c>
      <c r="B230" s="256" t="s">
        <v>56</v>
      </c>
      <c r="C230" s="121">
        <v>2005</v>
      </c>
      <c r="D230" s="17"/>
      <c r="E230" s="15"/>
      <c r="F230" s="15"/>
      <c r="G230" s="15"/>
      <c r="H230" s="17"/>
      <c r="I230" s="15"/>
      <c r="J230" s="15"/>
      <c r="K230" s="17"/>
      <c r="L230" s="17"/>
      <c r="M230" s="17"/>
      <c r="N230" s="17"/>
      <c r="O230" s="17"/>
      <c r="P230" s="17"/>
      <c r="Q230" s="17"/>
      <c r="R230" s="17"/>
      <c r="S230" s="15"/>
      <c r="T230" s="15"/>
      <c r="U230" s="15"/>
      <c r="V230" s="15"/>
      <c r="W230" s="17"/>
      <c r="X230" s="17"/>
      <c r="Y230" s="17"/>
      <c r="Z230" s="17"/>
      <c r="AA230" s="15"/>
      <c r="AB230" s="17"/>
      <c r="AC230" s="17"/>
      <c r="AD230" s="17"/>
      <c r="AE230" s="17"/>
      <c r="AF230" s="17"/>
      <c r="AG230" s="15"/>
      <c r="AH230" s="18"/>
    </row>
    <row r="231" spans="1:34" s="102" customFormat="1" ht="14.45" hidden="1" customHeight="1">
      <c r="A231" s="246">
        <f>References!E285</f>
        <v>624</v>
      </c>
      <c r="B231" s="256" t="s">
        <v>56</v>
      </c>
      <c r="C231" s="121">
        <v>2006</v>
      </c>
      <c r="D231" s="17"/>
      <c r="E231" s="15"/>
      <c r="F231" s="15"/>
      <c r="G231" s="15"/>
      <c r="H231" s="17"/>
      <c r="I231" s="15"/>
      <c r="J231" s="15"/>
      <c r="K231" s="17"/>
      <c r="L231" s="17"/>
      <c r="M231" s="17"/>
      <c r="N231" s="17"/>
      <c r="O231" s="17"/>
      <c r="P231" s="17"/>
      <c r="Q231" s="17"/>
      <c r="R231" s="17"/>
      <c r="S231" s="15"/>
      <c r="T231" s="15"/>
      <c r="U231" s="15"/>
      <c r="V231" s="15"/>
      <c r="W231" s="17"/>
      <c r="X231" s="17"/>
      <c r="Y231" s="17"/>
      <c r="Z231" s="17"/>
      <c r="AA231" s="15"/>
      <c r="AB231" s="17"/>
      <c r="AC231" s="17"/>
      <c r="AD231" s="17"/>
      <c r="AE231" s="17"/>
      <c r="AF231" s="17"/>
      <c r="AG231" s="15"/>
      <c r="AH231" s="18"/>
    </row>
    <row r="232" spans="1:34" s="102" customFormat="1" ht="15" hidden="1" customHeight="1">
      <c r="A232" s="246">
        <f>References!F285</f>
        <v>625</v>
      </c>
      <c r="B232" s="256" t="s">
        <v>56</v>
      </c>
      <c r="C232" s="121">
        <v>2007</v>
      </c>
      <c r="D232" s="17"/>
      <c r="E232" s="15"/>
      <c r="F232" s="15"/>
      <c r="G232" s="15"/>
      <c r="H232" s="17"/>
      <c r="I232" s="15"/>
      <c r="J232" s="15"/>
      <c r="K232" s="17"/>
      <c r="L232" s="17"/>
      <c r="M232" s="17"/>
      <c r="N232" s="17"/>
      <c r="O232" s="17"/>
      <c r="P232" s="17"/>
      <c r="Q232" s="17"/>
      <c r="R232" s="17"/>
      <c r="S232" s="15"/>
      <c r="T232" s="15"/>
      <c r="U232" s="15"/>
      <c r="V232" s="15"/>
      <c r="W232" s="17"/>
      <c r="X232" s="17"/>
      <c r="Y232" s="17"/>
      <c r="Z232" s="17"/>
      <c r="AA232" s="15"/>
      <c r="AB232" s="17"/>
      <c r="AC232" s="17"/>
      <c r="AD232" s="17"/>
      <c r="AE232" s="17"/>
      <c r="AF232" s="17"/>
      <c r="AG232" s="15"/>
      <c r="AH232" s="18"/>
    </row>
    <row r="233" spans="1:34" s="102" customFormat="1" ht="15" customHeight="1">
      <c r="A233" s="246">
        <f>References!G285</f>
        <v>626</v>
      </c>
      <c r="B233" s="256" t="s">
        <v>56</v>
      </c>
      <c r="C233" s="121">
        <v>2008</v>
      </c>
      <c r="D233" s="17"/>
      <c r="E233" s="15"/>
      <c r="F233" s="15"/>
      <c r="G233" s="15"/>
      <c r="H233" s="17"/>
      <c r="I233" s="15"/>
      <c r="J233" s="15"/>
      <c r="K233" s="17"/>
      <c r="L233" s="17"/>
      <c r="M233" s="17"/>
      <c r="N233" s="17"/>
      <c r="O233" s="17"/>
      <c r="P233" s="17"/>
      <c r="Q233" s="17"/>
      <c r="R233" s="17"/>
      <c r="S233" s="15"/>
      <c r="T233" s="15"/>
      <c r="U233" s="15"/>
      <c r="V233" s="15"/>
      <c r="W233" s="17"/>
      <c r="X233" s="17"/>
      <c r="Y233" s="17"/>
      <c r="Z233" s="17"/>
      <c r="AA233" s="15"/>
      <c r="AB233" s="17"/>
      <c r="AC233" s="17"/>
      <c r="AD233" s="17"/>
      <c r="AE233" s="17"/>
      <c r="AF233" s="17"/>
      <c r="AG233" s="15"/>
      <c r="AH233" s="18"/>
    </row>
    <row r="234" spans="1:34" s="102" customFormat="1" ht="15" customHeight="1">
      <c r="A234" s="246">
        <f>References!H285</f>
        <v>627</v>
      </c>
      <c r="B234" s="256" t="s">
        <v>56</v>
      </c>
      <c r="C234" s="121">
        <v>2009</v>
      </c>
      <c r="D234" s="17">
        <f>'FS (nominal)'!D235*CPI!$I$50</f>
        <v>91523.609032877997</v>
      </c>
      <c r="E234" s="15">
        <f>'FS (nominal)'!E235*CPI!$I$50</f>
        <v>91523.609032877997</v>
      </c>
      <c r="F234" s="15">
        <f>'FS (nominal)'!F235*CPI!$I$50</f>
        <v>3271.0360354176669</v>
      </c>
      <c r="G234" s="15">
        <f>'FS (nominal)'!G235*CPI!$I$50</f>
        <v>28.807114335918723</v>
      </c>
      <c r="H234" s="17">
        <f>'FS (nominal)'!H235*CPI!$I$50</f>
        <v>329.75475177706079</v>
      </c>
      <c r="I234" s="15">
        <f>'FS (nominal)'!I235*CPI!$I$50</f>
        <v>95153.207090122829</v>
      </c>
      <c r="J234" s="15">
        <f>'FS (nominal)'!J235*CPI!$I$50</f>
        <v>29905.743329809862</v>
      </c>
      <c r="K234" s="17">
        <f>'FS (nominal)'!K235*CPI!$I$50</f>
        <v>0</v>
      </c>
      <c r="L234" s="17">
        <f>'FS (nominal)'!L235*CPI!$I$50</f>
        <v>0</v>
      </c>
      <c r="M234" s="17">
        <f>'FS (nominal)'!M235*CPI!$I$50</f>
        <v>0</v>
      </c>
      <c r="N234" s="17">
        <f>'FS (nominal)'!N235*CPI!$I$50</f>
        <v>0</v>
      </c>
      <c r="O234" s="17">
        <f>'FS (nominal)'!O235*CPI!$I$50</f>
        <v>0</v>
      </c>
      <c r="P234" s="17">
        <f>'FS (nominal)'!P235*CPI!$I$50</f>
        <v>0</v>
      </c>
      <c r="Q234" s="17">
        <f>'FS (nominal)'!Q235*CPI!$I$50</f>
        <v>0</v>
      </c>
      <c r="R234" s="17">
        <f>'FS (nominal)'!R235*CPI!$I$50</f>
        <v>0</v>
      </c>
      <c r="S234" s="15">
        <f>'FS (nominal)'!S235*CPI!$I$50</f>
        <v>19147.430380671281</v>
      </c>
      <c r="T234" s="15">
        <f>'FS (nominal)'!T235*CPI!$I$50</f>
        <v>46100.033379641696</v>
      </c>
      <c r="U234" s="15">
        <f>'FS (nominal)'!U235*CPI!$I$50</f>
        <v>10873.427257601754</v>
      </c>
      <c r="V234" s="15">
        <f>'FS (nominal)'!V235*CPI!$I$50</f>
        <v>35226.607160134525</v>
      </c>
      <c r="W234" s="17"/>
      <c r="X234" s="17">
        <f>'FS (nominal)'!W235*CPI!$I$50</f>
        <v>3731.6866662914395</v>
      </c>
      <c r="Y234" s="17">
        <f>'FS (nominal)'!X235*CPI!$I$50</f>
        <v>0</v>
      </c>
      <c r="Z234" s="17">
        <f>'FS (nominal)'!Y235*CPI!$I$50</f>
        <v>21.298123597776094</v>
      </c>
      <c r="AA234" s="15">
        <f>'FS (nominal)'!Z235*CPI!$I$50</f>
        <v>31516.218353764834</v>
      </c>
      <c r="AB234" s="17">
        <f>'FS (nominal)'!AA235*CPI!$I$50</f>
        <v>0</v>
      </c>
      <c r="AC234" s="17">
        <f>'FS (nominal)'!AB235*CPI!$I$50</f>
        <v>0</v>
      </c>
      <c r="AD234" s="17">
        <f>'FS (nominal)'!AC235*CPI!$I$50</f>
        <v>0</v>
      </c>
      <c r="AE234" s="17">
        <f>'FS (nominal)'!AD235*CPI!$I$50</f>
        <v>0</v>
      </c>
      <c r="AF234" s="17">
        <f>'FS (nominal)'!AE235*CPI!$I$50</f>
        <v>0</v>
      </c>
      <c r="AG234" s="15">
        <f>'FS (nominal)'!AF235*CPI!$I$50</f>
        <v>24861.327201592416</v>
      </c>
      <c r="AH234" s="18">
        <f>'FS (nominal)'!AG235*CPI!$I$50</f>
        <v>70.590431738623082</v>
      </c>
    </row>
    <row r="235" spans="1:34" s="102" customFormat="1" ht="15" customHeight="1">
      <c r="A235" s="246">
        <f>References!I285</f>
        <v>628</v>
      </c>
      <c r="B235" s="256" t="s">
        <v>56</v>
      </c>
      <c r="C235" s="121">
        <v>2010</v>
      </c>
      <c r="D235" s="17">
        <f>'FS (nominal)'!D236*CPI!$I$54</f>
        <v>150045.77210261108</v>
      </c>
      <c r="E235" s="15">
        <f>'FS (nominal)'!E236*CPI!$I$54</f>
        <v>150045.77210261108</v>
      </c>
      <c r="F235" s="15">
        <f>'FS (nominal)'!F236*CPI!$I$54</f>
        <v>3473.8962193689194</v>
      </c>
      <c r="G235" s="15">
        <f>'FS (nominal)'!G236*CPI!$I$54</f>
        <v>169.63556193042493</v>
      </c>
      <c r="H235" s="17">
        <f>'FS (nominal)'!H236*CPI!$I$54</f>
        <v>308.36220534612374</v>
      </c>
      <c r="I235" s="15">
        <f>'FS (nominal)'!I236*CPI!$I$54</f>
        <v>153997.6715502142</v>
      </c>
      <c r="J235" s="15">
        <f>'FS (nominal)'!J236*CPI!$I$54</f>
        <v>45324.728075772677</v>
      </c>
      <c r="K235" s="17">
        <f>'FS (nominal)'!K236*CPI!$I$54</f>
        <v>3710.0621598986818</v>
      </c>
      <c r="L235" s="17">
        <f>'FS (nominal)'!L236*CPI!$I$54</f>
        <v>14688.498814367706</v>
      </c>
      <c r="M235" s="17">
        <f>'FS (nominal)'!M236*CPI!$I$54</f>
        <v>6065.4945452022303</v>
      </c>
      <c r="N235" s="17">
        <f>'FS (nominal)'!N236*CPI!$I$54</f>
        <v>585.83034679744537</v>
      </c>
      <c r="O235" s="17">
        <f>'FS (nominal)'!O236*CPI!$I$54</f>
        <v>4393.5300487995464</v>
      </c>
      <c r="P235" s="17">
        <f>'FS (nominal)'!P236*CPI!$I$54</f>
        <v>2327.5950517097353</v>
      </c>
      <c r="Q235" s="17">
        <f>'FS (nominal)'!Q236*CPI!$I$54</f>
        <v>0</v>
      </c>
      <c r="R235" s="17">
        <f>'FS (nominal)'!R236*CPI!$I$54</f>
        <v>0</v>
      </c>
      <c r="S235" s="15">
        <f>'FS (nominal)'!S236*CPI!$I$54</f>
        <v>31771.011170542421</v>
      </c>
      <c r="T235" s="15">
        <f>'FS (nominal)'!T236*CPI!$I$54</f>
        <v>76901.93026622833</v>
      </c>
      <c r="U235" s="15">
        <f>'FS (nominal)'!U236*CPI!$I$54</f>
        <v>18362.635208428765</v>
      </c>
      <c r="V235" s="15">
        <f>'FS (nominal)'!V236*CPI!$I$54</f>
        <v>58539.295057799573</v>
      </c>
      <c r="W235" s="17"/>
      <c r="X235" s="17">
        <f>'FS (nominal)'!W236*CPI!$I$54</f>
        <v>8148.0367628465947</v>
      </c>
      <c r="Y235" s="17">
        <f>'FS (nominal)'!X236*CPI!$I$54</f>
        <v>9512.4200523564432</v>
      </c>
      <c r="Z235" s="17">
        <f>'FS (nominal)'!Y236*CPI!$I$54</f>
        <v>348.67601368327445</v>
      </c>
      <c r="AA235" s="15">
        <f>'FS (nominal)'!Z236*CPI!$I$54</f>
        <v>60252.354687020015</v>
      </c>
      <c r="AB235" s="17">
        <f>'FS (nominal)'!AA236*CPI!$I$54</f>
        <v>6338.7304037077938</v>
      </c>
      <c r="AC235" s="17">
        <f>'FS (nominal)'!AB236*CPI!$I$54</f>
        <v>1165.9937274123572</v>
      </c>
      <c r="AD235" s="17">
        <f>'FS (nominal)'!AC236*CPI!$I$54</f>
        <v>10163.623156611247</v>
      </c>
      <c r="AE235" s="17">
        <f>'FS (nominal)'!AD236*CPI!$I$54</f>
        <v>1399.0860453504349</v>
      </c>
      <c r="AF235" s="17">
        <f>'FS (nominal)'!AE236*CPI!$I$54</f>
        <v>483.50804676511001</v>
      </c>
      <c r="AG235" s="15">
        <f>'FS (nominal)'!AF236*CPI!$I$54</f>
        <v>19550.941634555787</v>
      </c>
      <c r="AH235" s="18">
        <f>'FS (nominal)'!AG236*CPI!$I$54</f>
        <v>18168.281151410632</v>
      </c>
    </row>
    <row r="236" spans="1:34" s="102" customFormat="1" ht="15" customHeight="1">
      <c r="A236" s="246">
        <f>References!J285</f>
        <v>629</v>
      </c>
      <c r="B236" s="256" t="s">
        <v>56</v>
      </c>
      <c r="C236" s="121">
        <v>2011</v>
      </c>
      <c r="D236" s="17">
        <f>'FS (nominal)'!D237*CPI!$I$58</f>
        <v>148082</v>
      </c>
      <c r="E236" s="15">
        <f>'FS (nominal)'!E237*CPI!$I$58</f>
        <v>148082</v>
      </c>
      <c r="F236" s="15">
        <f>'FS (nominal)'!F237*CPI!$I$58</f>
        <v>3401.5493000000001</v>
      </c>
      <c r="G236" s="15">
        <f>'FS (nominal)'!G237*CPI!$I$58</f>
        <v>194.25051999999999</v>
      </c>
      <c r="H236" s="17">
        <f>'FS (nominal)'!H237*CPI!$I$58</f>
        <v>239.78279000000001</v>
      </c>
      <c r="I236" s="15">
        <f>'FS (nominal)'!I237*CPI!$I$58</f>
        <v>151917.57999999999</v>
      </c>
      <c r="J236" s="15">
        <f>'FS (nominal)'!J237*CPI!$I$58</f>
        <v>45394.462</v>
      </c>
      <c r="K236" s="17">
        <f>'FS (nominal)'!K237*CPI!$I$58</f>
        <v>4774.2853999999998</v>
      </c>
      <c r="L236" s="17">
        <f>'FS (nominal)'!L237*CPI!$I$58</f>
        <v>14813.481</v>
      </c>
      <c r="M236" s="17">
        <f>'FS (nominal)'!M237*CPI!$I$58</f>
        <v>5343.7659000000003</v>
      </c>
      <c r="N236" s="17">
        <f>'FS (nominal)'!N237*CPI!$I$58</f>
        <v>600</v>
      </c>
      <c r="O236" s="17">
        <f>'FS (nominal)'!O237*CPI!$I$58</f>
        <v>3971.2586999999999</v>
      </c>
      <c r="P236" s="17">
        <f>'FS (nominal)'!P237*CPI!$I$58</f>
        <v>2104.9247999999998</v>
      </c>
      <c r="Q236" s="17">
        <f>'FS (nominal)'!Q237*CPI!$I$58</f>
        <v>0</v>
      </c>
      <c r="R236" s="17">
        <f>'FS (nominal)'!R237*CPI!$I$58</f>
        <v>0</v>
      </c>
      <c r="S236" s="15">
        <f>'FS (nominal)'!S237*CPI!$I$58</f>
        <v>31607.716</v>
      </c>
      <c r="T236" s="15">
        <f>'FS (nominal)'!T237*CPI!$I$58</f>
        <v>74915.402000000002</v>
      </c>
      <c r="U236" s="15">
        <f>'FS (nominal)'!U237*CPI!$I$58</f>
        <v>22397.853999999999</v>
      </c>
      <c r="V236" s="15">
        <f>'FS (nominal)'!V237*CPI!$I$58</f>
        <v>52517.548000000003</v>
      </c>
      <c r="W236" s="17"/>
      <c r="X236" s="17">
        <f>'FS (nominal)'!W237*CPI!$I$58</f>
        <v>6149.7184999999999</v>
      </c>
      <c r="Y236" s="17">
        <f>'FS (nominal)'!X237*CPI!$I$58</f>
        <v>21710.494999999999</v>
      </c>
      <c r="Z236" s="17">
        <f>'FS (nominal)'!Y237*CPI!$I$58</f>
        <v>0</v>
      </c>
      <c r="AA236" s="15">
        <f>'FS (nominal)'!Z237*CPI!$I$58</f>
        <v>68078.323999999993</v>
      </c>
      <c r="AB236" s="17">
        <f>'FS (nominal)'!AA237*CPI!$I$58</f>
        <v>4829.2141000000001</v>
      </c>
      <c r="AC236" s="17">
        <f>'FS (nominal)'!AB237*CPI!$I$58</f>
        <v>1532.6415999999999</v>
      </c>
      <c r="AD236" s="17">
        <f>'FS (nominal)'!AC237*CPI!$I$58</f>
        <v>17528.434000000001</v>
      </c>
      <c r="AE236" s="17">
        <f>'FS (nominal)'!AD237*CPI!$I$58</f>
        <v>567.29503</v>
      </c>
      <c r="AF236" s="17">
        <f>'FS (nominal)'!AE237*CPI!$I$58</f>
        <v>1815.6238000000001</v>
      </c>
      <c r="AG236" s="15">
        <f>'FS (nominal)'!AF237*CPI!$I$58</f>
        <v>26273.208999999999</v>
      </c>
      <c r="AH236" s="18">
        <f>'FS (nominal)'!AG237*CPI!$I$58</f>
        <v>1026.9603999999999</v>
      </c>
    </row>
    <row r="237" spans="1:34" s="102" customFormat="1" ht="15" hidden="1" customHeight="1">
      <c r="A237" s="246">
        <f>References!C286</f>
        <v>645</v>
      </c>
      <c r="B237" s="255" t="s">
        <v>57</v>
      </c>
      <c r="C237" s="121">
        <v>2004</v>
      </c>
      <c r="D237" s="17">
        <f>'FS (nominal)'!D238*CPI!$I$30</f>
        <v>14205.740333700169</v>
      </c>
      <c r="E237" s="15">
        <f>'FS (nominal)'!E238*CPI!$I$30</f>
        <v>14205.740333700169</v>
      </c>
      <c r="F237" s="15">
        <f>'FS (nominal)'!F238*CPI!$I$30</f>
        <v>0</v>
      </c>
      <c r="G237" s="15">
        <f>'FS (nominal)'!G238*CPI!$I$30</f>
        <v>328.51227433824573</v>
      </c>
      <c r="H237" s="17">
        <f>'FS (nominal)'!H238*CPI!$I$30</f>
        <v>690.84198868189901</v>
      </c>
      <c r="I237" s="15">
        <f>'FS (nominal)'!I238*CPI!$I$30</f>
        <v>15225.094596720313</v>
      </c>
      <c r="J237" s="15">
        <f>'FS (nominal)'!J238*CPI!$I$30</f>
        <v>2655.8768061389792</v>
      </c>
      <c r="K237" s="17">
        <f>'FS (nominal)'!K238*CPI!$I$30</f>
        <v>0</v>
      </c>
      <c r="L237" s="17">
        <f>'FS (nominal)'!L238*CPI!$I$30</f>
        <v>0</v>
      </c>
      <c r="M237" s="17">
        <f>'FS (nominal)'!M238*CPI!$I$30</f>
        <v>0</v>
      </c>
      <c r="N237" s="17">
        <f>'FS (nominal)'!N238*CPI!$I$30</f>
        <v>0</v>
      </c>
      <c r="O237" s="17">
        <f>'FS (nominal)'!O238*CPI!$I$30</f>
        <v>0</v>
      </c>
      <c r="P237" s="17">
        <f>'FS (nominal)'!P238*CPI!$I$30</f>
        <v>0</v>
      </c>
      <c r="Q237" s="17">
        <f>'FS (nominal)'!Q238*CPI!$I$30</f>
        <v>328.51227433824573</v>
      </c>
      <c r="R237" s="17">
        <f>'FS (nominal)'!R238*CPI!$I$30</f>
        <v>0</v>
      </c>
      <c r="S237" s="15">
        <f>'FS (nominal)'!S238*CPI!$I$30</f>
        <v>8444.6978756360804</v>
      </c>
      <c r="T237" s="15">
        <f>'FS (nominal)'!T238*CPI!$I$30</f>
        <v>6780.3967210842329</v>
      </c>
      <c r="U237" s="15">
        <f>'FS (nominal)'!U238*CPI!$I$30</f>
        <v>2070.1104346167394</v>
      </c>
      <c r="V237" s="15">
        <f>'FS (nominal)'!V238*CPI!$I$30</f>
        <v>0</v>
      </c>
      <c r="W237" s="17"/>
      <c r="X237" s="17">
        <f>'FS (nominal)'!W238*CPI!$I$30</f>
        <v>1218.635605909154</v>
      </c>
      <c r="Y237" s="17">
        <f>'FS (nominal)'!X238*CPI!$I$30</f>
        <v>0</v>
      </c>
      <c r="Z237" s="17">
        <f>'FS (nominal)'!Y238*CPI!$I$30</f>
        <v>0</v>
      </c>
      <c r="AA237" s="15">
        <f>'FS (nominal)'!Z238*CPI!$I$30</f>
        <v>3188.5014862241496</v>
      </c>
      <c r="AB237" s="17">
        <f>'FS (nominal)'!AA238*CPI!$I$30</f>
        <v>0</v>
      </c>
      <c r="AC237" s="17">
        <f>'FS (nominal)'!AB238*CPI!$I$30</f>
        <v>0</v>
      </c>
      <c r="AD237" s="17">
        <f>'FS (nominal)'!AC238*CPI!$I$30</f>
        <v>0</v>
      </c>
      <c r="AE237" s="17">
        <f>'FS (nominal)'!AD238*CPI!$I$30</f>
        <v>0</v>
      </c>
      <c r="AF237" s="17">
        <f>'FS (nominal)'!AE238*CPI!$I$30</f>
        <v>0</v>
      </c>
      <c r="AG237" s="15">
        <f>'FS (nominal)'!AF238*CPI!$I$30</f>
        <v>0</v>
      </c>
      <c r="AH237" s="18">
        <f>'FS (nominal)'!AG238*CPI!$I$30</f>
        <v>0</v>
      </c>
    </row>
    <row r="238" spans="1:34" s="102" customFormat="1" ht="15" hidden="1" customHeight="1">
      <c r="A238" s="246">
        <f>References!D286</f>
        <v>646</v>
      </c>
      <c r="B238" s="255" t="s">
        <v>57</v>
      </c>
      <c r="C238" s="121">
        <v>2005</v>
      </c>
      <c r="D238" s="17">
        <f>'FS (nominal)'!D239*CPI!$I$34</f>
        <v>14435.831960824535</v>
      </c>
      <c r="E238" s="15">
        <f>'FS (nominal)'!E239*CPI!$I$34</f>
        <v>14435.831960824535</v>
      </c>
      <c r="F238" s="15">
        <f>'FS (nominal)'!F239*CPI!$I$34</f>
        <v>0</v>
      </c>
      <c r="G238" s="15">
        <f>'FS (nominal)'!G239*CPI!$I$34</f>
        <v>204.83036460763833</v>
      </c>
      <c r="H238" s="17">
        <f>'FS (nominal)'!H239*CPI!$I$34</f>
        <v>1520.9243165118894</v>
      </c>
      <c r="I238" s="15">
        <f>'FS (nominal)'!I239*CPI!$I$34</f>
        <v>16161.586641944063</v>
      </c>
      <c r="J238" s="15">
        <f>'FS (nominal)'!J239*CPI!$I$34</f>
        <v>2639.2510198294549</v>
      </c>
      <c r="K238" s="17">
        <f>'FS (nominal)'!K239*CPI!$I$34</f>
        <v>0</v>
      </c>
      <c r="L238" s="17">
        <f>'FS (nominal)'!L239*CPI!$I$34</f>
        <v>0</v>
      </c>
      <c r="M238" s="17">
        <f>'FS (nominal)'!M239*CPI!$I$34</f>
        <v>0</v>
      </c>
      <c r="N238" s="17">
        <f>'FS (nominal)'!N239*CPI!$I$34</f>
        <v>0</v>
      </c>
      <c r="O238" s="17">
        <f>'FS (nominal)'!O239*CPI!$I$34</f>
        <v>0</v>
      </c>
      <c r="P238" s="17">
        <f>'FS (nominal)'!P239*CPI!$I$34</f>
        <v>0</v>
      </c>
      <c r="Q238" s="17">
        <f>'FS (nominal)'!Q239*CPI!$I$34</f>
        <v>204.83036460763833</v>
      </c>
      <c r="R238" s="17">
        <f>'FS (nominal)'!R239*CPI!$I$34</f>
        <v>0</v>
      </c>
      <c r="S238" s="15">
        <f>'FS (nominal)'!S239*CPI!$I$34</f>
        <v>8621.7102895766857</v>
      </c>
      <c r="T238" s="15">
        <f>'FS (nominal)'!T239*CPI!$I$34</f>
        <v>7539.876352367377</v>
      </c>
      <c r="U238" s="15">
        <f>'FS (nominal)'!U239*CPI!$I$34</f>
        <v>2299.0442648202165</v>
      </c>
      <c r="V238" s="15">
        <f>'FS (nominal)'!V239*CPI!$I$34</f>
        <v>0</v>
      </c>
      <c r="W238" s="17"/>
      <c r="X238" s="17">
        <f>'FS (nominal)'!W239*CPI!$I$34</f>
        <v>1439.6984822709294</v>
      </c>
      <c r="Y238" s="17">
        <f>'FS (nominal)'!X239*CPI!$I$34</f>
        <v>0</v>
      </c>
      <c r="Z238" s="17">
        <f>'FS (nominal)'!Y239*CPI!$I$34</f>
        <v>0</v>
      </c>
      <c r="AA238" s="15">
        <f>'FS (nominal)'!Z239*CPI!$I$34</f>
        <v>3498.5968023787423</v>
      </c>
      <c r="AB238" s="17">
        <f>'FS (nominal)'!AA239*CPI!$I$34</f>
        <v>0</v>
      </c>
      <c r="AC238" s="17">
        <f>'FS (nominal)'!AB239*CPI!$I$34</f>
        <v>0</v>
      </c>
      <c r="AD238" s="17">
        <f>'FS (nominal)'!AC239*CPI!$I$34</f>
        <v>0</v>
      </c>
      <c r="AE238" s="17">
        <f>'FS (nominal)'!AD239*CPI!$I$34</f>
        <v>0</v>
      </c>
      <c r="AF238" s="17">
        <f>'FS (nominal)'!AE239*CPI!$I$34</f>
        <v>0</v>
      </c>
      <c r="AG238" s="15">
        <f>'FS (nominal)'!AF239*CPI!$I$34</f>
        <v>0</v>
      </c>
      <c r="AH238" s="18">
        <f>'FS (nominal)'!AG239*CPI!$I$34</f>
        <v>0</v>
      </c>
    </row>
    <row r="239" spans="1:34" s="102" customFormat="1" ht="14.45" hidden="1" customHeight="1">
      <c r="A239" s="246">
        <f>References!E286</f>
        <v>647</v>
      </c>
      <c r="B239" s="255" t="s">
        <v>57</v>
      </c>
      <c r="C239" s="121">
        <v>2006</v>
      </c>
      <c r="D239" s="17">
        <f>'FS (nominal)'!D240*CPI!$I$38</f>
        <v>13306.473447176191</v>
      </c>
      <c r="E239" s="15">
        <f>'FS (nominal)'!E240*CPI!$I$38</f>
        <v>13306.473447176191</v>
      </c>
      <c r="F239" s="15">
        <f>'FS (nominal)'!F240*CPI!$I$38</f>
        <v>0</v>
      </c>
      <c r="G239" s="15">
        <f>'FS (nominal)'!G240*CPI!$I$38</f>
        <v>366.26461812241098</v>
      </c>
      <c r="H239" s="17">
        <f>'FS (nominal)'!H240*CPI!$I$38</f>
        <v>2449.751199715939</v>
      </c>
      <c r="I239" s="15">
        <f>'FS (nominal)'!I240*CPI!$I$38</f>
        <v>16122.489265014541</v>
      </c>
      <c r="J239" s="15">
        <f>'FS (nominal)'!J240*CPI!$I$38</f>
        <v>2655.1332285696276</v>
      </c>
      <c r="K239" s="17">
        <f>'FS (nominal)'!K240*CPI!$I$38</f>
        <v>0</v>
      </c>
      <c r="L239" s="17">
        <f>'FS (nominal)'!L240*CPI!$I$38</f>
        <v>0</v>
      </c>
      <c r="M239" s="17">
        <f>'FS (nominal)'!M240*CPI!$I$38</f>
        <v>0</v>
      </c>
      <c r="N239" s="17">
        <f>'FS (nominal)'!N240*CPI!$I$38</f>
        <v>0</v>
      </c>
      <c r="O239" s="17">
        <f>'FS (nominal)'!O240*CPI!$I$38</f>
        <v>0</v>
      </c>
      <c r="P239" s="17">
        <f>'FS (nominal)'!P240*CPI!$I$38</f>
        <v>0</v>
      </c>
      <c r="Q239" s="17">
        <f>'FS (nominal)'!Q240*CPI!$I$38</f>
        <v>366.26461812241098</v>
      </c>
      <c r="R239" s="17">
        <f>'FS (nominal)'!R240*CPI!$I$38</f>
        <v>0</v>
      </c>
      <c r="S239" s="15">
        <f>'FS (nominal)'!S240*CPI!$I$38</f>
        <v>8219.8451992331738</v>
      </c>
      <c r="T239" s="15">
        <f>'FS (nominal)'!T240*CPI!$I$38</f>
        <v>7902.6440657813664</v>
      </c>
      <c r="U239" s="15">
        <f>'FS (nominal)'!U240*CPI!$I$38</f>
        <v>2415.5208615736578</v>
      </c>
      <c r="V239" s="15">
        <f>'FS (nominal)'!V240*CPI!$I$38</f>
        <v>0</v>
      </c>
      <c r="W239" s="17"/>
      <c r="X239" s="17">
        <f>'FS (nominal)'!W240*CPI!$I$38</f>
        <v>1057.7174485964954</v>
      </c>
      <c r="Y239" s="17">
        <f>'FS (nominal)'!X240*CPI!$I$38</f>
        <v>0</v>
      </c>
      <c r="Z239" s="17">
        <f>'FS (nominal)'!Y240*CPI!$I$38</f>
        <v>0</v>
      </c>
      <c r="AA239" s="15">
        <f>'FS (nominal)'!Z240*CPI!$I$38</f>
        <v>3731.1068575086729</v>
      </c>
      <c r="AB239" s="17">
        <f>'FS (nominal)'!AA240*CPI!$I$38</f>
        <v>0</v>
      </c>
      <c r="AC239" s="17">
        <f>'FS (nominal)'!AB240*CPI!$I$38</f>
        <v>0</v>
      </c>
      <c r="AD239" s="17">
        <f>'FS (nominal)'!AC240*CPI!$I$38</f>
        <v>0</v>
      </c>
      <c r="AE239" s="17">
        <f>'FS (nominal)'!AD240*CPI!$I$38</f>
        <v>0</v>
      </c>
      <c r="AF239" s="17">
        <f>'FS (nominal)'!AE240*CPI!$I$38</f>
        <v>0</v>
      </c>
      <c r="AG239" s="15">
        <f>'FS (nominal)'!AF240*CPI!$I$38</f>
        <v>0</v>
      </c>
      <c r="AH239" s="18">
        <f>'FS (nominal)'!AG240*CPI!$I$38</f>
        <v>0</v>
      </c>
    </row>
    <row r="240" spans="1:34" s="102" customFormat="1" ht="15" hidden="1" customHeight="1">
      <c r="A240" s="246">
        <f>References!F286</f>
        <v>648</v>
      </c>
      <c r="B240" s="255" t="s">
        <v>57</v>
      </c>
      <c r="C240" s="121">
        <v>2007</v>
      </c>
      <c r="D240" s="17">
        <f>'FS (nominal)'!D241*CPI!$I$42</f>
        <v>14415.290607540881</v>
      </c>
      <c r="E240" s="15">
        <f>'FS (nominal)'!E241*CPI!$I$42</f>
        <v>14415.290607540881</v>
      </c>
      <c r="F240" s="15">
        <f>'FS (nominal)'!F241*CPI!$I$42</f>
        <v>0</v>
      </c>
      <c r="G240" s="15">
        <f>'FS (nominal)'!G241*CPI!$I$42</f>
        <v>319.62705121829941</v>
      </c>
      <c r="H240" s="17">
        <f>'FS (nominal)'!H241*CPI!$I$42</f>
        <v>11402.612104016149</v>
      </c>
      <c r="I240" s="15">
        <f>'FS (nominal)'!I241*CPI!$I$42</f>
        <v>26137.529762775328</v>
      </c>
      <c r="J240" s="15">
        <f>'FS (nominal)'!J241*CPI!$I$42</f>
        <v>3306.86810776026</v>
      </c>
      <c r="K240" s="17">
        <f>'FS (nominal)'!K241*CPI!$I$42</f>
        <v>0</v>
      </c>
      <c r="L240" s="17">
        <f>'FS (nominal)'!L241*CPI!$I$42</f>
        <v>0</v>
      </c>
      <c r="M240" s="17">
        <f>'FS (nominal)'!M241*CPI!$I$42</f>
        <v>0</v>
      </c>
      <c r="N240" s="17">
        <f>'FS (nominal)'!N241*CPI!$I$42</f>
        <v>0</v>
      </c>
      <c r="O240" s="17">
        <f>'FS (nominal)'!O241*CPI!$I$42</f>
        <v>0</v>
      </c>
      <c r="P240" s="17">
        <f>'FS (nominal)'!P241*CPI!$I$42</f>
        <v>0</v>
      </c>
      <c r="Q240" s="17">
        <f>'FS (nominal)'!Q241*CPI!$I$42</f>
        <v>319.62705121829941</v>
      </c>
      <c r="R240" s="17">
        <f>'FS (nominal)'!R241*CPI!$I$42</f>
        <v>0</v>
      </c>
      <c r="S240" s="15">
        <f>'FS (nominal)'!S241*CPI!$I$42</f>
        <v>9614.2489835317538</v>
      </c>
      <c r="T240" s="15">
        <f>'FS (nominal)'!T241*CPI!$I$42</f>
        <v>16523.280779243574</v>
      </c>
      <c r="U240" s="15">
        <f>'FS (nominal)'!U241*CPI!$I$42</f>
        <v>2581.3478807733936</v>
      </c>
      <c r="V240" s="15">
        <f>'FS (nominal)'!V241*CPI!$I$42</f>
        <v>0</v>
      </c>
      <c r="W240" s="17"/>
      <c r="X240" s="17">
        <f>'FS (nominal)'!W241*CPI!$I$42</f>
        <v>451.23818995524618</v>
      </c>
      <c r="Y240" s="17">
        <f>'FS (nominal)'!X241*CPI!$I$42</f>
        <v>0</v>
      </c>
      <c r="Z240" s="17">
        <f>'FS (nominal)'!Y241*CPI!$I$42</f>
        <v>0</v>
      </c>
      <c r="AA240" s="15">
        <f>'FS (nominal)'!Z241*CPI!$I$42</f>
        <v>12545.085266329308</v>
      </c>
      <c r="AB240" s="17">
        <f>'FS (nominal)'!AA241*CPI!$I$42</f>
        <v>0</v>
      </c>
      <c r="AC240" s="17">
        <f>'FS (nominal)'!AB241*CPI!$I$42</f>
        <v>0</v>
      </c>
      <c r="AD240" s="17">
        <f>'FS (nominal)'!AC241*CPI!$I$42</f>
        <v>0</v>
      </c>
      <c r="AE240" s="17">
        <f>'FS (nominal)'!AD241*CPI!$I$42</f>
        <v>0</v>
      </c>
      <c r="AF240" s="17">
        <f>'FS (nominal)'!AE241*CPI!$I$42</f>
        <v>0</v>
      </c>
      <c r="AG240" s="15">
        <f>'FS (nominal)'!AF241*CPI!$I$42</f>
        <v>0</v>
      </c>
      <c r="AH240" s="18">
        <f>'FS (nominal)'!AG241*CPI!$I$42</f>
        <v>0</v>
      </c>
    </row>
    <row r="241" spans="1:34" s="102" customFormat="1" ht="15" customHeight="1">
      <c r="A241" s="246">
        <f>References!G286</f>
        <v>649</v>
      </c>
      <c r="B241" s="256" t="s">
        <v>57</v>
      </c>
      <c r="C241" s="121">
        <v>2008</v>
      </c>
      <c r="D241" s="17">
        <f>'FS (nominal)'!D242*CPI!$I$46</f>
        <v>16890.572552821417</v>
      </c>
      <c r="E241" s="15">
        <f>'FS (nominal)'!E242*CPI!$I$46</f>
        <v>16890.572552821417</v>
      </c>
      <c r="F241" s="15">
        <f>'FS (nominal)'!F242*CPI!$I$46</f>
        <v>4905.3491488694362</v>
      </c>
      <c r="G241" s="15">
        <f>'FS (nominal)'!G242*CPI!$I$46</f>
        <v>246.88460551452766</v>
      </c>
      <c r="H241" s="17">
        <f>'FS (nominal)'!H242*CPI!$I$46</f>
        <v>404.28701776396451</v>
      </c>
      <c r="I241" s="15">
        <f>'FS (nominal)'!I242*CPI!$I$46</f>
        <v>22447.093324969348</v>
      </c>
      <c r="J241" s="15">
        <f>'FS (nominal)'!J242*CPI!$I$46</f>
        <v>4526.9365002423656</v>
      </c>
      <c r="K241" s="17">
        <f>'FS (nominal)'!K242*CPI!$I$46</f>
        <v>0</v>
      </c>
      <c r="L241" s="17">
        <f>'FS (nominal)'!L242*CPI!$I$46</f>
        <v>0</v>
      </c>
      <c r="M241" s="17">
        <f>'FS (nominal)'!M242*CPI!$I$46</f>
        <v>4217.5221693136773</v>
      </c>
      <c r="N241" s="17">
        <f>'FS (nominal)'!N242*CPI!$I$46</f>
        <v>0</v>
      </c>
      <c r="O241" s="17">
        <f>'FS (nominal)'!O242*CPI!$I$46</f>
        <v>0</v>
      </c>
      <c r="P241" s="17">
        <f>'FS (nominal)'!P242*CPI!$I$46</f>
        <v>0</v>
      </c>
      <c r="Q241" s="17">
        <f>'FS (nominal)'!Q242*CPI!$I$46</f>
        <v>0</v>
      </c>
      <c r="R241" s="17">
        <f>'FS (nominal)'!R242*CPI!$I$46</f>
        <v>0</v>
      </c>
      <c r="S241" s="15">
        <f>'FS (nominal)'!S242*CPI!$I$46</f>
        <v>6988.2358643893813</v>
      </c>
      <c r="T241" s="15">
        <f>'FS (nominal)'!T242*CPI!$I$46</f>
        <v>10931.9209603376</v>
      </c>
      <c r="U241" s="15">
        <f>'FS (nominal)'!U242*CPI!$I$46</f>
        <v>3239.6866356819023</v>
      </c>
      <c r="V241" s="15">
        <f>'FS (nominal)'!V242*CPI!$I$46</f>
        <v>7692.2343246556975</v>
      </c>
      <c r="W241" s="17"/>
      <c r="X241" s="17">
        <f>'FS (nominal)'!W242*CPI!$I$46</f>
        <v>-582.48908069345043</v>
      </c>
      <c r="Y241" s="17">
        <f>'FS (nominal)'!X242*CPI!$I$46</f>
        <v>3009.5033963958826</v>
      </c>
      <c r="Z241" s="17">
        <f>'FS (nominal)'!Y242*CPI!$I$46</f>
        <v>0</v>
      </c>
      <c r="AA241" s="15">
        <f>'FS (nominal)'!Z242*CPI!$I$46</f>
        <v>11284.226370505545</v>
      </c>
      <c r="AB241" s="17">
        <f>'FS (nominal)'!AA242*CPI!$I$46</f>
        <v>0</v>
      </c>
      <c r="AC241" s="17">
        <f>'FS (nominal)'!AB242*CPI!$I$46</f>
        <v>0</v>
      </c>
      <c r="AD241" s="17">
        <f>'FS (nominal)'!AC242*CPI!$I$46</f>
        <v>0</v>
      </c>
      <c r="AE241" s="17">
        <f>'FS (nominal)'!AD242*CPI!$I$46</f>
        <v>5914.4495452082911</v>
      </c>
      <c r="AF241" s="17">
        <f>'FS (nominal)'!AE242*CPI!$I$46</f>
        <v>0</v>
      </c>
      <c r="AG241" s="15">
        <f>'FS (nominal)'!AF242*CPI!$I$46</f>
        <v>5914.4495452082911</v>
      </c>
      <c r="AH241" s="18">
        <f>'FS (nominal)'!AG242*CPI!$I$46</f>
        <v>51.748738273787453</v>
      </c>
    </row>
    <row r="242" spans="1:34" s="102" customFormat="1" ht="15" customHeight="1">
      <c r="A242" s="246">
        <f>References!H286</f>
        <v>650</v>
      </c>
      <c r="B242" s="256" t="s">
        <v>57</v>
      </c>
      <c r="C242" s="121">
        <v>2009</v>
      </c>
      <c r="D242" s="17">
        <f>'FS (nominal)'!D243*CPI!$I$50</f>
        <v>16337.532569153678</v>
      </c>
      <c r="E242" s="15">
        <f>'FS (nominal)'!E243*CPI!$I$50</f>
        <v>17377.703342713976</v>
      </c>
      <c r="F242" s="15">
        <f>'FS (nominal)'!F243*CPI!$I$50</f>
        <v>1439.8371885510326</v>
      </c>
      <c r="G242" s="15">
        <f>'FS (nominal)'!G243*CPI!$I$50</f>
        <v>498.28540050792765</v>
      </c>
      <c r="H242" s="17">
        <f>'FS (nominal)'!H243*CPI!$I$50</f>
        <v>378.90452330290333</v>
      </c>
      <c r="I242" s="15">
        <f>'FS (nominal)'!I243*CPI!$I$50</f>
        <v>19694.730455075842</v>
      </c>
      <c r="J242" s="15">
        <f>'FS (nominal)'!J243*CPI!$I$50</f>
        <v>4612.2542384515054</v>
      </c>
      <c r="K242" s="17">
        <f>'FS (nominal)'!K243*CPI!$I$50</f>
        <v>0</v>
      </c>
      <c r="L242" s="17">
        <f>'FS (nominal)'!L243*CPI!$I$50</f>
        <v>0</v>
      </c>
      <c r="M242" s="17">
        <f>'FS (nominal)'!M243*CPI!$I$50</f>
        <v>0</v>
      </c>
      <c r="N242" s="17">
        <f>'FS (nominal)'!N243*CPI!$I$50</f>
        <v>0</v>
      </c>
      <c r="O242" s="17">
        <f>'FS (nominal)'!O243*CPI!$I$50</f>
        <v>0</v>
      </c>
      <c r="P242" s="17">
        <f>'FS (nominal)'!P243*CPI!$I$50</f>
        <v>0</v>
      </c>
      <c r="Q242" s="17">
        <f>'FS (nominal)'!Q243*CPI!$I$50</f>
        <v>0</v>
      </c>
      <c r="R242" s="17">
        <f>'FS (nominal)'!R243*CPI!$I$50</f>
        <v>0</v>
      </c>
      <c r="S242" s="15">
        <f>'FS (nominal)'!S243*CPI!$I$50</f>
        <v>7299.8811174411403</v>
      </c>
      <c r="T242" s="15">
        <f>'FS (nominal)'!T243*CPI!$I$50</f>
        <v>7782.5950991831951</v>
      </c>
      <c r="U242" s="15">
        <f>'FS (nominal)'!U243*CPI!$I$50</f>
        <v>3186.2693840345933</v>
      </c>
      <c r="V242" s="15">
        <f>'FS (nominal)'!V243*CPI!$I$50</f>
        <v>4596.3257151486014</v>
      </c>
      <c r="W242" s="17"/>
      <c r="X242" s="17">
        <f>'FS (nominal)'!W243*CPI!$I$50</f>
        <v>-788.5706231395427</v>
      </c>
      <c r="Y242" s="17">
        <f>'FS (nominal)'!X243*CPI!$I$50</f>
        <v>2939.9688829432348</v>
      </c>
      <c r="Z242" s="17">
        <f>'FS (nominal)'!Y243*CPI!$I$50</f>
        <v>0</v>
      </c>
      <c r="AA242" s="15">
        <f>'FS (nominal)'!Z243*CPI!$I$50</f>
        <v>8324.8652938980013</v>
      </c>
      <c r="AB242" s="17">
        <f>'FS (nominal)'!AA243*CPI!$I$50</f>
        <v>0</v>
      </c>
      <c r="AC242" s="17">
        <f>'FS (nominal)'!AB243*CPI!$I$50</f>
        <v>0</v>
      </c>
      <c r="AD242" s="17">
        <f>'FS (nominal)'!AC243*CPI!$I$50</f>
        <v>0</v>
      </c>
      <c r="AE242" s="17">
        <f>'FS (nominal)'!AD243*CPI!$I$50</f>
        <v>0</v>
      </c>
      <c r="AF242" s="17">
        <f>'FS (nominal)'!AE243*CPI!$I$50</f>
        <v>0</v>
      </c>
      <c r="AG242" s="15">
        <f>'FS (nominal)'!AF243*CPI!$I$50</f>
        <v>8074.0422299402817</v>
      </c>
      <c r="AH242" s="18">
        <f>'FS (nominal)'!AG243*CPI!$I$50</f>
        <v>0</v>
      </c>
    </row>
    <row r="243" spans="1:34" s="102" customFormat="1" ht="15" customHeight="1">
      <c r="A243" s="246">
        <f>References!I286</f>
        <v>651</v>
      </c>
      <c r="B243" s="256" t="s">
        <v>57</v>
      </c>
      <c r="C243" s="121">
        <v>2010</v>
      </c>
      <c r="D243" s="17">
        <f>'FS (nominal)'!D244*CPI!$I$54</f>
        <v>18643.668723559051</v>
      </c>
      <c r="E243" s="15">
        <f>'FS (nominal)'!E244*CPI!$I$54</f>
        <v>18643.668723559051</v>
      </c>
      <c r="F243" s="15">
        <f>'FS (nominal)'!F244*CPI!$I$54</f>
        <v>477.83379590956855</v>
      </c>
      <c r="G243" s="15">
        <f>'FS (nominal)'!G244*CPI!$I$54</f>
        <v>204.78591253267223</v>
      </c>
      <c r="H243" s="17">
        <f>'FS (nominal)'!H244*CPI!$I$54</f>
        <v>395.3081296650588</v>
      </c>
      <c r="I243" s="15">
        <f>'FS (nominal)'!I244*CPI!$I$54</f>
        <v>19721.596561666349</v>
      </c>
      <c r="J243" s="15">
        <f>'FS (nominal)'!J244*CPI!$I$54</f>
        <v>4667.2849020506046</v>
      </c>
      <c r="K243" s="17">
        <f>'FS (nominal)'!K244*CPI!$I$54</f>
        <v>1124.7942658510951</v>
      </c>
      <c r="L243" s="17">
        <f>'FS (nominal)'!L244*CPI!$I$54</f>
        <v>1263.3558783110127</v>
      </c>
      <c r="M243" s="17">
        <f>'FS (nominal)'!M244*CPI!$I$54</f>
        <v>3173.6722265635522</v>
      </c>
      <c r="N243" s="17">
        <f>'FS (nominal)'!N244*CPI!$I$54</f>
        <v>969.93128721942264</v>
      </c>
      <c r="O243" s="17">
        <f>'FS (nominal)'!O244*CPI!$I$54</f>
        <v>890.46212713211708</v>
      </c>
      <c r="P243" s="17">
        <f>'FS (nominal)'!P244*CPI!$I$54</f>
        <v>107.99655088787689</v>
      </c>
      <c r="Q243" s="17">
        <f>'FS (nominal)'!Q244*CPI!$I$54</f>
        <v>0</v>
      </c>
      <c r="R243" s="17">
        <f>'FS (nominal)'!R244*CPI!$I$54</f>
        <v>0</v>
      </c>
      <c r="S243" s="15">
        <f>'FS (nominal)'!S244*CPI!$I$54</f>
        <v>7530.2123359650768</v>
      </c>
      <c r="T243" s="15">
        <f>'FS (nominal)'!T244*CPI!$I$54</f>
        <v>7524.0993236506683</v>
      </c>
      <c r="U243" s="15">
        <f>'FS (nominal)'!U244*CPI!$I$54</f>
        <v>3298.9889790089187</v>
      </c>
      <c r="V243" s="15">
        <f>'FS (nominal)'!V244*CPI!$I$54</f>
        <v>4225.1103446417501</v>
      </c>
      <c r="W243" s="17"/>
      <c r="X243" s="17">
        <f>'FS (nominal)'!W244*CPI!$I$54</f>
        <v>-235.45550661528924</v>
      </c>
      <c r="Y243" s="17">
        <f>'FS (nominal)'!X244*CPI!$I$54</f>
        <v>2135.2519719759639</v>
      </c>
      <c r="Z243" s="17">
        <f>'FS (nominal)'!Y244*CPI!$I$54</f>
        <v>0</v>
      </c>
      <c r="AA243" s="15">
        <f>'FS (nominal)'!Z244*CPI!$I$54</f>
        <v>6595.8178232330029</v>
      </c>
      <c r="AB243" s="17">
        <f>'FS (nominal)'!AA244*CPI!$I$54</f>
        <v>158.93832017461128</v>
      </c>
      <c r="AC243" s="17">
        <f>'FS (nominal)'!AB244*CPI!$I$54</f>
        <v>1053.475788849667</v>
      </c>
      <c r="AD243" s="17">
        <f>'FS (nominal)'!AC244*CPI!$I$54</f>
        <v>1459.9911077578074</v>
      </c>
      <c r="AE243" s="17">
        <f>'FS (nominal)'!AD244*CPI!$I$54</f>
        <v>2951.5661124733901</v>
      </c>
      <c r="AF243" s="17">
        <f>'FS (nominal)'!AE244*CPI!$I$54</f>
        <v>69.280806229958756</v>
      </c>
      <c r="AG243" s="15">
        <f>'FS (nominal)'!AF244*CPI!$I$54</f>
        <v>5693.2521354854343</v>
      </c>
      <c r="AH243" s="18">
        <f>'FS (nominal)'!AG244*CPI!$I$54</f>
        <v>0</v>
      </c>
    </row>
    <row r="244" spans="1:34" s="102" customFormat="1" ht="15" customHeight="1">
      <c r="A244" s="246">
        <f>References!J286</f>
        <v>652</v>
      </c>
      <c r="B244" s="257" t="s">
        <v>57</v>
      </c>
      <c r="C244" s="129">
        <v>2011</v>
      </c>
      <c r="D244" s="8">
        <f>'FS (nominal)'!D245*CPI!$I$58</f>
        <v>17018</v>
      </c>
      <c r="E244" s="16">
        <f>'FS (nominal)'!E245*CPI!$I$58</f>
        <v>18018</v>
      </c>
      <c r="F244" s="16">
        <f>'FS (nominal)'!F245*CPI!$I$58</f>
        <v>342</v>
      </c>
      <c r="G244" s="16">
        <f>'FS (nominal)'!G245*CPI!$I$58</f>
        <v>223</v>
      </c>
      <c r="H244" s="8">
        <f>'FS (nominal)'!H245*CPI!$I$58</f>
        <v>378</v>
      </c>
      <c r="I244" s="16">
        <f>'FS (nominal)'!I245*CPI!$I$58</f>
        <v>18961</v>
      </c>
      <c r="J244" s="16">
        <f>'FS (nominal)'!J245*CPI!$I$58</f>
        <v>3725</v>
      </c>
      <c r="K244" s="8">
        <f>'FS (nominal)'!K245*CPI!$I$58</f>
        <v>1325</v>
      </c>
      <c r="L244" s="8">
        <f>'FS (nominal)'!L245*CPI!$I$58</f>
        <v>1303</v>
      </c>
      <c r="M244" s="8">
        <f>'FS (nominal)'!M245*CPI!$I$58</f>
        <v>3258</v>
      </c>
      <c r="N244" s="8">
        <f>'FS (nominal)'!N245*CPI!$I$58</f>
        <v>700</v>
      </c>
      <c r="O244" s="8">
        <f>'FS (nominal)'!O245*CPI!$I$58</f>
        <v>865</v>
      </c>
      <c r="P244" s="8">
        <f>'FS (nominal)'!P245*CPI!$I$58</f>
        <v>88</v>
      </c>
      <c r="Q244" s="8">
        <f>'FS (nominal)'!Q245*CPI!$I$58</f>
        <v>0</v>
      </c>
      <c r="R244" s="8">
        <f>'FS (nominal)'!R245*CPI!$I$58</f>
        <v>0</v>
      </c>
      <c r="S244" s="16">
        <f>'FS (nominal)'!S245*CPI!$I$58</f>
        <v>7539</v>
      </c>
      <c r="T244" s="16">
        <f>'FS (nominal)'!T245*CPI!$I$58</f>
        <v>7697</v>
      </c>
      <c r="U244" s="16">
        <f>'FS (nominal)'!U245*CPI!$I$58</f>
        <v>3472</v>
      </c>
      <c r="V244" s="16">
        <f>'FS (nominal)'!V245*CPI!$I$58</f>
        <v>4225</v>
      </c>
      <c r="W244" s="8"/>
      <c r="X244" s="8">
        <f>'FS (nominal)'!W245*CPI!$I$58</f>
        <v>-368.66174000000001</v>
      </c>
      <c r="Y244" s="8">
        <f>'FS (nominal)'!X245*CPI!$I$58</f>
        <v>4826.3914999999997</v>
      </c>
      <c r="Z244" s="8">
        <f>'FS (nominal)'!Y245*CPI!$I$58</f>
        <v>0</v>
      </c>
      <c r="AA244" s="16">
        <f>'FS (nominal)'!Z245*CPI!$I$58</f>
        <v>9420.0532000000003</v>
      </c>
      <c r="AB244" s="8">
        <f>'FS (nominal)'!AA245*CPI!$I$58</f>
        <v>277</v>
      </c>
      <c r="AC244" s="8">
        <f>'FS (nominal)'!AB245*CPI!$I$58</f>
        <v>193</v>
      </c>
      <c r="AD244" s="8">
        <f>'FS (nominal)'!AC245*CPI!$I$58</f>
        <v>979</v>
      </c>
      <c r="AE244" s="8">
        <f>'FS (nominal)'!AD245*CPI!$I$58</f>
        <v>2482</v>
      </c>
      <c r="AF244" s="8">
        <f>'FS (nominal)'!AE245*CPI!$I$58</f>
        <v>25</v>
      </c>
      <c r="AG244" s="16">
        <f>'FS (nominal)'!AF245*CPI!$I$58</f>
        <v>3956</v>
      </c>
      <c r="AH244" s="10">
        <f>'FS (nominal)'!AG245*CPI!$I$58</f>
        <v>0</v>
      </c>
    </row>
    <row r="245" spans="1:34" s="258" customFormat="1" ht="21" hidden="1" customHeight="1">
      <c r="A245" s="9">
        <v>1</v>
      </c>
      <c r="B245" s="9">
        <f>A245+1</f>
        <v>2</v>
      </c>
      <c r="C245" s="9">
        <f>B245+1</f>
        <v>3</v>
      </c>
      <c r="D245" s="9">
        <f t="shared" ref="D245:AH245" si="0">C245+1</f>
        <v>4</v>
      </c>
      <c r="E245" s="9">
        <f t="shared" si="0"/>
        <v>5</v>
      </c>
      <c r="F245" s="9">
        <f t="shared" si="0"/>
        <v>6</v>
      </c>
      <c r="G245" s="9">
        <f t="shared" si="0"/>
        <v>7</v>
      </c>
      <c r="H245" s="9">
        <f t="shared" si="0"/>
        <v>8</v>
      </c>
      <c r="I245" s="9">
        <f t="shared" si="0"/>
        <v>9</v>
      </c>
      <c r="J245" s="9">
        <f t="shared" si="0"/>
        <v>10</v>
      </c>
      <c r="K245" s="9">
        <f t="shared" si="0"/>
        <v>11</v>
      </c>
      <c r="L245" s="9">
        <f t="shared" si="0"/>
        <v>12</v>
      </c>
      <c r="M245" s="9">
        <f t="shared" si="0"/>
        <v>13</v>
      </c>
      <c r="N245" s="9">
        <f t="shared" si="0"/>
        <v>14</v>
      </c>
      <c r="O245" s="9">
        <f t="shared" si="0"/>
        <v>15</v>
      </c>
      <c r="P245" s="9">
        <f t="shared" si="0"/>
        <v>16</v>
      </c>
      <c r="Q245" s="9">
        <f t="shared" si="0"/>
        <v>17</v>
      </c>
      <c r="R245" s="9">
        <f t="shared" si="0"/>
        <v>18</v>
      </c>
      <c r="S245" s="9">
        <f t="shared" si="0"/>
        <v>19</v>
      </c>
      <c r="T245" s="9">
        <f t="shared" si="0"/>
        <v>20</v>
      </c>
      <c r="U245" s="9">
        <f t="shared" si="0"/>
        <v>21</v>
      </c>
      <c r="V245" s="9">
        <f t="shared" si="0"/>
        <v>22</v>
      </c>
      <c r="W245" s="9">
        <f t="shared" si="0"/>
        <v>23</v>
      </c>
      <c r="X245" s="9">
        <f t="shared" si="0"/>
        <v>24</v>
      </c>
      <c r="Y245" s="9">
        <f t="shared" si="0"/>
        <v>25</v>
      </c>
      <c r="Z245" s="9">
        <f t="shared" si="0"/>
        <v>26</v>
      </c>
      <c r="AA245" s="9">
        <f t="shared" si="0"/>
        <v>27</v>
      </c>
      <c r="AB245" s="9">
        <f t="shared" si="0"/>
        <v>28</v>
      </c>
      <c r="AC245" s="9">
        <f t="shared" si="0"/>
        <v>29</v>
      </c>
      <c r="AD245" s="9">
        <f t="shared" si="0"/>
        <v>30</v>
      </c>
      <c r="AE245" s="9">
        <f t="shared" si="0"/>
        <v>31</v>
      </c>
      <c r="AF245" s="9">
        <f t="shared" si="0"/>
        <v>32</v>
      </c>
      <c r="AG245" s="9">
        <f t="shared" si="0"/>
        <v>33</v>
      </c>
      <c r="AH245" s="9">
        <f t="shared" si="0"/>
        <v>34</v>
      </c>
    </row>
    <row r="246" spans="1:34">
      <c r="C246" s="121"/>
      <c r="D246" s="121"/>
      <c r="E246" s="260"/>
      <c r="H246" s="261"/>
      <c r="I246" s="239"/>
    </row>
    <row r="247" spans="1:34">
      <c r="C247" s="209"/>
      <c r="D247" s="17"/>
      <c r="E247" s="5"/>
      <c r="H247" s="261"/>
      <c r="I247" s="239"/>
      <c r="N247" s="3"/>
    </row>
    <row r="248" spans="1:34">
      <c r="C248" s="209"/>
      <c r="D248" s="17"/>
      <c r="E248" s="5"/>
      <c r="H248" s="261"/>
      <c r="I248" s="262"/>
      <c r="J248" s="262"/>
      <c r="K248" s="6"/>
      <c r="N248" s="3"/>
      <c r="AA248" s="262">
        <v>2008</v>
      </c>
    </row>
    <row r="249" spans="1:34">
      <c r="C249" s="209"/>
      <c r="D249" s="17"/>
      <c r="E249" s="5"/>
      <c r="H249" s="261"/>
      <c r="I249" s="2"/>
      <c r="J249" s="2"/>
      <c r="K249" s="20"/>
      <c r="N249" s="3"/>
      <c r="AA249" s="2">
        <f>SUMIF($C$13:$C$244,2008,$AA$13:$AA$244)</f>
        <v>930370.14569573139</v>
      </c>
    </row>
    <row r="250" spans="1:34">
      <c r="C250" s="209"/>
      <c r="D250" s="17"/>
      <c r="E250" s="5"/>
      <c r="H250" s="261"/>
      <c r="I250" s="239"/>
      <c r="N250" s="3"/>
    </row>
    <row r="251" spans="1:34">
      <c r="C251" s="121"/>
      <c r="D251" s="17"/>
      <c r="E251" s="5"/>
      <c r="H251" s="261"/>
      <c r="I251" s="239"/>
      <c r="N251" s="3"/>
    </row>
    <row r="252" spans="1:34">
      <c r="H252" s="261"/>
      <c r="I252" s="239"/>
      <c r="N252" s="3"/>
    </row>
    <row r="253" spans="1:34">
      <c r="N253" s="3"/>
    </row>
    <row r="254" spans="1:34">
      <c r="N254" s="3"/>
    </row>
    <row r="255" spans="1:34">
      <c r="N255" s="3"/>
    </row>
    <row r="256" spans="1:34">
      <c r="N256" s="3"/>
    </row>
    <row r="257" spans="14:14">
      <c r="N257" s="3"/>
    </row>
    <row r="258" spans="14:14">
      <c r="N258" s="3"/>
    </row>
    <row r="259" spans="14:14">
      <c r="N259" s="3"/>
    </row>
    <row r="260" spans="14:14">
      <c r="N260" s="3"/>
    </row>
    <row r="261" spans="14:14">
      <c r="N261" s="3"/>
    </row>
    <row r="262" spans="14:14">
      <c r="N262" s="3"/>
    </row>
    <row r="263" spans="14:14">
      <c r="N263" s="3"/>
    </row>
    <row r="264" spans="14:14">
      <c r="N264" s="3"/>
    </row>
    <row r="265" spans="14:14">
      <c r="N265" s="3"/>
    </row>
    <row r="266" spans="14:14">
      <c r="N266" s="3"/>
    </row>
    <row r="267" spans="14:14">
      <c r="N267" s="3"/>
    </row>
    <row r="268" spans="14:14">
      <c r="N268" s="3"/>
    </row>
    <row r="269" spans="14:14">
      <c r="N269" s="3"/>
    </row>
    <row r="270" spans="14:14">
      <c r="N270" s="3"/>
    </row>
    <row r="271" spans="14:14">
      <c r="N271" s="3"/>
    </row>
    <row r="272" spans="14:14">
      <c r="N272" s="3"/>
    </row>
    <row r="273" spans="14:14">
      <c r="N273" s="3"/>
    </row>
    <row r="274" spans="14:14">
      <c r="N274" s="3"/>
    </row>
  </sheetData>
  <sheetProtection password="80F5" sheet="1" objects="1" scenarios="1" formatCells="0" formatColumns="0" formatRows="0"/>
  <autoFilter ref="A10:AH245">
    <filterColumn colId="2">
      <filters blank="1">
        <filter val="2008"/>
        <filter val="2009"/>
        <filter val="2010"/>
        <filter val="2011"/>
        <filter val="Disclosure Year"/>
      </filters>
    </filterColumn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</autoFilter>
  <mergeCells count="5">
    <mergeCell ref="D10:AA10"/>
    <mergeCell ref="AB10:AH10"/>
    <mergeCell ref="AB11:AH11"/>
    <mergeCell ref="D11:I11"/>
    <mergeCell ref="X11:Z11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1:F214"/>
  <sheetViews>
    <sheetView zoomScale="80" zoomScaleNormal="80" workbookViewId="0"/>
  </sheetViews>
  <sheetFormatPr defaultRowHeight="15"/>
  <cols>
    <col min="3" max="3" width="13.85546875" customWidth="1"/>
    <col min="4" max="4" width="27.28515625" customWidth="1"/>
    <col min="5" max="5" width="29.7109375" customWidth="1"/>
    <col min="6" max="6" width="36.85546875" customWidth="1"/>
  </cols>
  <sheetData>
    <row r="1" spans="1:6">
      <c r="A1" s="263"/>
      <c r="B1" s="263"/>
      <c r="C1" s="263"/>
      <c r="D1" s="23"/>
      <c r="E1" s="23"/>
      <c r="F1" s="23"/>
    </row>
    <row r="2" spans="1:6" ht="15.75">
      <c r="A2" s="263"/>
      <c r="B2" s="264" t="s">
        <v>551</v>
      </c>
      <c r="C2" s="263"/>
      <c r="D2" s="23"/>
      <c r="E2" s="23"/>
      <c r="F2" s="23"/>
    </row>
    <row r="3" spans="1:6">
      <c r="A3" s="263"/>
      <c r="B3" s="265"/>
      <c r="C3" s="263"/>
      <c r="D3" s="23"/>
      <c r="E3" s="23"/>
      <c r="F3" s="23"/>
    </row>
    <row r="4" spans="1:6">
      <c r="A4" s="263"/>
      <c r="B4" s="266" t="s">
        <v>552</v>
      </c>
      <c r="C4" s="263"/>
      <c r="D4" s="23"/>
      <c r="E4" s="23"/>
      <c r="F4" s="23"/>
    </row>
    <row r="5" spans="1:6">
      <c r="A5" s="263"/>
      <c r="B5" s="266" t="s">
        <v>553</v>
      </c>
      <c r="C5" s="263"/>
      <c r="D5" s="23"/>
      <c r="E5" s="23"/>
      <c r="F5" s="23"/>
    </row>
    <row r="6" spans="1:6">
      <c r="A6" s="263"/>
      <c r="B6" s="266" t="s">
        <v>346</v>
      </c>
      <c r="C6" s="263"/>
      <c r="D6" s="23"/>
      <c r="E6" s="23"/>
      <c r="F6" s="23"/>
    </row>
    <row r="7" spans="1:6" ht="15.75" thickBot="1">
      <c r="A7" s="263"/>
      <c r="B7" s="266"/>
      <c r="C7" s="263"/>
      <c r="D7" s="23"/>
      <c r="E7" s="23"/>
      <c r="F7" s="23"/>
    </row>
    <row r="8" spans="1:6">
      <c r="A8" s="263"/>
      <c r="B8" s="664"/>
      <c r="C8" s="665"/>
      <c r="D8" s="891"/>
      <c r="E8" s="891"/>
      <c r="F8" s="892"/>
    </row>
    <row r="9" spans="1:6">
      <c r="A9" s="267"/>
      <c r="B9" s="666"/>
      <c r="C9" s="268"/>
      <c r="D9" s="568"/>
      <c r="E9" s="568"/>
      <c r="F9" s="644" t="s">
        <v>146</v>
      </c>
    </row>
    <row r="10" spans="1:6" ht="45">
      <c r="A10" s="263"/>
      <c r="B10" s="667" t="s">
        <v>28</v>
      </c>
      <c r="C10" s="270" t="s">
        <v>139</v>
      </c>
      <c r="D10" s="569" t="s">
        <v>58</v>
      </c>
      <c r="E10" s="569" t="s">
        <v>59</v>
      </c>
      <c r="F10" s="668" t="s">
        <v>60</v>
      </c>
    </row>
    <row r="11" spans="1:6" hidden="1">
      <c r="A11" s="271">
        <f>'FS (nominal)'!A15</f>
        <v>2</v>
      </c>
      <c r="B11" s="666" t="s">
        <v>29</v>
      </c>
      <c r="C11" s="272">
        <v>2005</v>
      </c>
      <c r="D11" s="27">
        <f>'AV (nominal)'!E11*CPI!$I$34</f>
        <v>101743.93436402388</v>
      </c>
      <c r="E11" s="27">
        <f>'AV (nominal)'!F11*CPI!$I$34</f>
        <v>61.213672181593068</v>
      </c>
      <c r="F11" s="639">
        <f>'AV (nominal)'!G11*CPI!$I$34</f>
        <v>101805.14802437805</v>
      </c>
    </row>
    <row r="12" spans="1:6" hidden="1">
      <c r="A12" s="271">
        <f>'FS (nominal)'!A16</f>
        <v>3</v>
      </c>
      <c r="B12" s="666" t="s">
        <v>29</v>
      </c>
      <c r="C12" s="272">
        <v>2006</v>
      </c>
      <c r="D12" s="27">
        <f>'AV (nominal)'!E12*CPI!$I$38</f>
        <v>103718.31023292239</v>
      </c>
      <c r="E12" s="27">
        <f>'AV (nominal)'!F12*CPI!$I$38</f>
        <v>808.97699142925046</v>
      </c>
      <c r="F12" s="639">
        <f>'AV (nominal)'!G12*CPI!$I$38</f>
        <v>104527.28673755789</v>
      </c>
    </row>
    <row r="13" spans="1:6" hidden="1">
      <c r="A13" s="271">
        <f>'FS (nominal)'!A17</f>
        <v>4</v>
      </c>
      <c r="B13" s="666" t="s">
        <v>29</v>
      </c>
      <c r="C13" s="272">
        <v>2007</v>
      </c>
      <c r="D13" s="27">
        <f>'AV (nominal)'!E13*CPI!$I$42</f>
        <v>104162.54083716034</v>
      </c>
      <c r="E13" s="27">
        <f>'AV (nominal)'!F13*CPI!$I$42</f>
        <v>826.16403896217867</v>
      </c>
      <c r="F13" s="639">
        <f>'AV (nominal)'!G13*CPI!$I$42</f>
        <v>104988.70514323562</v>
      </c>
    </row>
    <row r="14" spans="1:6">
      <c r="A14" s="271">
        <f>'FS (nominal)'!A18</f>
        <v>5</v>
      </c>
      <c r="B14" s="666" t="s">
        <v>29</v>
      </c>
      <c r="C14" s="272">
        <v>2008</v>
      </c>
      <c r="D14" s="27">
        <f>'AV (nominal)'!E14*CPI!$I$46</f>
        <v>112707.70620455647</v>
      </c>
      <c r="E14" s="27">
        <f>'AV (nominal)'!F14*CPI!$I$46</f>
        <v>1384.2787488238143</v>
      </c>
      <c r="F14" s="639">
        <f>'AV (nominal)'!G14*CPI!$I$46</f>
        <v>114091.98345060123</v>
      </c>
    </row>
    <row r="15" spans="1:6">
      <c r="A15" s="271">
        <f>'FS (nominal)'!A19</f>
        <v>6</v>
      </c>
      <c r="B15" s="666" t="s">
        <v>29</v>
      </c>
      <c r="C15" s="272">
        <v>2009</v>
      </c>
      <c r="D15" s="27">
        <f>'AV (nominal)'!E15*CPI!$I$50</f>
        <v>119818.20569153679</v>
      </c>
      <c r="E15" s="27">
        <f>'AV (nominal)'!F15*CPI!$I$50</f>
        <v>924.94227469284067</v>
      </c>
      <c r="F15" s="639">
        <f>'AV (nominal)'!G15*CPI!$I$50</f>
        <v>120743.14342361155</v>
      </c>
    </row>
    <row r="16" spans="1:6">
      <c r="A16" s="271">
        <f>'FS (nominal)'!A20</f>
        <v>7</v>
      </c>
      <c r="B16" s="666" t="s">
        <v>29</v>
      </c>
      <c r="C16" s="272">
        <v>2010</v>
      </c>
      <c r="D16" s="27">
        <f>'AV (nominal)'!E16*CPI!$I$54</f>
        <v>122557.12473121175</v>
      </c>
      <c r="E16" s="27">
        <f>'AV (nominal)'!F16*CPI!$I$54</f>
        <v>527.75672981056823</v>
      </c>
      <c r="F16" s="639">
        <f>'AV (nominal)'!G16*CPI!$I$54</f>
        <v>123084.8768261425</v>
      </c>
    </row>
    <row r="17" spans="1:6">
      <c r="A17" s="271">
        <f>'FS (nominal)'!A21</f>
        <v>8</v>
      </c>
      <c r="B17" s="666" t="s">
        <v>29</v>
      </c>
      <c r="C17" s="272">
        <v>2011</v>
      </c>
      <c r="D17" s="27">
        <f>'AV (nominal)'!E17*CPI!$I$58</f>
        <v>131457.91</v>
      </c>
      <c r="E17" s="27">
        <f>'AV (nominal)'!F17*CPI!$I$58</f>
        <v>601</v>
      </c>
      <c r="F17" s="639">
        <f>'AV (nominal)'!G17*CPI!$I$58</f>
        <v>132058.91</v>
      </c>
    </row>
    <row r="18" spans="1:6" hidden="1">
      <c r="A18" s="271">
        <f>'FS (nominal)'!A23</f>
        <v>25</v>
      </c>
      <c r="B18" s="666" t="s">
        <v>30</v>
      </c>
      <c r="C18" s="272">
        <v>2005</v>
      </c>
      <c r="D18" s="27">
        <f>'AV (nominal)'!E18*CPI!$I$34</f>
        <v>247885.6954763039</v>
      </c>
      <c r="E18" s="27">
        <f>'AV (nominal)'!F18*CPI!$I$34</f>
        <v>2.942965008730436</v>
      </c>
      <c r="F18" s="639">
        <f>'AV (nominal)'!G18*CPI!$I$34</f>
        <v>247888.63844131262</v>
      </c>
    </row>
    <row r="19" spans="1:6" hidden="1">
      <c r="A19" s="271">
        <f>'FS (nominal)'!A24</f>
        <v>26</v>
      </c>
      <c r="B19" s="666" t="s">
        <v>30</v>
      </c>
      <c r="C19" s="272">
        <v>2006</v>
      </c>
      <c r="D19" s="27">
        <f>'AV (nominal)'!E19*CPI!$I$38</f>
        <v>253104.26618486276</v>
      </c>
      <c r="E19" s="27">
        <f>'AV (nominal)'!F19*CPI!$I$38</f>
        <v>2.2820225428187602</v>
      </c>
      <c r="F19" s="639">
        <f>'AV (nominal)'!G19*CPI!$I$38</f>
        <v>253106.54820740558</v>
      </c>
    </row>
    <row r="20" spans="1:6" hidden="1">
      <c r="A20" s="271">
        <f>'FS (nominal)'!A25</f>
        <v>27</v>
      </c>
      <c r="B20" s="666" t="s">
        <v>30</v>
      </c>
      <c r="C20" s="272">
        <v>2007</v>
      </c>
      <c r="D20" s="27">
        <f>'AV (nominal)'!E20*CPI!$I$42</f>
        <v>264252.58255477232</v>
      </c>
      <c r="E20" s="27">
        <f>'AV (nominal)'!F20*CPI!$I$42</f>
        <v>1.6589639336589934</v>
      </c>
      <c r="F20" s="639">
        <f>'AV (nominal)'!G20*CPI!$I$42</f>
        <v>264254.24151870597</v>
      </c>
    </row>
    <row r="21" spans="1:6">
      <c r="A21" s="271">
        <f>'FS (nominal)'!A26</f>
        <v>28</v>
      </c>
      <c r="B21" s="666" t="s">
        <v>30</v>
      </c>
      <c r="C21" s="272">
        <v>2008</v>
      </c>
      <c r="D21" s="27">
        <f>'AV (nominal)'!E21*CPI!$I$46</f>
        <v>280047.80599925865</v>
      </c>
      <c r="E21" s="27">
        <f>'AV (nominal)'!F21*CPI!$I$46</f>
        <v>1.0780987140372387</v>
      </c>
      <c r="F21" s="639">
        <f>'AV (nominal)'!G21*CPI!$I$46</f>
        <v>280048.88409797265</v>
      </c>
    </row>
    <row r="22" spans="1:6">
      <c r="A22" s="271">
        <f>'FS (nominal)'!A27</f>
        <v>29</v>
      </c>
      <c r="B22" s="666" t="s">
        <v>30</v>
      </c>
      <c r="C22" s="272">
        <v>2009</v>
      </c>
      <c r="D22" s="27">
        <f>'AV (nominal)'!E22*CPI!$I$50</f>
        <v>288541.52477726672</v>
      </c>
      <c r="E22" s="27">
        <f>'AV (nominal)'!F22*CPI!$I$50</f>
        <v>0.51904729219575796</v>
      </c>
      <c r="F22" s="639">
        <f>'AV (nominal)'!G22*CPI!$I$50</f>
        <v>288542.0438245589</v>
      </c>
    </row>
    <row r="23" spans="1:6">
      <c r="A23" s="271">
        <f>'FS (nominal)'!A28</f>
        <v>30</v>
      </c>
      <c r="B23" s="666" t="s">
        <v>30</v>
      </c>
      <c r="C23" s="272">
        <v>2010</v>
      </c>
      <c r="D23" s="27">
        <f>'AV (nominal)'!E23*CPI!$I$54</f>
        <v>301838.50048772595</v>
      </c>
      <c r="E23" s="27">
        <f>'AV (nominal)'!F23*CPI!$I$54</f>
        <v>0</v>
      </c>
      <c r="F23" s="639">
        <f>'AV (nominal)'!G23*CPI!$I$54</f>
        <v>301838.50048772595</v>
      </c>
    </row>
    <row r="24" spans="1:6">
      <c r="A24" s="271">
        <f>'FS (nominal)'!A29</f>
        <v>31</v>
      </c>
      <c r="B24" s="666" t="s">
        <v>30</v>
      </c>
      <c r="C24" s="272">
        <v>2011</v>
      </c>
      <c r="D24" s="27">
        <f>'AV (nominal)'!E24*CPI!$I$58</f>
        <v>322180.40999999997</v>
      </c>
      <c r="E24" s="27">
        <f>'AV (nominal)'!F24*CPI!$I$58</f>
        <v>0</v>
      </c>
      <c r="F24" s="639">
        <f>'AV (nominal)'!G24*CPI!$I$58</f>
        <v>322180.40999999997</v>
      </c>
    </row>
    <row r="25" spans="1:6" hidden="1">
      <c r="A25" s="271">
        <f>'FS (nominal)'!A31</f>
        <v>48</v>
      </c>
      <c r="B25" s="666" t="s">
        <v>31</v>
      </c>
      <c r="C25" s="272">
        <v>2005</v>
      </c>
      <c r="D25" s="27">
        <f>'AV (nominal)'!E25*CPI!$I$34</f>
        <v>24287.150701000908</v>
      </c>
      <c r="E25" s="27">
        <f>'AV (nominal)'!F25*CPI!$I$34</f>
        <v>1363.1813920439379</v>
      </c>
      <c r="F25" s="639">
        <f>'AV (nominal)'!G25*CPI!$I$34</f>
        <v>25650.332093044846</v>
      </c>
    </row>
    <row r="26" spans="1:6" hidden="1">
      <c r="A26" s="271">
        <f>'FS (nominal)'!A32</f>
        <v>49</v>
      </c>
      <c r="B26" s="666" t="s">
        <v>31</v>
      </c>
      <c r="C26" s="272">
        <v>2006</v>
      </c>
      <c r="D26" s="27">
        <f>'AV (nominal)'!E26*CPI!$I$38</f>
        <v>25021.580756140262</v>
      </c>
      <c r="E26" s="27">
        <f>'AV (nominal)'!F26*CPI!$I$38</f>
        <v>1277.9326239785057</v>
      </c>
      <c r="F26" s="639">
        <f>'AV (nominal)'!G26*CPI!$I$38</f>
        <v>26299.513380118766</v>
      </c>
    </row>
    <row r="27" spans="1:6" hidden="1">
      <c r="A27" s="271">
        <f>'FS (nominal)'!A33</f>
        <v>50</v>
      </c>
      <c r="B27" s="666" t="s">
        <v>31</v>
      </c>
      <c r="C27" s="272">
        <v>2007</v>
      </c>
      <c r="D27" s="27">
        <f>'AV (nominal)'!E27*CPI!$I$42</f>
        <v>24639.90891947232</v>
      </c>
      <c r="E27" s="27">
        <f>'AV (nominal)'!F27*CPI!$I$42</f>
        <v>2152.2292099336009</v>
      </c>
      <c r="F27" s="639">
        <f>'AV (nominal)'!G27*CPI!$I$42</f>
        <v>26792.138129405921</v>
      </c>
    </row>
    <row r="28" spans="1:6">
      <c r="A28" s="271">
        <f>'FS (nominal)'!A34</f>
        <v>51</v>
      </c>
      <c r="B28" s="666" t="s">
        <v>31</v>
      </c>
      <c r="C28" s="272">
        <v>2008</v>
      </c>
      <c r="D28" s="27">
        <f>'AV (nominal)'!E28*CPI!$I$46</f>
        <v>25131.413579595679</v>
      </c>
      <c r="E28" s="27">
        <f>'AV (nominal)'!F28*CPI!$I$46</f>
        <v>2007.4198055373383</v>
      </c>
      <c r="F28" s="639">
        <f>'AV (nominal)'!G28*CPI!$I$46</f>
        <v>27138.833385133017</v>
      </c>
    </row>
    <row r="29" spans="1:6">
      <c r="A29" s="271">
        <f>'FS (nominal)'!A35</f>
        <v>52</v>
      </c>
      <c r="B29" s="666" t="s">
        <v>31</v>
      </c>
      <c r="C29" s="272">
        <v>2009</v>
      </c>
      <c r="D29" s="27">
        <f>'AV (nominal)'!E29*CPI!$I$50</f>
        <v>25129.203356716305</v>
      </c>
      <c r="E29" s="27">
        <f>'AV (nominal)'!F29*CPI!$I$50</f>
        <v>2229.8271672729761</v>
      </c>
      <c r="F29" s="639">
        <f>'AV (nominal)'!G29*CPI!$I$50</f>
        <v>27359.030523989284</v>
      </c>
    </row>
    <row r="30" spans="1:6">
      <c r="A30" s="271">
        <f>'FS (nominal)'!A36</f>
        <v>53</v>
      </c>
      <c r="B30" s="666" t="s">
        <v>31</v>
      </c>
      <c r="C30" s="272">
        <v>2010</v>
      </c>
      <c r="D30" s="27">
        <f>'AV (nominal)'!E30*CPI!$I$54</f>
        <v>25435.679805448515</v>
      </c>
      <c r="E30" s="27">
        <f>'AV (nominal)'!F30*CPI!$I$54</f>
        <v>2196.6090916439866</v>
      </c>
      <c r="F30" s="639">
        <f>'AV (nominal)'!G30*CPI!$I$54</f>
        <v>27632.288897092501</v>
      </c>
    </row>
    <row r="31" spans="1:6">
      <c r="A31" s="271">
        <f>'FS (nominal)'!A37</f>
        <v>54</v>
      </c>
      <c r="B31" s="666" t="s">
        <v>31</v>
      </c>
      <c r="C31" s="272">
        <v>2011</v>
      </c>
      <c r="D31" s="27">
        <f>'AV (nominal)'!E31*CPI!$I$58</f>
        <v>26402.278999999999</v>
      </c>
      <c r="E31" s="27">
        <f>'AV (nominal)'!F31*CPI!$I$58</f>
        <v>2180.9389999999999</v>
      </c>
      <c r="F31" s="639">
        <f>'AV (nominal)'!G31*CPI!$I$58</f>
        <v>28583.218000000001</v>
      </c>
    </row>
    <row r="32" spans="1:6" hidden="1">
      <c r="A32" s="271">
        <f>'FS (nominal)'!A39</f>
        <v>71</v>
      </c>
      <c r="B32" s="666" t="s">
        <v>32</v>
      </c>
      <c r="C32" s="272">
        <v>2005</v>
      </c>
      <c r="D32" s="27">
        <f>'AV (nominal)'!E32*CPI!$I$34</f>
        <v>38599.731287259812</v>
      </c>
      <c r="E32" s="27">
        <f>'AV (nominal)'!F32*CPI!$I$34</f>
        <v>116.54141434572526</v>
      </c>
      <c r="F32" s="639">
        <f>'AV (nominal)'!G32*CPI!$I$34</f>
        <v>38716.272701605536</v>
      </c>
    </row>
    <row r="33" spans="1:6" hidden="1">
      <c r="A33" s="271">
        <f>'FS (nominal)'!A40</f>
        <v>72</v>
      </c>
      <c r="B33" s="666" t="s">
        <v>32</v>
      </c>
      <c r="C33" s="272">
        <v>2006</v>
      </c>
      <c r="D33" s="27">
        <f>'AV (nominal)'!E33*CPI!$I$38</f>
        <v>38042.828769734624</v>
      </c>
      <c r="E33" s="27">
        <f>'AV (nominal)'!F33*CPI!$I$38</f>
        <v>119.8061834979849</v>
      </c>
      <c r="F33" s="639">
        <f>'AV (nominal)'!G33*CPI!$I$38</f>
        <v>38162.634953232606</v>
      </c>
    </row>
    <row r="34" spans="1:6" hidden="1">
      <c r="A34" s="271">
        <f>'FS (nominal)'!A41</f>
        <v>73</v>
      </c>
      <c r="B34" s="666" t="s">
        <v>32</v>
      </c>
      <c r="C34" s="272">
        <v>2007</v>
      </c>
      <c r="D34" s="27">
        <f>'AV (nominal)'!E34*CPI!$I$42</f>
        <v>38794.370581507595</v>
      </c>
      <c r="E34" s="27">
        <f>'AV (nominal)'!F34*CPI!$I$42</f>
        <v>108.38564366572091</v>
      </c>
      <c r="F34" s="639">
        <f>'AV (nominal)'!G34*CPI!$I$42</f>
        <v>38902.756225173318</v>
      </c>
    </row>
    <row r="35" spans="1:6">
      <c r="A35" s="271">
        <f>'FS (nominal)'!A42</f>
        <v>74</v>
      </c>
      <c r="B35" s="666" t="s">
        <v>32</v>
      </c>
      <c r="C35" s="272">
        <v>2008</v>
      </c>
      <c r="D35" s="27">
        <f>'AV (nominal)'!E35*CPI!$I$46</f>
        <v>40351.024764050067</v>
      </c>
      <c r="E35" s="27">
        <f>'AV (nominal)'!F35*CPI!$I$46</f>
        <v>58.217330558010886</v>
      </c>
      <c r="F35" s="639">
        <f>'AV (nominal)'!G35*CPI!$I$46</f>
        <v>40409.242094608075</v>
      </c>
    </row>
    <row r="36" spans="1:6">
      <c r="A36" s="271">
        <f>'FS (nominal)'!A43</f>
        <v>75</v>
      </c>
      <c r="B36" s="666" t="s">
        <v>32</v>
      </c>
      <c r="C36" s="272">
        <v>2009</v>
      </c>
      <c r="D36" s="27">
        <f>'AV (nominal)'!E36*CPI!$I$50</f>
        <v>43367.449738485811</v>
      </c>
      <c r="E36" s="27">
        <f>'AV (nominal)'!F36*CPI!$I$50</f>
        <v>59.171391310316409</v>
      </c>
      <c r="F36" s="639">
        <f>'AV (nominal)'!G36*CPI!$I$50</f>
        <v>43426.621129796134</v>
      </c>
    </row>
    <row r="37" spans="1:6">
      <c r="A37" s="271">
        <f>'FS (nominal)'!A44</f>
        <v>76</v>
      </c>
      <c r="B37" s="666" t="s">
        <v>32</v>
      </c>
      <c r="C37" s="272">
        <v>2010</v>
      </c>
      <c r="D37" s="27">
        <f>'AV (nominal)'!E37*CPI!$I$54</f>
        <v>44152.705695615849</v>
      </c>
      <c r="E37" s="27">
        <f>'AV (nominal)'!F37*CPI!$I$54</f>
        <v>93.779620031796497</v>
      </c>
      <c r="F37" s="639">
        <f>'AV (nominal)'!G37*CPI!$I$54</f>
        <v>44246.485417531185</v>
      </c>
    </row>
    <row r="38" spans="1:6">
      <c r="A38" s="271">
        <f>'FS (nominal)'!A45</f>
        <v>77</v>
      </c>
      <c r="B38" s="666" t="s">
        <v>32</v>
      </c>
      <c r="C38" s="272">
        <v>2011</v>
      </c>
      <c r="D38" s="27">
        <f>'AV (nominal)'!E38*CPI!$I$58</f>
        <v>50421.135999999999</v>
      </c>
      <c r="E38" s="27">
        <f>'AV (nominal)'!F38*CPI!$I$58</f>
        <v>446</v>
      </c>
      <c r="F38" s="639">
        <f>'AV (nominal)'!G38*CPI!$I$58</f>
        <v>50867.135999999999</v>
      </c>
    </row>
    <row r="39" spans="1:6" hidden="1">
      <c r="A39" s="271">
        <f>'FS (nominal)'!A47</f>
        <v>94</v>
      </c>
      <c r="B39" s="666" t="s">
        <v>33</v>
      </c>
      <c r="C39" s="272">
        <v>2005</v>
      </c>
      <c r="D39" s="27">
        <f>'AV (nominal)'!E39*CPI!$I$34</f>
        <v>133229.70932121182</v>
      </c>
      <c r="E39" s="27">
        <f>'AV (nominal)'!F39*CPI!$I$34</f>
        <v>5611.6456786471954</v>
      </c>
      <c r="F39" s="639">
        <f>'AV (nominal)'!G39*CPI!$I$34</f>
        <v>138841.35499985903</v>
      </c>
    </row>
    <row r="40" spans="1:6" hidden="1">
      <c r="A40" s="271">
        <f>'FS (nominal)'!A48</f>
        <v>95</v>
      </c>
      <c r="B40" s="666" t="s">
        <v>33</v>
      </c>
      <c r="C40" s="268">
        <v>2006</v>
      </c>
      <c r="D40" s="27">
        <f>'AV (nominal)'!E40*CPI!$I$38</f>
        <v>141208.2460169378</v>
      </c>
      <c r="E40" s="27">
        <f>'AV (nominal)'!F40*CPI!$I$38</f>
        <v>6047.3597384697141</v>
      </c>
      <c r="F40" s="639">
        <f>'AV (nominal)'!G40*CPI!$I$38</f>
        <v>147255.60575540751</v>
      </c>
    </row>
    <row r="41" spans="1:6" hidden="1">
      <c r="A41" s="271">
        <f>'FS (nominal)'!A49</f>
        <v>96</v>
      </c>
      <c r="B41" s="666" t="s">
        <v>33</v>
      </c>
      <c r="C41" s="268">
        <v>2007</v>
      </c>
      <c r="D41" s="27">
        <f>'AV (nominal)'!E41*CPI!$I$42</f>
        <v>149342.81990522714</v>
      </c>
      <c r="E41" s="27">
        <f>'AV (nominal)'!F41*CPI!$I$42</f>
        <v>10955.797817883993</v>
      </c>
      <c r="F41" s="639">
        <f>'AV (nominal)'!G41*CPI!$I$42</f>
        <v>160298.61772311112</v>
      </c>
    </row>
    <row r="42" spans="1:6">
      <c r="A42" s="271">
        <f>'FS (nominal)'!A50</f>
        <v>97</v>
      </c>
      <c r="B42" s="666" t="s">
        <v>33</v>
      </c>
      <c r="C42" s="268">
        <v>2008</v>
      </c>
      <c r="D42" s="27">
        <f>'AV (nominal)'!E42*CPI!$I$46</f>
        <v>154945.99667246442</v>
      </c>
      <c r="E42" s="27">
        <f>'AV (nominal)'!F42*CPI!$I$46</f>
        <v>19031.676598899376</v>
      </c>
      <c r="F42" s="639">
        <f>'AV (nominal)'!G42*CPI!$I$46</f>
        <v>173977.6732713638</v>
      </c>
    </row>
    <row r="43" spans="1:6">
      <c r="A43" s="271">
        <f>'FS (nominal)'!A51</f>
        <v>98</v>
      </c>
      <c r="B43" s="666" t="s">
        <v>33</v>
      </c>
      <c r="C43" s="268">
        <v>2009</v>
      </c>
      <c r="D43" s="27">
        <f>'AV (nominal)'!E43*CPI!$I$50</f>
        <v>150796.71285057309</v>
      </c>
      <c r="E43" s="27">
        <f>'AV (nominal)'!F43*CPI!$I$50</f>
        <v>20834.558308737724</v>
      </c>
      <c r="F43" s="639">
        <f>'AV (nominal)'!G43*CPI!$I$50</f>
        <v>171631.27115931083</v>
      </c>
    </row>
    <row r="44" spans="1:6">
      <c r="A44" s="271">
        <f>'FS (nominal)'!A52</f>
        <v>99</v>
      </c>
      <c r="B44" s="666" t="s">
        <v>33</v>
      </c>
      <c r="C44" s="268">
        <v>2010</v>
      </c>
      <c r="D44" s="27">
        <f>'AV (nominal)'!E44*CPI!$I$54</f>
        <v>155109.38396971248</v>
      </c>
      <c r="E44" s="27">
        <f>'AV (nominal)'!F44*CPI!$I$54</f>
        <v>21324.469143919592</v>
      </c>
      <c r="F44" s="639">
        <f>'AV (nominal)'!G44*CPI!$I$54</f>
        <v>176433.85311363204</v>
      </c>
    </row>
    <row r="45" spans="1:6">
      <c r="A45" s="271">
        <f>'FS (nominal)'!A53</f>
        <v>100</v>
      </c>
      <c r="B45" s="666" t="s">
        <v>33</v>
      </c>
      <c r="C45" s="268">
        <v>2011</v>
      </c>
      <c r="D45" s="27">
        <f>'AV (nominal)'!E45*CPI!$I$58</f>
        <v>163106.70000000001</v>
      </c>
      <c r="E45" s="27">
        <f>'AV (nominal)'!F45*CPI!$I$58</f>
        <v>19984</v>
      </c>
      <c r="F45" s="639">
        <f>'AV (nominal)'!G45*CPI!$I$58</f>
        <v>183090.7</v>
      </c>
    </row>
    <row r="46" spans="1:6" hidden="1">
      <c r="A46" s="271">
        <f>'FS (nominal)'!A55</f>
        <v>117</v>
      </c>
      <c r="B46" s="666" t="s">
        <v>34</v>
      </c>
      <c r="C46" s="268">
        <v>2005</v>
      </c>
      <c r="D46" s="27">
        <f>'AV (nominal)'!E46*CPI!$I$34</f>
        <v>106615.10767994044</v>
      </c>
      <c r="E46" s="27">
        <f>'AV (nominal)'!F46*CPI!$I$34</f>
        <v>3176.0478374218865</v>
      </c>
      <c r="F46" s="639">
        <f>'AV (nominal)'!G46*CPI!$I$34</f>
        <v>109791.15551736233</v>
      </c>
    </row>
    <row r="47" spans="1:6" hidden="1">
      <c r="A47" s="271">
        <f>'FS (nominal)'!A56</f>
        <v>118</v>
      </c>
      <c r="B47" s="666" t="s">
        <v>34</v>
      </c>
      <c r="C47" s="268">
        <v>2006</v>
      </c>
      <c r="D47" s="27">
        <f>'AV (nominal)'!E47*CPI!$I$38</f>
        <v>111369.39554369613</v>
      </c>
      <c r="E47" s="27">
        <f>'AV (nominal)'!F47*CPI!$I$38</f>
        <v>3046.5000946630448</v>
      </c>
      <c r="F47" s="639">
        <f>'AV (nominal)'!G47*CPI!$I$38</f>
        <v>114415.89792038171</v>
      </c>
    </row>
    <row r="48" spans="1:6" hidden="1">
      <c r="A48" s="271">
        <f>'FS (nominal)'!A57</f>
        <v>119</v>
      </c>
      <c r="B48" s="666" t="s">
        <v>34</v>
      </c>
      <c r="C48" s="268">
        <v>2007</v>
      </c>
      <c r="D48" s="27">
        <f>'AV (nominal)'!E48*CPI!$I$42</f>
        <v>111793.34360136895</v>
      </c>
      <c r="E48" s="27">
        <f>'AV (nominal)'!F48*CPI!$I$42</f>
        <v>2835.722350601106</v>
      </c>
      <c r="F48" s="639">
        <f>'AV (nominal)'!G48*CPI!$I$42</f>
        <v>114629.06595197006</v>
      </c>
    </row>
    <row r="49" spans="1:6">
      <c r="A49" s="271">
        <f>'FS (nominal)'!A58</f>
        <v>120</v>
      </c>
      <c r="B49" s="666" t="s">
        <v>34</v>
      </c>
      <c r="C49" s="268">
        <v>2008</v>
      </c>
      <c r="D49" s="27">
        <f>'AV (nominal)'!E49*CPI!$I$46</f>
        <v>111123.84982179008</v>
      </c>
      <c r="E49" s="27">
        <f>'AV (nominal)'!F49*CPI!$I$46</f>
        <v>2613.3112828262665</v>
      </c>
      <c r="F49" s="639">
        <f>'AV (nominal)'!G49*CPI!$I$46</f>
        <v>113737.16110461635</v>
      </c>
    </row>
    <row r="50" spans="1:6">
      <c r="A50" s="271">
        <f>'FS (nominal)'!A59</f>
        <v>121</v>
      </c>
      <c r="B50" s="666" t="s">
        <v>34</v>
      </c>
      <c r="C50" s="268">
        <v>2009</v>
      </c>
      <c r="D50" s="27">
        <f>'AV (nominal)'!E50*CPI!$I$50</f>
        <v>113422.76448074676</v>
      </c>
      <c r="E50" s="27">
        <f>'AV (nominal)'!F50*CPI!$I$50</f>
        <v>2677.2459331457194</v>
      </c>
      <c r="F50" s="639">
        <f>'AV (nominal)'!G50*CPI!$I$50</f>
        <v>116100.01041389248</v>
      </c>
    </row>
    <row r="51" spans="1:6">
      <c r="A51" s="271">
        <f>'FS (nominal)'!A60</f>
        <v>122</v>
      </c>
      <c r="B51" s="666" t="s">
        <v>34</v>
      </c>
      <c r="C51" s="268">
        <v>2010</v>
      </c>
      <c r="D51" s="27">
        <f>'AV (nominal)'!E51*CPI!$I$54</f>
        <v>114298.61829646195</v>
      </c>
      <c r="E51" s="27">
        <f>'AV (nominal)'!F51*CPI!$I$54</f>
        <v>3081.9770418474304</v>
      </c>
      <c r="F51" s="639">
        <f>'AV (nominal)'!G51*CPI!$I$54</f>
        <v>117380.59533830937</v>
      </c>
    </row>
    <row r="52" spans="1:6">
      <c r="A52" s="271">
        <f>'FS (nominal)'!A61</f>
        <v>123</v>
      </c>
      <c r="B52" s="666" t="s">
        <v>34</v>
      </c>
      <c r="C52" s="268">
        <v>2011</v>
      </c>
      <c r="D52" s="27">
        <f>'AV (nominal)'!E52*CPI!$I$58</f>
        <v>117404.58</v>
      </c>
      <c r="E52" s="27">
        <f>'AV (nominal)'!F52*CPI!$I$58</f>
        <v>3223</v>
      </c>
      <c r="F52" s="639">
        <f>'AV (nominal)'!G52*CPI!$I$58</f>
        <v>120627.58</v>
      </c>
    </row>
    <row r="53" spans="1:6" hidden="1">
      <c r="A53" s="271">
        <f>'FS (nominal)'!A63</f>
        <v>140</v>
      </c>
      <c r="B53" s="666" t="s">
        <v>35</v>
      </c>
      <c r="C53" s="268">
        <v>2005</v>
      </c>
      <c r="D53" s="27">
        <f>'AV (nominal)'!E53*CPI!$I$34</f>
        <v>123354.4372002364</v>
      </c>
      <c r="E53" s="27">
        <f>'AV (nominal)'!F53*CPI!$I$34</f>
        <v>4539.2292294658246</v>
      </c>
      <c r="F53" s="639">
        <f>'AV (nominal)'!G53*CPI!$I$34</f>
        <v>127893.66642970222</v>
      </c>
    </row>
    <row r="54" spans="1:6" hidden="1">
      <c r="A54" s="271">
        <f>'FS (nominal)'!A64</f>
        <v>141</v>
      </c>
      <c r="B54" s="666" t="s">
        <v>35</v>
      </c>
      <c r="C54" s="268">
        <v>2006</v>
      </c>
      <c r="D54" s="27">
        <f>'AV (nominal)'!E54*CPI!$I$38</f>
        <v>122699.11488562897</v>
      </c>
      <c r="E54" s="27">
        <f>'AV (nominal)'!F54*CPI!$I$38</f>
        <v>4099.6534981739023</v>
      </c>
      <c r="F54" s="639">
        <f>'AV (nominal)'!G54*CPI!$I$38</f>
        <v>126798.76838380288</v>
      </c>
    </row>
    <row r="55" spans="1:6" hidden="1">
      <c r="A55" s="271">
        <f>'FS (nominal)'!A65</f>
        <v>142</v>
      </c>
      <c r="B55" s="666" t="s">
        <v>35</v>
      </c>
      <c r="C55" s="268">
        <v>2007</v>
      </c>
      <c r="D55" s="27">
        <f>'AV (nominal)'!E55*CPI!$I$42</f>
        <v>122015.4812092316</v>
      </c>
      <c r="E55" s="27">
        <f>'AV (nominal)'!F55*CPI!$I$42</f>
        <v>4634.0392546874546</v>
      </c>
      <c r="F55" s="639">
        <f>'AV (nominal)'!G55*CPI!$I$42</f>
        <v>126649.52046391905</v>
      </c>
    </row>
    <row r="56" spans="1:6">
      <c r="A56" s="271">
        <f>'FS (nominal)'!A66</f>
        <v>143</v>
      </c>
      <c r="B56" s="666" t="s">
        <v>35</v>
      </c>
      <c r="C56" s="268">
        <v>2008</v>
      </c>
      <c r="D56" s="27">
        <f>'AV (nominal)'!E56*CPI!$I$46</f>
        <v>126746.37344814804</v>
      </c>
      <c r="E56" s="27">
        <f>'AV (nominal)'!F56*CPI!$I$46</f>
        <v>5203.9824926577512</v>
      </c>
      <c r="F56" s="639">
        <f>'AV (nominal)'!G56*CPI!$I$46</f>
        <v>131950.35594080578</v>
      </c>
    </row>
    <row r="57" spans="1:6">
      <c r="A57" s="271">
        <f>'FS (nominal)'!A67</f>
        <v>144</v>
      </c>
      <c r="B57" s="666" t="s">
        <v>35</v>
      </c>
      <c r="C57" s="268">
        <v>2009</v>
      </c>
      <c r="D57" s="27">
        <f>'AV (nominal)'!E57*CPI!$I$50</f>
        <v>129341.1040757773</v>
      </c>
      <c r="E57" s="27">
        <f>'AV (nominal)'!F57*CPI!$I$50</f>
        <v>5203.968151554669</v>
      </c>
      <c r="F57" s="639">
        <f>'AV (nominal)'!G57*CPI!$I$50</f>
        <v>134545.07222733196</v>
      </c>
    </row>
    <row r="58" spans="1:6">
      <c r="A58" s="271">
        <f>'FS (nominal)'!A68</f>
        <v>145</v>
      </c>
      <c r="B58" s="666" t="s">
        <v>35</v>
      </c>
      <c r="C58" s="268">
        <v>2010</v>
      </c>
      <c r="D58" s="27">
        <f>'AV (nominal)'!E58*CPI!$I$54</f>
        <v>130326.98752660934</v>
      </c>
      <c r="E58" s="27">
        <f>'AV (nominal)'!F58*CPI!$I$54</f>
        <v>4720.2643421088078</v>
      </c>
      <c r="F58" s="639">
        <f>'AV (nominal)'!G58*CPI!$I$54</f>
        <v>135047.25186871813</v>
      </c>
    </row>
    <row r="59" spans="1:6">
      <c r="A59" s="271">
        <f>'FS (nominal)'!A69</f>
        <v>146</v>
      </c>
      <c r="B59" s="666" t="s">
        <v>35</v>
      </c>
      <c r="C59" s="268">
        <v>2011</v>
      </c>
      <c r="D59" s="27">
        <f>'AV (nominal)'!E59*CPI!$I$58</f>
        <v>130687.29</v>
      </c>
      <c r="E59" s="27">
        <f>'AV (nominal)'!F59*CPI!$I$58</f>
        <v>2708</v>
      </c>
      <c r="F59" s="639">
        <f>'AV (nominal)'!G59*CPI!$I$58</f>
        <v>133395.29</v>
      </c>
    </row>
    <row r="60" spans="1:6" hidden="1">
      <c r="A60" s="271">
        <f>'FS (nominal)'!A71</f>
        <v>163</v>
      </c>
      <c r="B60" s="666" t="s">
        <v>36</v>
      </c>
      <c r="C60" s="268">
        <v>2005</v>
      </c>
      <c r="D60" s="27">
        <f>'AV (nominal)'!E60*CPI!$I$34</f>
        <v>133823.41131021307</v>
      </c>
      <c r="E60" s="27">
        <f>'AV (nominal)'!F60*CPI!$I$34</f>
        <v>3688.1237489409823</v>
      </c>
      <c r="F60" s="639">
        <f>'AV (nominal)'!G60*CPI!$I$34</f>
        <v>137511.53505915406</v>
      </c>
    </row>
    <row r="61" spans="1:6" hidden="1">
      <c r="A61" s="271">
        <f>'FS (nominal)'!A72</f>
        <v>164</v>
      </c>
      <c r="B61" s="666" t="s">
        <v>36</v>
      </c>
      <c r="C61" s="268">
        <v>2006</v>
      </c>
      <c r="D61" s="27">
        <f>'AV (nominal)'!E61*CPI!$I$38</f>
        <v>139600.21883214056</v>
      </c>
      <c r="E61" s="27">
        <f>'AV (nominal)'!F61*CPI!$I$38</f>
        <v>3532.5708962834406</v>
      </c>
      <c r="F61" s="639">
        <f>'AV (nominal)'!G61*CPI!$I$38</f>
        <v>143132.78972842399</v>
      </c>
    </row>
    <row r="62" spans="1:6" hidden="1">
      <c r="A62" s="271">
        <f>'FS (nominal)'!A73</f>
        <v>165</v>
      </c>
      <c r="B62" s="666" t="s">
        <v>36</v>
      </c>
      <c r="C62" s="268">
        <v>2007</v>
      </c>
      <c r="D62" s="27">
        <f>'AV (nominal)'!E62*CPI!$I$42</f>
        <v>144306.71415157811</v>
      </c>
      <c r="E62" s="27">
        <f>'AV (nominal)'!F62*CPI!$I$42</f>
        <v>3755.8943458039612</v>
      </c>
      <c r="F62" s="639">
        <f>'AV (nominal)'!G62*CPI!$I$42</f>
        <v>148062.60849738208</v>
      </c>
    </row>
    <row r="63" spans="1:6">
      <c r="A63" s="271">
        <f>'FS (nominal)'!A74</f>
        <v>166</v>
      </c>
      <c r="B63" s="666" t="s">
        <v>36</v>
      </c>
      <c r="C63" s="268">
        <v>2008</v>
      </c>
      <c r="D63" s="27">
        <f>'AV (nominal)'!E63*CPI!$I$46</f>
        <v>150707.89359869977</v>
      </c>
      <c r="E63" s="27">
        <f>'AV (nominal)'!F63*CPI!$I$46</f>
        <v>3617.0211855949356</v>
      </c>
      <c r="F63" s="639">
        <f>'AV (nominal)'!G63*CPI!$I$46</f>
        <v>154324.9147842947</v>
      </c>
    </row>
    <row r="64" spans="1:6">
      <c r="A64" s="271">
        <f>'FS (nominal)'!A75</f>
        <v>167</v>
      </c>
      <c r="B64" s="666" t="s">
        <v>36</v>
      </c>
      <c r="C64" s="268">
        <v>2009</v>
      </c>
      <c r="D64" s="27">
        <f>'AV (nominal)'!E64*CPI!$I$50</f>
        <v>156992.39352048864</v>
      </c>
      <c r="E64" s="27">
        <f>'AV (nominal)'!F64*CPI!$I$50</f>
        <v>3618.7977211888247</v>
      </c>
      <c r="F64" s="639">
        <f>'AV (nominal)'!G64*CPI!$I$50</f>
        <v>160611.19124167747</v>
      </c>
    </row>
    <row r="65" spans="1:6">
      <c r="A65" s="271">
        <f>'FS (nominal)'!A76</f>
        <v>168</v>
      </c>
      <c r="B65" s="666" t="s">
        <v>36</v>
      </c>
      <c r="C65" s="268">
        <v>2010</v>
      </c>
      <c r="D65" s="27">
        <f>'AV (nominal)'!E65*CPI!$I$54</f>
        <v>165338.91915335073</v>
      </c>
      <c r="E65" s="27">
        <f>'AV (nominal)'!F65*CPI!$I$54</f>
        <v>3600.5642531863864</v>
      </c>
      <c r="F65" s="639">
        <f>'AV (nominal)'!G65*CPI!$I$54</f>
        <v>168939.4834065371</v>
      </c>
    </row>
    <row r="66" spans="1:6">
      <c r="A66" s="271">
        <f>'FS (nominal)'!A77</f>
        <v>169</v>
      </c>
      <c r="B66" s="666" t="s">
        <v>36</v>
      </c>
      <c r="C66" s="268">
        <v>2011</v>
      </c>
      <c r="D66" s="27">
        <f>'AV (nominal)'!E66*CPI!$I$58</f>
        <v>177702.98</v>
      </c>
      <c r="E66" s="27">
        <f>'AV (nominal)'!F66*CPI!$I$58</f>
        <v>6423</v>
      </c>
      <c r="F66" s="639">
        <f>'AV (nominal)'!G66*CPI!$I$58</f>
        <v>184125.98</v>
      </c>
    </row>
    <row r="67" spans="1:6" hidden="1">
      <c r="A67" s="271">
        <f>'FS (nominal)'!A79</f>
        <v>186</v>
      </c>
      <c r="B67" s="666" t="s">
        <v>37</v>
      </c>
      <c r="C67" s="268">
        <v>2005</v>
      </c>
      <c r="D67" s="27">
        <f>'AV (nominal)'!E67*CPI!$I$34</f>
        <v>54720.735618919483</v>
      </c>
      <c r="E67" s="27">
        <f>'AV (nominal)'!F67*CPI!$I$34</f>
        <v>612.13672181593074</v>
      </c>
      <c r="F67" s="639">
        <f>'AV (nominal)'!G67*CPI!$I$34</f>
        <v>55332.872340735419</v>
      </c>
    </row>
    <row r="68" spans="1:6" hidden="1">
      <c r="A68" s="271">
        <f>'FS (nominal)'!A80</f>
        <v>187</v>
      </c>
      <c r="B68" s="666" t="s">
        <v>37</v>
      </c>
      <c r="C68" s="268">
        <v>2006</v>
      </c>
      <c r="D68" s="27">
        <f>'AV (nominal)'!E68*CPI!$I$38</f>
        <v>55222.912254128343</v>
      </c>
      <c r="E68" s="27">
        <f>'AV (nominal)'!F68*CPI!$I$38</f>
        <v>572.78765824750883</v>
      </c>
      <c r="F68" s="639">
        <f>'AV (nominal)'!G68*CPI!$I$38</f>
        <v>55795.699912375851</v>
      </c>
    </row>
    <row r="69" spans="1:6" hidden="1">
      <c r="A69" s="271">
        <f>'FS (nominal)'!A81</f>
        <v>188</v>
      </c>
      <c r="B69" s="666" t="s">
        <v>37</v>
      </c>
      <c r="C69" s="268">
        <v>2007</v>
      </c>
      <c r="D69" s="27">
        <f>'AV (nominal)'!E69*CPI!$I$42</f>
        <v>55017.436399508595</v>
      </c>
      <c r="E69" s="27">
        <f>'AV (nominal)'!F69*CPI!$I$42</f>
        <v>570.68359317869374</v>
      </c>
      <c r="F69" s="639">
        <f>'AV (nominal)'!G69*CPI!$I$42</f>
        <v>55588.119992687287</v>
      </c>
    </row>
    <row r="70" spans="1:6">
      <c r="A70" s="271">
        <f>'FS (nominal)'!A82</f>
        <v>189</v>
      </c>
      <c r="B70" s="666" t="s">
        <v>37</v>
      </c>
      <c r="C70" s="268">
        <v>2008</v>
      </c>
      <c r="D70" s="27">
        <f>'AV (nominal)'!E70*CPI!$I$46</f>
        <v>55811.233082318722</v>
      </c>
      <c r="E70" s="27">
        <f>'AV (nominal)'!F70*CPI!$I$46</f>
        <v>553.0646403011034</v>
      </c>
      <c r="F70" s="639">
        <f>'AV (nominal)'!G70*CPI!$I$46</f>
        <v>56364.297722619827</v>
      </c>
    </row>
    <row r="71" spans="1:6">
      <c r="A71" s="271">
        <f>'FS (nominal)'!A83</f>
        <v>190</v>
      </c>
      <c r="B71" s="666" t="s">
        <v>37</v>
      </c>
      <c r="C71" s="268">
        <v>2009</v>
      </c>
      <c r="D71" s="27">
        <f>'AV (nominal)'!E71*CPI!$I$50</f>
        <v>56338.827741643196</v>
      </c>
      <c r="E71" s="27">
        <f>'AV (nominal)'!F71*CPI!$I$50</f>
        <v>452.60923879470096</v>
      </c>
      <c r="F71" s="639">
        <f>'AV (nominal)'!G71*CPI!$I$50</f>
        <v>56791.436980437895</v>
      </c>
    </row>
    <row r="72" spans="1:6">
      <c r="A72" s="271">
        <f>'FS (nominal)'!A84</f>
        <v>191</v>
      </c>
      <c r="B72" s="666" t="s">
        <v>37</v>
      </c>
      <c r="C72" s="268">
        <v>2010</v>
      </c>
      <c r="D72" s="27">
        <f>'AV (nominal)'!E72*CPI!$I$54</f>
        <v>57375.767727088998</v>
      </c>
      <c r="E72" s="27">
        <f>'AV (nominal)'!F72*CPI!$I$54</f>
        <v>522.66255288189473</v>
      </c>
      <c r="F72" s="639">
        <f>'AV (nominal)'!G72*CPI!$I$54</f>
        <v>57898.430279970897</v>
      </c>
    </row>
    <row r="73" spans="1:6">
      <c r="A73" s="271">
        <f>'FS (nominal)'!A85</f>
        <v>192</v>
      </c>
      <c r="B73" s="666" t="s">
        <v>37</v>
      </c>
      <c r="C73" s="268">
        <v>2011</v>
      </c>
      <c r="D73" s="27">
        <f>'AV (nominal)'!E73*CPI!$I$58</f>
        <v>59172.491999999998</v>
      </c>
      <c r="E73" s="27">
        <f>'AV (nominal)'!F73*CPI!$I$58</f>
        <v>782</v>
      </c>
      <c r="F73" s="639">
        <f>'AV (nominal)'!G73*CPI!$I$58</f>
        <v>59954.491999999998</v>
      </c>
    </row>
    <row r="74" spans="1:6" hidden="1">
      <c r="A74" s="271">
        <f>'FS (nominal)'!A87</f>
        <v>209</v>
      </c>
      <c r="B74" s="666" t="s">
        <v>38</v>
      </c>
      <c r="C74" s="268">
        <v>2005</v>
      </c>
      <c r="D74" s="27">
        <f>'AV (nominal)'!E74*CPI!$I$34</f>
        <v>90965.1708081822</v>
      </c>
      <c r="E74" s="27">
        <f>'AV (nominal)'!F74*CPI!$I$34</f>
        <v>836.97924848293599</v>
      </c>
      <c r="F74" s="639">
        <f>'AV (nominal)'!G74*CPI!$I$34</f>
        <v>91802.150056665138</v>
      </c>
    </row>
    <row r="75" spans="1:6" hidden="1">
      <c r="A75" s="271">
        <f>'FS (nominal)'!A88</f>
        <v>210</v>
      </c>
      <c r="B75" s="666" t="s">
        <v>38</v>
      </c>
      <c r="C75" s="268">
        <v>2006</v>
      </c>
      <c r="D75" s="27">
        <f>'AV (nominal)'!E75*CPI!$I$38</f>
        <v>90414.504470098764</v>
      </c>
      <c r="E75" s="27">
        <f>'AV (nominal)'!F75*CPI!$I$38</f>
        <v>850.05339719998813</v>
      </c>
      <c r="F75" s="639">
        <f>'AV (nominal)'!G75*CPI!$I$38</f>
        <v>91264.557867298747</v>
      </c>
    </row>
    <row r="76" spans="1:6" hidden="1">
      <c r="A76" s="271">
        <f>'FS (nominal)'!A89</f>
        <v>211</v>
      </c>
      <c r="B76" s="669" t="s">
        <v>38</v>
      </c>
      <c r="C76" s="663">
        <v>2007</v>
      </c>
      <c r="D76" s="749">
        <f>'AV (nominal)'!E76*CPI!$I$42</f>
        <v>89801.611159797598</v>
      </c>
      <c r="E76" s="749">
        <f>'AV (nominal)'!F76*CPI!$I$42</f>
        <v>1566.0619533740899</v>
      </c>
      <c r="F76" s="750">
        <f>'AV (nominal)'!G76*CPI!$I$42</f>
        <v>91367.673113171681</v>
      </c>
    </row>
    <row r="77" spans="1:6">
      <c r="A77" s="271">
        <f>'FS (nominal)'!A90</f>
        <v>212</v>
      </c>
      <c r="B77" s="669" t="s">
        <v>38</v>
      </c>
      <c r="C77" s="663">
        <v>2008</v>
      </c>
      <c r="D77" s="749">
        <f>'AV (nominal)'!E77*CPI!$I$46</f>
        <v>92348.050249779015</v>
      </c>
      <c r="E77" s="749">
        <f>'AV (nominal)'!F77*CPI!$I$46</f>
        <v>783.77776510507249</v>
      </c>
      <c r="F77" s="750">
        <f>'AV (nominal)'!G77*CPI!$I$46</f>
        <v>93131.828014884086</v>
      </c>
    </row>
    <row r="78" spans="1:6">
      <c r="A78" s="271">
        <f>'FS (nominal)'!A91</f>
        <v>213</v>
      </c>
      <c r="B78" s="669" t="s">
        <v>38</v>
      </c>
      <c r="C78" s="663">
        <v>2009</v>
      </c>
      <c r="D78" s="749">
        <f>'AV (nominal)'!E78*CPI!$I$50</f>
        <v>90504.849998215359</v>
      </c>
      <c r="E78" s="749">
        <f>'AV (nominal)'!F78*CPI!$I$50</f>
        <v>795.18045164390116</v>
      </c>
      <c r="F78" s="750">
        <f>'AV (nominal)'!G78*CPI!$I$50</f>
        <v>91300.03044985926</v>
      </c>
    </row>
    <row r="79" spans="1:6">
      <c r="A79" s="271">
        <f>'FS (nominal)'!A92</f>
        <v>214</v>
      </c>
      <c r="B79" s="669" t="s">
        <v>38</v>
      </c>
      <c r="C79" s="663">
        <v>2010</v>
      </c>
      <c r="D79" s="749">
        <f>'AV (nominal)'!E79*CPI!$I$54</f>
        <v>90118.422847134265</v>
      </c>
      <c r="E79" s="749">
        <f>'AV (nominal)'!F79*CPI!$I$54</f>
        <v>675.24282064347494</v>
      </c>
      <c r="F79" s="750">
        <f>'AV (nominal)'!G79*CPI!$I$54</f>
        <v>90793.665168548396</v>
      </c>
    </row>
    <row r="80" spans="1:6">
      <c r="A80" s="271">
        <f>'FS (nominal)'!A93</f>
        <v>215</v>
      </c>
      <c r="B80" s="669" t="s">
        <v>38</v>
      </c>
      <c r="C80" s="663">
        <v>2011</v>
      </c>
      <c r="D80" s="749">
        <f>'AV (nominal)'!E80*CPI!$I$58</f>
        <v>96611.539000000004</v>
      </c>
      <c r="E80" s="749">
        <f>'AV (nominal)'!F80*CPI!$I$58</f>
        <v>697.62435000000005</v>
      </c>
      <c r="F80" s="750">
        <f>'AV (nominal)'!G80*CPI!$I$58</f>
        <v>97309.163</v>
      </c>
    </row>
    <row r="81" spans="1:6" ht="14.45" hidden="1">
      <c r="A81" s="271">
        <f>'FS (nominal)'!A95</f>
        <v>232</v>
      </c>
      <c r="B81" s="669" t="s">
        <v>39</v>
      </c>
      <c r="C81" s="663">
        <v>2005</v>
      </c>
      <c r="D81" s="749">
        <f>'AV (nominal)'!E81*CPI!$I$34</f>
        <v>147259.65931989229</v>
      </c>
      <c r="E81" s="749">
        <f>'AV (nominal)'!F81*CPI!$I$34</f>
        <v>1105.3776572791517</v>
      </c>
      <c r="F81" s="750">
        <f>'AV (nominal)'!G81*CPI!$I$34</f>
        <v>148365.03697717146</v>
      </c>
    </row>
    <row r="82" spans="1:6" ht="14.45" hidden="1">
      <c r="A82" s="271">
        <f>'FS (nominal)'!A96</f>
        <v>233</v>
      </c>
      <c r="B82" s="669" t="s">
        <v>39</v>
      </c>
      <c r="C82" s="663">
        <v>2006</v>
      </c>
      <c r="D82" s="749">
        <f>'AV (nominal)'!E82*CPI!$I$38</f>
        <v>156737.39801070673</v>
      </c>
      <c r="E82" s="749">
        <f>'AV (nominal)'!F82*CPI!$I$38</f>
        <v>1656.7483660864198</v>
      </c>
      <c r="F82" s="750">
        <f>'AV (nominal)'!G82*CPI!$I$38</f>
        <v>158394.14637679316</v>
      </c>
    </row>
    <row r="83" spans="1:6" ht="14.45" hidden="1">
      <c r="A83" s="271">
        <f>'FS (nominal)'!A97</f>
        <v>234</v>
      </c>
      <c r="B83" s="669" t="s">
        <v>39</v>
      </c>
      <c r="C83" s="663">
        <v>2007</v>
      </c>
      <c r="D83" s="749">
        <f>'AV (nominal)'!E83*CPI!$I$42</f>
        <v>162018.36609529943</v>
      </c>
      <c r="E83" s="749">
        <f>'AV (nominal)'!F83*CPI!$I$42</f>
        <v>1532.88267470091</v>
      </c>
      <c r="F83" s="750">
        <f>'AV (nominal)'!G83*CPI!$I$42</f>
        <v>163551.24877000033</v>
      </c>
    </row>
    <row r="84" spans="1:6" ht="409.6">
      <c r="A84" s="271">
        <f>'FS (nominal)'!A98</f>
        <v>235</v>
      </c>
      <c r="B84" s="669" t="s">
        <v>39</v>
      </c>
      <c r="C84" s="663">
        <v>2008</v>
      </c>
      <c r="D84" s="749">
        <f>'AV (nominal)'!E84*CPI!$I$46</f>
        <v>172057.04041230647</v>
      </c>
      <c r="E84" s="749">
        <f>'AV (nominal)'!F84*CPI!$I$46</f>
        <v>1404.762624390522</v>
      </c>
      <c r="F84" s="750">
        <f>'AV (nominal)'!G84*CPI!$I$46</f>
        <v>173461.80303669698</v>
      </c>
    </row>
    <row r="85" spans="1:6" ht="409.6">
      <c r="A85" s="271">
        <f>'FS (nominal)'!A99</f>
        <v>236</v>
      </c>
      <c r="B85" s="669" t="s">
        <v>39</v>
      </c>
      <c r="C85" s="663">
        <v>2009</v>
      </c>
      <c r="D85" s="749">
        <f>'AV (nominal)'!E85*CPI!$I$50</f>
        <v>179897.54566819954</v>
      </c>
      <c r="E85" s="749">
        <f>'AV (nominal)'!F85*CPI!$I$50</f>
        <v>1219.7611366600313</v>
      </c>
      <c r="F85" s="750">
        <f>'AV (nominal)'!G85*CPI!$I$50</f>
        <v>181117.30680485957</v>
      </c>
    </row>
    <row r="86" spans="1:6" ht="409.6">
      <c r="A86" s="271">
        <f>'FS (nominal)'!A100</f>
        <v>237</v>
      </c>
      <c r="B86" s="669" t="s">
        <v>39</v>
      </c>
      <c r="C86" s="663">
        <v>2010</v>
      </c>
      <c r="D86" s="749">
        <f>'AV (nominal)'!E86*CPI!$I$54</f>
        <v>183416.27841610301</v>
      </c>
      <c r="E86" s="749">
        <f>'AV (nominal)'!F86*CPI!$I$54</f>
        <v>1063.664142707014</v>
      </c>
      <c r="F86" s="750">
        <f>'AV (nominal)'!G86*CPI!$I$54</f>
        <v>184479.94255881003</v>
      </c>
    </row>
    <row r="87" spans="1:6" ht="409.6">
      <c r="A87" s="271">
        <f>'FS (nominal)'!A101</f>
        <v>238</v>
      </c>
      <c r="B87" s="669" t="s">
        <v>39</v>
      </c>
      <c r="C87" s="663">
        <v>2011</v>
      </c>
      <c r="D87" s="749">
        <f>'AV (nominal)'!E87*CPI!$I$58</f>
        <v>190637.67</v>
      </c>
      <c r="E87" s="749">
        <f>'AV (nominal)'!F87*CPI!$I$58</f>
        <v>2058</v>
      </c>
      <c r="F87" s="750">
        <f>'AV (nominal)'!G87*CPI!$I$58</f>
        <v>192695.67</v>
      </c>
    </row>
    <row r="88" spans="1:6" ht="14.45" hidden="1">
      <c r="A88" s="271">
        <f>'FS (nominal)'!A103</f>
        <v>255</v>
      </c>
      <c r="B88" s="669" t="s">
        <v>40</v>
      </c>
      <c r="C88" s="663">
        <v>2005</v>
      </c>
      <c r="D88" s="749">
        <f>'AV (nominal)'!E88*CPI!$I$34</f>
        <v>122808.4465599567</v>
      </c>
      <c r="E88" s="749">
        <f>'AV (nominal)'!F88*CPI!$I$34</f>
        <v>8795.9338180935265</v>
      </c>
      <c r="F88" s="750">
        <f>'AV (nominal)'!G88*CPI!$I$34</f>
        <v>131604.38037805023</v>
      </c>
    </row>
    <row r="89" spans="1:6" ht="14.45" hidden="1">
      <c r="A89" s="271">
        <f>'FS (nominal)'!A104</f>
        <v>256</v>
      </c>
      <c r="B89" s="669" t="s">
        <v>40</v>
      </c>
      <c r="C89" s="663">
        <v>2006</v>
      </c>
      <c r="D89" s="749">
        <f>'AV (nominal)'!E89*CPI!$I$38</f>
        <v>135065.7829889961</v>
      </c>
      <c r="E89" s="749">
        <f>'AV (nominal)'!F89*CPI!$I$38</f>
        <v>7883.2468741674065</v>
      </c>
      <c r="F89" s="750">
        <f>'AV (nominal)'!G89*CPI!$I$38</f>
        <v>142949.02986316351</v>
      </c>
    </row>
    <row r="90" spans="1:6" ht="14.45" hidden="1">
      <c r="A90" s="271">
        <f>'FS (nominal)'!A105</f>
        <v>257</v>
      </c>
      <c r="B90" s="669" t="s">
        <v>40</v>
      </c>
      <c r="C90" s="663">
        <v>2007</v>
      </c>
      <c r="D90" s="749">
        <f>'AV (nominal)'!E90*CPI!$I$42</f>
        <v>142014.55686372015</v>
      </c>
      <c r="E90" s="749">
        <f>'AV (nominal)'!F90*CPI!$I$42</f>
        <v>9038.0355105741965</v>
      </c>
      <c r="F90" s="750">
        <f>'AV (nominal)'!G90*CPI!$I$42</f>
        <v>151052.59237429433</v>
      </c>
    </row>
    <row r="91" spans="1:6" ht="409.6">
      <c r="A91" s="271">
        <f>'FS (nominal)'!A106</f>
        <v>258</v>
      </c>
      <c r="B91" s="669" t="s">
        <v>40</v>
      </c>
      <c r="C91" s="663">
        <v>2008</v>
      </c>
      <c r="D91" s="749">
        <f>'AV (nominal)'!E91*CPI!$I$46</f>
        <v>152744.54066037465</v>
      </c>
      <c r="E91" s="749">
        <f>'AV (nominal)'!F91*CPI!$I$46</f>
        <v>9613.4062330700581</v>
      </c>
      <c r="F91" s="750">
        <f>'AV (nominal)'!G91*CPI!$I$46</f>
        <v>162357.94689344469</v>
      </c>
    </row>
    <row r="92" spans="1:6" ht="409.6">
      <c r="A92" s="271">
        <f>'FS (nominal)'!A107</f>
        <v>259</v>
      </c>
      <c r="B92" s="669" t="s">
        <v>40</v>
      </c>
      <c r="C92" s="663">
        <v>2009</v>
      </c>
      <c r="D92" s="749">
        <f>'AV (nominal)'!E92*CPI!$I$50</f>
        <v>161737.32662777122</v>
      </c>
      <c r="E92" s="749">
        <f>'AV (nominal)'!F92*CPI!$I$50</f>
        <v>9991.6603747683403</v>
      </c>
      <c r="F92" s="750">
        <f>'AV (nominal)'!G92*CPI!$I$50</f>
        <v>171728.98700253956</v>
      </c>
    </row>
    <row r="93" spans="1:6" ht="409.6">
      <c r="A93" s="271">
        <f>'FS (nominal)'!A108</f>
        <v>260</v>
      </c>
      <c r="B93" s="669" t="s">
        <v>40</v>
      </c>
      <c r="C93" s="663">
        <v>2010</v>
      </c>
      <c r="D93" s="749">
        <f>'AV (nominal)'!E93*CPI!$I$54</f>
        <v>169081.11171350809</v>
      </c>
      <c r="E93" s="749">
        <f>'AV (nominal)'!F93*CPI!$I$54</f>
        <v>10015.752954649564</v>
      </c>
      <c r="F93" s="750">
        <f>'AV (nominal)'!G93*CPI!$I$54</f>
        <v>179096.86466815765</v>
      </c>
    </row>
    <row r="94" spans="1:6" ht="409.6">
      <c r="A94" s="271">
        <f>'FS (nominal)'!A109</f>
        <v>261</v>
      </c>
      <c r="B94" s="669" t="s">
        <v>40</v>
      </c>
      <c r="C94" s="663">
        <v>2011</v>
      </c>
      <c r="D94" s="749">
        <f>'AV (nominal)'!E94*CPI!$I$58</f>
        <v>183709.05</v>
      </c>
      <c r="E94" s="749">
        <f>'AV (nominal)'!F94*CPI!$I$58</f>
        <v>9639</v>
      </c>
      <c r="F94" s="750">
        <f>'AV (nominal)'!G94*CPI!$I$58</f>
        <v>193348.05</v>
      </c>
    </row>
    <row r="95" spans="1:6" ht="14.45" hidden="1">
      <c r="A95" s="271">
        <f>'FS (nominal)'!A111</f>
        <v>278</v>
      </c>
      <c r="B95" s="669" t="s">
        <v>41</v>
      </c>
      <c r="C95" s="663">
        <v>2005</v>
      </c>
      <c r="D95" s="749">
        <f>'AV (nominal)'!E95*CPI!$I$34</f>
        <v>23880.243409847797</v>
      </c>
      <c r="E95" s="749">
        <f>'AV (nominal)'!F95*CPI!$I$34</f>
        <v>53.557089608839476</v>
      </c>
      <c r="F95" s="750">
        <f>'AV (nominal)'!G95*CPI!$I$34</f>
        <v>23933.800664262679</v>
      </c>
    </row>
    <row r="96" spans="1:6" ht="14.45" hidden="1">
      <c r="A96" s="271">
        <f>'FS (nominal)'!A112</f>
        <v>279</v>
      </c>
      <c r="B96" s="669" t="s">
        <v>41</v>
      </c>
      <c r="C96" s="663">
        <v>2006</v>
      </c>
      <c r="D96" s="749">
        <f>'AV (nominal)'!E96*CPI!$I$38</f>
        <v>25092.110085859891</v>
      </c>
      <c r="E96" s="749">
        <f>'AV (nominal)'!F96*CPI!$I$38</f>
        <v>68.34672348888715</v>
      </c>
      <c r="F96" s="750">
        <f>'AV (nominal)'!G96*CPI!$I$38</f>
        <v>25160.45666101731</v>
      </c>
    </row>
    <row r="97" spans="1:6" ht="14.45" hidden="1">
      <c r="A97" s="271">
        <f>'FS (nominal)'!A113</f>
        <v>280</v>
      </c>
      <c r="B97" s="669" t="s">
        <v>41</v>
      </c>
      <c r="C97" s="663">
        <v>2007</v>
      </c>
      <c r="D97" s="749">
        <f>'AV (nominal)'!E97*CPI!$I$42</f>
        <v>24568.607755579611</v>
      </c>
      <c r="E97" s="749">
        <f>'AV (nominal)'!F97*CPI!$I$42</f>
        <v>68.986455755111606</v>
      </c>
      <c r="F97" s="750">
        <f>'AV (nominal)'!G97*CPI!$I$42</f>
        <v>24637.595217772843</v>
      </c>
    </row>
    <row r="98" spans="1:6" ht="409.6">
      <c r="A98" s="271">
        <f>'FS (nominal)'!A114</f>
        <v>281</v>
      </c>
      <c r="B98" s="669" t="s">
        <v>41</v>
      </c>
      <c r="C98" s="663">
        <v>2008</v>
      </c>
      <c r="D98" s="749">
        <f>'AV (nominal)'!E98*CPI!$I$46</f>
        <v>24506.400943514585</v>
      </c>
      <c r="E98" s="749">
        <f>'AV (nominal)'!F98*CPI!$I$46</f>
        <v>56.002128787317154</v>
      </c>
      <c r="F98" s="750">
        <f>'AV (nominal)'!G98*CPI!$I$46</f>
        <v>24562.403859313963</v>
      </c>
    </row>
    <row r="99" spans="1:6" ht="409.6">
      <c r="A99" s="271">
        <f>'FS (nominal)'!A115</f>
        <v>282</v>
      </c>
      <c r="B99" s="669" t="s">
        <v>41</v>
      </c>
      <c r="C99" s="663">
        <v>2009</v>
      </c>
      <c r="D99" s="749">
        <f>'AV (nominal)'!E99*CPI!$I$50</f>
        <v>24144.652652893121</v>
      </c>
      <c r="E99" s="749">
        <f>'AV (nominal)'!F99*CPI!$I$50</f>
        <v>220.91004669915569</v>
      </c>
      <c r="F99" s="750">
        <f>'AV (nominal)'!G99*CPI!$I$50</f>
        <v>24365.562294735391</v>
      </c>
    </row>
    <row r="100" spans="1:6" ht="409.6">
      <c r="A100" s="271">
        <f>'FS (nominal)'!A116</f>
        <v>283</v>
      </c>
      <c r="B100" s="669" t="s">
        <v>41</v>
      </c>
      <c r="C100" s="663">
        <v>2010</v>
      </c>
      <c r="D100" s="749">
        <f>'AV (nominal)'!E100*CPI!$I$54</f>
        <v>24153.626260138502</v>
      </c>
      <c r="E100" s="749">
        <f>'AV (nominal)'!F100*CPI!$I$54</f>
        <v>263.38972126593194</v>
      </c>
      <c r="F100" s="750">
        <f>'AV (nominal)'!G100*CPI!$I$54</f>
        <v>24417.016602894018</v>
      </c>
    </row>
    <row r="101" spans="1:6" ht="409.6">
      <c r="A101" s="271">
        <f>'FS (nominal)'!A117</f>
        <v>284</v>
      </c>
      <c r="B101" s="669" t="s">
        <v>41</v>
      </c>
      <c r="C101" s="663">
        <v>2011</v>
      </c>
      <c r="D101" s="749">
        <f>'AV (nominal)'!E101*CPI!$I$58</f>
        <v>28360.746999999999</v>
      </c>
      <c r="E101" s="749">
        <f>'AV (nominal)'!F101*CPI!$I$58</f>
        <v>244.14538999999999</v>
      </c>
      <c r="F101" s="750">
        <f>'AV (nominal)'!G101*CPI!$I$58</f>
        <v>28604.892</v>
      </c>
    </row>
    <row r="102" spans="1:6" ht="14.45" hidden="1">
      <c r="A102" s="271">
        <f>'FS (nominal)'!A119</f>
        <v>301</v>
      </c>
      <c r="B102" s="669" t="s">
        <v>42</v>
      </c>
      <c r="C102" s="663">
        <v>2005</v>
      </c>
      <c r="D102" s="749">
        <f>'AV (nominal)'!E102*CPI!$I$34</f>
        <v>136836.53660475163</v>
      </c>
      <c r="E102" s="749">
        <f>'AV (nominal)'!F102*CPI!$I$34</f>
        <v>1119.6108837569152</v>
      </c>
      <c r="F102" s="750">
        <f>'AV (nominal)'!G102*CPI!$I$34</f>
        <v>137956.15821267306</v>
      </c>
    </row>
    <row r="103" spans="1:6" ht="14.45" hidden="1">
      <c r="A103" s="271">
        <f>'FS (nominal)'!A120</f>
        <v>302</v>
      </c>
      <c r="B103" s="669" t="s">
        <v>42</v>
      </c>
      <c r="C103" s="663">
        <v>2006</v>
      </c>
      <c r="D103" s="749">
        <f>'AV (nominal)'!E103*CPI!$I$38</f>
        <v>140322.99242201482</v>
      </c>
      <c r="E103" s="749">
        <f>'AV (nominal)'!F103*CPI!$I$38</f>
        <v>3294.4461797831345</v>
      </c>
      <c r="F103" s="750">
        <f>'AV (nominal)'!G103*CPI!$I$38</f>
        <v>143617.44567606784</v>
      </c>
    </row>
    <row r="104" spans="1:6" ht="14.45" hidden="1">
      <c r="A104" s="271">
        <f>'FS (nominal)'!A121</f>
        <v>303</v>
      </c>
      <c r="B104" s="669" t="s">
        <v>42</v>
      </c>
      <c r="C104" s="663">
        <v>2007</v>
      </c>
      <c r="D104" s="749">
        <f>'AV (nominal)'!E104*CPI!$I$42</f>
        <v>144385.50387866734</v>
      </c>
      <c r="E104" s="749">
        <f>'AV (nominal)'!F104*CPI!$I$42</f>
        <v>3258.0088549741135</v>
      </c>
      <c r="F104" s="750">
        <f>'AV (nominal)'!G104*CPI!$I$42</f>
        <v>147643.50996870158</v>
      </c>
    </row>
    <row r="105" spans="1:6" ht="409.6">
      <c r="A105" s="271">
        <f>'FS (nominal)'!A122</f>
        <v>304</v>
      </c>
      <c r="B105" s="669" t="s">
        <v>42</v>
      </c>
      <c r="C105" s="663">
        <v>2008</v>
      </c>
      <c r="D105" s="749">
        <f>'AV (nominal)'!E105*CPI!$I$46</f>
        <v>146830.69485044622</v>
      </c>
      <c r="E105" s="749">
        <f>'AV (nominal)'!F105*CPI!$I$46</f>
        <v>3302.6149341906416</v>
      </c>
      <c r="F105" s="750">
        <f>'AV (nominal)'!G105*CPI!$I$46</f>
        <v>150133.31010806651</v>
      </c>
    </row>
    <row r="106" spans="1:6" ht="409.6">
      <c r="A106" s="271">
        <f>'FS (nominal)'!A123</f>
        <v>305</v>
      </c>
      <c r="B106" s="669" t="s">
        <v>42</v>
      </c>
      <c r="C106" s="663">
        <v>2009</v>
      </c>
      <c r="D106" s="749">
        <f>'AV (nominal)'!E106*CPI!$I$50</f>
        <v>146148.71701558097</v>
      </c>
      <c r="E106" s="749">
        <f>'AV (nominal)'!F106*CPI!$I$50</f>
        <v>3076.1640895600235</v>
      </c>
      <c r="F106" s="750">
        <f>'AV (nominal)'!G106*CPI!$I$50</f>
        <v>149224.88193561666</v>
      </c>
    </row>
    <row r="107" spans="1:6" ht="409.6">
      <c r="A107" s="271">
        <f>'FS (nominal)'!A124</f>
        <v>306</v>
      </c>
      <c r="B107" s="669" t="s">
        <v>42</v>
      </c>
      <c r="C107" s="663">
        <v>2010</v>
      </c>
      <c r="D107" s="749">
        <f>'AV (nominal)'!E107*CPI!$I$54</f>
        <v>146420.40939613592</v>
      </c>
      <c r="E107" s="749">
        <f>'AV (nominal)'!F107*CPI!$I$54</f>
        <v>2893.1163414620996</v>
      </c>
      <c r="F107" s="750">
        <f>'AV (nominal)'!G107*CPI!$I$54</f>
        <v>149313.5249225297</v>
      </c>
    </row>
    <row r="108" spans="1:6" ht="409.6">
      <c r="A108" s="271">
        <f>'FS (nominal)'!A125</f>
        <v>307</v>
      </c>
      <c r="B108" s="669" t="s">
        <v>42</v>
      </c>
      <c r="C108" s="663">
        <v>2011</v>
      </c>
      <c r="D108" s="749">
        <f>'AV (nominal)'!E108*CPI!$I$58</f>
        <v>150321.29999999999</v>
      </c>
      <c r="E108" s="749">
        <f>'AV (nominal)'!F108*CPI!$I$58</f>
        <v>2864.4668999999999</v>
      </c>
      <c r="F108" s="750">
        <f>'AV (nominal)'!G108*CPI!$I$58</f>
        <v>153185.76999999999</v>
      </c>
    </row>
    <row r="109" spans="1:6" ht="14.45" hidden="1">
      <c r="A109" s="271">
        <f>'FS (nominal)'!A127</f>
        <v>324</v>
      </c>
      <c r="B109" s="669" t="s">
        <v>43</v>
      </c>
      <c r="C109" s="663">
        <v>2005</v>
      </c>
      <c r="D109" s="749">
        <f>'AV (nominal)'!E109*CPI!$I$34</f>
        <v>55098.5205055322</v>
      </c>
      <c r="E109" s="749">
        <f>'AV (nominal)'!F109*CPI!$I$34</f>
        <v>65.922416195561766</v>
      </c>
      <c r="F109" s="750">
        <f>'AV (nominal)'!G109*CPI!$I$34</f>
        <v>55164.442921727757</v>
      </c>
    </row>
    <row r="110" spans="1:6" ht="14.45" hidden="1">
      <c r="A110" s="271">
        <f>'FS (nominal)'!A128</f>
        <v>325</v>
      </c>
      <c r="B110" s="669" t="s">
        <v>43</v>
      </c>
      <c r="C110" s="663">
        <v>2006</v>
      </c>
      <c r="D110" s="749">
        <f>'AV (nominal)'!E110*CPI!$I$38</f>
        <v>59960.046467616121</v>
      </c>
      <c r="E110" s="749">
        <f>'AV (nominal)'!F110*CPI!$I$38</f>
        <v>539.69833137663682</v>
      </c>
      <c r="F110" s="750">
        <f>'AV (nominal)'!G110*CPI!$I$38</f>
        <v>60499.74479899276</v>
      </c>
    </row>
    <row r="111" spans="1:6" ht="14.45" hidden="1">
      <c r="A111" s="271">
        <f>'FS (nominal)'!A129</f>
        <v>326</v>
      </c>
      <c r="B111" s="669" t="s">
        <v>43</v>
      </c>
      <c r="C111" s="663">
        <v>2007</v>
      </c>
      <c r="D111" s="749">
        <f>'AV (nominal)'!E111*CPI!$I$42</f>
        <v>63146.438198730517</v>
      </c>
      <c r="E111" s="749">
        <f>'AV (nominal)'!F111*CPI!$I$42</f>
        <v>431.3306227513383</v>
      </c>
      <c r="F111" s="750">
        <f>'AV (nominal)'!G111*CPI!$I$42</f>
        <v>63577.768821481855</v>
      </c>
    </row>
    <row r="112" spans="1:6" ht="409.6">
      <c r="A112" s="271">
        <f>'FS (nominal)'!A130</f>
        <v>327</v>
      </c>
      <c r="B112" s="669" t="s">
        <v>43</v>
      </c>
      <c r="C112" s="663">
        <v>2008</v>
      </c>
      <c r="D112" s="749">
        <f>'AV (nominal)'!E112*CPI!$I$46</f>
        <v>65347.555257335116</v>
      </c>
      <c r="E112" s="749">
        <f>'AV (nominal)'!F112*CPI!$I$46</f>
        <v>319.11721935502266</v>
      </c>
      <c r="F112" s="750">
        <f>'AV (nominal)'!G112*CPI!$I$46</f>
        <v>65666.672476690146</v>
      </c>
    </row>
    <row r="113" spans="1:6" ht="409.6">
      <c r="A113" s="271">
        <f>'FS (nominal)'!A131</f>
        <v>328</v>
      </c>
      <c r="B113" s="669" t="s">
        <v>43</v>
      </c>
      <c r="C113" s="663">
        <v>2009</v>
      </c>
      <c r="D113" s="749">
        <f>'AV (nominal)'!E113*CPI!$I$50</f>
        <v>65540.656966161012</v>
      </c>
      <c r="E113" s="749">
        <f>'AV (nominal)'!F113*CPI!$I$50</f>
        <v>247.06651108518079</v>
      </c>
      <c r="F113" s="750">
        <f>'AV (nominal)'!G113*CPI!$I$50</f>
        <v>65787.723477246196</v>
      </c>
    </row>
    <row r="114" spans="1:6" ht="409.6">
      <c r="A114" s="271">
        <f>'FS (nominal)'!A132</f>
        <v>329</v>
      </c>
      <c r="B114" s="669" t="s">
        <v>43</v>
      </c>
      <c r="C114" s="663">
        <v>2010</v>
      </c>
      <c r="D114" s="749">
        <f>'AV (nominal)'!E114*CPI!$I$54</f>
        <v>68450.059063619949</v>
      </c>
      <c r="E114" s="749">
        <f>'AV (nominal)'!F114*CPI!$I$54</f>
        <v>227.20029101883534</v>
      </c>
      <c r="F114" s="750">
        <f>'AV (nominal)'!G114*CPI!$I$54</f>
        <v>68677.25935463878</v>
      </c>
    </row>
    <row r="115" spans="1:6" ht="409.6">
      <c r="A115" s="271">
        <f>'FS (nominal)'!A133</f>
        <v>330</v>
      </c>
      <c r="B115" s="669" t="s">
        <v>43</v>
      </c>
      <c r="C115" s="663">
        <v>2011</v>
      </c>
      <c r="D115" s="749">
        <f>'AV (nominal)'!E115*CPI!$I$58</f>
        <v>74387.563999999998</v>
      </c>
      <c r="E115" s="749">
        <f>'AV (nominal)'!F115*CPI!$I$58</f>
        <v>173</v>
      </c>
      <c r="F115" s="750">
        <f>'AV (nominal)'!G115*CPI!$I$58</f>
        <v>74560.563999999998</v>
      </c>
    </row>
    <row r="116" spans="1:6" ht="14.45" hidden="1">
      <c r="A116" s="271">
        <f>'FS (nominal)'!A135</f>
        <v>347</v>
      </c>
      <c r="B116" s="669" t="s">
        <v>44</v>
      </c>
      <c r="C116" s="663">
        <v>2005</v>
      </c>
      <c r="D116" s="749">
        <f>'AV (nominal)'!E116*CPI!$I$34</f>
        <v>166886.70497821679</v>
      </c>
      <c r="E116" s="749">
        <f>'AV (nominal)'!F116*CPI!$I$34</f>
        <v>6367.3990928891717</v>
      </c>
      <c r="F116" s="750">
        <f>'AV (nominal)'!G116*CPI!$I$34</f>
        <v>173254.10407110595</v>
      </c>
    </row>
    <row r="117" spans="1:6" ht="14.45" hidden="1">
      <c r="A117" s="271">
        <f>'FS (nominal)'!A136</f>
        <v>348</v>
      </c>
      <c r="B117" s="669" t="s">
        <v>44</v>
      </c>
      <c r="C117" s="663">
        <v>2006</v>
      </c>
      <c r="D117" s="749">
        <f>'AV (nominal)'!E117*CPI!$I$38</f>
        <v>174096.40119054762</v>
      </c>
      <c r="E117" s="749">
        <f>'AV (nominal)'!F117*CPI!$I$38</f>
        <v>8226.6912668616296</v>
      </c>
      <c r="F117" s="750">
        <f>'AV (nominal)'!G117*CPI!$I$38</f>
        <v>182323.09245740928</v>
      </c>
    </row>
    <row r="118" spans="1:6" ht="14.45" hidden="1">
      <c r="A118" s="271">
        <f>'FS (nominal)'!A137</f>
        <v>349</v>
      </c>
      <c r="B118" s="669" t="s">
        <v>44</v>
      </c>
      <c r="C118" s="663">
        <v>2007</v>
      </c>
      <c r="D118" s="749">
        <f>'AV (nominal)'!E118*CPI!$I$42</f>
        <v>177598.0613683564</v>
      </c>
      <c r="E118" s="749">
        <f>'AV (nominal)'!F118*CPI!$I$42</f>
        <v>7946.4372422265787</v>
      </c>
      <c r="F118" s="750">
        <f>'AV (nominal)'!G118*CPI!$I$42</f>
        <v>185544.49861058299</v>
      </c>
    </row>
    <row r="119" spans="1:6" ht="409.6">
      <c r="A119" s="271">
        <f>'FS (nominal)'!A138</f>
        <v>350</v>
      </c>
      <c r="B119" s="669" t="s">
        <v>44</v>
      </c>
      <c r="C119" s="663">
        <v>2008</v>
      </c>
      <c r="D119" s="749">
        <f>'AV (nominal)'!E119*CPI!$I$46</f>
        <v>189368.11458755095</v>
      </c>
      <c r="E119" s="749">
        <f>'AV (nominal)'!F119*CPI!$I$46</f>
        <v>10101.784950528927</v>
      </c>
      <c r="F119" s="750">
        <f>'AV (nominal)'!G119*CPI!$I$46</f>
        <v>199469.89953807989</v>
      </c>
    </row>
    <row r="120" spans="1:6" ht="409.6">
      <c r="A120" s="271">
        <f>'FS (nominal)'!A139</f>
        <v>351</v>
      </c>
      <c r="B120" s="669" t="s">
        <v>44</v>
      </c>
      <c r="C120" s="663">
        <v>2009</v>
      </c>
      <c r="D120" s="749">
        <f>'AV (nominal)'!E120*CPI!$I$50</f>
        <v>193538.97012560911</v>
      </c>
      <c r="E120" s="749">
        <f>'AV (nominal)'!F120*CPI!$I$50</f>
        <v>10180.593589127597</v>
      </c>
      <c r="F120" s="750">
        <f>'AV (nominal)'!G120*CPI!$I$50</f>
        <v>203719.56371473669</v>
      </c>
    </row>
    <row r="121" spans="1:6" ht="409.6">
      <c r="A121" s="271">
        <f>'FS (nominal)'!A140</f>
        <v>352</v>
      </c>
      <c r="B121" s="669" t="s">
        <v>44</v>
      </c>
      <c r="C121" s="663">
        <v>2010</v>
      </c>
      <c r="D121" s="749">
        <f>'AV (nominal)'!E121*CPI!$I$54</f>
        <v>197899.79773921476</v>
      </c>
      <c r="E121" s="749">
        <f>'AV (nominal)'!F121*CPI!$I$54</f>
        <v>10304.501091320632</v>
      </c>
      <c r="F121" s="750">
        <f>'AV (nominal)'!G121*CPI!$I$54</f>
        <v>208204.29883053538</v>
      </c>
    </row>
    <row r="122" spans="1:6" ht="409.6">
      <c r="A122" s="271">
        <f>'FS (nominal)'!A141</f>
        <v>353</v>
      </c>
      <c r="B122" s="669" t="s">
        <v>44</v>
      </c>
      <c r="C122" s="663">
        <v>2011</v>
      </c>
      <c r="D122" s="749">
        <f>'AV (nominal)'!E122*CPI!$I$58</f>
        <v>208632.41</v>
      </c>
      <c r="E122" s="749">
        <f>'AV (nominal)'!F122*CPI!$I$58</f>
        <v>10628</v>
      </c>
      <c r="F122" s="750">
        <f>'AV (nominal)'!G122*CPI!$I$58</f>
        <v>219260.41</v>
      </c>
    </row>
    <row r="123" spans="1:6" ht="14.45" hidden="1">
      <c r="A123" s="271">
        <f>'FS (nominal)'!A143</f>
        <v>370</v>
      </c>
      <c r="B123" s="669" t="s">
        <v>45</v>
      </c>
      <c r="C123" s="663">
        <v>2005</v>
      </c>
      <c r="D123" s="749">
        <f>'AV (nominal)'!E123*CPI!$I$34</f>
        <v>716753.27726186032</v>
      </c>
      <c r="E123" s="749">
        <f>'AV (nominal)'!F123*CPI!$I$34</f>
        <v>17301.102693324487</v>
      </c>
      <c r="F123" s="750">
        <f>'AV (nominal)'!G123*CPI!$I$34</f>
        <v>734054.37995518488</v>
      </c>
    </row>
    <row r="124" spans="1:6" ht="14.45" hidden="1">
      <c r="A124" s="271">
        <f>'FS (nominal)'!A144</f>
        <v>371</v>
      </c>
      <c r="B124" s="669" t="s">
        <v>45</v>
      </c>
      <c r="C124" s="663">
        <v>2006</v>
      </c>
      <c r="D124" s="749">
        <f>'AV (nominal)'!E124*CPI!$I$38</f>
        <v>728436.17779179686</v>
      </c>
      <c r="E124" s="749">
        <f>'AV (nominal)'!F124*CPI!$I$38</f>
        <v>16493.31792822259</v>
      </c>
      <c r="F124" s="750">
        <f>'AV (nominal)'!G124*CPI!$I$38</f>
        <v>744929.49572001945</v>
      </c>
    </row>
    <row r="125" spans="1:6" ht="14.45" hidden="1">
      <c r="A125" s="271">
        <f>'FS (nominal)'!A145</f>
        <v>372</v>
      </c>
      <c r="B125" s="669" t="s">
        <v>45</v>
      </c>
      <c r="C125" s="663">
        <v>2007</v>
      </c>
      <c r="D125" s="749">
        <f>'AV (nominal)'!E125*CPI!$I$42</f>
        <v>731216.16905548901</v>
      </c>
      <c r="E125" s="749">
        <f>'AV (nominal)'!F125*CPI!$I$42</f>
        <v>23062.916605727325</v>
      </c>
      <c r="F125" s="750">
        <f>'AV (nominal)'!G125*CPI!$I$42</f>
        <v>754279.08566121641</v>
      </c>
    </row>
    <row r="126" spans="1:6" ht="409.6">
      <c r="A126" s="271">
        <f>'FS (nominal)'!A146</f>
        <v>373</v>
      </c>
      <c r="B126" s="669" t="s">
        <v>45</v>
      </c>
      <c r="C126" s="663">
        <v>2008</v>
      </c>
      <c r="D126" s="749">
        <f>'AV (nominal)'!E126*CPI!$I$46</f>
        <v>755258.48561204399</v>
      </c>
      <c r="E126" s="749">
        <f>'AV (nominal)'!F126*CPI!$I$46</f>
        <v>22829.818368452565</v>
      </c>
      <c r="F126" s="750">
        <f>'AV (nominal)'!G126*CPI!$I$46</f>
        <v>778088.3039804966</v>
      </c>
    </row>
    <row r="127" spans="1:6" ht="409.6">
      <c r="A127" s="271">
        <f>'FS (nominal)'!A147</f>
        <v>374</v>
      </c>
      <c r="B127" s="669" t="s">
        <v>45</v>
      </c>
      <c r="C127" s="663">
        <v>2009</v>
      </c>
      <c r="D127" s="749">
        <f>'AV (nominal)'!E127*CPI!$I$50</f>
        <v>763794.03559887409</v>
      </c>
      <c r="E127" s="749">
        <f>'AV (nominal)'!F127*CPI!$I$50</f>
        <v>22034.595648294318</v>
      </c>
      <c r="F127" s="750">
        <f>'AV (nominal)'!G127*CPI!$I$50</f>
        <v>785828.63124716841</v>
      </c>
    </row>
    <row r="128" spans="1:6" ht="409.6">
      <c r="A128" s="271">
        <f>'FS (nominal)'!A148</f>
        <v>375</v>
      </c>
      <c r="B128" s="669" t="s">
        <v>45</v>
      </c>
      <c r="C128" s="663">
        <v>2010</v>
      </c>
      <c r="D128" s="749">
        <f>'AV (nominal)'!E128*CPI!$I$54</f>
        <v>772422.80377516092</v>
      </c>
      <c r="E128" s="749">
        <f>'AV (nominal)'!F128*CPI!$I$54</f>
        <v>23375.140254910941</v>
      </c>
      <c r="F128" s="750">
        <f>'AV (nominal)'!G128*CPI!$I$54</f>
        <v>795797.94403007184</v>
      </c>
    </row>
    <row r="129" spans="1:6" ht="409.6">
      <c r="A129" s="271">
        <f>'FS (nominal)'!A149</f>
        <v>376</v>
      </c>
      <c r="B129" s="669" t="s">
        <v>45</v>
      </c>
      <c r="C129" s="663">
        <v>2011</v>
      </c>
      <c r="D129" s="749">
        <f>'AV (nominal)'!E129*CPI!$I$58</f>
        <v>758142.89</v>
      </c>
      <c r="E129" s="749">
        <f>'AV (nominal)'!F129*CPI!$I$58</f>
        <v>22943</v>
      </c>
      <c r="F129" s="750">
        <f>'AV (nominal)'!G129*CPI!$I$58</f>
        <v>795797.94403007184</v>
      </c>
    </row>
    <row r="130" spans="1:6" ht="14.45" hidden="1">
      <c r="A130" s="271">
        <f>'FS (nominal)'!A151</f>
        <v>393</v>
      </c>
      <c r="B130" s="669" t="s">
        <v>46</v>
      </c>
      <c r="C130" s="663">
        <v>2005</v>
      </c>
      <c r="D130" s="749">
        <f>'AV (nominal)'!E130*CPI!$I$34</f>
        <v>108282.90125380602</v>
      </c>
      <c r="E130" s="749">
        <f>'AV (nominal)'!F130*CPI!$I$34</f>
        <v>1390.2566701242579</v>
      </c>
      <c r="F130" s="750">
        <f>'AV (nominal)'!G130*CPI!$I$34</f>
        <v>109673.15792393028</v>
      </c>
    </row>
    <row r="131" spans="1:6" ht="14.45" hidden="1">
      <c r="A131" s="271">
        <f>'FS (nominal)'!A152</f>
        <v>394</v>
      </c>
      <c r="B131" s="669" t="s">
        <v>46</v>
      </c>
      <c r="C131" s="663">
        <v>2006</v>
      </c>
      <c r="D131" s="749">
        <f>'AV (nominal)'!E131*CPI!$I$38</f>
        <v>109068.35804803933</v>
      </c>
      <c r="E131" s="749">
        <f>'AV (nominal)'!F131*CPI!$I$38</f>
        <v>1300.7528494066933</v>
      </c>
      <c r="F131" s="750">
        <f>'AV (nominal)'!G131*CPI!$I$38</f>
        <v>110369.11089744602</v>
      </c>
    </row>
    <row r="132" spans="1:6" ht="14.45" hidden="1">
      <c r="A132" s="271">
        <f>'FS (nominal)'!A153</f>
        <v>395</v>
      </c>
      <c r="B132" s="669" t="s">
        <v>46</v>
      </c>
      <c r="C132" s="663">
        <v>2007</v>
      </c>
      <c r="D132" s="749">
        <f>'AV (nominal)'!E132*CPI!$I$42</f>
        <v>109912.2499268728</v>
      </c>
      <c r="E132" s="749">
        <f>'AV (nominal)'!F132*CPI!$I$42</f>
        <v>1298.4157720771054</v>
      </c>
      <c r="F132" s="750">
        <f>'AV (nominal)'!G132*CPI!$I$42</f>
        <v>111210.66016907014</v>
      </c>
    </row>
    <row r="133" spans="1:6" ht="409.6">
      <c r="A133" s="271">
        <f>'FS (nominal)'!A154</f>
        <v>396</v>
      </c>
      <c r="B133" s="669" t="s">
        <v>46</v>
      </c>
      <c r="C133" s="663">
        <v>2008</v>
      </c>
      <c r="D133" s="749">
        <f>'AV (nominal)'!E133*CPI!$I$46</f>
        <v>114143.48572894985</v>
      </c>
      <c r="E133" s="749">
        <f>'AV (nominal)'!F133*CPI!$I$46</f>
        <v>1217.1734481480426</v>
      </c>
      <c r="F133" s="750">
        <f>'AV (nominal)'!G133*CPI!$I$46</f>
        <v>115360.65917709788</v>
      </c>
    </row>
    <row r="134" spans="1:6" ht="409.6">
      <c r="A134" s="271">
        <f>'FS (nominal)'!A155</f>
        <v>397</v>
      </c>
      <c r="B134" s="669" t="s">
        <v>46</v>
      </c>
      <c r="C134" s="663">
        <v>2009</v>
      </c>
      <c r="D134" s="749">
        <f>'AV (nominal)'!E134*CPI!$I$50</f>
        <v>115059.90192600724</v>
      </c>
      <c r="E134" s="749">
        <f>'AV (nominal)'!F134*CPI!$I$50</f>
        <v>1533.2657011462691</v>
      </c>
      <c r="F134" s="750">
        <f>'AV (nominal)'!G134*CPI!$I$50</f>
        <v>116593.16762715351</v>
      </c>
    </row>
    <row r="135" spans="1:6" ht="409.6">
      <c r="A135" s="271">
        <f>'FS (nominal)'!A156</f>
        <v>398</v>
      </c>
      <c r="B135" s="669" t="s">
        <v>46</v>
      </c>
      <c r="C135" s="663">
        <v>2010</v>
      </c>
      <c r="D135" s="749">
        <f>'AV (nominal)'!E135*CPI!$I$54</f>
        <v>121201.57443884561</v>
      </c>
      <c r="E135" s="749">
        <f>'AV (nominal)'!F135*CPI!$I$54</f>
        <v>1432.4825523429708</v>
      </c>
      <c r="F135" s="750">
        <f>'AV (nominal)'!G135*CPI!$I$54</f>
        <v>122634.05699118857</v>
      </c>
    </row>
    <row r="136" spans="1:6" ht="409.6">
      <c r="A136" s="271">
        <f>'FS (nominal)'!A157</f>
        <v>399</v>
      </c>
      <c r="B136" s="669" t="s">
        <v>46</v>
      </c>
      <c r="C136" s="663">
        <v>2011</v>
      </c>
      <c r="D136" s="749">
        <f>'AV (nominal)'!E136*CPI!$I$58</f>
        <v>127069.56</v>
      </c>
      <c r="E136" s="749">
        <f>'AV (nominal)'!F136*CPI!$I$58</f>
        <v>1669</v>
      </c>
      <c r="F136" s="750">
        <f>'AV (nominal)'!G136*CPI!$I$58</f>
        <v>128738.56</v>
      </c>
    </row>
    <row r="137" spans="1:6" ht="14.45" hidden="1">
      <c r="A137" s="271">
        <f>'FS (nominal)'!A159</f>
        <v>416</v>
      </c>
      <c r="B137" s="669" t="s">
        <v>47</v>
      </c>
      <c r="C137" s="663">
        <v>2005</v>
      </c>
      <c r="D137" s="749">
        <f>'AV (nominal)'!E137*CPI!$I$34</f>
        <v>1088742.7006014835</v>
      </c>
      <c r="E137" s="749">
        <f>'AV (nominal)'!F137*CPI!$I$34</f>
        <v>14248.659386269279</v>
      </c>
      <c r="F137" s="750">
        <f>'AV (nominal)'!G137*CPI!$I$34</f>
        <v>1102991.3599877527</v>
      </c>
    </row>
    <row r="138" spans="1:6" ht="14.45" hidden="1">
      <c r="A138" s="271">
        <f>'FS (nominal)'!A160</f>
        <v>417</v>
      </c>
      <c r="B138" s="669" t="s">
        <v>47</v>
      </c>
      <c r="C138" s="663">
        <v>2006</v>
      </c>
      <c r="D138" s="749">
        <f>'AV (nominal)'!E138*CPI!$I$38</f>
        <v>1106088.6703186219</v>
      </c>
      <c r="E138" s="749">
        <f>'AV (nominal)'!F138*CPI!$I$38</f>
        <v>14478.292022913623</v>
      </c>
      <c r="F138" s="750">
        <f>'AV (nominal)'!G138*CPI!$I$38</f>
        <v>1120566.9623415356</v>
      </c>
    </row>
    <row r="139" spans="1:6" ht="14.45" hidden="1">
      <c r="A139" s="271">
        <f>'FS (nominal)'!A161</f>
        <v>418</v>
      </c>
      <c r="B139" s="669" t="s">
        <v>47</v>
      </c>
      <c r="C139" s="663">
        <v>2007</v>
      </c>
      <c r="D139" s="749">
        <f>'AV (nominal)'!E139*CPI!$I$42</f>
        <v>1130889.3913475883</v>
      </c>
      <c r="E139" s="749">
        <f>'AV (nominal)'!F139*CPI!$I$42</f>
        <v>27143.96788252845</v>
      </c>
      <c r="F139" s="750">
        <f>'AV (nominal)'!G139*CPI!$I$42</f>
        <v>1158033.3592301167</v>
      </c>
    </row>
    <row r="140" spans="1:6" ht="409.6">
      <c r="A140" s="271">
        <f>'FS (nominal)'!A162</f>
        <v>419</v>
      </c>
      <c r="B140" s="669" t="s">
        <v>47</v>
      </c>
      <c r="C140" s="663">
        <v>2008</v>
      </c>
      <c r="D140" s="749">
        <f>'AV (nominal)'!E140*CPI!$I$46</f>
        <v>1144014.639702318</v>
      </c>
      <c r="E140" s="749">
        <f>'AV (nominal)'!F140*CPI!$I$46</f>
        <v>23285.854124490317</v>
      </c>
      <c r="F140" s="750">
        <f>'AV (nominal)'!G140*CPI!$I$46</f>
        <v>1167300.4938268084</v>
      </c>
    </row>
    <row r="141" spans="1:6" ht="409.6">
      <c r="A141" s="271">
        <f>'FS (nominal)'!A163</f>
        <v>420</v>
      </c>
      <c r="B141" s="669" t="s">
        <v>47</v>
      </c>
      <c r="C141" s="663">
        <v>2009</v>
      </c>
      <c r="D141" s="749">
        <f>'AV (nominal)'!E141*CPI!$I$50</f>
        <v>1229774.3894021548</v>
      </c>
      <c r="E141" s="749">
        <f>'AV (nominal)'!F141*CPI!$I$50</f>
        <v>23675.823186217305</v>
      </c>
      <c r="F141" s="750">
        <f>'AV (nominal)'!G141*CPI!$I$50</f>
        <v>1253450.2125883722</v>
      </c>
    </row>
    <row r="142" spans="1:6" ht="409.6">
      <c r="A142" s="271">
        <f>'FS (nominal)'!A164</f>
        <v>421</v>
      </c>
      <c r="B142" s="669" t="s">
        <v>47</v>
      </c>
      <c r="C142" s="663">
        <v>2010</v>
      </c>
      <c r="D142" s="749">
        <f>'AV (nominal)'!E142*CPI!$I$54</f>
        <v>1260837.0115868608</v>
      </c>
      <c r="E142" s="749">
        <f>'AV (nominal)'!F142*CPI!$I$54</f>
        <v>21591.730042305513</v>
      </c>
      <c r="F142" s="750">
        <f>'AV (nominal)'!G142*CPI!$I$54</f>
        <v>1282428.7823825818</v>
      </c>
    </row>
    <row r="143" spans="1:6" ht="409.6">
      <c r="A143" s="271">
        <f>'FS (nominal)'!A165</f>
        <v>422</v>
      </c>
      <c r="B143" s="669" t="s">
        <v>47</v>
      </c>
      <c r="C143" s="663">
        <v>2011</v>
      </c>
      <c r="D143" s="749">
        <f>'AV (nominal)'!E143*CPI!$I$58</f>
        <v>1317655.7</v>
      </c>
      <c r="E143" s="749">
        <f>'AV (nominal)'!F143*CPI!$I$58</f>
        <v>21305.200000000001</v>
      </c>
      <c r="F143" s="750">
        <f>'AV (nominal)'!G143*CPI!$I$58</f>
        <v>1338960.8999999999</v>
      </c>
    </row>
    <row r="144" spans="1:6" ht="14.45" hidden="1">
      <c r="A144" s="271">
        <f>'FS (nominal)'!A167</f>
        <v>439</v>
      </c>
      <c r="B144" s="669" t="s">
        <v>48</v>
      </c>
      <c r="C144" s="663">
        <v>2005</v>
      </c>
      <c r="D144" s="749">
        <f>'AV (nominal)'!E144*CPI!$I$34</f>
        <v>24591.919448561017</v>
      </c>
      <c r="E144" s="749">
        <f>'AV (nominal)'!F144*CPI!$I$34</f>
        <v>168.33759849938093</v>
      </c>
      <c r="F144" s="750">
        <f>'AV (nominal)'!G144*CPI!$I$34</f>
        <v>24760.257047060397</v>
      </c>
    </row>
    <row r="145" spans="1:6" ht="14.45" hidden="1">
      <c r="A145" s="271">
        <f>'FS (nominal)'!A168</f>
        <v>440</v>
      </c>
      <c r="B145" s="669" t="s">
        <v>48</v>
      </c>
      <c r="C145" s="663">
        <v>2006</v>
      </c>
      <c r="D145" s="749">
        <f>'AV (nominal)'!E145*CPI!$I$38</f>
        <v>26278.505080589577</v>
      </c>
      <c r="E145" s="749">
        <f>'AV (nominal)'!F145*CPI!$I$38</f>
        <v>131.2162962120787</v>
      </c>
      <c r="F145" s="750">
        <f>'AV (nominal)'!G145*CPI!$I$38</f>
        <v>26409.721376801655</v>
      </c>
    </row>
    <row r="146" spans="1:6" ht="14.45" hidden="1">
      <c r="A146" s="271">
        <f>'FS (nominal)'!A169</f>
        <v>441</v>
      </c>
      <c r="B146" s="669" t="s">
        <v>48</v>
      </c>
      <c r="C146" s="663">
        <v>2007</v>
      </c>
      <c r="D146" s="749">
        <f>'AV (nominal)'!E146*CPI!$I$42</f>
        <v>27449.693921958642</v>
      </c>
      <c r="E146" s="749">
        <f>'AV (nominal)'!F146*CPI!$I$42</f>
        <v>244.42068622575837</v>
      </c>
      <c r="F146" s="750">
        <f>'AV (nominal)'!G146*CPI!$I$42</f>
        <v>27694.114608184402</v>
      </c>
    </row>
    <row r="147" spans="1:6" ht="409.6">
      <c r="A147" s="271">
        <f>'FS (nominal)'!A170</f>
        <v>442</v>
      </c>
      <c r="B147" s="669" t="s">
        <v>48</v>
      </c>
      <c r="C147" s="663">
        <v>2008</v>
      </c>
      <c r="D147" s="749">
        <f>'AV (nominal)'!E147*CPI!$I$46</f>
        <v>27821.346416127286</v>
      </c>
      <c r="E147" s="749">
        <f>'AV (nominal)'!F147*CPI!$I$46</f>
        <v>237.1817170881925</v>
      </c>
      <c r="F147" s="750">
        <f>'AV (nominal)'!G147*CPI!$I$46</f>
        <v>28058.528133215477</v>
      </c>
    </row>
    <row r="148" spans="1:6" ht="409.6">
      <c r="A148" s="271">
        <f>'FS (nominal)'!A171</f>
        <v>443</v>
      </c>
      <c r="B148" s="669" t="s">
        <v>48</v>
      </c>
      <c r="C148" s="663">
        <v>2009</v>
      </c>
      <c r="D148" s="749">
        <f>'AV (nominal)'!E148*CPI!$I$50</f>
        <v>27443.280204269333</v>
      </c>
      <c r="E148" s="749">
        <f>'AV (nominal)'!F148*CPI!$I$50</f>
        <v>195.16178186560498</v>
      </c>
      <c r="F148" s="750">
        <f>'AV (nominal)'!G148*CPI!$I$50</f>
        <v>27638.441986134938</v>
      </c>
    </row>
    <row r="149" spans="1:6" ht="409.6">
      <c r="A149" s="271">
        <f>'FS (nominal)'!A172</f>
        <v>444</v>
      </c>
      <c r="B149" s="669" t="s">
        <v>48</v>
      </c>
      <c r="C149" s="663">
        <v>2010</v>
      </c>
      <c r="D149" s="749">
        <f>'AV (nominal)'!E149*CPI!$I$54</f>
        <v>27641.23223410848</v>
      </c>
      <c r="E149" s="749">
        <f>'AV (nominal)'!F149*CPI!$I$54</f>
        <v>94.751690873325956</v>
      </c>
      <c r="F149" s="750">
        <f>'AV (nominal)'!G149*CPI!$I$54</f>
        <v>27735.983924981807</v>
      </c>
    </row>
    <row r="150" spans="1:6" ht="409.6">
      <c r="A150" s="271">
        <f>'FS (nominal)'!A173</f>
        <v>445</v>
      </c>
      <c r="B150" s="669" t="s">
        <v>48</v>
      </c>
      <c r="C150" s="663">
        <v>2011</v>
      </c>
      <c r="D150" s="749">
        <f>'AV (nominal)'!E150*CPI!$I$58</f>
        <v>32862.057999999997</v>
      </c>
      <c r="E150" s="749">
        <f>'AV (nominal)'!F150*CPI!$I$58</f>
        <v>42</v>
      </c>
      <c r="F150" s="750">
        <f>'AV (nominal)'!G150*CPI!$I$58</f>
        <v>32904.057999999997</v>
      </c>
    </row>
    <row r="151" spans="1:6" ht="14.45" hidden="1">
      <c r="A151" s="271">
        <f>'FS (nominal)'!A175</f>
        <v>462</v>
      </c>
      <c r="B151" s="669" t="s">
        <v>49</v>
      </c>
      <c r="C151" s="663">
        <v>2005</v>
      </c>
      <c r="D151" s="749">
        <f>'AV (nominal)'!E151*CPI!$I$34</f>
        <v>119979.06822870321</v>
      </c>
      <c r="E151" s="749">
        <f>'AV (nominal)'!F151*CPI!$I$34</f>
        <v>350.80142904066798</v>
      </c>
      <c r="F151" s="750">
        <f>'AV (nominal)'!G151*CPI!$I$34</f>
        <v>120329.86965774388</v>
      </c>
    </row>
    <row r="152" spans="1:6" ht="14.45" hidden="1">
      <c r="A152" s="271">
        <f>'FS (nominal)'!A176</f>
        <v>463</v>
      </c>
      <c r="B152" s="669" t="s">
        <v>49</v>
      </c>
      <c r="C152" s="663">
        <v>2006</v>
      </c>
      <c r="D152" s="749">
        <f>'AV (nominal)'!E152*CPI!$I$38</f>
        <v>123301.69434817298</v>
      </c>
      <c r="E152" s="749">
        <f>'AV (nominal)'!F152*CPI!$I$38</f>
        <v>610.44103020401838</v>
      </c>
      <c r="F152" s="750">
        <f>'AV (nominal)'!G152*CPI!$I$38</f>
        <v>123912.13537837699</v>
      </c>
    </row>
    <row r="153" spans="1:6" ht="14.45" hidden="1">
      <c r="A153" s="271">
        <f>'FS (nominal)'!A177</f>
        <v>464</v>
      </c>
      <c r="B153" s="669" t="s">
        <v>49</v>
      </c>
      <c r="C153" s="663">
        <v>2007</v>
      </c>
      <c r="D153" s="749">
        <f>'AV (nominal)'!E153*CPI!$I$42</f>
        <v>125500.8980752918</v>
      </c>
      <c r="E153" s="749">
        <f>'AV (nominal)'!F153*CPI!$I$42</f>
        <v>833.9058706525874</v>
      </c>
      <c r="F153" s="750">
        <f>'AV (nominal)'!G153*CPI!$I$42</f>
        <v>126334.80394594438</v>
      </c>
    </row>
    <row r="154" spans="1:6" ht="409.6">
      <c r="A154" s="271">
        <f>'FS (nominal)'!A178</f>
        <v>465</v>
      </c>
      <c r="B154" s="669" t="s">
        <v>49</v>
      </c>
      <c r="C154" s="663">
        <v>2008</v>
      </c>
      <c r="D154" s="749">
        <f>'AV (nominal)'!E154*CPI!$I$46</f>
        <v>138804.35773431038</v>
      </c>
      <c r="E154" s="749">
        <f>'AV (nominal)'!F154*CPI!$I$46</f>
        <v>935.78968378432319</v>
      </c>
      <c r="F154" s="750">
        <f>'AV (nominal)'!G154*CPI!$I$46</f>
        <v>139740.14741809471</v>
      </c>
    </row>
    <row r="155" spans="1:6" ht="409.6">
      <c r="A155" s="271">
        <f>'FS (nominal)'!A179</f>
        <v>466</v>
      </c>
      <c r="B155" s="669" t="s">
        <v>49</v>
      </c>
      <c r="C155" s="663">
        <v>2009</v>
      </c>
      <c r="D155" s="749">
        <f>'AV (nominal)'!E155*CPI!$I$50</f>
        <v>141885.95808085657</v>
      </c>
      <c r="E155" s="749">
        <f>'AV (nominal)'!F155*CPI!$I$50</f>
        <v>710.05669572379691</v>
      </c>
      <c r="F155" s="750">
        <f>'AV (nominal)'!G155*CPI!$I$50</f>
        <v>142596.01477658036</v>
      </c>
    </row>
    <row r="156" spans="1:6" ht="409.6">
      <c r="A156" s="271">
        <f>'FS (nominal)'!A180</f>
        <v>467</v>
      </c>
      <c r="B156" s="669" t="s">
        <v>49</v>
      </c>
      <c r="C156" s="663">
        <v>2010</v>
      </c>
      <c r="D156" s="749">
        <f>'AV (nominal)'!E156*CPI!$I$54</f>
        <v>146773.95546333969</v>
      </c>
      <c r="E156" s="749">
        <f>'AV (nominal)'!F156*CPI!$I$54</f>
        <v>602.13171296920041</v>
      </c>
      <c r="F156" s="750">
        <f>'AV (nominal)'!G156*CPI!$I$54</f>
        <v>147376.08717630888</v>
      </c>
    </row>
    <row r="157" spans="1:6" ht="409.6">
      <c r="A157" s="271">
        <f>'FS (nominal)'!A181</f>
        <v>468</v>
      </c>
      <c r="B157" s="669" t="s">
        <v>49</v>
      </c>
      <c r="C157" s="663">
        <v>2011</v>
      </c>
      <c r="D157" s="749">
        <f>'AV (nominal)'!E157*CPI!$I$58</f>
        <v>151246</v>
      </c>
      <c r="E157" s="749">
        <f>'AV (nominal)'!F157*CPI!$I$58</f>
        <v>560</v>
      </c>
      <c r="F157" s="750">
        <f>'AV (nominal)'!G157*CPI!$I$58</f>
        <v>151806</v>
      </c>
    </row>
    <row r="158" spans="1:6" ht="14.45" hidden="1">
      <c r="A158" s="271">
        <f>'FS (nominal)'!A183</f>
        <v>485</v>
      </c>
      <c r="B158" s="669" t="s">
        <v>50</v>
      </c>
      <c r="C158" s="663">
        <v>2005</v>
      </c>
      <c r="D158" s="749">
        <f>'AV (nominal)'!E158*CPI!$I$34</f>
        <v>259075.55475109912</v>
      </c>
      <c r="E158" s="749">
        <f>'AV (nominal)'!F158*CPI!$I$34</f>
        <v>1233.6909316597987</v>
      </c>
      <c r="F158" s="750">
        <f>'AV (nominal)'!G158*CPI!$I$34</f>
        <v>260309.24568275892</v>
      </c>
    </row>
    <row r="159" spans="1:6" ht="14.45" hidden="1">
      <c r="A159" s="271">
        <f>'FS (nominal)'!A184</f>
        <v>486</v>
      </c>
      <c r="B159" s="669" t="s">
        <v>50</v>
      </c>
      <c r="C159" s="663">
        <v>2006</v>
      </c>
      <c r="D159" s="749">
        <f>'AV (nominal)'!E159*CPI!$I$38</f>
        <v>257307.5006862552</v>
      </c>
      <c r="E159" s="749">
        <f>'AV (nominal)'!F159*CPI!$I$38</f>
        <v>1153.5623953948832</v>
      </c>
      <c r="F159" s="750">
        <f>'AV (nominal)'!G159*CPI!$I$38</f>
        <v>258461.06308165009</v>
      </c>
    </row>
    <row r="160" spans="1:6" ht="14.45" hidden="1">
      <c r="A160" s="271">
        <f>'FS (nominal)'!A185</f>
        <v>487</v>
      </c>
      <c r="B160" s="669" t="s">
        <v>50</v>
      </c>
      <c r="C160" s="663">
        <v>2007</v>
      </c>
      <c r="D160" s="749">
        <f>'AV (nominal)'!E160*CPI!$I$42</f>
        <v>259936.25701289967</v>
      </c>
      <c r="E160" s="749">
        <f>'AV (nominal)'!F160*CPI!$I$42</f>
        <v>1153.5329218708869</v>
      </c>
      <c r="F160" s="750">
        <f>'AV (nominal)'!G160*CPI!$I$42</f>
        <v>261089.78993477058</v>
      </c>
    </row>
    <row r="161" spans="1:6" ht="409.6">
      <c r="A161" s="271">
        <f>'FS (nominal)'!A186</f>
        <v>488</v>
      </c>
      <c r="B161" s="669" t="s">
        <v>50</v>
      </c>
      <c r="C161" s="663">
        <v>2008</v>
      </c>
      <c r="D161" s="749">
        <f>'AV (nominal)'!E161*CPI!$I$46</f>
        <v>268449.51222377463</v>
      </c>
      <c r="E161" s="749">
        <f>'AV (nominal)'!F161*CPI!$I$46</f>
        <v>1123.3788600268026</v>
      </c>
      <c r="F161" s="750">
        <f>'AV (nominal)'!G161*CPI!$I$46</f>
        <v>269572.8910838014</v>
      </c>
    </row>
    <row r="162" spans="1:6" ht="409.6">
      <c r="A162" s="271">
        <f>'FS (nominal)'!A187</f>
        <v>489</v>
      </c>
      <c r="B162" s="669" t="s">
        <v>50</v>
      </c>
      <c r="C162" s="663">
        <v>2009</v>
      </c>
      <c r="D162" s="749">
        <f>'AV (nominal)'!E162*CPI!$I$50</f>
        <v>270733.47932459321</v>
      </c>
      <c r="E162" s="749">
        <f>'AV (nominal)'!F162*CPI!$I$50</f>
        <v>1837.4274143729831</v>
      </c>
      <c r="F162" s="750">
        <f>'AV (nominal)'!G162*CPI!$I$50</f>
        <v>272570.90673896618</v>
      </c>
    </row>
    <row r="163" spans="1:6" ht="409.6">
      <c r="A163" s="271">
        <f>'FS (nominal)'!A188</f>
        <v>490</v>
      </c>
      <c r="B163" s="669" t="s">
        <v>50</v>
      </c>
      <c r="C163" s="663">
        <v>2010</v>
      </c>
      <c r="D163" s="749">
        <f>'AV (nominal)'!E163*CPI!$I$54</f>
        <v>285466.21318476996</v>
      </c>
      <c r="E163" s="749">
        <f>'AV (nominal)'!F163*CPI!$I$54</f>
        <v>2137.516639271375</v>
      </c>
      <c r="F163" s="750">
        <f>'AV (nominal)'!G163*CPI!$I$54</f>
        <v>287603.72982404137</v>
      </c>
    </row>
    <row r="164" spans="1:6" ht="409.6">
      <c r="A164" s="271">
        <f>'FS (nominal)'!A189</f>
        <v>491</v>
      </c>
      <c r="B164" s="669" t="s">
        <v>50</v>
      </c>
      <c r="C164" s="663">
        <v>2011</v>
      </c>
      <c r="D164" s="749">
        <f>'AV (nominal)'!E164*CPI!$I$58</f>
        <v>292962.01</v>
      </c>
      <c r="E164" s="749">
        <f>'AV (nominal)'!F164*CPI!$I$58</f>
        <v>1578</v>
      </c>
      <c r="F164" s="750">
        <f>'AV (nominal)'!G164*CPI!$I$58</f>
        <v>294540.01</v>
      </c>
    </row>
    <row r="165" spans="1:6" ht="14.45" hidden="1">
      <c r="A165" s="271">
        <f>'FS (nominal)'!A191</f>
        <v>508</v>
      </c>
      <c r="B165" s="669" t="s">
        <v>142</v>
      </c>
      <c r="C165" s="663">
        <v>2005</v>
      </c>
      <c r="D165" s="749">
        <f>'AV (nominal)'!E165*CPI!$I$34</f>
        <v>117478.37200148478</v>
      </c>
      <c r="E165" s="749">
        <f>'AV (nominal)'!F165*CPI!$I$34</f>
        <v>2678.0981579446966</v>
      </c>
      <c r="F165" s="750">
        <f>'AV (nominal)'!G165*CPI!$I$34</f>
        <v>120156.47015942947</v>
      </c>
    </row>
    <row r="166" spans="1:6" ht="14.45" hidden="1">
      <c r="A166" s="271">
        <f>'FS (nominal)'!A192</f>
        <v>509</v>
      </c>
      <c r="B166" s="669" t="s">
        <v>142</v>
      </c>
      <c r="C166" s="663">
        <v>2006</v>
      </c>
      <c r="D166" s="749">
        <f>'AV (nominal)'!E166*CPI!$I$38</f>
        <v>119593.84130037561</v>
      </c>
      <c r="E166" s="749">
        <f>'AV (nominal)'!F166*CPI!$I$38</f>
        <v>2552.4422141427831</v>
      </c>
      <c r="F166" s="750">
        <f>'AV (nominal)'!G166*CPI!$I$38</f>
        <v>122146.28351451839</v>
      </c>
    </row>
    <row r="167" spans="1:6" ht="14.45" hidden="1">
      <c r="A167" s="271">
        <f>'FS (nominal)'!A193</f>
        <v>510</v>
      </c>
      <c r="B167" s="669" t="s">
        <v>142</v>
      </c>
      <c r="C167" s="663">
        <v>2007</v>
      </c>
      <c r="D167" s="749">
        <f>'AV (nominal)'!E167*CPI!$I$42</f>
        <v>122508.01654137539</v>
      </c>
      <c r="E167" s="749">
        <f>'AV (nominal)'!F167*CPI!$I$42</f>
        <v>2472.962237107673</v>
      </c>
      <c r="F167" s="750">
        <f>'AV (nominal)'!G167*CPI!$I$42</f>
        <v>124980.97877848306</v>
      </c>
    </row>
    <row r="168" spans="1:6" ht="409.6">
      <c r="A168" s="271">
        <f>'FS (nominal)'!A194</f>
        <v>511</v>
      </c>
      <c r="B168" s="669" t="s">
        <v>142</v>
      </c>
      <c r="C168" s="663">
        <v>2008</v>
      </c>
      <c r="D168" s="749">
        <f>'AV (nominal)'!E168*CPI!$I$46</f>
        <v>126380.13253400243</v>
      </c>
      <c r="E168" s="749">
        <f>'AV (nominal)'!F168*CPI!$I$46</f>
        <v>2241.367226483419</v>
      </c>
      <c r="F168" s="750">
        <f>'AV (nominal)'!G168*CPI!$I$46</f>
        <v>128621.49976048585</v>
      </c>
    </row>
    <row r="169" spans="1:6" ht="409.6">
      <c r="A169" s="271">
        <f>'FS (nominal)'!A195</f>
        <v>512</v>
      </c>
      <c r="B169" s="669" t="s">
        <v>142</v>
      </c>
      <c r="C169" s="663">
        <v>2009</v>
      </c>
      <c r="D169" s="749">
        <f>'AV (nominal)'!E169*CPI!$I$50</f>
        <v>132281.10212917835</v>
      </c>
      <c r="E169" s="749">
        <f>'AV (nominal)'!F169*CPI!$I$50</f>
        <v>2100.0653442240368</v>
      </c>
      <c r="F169" s="750">
        <f>'AV (nominal)'!G169*CPI!$I$50</f>
        <v>134381.1674734024</v>
      </c>
    </row>
    <row r="170" spans="1:6" ht="409.6">
      <c r="A170" s="271">
        <f>'FS (nominal)'!A196</f>
        <v>513</v>
      </c>
      <c r="B170" s="669" t="s">
        <v>142</v>
      </c>
      <c r="C170" s="663">
        <v>2010</v>
      </c>
      <c r="D170" s="749">
        <f>'AV (nominal)'!E170*CPI!$I$54</f>
        <v>134743.65930047692</v>
      </c>
      <c r="E170" s="749">
        <f>'AV (nominal)'!F170*CPI!$I$54</f>
        <v>1912.3540190240087</v>
      </c>
      <c r="F170" s="750">
        <f>'AV (nominal)'!G170*CPI!$I$54</f>
        <v>136656.01331950095</v>
      </c>
    </row>
    <row r="171" spans="1:6" ht="409.6">
      <c r="A171" s="271">
        <f>'FS (nominal)'!A197</f>
        <v>514</v>
      </c>
      <c r="B171" s="669" t="s">
        <v>142</v>
      </c>
      <c r="C171" s="663">
        <v>2011</v>
      </c>
      <c r="D171" s="749">
        <f>'AV (nominal)'!E171*CPI!$I$58</f>
        <v>143974</v>
      </c>
      <c r="E171" s="749">
        <f>'AV (nominal)'!F171*CPI!$I$58</f>
        <v>1864</v>
      </c>
      <c r="F171" s="750">
        <f>'AV (nominal)'!G171*CPI!$I$58</f>
        <v>145838</v>
      </c>
    </row>
    <row r="172" spans="1:6" ht="14.45" hidden="1">
      <c r="A172" s="271">
        <f>'FS (nominal)'!A199</f>
        <v>531</v>
      </c>
      <c r="B172" s="669" t="s">
        <v>52</v>
      </c>
      <c r="C172" s="663">
        <v>2005</v>
      </c>
      <c r="D172" s="749">
        <f>'AV (nominal)'!E172*CPI!$I$34</f>
        <v>345030.29820226767</v>
      </c>
      <c r="E172" s="749">
        <f>'AV (nominal)'!F172*CPI!$I$34</f>
        <v>11571.738414328074</v>
      </c>
      <c r="F172" s="750">
        <f>'AV (nominal)'!G172*CPI!$I$34</f>
        <v>356602.03661659575</v>
      </c>
    </row>
    <row r="173" spans="1:6" ht="14.45" hidden="1">
      <c r="A173" s="271">
        <f>'FS (nominal)'!A200</f>
        <v>532</v>
      </c>
      <c r="B173" s="669" t="s">
        <v>52</v>
      </c>
      <c r="C173" s="663">
        <v>2006</v>
      </c>
      <c r="D173" s="749">
        <f>'AV (nominal)'!E173*CPI!$I$38</f>
        <v>364959.95160434337</v>
      </c>
      <c r="E173" s="749">
        <f>'AV (nominal)'!F173*CPI!$I$38</f>
        <v>11883.632391728694</v>
      </c>
      <c r="F173" s="750">
        <f>'AV (nominal)'!G173*CPI!$I$38</f>
        <v>376843.58399607206</v>
      </c>
    </row>
    <row r="174" spans="1:6" ht="14.45" hidden="1">
      <c r="A174" s="271">
        <f>'FS (nominal)'!A201</f>
        <v>533</v>
      </c>
      <c r="B174" s="669" t="s">
        <v>52</v>
      </c>
      <c r="C174" s="663">
        <v>2007</v>
      </c>
      <c r="D174" s="749">
        <f>'AV (nominal)'!E174*CPI!$I$42</f>
        <v>364487.03964957444</v>
      </c>
      <c r="E174" s="749">
        <f>'AV (nominal)'!F174*CPI!$I$42</f>
        <v>15577.671337057947</v>
      </c>
      <c r="F174" s="750">
        <f>'AV (nominal)'!G174*CPI!$I$42</f>
        <v>380064.71098663239</v>
      </c>
    </row>
    <row r="175" spans="1:6" ht="409.6">
      <c r="A175" s="271">
        <f>'FS (nominal)'!A202</f>
        <v>534</v>
      </c>
      <c r="B175" s="669" t="s">
        <v>52</v>
      </c>
      <c r="C175" s="663">
        <v>2008</v>
      </c>
      <c r="D175" s="749">
        <f>'AV (nominal)'!E175*CPI!$I$46</f>
        <v>392975.83245701576</v>
      </c>
      <c r="E175" s="749">
        <f>'AV (nominal)'!F175*CPI!$I$46</f>
        <v>15708.976362236604</v>
      </c>
      <c r="F175" s="750">
        <f>'AV (nominal)'!G175*CPI!$I$46</f>
        <v>408684.80881925236</v>
      </c>
    </row>
    <row r="176" spans="1:6" ht="409.6">
      <c r="A176" s="271">
        <f>'FS (nominal)'!A203</f>
        <v>535</v>
      </c>
      <c r="B176" s="669" t="s">
        <v>52</v>
      </c>
      <c r="C176" s="663">
        <v>2009</v>
      </c>
      <c r="D176" s="749">
        <f>'AV (nominal)'!E176*CPI!$I$50</f>
        <v>407116.96515615337</v>
      </c>
      <c r="E176" s="749">
        <f>'AV (nominal)'!F176*CPI!$I$50</f>
        <v>14480.381357677255</v>
      </c>
      <c r="F176" s="750">
        <f>'AV (nominal)'!G176*CPI!$I$50</f>
        <v>421597.34651383065</v>
      </c>
    </row>
    <row r="177" spans="1:6" ht="409.6">
      <c r="A177" s="271">
        <f>'FS (nominal)'!A204</f>
        <v>536</v>
      </c>
      <c r="B177" s="669" t="s">
        <v>52</v>
      </c>
      <c r="C177" s="663">
        <v>2010</v>
      </c>
      <c r="D177" s="749">
        <f>'AV (nominal)'!E177*CPI!$I$54</f>
        <v>437364.07519333885</v>
      </c>
      <c r="E177" s="749">
        <f>'AV (nominal)'!F177*CPI!$I$54</f>
        <v>14933.992294737407</v>
      </c>
      <c r="F177" s="750">
        <f>'AV (nominal)'!G177*CPI!$I$54</f>
        <v>452298.06239389931</v>
      </c>
    </row>
    <row r="178" spans="1:6" ht="409.6">
      <c r="A178" s="271">
        <f>'FS (nominal)'!A205</f>
        <v>537</v>
      </c>
      <c r="B178" s="669" t="s">
        <v>52</v>
      </c>
      <c r="C178" s="663">
        <v>2011</v>
      </c>
      <c r="D178" s="749">
        <f>'AV (nominal)'!E178*CPI!$I$58</f>
        <v>457260.35</v>
      </c>
      <c r="E178" s="749">
        <f>'AV (nominal)'!F178*CPI!$I$58</f>
        <v>19450.346000000001</v>
      </c>
      <c r="F178" s="750">
        <f>'AV (nominal)'!G178*CPI!$I$58</f>
        <v>476710.7</v>
      </c>
    </row>
    <row r="179" spans="1:6" ht="14.45" hidden="1">
      <c r="A179" s="271">
        <f>'FS (nominal)'!A207</f>
        <v>554</v>
      </c>
      <c r="B179" s="669" t="s">
        <v>53</v>
      </c>
      <c r="C179" s="663">
        <v>2005</v>
      </c>
      <c r="D179" s="749">
        <f>'AV (nominal)'!E179*CPI!$I$34</f>
        <v>2311592.8321802425</v>
      </c>
      <c r="E179" s="749">
        <f>'AV (nominal)'!F179*CPI!$I$34</f>
        <v>34688.139964903901</v>
      </c>
      <c r="F179" s="750">
        <f>'AV (nominal)'!G179*CPI!$I$34</f>
        <v>2346280.9721451462</v>
      </c>
    </row>
    <row r="180" spans="1:6" ht="14.45" hidden="1">
      <c r="A180" s="271">
        <f>'FS (nominal)'!A208</f>
        <v>555</v>
      </c>
      <c r="B180" s="669" t="s">
        <v>53</v>
      </c>
      <c r="C180" s="663">
        <v>2006</v>
      </c>
      <c r="D180" s="749">
        <f>'AV (nominal)'!E180*CPI!$I$38</f>
        <v>2393883.7507327944</v>
      </c>
      <c r="E180" s="749">
        <f>'AV (nominal)'!F180*CPI!$I$38</f>
        <v>26857.123306433987</v>
      </c>
      <c r="F180" s="750">
        <f>'AV (nominal)'!G180*CPI!$I$38</f>
        <v>2420740.8740392281</v>
      </c>
    </row>
    <row r="181" spans="1:6" ht="14.45" hidden="1">
      <c r="A181" s="271">
        <f>'FS (nominal)'!A209</f>
        <v>556</v>
      </c>
      <c r="B181" s="669" t="s">
        <v>53</v>
      </c>
      <c r="C181" s="663">
        <v>2007</v>
      </c>
      <c r="D181" s="749">
        <f>'AV (nominal)'!E181*CPI!$I$42</f>
        <v>2428650.5362564721</v>
      </c>
      <c r="E181" s="749">
        <f>'AV (nominal)'!F181*CPI!$I$42</f>
        <v>13297.148916254719</v>
      </c>
      <c r="F181" s="750">
        <f>'AV (nominal)'!G181*CPI!$I$42</f>
        <v>2441947.6851727264</v>
      </c>
    </row>
    <row r="182" spans="1:6" ht="409.6">
      <c r="A182" s="271">
        <f>'FS (nominal)'!A210</f>
        <v>557</v>
      </c>
      <c r="B182" s="669" t="s">
        <v>53</v>
      </c>
      <c r="C182" s="663">
        <v>2008</v>
      </c>
      <c r="D182" s="749">
        <f>'AV (nominal)'!E182*CPI!$I$46</f>
        <v>2572772.7227909099</v>
      </c>
      <c r="E182" s="749">
        <f>'AV (nominal)'!F182*CPI!$I$46</f>
        <v>16545.580964329503</v>
      </c>
      <c r="F182" s="750">
        <f>'AV (nominal)'!G182*CPI!$I$46</f>
        <v>2589318.3037552391</v>
      </c>
    </row>
    <row r="183" spans="1:6" ht="409.6">
      <c r="A183" s="271">
        <f>'FS (nominal)'!A211</f>
        <v>558</v>
      </c>
      <c r="B183" s="669" t="s">
        <v>53</v>
      </c>
      <c r="C183" s="663">
        <v>2009</v>
      </c>
      <c r="D183" s="749">
        <f>'AV (nominal)'!E183*CPI!$I$50</f>
        <v>2132130.0097467219</v>
      </c>
      <c r="E183" s="749">
        <f>'AV (nominal)'!F183*CPI!$I$50</f>
        <v>14389.576110096776</v>
      </c>
      <c r="F183" s="750">
        <f>'AV (nominal)'!G183*CPI!$I$50</f>
        <v>2146519.6616377234</v>
      </c>
    </row>
    <row r="184" spans="1:6" ht="409.6">
      <c r="A184" s="271">
        <f>'FS (nominal)'!A212</f>
        <v>559</v>
      </c>
      <c r="B184" s="669" t="s">
        <v>53</v>
      </c>
      <c r="C184" s="663">
        <v>2010</v>
      </c>
      <c r="D184" s="749">
        <f>'AV (nominal)'!E184*CPI!$I$54</f>
        <v>2196562.3270997815</v>
      </c>
      <c r="E184" s="749">
        <f>'AV (nominal)'!F184*CPI!$I$54</f>
        <v>11960.699517663224</v>
      </c>
      <c r="F184" s="750">
        <f>'AV (nominal)'!G184*CPI!$I$54</f>
        <v>2208523.0469941525</v>
      </c>
    </row>
    <row r="185" spans="1:6" ht="409.6">
      <c r="A185" s="271">
        <f>'FS (nominal)'!A213</f>
        <v>560</v>
      </c>
      <c r="B185" s="669" t="s">
        <v>53</v>
      </c>
      <c r="C185" s="663">
        <v>2011</v>
      </c>
      <c r="D185" s="749">
        <f>'AV (nominal)'!E185*CPI!$I$58</f>
        <v>2307445.1</v>
      </c>
      <c r="E185" s="749">
        <f>'AV (nominal)'!F185*CPI!$I$58</f>
        <v>20825.580000000002</v>
      </c>
      <c r="F185" s="750">
        <f>'AV (nominal)'!G185*CPI!$I$58</f>
        <v>2328270.6</v>
      </c>
    </row>
    <row r="186" spans="1:6" ht="14.45" hidden="1">
      <c r="A186" s="271">
        <f>'FS (nominal)'!A215</f>
        <v>577</v>
      </c>
      <c r="B186" s="669" t="s">
        <v>54</v>
      </c>
      <c r="C186" s="663">
        <v>2005</v>
      </c>
      <c r="D186" s="749">
        <f>'AV (nominal)'!E186*CPI!$I$34</f>
        <v>69680.132826657195</v>
      </c>
      <c r="E186" s="749">
        <f>'AV (nominal)'!F186*CPI!$I$34</f>
        <v>1115.1365292481019</v>
      </c>
      <c r="F186" s="750">
        <f>'AV (nominal)'!G186*CPI!$I$34</f>
        <v>70795.2693559053</v>
      </c>
    </row>
    <row r="187" spans="1:6" ht="14.45" hidden="1">
      <c r="A187" s="271">
        <f>'FS (nominal)'!A216</f>
        <v>578</v>
      </c>
      <c r="B187" s="669" t="s">
        <v>54</v>
      </c>
      <c r="C187" s="663">
        <v>2006</v>
      </c>
      <c r="D187" s="749">
        <f>'AV (nominal)'!E187*CPI!$I$38</f>
        <v>72061.701011063182</v>
      </c>
      <c r="E187" s="749">
        <f>'AV (nominal)'!F187*CPI!$I$38</f>
        <v>1071.7621563362734</v>
      </c>
      <c r="F187" s="750">
        <f>'AV (nominal)'!G187*CPI!$I$38</f>
        <v>73133.463167399459</v>
      </c>
    </row>
    <row r="188" spans="1:6" ht="14.45" hidden="1">
      <c r="A188" s="271">
        <f>'FS (nominal)'!A217</f>
        <v>579</v>
      </c>
      <c r="B188" s="669" t="s">
        <v>54</v>
      </c>
      <c r="C188" s="663">
        <v>2007</v>
      </c>
      <c r="D188" s="749">
        <f>'AV (nominal)'!E188*CPI!$I$42</f>
        <v>75385.462314915043</v>
      </c>
      <c r="E188" s="749">
        <f>'AV (nominal)'!F188*CPI!$I$42</f>
        <v>1312.5137581829354</v>
      </c>
      <c r="F188" s="750">
        <f>'AV (nominal)'!G188*CPI!$I$42</f>
        <v>76697.975962500379</v>
      </c>
    </row>
    <row r="189" spans="1:6" ht="409.6">
      <c r="A189" s="271">
        <f>'FS (nominal)'!A218</f>
        <v>580</v>
      </c>
      <c r="B189" s="669" t="s">
        <v>54</v>
      </c>
      <c r="C189" s="663">
        <v>2008</v>
      </c>
      <c r="D189" s="749">
        <f>'AV (nominal)'!E189*CPI!$I$46</f>
        <v>78146.628911921522</v>
      </c>
      <c r="E189" s="749">
        <f>'AV (nominal)'!F189*CPI!$I$46</f>
        <v>1279.8533527130678</v>
      </c>
      <c r="F189" s="750">
        <f>'AV (nominal)'!G189*CPI!$I$46</f>
        <v>79426.481941204984</v>
      </c>
    </row>
    <row r="190" spans="1:6" ht="409.6">
      <c r="A190" s="271">
        <f>'FS (nominal)'!A219</f>
        <v>581</v>
      </c>
      <c r="B190" s="669" t="s">
        <v>54</v>
      </c>
      <c r="C190" s="663">
        <v>2009</v>
      </c>
      <c r="D190" s="749">
        <f>'AV (nominal)'!E190*CPI!$I$50</f>
        <v>79452.026501201151</v>
      </c>
      <c r="E190" s="749">
        <f>'AV (nominal)'!F190*CPI!$I$50</f>
        <v>1211.2127391859424</v>
      </c>
      <c r="F190" s="750">
        <f>'AV (nominal)'!G190*CPI!$I$50</f>
        <v>80663.238928958715</v>
      </c>
    </row>
    <row r="191" spans="1:6" ht="409.6">
      <c r="A191" s="271">
        <f>'FS (nominal)'!A220</f>
        <v>582</v>
      </c>
      <c r="B191" s="669" t="s">
        <v>54</v>
      </c>
      <c r="C191" s="663">
        <v>2010</v>
      </c>
      <c r="D191" s="749">
        <f>'AV (nominal)'!E191*CPI!$I$54</f>
        <v>80013.163166177124</v>
      </c>
      <c r="E191" s="749">
        <f>'AV (nominal)'!F191*CPI!$I$54</f>
        <v>1132.60302778152</v>
      </c>
      <c r="F191" s="750">
        <f>'AV (nominal)'!G191*CPI!$I$54</f>
        <v>81145.765786424497</v>
      </c>
    </row>
    <row r="192" spans="1:6" ht="409.6">
      <c r="A192" s="271">
        <f>'FS (nominal)'!A221</f>
        <v>583</v>
      </c>
      <c r="B192" s="669" t="s">
        <v>54</v>
      </c>
      <c r="C192" s="663">
        <v>2011</v>
      </c>
      <c r="D192" s="749">
        <f>'AV (nominal)'!E192*CPI!$I$58</f>
        <v>82681.880999999994</v>
      </c>
      <c r="E192" s="749">
        <f>'AV (nominal)'!F192*CPI!$I$58</f>
        <v>2319.3730999999998</v>
      </c>
      <c r="F192" s="750">
        <f>'AV (nominal)'!G192*CPI!$I$58</f>
        <v>85001.254000000001</v>
      </c>
    </row>
    <row r="193" spans="1:6" ht="14.45" hidden="1">
      <c r="A193" s="271">
        <f>'FS (nominal)'!A223</f>
        <v>600</v>
      </c>
      <c r="B193" s="669" t="s">
        <v>55</v>
      </c>
      <c r="C193" s="663">
        <v>2005</v>
      </c>
      <c r="D193" s="749">
        <f>'AV (nominal)'!E193*CPI!$I$34</f>
        <v>237982.38278472528</v>
      </c>
      <c r="E193" s="749">
        <f>'AV (nominal)'!F193*CPI!$I$34</f>
        <v>3298.330270188043</v>
      </c>
      <c r="F193" s="750">
        <f>'AV (nominal)'!G193*CPI!$I$34</f>
        <v>241280.71670418992</v>
      </c>
    </row>
    <row r="194" spans="1:6" ht="14.45" hidden="1">
      <c r="A194" s="271">
        <f>'FS (nominal)'!A224</f>
        <v>601</v>
      </c>
      <c r="B194" s="669" t="s">
        <v>55</v>
      </c>
      <c r="C194" s="663">
        <v>2006</v>
      </c>
      <c r="D194" s="749">
        <f>'AV (nominal)'!E194*CPI!$I$38</f>
        <v>256183.73009515679</v>
      </c>
      <c r="E194" s="749">
        <f>'AV (nominal)'!F194*CPI!$I$38</f>
        <v>3550.7628376914104</v>
      </c>
      <c r="F194" s="750">
        <f>'AV (nominal)'!G194*CPI!$I$38</f>
        <v>259734.4887111065</v>
      </c>
    </row>
    <row r="195" spans="1:6" ht="14.45" hidden="1">
      <c r="A195" s="271">
        <f>'FS (nominal)'!A225</f>
        <v>602</v>
      </c>
      <c r="B195" s="669" t="s">
        <v>55</v>
      </c>
      <c r="C195" s="663">
        <v>2007</v>
      </c>
      <c r="D195" s="749">
        <f>'AV (nominal)'!E195*CPI!$I$42</f>
        <v>276773.7898002165</v>
      </c>
      <c r="E195" s="749">
        <f>'AV (nominal)'!F195*CPI!$I$42</f>
        <v>4861.0722293269382</v>
      </c>
      <c r="F195" s="750">
        <f>'AV (nominal)'!G195*CPI!$I$42</f>
        <v>281634.86379910493</v>
      </c>
    </row>
    <row r="196" spans="1:6" ht="409.6">
      <c r="A196" s="271">
        <f>'FS (nominal)'!A226</f>
        <v>603</v>
      </c>
      <c r="B196" s="669" t="s">
        <v>55</v>
      </c>
      <c r="C196" s="663">
        <v>2008</v>
      </c>
      <c r="D196" s="749">
        <f>'AV (nominal)'!E196*CPI!$I$46</f>
        <v>300767.63425052032</v>
      </c>
      <c r="E196" s="749">
        <f>'AV (nominal)'!F196*CPI!$I$46</f>
        <v>5518.0172312451887</v>
      </c>
      <c r="F196" s="750">
        <f>'AV (nominal)'!G196*CPI!$I$46</f>
        <v>306285.65611758997</v>
      </c>
    </row>
    <row r="197" spans="1:6" ht="409.6">
      <c r="A197" s="271">
        <f>'FS (nominal)'!A227</f>
        <v>604</v>
      </c>
      <c r="B197" s="669" t="s">
        <v>55</v>
      </c>
      <c r="C197" s="663">
        <v>2009</v>
      </c>
      <c r="D197" s="749">
        <f>'AV (nominal)'!E197*CPI!$I$50</f>
        <v>312660.04339899775</v>
      </c>
      <c r="E197" s="749">
        <f>'AV (nominal)'!F197*CPI!$I$50</f>
        <v>7353.051387768548</v>
      </c>
      <c r="F197" s="750">
        <f>'AV (nominal)'!G197*CPI!$I$50</f>
        <v>320013.09572105145</v>
      </c>
    </row>
    <row r="198" spans="1:6" ht="409.6">
      <c r="A198" s="271">
        <f>'FS (nominal)'!A228</f>
        <v>605</v>
      </c>
      <c r="B198" s="669" t="s">
        <v>55</v>
      </c>
      <c r="C198" s="663">
        <v>2010</v>
      </c>
      <c r="D198" s="749">
        <f>'AV (nominal)'!E198*CPI!$I$54</f>
        <v>321868.96718493168</v>
      </c>
      <c r="E198" s="749">
        <f>'AV (nominal)'!F198*CPI!$I$54</f>
        <v>8379.4353688394276</v>
      </c>
      <c r="F198" s="750">
        <f>'AV (nominal)'!G198*CPI!$I$54</f>
        <v>330248.3991916143</v>
      </c>
    </row>
    <row r="199" spans="1:6" ht="409.6">
      <c r="A199" s="271">
        <f>'FS (nominal)'!A229</f>
        <v>606</v>
      </c>
      <c r="B199" s="669" t="s">
        <v>55</v>
      </c>
      <c r="C199" s="663">
        <v>2011</v>
      </c>
      <c r="D199" s="749">
        <f>'AV (nominal)'!E199*CPI!$I$58</f>
        <v>367098.37</v>
      </c>
      <c r="E199" s="749">
        <f>'AV (nominal)'!F199*CPI!$I$58</f>
        <v>12241.563</v>
      </c>
      <c r="F199" s="750">
        <f>'AV (nominal)'!G199*CPI!$I$58</f>
        <v>379339.94</v>
      </c>
    </row>
    <row r="200" spans="1:6" ht="14.45" hidden="1">
      <c r="A200" s="271">
        <f>'FS (nominal)'!A231</f>
        <v>623</v>
      </c>
      <c r="B200" s="669" t="s">
        <v>56</v>
      </c>
      <c r="C200" s="663">
        <v>2005</v>
      </c>
      <c r="D200" s="749"/>
      <c r="E200" s="749"/>
      <c r="F200" s="750"/>
    </row>
    <row r="201" spans="1:6" ht="14.45" hidden="1">
      <c r="A201" s="271">
        <f>'FS (nominal)'!A232</f>
        <v>624</v>
      </c>
      <c r="B201" s="669" t="s">
        <v>56</v>
      </c>
      <c r="C201" s="663">
        <v>2006</v>
      </c>
      <c r="D201" s="749"/>
      <c r="E201" s="749"/>
      <c r="F201" s="750"/>
    </row>
    <row r="202" spans="1:6" ht="14.45" hidden="1">
      <c r="A202" s="271">
        <f>'FS (nominal)'!A233</f>
        <v>625</v>
      </c>
      <c r="B202" s="669" t="s">
        <v>56</v>
      </c>
      <c r="C202" s="663">
        <v>2007</v>
      </c>
      <c r="D202" s="749"/>
      <c r="E202" s="749"/>
      <c r="F202" s="750"/>
    </row>
    <row r="203" spans="1:6" ht="409.6">
      <c r="A203" s="271">
        <f>'FS (nominal)'!A234</f>
        <v>626</v>
      </c>
      <c r="B203" s="669" t="s">
        <v>56</v>
      </c>
      <c r="C203" s="663">
        <v>2008</v>
      </c>
      <c r="D203" s="749"/>
      <c r="E203" s="749"/>
      <c r="F203" s="750"/>
    </row>
    <row r="204" spans="1:6" ht="409.6">
      <c r="A204" s="271">
        <f>'FS (nominal)'!A235</f>
        <v>627</v>
      </c>
      <c r="B204" s="669" t="s">
        <v>56</v>
      </c>
      <c r="C204" s="663">
        <v>2009</v>
      </c>
      <c r="D204" s="749">
        <f>'AV (nominal)'!E204*CPI!$I$50</f>
        <v>473597.83995881653</v>
      </c>
      <c r="E204" s="749">
        <f>'AV (nominal)'!F204*CPI!$I$50</f>
        <v>593.79010227194715</v>
      </c>
      <c r="F204" s="750">
        <f>'AV (nominal)'!G204*CPI!$I$50</f>
        <v>474191.63006108848</v>
      </c>
    </row>
    <row r="205" spans="1:6" ht="409.6">
      <c r="A205" s="271">
        <f>'FS (nominal)'!A236</f>
        <v>628</v>
      </c>
      <c r="B205" s="669" t="s">
        <v>56</v>
      </c>
      <c r="C205" s="663">
        <v>2010</v>
      </c>
      <c r="D205" s="749">
        <f>'AV (nominal)'!E205*CPI!$I$54</f>
        <v>477941.88415564114</v>
      </c>
      <c r="E205" s="749">
        <f>'AV (nominal)'!F205*CPI!$I$54</f>
        <v>17387.361148446551</v>
      </c>
      <c r="F205" s="750">
        <f>'AV (nominal)'!G205*CPI!$I$54</f>
        <v>495329.24734175846</v>
      </c>
    </row>
    <row r="206" spans="1:6" ht="409.6">
      <c r="A206" s="271">
        <f>'FS (nominal)'!A237</f>
        <v>629</v>
      </c>
      <c r="B206" s="669" t="s">
        <v>56</v>
      </c>
      <c r="C206" s="663">
        <v>2011</v>
      </c>
      <c r="D206" s="749">
        <f>'AV (nominal)'!E206*CPI!$I$58</f>
        <v>514637.15</v>
      </c>
      <c r="E206" s="749">
        <f>'AV (nominal)'!F206*CPI!$I$58</f>
        <v>13702.136</v>
      </c>
      <c r="F206" s="750">
        <f>'AV (nominal)'!G206*CPI!$I$58</f>
        <v>528339.29</v>
      </c>
    </row>
    <row r="207" spans="1:6" ht="14.45" hidden="1">
      <c r="A207" s="271">
        <f>'FS (nominal)'!A239</f>
        <v>646</v>
      </c>
      <c r="B207" s="669" t="s">
        <v>57</v>
      </c>
      <c r="C207" s="663">
        <v>2005</v>
      </c>
      <c r="D207" s="749">
        <f>'AV (nominal)'!E207*CPI!$I$34</f>
        <v>84150.576410356414</v>
      </c>
      <c r="E207" s="749">
        <f>'AV (nominal)'!F207*CPI!$I$34</f>
        <v>291.94212886605925</v>
      </c>
      <c r="F207" s="750">
        <f>'AV (nominal)'!G207*CPI!$I$34</f>
        <v>84442.518539222481</v>
      </c>
    </row>
    <row r="208" spans="1:6" ht="14.45" hidden="1">
      <c r="A208" s="271">
        <f>'FS (nominal)'!A240</f>
        <v>647</v>
      </c>
      <c r="B208" s="669" t="s">
        <v>57</v>
      </c>
      <c r="C208" s="663">
        <v>2006</v>
      </c>
      <c r="D208" s="749">
        <f>'AV (nominal)'!E208*CPI!$I$38</f>
        <v>92333.872554457834</v>
      </c>
      <c r="E208" s="749">
        <f>'AV (nominal)'!F208*CPI!$I$38</f>
        <v>231.62528809610416</v>
      </c>
      <c r="F208" s="750">
        <f>'AV (nominal)'!G208*CPI!$I$38</f>
        <v>92565.497842553945</v>
      </c>
    </row>
    <row r="209" spans="1:6" ht="14.45" hidden="1">
      <c r="A209" s="271">
        <f>'FS (nominal)'!A241</f>
        <v>648</v>
      </c>
      <c r="B209" s="669" t="s">
        <v>57</v>
      </c>
      <c r="C209" s="663">
        <v>2007</v>
      </c>
      <c r="D209" s="749">
        <f>'AV (nominal)'!E209*CPI!$I$42</f>
        <v>91711.639377248677</v>
      </c>
      <c r="E209" s="749">
        <f>'AV (nominal)'!F209*CPI!$I$42</f>
        <v>806.25647175827078</v>
      </c>
      <c r="F209" s="750">
        <f>'AV (nominal)'!G209*CPI!$I$42</f>
        <v>92517.895849006949</v>
      </c>
    </row>
    <row r="210" spans="1:6" ht="409.6">
      <c r="A210" s="271">
        <f>'FS (nominal)'!A242</f>
        <v>649</v>
      </c>
      <c r="B210" s="669" t="s">
        <v>57</v>
      </c>
      <c r="C210" s="663">
        <v>2008</v>
      </c>
      <c r="D210" s="749">
        <f>'AV (nominal)'!E210*CPI!$I$46</f>
        <v>102826.04852755836</v>
      </c>
      <c r="E210" s="749">
        <f>'AV (nominal)'!F210*CPI!$I$46</f>
        <v>700.76416412420508</v>
      </c>
      <c r="F210" s="750">
        <f>'AV (nominal)'!G210*CPI!$I$46</f>
        <v>103526.81269168257</v>
      </c>
    </row>
    <row r="211" spans="1:6" ht="409.6">
      <c r="A211" s="271">
        <f>'FS (nominal)'!A243</f>
        <v>650</v>
      </c>
      <c r="B211" s="669" t="s">
        <v>57</v>
      </c>
      <c r="C211" s="663">
        <v>2009</v>
      </c>
      <c r="D211" s="749">
        <f>'AV (nominal)'!E211*CPI!$I$50</f>
        <v>106308.45315121143</v>
      </c>
      <c r="E211" s="749">
        <f>'AV (nominal)'!F211*CPI!$I$50</f>
        <v>563.68535932459315</v>
      </c>
      <c r="F211" s="750">
        <f>'AV (nominal)'!G211*CPI!$I$50</f>
        <v>106872.13851053602</v>
      </c>
    </row>
    <row r="212" spans="1:6" ht="409.6">
      <c r="A212" s="271">
        <f>'FS (nominal)'!A244</f>
        <v>651</v>
      </c>
      <c r="B212" s="669" t="s">
        <v>57</v>
      </c>
      <c r="C212" s="663">
        <v>2010</v>
      </c>
      <c r="D212" s="749">
        <f>'AV (nominal)'!E212*CPI!$I$54</f>
        <v>110087.27241788148</v>
      </c>
      <c r="E212" s="749">
        <f>'AV (nominal)'!F212*CPI!$I$54</f>
        <v>465.60777128075227</v>
      </c>
      <c r="F212" s="750">
        <f>'AV (nominal)'!G212*CPI!$I$54</f>
        <v>110552.88018916223</v>
      </c>
    </row>
    <row r="213" spans="1:6" thickBot="1">
      <c r="A213" s="271">
        <f>'FS (nominal)'!A245</f>
        <v>652</v>
      </c>
      <c r="B213" s="670" t="s">
        <v>57</v>
      </c>
      <c r="C213" s="671">
        <v>2011</v>
      </c>
      <c r="D213" s="751">
        <f>'AV (nominal)'!E213*CPI!$I$58</f>
        <v>114657.46</v>
      </c>
      <c r="E213" s="751">
        <f>'AV (nominal)'!F213*CPI!$I$58</f>
        <v>388</v>
      </c>
      <c r="F213" s="752">
        <f>'AV (nominal)'!G213*CPI!$I$58</f>
        <v>115045.46</v>
      </c>
    </row>
    <row r="214" spans="1:6" ht="14.45" hidden="1">
      <c r="A214" s="271">
        <v>1</v>
      </c>
      <c r="B214" s="271">
        <f>A214+1</f>
        <v>2</v>
      </c>
      <c r="C214" s="271">
        <f t="shared" ref="C214" si="0">B214+1</f>
        <v>3</v>
      </c>
      <c r="D214" s="271">
        <f t="shared" ref="D214" si="1">C214+1</f>
        <v>4</v>
      </c>
      <c r="E214" s="271">
        <f t="shared" ref="E214" si="2">D214+1</f>
        <v>5</v>
      </c>
      <c r="F214" s="271">
        <f t="shared" ref="F214" si="3">E214+1</f>
        <v>6</v>
      </c>
    </row>
  </sheetData>
  <sheetProtection password="80F5" sheet="1" objects="1" scenarios="1" formatCells="0" formatColumns="0" formatRows="0"/>
  <autoFilter ref="A10:F214">
    <filterColumn colId="2">
      <filters>
        <filter val="2008"/>
        <filter val="2009"/>
        <filter val="2010"/>
        <filter val="2011"/>
      </filters>
    </filterColumn>
  </autoFilter>
  <mergeCells count="1">
    <mergeCell ref="D8:F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 filterMode="1">
    <tabColor rgb="FF00B050"/>
  </sheetPr>
  <dimension ref="A2:AR246"/>
  <sheetViews>
    <sheetView showGridLines="0" zoomScale="70" zoomScaleNormal="70" workbookViewId="0">
      <pane xSplit="3" ySplit="13" topLeftCell="D14" activePane="bottomRight" state="frozen"/>
      <selection activeCell="Q270" sqref="Q270"/>
      <selection pane="topRight" activeCell="Q270" sqref="Q270"/>
      <selection pane="bottomLeft" activeCell="Q270" sqref="Q270"/>
      <selection pane="bottomRight"/>
    </sheetView>
  </sheetViews>
  <sheetFormatPr defaultColWidth="8.85546875" defaultRowHeight="15"/>
  <cols>
    <col min="1" max="1" width="4.42578125" style="271" customWidth="1"/>
    <col min="2" max="2" width="24.28515625" style="273" customWidth="1"/>
    <col min="3" max="3" width="9.85546875" style="273" customWidth="1"/>
    <col min="4" max="4" width="15.28515625" style="30" customWidth="1"/>
    <col min="5" max="5" width="14.28515625" style="274" customWidth="1"/>
    <col min="6" max="6" width="14.7109375" style="30" customWidth="1"/>
    <col min="7" max="7" width="12.5703125" style="274" customWidth="1"/>
    <col min="8" max="8" width="16.140625" style="30" customWidth="1"/>
    <col min="9" max="9" width="14" style="30" customWidth="1"/>
    <col min="10" max="10" width="13.85546875" style="30" customWidth="1"/>
    <col min="11" max="11" width="3.28515625" style="274" customWidth="1"/>
    <col min="12" max="12" width="11" style="30" customWidth="1"/>
    <col min="13" max="13" width="15.85546875" style="274" customWidth="1"/>
    <col min="14" max="14" width="3.28515625" style="273" customWidth="1"/>
    <col min="15" max="15" width="15" style="30" customWidth="1"/>
    <col min="16" max="16" width="2.140625" style="30" customWidth="1"/>
    <col min="17" max="17" width="2.7109375" style="274" customWidth="1"/>
    <col min="18" max="18" width="14" style="274" customWidth="1"/>
    <col min="19" max="19" width="15.28515625" style="274" customWidth="1"/>
    <col min="20" max="20" width="15.140625" style="274" customWidth="1"/>
    <col min="21" max="21" width="3.7109375" style="274" customWidth="1"/>
    <col min="22" max="22" width="15.85546875" style="274" customWidth="1"/>
    <col min="23" max="24" width="16.140625" style="274" customWidth="1"/>
    <col min="25" max="25" width="3.7109375" style="274" customWidth="1"/>
    <col min="26" max="26" width="14.5703125" style="274" customWidth="1"/>
    <col min="27" max="27" width="18.42578125" style="274" customWidth="1"/>
    <col min="28" max="28" width="19.5703125" style="274" customWidth="1"/>
    <col min="29" max="29" width="3.42578125" style="274" customWidth="1"/>
    <col min="30" max="30" width="15.85546875" style="30" customWidth="1"/>
    <col min="31" max="31" width="13.85546875" style="30" customWidth="1"/>
    <col min="32" max="32" width="18.42578125" style="30" customWidth="1"/>
    <col min="33" max="33" width="2.85546875" style="274" customWidth="1"/>
    <col min="34" max="34" width="13.7109375" style="30" customWidth="1"/>
    <col min="35" max="35" width="17.28515625" style="30" customWidth="1"/>
    <col min="36" max="36" width="14.7109375" style="30" customWidth="1"/>
    <col min="37" max="37" width="2.85546875" style="274" customWidth="1"/>
    <col min="38" max="38" width="13.5703125" style="30" customWidth="1"/>
    <col min="39" max="39" width="13.85546875" style="30" customWidth="1"/>
    <col min="40" max="40" width="12.7109375" style="30" customWidth="1"/>
    <col min="41" max="41" width="2.85546875" style="274" customWidth="1"/>
    <col min="42" max="42" width="18.7109375" style="30" customWidth="1"/>
    <col min="43" max="43" width="15.28515625" style="30" customWidth="1"/>
    <col min="44" max="44" width="17.42578125" style="274" customWidth="1"/>
    <col min="45" max="16384" width="8.85546875" style="273"/>
  </cols>
  <sheetData>
    <row r="2" spans="1:44" ht="15.75">
      <c r="B2" s="264" t="s">
        <v>330</v>
      </c>
    </row>
    <row r="4" spans="1:44">
      <c r="B4" s="266" t="s">
        <v>331</v>
      </c>
    </row>
    <row r="5" spans="1:44">
      <c r="B5" s="266" t="s">
        <v>554</v>
      </c>
    </row>
    <row r="6" spans="1:44">
      <c r="B6" s="266" t="s">
        <v>332</v>
      </c>
    </row>
    <row r="7" spans="1:44">
      <c r="B7" s="266" t="s">
        <v>333</v>
      </c>
    </row>
    <row r="8" spans="1:44">
      <c r="B8" s="266" t="s">
        <v>334</v>
      </c>
    </row>
    <row r="9" spans="1:44">
      <c r="B9" s="266"/>
    </row>
    <row r="11" spans="1:44" s="278" customFormat="1">
      <c r="A11" s="271"/>
      <c r="B11" s="275"/>
      <c r="C11" s="276"/>
      <c r="D11" s="893" t="s">
        <v>147</v>
      </c>
      <c r="E11" s="893"/>
      <c r="F11" s="893"/>
      <c r="G11" s="893"/>
      <c r="H11" s="893"/>
      <c r="I11" s="893"/>
      <c r="J11" s="893"/>
      <c r="K11" s="893"/>
      <c r="L11" s="893"/>
      <c r="M11" s="893"/>
      <c r="N11" s="893"/>
      <c r="O11" s="893"/>
      <c r="P11" s="893"/>
      <c r="Q11" s="277"/>
      <c r="R11" s="896" t="s">
        <v>149</v>
      </c>
      <c r="S11" s="896"/>
      <c r="T11" s="896"/>
      <c r="U11" s="896"/>
      <c r="V11" s="896"/>
      <c r="W11" s="896"/>
      <c r="X11" s="896"/>
      <c r="Y11" s="896"/>
      <c r="Z11" s="896"/>
      <c r="AA11" s="896"/>
      <c r="AB11" s="896"/>
      <c r="AC11" s="896"/>
      <c r="AD11" s="896"/>
      <c r="AE11" s="896"/>
      <c r="AF11" s="896"/>
      <c r="AG11" s="896"/>
      <c r="AH11" s="896"/>
      <c r="AI11" s="896"/>
      <c r="AJ11" s="896"/>
      <c r="AK11" s="896"/>
      <c r="AL11" s="896"/>
      <c r="AM11" s="896"/>
      <c r="AN11" s="896"/>
      <c r="AO11" s="896"/>
      <c r="AP11" s="896"/>
      <c r="AQ11" s="896"/>
      <c r="AR11" s="896"/>
    </row>
    <row r="12" spans="1:44" s="278" customFormat="1" ht="14.45" customHeight="1">
      <c r="A12" s="271"/>
      <c r="B12" s="279"/>
      <c r="C12" s="280"/>
      <c r="D12" s="894" t="s">
        <v>507</v>
      </c>
      <c r="E12" s="894"/>
      <c r="F12" s="895"/>
      <c r="G12" s="895"/>
      <c r="H12" s="895"/>
      <c r="I12" s="895"/>
      <c r="J12" s="450"/>
      <c r="K12" s="281"/>
      <c r="L12" s="450" t="s">
        <v>508</v>
      </c>
      <c r="M12" s="450" t="s">
        <v>510</v>
      </c>
      <c r="N12" s="282"/>
      <c r="O12" s="449" t="s">
        <v>509</v>
      </c>
      <c r="P12" s="212"/>
      <c r="Q12" s="281"/>
      <c r="R12" s="895" t="s">
        <v>150</v>
      </c>
      <c r="S12" s="897"/>
      <c r="T12" s="897"/>
      <c r="U12" s="281"/>
      <c r="V12" s="895" t="s">
        <v>194</v>
      </c>
      <c r="W12" s="897"/>
      <c r="X12" s="897"/>
      <c r="Y12" s="281"/>
      <c r="Z12" s="895" t="s">
        <v>151</v>
      </c>
      <c r="AA12" s="895"/>
      <c r="AB12" s="895"/>
      <c r="AC12" s="281"/>
      <c r="AD12" s="895" t="s">
        <v>152</v>
      </c>
      <c r="AE12" s="895"/>
      <c r="AF12" s="895"/>
      <c r="AG12" s="281"/>
      <c r="AH12" s="895" t="s">
        <v>153</v>
      </c>
      <c r="AI12" s="895"/>
      <c r="AJ12" s="895"/>
      <c r="AK12" s="281"/>
      <c r="AL12" s="895" t="s">
        <v>154</v>
      </c>
      <c r="AM12" s="895"/>
      <c r="AN12" s="895"/>
      <c r="AO12" s="283"/>
      <c r="AP12" s="283" t="s">
        <v>155</v>
      </c>
      <c r="AQ12" s="283"/>
      <c r="AR12" s="283"/>
    </row>
    <row r="13" spans="1:44" s="291" customFormat="1" ht="105">
      <c r="A13" s="271"/>
      <c r="B13" s="285" t="s">
        <v>28</v>
      </c>
      <c r="C13" s="286" t="s">
        <v>139</v>
      </c>
      <c r="D13" s="32" t="s">
        <v>61</v>
      </c>
      <c r="E13" s="287" t="s">
        <v>64</v>
      </c>
      <c r="F13" s="32" t="s">
        <v>62</v>
      </c>
      <c r="G13" s="287" t="s">
        <v>65</v>
      </c>
      <c r="H13" s="32" t="s">
        <v>63</v>
      </c>
      <c r="I13" s="33" t="s">
        <v>66</v>
      </c>
      <c r="J13" s="33" t="s">
        <v>67</v>
      </c>
      <c r="K13" s="287"/>
      <c r="L13" s="32" t="s">
        <v>68</v>
      </c>
      <c r="M13" s="289" t="s">
        <v>69</v>
      </c>
      <c r="N13" s="290"/>
      <c r="O13" s="32" t="s">
        <v>70</v>
      </c>
      <c r="P13" s="33"/>
      <c r="Q13" s="287"/>
      <c r="R13" s="287" t="s">
        <v>71</v>
      </c>
      <c r="S13" s="287" t="s">
        <v>101</v>
      </c>
      <c r="T13" s="287" t="s">
        <v>102</v>
      </c>
      <c r="U13" s="287"/>
      <c r="V13" s="287" t="s">
        <v>72</v>
      </c>
      <c r="W13" s="287" t="s">
        <v>103</v>
      </c>
      <c r="X13" s="287" t="s">
        <v>104</v>
      </c>
      <c r="Y13" s="287"/>
      <c r="Z13" s="287" t="s">
        <v>73</v>
      </c>
      <c r="AA13" s="287" t="s">
        <v>78</v>
      </c>
      <c r="AB13" s="287" t="s">
        <v>83</v>
      </c>
      <c r="AC13" s="287"/>
      <c r="AD13" s="33" t="s">
        <v>74</v>
      </c>
      <c r="AE13" s="33" t="s">
        <v>79</v>
      </c>
      <c r="AF13" s="33" t="s">
        <v>84</v>
      </c>
      <c r="AG13" s="287"/>
      <c r="AH13" s="33" t="s">
        <v>75</v>
      </c>
      <c r="AI13" s="33" t="s">
        <v>80</v>
      </c>
      <c r="AJ13" s="33" t="s">
        <v>85</v>
      </c>
      <c r="AK13" s="287"/>
      <c r="AL13" s="33" t="s">
        <v>76</v>
      </c>
      <c r="AM13" s="33" t="s">
        <v>81</v>
      </c>
      <c r="AN13" s="33" t="s">
        <v>86</v>
      </c>
      <c r="AO13" s="287"/>
      <c r="AP13" s="33" t="s">
        <v>77</v>
      </c>
      <c r="AQ13" s="33" t="s">
        <v>82</v>
      </c>
      <c r="AR13" s="287" t="s">
        <v>87</v>
      </c>
    </row>
    <row r="14" spans="1:44" s="278" customFormat="1" hidden="1">
      <c r="A14" s="271">
        <f>References!C258</f>
        <v>1</v>
      </c>
      <c r="B14" s="292" t="s">
        <v>29</v>
      </c>
      <c r="C14" s="284">
        <v>2004</v>
      </c>
      <c r="D14" s="27" t="str">
        <f>IF(HLOOKUP(D$13,'MP (nominal)'!$D$12:$AM$244,ROW()-12,FALSE)="","",HLOOKUP(D$13,'MP (nominal)'!$D$12:$AM$244,ROW()-12,FALSE))</f>
        <v/>
      </c>
      <c r="E14" s="281" t="str">
        <f>IF(HLOOKUP(E$13,'MP (nominal)'!$D$12:$AM$244,ROW()-12,FALSE)="","",HLOOKUP(E$13,'MP (nominal)'!$D$12:$AM$244,ROW()-12,FALSE))</f>
        <v/>
      </c>
      <c r="F14" s="27">
        <f>IF(HLOOKUP(F$13,'MP (nominal)'!$D$12:$AM$244,ROW()-12,FALSE)="","",HLOOKUP(F$13,'MP (nominal)'!$D$12:$AM$244,ROW()-12,FALSE))</f>
        <v>467</v>
      </c>
      <c r="G14" s="281" t="str">
        <f>IF(HLOOKUP(G$13,'MP (nominal)'!$D$12:$AM$244,ROW()-12,FALSE)="","",HLOOKUP(G$13,'MP (nominal)'!$D$12:$AM$244,ROW()-12,FALSE))</f>
        <v/>
      </c>
      <c r="H14" s="34">
        <f>IF(HLOOKUP(H$13,'MP (nominal)'!$D$12:$AM$244,ROW()-12,FALSE)="","",HLOOKUP(H$13,'MP (nominal)'!$D$12:$AM$244,ROW()-12,FALSE))</f>
        <v>3730</v>
      </c>
      <c r="I14" s="31" t="str">
        <f>IF(HLOOKUP(I$13,'MP (nominal)'!$D$12:$AM$244,ROW()-12,FALSE)="","",HLOOKUP(I$13,'MP (nominal)'!$D$12:$AM$244,ROW()-12,FALSE))</f>
        <v/>
      </c>
      <c r="J14" s="31">
        <f>IF(HLOOKUP(J$13,'MP (nominal)'!$D$12:$AM$244,ROW()-12,FALSE)="","",HLOOKUP(J$13,'MP (nominal)'!$D$12:$AM$244,ROW()-12,FALSE))</f>
        <v>3263</v>
      </c>
      <c r="K14" s="281"/>
      <c r="L14" s="27">
        <f>IF(HLOOKUP(L$13,'MP (nominal)'!$D$12:$AM$244,ROW()-12,FALSE)="","",HLOOKUP(L$13,'MP (nominal)'!$D$12:$AM$244,ROW()-12,FALSE))</f>
        <v>103.502</v>
      </c>
      <c r="M14" s="293">
        <f>IF(HLOOKUP(M$13,'MP (nominal)'!$D$12:$AM$244,ROW()-12,FALSE)="","",HLOOKUP(M$13,'MP (nominal)'!$D$12:$AM$244,ROW()-12,FALSE))</f>
        <v>589.68428400000005</v>
      </c>
      <c r="N14" s="35"/>
      <c r="O14" s="27">
        <f>IF(HLOOKUP(O$13,'MP (nominal)'!$D$12:$AM$244,ROW()-12,FALSE)="","",HLOOKUP(O$13,'MP (nominal)'!$D$12:$AM$244,ROW()-12,FALSE))</f>
        <v>28409</v>
      </c>
      <c r="P14" s="31"/>
      <c r="Q14" s="281"/>
      <c r="R14" s="281">
        <f>IF(HLOOKUP(R$13,'MP (nominal)'!$D$12:$AM$244,ROW()-12,FALSE)="","",HLOOKUP(R$13,'MP (nominal)'!$D$12:$AM$244,ROW()-12,FALSE))</f>
        <v>115</v>
      </c>
      <c r="S14" s="281" t="str">
        <f>IF(HLOOKUP(S$13,'MP (nominal)'!$D$12:$AM$244,ROW()-12,FALSE)="","",HLOOKUP(S$13,'MP (nominal)'!$D$12:$AM$244,ROW()-12,FALSE))</f>
        <v/>
      </c>
      <c r="T14" s="281" t="str">
        <f>IF(HLOOKUP(T$13,'MP (nominal)'!$D$12:$AM$244,ROW()-12,FALSE)="","",HLOOKUP(T$13,'MP (nominal)'!$D$12:$AM$244,ROW()-12,FALSE))</f>
        <v/>
      </c>
      <c r="U14" s="281"/>
      <c r="V14" s="281">
        <f>IF(HLOOKUP(V$13,'MP (nominal)'!$D$12:$AM$244,ROW()-12,FALSE)="","",HLOOKUP(V$13,'MP (nominal)'!$D$12:$AM$244,ROW()-12,FALSE))</f>
        <v>1.6</v>
      </c>
      <c r="W14" s="281" t="str">
        <f>IF(HLOOKUP(W$13,'MP (nominal)'!$D$12:$AM$244,ROW()-12,FALSE)="","",HLOOKUP(W$13,'MP (nominal)'!$D$12:$AM$244,ROW()-12,FALSE))</f>
        <v/>
      </c>
      <c r="X14" s="281" t="str">
        <f>IF(HLOOKUP(X$13,'MP (nominal)'!$D$12:$AM$244,ROW()-12,FALSE)="","",HLOOKUP(X$13,'MP (nominal)'!$D$12:$AM$244,ROW()-12,FALSE))</f>
        <v/>
      </c>
      <c r="Y14" s="281"/>
      <c r="Z14" s="281" t="str">
        <f>IF(HLOOKUP(Z$13,'MP (nominal)'!$D$12:$AM$244,ROW()-12,FALSE)="","",HLOOKUP(Z$13,'MP (nominal)'!$D$12:$AM$244,ROW()-12,FALSE)*VLOOKUP($C14,CPI!$B$9:$I$63,8))</f>
        <v/>
      </c>
      <c r="AA14" s="281" t="str">
        <f>IF(HLOOKUP(AA$13,'MP (nominal)'!$D$12:$AM$244,ROW()-12,FALSE)="","",HLOOKUP(AA$13,'MP (nominal)'!$D$12:$AM$244,ROW()-12,FALSE))</f>
        <v/>
      </c>
      <c r="AB14" s="281" t="str">
        <f>IF(HLOOKUP(AB$13,'MP (nominal)'!$D$12:$AM$244,ROW()-12,FALSE)="","",HLOOKUP(AB$13,'MP (nominal)'!$D$12:$AM$244,ROW()-12,FALSE))</f>
        <v/>
      </c>
      <c r="AC14" s="281"/>
      <c r="AD14" s="281" t="str">
        <f>IF(HLOOKUP(AD$13,'MP (nominal)'!$D$12:$AM$244,ROW()-12,FALSE)="","",HLOOKUP(AD$13,'MP (nominal)'!$D$12:$AM$244,ROW()-12,FALSE)*VLOOKUP($C14,CPI!$B$9:$I$63,8))</f>
        <v/>
      </c>
      <c r="AE14" s="31" t="str">
        <f>IF(HLOOKUP(AE$13,'MP (nominal)'!$D$12:$AM$244,ROW()-12,FALSE)="","",HLOOKUP(AE$13,'MP (nominal)'!$D$12:$AM$244,ROW()-12,FALSE))</f>
        <v/>
      </c>
      <c r="AF14" s="31" t="str">
        <f>IF(HLOOKUP(AF$13,'MP (nominal)'!$D$12:$AM$244,ROW()-12,FALSE)="","",HLOOKUP(AF$13,'MP (nominal)'!$D$12:$AM$244,ROW()-12,FALSE))</f>
        <v/>
      </c>
      <c r="AG14" s="281"/>
      <c r="AH14" s="281" t="str">
        <f>IF(HLOOKUP(AH$13,'MP (nominal)'!$D$12:$AM$244,ROW()-12,FALSE)="","",HLOOKUP(AH$13,'MP (nominal)'!$D$12:$AM$244,ROW()-12,FALSE)*VLOOKUP($C14,CPI!$B$9:$I$63,8))</f>
        <v/>
      </c>
      <c r="AI14" s="31" t="str">
        <f>IF(HLOOKUP(AI$13,'MP (nominal)'!$D$12:$AM$244,ROW()-12,FALSE)="","",HLOOKUP(AI$13,'MP (nominal)'!$D$12:$AM$244,ROW()-12,FALSE))</f>
        <v/>
      </c>
      <c r="AJ14" s="31" t="str">
        <f>IF(HLOOKUP(AJ$13,'MP (nominal)'!$D$12:$AM$244,ROW()-12,FALSE)="","",HLOOKUP(AJ$13,'MP (nominal)'!$D$12:$AM$244,ROW()-12,FALSE))</f>
        <v/>
      </c>
      <c r="AK14" s="281"/>
      <c r="AL14" s="281" t="str">
        <f>IF(HLOOKUP(AL$13,'MP (nominal)'!$D$12:$AM$244,ROW()-12,FALSE)="","",HLOOKUP(AL$13,'MP (nominal)'!$D$12:$AM$244,ROW()-12,FALSE)*VLOOKUP($C14,CPI!$B$9:$I$63,8))</f>
        <v/>
      </c>
      <c r="AM14" s="31" t="str">
        <f>IF(HLOOKUP(AM$13,'MP (nominal)'!$D$12:$AM$244,ROW()-12,FALSE)="","",HLOOKUP(AM$13,'MP (nominal)'!$D$12:$AM$244,ROW()-12,FALSE))</f>
        <v/>
      </c>
      <c r="AN14" s="31" t="str">
        <f>IF(HLOOKUP(AN$13,'MP (nominal)'!$D$12:$AM$244,ROW()-12,FALSE)="","",HLOOKUP(AN$13,'MP (nominal)'!$D$12:$AM$244,ROW()-12,FALSE))</f>
        <v/>
      </c>
      <c r="AO14" s="281"/>
      <c r="AP14" s="281" t="str">
        <f>IF(HLOOKUP(AP$13,'MP (nominal)'!$D$12:$AM$244,ROW()-12,FALSE)="","",HLOOKUP(AP$13,'MP (nominal)'!$D$12:$AM$244,ROW()-12,FALSE)*VLOOKUP($C14,CPI!$B$9:$I$63,8))</f>
        <v/>
      </c>
      <c r="AQ14" s="31" t="str">
        <f>IF(HLOOKUP(AQ$13,'MP (nominal)'!$D$12:$AM$244,ROW()-12,FALSE)="","",HLOOKUP(AQ$13,'MP (nominal)'!$D$12:$AM$244,ROW()-12,FALSE))</f>
        <v/>
      </c>
      <c r="AR14" s="281" t="str">
        <f>IF(HLOOKUP(AR$13,'MP (nominal)'!$D$12:$AM$244,ROW()-12,FALSE)="","",HLOOKUP(AR$13,'MP (nominal)'!$D$12:$AM$244,ROW()-12,FALSE))</f>
        <v/>
      </c>
    </row>
    <row r="15" spans="1:44" s="278" customFormat="1" hidden="1">
      <c r="A15" s="271">
        <f>References!D258</f>
        <v>2</v>
      </c>
      <c r="B15" s="292" t="s">
        <v>29</v>
      </c>
      <c r="C15" s="284">
        <v>2005</v>
      </c>
      <c r="D15" s="27" t="str">
        <f>IF(HLOOKUP(D$13,'MP (nominal)'!$D$12:$AM$244,ROW()-12,FALSE)="","",HLOOKUP(D$13,'MP (nominal)'!$D$12:$AM$244,ROW()-12,FALSE))</f>
        <v/>
      </c>
      <c r="E15" s="281" t="str">
        <f>IF(HLOOKUP(E$13,'MP (nominal)'!$D$12:$AM$244,ROW()-12,FALSE)="","",HLOOKUP(E$13,'MP (nominal)'!$D$12:$AM$244,ROW()-12,FALSE))</f>
        <v/>
      </c>
      <c r="F15" s="27">
        <f>IF(HLOOKUP(F$13,'MP (nominal)'!$D$12:$AM$244,ROW()-12,FALSE)="","",HLOOKUP(F$13,'MP (nominal)'!$D$12:$AM$244,ROW()-12,FALSE))</f>
        <v>492</v>
      </c>
      <c r="G15" s="281" t="str">
        <f>IF(HLOOKUP(G$13,'MP (nominal)'!$D$12:$AM$244,ROW()-12,FALSE)="","",HLOOKUP(G$13,'MP (nominal)'!$D$12:$AM$244,ROW()-12,FALSE))</f>
        <v/>
      </c>
      <c r="H15" s="34">
        <f>IF(HLOOKUP(H$13,'MP (nominal)'!$D$12:$AM$244,ROW()-12,FALSE)="","",HLOOKUP(H$13,'MP (nominal)'!$D$12:$AM$244,ROW()-12,FALSE))</f>
        <v>3775</v>
      </c>
      <c r="I15" s="31" t="str">
        <f>IF(HLOOKUP(I$13,'MP (nominal)'!$D$12:$AM$244,ROW()-12,FALSE)="","",HLOOKUP(I$13,'MP (nominal)'!$D$12:$AM$244,ROW()-12,FALSE))</f>
        <v/>
      </c>
      <c r="J15" s="31">
        <f>IF(HLOOKUP(J$13,'MP (nominal)'!$D$12:$AM$244,ROW()-12,FALSE)="","",HLOOKUP(J$13,'MP (nominal)'!$D$12:$AM$244,ROW()-12,FALSE))</f>
        <v>3282</v>
      </c>
      <c r="K15" s="281"/>
      <c r="L15" s="27">
        <f>IF(HLOOKUP(L$13,'MP (nominal)'!$D$12:$AM$244,ROW()-12,FALSE)="","",HLOOKUP(L$13,'MP (nominal)'!$D$12:$AM$244,ROW()-12,FALSE))</f>
        <v>103.062</v>
      </c>
      <c r="M15" s="293">
        <f>IF(HLOOKUP(M$13,'MP (nominal)'!$D$12:$AM$244,ROW()-12,FALSE)="","",HLOOKUP(M$13,'MP (nominal)'!$D$12:$AM$244,ROW()-12,FALSE))</f>
        <v>576.45736499999998</v>
      </c>
      <c r="N15" s="35"/>
      <c r="O15" s="27">
        <f>IF(HLOOKUP(O$13,'MP (nominal)'!$D$12:$AM$244,ROW()-12,FALSE)="","",HLOOKUP(O$13,'MP (nominal)'!$D$12:$AM$244,ROW()-12,FALSE))</f>
        <v>28697</v>
      </c>
      <c r="P15" s="31"/>
      <c r="Q15" s="281"/>
      <c r="R15" s="281">
        <f>IF(HLOOKUP(R$13,'MP (nominal)'!$D$12:$AM$244,ROW()-12,FALSE)="","",HLOOKUP(R$13,'MP (nominal)'!$D$12:$AM$244,ROW()-12,FALSE))</f>
        <v>79</v>
      </c>
      <c r="S15" s="281" t="str">
        <f>IF(HLOOKUP(S$13,'MP (nominal)'!$D$12:$AM$244,ROW()-12,FALSE)="","",HLOOKUP(S$13,'MP (nominal)'!$D$12:$AM$244,ROW()-12,FALSE))</f>
        <v/>
      </c>
      <c r="T15" s="281" t="str">
        <f>IF(HLOOKUP(T$13,'MP (nominal)'!$D$12:$AM$244,ROW()-12,FALSE)="","",HLOOKUP(T$13,'MP (nominal)'!$D$12:$AM$244,ROW()-12,FALSE))</f>
        <v/>
      </c>
      <c r="U15" s="281"/>
      <c r="V15" s="281">
        <f>IF(HLOOKUP(V$13,'MP (nominal)'!$D$12:$AM$244,ROW()-12,FALSE)="","",HLOOKUP(V$13,'MP (nominal)'!$D$12:$AM$244,ROW()-12,FALSE))</f>
        <v>1</v>
      </c>
      <c r="W15" s="281" t="str">
        <f>IF(HLOOKUP(W$13,'MP (nominal)'!$D$12:$AM$244,ROW()-12,FALSE)="","",HLOOKUP(W$13,'MP (nominal)'!$D$12:$AM$244,ROW()-12,FALSE))</f>
        <v/>
      </c>
      <c r="X15" s="281" t="str">
        <f>IF(HLOOKUP(X$13,'MP (nominal)'!$D$12:$AM$244,ROW()-12,FALSE)="","",HLOOKUP(X$13,'MP (nominal)'!$D$12:$AM$244,ROW()-12,FALSE))</f>
        <v/>
      </c>
      <c r="Y15" s="281"/>
      <c r="Z15" s="281" t="str">
        <f>IF(HLOOKUP(Z$13,'MP (nominal)'!$D$12:$AM$244,ROW()-12,FALSE)="","",HLOOKUP(Z$13,'MP (nominal)'!$D$12:$AM$244,ROW()-12,FALSE)*VLOOKUP($C15,CPI!$B$9:$I$63,8))</f>
        <v/>
      </c>
      <c r="AA15" s="281" t="str">
        <f>IF(HLOOKUP(AA$13,'MP (nominal)'!$D$12:$AM$244,ROW()-12,FALSE)="","",HLOOKUP(AA$13,'MP (nominal)'!$D$12:$AM$244,ROW()-12,FALSE))</f>
        <v/>
      </c>
      <c r="AB15" s="281" t="str">
        <f>IF(HLOOKUP(AB$13,'MP (nominal)'!$D$12:$AM$244,ROW()-12,FALSE)="","",HLOOKUP(AB$13,'MP (nominal)'!$D$12:$AM$244,ROW()-12,FALSE))</f>
        <v/>
      </c>
      <c r="AC15" s="281"/>
      <c r="AD15" s="281" t="str">
        <f>IF(HLOOKUP(AD$13,'MP (nominal)'!$D$12:$AM$244,ROW()-12,FALSE)="","",HLOOKUP(AD$13,'MP (nominal)'!$D$12:$AM$244,ROW()-12,FALSE)*VLOOKUP($C15,CPI!$B$9:$I$63,8))</f>
        <v/>
      </c>
      <c r="AE15" s="31" t="str">
        <f>IF(HLOOKUP(AE$13,'MP (nominal)'!$D$12:$AM$244,ROW()-12,FALSE)="","",HLOOKUP(AE$13,'MP (nominal)'!$D$12:$AM$244,ROW()-12,FALSE))</f>
        <v/>
      </c>
      <c r="AF15" s="31" t="str">
        <f>IF(HLOOKUP(AF$13,'MP (nominal)'!$D$12:$AM$244,ROW()-12,FALSE)="","",HLOOKUP(AF$13,'MP (nominal)'!$D$12:$AM$244,ROW()-12,FALSE))</f>
        <v/>
      </c>
      <c r="AG15" s="281"/>
      <c r="AH15" s="281" t="str">
        <f>IF(HLOOKUP(AH$13,'MP (nominal)'!$D$12:$AM$244,ROW()-12,FALSE)="","",HLOOKUP(AH$13,'MP (nominal)'!$D$12:$AM$244,ROW()-12,FALSE)*VLOOKUP($C15,CPI!$B$9:$I$63,8))</f>
        <v/>
      </c>
      <c r="AI15" s="31" t="str">
        <f>IF(HLOOKUP(AI$13,'MP (nominal)'!$D$12:$AM$244,ROW()-12,FALSE)="","",HLOOKUP(AI$13,'MP (nominal)'!$D$12:$AM$244,ROW()-12,FALSE))</f>
        <v/>
      </c>
      <c r="AJ15" s="31" t="str">
        <f>IF(HLOOKUP(AJ$13,'MP (nominal)'!$D$12:$AM$244,ROW()-12,FALSE)="","",HLOOKUP(AJ$13,'MP (nominal)'!$D$12:$AM$244,ROW()-12,FALSE))</f>
        <v/>
      </c>
      <c r="AK15" s="281"/>
      <c r="AL15" s="281" t="str">
        <f>IF(HLOOKUP(AL$13,'MP (nominal)'!$D$12:$AM$244,ROW()-12,FALSE)="","",HLOOKUP(AL$13,'MP (nominal)'!$D$12:$AM$244,ROW()-12,FALSE)*VLOOKUP($C15,CPI!$B$9:$I$63,8))</f>
        <v/>
      </c>
      <c r="AM15" s="31" t="str">
        <f>IF(HLOOKUP(AM$13,'MP (nominal)'!$D$12:$AM$244,ROW()-12,FALSE)="","",HLOOKUP(AM$13,'MP (nominal)'!$D$12:$AM$244,ROW()-12,FALSE))</f>
        <v/>
      </c>
      <c r="AN15" s="31" t="str">
        <f>IF(HLOOKUP(AN$13,'MP (nominal)'!$D$12:$AM$244,ROW()-12,FALSE)="","",HLOOKUP(AN$13,'MP (nominal)'!$D$12:$AM$244,ROW()-12,FALSE))</f>
        <v/>
      </c>
      <c r="AO15" s="281"/>
      <c r="AP15" s="281" t="str">
        <f>IF(HLOOKUP(AP$13,'MP (nominal)'!$D$12:$AM$244,ROW()-12,FALSE)="","",HLOOKUP(AP$13,'MP (nominal)'!$D$12:$AM$244,ROW()-12,FALSE)*VLOOKUP($C15,CPI!$B$9:$I$63,8))</f>
        <v/>
      </c>
      <c r="AQ15" s="31" t="str">
        <f>IF(HLOOKUP(AQ$13,'MP (nominal)'!$D$12:$AM$244,ROW()-12,FALSE)="","",HLOOKUP(AQ$13,'MP (nominal)'!$D$12:$AM$244,ROW()-12,FALSE))</f>
        <v/>
      </c>
      <c r="AR15" s="281" t="str">
        <f>IF(HLOOKUP(AR$13,'MP (nominal)'!$D$12:$AM$244,ROW()-12,FALSE)="","",HLOOKUP(AR$13,'MP (nominal)'!$D$12:$AM$244,ROW()-12,FALSE))</f>
        <v/>
      </c>
    </row>
    <row r="16" spans="1:44" s="278" customFormat="1" hidden="1">
      <c r="A16" s="271">
        <f>References!E258</f>
        <v>3</v>
      </c>
      <c r="B16" s="292" t="s">
        <v>29</v>
      </c>
      <c r="C16" s="284">
        <v>2006</v>
      </c>
      <c r="D16" s="27" t="str">
        <f>IF(HLOOKUP(D$13,'MP (nominal)'!$D$12:$AM$244,ROW()-12,FALSE)="","",HLOOKUP(D$13,'MP (nominal)'!$D$12:$AM$244,ROW()-12,FALSE))</f>
        <v/>
      </c>
      <c r="E16" s="281" t="str">
        <f>IF(HLOOKUP(E$13,'MP (nominal)'!$D$12:$AM$244,ROW()-12,FALSE)="","",HLOOKUP(E$13,'MP (nominal)'!$D$12:$AM$244,ROW()-12,FALSE))</f>
        <v/>
      </c>
      <c r="F16" s="27">
        <f>IF(HLOOKUP(F$13,'MP (nominal)'!$D$12:$AM$244,ROW()-12,FALSE)="","",HLOOKUP(F$13,'MP (nominal)'!$D$12:$AM$244,ROW()-12,FALSE))</f>
        <v>520</v>
      </c>
      <c r="G16" s="281" t="str">
        <f>IF(HLOOKUP(G$13,'MP (nominal)'!$D$12:$AM$244,ROW()-12,FALSE)="","",HLOOKUP(G$13,'MP (nominal)'!$D$12:$AM$244,ROW()-12,FALSE))</f>
        <v/>
      </c>
      <c r="H16" s="34">
        <f>IF(HLOOKUP(H$13,'MP (nominal)'!$D$12:$AM$244,ROW()-12,FALSE)="","",HLOOKUP(H$13,'MP (nominal)'!$D$12:$AM$244,ROW()-12,FALSE))</f>
        <v>3816</v>
      </c>
      <c r="I16" s="31" t="str">
        <f>IF(HLOOKUP(I$13,'MP (nominal)'!$D$12:$AM$244,ROW()-12,FALSE)="","",HLOOKUP(I$13,'MP (nominal)'!$D$12:$AM$244,ROW()-12,FALSE))</f>
        <v/>
      </c>
      <c r="J16" s="31">
        <f>IF(HLOOKUP(J$13,'MP (nominal)'!$D$12:$AM$244,ROW()-12,FALSE)="","",HLOOKUP(J$13,'MP (nominal)'!$D$12:$AM$244,ROW()-12,FALSE))</f>
        <v>3296</v>
      </c>
      <c r="K16" s="281"/>
      <c r="L16" s="27">
        <f>IF(HLOOKUP(L$13,'MP (nominal)'!$D$12:$AM$244,ROW()-12,FALSE)="","",HLOOKUP(L$13,'MP (nominal)'!$D$12:$AM$244,ROW()-12,FALSE))</f>
        <v>110.79300000000001</v>
      </c>
      <c r="M16" s="293">
        <f>IF(HLOOKUP(M$13,'MP (nominal)'!$D$12:$AM$244,ROW()-12,FALSE)="","",HLOOKUP(M$13,'MP (nominal)'!$D$12:$AM$244,ROW()-12,FALSE))</f>
        <v>625.91167700000005</v>
      </c>
      <c r="N16" s="35"/>
      <c r="O16" s="27">
        <f>IF(HLOOKUP(O$13,'MP (nominal)'!$D$12:$AM$244,ROW()-12,FALSE)="","",HLOOKUP(O$13,'MP (nominal)'!$D$12:$AM$244,ROW()-12,FALSE))</f>
        <v>29163</v>
      </c>
      <c r="P16" s="31"/>
      <c r="Q16" s="281"/>
      <c r="R16" s="281">
        <f>IF(HLOOKUP(R$13,'MP (nominal)'!$D$12:$AM$244,ROW()-12,FALSE)="","",HLOOKUP(R$13,'MP (nominal)'!$D$12:$AM$244,ROW()-12,FALSE))</f>
        <v>81</v>
      </c>
      <c r="S16" s="281" t="str">
        <f>IF(HLOOKUP(S$13,'MP (nominal)'!$D$12:$AM$244,ROW()-12,FALSE)="","",HLOOKUP(S$13,'MP (nominal)'!$D$12:$AM$244,ROW()-12,FALSE))</f>
        <v/>
      </c>
      <c r="T16" s="281" t="str">
        <f>IF(HLOOKUP(T$13,'MP (nominal)'!$D$12:$AM$244,ROW()-12,FALSE)="","",HLOOKUP(T$13,'MP (nominal)'!$D$12:$AM$244,ROW()-12,FALSE))</f>
        <v/>
      </c>
      <c r="U16" s="281"/>
      <c r="V16" s="281">
        <f>IF(HLOOKUP(V$13,'MP (nominal)'!$D$12:$AM$244,ROW()-12,FALSE)="","",HLOOKUP(V$13,'MP (nominal)'!$D$12:$AM$244,ROW()-12,FALSE))</f>
        <v>1.3</v>
      </c>
      <c r="W16" s="281" t="str">
        <f>IF(HLOOKUP(W$13,'MP (nominal)'!$D$12:$AM$244,ROW()-12,FALSE)="","",HLOOKUP(W$13,'MP (nominal)'!$D$12:$AM$244,ROW()-12,FALSE))</f>
        <v/>
      </c>
      <c r="X16" s="281" t="str">
        <f>IF(HLOOKUP(X$13,'MP (nominal)'!$D$12:$AM$244,ROW()-12,FALSE)="","",HLOOKUP(X$13,'MP (nominal)'!$D$12:$AM$244,ROW()-12,FALSE))</f>
        <v/>
      </c>
      <c r="Y16" s="281"/>
      <c r="Z16" s="281" t="str">
        <f>IF(HLOOKUP(Z$13,'MP (nominal)'!$D$12:$AM$244,ROW()-12,FALSE)="","",HLOOKUP(Z$13,'MP (nominal)'!$D$12:$AM$244,ROW()-12,FALSE)*VLOOKUP($C16,CPI!$B$9:$I$63,8))</f>
        <v/>
      </c>
      <c r="AA16" s="281" t="str">
        <f>IF(HLOOKUP(AA$13,'MP (nominal)'!$D$12:$AM$244,ROW()-12,FALSE)="","",HLOOKUP(AA$13,'MP (nominal)'!$D$12:$AM$244,ROW()-12,FALSE))</f>
        <v/>
      </c>
      <c r="AB16" s="281" t="str">
        <f>IF(HLOOKUP(AB$13,'MP (nominal)'!$D$12:$AM$244,ROW()-12,FALSE)="","",HLOOKUP(AB$13,'MP (nominal)'!$D$12:$AM$244,ROW()-12,FALSE))</f>
        <v/>
      </c>
      <c r="AC16" s="281"/>
      <c r="AD16" s="281" t="str">
        <f>IF(HLOOKUP(AD$13,'MP (nominal)'!$D$12:$AM$244,ROW()-12,FALSE)="","",HLOOKUP(AD$13,'MP (nominal)'!$D$12:$AM$244,ROW()-12,FALSE)*VLOOKUP($C16,CPI!$B$9:$I$63,8))</f>
        <v/>
      </c>
      <c r="AE16" s="31" t="str">
        <f>IF(HLOOKUP(AE$13,'MP (nominal)'!$D$12:$AM$244,ROW()-12,FALSE)="","",HLOOKUP(AE$13,'MP (nominal)'!$D$12:$AM$244,ROW()-12,FALSE))</f>
        <v/>
      </c>
      <c r="AF16" s="31" t="str">
        <f>IF(HLOOKUP(AF$13,'MP (nominal)'!$D$12:$AM$244,ROW()-12,FALSE)="","",HLOOKUP(AF$13,'MP (nominal)'!$D$12:$AM$244,ROW()-12,FALSE))</f>
        <v/>
      </c>
      <c r="AG16" s="281"/>
      <c r="AH16" s="281" t="str">
        <f>IF(HLOOKUP(AH$13,'MP (nominal)'!$D$12:$AM$244,ROW()-12,FALSE)="","",HLOOKUP(AH$13,'MP (nominal)'!$D$12:$AM$244,ROW()-12,FALSE)*VLOOKUP($C16,CPI!$B$9:$I$63,8))</f>
        <v/>
      </c>
      <c r="AI16" s="31" t="str">
        <f>IF(HLOOKUP(AI$13,'MP (nominal)'!$D$12:$AM$244,ROW()-12,FALSE)="","",HLOOKUP(AI$13,'MP (nominal)'!$D$12:$AM$244,ROW()-12,FALSE))</f>
        <v/>
      </c>
      <c r="AJ16" s="31" t="str">
        <f>IF(HLOOKUP(AJ$13,'MP (nominal)'!$D$12:$AM$244,ROW()-12,FALSE)="","",HLOOKUP(AJ$13,'MP (nominal)'!$D$12:$AM$244,ROW()-12,FALSE))</f>
        <v/>
      </c>
      <c r="AK16" s="281"/>
      <c r="AL16" s="281" t="str">
        <f>IF(HLOOKUP(AL$13,'MP (nominal)'!$D$12:$AM$244,ROW()-12,FALSE)="","",HLOOKUP(AL$13,'MP (nominal)'!$D$12:$AM$244,ROW()-12,FALSE)*VLOOKUP($C16,CPI!$B$9:$I$63,8))</f>
        <v/>
      </c>
      <c r="AM16" s="31" t="str">
        <f>IF(HLOOKUP(AM$13,'MP (nominal)'!$D$12:$AM$244,ROW()-12,FALSE)="","",HLOOKUP(AM$13,'MP (nominal)'!$D$12:$AM$244,ROW()-12,FALSE))</f>
        <v/>
      </c>
      <c r="AN16" s="31" t="str">
        <f>IF(HLOOKUP(AN$13,'MP (nominal)'!$D$12:$AM$244,ROW()-12,FALSE)="","",HLOOKUP(AN$13,'MP (nominal)'!$D$12:$AM$244,ROW()-12,FALSE))</f>
        <v/>
      </c>
      <c r="AO16" s="281"/>
      <c r="AP16" s="281" t="str">
        <f>IF(HLOOKUP(AP$13,'MP (nominal)'!$D$12:$AM$244,ROW()-12,FALSE)="","",HLOOKUP(AP$13,'MP (nominal)'!$D$12:$AM$244,ROW()-12,FALSE)*VLOOKUP($C16,CPI!$B$9:$I$63,8))</f>
        <v/>
      </c>
      <c r="AQ16" s="31" t="str">
        <f>IF(HLOOKUP(AQ$13,'MP (nominal)'!$D$12:$AM$244,ROW()-12,FALSE)="","",HLOOKUP(AQ$13,'MP (nominal)'!$D$12:$AM$244,ROW()-12,FALSE))</f>
        <v/>
      </c>
      <c r="AR16" s="281" t="str">
        <f>IF(HLOOKUP(AR$13,'MP (nominal)'!$D$12:$AM$244,ROW()-12,FALSE)="","",HLOOKUP(AR$13,'MP (nominal)'!$D$12:$AM$244,ROW()-12,FALSE))</f>
        <v/>
      </c>
    </row>
    <row r="17" spans="1:44" s="278" customFormat="1" hidden="1">
      <c r="A17" s="271">
        <f>References!F258</f>
        <v>4</v>
      </c>
      <c r="B17" s="292" t="s">
        <v>29</v>
      </c>
      <c r="C17" s="284">
        <v>2007</v>
      </c>
      <c r="D17" s="27" t="str">
        <f>IF(HLOOKUP(D$13,'MP (nominal)'!$D$12:$AM$244,ROW()-12,FALSE)="","",HLOOKUP(D$13,'MP (nominal)'!$D$12:$AM$244,ROW()-12,FALSE))</f>
        <v/>
      </c>
      <c r="E17" s="281" t="str">
        <f>IF(HLOOKUP(E$13,'MP (nominal)'!$D$12:$AM$244,ROW()-12,FALSE)="","",HLOOKUP(E$13,'MP (nominal)'!$D$12:$AM$244,ROW()-12,FALSE))</f>
        <v/>
      </c>
      <c r="F17" s="27">
        <f>IF(HLOOKUP(F$13,'MP (nominal)'!$D$12:$AM$244,ROW()-12,FALSE)="","",HLOOKUP(F$13,'MP (nominal)'!$D$12:$AM$244,ROW()-12,FALSE))</f>
        <v>552</v>
      </c>
      <c r="G17" s="281" t="str">
        <f>IF(HLOOKUP(G$13,'MP (nominal)'!$D$12:$AM$244,ROW()-12,FALSE)="","",HLOOKUP(G$13,'MP (nominal)'!$D$12:$AM$244,ROW()-12,FALSE))</f>
        <v/>
      </c>
      <c r="H17" s="34">
        <f>IF(HLOOKUP(H$13,'MP (nominal)'!$D$12:$AM$244,ROW()-12,FALSE)="","",HLOOKUP(H$13,'MP (nominal)'!$D$12:$AM$244,ROW()-12,FALSE))</f>
        <v>3840</v>
      </c>
      <c r="I17" s="31" t="str">
        <f>IF(HLOOKUP(I$13,'MP (nominal)'!$D$12:$AM$244,ROW()-12,FALSE)="","",HLOOKUP(I$13,'MP (nominal)'!$D$12:$AM$244,ROW()-12,FALSE))</f>
        <v/>
      </c>
      <c r="J17" s="31">
        <f>IF(HLOOKUP(J$13,'MP (nominal)'!$D$12:$AM$244,ROW()-12,FALSE)="","",HLOOKUP(J$13,'MP (nominal)'!$D$12:$AM$244,ROW()-12,FALSE))</f>
        <v>3288</v>
      </c>
      <c r="K17" s="281"/>
      <c r="L17" s="27">
        <f>IF(HLOOKUP(L$13,'MP (nominal)'!$D$12:$AM$244,ROW()-12,FALSE)="","",HLOOKUP(L$13,'MP (nominal)'!$D$12:$AM$244,ROW()-12,FALSE))</f>
        <v>112.77800000000001</v>
      </c>
      <c r="M17" s="293">
        <f>IF(HLOOKUP(M$13,'MP (nominal)'!$D$12:$AM$244,ROW()-12,FALSE)="","",HLOOKUP(M$13,'MP (nominal)'!$D$12:$AM$244,ROW()-12,FALSE))</f>
        <v>659.17593099999999</v>
      </c>
      <c r="N17" s="35"/>
      <c r="O17" s="27">
        <f>IF(HLOOKUP(O$13,'MP (nominal)'!$D$12:$AM$244,ROW()-12,FALSE)="","",HLOOKUP(O$13,'MP (nominal)'!$D$12:$AM$244,ROW()-12,FALSE))</f>
        <v>29367</v>
      </c>
      <c r="P17" s="31"/>
      <c r="Q17" s="281"/>
      <c r="R17" s="281">
        <f>IF(HLOOKUP(R$13,'MP (nominal)'!$D$12:$AM$244,ROW()-12,FALSE)="","",HLOOKUP(R$13,'MP (nominal)'!$D$12:$AM$244,ROW()-12,FALSE))</f>
        <v>1138</v>
      </c>
      <c r="S17" s="281" t="str">
        <f>IF(HLOOKUP(S$13,'MP (nominal)'!$D$12:$AM$244,ROW()-12,FALSE)="","",HLOOKUP(S$13,'MP (nominal)'!$D$12:$AM$244,ROW()-12,FALSE))</f>
        <v/>
      </c>
      <c r="T17" s="281" t="str">
        <f>IF(HLOOKUP(T$13,'MP (nominal)'!$D$12:$AM$244,ROW()-12,FALSE)="","",HLOOKUP(T$13,'MP (nominal)'!$D$12:$AM$244,ROW()-12,FALSE))</f>
        <v/>
      </c>
      <c r="U17" s="281"/>
      <c r="V17" s="281">
        <f>IF(HLOOKUP(V$13,'MP (nominal)'!$D$12:$AM$244,ROW()-12,FALSE)="","",HLOOKUP(V$13,'MP (nominal)'!$D$12:$AM$244,ROW()-12,FALSE))</f>
        <v>2.5</v>
      </c>
      <c r="W17" s="281" t="str">
        <f>IF(HLOOKUP(W$13,'MP (nominal)'!$D$12:$AM$244,ROW()-12,FALSE)="","",HLOOKUP(W$13,'MP (nominal)'!$D$12:$AM$244,ROW()-12,FALSE))</f>
        <v/>
      </c>
      <c r="X17" s="281" t="str">
        <f>IF(HLOOKUP(X$13,'MP (nominal)'!$D$12:$AM$244,ROW()-12,FALSE)="","",HLOOKUP(X$13,'MP (nominal)'!$D$12:$AM$244,ROW()-12,FALSE))</f>
        <v/>
      </c>
      <c r="Y17" s="281"/>
      <c r="Z17" s="281" t="str">
        <f>IF(HLOOKUP(Z$13,'MP (nominal)'!$D$12:$AM$244,ROW()-12,FALSE)="","",HLOOKUP(Z$13,'MP (nominal)'!$D$12:$AM$244,ROW()-12,FALSE)*VLOOKUP($C17,CPI!$B$9:$I$63,8))</f>
        <v/>
      </c>
      <c r="AA17" s="281" t="str">
        <f>IF(HLOOKUP(AA$13,'MP (nominal)'!$D$12:$AM$244,ROW()-12,FALSE)="","",HLOOKUP(AA$13,'MP (nominal)'!$D$12:$AM$244,ROW()-12,FALSE))</f>
        <v/>
      </c>
      <c r="AB17" s="281" t="str">
        <f>IF(HLOOKUP(AB$13,'MP (nominal)'!$D$12:$AM$244,ROW()-12,FALSE)="","",HLOOKUP(AB$13,'MP (nominal)'!$D$12:$AM$244,ROW()-12,FALSE))</f>
        <v/>
      </c>
      <c r="AC17" s="281"/>
      <c r="AD17" s="281" t="str">
        <f>IF(HLOOKUP(AD$13,'MP (nominal)'!$D$12:$AM$244,ROW()-12,FALSE)="","",HLOOKUP(AD$13,'MP (nominal)'!$D$12:$AM$244,ROW()-12,FALSE)*VLOOKUP($C17,CPI!$B$9:$I$63,8))</f>
        <v/>
      </c>
      <c r="AE17" s="31" t="str">
        <f>IF(HLOOKUP(AE$13,'MP (nominal)'!$D$12:$AM$244,ROW()-12,FALSE)="","",HLOOKUP(AE$13,'MP (nominal)'!$D$12:$AM$244,ROW()-12,FALSE))</f>
        <v/>
      </c>
      <c r="AF17" s="31" t="str">
        <f>IF(HLOOKUP(AF$13,'MP (nominal)'!$D$12:$AM$244,ROW()-12,FALSE)="","",HLOOKUP(AF$13,'MP (nominal)'!$D$12:$AM$244,ROW()-12,FALSE))</f>
        <v/>
      </c>
      <c r="AG17" s="281"/>
      <c r="AH17" s="281" t="str">
        <f>IF(HLOOKUP(AH$13,'MP (nominal)'!$D$12:$AM$244,ROW()-12,FALSE)="","",HLOOKUP(AH$13,'MP (nominal)'!$D$12:$AM$244,ROW()-12,FALSE)*VLOOKUP($C17,CPI!$B$9:$I$63,8))</f>
        <v/>
      </c>
      <c r="AI17" s="31" t="str">
        <f>IF(HLOOKUP(AI$13,'MP (nominal)'!$D$12:$AM$244,ROW()-12,FALSE)="","",HLOOKUP(AI$13,'MP (nominal)'!$D$12:$AM$244,ROW()-12,FALSE))</f>
        <v/>
      </c>
      <c r="AJ17" s="31" t="str">
        <f>IF(HLOOKUP(AJ$13,'MP (nominal)'!$D$12:$AM$244,ROW()-12,FALSE)="","",HLOOKUP(AJ$13,'MP (nominal)'!$D$12:$AM$244,ROW()-12,FALSE))</f>
        <v/>
      </c>
      <c r="AK17" s="281"/>
      <c r="AL17" s="281" t="str">
        <f>IF(HLOOKUP(AL$13,'MP (nominal)'!$D$12:$AM$244,ROW()-12,FALSE)="","",HLOOKUP(AL$13,'MP (nominal)'!$D$12:$AM$244,ROW()-12,FALSE)*VLOOKUP($C17,CPI!$B$9:$I$63,8))</f>
        <v/>
      </c>
      <c r="AM17" s="31" t="str">
        <f>IF(HLOOKUP(AM$13,'MP (nominal)'!$D$12:$AM$244,ROW()-12,FALSE)="","",HLOOKUP(AM$13,'MP (nominal)'!$D$12:$AM$244,ROW()-12,FALSE))</f>
        <v/>
      </c>
      <c r="AN17" s="31" t="str">
        <f>IF(HLOOKUP(AN$13,'MP (nominal)'!$D$12:$AM$244,ROW()-12,FALSE)="","",HLOOKUP(AN$13,'MP (nominal)'!$D$12:$AM$244,ROW()-12,FALSE))</f>
        <v/>
      </c>
      <c r="AO17" s="281"/>
      <c r="AP17" s="281" t="str">
        <f>IF(HLOOKUP(AP$13,'MP (nominal)'!$D$12:$AM$244,ROW()-12,FALSE)="","",HLOOKUP(AP$13,'MP (nominal)'!$D$12:$AM$244,ROW()-12,FALSE)*VLOOKUP($C17,CPI!$B$9:$I$63,8))</f>
        <v/>
      </c>
      <c r="AQ17" s="31" t="str">
        <f>IF(HLOOKUP(AQ$13,'MP (nominal)'!$D$12:$AM$244,ROW()-12,FALSE)="","",HLOOKUP(AQ$13,'MP (nominal)'!$D$12:$AM$244,ROW()-12,FALSE))</f>
        <v/>
      </c>
      <c r="AR17" s="281" t="str">
        <f>IF(HLOOKUP(AR$13,'MP (nominal)'!$D$12:$AM$244,ROW()-12,FALSE)="","",HLOOKUP(AR$13,'MP (nominal)'!$D$12:$AM$244,ROW()-12,FALSE))</f>
        <v/>
      </c>
    </row>
    <row r="18" spans="1:44" s="278" customFormat="1">
      <c r="A18" s="271">
        <f>References!G258</f>
        <v>5</v>
      </c>
      <c r="B18" s="292" t="s">
        <v>29</v>
      </c>
      <c r="C18" s="284">
        <v>2008</v>
      </c>
      <c r="D18" s="27">
        <f>IF(HLOOKUP(D$13,'MP (nominal)'!$D$12:$AM$244,ROW()-12,FALSE)="","",HLOOKUP(D$13,'MP (nominal)'!$D$12:$AM$244,ROW()-12,FALSE))</f>
        <v>3423.7109999999998</v>
      </c>
      <c r="E18" s="281">
        <f>IF(HLOOKUP(E$13,'MP (nominal)'!$D$12:$AM$244,ROW()-12,FALSE)="","",HLOOKUP(E$13,'MP (nominal)'!$D$12:$AM$244,ROW()-12,FALSE))</f>
        <v>0</v>
      </c>
      <c r="F18" s="27">
        <f>IF(HLOOKUP(F$13,'MP (nominal)'!$D$12:$AM$244,ROW()-12,FALSE)="","",HLOOKUP(F$13,'MP (nominal)'!$D$12:$AM$244,ROW()-12,FALSE))</f>
        <v>592.43899999999996</v>
      </c>
      <c r="G18" s="281">
        <f>IF(HLOOKUP(G$13,'MP (nominal)'!$D$12:$AM$244,ROW()-12,FALSE)="","",HLOOKUP(G$13,'MP (nominal)'!$D$12:$AM$244,ROW()-12,FALSE))</f>
        <v>0</v>
      </c>
      <c r="H18" s="27">
        <f>IF(HLOOKUP(H$13,'MP (nominal)'!$D$12:$AM$244,ROW()-12,FALSE)="","",HLOOKUP(H$13,'MP (nominal)'!$D$12:$AM$244,ROW()-12,FALSE))</f>
        <v>4016.15</v>
      </c>
      <c r="I18" s="31">
        <f>IF(HLOOKUP(I$13,'MP (nominal)'!$D$12:$AM$244,ROW()-12,FALSE)="","",HLOOKUP(I$13,'MP (nominal)'!$D$12:$AM$244,ROW()-12,FALSE))</f>
        <v>0</v>
      </c>
      <c r="J18" s="31">
        <f>IF(HLOOKUP(J$13,'MP (nominal)'!$D$12:$AM$244,ROW()-12,FALSE)="","",HLOOKUP(J$13,'MP (nominal)'!$D$12:$AM$244,ROW()-12,FALSE))</f>
        <v>3423.7109999999998</v>
      </c>
      <c r="K18" s="281"/>
      <c r="L18" s="27">
        <f>IF(HLOOKUP(L$13,'MP (nominal)'!$D$12:$AM$244,ROW()-12,FALSE)="","",HLOOKUP(L$13,'MP (nominal)'!$D$12:$AM$244,ROW()-12,FALSE))</f>
        <v>129.298</v>
      </c>
      <c r="M18" s="283">
        <f>IF(HLOOKUP(M$13,'MP (nominal)'!$D$12:$AM$244,ROW()-12,FALSE)="","",HLOOKUP(M$13,'MP (nominal)'!$D$12:$AM$244,ROW()-12,FALSE))</f>
        <v>665.524</v>
      </c>
      <c r="N18" s="35"/>
      <c r="O18" s="27">
        <f>IF(HLOOKUP(O$13,'MP (nominal)'!$D$12:$AM$244,ROW()-12,FALSE)="","",HLOOKUP(O$13,'MP (nominal)'!$D$12:$AM$244,ROW()-12,FALSE))</f>
        <v>29849</v>
      </c>
      <c r="P18" s="31"/>
      <c r="Q18" s="281"/>
      <c r="R18" s="281">
        <f>IF(HLOOKUP(R$13,'MP (nominal)'!$D$12:$AM$244,ROW()-12,FALSE)="","",HLOOKUP(R$13,'MP (nominal)'!$D$12:$AM$244,ROW()-12,FALSE))</f>
        <v>149.5</v>
      </c>
      <c r="S18" s="281">
        <f>IF(HLOOKUP(S$13,'MP (nominal)'!$D$12:$AM$244,ROW()-12,FALSE)="","",HLOOKUP(S$13,'MP (nominal)'!$D$12:$AM$244,ROW()-12,FALSE))</f>
        <v>62.32</v>
      </c>
      <c r="T18" s="281">
        <f>IF(HLOOKUP(T$13,'MP (nominal)'!$D$12:$AM$244,ROW()-12,FALSE)="","",HLOOKUP(T$13,'MP (nominal)'!$D$12:$AM$244,ROW()-12,FALSE))</f>
        <v>87.18</v>
      </c>
      <c r="U18" s="281"/>
      <c r="V18" s="281">
        <f>IF(HLOOKUP(V$13,'MP (nominal)'!$D$12:$AM$244,ROW()-12,FALSE)="","",HLOOKUP(V$13,'MP (nominal)'!$D$12:$AM$244,ROW()-12,FALSE))</f>
        <v>1.69</v>
      </c>
      <c r="W18" s="281">
        <f>IF(HLOOKUP(W$13,'MP (nominal)'!$D$12:$AM$244,ROW()-12,FALSE)="","",HLOOKUP(W$13,'MP (nominal)'!$D$12:$AM$244,ROW()-12,FALSE))</f>
        <v>0.3</v>
      </c>
      <c r="X18" s="281">
        <f>IF(HLOOKUP(X$13,'MP (nominal)'!$D$12:$AM$244,ROW()-12,FALSE)="","",HLOOKUP(X$13,'MP (nominal)'!$D$12:$AM$244,ROW()-12,FALSE))</f>
        <v>1.38</v>
      </c>
      <c r="Y18" s="281"/>
      <c r="Z18" s="281">
        <f>IF(HLOOKUP(Z$13,'MP (nominal)'!$D$12:$AM$244,ROW()-12,FALSE)="","",HLOOKUP(Z$13,'MP (nominal)'!$D$12:$AM$244,ROW()-12,FALSE)*VLOOKUP($C18,CPI!$B$9:$I$63,8))</f>
        <v>914.22770950357835</v>
      </c>
      <c r="AA18" s="281">
        <f>IF(HLOOKUP(AA$13,'MP (nominal)'!$D$12:$AM$244,ROW()-12,FALSE)="","",HLOOKUP(AA$13,'MP (nominal)'!$D$12:$AM$244,ROW()-12,FALSE))</f>
        <v>15603</v>
      </c>
      <c r="AB18" s="281">
        <f>IF(HLOOKUP(AB$13,'MP (nominal)'!$D$12:$AM$244,ROW()-12,FALSE)="","",HLOOKUP(AB$13,'MP (nominal)'!$D$12:$AM$244,ROW()-12,FALSE))</f>
        <v>3376</v>
      </c>
      <c r="AC18" s="281"/>
      <c r="AD18" s="281">
        <f>IF(HLOOKUP(AD$13,'MP (nominal)'!$D$12:$AM$244,ROW()-12,FALSE)="","",HLOOKUP(AD$13,'MP (nominal)'!$D$12:$AM$244,ROW()-12,FALSE)*VLOOKUP($C18,CPI!$B$9:$I$63,8))</f>
        <v>18921.710530067576</v>
      </c>
      <c r="AE18" s="31">
        <f>IF(HLOOKUP(AE$13,'MP (nominal)'!$D$12:$AM$244,ROW()-12,FALSE)="","",HLOOKUP(AE$13,'MP (nominal)'!$D$12:$AM$244,ROW()-12,FALSE))</f>
        <v>354498</v>
      </c>
      <c r="AF18" s="31">
        <f>IF(HLOOKUP(AF$13,'MP (nominal)'!$D$12:$AM$244,ROW()-12,FALSE)="","",HLOOKUP(AF$13,'MP (nominal)'!$D$12:$AM$244,ROW()-12,FALSE))</f>
        <v>26315</v>
      </c>
      <c r="AG18" s="281"/>
      <c r="AH18" s="281">
        <f>IF(HLOOKUP(AH$13,'MP (nominal)'!$D$12:$AM$244,ROW()-12,FALSE)="","",HLOOKUP(AH$13,'MP (nominal)'!$D$12:$AM$244,ROW()-12,FALSE)*VLOOKUP($C18,CPI!$B$9:$I$63,8))</f>
        <v>7050.7655898035409</v>
      </c>
      <c r="AI18" s="31">
        <f>IF(HLOOKUP(AI$13,'MP (nominal)'!$D$12:$AM$244,ROW()-12,FALSE)="","",HLOOKUP(AI$13,'MP (nominal)'!$D$12:$AM$244,ROW()-12,FALSE))</f>
        <v>128561</v>
      </c>
      <c r="AJ18" s="31">
        <f>IF(HLOOKUP(AJ$13,'MP (nominal)'!$D$12:$AM$244,ROW()-12,FALSE)="","",HLOOKUP(AJ$13,'MP (nominal)'!$D$12:$AM$244,ROW()-12,FALSE))</f>
        <v>153</v>
      </c>
      <c r="AK18" s="281"/>
      <c r="AL18" s="281">
        <f>IF(HLOOKUP(AL$13,'MP (nominal)'!$D$12:$AM$244,ROW()-12,FALSE)="","",HLOOKUP(AL$13,'MP (nominal)'!$D$12:$AM$244,ROW()-12,FALSE)*VLOOKUP($C18,CPI!$B$9:$I$63,8))</f>
        <v>4629.3558780759031</v>
      </c>
      <c r="AM18" s="31">
        <f>IF(HLOOKUP(AM$13,'MP (nominal)'!$D$12:$AM$244,ROW()-12,FALSE)="","",HLOOKUP(AM$13,'MP (nominal)'!$D$12:$AM$244,ROW()-12,FALSE))</f>
        <v>166862</v>
      </c>
      <c r="AN18" s="31">
        <f>IF(HLOOKUP(AN$13,'MP (nominal)'!$D$12:$AM$244,ROW()-12,FALSE)="","",HLOOKUP(AN$13,'MP (nominal)'!$D$12:$AM$244,ROW()-12,FALSE))</f>
        <v>5</v>
      </c>
      <c r="AO18" s="281"/>
      <c r="AP18" s="281">
        <f>IF(HLOOKUP(AP$13,'MP (nominal)'!$D$12:$AM$244,ROW()-12,FALSE)="","",HLOOKUP(AP$13,'MP (nominal)'!$D$12:$AM$244,ROW()-12,FALSE)*VLOOKUP($C18,CPI!$B$9:$I$63,8))</f>
        <v>31516.059707450597</v>
      </c>
      <c r="AQ18" s="31">
        <f>IF(HLOOKUP(AQ$13,'MP (nominal)'!$D$12:$AM$244,ROW()-12,FALSE)="","",HLOOKUP(AQ$13,'MP (nominal)'!$D$12:$AM$244,ROW()-12,FALSE))</f>
        <v>665524</v>
      </c>
      <c r="AR18" s="281">
        <f>IF(HLOOKUP(AR$13,'MP (nominal)'!$D$12:$AM$244,ROW()-12,FALSE)="","",HLOOKUP(AR$13,'MP (nominal)'!$D$12:$AM$244,ROW()-12,FALSE))</f>
        <v>29849</v>
      </c>
    </row>
    <row r="19" spans="1:44" s="278" customFormat="1">
      <c r="A19" s="271">
        <f>References!H258</f>
        <v>6</v>
      </c>
      <c r="B19" s="292" t="s">
        <v>29</v>
      </c>
      <c r="C19" s="284">
        <v>2009</v>
      </c>
      <c r="D19" s="27">
        <f>IF(HLOOKUP(D$13,'MP (nominal)'!$D$12:$AM$244,ROW()-12,FALSE)="","",HLOOKUP(D$13,'MP (nominal)'!$D$12:$AM$244,ROW()-12,FALSE))</f>
        <v>3442</v>
      </c>
      <c r="E19" s="281">
        <f>IF(HLOOKUP(E$13,'MP (nominal)'!$D$12:$AM$244,ROW()-12,FALSE)="","",HLOOKUP(E$13,'MP (nominal)'!$D$12:$AM$244,ROW()-12,FALSE))</f>
        <v>0</v>
      </c>
      <c r="F19" s="27">
        <f>IF(HLOOKUP(F$13,'MP (nominal)'!$D$12:$AM$244,ROW()-12,FALSE)="","",HLOOKUP(F$13,'MP (nominal)'!$D$12:$AM$244,ROW()-12,FALSE))</f>
        <v>618</v>
      </c>
      <c r="G19" s="281">
        <f>IF(HLOOKUP(G$13,'MP (nominal)'!$D$12:$AM$244,ROW()-12,FALSE)="","",HLOOKUP(G$13,'MP (nominal)'!$D$12:$AM$244,ROW()-12,FALSE))</f>
        <v>0</v>
      </c>
      <c r="H19" s="27">
        <f>IF(HLOOKUP(H$13,'MP (nominal)'!$D$12:$AM$244,ROW()-12,FALSE)="","",HLOOKUP(H$13,'MP (nominal)'!$D$12:$AM$244,ROW()-12,FALSE))</f>
        <v>4060</v>
      </c>
      <c r="I19" s="31">
        <f>IF(HLOOKUP(I$13,'MP (nominal)'!$D$12:$AM$244,ROW()-12,FALSE)="","",HLOOKUP(I$13,'MP (nominal)'!$D$12:$AM$244,ROW()-12,FALSE))</f>
        <v>0</v>
      </c>
      <c r="J19" s="31">
        <f>IF(HLOOKUP(J$13,'MP (nominal)'!$D$12:$AM$244,ROW()-12,FALSE)="","",HLOOKUP(J$13,'MP (nominal)'!$D$12:$AM$244,ROW()-12,FALSE))</f>
        <v>3442</v>
      </c>
      <c r="K19" s="281"/>
      <c r="L19" s="27">
        <f>IF(HLOOKUP(L$13,'MP (nominal)'!$D$12:$AM$244,ROW()-12,FALSE)="","",HLOOKUP(L$13,'MP (nominal)'!$D$12:$AM$244,ROW()-12,FALSE))</f>
        <v>130</v>
      </c>
      <c r="M19" s="283">
        <f>IF(HLOOKUP(M$13,'MP (nominal)'!$D$12:$AM$244,ROW()-12,FALSE)="","",HLOOKUP(M$13,'MP (nominal)'!$D$12:$AM$244,ROW()-12,FALSE))</f>
        <v>708.94299999999998</v>
      </c>
      <c r="N19" s="35"/>
      <c r="O19" s="27">
        <f>IF(HLOOKUP(O$13,'MP (nominal)'!$D$12:$AM$244,ROW()-12,FALSE)="","",HLOOKUP(O$13,'MP (nominal)'!$D$12:$AM$244,ROW()-12,FALSE))</f>
        <v>30267</v>
      </c>
      <c r="P19" s="31"/>
      <c r="Q19" s="281"/>
      <c r="R19" s="281">
        <f>IF(HLOOKUP(R$13,'MP (nominal)'!$D$12:$AM$244,ROW()-12,FALSE)="","",HLOOKUP(R$13,'MP (nominal)'!$D$12:$AM$244,ROW()-12,FALSE))</f>
        <v>200.94251</v>
      </c>
      <c r="S19" s="281">
        <f>IF(HLOOKUP(S$13,'MP (nominal)'!$D$12:$AM$244,ROW()-12,FALSE)="","",HLOOKUP(S$13,'MP (nominal)'!$D$12:$AM$244,ROW()-12,FALSE))</f>
        <v>82.810298000000003</v>
      </c>
      <c r="T19" s="281">
        <f>IF(HLOOKUP(T$13,'MP (nominal)'!$D$12:$AM$244,ROW()-12,FALSE)="","",HLOOKUP(T$13,'MP (nominal)'!$D$12:$AM$244,ROW()-12,FALSE))</f>
        <v>118.13221</v>
      </c>
      <c r="U19" s="281"/>
      <c r="V19" s="281">
        <f>IF(HLOOKUP(V$13,'MP (nominal)'!$D$12:$AM$244,ROW()-12,FALSE)="","",HLOOKUP(V$13,'MP (nominal)'!$D$12:$AM$244,ROW()-12,FALSE))</f>
        <v>1.6919846999999999</v>
      </c>
      <c r="W19" s="281">
        <f>IF(HLOOKUP(W$13,'MP (nominal)'!$D$12:$AM$244,ROW()-12,FALSE)="","",HLOOKUP(W$13,'MP (nominal)'!$D$12:$AM$244,ROW()-12,FALSE))</f>
        <v>0.36250624999999997</v>
      </c>
      <c r="X19" s="281">
        <f>IF(HLOOKUP(X$13,'MP (nominal)'!$D$12:$AM$244,ROW()-12,FALSE)="","",HLOOKUP(X$13,'MP (nominal)'!$D$12:$AM$244,ROW()-12,FALSE))</f>
        <v>1.3294783999999999</v>
      </c>
      <c r="Y19" s="281"/>
      <c r="Z19" s="281">
        <f>IF(HLOOKUP(Z$13,'MP (nominal)'!$D$12:$AM$244,ROW()-12,FALSE)="","",HLOOKUP(Z$13,'MP (nominal)'!$D$12:$AM$244,ROW()-12,FALSE)*VLOOKUP($C19,CPI!$B$9:$I$63,8))</f>
        <v>1046.399341066648</v>
      </c>
      <c r="AA19" s="281">
        <f>IF(HLOOKUP(AA$13,'MP (nominal)'!$D$12:$AM$244,ROW()-12,FALSE)="","",HLOOKUP(AA$13,'MP (nominal)'!$D$12:$AM$244,ROW()-12,FALSE))</f>
        <v>20023</v>
      </c>
      <c r="AB19" s="281">
        <f>IF(HLOOKUP(AB$13,'MP (nominal)'!$D$12:$AM$244,ROW()-12,FALSE)="","",HLOOKUP(AB$13,'MP (nominal)'!$D$12:$AM$244,ROW()-12,FALSE))</f>
        <v>4128</v>
      </c>
      <c r="AC19" s="281"/>
      <c r="AD19" s="281">
        <f>IF(HLOOKUP(AD$13,'MP (nominal)'!$D$12:$AM$244,ROW()-12,FALSE)="","",HLOOKUP(AD$13,'MP (nominal)'!$D$12:$AM$244,ROW()-12,FALSE)*VLOOKUP($C19,CPI!$B$9:$I$63,8))</f>
        <v>21884.071933557549</v>
      </c>
      <c r="AE19" s="31">
        <f>IF(HLOOKUP(AE$13,'MP (nominal)'!$D$12:$AM$244,ROW()-12,FALSE)="","",HLOOKUP(AE$13,'MP (nominal)'!$D$12:$AM$244,ROW()-12,FALSE))</f>
        <v>362689</v>
      </c>
      <c r="AF19" s="31">
        <f>IF(HLOOKUP(AF$13,'MP (nominal)'!$D$12:$AM$244,ROW()-12,FALSE)="","",HLOOKUP(AF$13,'MP (nominal)'!$D$12:$AM$244,ROW()-12,FALSE))</f>
        <v>25982</v>
      </c>
      <c r="AG19" s="281"/>
      <c r="AH19" s="281">
        <f>IF(HLOOKUP(AH$13,'MP (nominal)'!$D$12:$AM$244,ROW()-12,FALSE)="","",HLOOKUP(AH$13,'MP (nominal)'!$D$12:$AM$244,ROW()-12,FALSE)*VLOOKUP($C19,CPI!$B$9:$I$63,8))</f>
        <v>4812.6064932390682</v>
      </c>
      <c r="AI19" s="31">
        <f>IF(HLOOKUP(AI$13,'MP (nominal)'!$D$12:$AM$244,ROW()-12,FALSE)="","",HLOOKUP(AI$13,'MP (nominal)'!$D$12:$AM$244,ROW()-12,FALSE))</f>
        <v>151719</v>
      </c>
      <c r="AJ19" s="31">
        <f>IF(HLOOKUP(AJ$13,'MP (nominal)'!$D$12:$AM$244,ROW()-12,FALSE)="","",HLOOKUP(AJ$13,'MP (nominal)'!$D$12:$AM$244,ROW()-12,FALSE))</f>
        <v>152</v>
      </c>
      <c r="AK19" s="281"/>
      <c r="AL19" s="281">
        <f>IF(HLOOKUP(AL$13,'MP (nominal)'!$D$12:$AM$244,ROW()-12,FALSE)="","",HLOOKUP(AL$13,'MP (nominal)'!$D$12:$AM$244,ROW()-12,FALSE)*VLOOKUP($C19,CPI!$B$9:$I$63,8))</f>
        <v>3532.6358706843289</v>
      </c>
      <c r="AM19" s="31">
        <f>IF(HLOOKUP(AM$13,'MP (nominal)'!$D$12:$AM$244,ROW()-12,FALSE)="","",HLOOKUP(AM$13,'MP (nominal)'!$D$12:$AM$244,ROW()-12,FALSE))</f>
        <v>174512</v>
      </c>
      <c r="AN19" s="31">
        <f>IF(HLOOKUP(AN$13,'MP (nominal)'!$D$12:$AM$244,ROW()-12,FALSE)="","",HLOOKUP(AN$13,'MP (nominal)'!$D$12:$AM$244,ROW()-12,FALSE))</f>
        <v>5</v>
      </c>
      <c r="AO19" s="281"/>
      <c r="AP19" s="281">
        <f>IF(HLOOKUP(AP$13,'MP (nominal)'!$D$12:$AM$244,ROW()-12,FALSE)="","",HLOOKUP(AP$13,'MP (nominal)'!$D$12:$AM$244,ROW()-12,FALSE)*VLOOKUP($C19,CPI!$B$9:$I$63,8))</f>
        <v>31275.713638547593</v>
      </c>
      <c r="AQ19" s="31">
        <f>IF(HLOOKUP(AQ$13,'MP (nominal)'!$D$12:$AM$244,ROW()-12,FALSE)="","",HLOOKUP(AQ$13,'MP (nominal)'!$D$12:$AM$244,ROW()-12,FALSE))</f>
        <v>708943</v>
      </c>
      <c r="AR19" s="281">
        <f>IF(HLOOKUP(AR$13,'MP (nominal)'!$D$12:$AM$244,ROW()-12,FALSE)="","",HLOOKUP(AR$13,'MP (nominal)'!$D$12:$AM$244,ROW()-12,FALSE))</f>
        <v>30267</v>
      </c>
    </row>
    <row r="20" spans="1:44" s="278" customFormat="1">
      <c r="A20" s="271">
        <f>References!I258</f>
        <v>7</v>
      </c>
      <c r="B20" s="292" t="s">
        <v>29</v>
      </c>
      <c r="C20" s="284">
        <v>2010</v>
      </c>
      <c r="D20" s="27">
        <f>IF(HLOOKUP(D$13,'MP (nominal)'!$D$12:$AM$244,ROW()-12,FALSE)="","",HLOOKUP(D$13,'MP (nominal)'!$D$12:$AM$244,ROW()-12,FALSE))</f>
        <v>3455</v>
      </c>
      <c r="E20" s="281">
        <f>IF(HLOOKUP(E$13,'MP (nominal)'!$D$12:$AM$244,ROW()-12,FALSE)="","",HLOOKUP(E$13,'MP (nominal)'!$D$12:$AM$244,ROW()-12,FALSE))</f>
        <v>0</v>
      </c>
      <c r="F20" s="27">
        <f>IF(HLOOKUP(F$13,'MP (nominal)'!$D$12:$AM$244,ROW()-12,FALSE)="","",HLOOKUP(F$13,'MP (nominal)'!$D$12:$AM$244,ROW()-12,FALSE))</f>
        <v>651</v>
      </c>
      <c r="G20" s="281">
        <f>IF(HLOOKUP(G$13,'MP (nominal)'!$D$12:$AM$244,ROW()-12,FALSE)="","",HLOOKUP(G$13,'MP (nominal)'!$D$12:$AM$244,ROW()-12,FALSE))</f>
        <v>0</v>
      </c>
      <c r="H20" s="27">
        <f>IF(HLOOKUP(H$13,'MP (nominal)'!$D$12:$AM$244,ROW()-12,FALSE)="","",HLOOKUP(H$13,'MP (nominal)'!$D$12:$AM$244,ROW()-12,FALSE))</f>
        <v>4106</v>
      </c>
      <c r="I20" s="31">
        <f>IF(HLOOKUP(I$13,'MP (nominal)'!$D$12:$AM$244,ROW()-12,FALSE)="","",HLOOKUP(I$13,'MP (nominal)'!$D$12:$AM$244,ROW()-12,FALSE))</f>
        <v>0</v>
      </c>
      <c r="J20" s="31">
        <f>IF(HLOOKUP(J$13,'MP (nominal)'!$D$12:$AM$244,ROW()-12,FALSE)="","",HLOOKUP(J$13,'MP (nominal)'!$D$12:$AM$244,ROW()-12,FALSE))</f>
        <v>3455</v>
      </c>
      <c r="K20" s="281"/>
      <c r="L20" s="27">
        <f>IF(HLOOKUP(L$13,'MP (nominal)'!$D$12:$AM$244,ROW()-12,FALSE)="","",HLOOKUP(L$13,'MP (nominal)'!$D$12:$AM$244,ROW()-12,FALSE))</f>
        <v>123</v>
      </c>
      <c r="M20" s="283">
        <f>IF(HLOOKUP(M$13,'MP (nominal)'!$D$12:$AM$244,ROW()-12,FALSE)="","",HLOOKUP(M$13,'MP (nominal)'!$D$12:$AM$244,ROW()-12,FALSE))</f>
        <v>727.48900000000003</v>
      </c>
      <c r="N20" s="35"/>
      <c r="O20" s="27">
        <f>IF(HLOOKUP(O$13,'MP (nominal)'!$D$12:$AM$244,ROW()-12,FALSE)="","",HLOOKUP(O$13,'MP (nominal)'!$D$12:$AM$244,ROW()-12,FALSE))</f>
        <v>30615</v>
      </c>
      <c r="P20" s="31"/>
      <c r="Q20" s="281"/>
      <c r="R20" s="281">
        <f>IF(HLOOKUP(R$13,'MP (nominal)'!$D$12:$AM$244,ROW()-12,FALSE)="","",HLOOKUP(R$13,'MP (nominal)'!$D$12:$AM$244,ROW()-12,FALSE))</f>
        <v>332.37</v>
      </c>
      <c r="S20" s="281">
        <f>IF(HLOOKUP(S$13,'MP (nominal)'!$D$12:$AM$244,ROW()-12,FALSE)="","",HLOOKUP(S$13,'MP (nominal)'!$D$12:$AM$244,ROW()-12,FALSE))</f>
        <v>64.7</v>
      </c>
      <c r="T20" s="281">
        <f>IF(HLOOKUP(T$13,'MP (nominal)'!$D$12:$AM$244,ROW()-12,FALSE)="","",HLOOKUP(T$13,'MP (nominal)'!$D$12:$AM$244,ROW()-12,FALSE))</f>
        <v>267.67</v>
      </c>
      <c r="U20" s="281"/>
      <c r="V20" s="281">
        <f>IF(HLOOKUP(V$13,'MP (nominal)'!$D$12:$AM$244,ROW()-12,FALSE)="","",HLOOKUP(V$13,'MP (nominal)'!$D$12:$AM$244,ROW()-12,FALSE))</f>
        <v>2.1800000000000002</v>
      </c>
      <c r="W20" s="281">
        <f>IF(HLOOKUP(W$13,'MP (nominal)'!$D$12:$AM$244,ROW()-12,FALSE)="","",HLOOKUP(W$13,'MP (nominal)'!$D$12:$AM$244,ROW()-12,FALSE))</f>
        <v>0.35</v>
      </c>
      <c r="X20" s="281">
        <f>IF(HLOOKUP(X$13,'MP (nominal)'!$D$12:$AM$244,ROW()-12,FALSE)="","",HLOOKUP(X$13,'MP (nominal)'!$D$12:$AM$244,ROW()-12,FALSE))</f>
        <v>1.83</v>
      </c>
      <c r="Y20" s="281"/>
      <c r="Z20" s="281">
        <f>IF(HLOOKUP(Z$13,'MP (nominal)'!$D$12:$AM$244,ROW()-12,FALSE)="","",HLOOKUP(Z$13,'MP (nominal)'!$D$12:$AM$244,ROW()-12,FALSE)*VLOOKUP($C20,CPI!$B$9:$I$63,8))</f>
        <v>1641.3438064185818</v>
      </c>
      <c r="AA20" s="281">
        <f>IF(HLOOKUP(AA$13,'MP (nominal)'!$D$12:$AM$244,ROW()-12,FALSE)="","",HLOOKUP(AA$13,'MP (nominal)'!$D$12:$AM$244,ROW()-12,FALSE))</f>
        <v>24218</v>
      </c>
      <c r="AB20" s="281">
        <f>IF(HLOOKUP(AB$13,'MP (nominal)'!$D$12:$AM$244,ROW()-12,FALSE)="","",HLOOKUP(AB$13,'MP (nominal)'!$D$12:$AM$244,ROW()-12,FALSE))</f>
        <v>4856</v>
      </c>
      <c r="AC20" s="281"/>
      <c r="AD20" s="281">
        <f>IF(HLOOKUP(AD$13,'MP (nominal)'!$D$12:$AM$244,ROW()-12,FALSE)="","",HLOOKUP(AD$13,'MP (nominal)'!$D$12:$AM$244,ROW()-12,FALSE)*VLOOKUP($C20,CPI!$B$9:$I$63,8))</f>
        <v>22778.102718870414</v>
      </c>
      <c r="AE20" s="31">
        <f>IF(HLOOKUP(AE$13,'MP (nominal)'!$D$12:$AM$244,ROW()-12,FALSE)="","",HLOOKUP(AE$13,'MP (nominal)'!$D$12:$AM$244,ROW()-12,FALSE))</f>
        <v>377727</v>
      </c>
      <c r="AF20" s="31">
        <f>IF(HLOOKUP(AF$13,'MP (nominal)'!$D$12:$AM$244,ROW()-12,FALSE)="","",HLOOKUP(AF$13,'MP (nominal)'!$D$12:$AM$244,ROW()-12,FALSE))</f>
        <v>25606</v>
      </c>
      <c r="AG20" s="281"/>
      <c r="AH20" s="281">
        <f>IF(HLOOKUP(AH$13,'MP (nominal)'!$D$12:$AM$244,ROW()-12,FALSE)="","",HLOOKUP(AH$13,'MP (nominal)'!$D$12:$AM$244,ROW()-12,FALSE)*VLOOKUP($C20,CPI!$B$9:$I$63,8))</f>
        <v>5520.0501199105374</v>
      </c>
      <c r="AI20" s="31">
        <f>IF(HLOOKUP(AI$13,'MP (nominal)'!$D$12:$AM$244,ROW()-12,FALSE)="","",HLOOKUP(AI$13,'MP (nominal)'!$D$12:$AM$244,ROW()-12,FALSE))</f>
        <v>154609</v>
      </c>
      <c r="AJ20" s="31">
        <f>IF(HLOOKUP(AJ$13,'MP (nominal)'!$D$12:$AM$244,ROW()-12,FALSE)="","",HLOOKUP(AJ$13,'MP (nominal)'!$D$12:$AM$244,ROW()-12,FALSE))</f>
        <v>148</v>
      </c>
      <c r="AK20" s="281"/>
      <c r="AL20" s="281">
        <f>IF(HLOOKUP(AL$13,'MP (nominal)'!$D$12:$AM$244,ROW()-12,FALSE)="","",HLOOKUP(AL$13,'MP (nominal)'!$D$12:$AM$244,ROW()-12,FALSE)*VLOOKUP($C20,CPI!$B$9:$I$63,8))</f>
        <v>3848.1412519199152</v>
      </c>
      <c r="AM20" s="31">
        <f>IF(HLOOKUP(AM$13,'MP (nominal)'!$D$12:$AM$244,ROW()-12,FALSE)="","",HLOOKUP(AM$13,'MP (nominal)'!$D$12:$AM$244,ROW()-12,FALSE))</f>
        <v>170935</v>
      </c>
      <c r="AN20" s="31">
        <f>IF(HLOOKUP(AN$13,'MP (nominal)'!$D$12:$AM$244,ROW()-12,FALSE)="","",HLOOKUP(AN$13,'MP (nominal)'!$D$12:$AM$244,ROW()-12,FALSE))</f>
        <v>5</v>
      </c>
      <c r="AO20" s="281"/>
      <c r="AP20" s="281">
        <f>IF(HLOOKUP(AP$13,'MP (nominal)'!$D$12:$AM$244,ROW()-12,FALSE)="","",HLOOKUP(AP$13,'MP (nominal)'!$D$12:$AM$244,ROW()-12,FALSE)*VLOOKUP($C20,CPI!$B$9:$I$63,8))</f>
        <v>33787.63789711945</v>
      </c>
      <c r="AQ20" s="31">
        <f>IF(HLOOKUP(AQ$13,'MP (nominal)'!$D$12:$AM$244,ROW()-12,FALSE)="","",HLOOKUP(AQ$13,'MP (nominal)'!$D$12:$AM$244,ROW()-12,FALSE))</f>
        <v>727489</v>
      </c>
      <c r="AR20" s="281">
        <f>IF(HLOOKUP(AR$13,'MP (nominal)'!$D$12:$AM$244,ROW()-12,FALSE)="","",HLOOKUP(AR$13,'MP (nominal)'!$D$12:$AM$244,ROW()-12,FALSE))</f>
        <v>30615</v>
      </c>
    </row>
    <row r="21" spans="1:44" s="278" customFormat="1">
      <c r="A21" s="271">
        <f>References!J258</f>
        <v>8</v>
      </c>
      <c r="B21" s="292" t="s">
        <v>29</v>
      </c>
      <c r="C21" s="284">
        <v>2011</v>
      </c>
      <c r="D21" s="27">
        <f>IF(HLOOKUP(D$13,'MP (nominal)'!$D$12:$AM$244,ROW()-12,FALSE)="","",HLOOKUP(D$13,'MP (nominal)'!$D$12:$AM$244,ROW()-12,FALSE))</f>
        <v>3454</v>
      </c>
      <c r="E21" s="281">
        <f>IF(HLOOKUP(E$13,'MP (nominal)'!$D$12:$AM$244,ROW()-12,FALSE)="","",HLOOKUP(E$13,'MP (nominal)'!$D$12:$AM$244,ROW()-12,FALSE))</f>
        <v>0</v>
      </c>
      <c r="F21" s="27">
        <f>IF(HLOOKUP(F$13,'MP (nominal)'!$D$12:$AM$244,ROW()-12,FALSE)="","",HLOOKUP(F$13,'MP (nominal)'!$D$12:$AM$244,ROW()-12,FALSE))</f>
        <v>666</v>
      </c>
      <c r="G21" s="281">
        <f>IF(HLOOKUP(G$13,'MP (nominal)'!$D$12:$AM$244,ROW()-12,FALSE)="","",HLOOKUP(G$13,'MP (nominal)'!$D$12:$AM$244,ROW()-12,FALSE))</f>
        <v>0</v>
      </c>
      <c r="H21" s="27">
        <f>IF(HLOOKUP(H$13,'MP (nominal)'!$D$12:$AM$244,ROW()-12,FALSE)="","",HLOOKUP(H$13,'MP (nominal)'!$D$12:$AM$244,ROW()-12,FALSE))</f>
        <v>4120</v>
      </c>
      <c r="I21" s="31">
        <f>IF(HLOOKUP(I$13,'MP (nominal)'!$D$12:$AM$244,ROW()-12,FALSE)="","",HLOOKUP(I$13,'MP (nominal)'!$D$12:$AM$244,ROW()-12,FALSE))</f>
        <v>0</v>
      </c>
      <c r="J21" s="31">
        <f>IF(HLOOKUP(J$13,'MP (nominal)'!$D$12:$AM$244,ROW()-12,FALSE)="","",HLOOKUP(J$13,'MP (nominal)'!$D$12:$AM$244,ROW()-12,FALSE))</f>
        <v>3454</v>
      </c>
      <c r="K21" s="281"/>
      <c r="L21" s="27">
        <f>IF(HLOOKUP(L$13,'MP (nominal)'!$D$12:$AM$244,ROW()-12,FALSE)="","",HLOOKUP(L$13,'MP (nominal)'!$D$12:$AM$244,ROW()-12,FALSE))</f>
        <v>121.91800000000001</v>
      </c>
      <c r="M21" s="283">
        <f>IF(HLOOKUP(M$13,'MP (nominal)'!$D$12:$AM$244,ROW()-12,FALSE)="","",HLOOKUP(M$13,'MP (nominal)'!$D$12:$AM$244,ROW()-12,FALSE))</f>
        <v>716.88900000000001</v>
      </c>
      <c r="N21" s="35"/>
      <c r="O21" s="27">
        <f>IF(HLOOKUP(O$13,'MP (nominal)'!$D$12:$AM$244,ROW()-12,FALSE)="","",HLOOKUP(O$13,'MP (nominal)'!$D$12:$AM$244,ROW()-12,FALSE))</f>
        <v>30826</v>
      </c>
      <c r="P21" s="31"/>
      <c r="Q21" s="281"/>
      <c r="R21" s="281">
        <f>IF(HLOOKUP(R$13,'MP (nominal)'!$D$12:$AM$244,ROW()-12,FALSE)="","",HLOOKUP(R$13,'MP (nominal)'!$D$12:$AM$244,ROW()-12,FALSE))</f>
        <v>225.92</v>
      </c>
      <c r="S21" s="281">
        <f>IF(HLOOKUP(S$13,'MP (nominal)'!$D$12:$AM$244,ROW()-12,FALSE)="","",HLOOKUP(S$13,'MP (nominal)'!$D$12:$AM$244,ROW()-12,FALSE))</f>
        <v>62.25</v>
      </c>
      <c r="T21" s="281">
        <f>IF(HLOOKUP(T$13,'MP (nominal)'!$D$12:$AM$244,ROW()-12,FALSE)="","",HLOOKUP(T$13,'MP (nominal)'!$D$12:$AM$244,ROW()-12,FALSE))</f>
        <v>163.28</v>
      </c>
      <c r="U21" s="281"/>
      <c r="V21" s="281">
        <f>IF(HLOOKUP(V$13,'MP (nominal)'!$D$12:$AM$244,ROW()-12,FALSE)="","",HLOOKUP(V$13,'MP (nominal)'!$D$12:$AM$244,ROW()-12,FALSE))</f>
        <v>1.71</v>
      </c>
      <c r="W21" s="281">
        <f>IF(HLOOKUP(W$13,'MP (nominal)'!$D$12:$AM$244,ROW()-12,FALSE)="","",HLOOKUP(W$13,'MP (nominal)'!$D$12:$AM$244,ROW()-12,FALSE))</f>
        <v>0.27</v>
      </c>
      <c r="X21" s="281">
        <f>IF(HLOOKUP(X$13,'MP (nominal)'!$D$12:$AM$244,ROW()-12,FALSE)="","",HLOOKUP(X$13,'MP (nominal)'!$D$12:$AM$244,ROW()-12,FALSE))</f>
        <v>1.43</v>
      </c>
      <c r="Y21" s="281"/>
      <c r="Z21" s="281">
        <f>IF(HLOOKUP(Z$13,'MP (nominal)'!$D$12:$AM$244,ROW()-12,FALSE)="","",HLOOKUP(Z$13,'MP (nominal)'!$D$12:$AM$244,ROW()-12,FALSE)*VLOOKUP($C21,CPI!$B$9:$I$63,8))</f>
        <v>1847.954</v>
      </c>
      <c r="AA21" s="281">
        <f>IF(HLOOKUP(AA$13,'MP (nominal)'!$D$12:$AM$244,ROW()-12,FALSE)="","",HLOOKUP(AA$13,'MP (nominal)'!$D$12:$AM$244,ROW()-12,FALSE))</f>
        <v>29591</v>
      </c>
      <c r="AB21" s="281">
        <f>IF(HLOOKUP(AB$13,'MP (nominal)'!$D$12:$AM$244,ROW()-12,FALSE)="","",HLOOKUP(AB$13,'MP (nominal)'!$D$12:$AM$244,ROW()-12,FALSE))</f>
        <v>5718</v>
      </c>
      <c r="AC21" s="281"/>
      <c r="AD21" s="281">
        <f>IF(HLOOKUP(AD$13,'MP (nominal)'!$D$12:$AM$244,ROW()-12,FALSE)="","",HLOOKUP(AD$13,'MP (nominal)'!$D$12:$AM$244,ROW()-12,FALSE)*VLOOKUP($C21,CPI!$B$9:$I$63,8))</f>
        <v>22952.894</v>
      </c>
      <c r="AE21" s="31">
        <f>IF(HLOOKUP(AE$13,'MP (nominal)'!$D$12:$AM$244,ROW()-12,FALSE)="","",HLOOKUP(AE$13,'MP (nominal)'!$D$12:$AM$244,ROW()-12,FALSE))</f>
        <v>379675</v>
      </c>
      <c r="AF21" s="31">
        <f>IF(HLOOKUP(AF$13,'MP (nominal)'!$D$12:$AM$244,ROW()-12,FALSE)="","",HLOOKUP(AF$13,'MP (nominal)'!$D$12:$AM$244,ROW()-12,FALSE))</f>
        <v>24960</v>
      </c>
      <c r="AG21" s="281"/>
      <c r="AH21" s="281">
        <f>IF(HLOOKUP(AH$13,'MP (nominal)'!$D$12:$AM$244,ROW()-12,FALSE)="","",HLOOKUP(AH$13,'MP (nominal)'!$D$12:$AM$244,ROW()-12,FALSE)*VLOOKUP($C21,CPI!$B$9:$I$63,8))</f>
        <v>4675.4040000000005</v>
      </c>
      <c r="AI21" s="31">
        <f>IF(HLOOKUP(AI$13,'MP (nominal)'!$D$12:$AM$244,ROW()-12,FALSE)="","",HLOOKUP(AI$13,'MP (nominal)'!$D$12:$AM$244,ROW()-12,FALSE))</f>
        <v>135829</v>
      </c>
      <c r="AJ21" s="31">
        <f>IF(HLOOKUP(AJ$13,'MP (nominal)'!$D$12:$AM$244,ROW()-12,FALSE)="","",HLOOKUP(AJ$13,'MP (nominal)'!$D$12:$AM$244,ROW()-12,FALSE))</f>
        <v>143</v>
      </c>
      <c r="AK21" s="281"/>
      <c r="AL21" s="281">
        <f>IF(HLOOKUP(AL$13,'MP (nominal)'!$D$12:$AM$244,ROW()-12,FALSE)="","",HLOOKUP(AL$13,'MP (nominal)'!$D$12:$AM$244,ROW()-12,FALSE)*VLOOKUP($C21,CPI!$B$9:$I$63,8))</f>
        <v>3701.3589999999999</v>
      </c>
      <c r="AM21" s="31">
        <f>IF(HLOOKUP(AM$13,'MP (nominal)'!$D$12:$AM$244,ROW()-12,FALSE)="","",HLOOKUP(AM$13,'MP (nominal)'!$D$12:$AM$244,ROW()-12,FALSE))</f>
        <v>171794</v>
      </c>
      <c r="AN21" s="31">
        <f>IF(HLOOKUP(AN$13,'MP (nominal)'!$D$12:$AM$244,ROW()-12,FALSE)="","",HLOOKUP(AN$13,'MP (nominal)'!$D$12:$AM$244,ROW()-12,FALSE))</f>
        <v>5</v>
      </c>
      <c r="AO21" s="281"/>
      <c r="AP21" s="281">
        <f>IF(HLOOKUP(AP$13,'MP (nominal)'!$D$12:$AM$244,ROW()-12,FALSE)="","",HLOOKUP(AP$13,'MP (nominal)'!$D$12:$AM$244,ROW()-12,FALSE)*VLOOKUP($C21,CPI!$B$9:$I$63,8))</f>
        <v>33177.610999999997</v>
      </c>
      <c r="AQ21" s="31">
        <f>IF(HLOOKUP(AQ$13,'MP (nominal)'!$D$12:$AM$244,ROW()-12,FALSE)="","",HLOOKUP(AQ$13,'MP (nominal)'!$D$12:$AM$244,ROW()-12,FALSE))</f>
        <v>716889</v>
      </c>
      <c r="AR21" s="281">
        <f>IF(HLOOKUP(AR$13,'MP (nominal)'!$D$12:$AM$244,ROW()-12,FALSE)="","",HLOOKUP(AR$13,'MP (nominal)'!$D$12:$AM$244,ROW()-12,FALSE))</f>
        <v>30826</v>
      </c>
    </row>
    <row r="22" spans="1:44" s="278" customFormat="1" hidden="1">
      <c r="A22" s="271">
        <f>References!C259</f>
        <v>24</v>
      </c>
      <c r="B22" s="292" t="s">
        <v>110</v>
      </c>
      <c r="C22" s="284">
        <v>2004</v>
      </c>
      <c r="D22" s="27" t="str">
        <f>IF(HLOOKUP(D$13,'MP (nominal)'!$D$12:$AM$244,ROW()-12,FALSE)="","",HLOOKUP(D$13,'MP (nominal)'!$D$12:$AM$244,ROW()-12,FALSE))</f>
        <v/>
      </c>
      <c r="E22" s="281" t="str">
        <f>IF(HLOOKUP(E$13,'MP (nominal)'!$D$12:$AM$244,ROW()-12,FALSE)="","",HLOOKUP(E$13,'MP (nominal)'!$D$12:$AM$244,ROW()-12,FALSE))</f>
        <v/>
      </c>
      <c r="F22" s="27">
        <f>IF(HLOOKUP(F$13,'MP (nominal)'!$D$12:$AM$244,ROW()-12,FALSE)="","",HLOOKUP(F$13,'MP (nominal)'!$D$12:$AM$244,ROW()-12,FALSE))</f>
        <v>1133</v>
      </c>
      <c r="G22" s="281" t="str">
        <f>IF(HLOOKUP(G$13,'MP (nominal)'!$D$12:$AM$244,ROW()-12,FALSE)="","",HLOOKUP(G$13,'MP (nominal)'!$D$12:$AM$244,ROW()-12,FALSE))</f>
        <v/>
      </c>
      <c r="H22" s="27">
        <f>IF(HLOOKUP(H$13,'MP (nominal)'!$D$12:$AM$244,ROW()-12,FALSE)="","",HLOOKUP(H$13,'MP (nominal)'!$D$12:$AM$244,ROW()-12,FALSE))</f>
        <v>5029</v>
      </c>
      <c r="I22" s="31" t="str">
        <f>IF(HLOOKUP(I$13,'MP (nominal)'!$D$12:$AM$244,ROW()-12,FALSE)="","",HLOOKUP(I$13,'MP (nominal)'!$D$12:$AM$244,ROW()-12,FALSE))</f>
        <v/>
      </c>
      <c r="J22" s="31">
        <f>IF(HLOOKUP(J$13,'MP (nominal)'!$D$12:$AM$244,ROW()-12,FALSE)="","",HLOOKUP(J$13,'MP (nominal)'!$D$12:$AM$244,ROW()-12,FALSE))</f>
        <v>3895</v>
      </c>
      <c r="K22" s="281"/>
      <c r="L22" s="27">
        <f>IF(HLOOKUP(L$13,'MP (nominal)'!$D$12:$AM$244,ROW()-12,FALSE)="","",HLOOKUP(L$13,'MP (nominal)'!$D$12:$AM$244,ROW()-12,FALSE))</f>
        <v>246.19</v>
      </c>
      <c r="M22" s="293">
        <f>IF(HLOOKUP(M$13,'MP (nominal)'!$D$12:$AM$244,ROW()-12,FALSE)="","",HLOOKUP(M$13,'MP (nominal)'!$D$12:$AM$244,ROW()-12,FALSE))</f>
        <v>1189.388686</v>
      </c>
      <c r="N22" s="35"/>
      <c r="O22" s="27">
        <f>IF(HLOOKUP(O$13,'MP (nominal)'!$D$12:$AM$244,ROW()-12,FALSE)="","",HLOOKUP(O$13,'MP (nominal)'!$D$12:$AM$244,ROW()-12,FALSE))</f>
        <v>73972</v>
      </c>
      <c r="P22" s="31"/>
      <c r="Q22" s="281"/>
      <c r="R22" s="281">
        <f>IF(HLOOKUP(R$13,'MP (nominal)'!$D$12:$AM$244,ROW()-12,FALSE)="","",HLOOKUP(R$13,'MP (nominal)'!$D$12:$AM$244,ROW()-12,FALSE))</f>
        <v>97.3</v>
      </c>
      <c r="S22" s="281" t="str">
        <f>IF(HLOOKUP(S$13,'MP (nominal)'!$D$12:$AM$244,ROW()-12,FALSE)="","",HLOOKUP(S$13,'MP (nominal)'!$D$12:$AM$244,ROW()-12,FALSE))</f>
        <v/>
      </c>
      <c r="T22" s="281" t="str">
        <f>IF(HLOOKUP(T$13,'MP (nominal)'!$D$12:$AM$244,ROW()-12,FALSE)="","",HLOOKUP(T$13,'MP (nominal)'!$D$12:$AM$244,ROW()-12,FALSE))</f>
        <v/>
      </c>
      <c r="U22" s="281"/>
      <c r="V22" s="281">
        <f>IF(HLOOKUP(V$13,'MP (nominal)'!$D$12:$AM$244,ROW()-12,FALSE)="","",HLOOKUP(V$13,'MP (nominal)'!$D$12:$AM$244,ROW()-12,FALSE))</f>
        <v>1.72</v>
      </c>
      <c r="W22" s="281" t="str">
        <f>IF(HLOOKUP(W$13,'MP (nominal)'!$D$12:$AM$244,ROW()-12,FALSE)="","",HLOOKUP(W$13,'MP (nominal)'!$D$12:$AM$244,ROW()-12,FALSE))</f>
        <v/>
      </c>
      <c r="X22" s="281" t="str">
        <f>IF(HLOOKUP(X$13,'MP (nominal)'!$D$12:$AM$244,ROW()-12,FALSE)="","",HLOOKUP(X$13,'MP (nominal)'!$D$12:$AM$244,ROW()-12,FALSE))</f>
        <v/>
      </c>
      <c r="Y22" s="281"/>
      <c r="Z22" s="281" t="str">
        <f>IF(HLOOKUP(Z$13,'MP (nominal)'!$D$12:$AM$244,ROW()-12,FALSE)="","",HLOOKUP(Z$13,'MP (nominal)'!$D$12:$AM$244,ROW()-12,FALSE)*VLOOKUP($C22,CPI!$B$9:$I$63,8))</f>
        <v/>
      </c>
      <c r="AA22" s="281" t="str">
        <f>IF(HLOOKUP(AA$13,'MP (nominal)'!$D$12:$AM$244,ROW()-12,FALSE)="","",HLOOKUP(AA$13,'MP (nominal)'!$D$12:$AM$244,ROW()-12,FALSE))</f>
        <v/>
      </c>
      <c r="AB22" s="281" t="str">
        <f>IF(HLOOKUP(AB$13,'MP (nominal)'!$D$12:$AM$244,ROW()-12,FALSE)="","",HLOOKUP(AB$13,'MP (nominal)'!$D$12:$AM$244,ROW()-12,FALSE))</f>
        <v/>
      </c>
      <c r="AC22" s="281"/>
      <c r="AD22" s="281" t="str">
        <f>IF(HLOOKUP(AD$13,'MP (nominal)'!$D$12:$AM$244,ROW()-12,FALSE)="","",HLOOKUP(AD$13,'MP (nominal)'!$D$12:$AM$244,ROW()-12,FALSE)*VLOOKUP($C22,CPI!$B$9:$I$63,8))</f>
        <v/>
      </c>
      <c r="AE22" s="31" t="str">
        <f>IF(HLOOKUP(AE$13,'MP (nominal)'!$D$12:$AM$244,ROW()-12,FALSE)="","",HLOOKUP(AE$13,'MP (nominal)'!$D$12:$AM$244,ROW()-12,FALSE))</f>
        <v/>
      </c>
      <c r="AF22" s="31" t="str">
        <f>IF(HLOOKUP(AF$13,'MP (nominal)'!$D$12:$AM$244,ROW()-12,FALSE)="","",HLOOKUP(AF$13,'MP (nominal)'!$D$12:$AM$244,ROW()-12,FALSE))</f>
        <v/>
      </c>
      <c r="AG22" s="281"/>
      <c r="AH22" s="281" t="str">
        <f>IF(HLOOKUP(AH$13,'MP (nominal)'!$D$12:$AM$244,ROW()-12,FALSE)="","",HLOOKUP(AH$13,'MP (nominal)'!$D$12:$AM$244,ROW()-12,FALSE)*VLOOKUP($C22,CPI!$B$9:$I$63,8))</f>
        <v/>
      </c>
      <c r="AI22" s="31" t="str">
        <f>IF(HLOOKUP(AI$13,'MP (nominal)'!$D$12:$AM$244,ROW()-12,FALSE)="","",HLOOKUP(AI$13,'MP (nominal)'!$D$12:$AM$244,ROW()-12,FALSE))</f>
        <v/>
      </c>
      <c r="AJ22" s="31" t="str">
        <f>IF(HLOOKUP(AJ$13,'MP (nominal)'!$D$12:$AM$244,ROW()-12,FALSE)="","",HLOOKUP(AJ$13,'MP (nominal)'!$D$12:$AM$244,ROW()-12,FALSE))</f>
        <v/>
      </c>
      <c r="AK22" s="281"/>
      <c r="AL22" s="281" t="str">
        <f>IF(HLOOKUP(AL$13,'MP (nominal)'!$D$12:$AM$244,ROW()-12,FALSE)="","",HLOOKUP(AL$13,'MP (nominal)'!$D$12:$AM$244,ROW()-12,FALSE)*VLOOKUP($C22,CPI!$B$9:$I$63,8))</f>
        <v/>
      </c>
      <c r="AM22" s="31" t="str">
        <f>IF(HLOOKUP(AM$13,'MP (nominal)'!$D$12:$AM$244,ROW()-12,FALSE)="","",HLOOKUP(AM$13,'MP (nominal)'!$D$12:$AM$244,ROW()-12,FALSE))</f>
        <v/>
      </c>
      <c r="AN22" s="31" t="str">
        <f>IF(HLOOKUP(AN$13,'MP (nominal)'!$D$12:$AM$244,ROW()-12,FALSE)="","",HLOOKUP(AN$13,'MP (nominal)'!$D$12:$AM$244,ROW()-12,FALSE))</f>
        <v/>
      </c>
      <c r="AO22" s="281"/>
      <c r="AP22" s="281" t="str">
        <f>IF(HLOOKUP(AP$13,'MP (nominal)'!$D$12:$AM$244,ROW()-12,FALSE)="","",HLOOKUP(AP$13,'MP (nominal)'!$D$12:$AM$244,ROW()-12,FALSE)*VLOOKUP($C22,CPI!$B$9:$I$63,8))</f>
        <v/>
      </c>
      <c r="AQ22" s="31" t="str">
        <f>IF(HLOOKUP(AQ$13,'MP (nominal)'!$D$12:$AM$244,ROW()-12,FALSE)="","",HLOOKUP(AQ$13,'MP (nominal)'!$D$12:$AM$244,ROW()-12,FALSE))</f>
        <v/>
      </c>
      <c r="AR22" s="281" t="str">
        <f>IF(HLOOKUP(AR$13,'MP (nominal)'!$D$12:$AM$244,ROW()-12,FALSE)="","",HLOOKUP(AR$13,'MP (nominal)'!$D$12:$AM$244,ROW()-12,FALSE))</f>
        <v/>
      </c>
    </row>
    <row r="23" spans="1:44" s="278" customFormat="1" hidden="1">
      <c r="A23" s="271">
        <f>References!D259</f>
        <v>25</v>
      </c>
      <c r="B23" s="292" t="s">
        <v>110</v>
      </c>
      <c r="C23" s="284">
        <v>2005</v>
      </c>
      <c r="D23" s="27" t="str">
        <f>IF(HLOOKUP(D$13,'MP (nominal)'!$D$12:$AM$244,ROW()-12,FALSE)="","",HLOOKUP(D$13,'MP (nominal)'!$D$12:$AM$244,ROW()-12,FALSE))</f>
        <v/>
      </c>
      <c r="E23" s="281" t="str">
        <f>IF(HLOOKUP(E$13,'MP (nominal)'!$D$12:$AM$244,ROW()-12,FALSE)="","",HLOOKUP(E$13,'MP (nominal)'!$D$12:$AM$244,ROW()-12,FALSE))</f>
        <v/>
      </c>
      <c r="F23" s="27">
        <f>IF(HLOOKUP(F$13,'MP (nominal)'!$D$12:$AM$244,ROW()-12,FALSE)="","",HLOOKUP(F$13,'MP (nominal)'!$D$12:$AM$244,ROW()-12,FALSE))</f>
        <v>1228</v>
      </c>
      <c r="G23" s="281" t="str">
        <f>IF(HLOOKUP(G$13,'MP (nominal)'!$D$12:$AM$244,ROW()-12,FALSE)="","",HLOOKUP(G$13,'MP (nominal)'!$D$12:$AM$244,ROW()-12,FALSE))</f>
        <v/>
      </c>
      <c r="H23" s="27">
        <f>IF(HLOOKUP(H$13,'MP (nominal)'!$D$12:$AM$244,ROW()-12,FALSE)="","",HLOOKUP(H$13,'MP (nominal)'!$D$12:$AM$244,ROW()-12,FALSE))</f>
        <v>5149</v>
      </c>
      <c r="I23" s="31" t="str">
        <f>IF(HLOOKUP(I$13,'MP (nominal)'!$D$12:$AM$244,ROW()-12,FALSE)="","",HLOOKUP(I$13,'MP (nominal)'!$D$12:$AM$244,ROW()-12,FALSE))</f>
        <v/>
      </c>
      <c r="J23" s="31">
        <f>IF(HLOOKUP(J$13,'MP (nominal)'!$D$12:$AM$244,ROW()-12,FALSE)="","",HLOOKUP(J$13,'MP (nominal)'!$D$12:$AM$244,ROW()-12,FALSE))</f>
        <v>3922</v>
      </c>
      <c r="K23" s="281"/>
      <c r="L23" s="27">
        <f>IF(HLOOKUP(L$13,'MP (nominal)'!$D$12:$AM$244,ROW()-12,FALSE)="","",HLOOKUP(L$13,'MP (nominal)'!$D$12:$AM$244,ROW()-12,FALSE))</f>
        <v>266.85899999999998</v>
      </c>
      <c r="M23" s="293">
        <f>IF(HLOOKUP(M$13,'MP (nominal)'!$D$12:$AM$244,ROW()-12,FALSE)="","",HLOOKUP(M$13,'MP (nominal)'!$D$12:$AM$244,ROW()-12,FALSE))</f>
        <v>1262.6247550000001</v>
      </c>
      <c r="N23" s="35"/>
      <c r="O23" s="27">
        <f>IF(HLOOKUP(O$13,'MP (nominal)'!$D$12:$AM$244,ROW()-12,FALSE)="","",HLOOKUP(O$13,'MP (nominal)'!$D$12:$AM$244,ROW()-12,FALSE))</f>
        <v>75117</v>
      </c>
      <c r="P23" s="31"/>
      <c r="Q23" s="281"/>
      <c r="R23" s="281">
        <f>IF(HLOOKUP(R$13,'MP (nominal)'!$D$12:$AM$244,ROW()-12,FALSE)="","",HLOOKUP(R$13,'MP (nominal)'!$D$12:$AM$244,ROW()-12,FALSE))</f>
        <v>80.5</v>
      </c>
      <c r="S23" s="281" t="str">
        <f>IF(HLOOKUP(S$13,'MP (nominal)'!$D$12:$AM$244,ROW()-12,FALSE)="","",HLOOKUP(S$13,'MP (nominal)'!$D$12:$AM$244,ROW()-12,FALSE))</f>
        <v/>
      </c>
      <c r="T23" s="281" t="str">
        <f>IF(HLOOKUP(T$13,'MP (nominal)'!$D$12:$AM$244,ROW()-12,FALSE)="","",HLOOKUP(T$13,'MP (nominal)'!$D$12:$AM$244,ROW()-12,FALSE))</f>
        <v/>
      </c>
      <c r="U23" s="281"/>
      <c r="V23" s="281">
        <f>IF(HLOOKUP(V$13,'MP (nominal)'!$D$12:$AM$244,ROW()-12,FALSE)="","",HLOOKUP(V$13,'MP (nominal)'!$D$12:$AM$244,ROW()-12,FALSE))</f>
        <v>1.46</v>
      </c>
      <c r="W23" s="281" t="str">
        <f>IF(HLOOKUP(W$13,'MP (nominal)'!$D$12:$AM$244,ROW()-12,FALSE)="","",HLOOKUP(W$13,'MP (nominal)'!$D$12:$AM$244,ROW()-12,FALSE))</f>
        <v/>
      </c>
      <c r="X23" s="281" t="str">
        <f>IF(HLOOKUP(X$13,'MP (nominal)'!$D$12:$AM$244,ROW()-12,FALSE)="","",HLOOKUP(X$13,'MP (nominal)'!$D$12:$AM$244,ROW()-12,FALSE))</f>
        <v/>
      </c>
      <c r="Y23" s="281"/>
      <c r="Z23" s="281" t="str">
        <f>IF(HLOOKUP(Z$13,'MP (nominal)'!$D$12:$AM$244,ROW()-12,FALSE)="","",HLOOKUP(Z$13,'MP (nominal)'!$D$12:$AM$244,ROW()-12,FALSE)*VLOOKUP($C23,CPI!$B$9:$I$63,8))</f>
        <v/>
      </c>
      <c r="AA23" s="281" t="str">
        <f>IF(HLOOKUP(AA$13,'MP (nominal)'!$D$12:$AM$244,ROW()-12,FALSE)="","",HLOOKUP(AA$13,'MP (nominal)'!$D$12:$AM$244,ROW()-12,FALSE))</f>
        <v/>
      </c>
      <c r="AB23" s="281" t="str">
        <f>IF(HLOOKUP(AB$13,'MP (nominal)'!$D$12:$AM$244,ROW()-12,FALSE)="","",HLOOKUP(AB$13,'MP (nominal)'!$D$12:$AM$244,ROW()-12,FALSE))</f>
        <v/>
      </c>
      <c r="AC23" s="281"/>
      <c r="AD23" s="281" t="str">
        <f>IF(HLOOKUP(AD$13,'MP (nominal)'!$D$12:$AM$244,ROW()-12,FALSE)="","",HLOOKUP(AD$13,'MP (nominal)'!$D$12:$AM$244,ROW()-12,FALSE)*VLOOKUP($C23,CPI!$B$9:$I$63,8))</f>
        <v/>
      </c>
      <c r="AE23" s="31" t="str">
        <f>IF(HLOOKUP(AE$13,'MP (nominal)'!$D$12:$AM$244,ROW()-12,FALSE)="","",HLOOKUP(AE$13,'MP (nominal)'!$D$12:$AM$244,ROW()-12,FALSE))</f>
        <v/>
      </c>
      <c r="AF23" s="31" t="str">
        <f>IF(HLOOKUP(AF$13,'MP (nominal)'!$D$12:$AM$244,ROW()-12,FALSE)="","",HLOOKUP(AF$13,'MP (nominal)'!$D$12:$AM$244,ROW()-12,FALSE))</f>
        <v/>
      </c>
      <c r="AG23" s="281"/>
      <c r="AH23" s="281" t="str">
        <f>IF(HLOOKUP(AH$13,'MP (nominal)'!$D$12:$AM$244,ROW()-12,FALSE)="","",HLOOKUP(AH$13,'MP (nominal)'!$D$12:$AM$244,ROW()-12,FALSE)*VLOOKUP($C23,CPI!$B$9:$I$63,8))</f>
        <v/>
      </c>
      <c r="AI23" s="31" t="str">
        <f>IF(HLOOKUP(AI$13,'MP (nominal)'!$D$12:$AM$244,ROW()-12,FALSE)="","",HLOOKUP(AI$13,'MP (nominal)'!$D$12:$AM$244,ROW()-12,FALSE))</f>
        <v/>
      </c>
      <c r="AJ23" s="31" t="str">
        <f>IF(HLOOKUP(AJ$13,'MP (nominal)'!$D$12:$AM$244,ROW()-12,FALSE)="","",HLOOKUP(AJ$13,'MP (nominal)'!$D$12:$AM$244,ROW()-12,FALSE))</f>
        <v/>
      </c>
      <c r="AK23" s="281"/>
      <c r="AL23" s="281" t="str">
        <f>IF(HLOOKUP(AL$13,'MP (nominal)'!$D$12:$AM$244,ROW()-12,FALSE)="","",HLOOKUP(AL$13,'MP (nominal)'!$D$12:$AM$244,ROW()-12,FALSE)*VLOOKUP($C23,CPI!$B$9:$I$63,8))</f>
        <v/>
      </c>
      <c r="AM23" s="31" t="str">
        <f>IF(HLOOKUP(AM$13,'MP (nominal)'!$D$12:$AM$244,ROW()-12,FALSE)="","",HLOOKUP(AM$13,'MP (nominal)'!$D$12:$AM$244,ROW()-12,FALSE))</f>
        <v/>
      </c>
      <c r="AN23" s="31" t="str">
        <f>IF(HLOOKUP(AN$13,'MP (nominal)'!$D$12:$AM$244,ROW()-12,FALSE)="","",HLOOKUP(AN$13,'MP (nominal)'!$D$12:$AM$244,ROW()-12,FALSE))</f>
        <v/>
      </c>
      <c r="AO23" s="281"/>
      <c r="AP23" s="281" t="str">
        <f>IF(HLOOKUP(AP$13,'MP (nominal)'!$D$12:$AM$244,ROW()-12,FALSE)="","",HLOOKUP(AP$13,'MP (nominal)'!$D$12:$AM$244,ROW()-12,FALSE)*VLOOKUP($C23,CPI!$B$9:$I$63,8))</f>
        <v/>
      </c>
      <c r="AQ23" s="31" t="str">
        <f>IF(HLOOKUP(AQ$13,'MP (nominal)'!$D$12:$AM$244,ROW()-12,FALSE)="","",HLOOKUP(AQ$13,'MP (nominal)'!$D$12:$AM$244,ROW()-12,FALSE))</f>
        <v/>
      </c>
      <c r="AR23" s="281" t="str">
        <f>IF(HLOOKUP(AR$13,'MP (nominal)'!$D$12:$AM$244,ROW()-12,FALSE)="","",HLOOKUP(AR$13,'MP (nominal)'!$D$12:$AM$244,ROW()-12,FALSE))</f>
        <v/>
      </c>
    </row>
    <row r="24" spans="1:44" s="278" customFormat="1" hidden="1">
      <c r="A24" s="271">
        <f>References!E259</f>
        <v>26</v>
      </c>
      <c r="B24" s="292" t="s">
        <v>110</v>
      </c>
      <c r="C24" s="284">
        <v>2006</v>
      </c>
      <c r="D24" s="27" t="str">
        <f>IF(HLOOKUP(D$13,'MP (nominal)'!$D$12:$AM$244,ROW()-12,FALSE)="","",HLOOKUP(D$13,'MP (nominal)'!$D$12:$AM$244,ROW()-12,FALSE))</f>
        <v/>
      </c>
      <c r="E24" s="281" t="str">
        <f>IF(HLOOKUP(E$13,'MP (nominal)'!$D$12:$AM$244,ROW()-12,FALSE)="","",HLOOKUP(E$13,'MP (nominal)'!$D$12:$AM$244,ROW()-12,FALSE))</f>
        <v/>
      </c>
      <c r="F24" s="27">
        <f>IF(HLOOKUP(F$13,'MP (nominal)'!$D$12:$AM$244,ROW()-12,FALSE)="","",HLOOKUP(F$13,'MP (nominal)'!$D$12:$AM$244,ROW()-12,FALSE))</f>
        <v>1327</v>
      </c>
      <c r="G24" s="281" t="str">
        <f>IF(HLOOKUP(G$13,'MP (nominal)'!$D$12:$AM$244,ROW()-12,FALSE)="","",HLOOKUP(G$13,'MP (nominal)'!$D$12:$AM$244,ROW()-12,FALSE))</f>
        <v/>
      </c>
      <c r="H24" s="27">
        <f>IF(HLOOKUP(H$13,'MP (nominal)'!$D$12:$AM$244,ROW()-12,FALSE)="","",HLOOKUP(H$13,'MP (nominal)'!$D$12:$AM$244,ROW()-12,FALSE))</f>
        <v>5252</v>
      </c>
      <c r="I24" s="31" t="str">
        <f>IF(HLOOKUP(I$13,'MP (nominal)'!$D$12:$AM$244,ROW()-12,FALSE)="","",HLOOKUP(I$13,'MP (nominal)'!$D$12:$AM$244,ROW()-12,FALSE))</f>
        <v/>
      </c>
      <c r="J24" s="31">
        <f>IF(HLOOKUP(J$13,'MP (nominal)'!$D$12:$AM$244,ROW()-12,FALSE)="","",HLOOKUP(J$13,'MP (nominal)'!$D$12:$AM$244,ROW()-12,FALSE))</f>
        <v>3925</v>
      </c>
      <c r="K24" s="281"/>
      <c r="L24" s="27">
        <f>IF(HLOOKUP(L$13,'MP (nominal)'!$D$12:$AM$244,ROW()-12,FALSE)="","",HLOOKUP(L$13,'MP (nominal)'!$D$12:$AM$244,ROW()-12,FALSE))</f>
        <v>268.976</v>
      </c>
      <c r="M24" s="293">
        <f>IF(HLOOKUP(M$13,'MP (nominal)'!$D$12:$AM$244,ROW()-12,FALSE)="","",HLOOKUP(M$13,'MP (nominal)'!$D$12:$AM$244,ROW()-12,FALSE))</f>
        <v>1269.2648360000001</v>
      </c>
      <c r="N24" s="35"/>
      <c r="O24" s="27">
        <f>IF(HLOOKUP(O$13,'MP (nominal)'!$D$12:$AM$244,ROW()-12,FALSE)="","",HLOOKUP(O$13,'MP (nominal)'!$D$12:$AM$244,ROW()-12,FALSE))</f>
        <v>76400</v>
      </c>
      <c r="P24" s="31"/>
      <c r="Q24" s="281"/>
      <c r="R24" s="281">
        <f>IF(HLOOKUP(R$13,'MP (nominal)'!$D$12:$AM$244,ROW()-12,FALSE)="","",HLOOKUP(R$13,'MP (nominal)'!$D$12:$AM$244,ROW()-12,FALSE))</f>
        <v>96.5</v>
      </c>
      <c r="S24" s="281" t="str">
        <f>IF(HLOOKUP(S$13,'MP (nominal)'!$D$12:$AM$244,ROW()-12,FALSE)="","",HLOOKUP(S$13,'MP (nominal)'!$D$12:$AM$244,ROW()-12,FALSE))</f>
        <v/>
      </c>
      <c r="T24" s="281" t="str">
        <f>IF(HLOOKUP(T$13,'MP (nominal)'!$D$12:$AM$244,ROW()-12,FALSE)="","",HLOOKUP(T$13,'MP (nominal)'!$D$12:$AM$244,ROW()-12,FALSE))</f>
        <v/>
      </c>
      <c r="U24" s="281"/>
      <c r="V24" s="281">
        <f>IF(HLOOKUP(V$13,'MP (nominal)'!$D$12:$AM$244,ROW()-12,FALSE)="","",HLOOKUP(V$13,'MP (nominal)'!$D$12:$AM$244,ROW()-12,FALSE))</f>
        <v>1.72</v>
      </c>
      <c r="W24" s="281" t="str">
        <f>IF(HLOOKUP(W$13,'MP (nominal)'!$D$12:$AM$244,ROW()-12,FALSE)="","",HLOOKUP(W$13,'MP (nominal)'!$D$12:$AM$244,ROW()-12,FALSE))</f>
        <v/>
      </c>
      <c r="X24" s="281" t="str">
        <f>IF(HLOOKUP(X$13,'MP (nominal)'!$D$12:$AM$244,ROW()-12,FALSE)="","",HLOOKUP(X$13,'MP (nominal)'!$D$12:$AM$244,ROW()-12,FALSE))</f>
        <v/>
      </c>
      <c r="Y24" s="281"/>
      <c r="Z24" s="281" t="str">
        <f>IF(HLOOKUP(Z$13,'MP (nominal)'!$D$12:$AM$244,ROW()-12,FALSE)="","",HLOOKUP(Z$13,'MP (nominal)'!$D$12:$AM$244,ROW()-12,FALSE)*VLOOKUP($C24,CPI!$B$9:$I$63,8))</f>
        <v/>
      </c>
      <c r="AA24" s="281" t="str">
        <f>IF(HLOOKUP(AA$13,'MP (nominal)'!$D$12:$AM$244,ROW()-12,FALSE)="","",HLOOKUP(AA$13,'MP (nominal)'!$D$12:$AM$244,ROW()-12,FALSE))</f>
        <v/>
      </c>
      <c r="AB24" s="281" t="str">
        <f>IF(HLOOKUP(AB$13,'MP (nominal)'!$D$12:$AM$244,ROW()-12,FALSE)="","",HLOOKUP(AB$13,'MP (nominal)'!$D$12:$AM$244,ROW()-12,FALSE))</f>
        <v/>
      </c>
      <c r="AC24" s="281"/>
      <c r="AD24" s="281" t="str">
        <f>IF(HLOOKUP(AD$13,'MP (nominal)'!$D$12:$AM$244,ROW()-12,FALSE)="","",HLOOKUP(AD$13,'MP (nominal)'!$D$12:$AM$244,ROW()-12,FALSE)*VLOOKUP($C24,CPI!$B$9:$I$63,8))</f>
        <v/>
      </c>
      <c r="AE24" s="31" t="str">
        <f>IF(HLOOKUP(AE$13,'MP (nominal)'!$D$12:$AM$244,ROW()-12,FALSE)="","",HLOOKUP(AE$13,'MP (nominal)'!$D$12:$AM$244,ROW()-12,FALSE))</f>
        <v/>
      </c>
      <c r="AF24" s="31" t="str">
        <f>IF(HLOOKUP(AF$13,'MP (nominal)'!$D$12:$AM$244,ROW()-12,FALSE)="","",HLOOKUP(AF$13,'MP (nominal)'!$D$12:$AM$244,ROW()-12,FALSE))</f>
        <v/>
      </c>
      <c r="AG24" s="281"/>
      <c r="AH24" s="281" t="str">
        <f>IF(HLOOKUP(AH$13,'MP (nominal)'!$D$12:$AM$244,ROW()-12,FALSE)="","",HLOOKUP(AH$13,'MP (nominal)'!$D$12:$AM$244,ROW()-12,FALSE)*VLOOKUP($C24,CPI!$B$9:$I$63,8))</f>
        <v/>
      </c>
      <c r="AI24" s="31" t="str">
        <f>IF(HLOOKUP(AI$13,'MP (nominal)'!$D$12:$AM$244,ROW()-12,FALSE)="","",HLOOKUP(AI$13,'MP (nominal)'!$D$12:$AM$244,ROW()-12,FALSE))</f>
        <v/>
      </c>
      <c r="AJ24" s="31" t="str">
        <f>IF(HLOOKUP(AJ$13,'MP (nominal)'!$D$12:$AM$244,ROW()-12,FALSE)="","",HLOOKUP(AJ$13,'MP (nominal)'!$D$12:$AM$244,ROW()-12,FALSE))</f>
        <v/>
      </c>
      <c r="AK24" s="281"/>
      <c r="AL24" s="281" t="str">
        <f>IF(HLOOKUP(AL$13,'MP (nominal)'!$D$12:$AM$244,ROW()-12,FALSE)="","",HLOOKUP(AL$13,'MP (nominal)'!$D$12:$AM$244,ROW()-12,FALSE)*VLOOKUP($C24,CPI!$B$9:$I$63,8))</f>
        <v/>
      </c>
      <c r="AM24" s="31" t="str">
        <f>IF(HLOOKUP(AM$13,'MP (nominal)'!$D$12:$AM$244,ROW()-12,FALSE)="","",HLOOKUP(AM$13,'MP (nominal)'!$D$12:$AM$244,ROW()-12,FALSE))</f>
        <v/>
      </c>
      <c r="AN24" s="31" t="str">
        <f>IF(HLOOKUP(AN$13,'MP (nominal)'!$D$12:$AM$244,ROW()-12,FALSE)="","",HLOOKUP(AN$13,'MP (nominal)'!$D$12:$AM$244,ROW()-12,FALSE))</f>
        <v/>
      </c>
      <c r="AO24" s="281"/>
      <c r="AP24" s="281" t="str">
        <f>IF(HLOOKUP(AP$13,'MP (nominal)'!$D$12:$AM$244,ROW()-12,FALSE)="","",HLOOKUP(AP$13,'MP (nominal)'!$D$12:$AM$244,ROW()-12,FALSE)*VLOOKUP($C24,CPI!$B$9:$I$63,8))</f>
        <v/>
      </c>
      <c r="AQ24" s="31" t="str">
        <f>IF(HLOOKUP(AQ$13,'MP (nominal)'!$D$12:$AM$244,ROW()-12,FALSE)="","",HLOOKUP(AQ$13,'MP (nominal)'!$D$12:$AM$244,ROW()-12,FALSE))</f>
        <v/>
      </c>
      <c r="AR24" s="281" t="str">
        <f>IF(HLOOKUP(AR$13,'MP (nominal)'!$D$12:$AM$244,ROW()-12,FALSE)="","",HLOOKUP(AR$13,'MP (nominal)'!$D$12:$AM$244,ROW()-12,FALSE))</f>
        <v/>
      </c>
    </row>
    <row r="25" spans="1:44" s="278" customFormat="1" hidden="1">
      <c r="A25" s="271">
        <f>References!F259</f>
        <v>27</v>
      </c>
      <c r="B25" s="292" t="s">
        <v>110</v>
      </c>
      <c r="C25" s="284">
        <v>2007</v>
      </c>
      <c r="D25" s="27" t="str">
        <f>IF(HLOOKUP(D$13,'MP (nominal)'!$D$12:$AM$244,ROW()-12,FALSE)="","",HLOOKUP(D$13,'MP (nominal)'!$D$12:$AM$244,ROW()-12,FALSE))</f>
        <v/>
      </c>
      <c r="E25" s="281" t="str">
        <f>IF(HLOOKUP(E$13,'MP (nominal)'!$D$12:$AM$244,ROW()-12,FALSE)="","",HLOOKUP(E$13,'MP (nominal)'!$D$12:$AM$244,ROW()-12,FALSE))</f>
        <v/>
      </c>
      <c r="F25" s="27">
        <f>IF(HLOOKUP(F$13,'MP (nominal)'!$D$12:$AM$244,ROW()-12,FALSE)="","",HLOOKUP(F$13,'MP (nominal)'!$D$12:$AM$244,ROW()-12,FALSE))</f>
        <v>1445</v>
      </c>
      <c r="G25" s="281" t="str">
        <f>IF(HLOOKUP(G$13,'MP (nominal)'!$D$12:$AM$244,ROW()-12,FALSE)="","",HLOOKUP(G$13,'MP (nominal)'!$D$12:$AM$244,ROW()-12,FALSE))</f>
        <v/>
      </c>
      <c r="H25" s="27">
        <f>IF(HLOOKUP(H$13,'MP (nominal)'!$D$12:$AM$244,ROW()-12,FALSE)="","",HLOOKUP(H$13,'MP (nominal)'!$D$12:$AM$244,ROW()-12,FALSE))</f>
        <v>5356</v>
      </c>
      <c r="I25" s="31" t="str">
        <f>IF(HLOOKUP(I$13,'MP (nominal)'!$D$12:$AM$244,ROW()-12,FALSE)="","",HLOOKUP(I$13,'MP (nominal)'!$D$12:$AM$244,ROW()-12,FALSE))</f>
        <v/>
      </c>
      <c r="J25" s="31">
        <f>IF(HLOOKUP(J$13,'MP (nominal)'!$D$12:$AM$244,ROW()-12,FALSE)="","",HLOOKUP(J$13,'MP (nominal)'!$D$12:$AM$244,ROW()-12,FALSE))</f>
        <v>3911</v>
      </c>
      <c r="K25" s="281"/>
      <c r="L25" s="27">
        <f>IF(HLOOKUP(L$13,'MP (nominal)'!$D$12:$AM$244,ROW()-12,FALSE)="","",HLOOKUP(L$13,'MP (nominal)'!$D$12:$AM$244,ROW()-12,FALSE))</f>
        <v>275.52499999999998</v>
      </c>
      <c r="M25" s="293">
        <f>IF(HLOOKUP(M$13,'MP (nominal)'!$D$12:$AM$244,ROW()-12,FALSE)="","",HLOOKUP(M$13,'MP (nominal)'!$D$12:$AM$244,ROW()-12,FALSE))</f>
        <v>1296.684006</v>
      </c>
      <c r="N25" s="35"/>
      <c r="O25" s="27">
        <f>IF(HLOOKUP(O$13,'MP (nominal)'!$D$12:$AM$244,ROW()-12,FALSE)="","",HLOOKUP(O$13,'MP (nominal)'!$D$12:$AM$244,ROW()-12,FALSE))</f>
        <v>77712</v>
      </c>
      <c r="P25" s="31"/>
      <c r="Q25" s="281"/>
      <c r="R25" s="281">
        <f>IF(HLOOKUP(R$13,'MP (nominal)'!$D$12:$AM$244,ROW()-12,FALSE)="","",HLOOKUP(R$13,'MP (nominal)'!$D$12:$AM$244,ROW()-12,FALSE))</f>
        <v>101.4</v>
      </c>
      <c r="S25" s="281" t="str">
        <f>IF(HLOOKUP(S$13,'MP (nominal)'!$D$12:$AM$244,ROW()-12,FALSE)="","",HLOOKUP(S$13,'MP (nominal)'!$D$12:$AM$244,ROW()-12,FALSE))</f>
        <v/>
      </c>
      <c r="T25" s="281" t="str">
        <f>IF(HLOOKUP(T$13,'MP (nominal)'!$D$12:$AM$244,ROW()-12,FALSE)="","",HLOOKUP(T$13,'MP (nominal)'!$D$12:$AM$244,ROW()-12,FALSE))</f>
        <v/>
      </c>
      <c r="U25" s="281"/>
      <c r="V25" s="281">
        <f>IF(HLOOKUP(V$13,'MP (nominal)'!$D$12:$AM$244,ROW()-12,FALSE)="","",HLOOKUP(V$13,'MP (nominal)'!$D$12:$AM$244,ROW()-12,FALSE))</f>
        <v>1.82</v>
      </c>
      <c r="W25" s="281" t="str">
        <f>IF(HLOOKUP(W$13,'MP (nominal)'!$D$12:$AM$244,ROW()-12,FALSE)="","",HLOOKUP(W$13,'MP (nominal)'!$D$12:$AM$244,ROW()-12,FALSE))</f>
        <v/>
      </c>
      <c r="X25" s="281" t="str">
        <f>IF(HLOOKUP(X$13,'MP (nominal)'!$D$12:$AM$244,ROW()-12,FALSE)="","",HLOOKUP(X$13,'MP (nominal)'!$D$12:$AM$244,ROW()-12,FALSE))</f>
        <v/>
      </c>
      <c r="Y25" s="281"/>
      <c r="Z25" s="281" t="str">
        <f>IF(HLOOKUP(Z$13,'MP (nominal)'!$D$12:$AM$244,ROW()-12,FALSE)="","",HLOOKUP(Z$13,'MP (nominal)'!$D$12:$AM$244,ROW()-12,FALSE)*VLOOKUP($C25,CPI!$B$9:$I$63,8))</f>
        <v/>
      </c>
      <c r="AA25" s="281" t="str">
        <f>IF(HLOOKUP(AA$13,'MP (nominal)'!$D$12:$AM$244,ROW()-12,FALSE)="","",HLOOKUP(AA$13,'MP (nominal)'!$D$12:$AM$244,ROW()-12,FALSE))</f>
        <v/>
      </c>
      <c r="AB25" s="281" t="str">
        <f>IF(HLOOKUP(AB$13,'MP (nominal)'!$D$12:$AM$244,ROW()-12,FALSE)="","",HLOOKUP(AB$13,'MP (nominal)'!$D$12:$AM$244,ROW()-12,FALSE))</f>
        <v/>
      </c>
      <c r="AC25" s="281"/>
      <c r="AD25" s="281" t="str">
        <f>IF(HLOOKUP(AD$13,'MP (nominal)'!$D$12:$AM$244,ROW()-12,FALSE)="","",HLOOKUP(AD$13,'MP (nominal)'!$D$12:$AM$244,ROW()-12,FALSE)*VLOOKUP($C25,CPI!$B$9:$I$63,8))</f>
        <v/>
      </c>
      <c r="AE25" s="31" t="str">
        <f>IF(HLOOKUP(AE$13,'MP (nominal)'!$D$12:$AM$244,ROW()-12,FALSE)="","",HLOOKUP(AE$13,'MP (nominal)'!$D$12:$AM$244,ROW()-12,FALSE))</f>
        <v/>
      </c>
      <c r="AF25" s="31" t="str">
        <f>IF(HLOOKUP(AF$13,'MP (nominal)'!$D$12:$AM$244,ROW()-12,FALSE)="","",HLOOKUP(AF$13,'MP (nominal)'!$D$12:$AM$244,ROW()-12,FALSE))</f>
        <v/>
      </c>
      <c r="AG25" s="281"/>
      <c r="AH25" s="281" t="str">
        <f>IF(HLOOKUP(AH$13,'MP (nominal)'!$D$12:$AM$244,ROW()-12,FALSE)="","",HLOOKUP(AH$13,'MP (nominal)'!$D$12:$AM$244,ROW()-12,FALSE)*VLOOKUP($C25,CPI!$B$9:$I$63,8))</f>
        <v/>
      </c>
      <c r="AI25" s="31" t="str">
        <f>IF(HLOOKUP(AI$13,'MP (nominal)'!$D$12:$AM$244,ROW()-12,FALSE)="","",HLOOKUP(AI$13,'MP (nominal)'!$D$12:$AM$244,ROW()-12,FALSE))</f>
        <v/>
      </c>
      <c r="AJ25" s="31" t="str">
        <f>IF(HLOOKUP(AJ$13,'MP (nominal)'!$D$12:$AM$244,ROW()-12,FALSE)="","",HLOOKUP(AJ$13,'MP (nominal)'!$D$12:$AM$244,ROW()-12,FALSE))</f>
        <v/>
      </c>
      <c r="AK25" s="281"/>
      <c r="AL25" s="281" t="str">
        <f>IF(HLOOKUP(AL$13,'MP (nominal)'!$D$12:$AM$244,ROW()-12,FALSE)="","",HLOOKUP(AL$13,'MP (nominal)'!$D$12:$AM$244,ROW()-12,FALSE)*VLOOKUP($C25,CPI!$B$9:$I$63,8))</f>
        <v/>
      </c>
      <c r="AM25" s="31" t="str">
        <f>IF(HLOOKUP(AM$13,'MP (nominal)'!$D$12:$AM$244,ROW()-12,FALSE)="","",HLOOKUP(AM$13,'MP (nominal)'!$D$12:$AM$244,ROW()-12,FALSE))</f>
        <v/>
      </c>
      <c r="AN25" s="31" t="str">
        <f>IF(HLOOKUP(AN$13,'MP (nominal)'!$D$12:$AM$244,ROW()-12,FALSE)="","",HLOOKUP(AN$13,'MP (nominal)'!$D$12:$AM$244,ROW()-12,FALSE))</f>
        <v/>
      </c>
      <c r="AO25" s="281"/>
      <c r="AP25" s="281" t="str">
        <f>IF(HLOOKUP(AP$13,'MP (nominal)'!$D$12:$AM$244,ROW()-12,FALSE)="","",HLOOKUP(AP$13,'MP (nominal)'!$D$12:$AM$244,ROW()-12,FALSE)*VLOOKUP($C25,CPI!$B$9:$I$63,8))</f>
        <v/>
      </c>
      <c r="AQ25" s="31" t="str">
        <f>IF(HLOOKUP(AQ$13,'MP (nominal)'!$D$12:$AM$244,ROW()-12,FALSE)="","",HLOOKUP(AQ$13,'MP (nominal)'!$D$12:$AM$244,ROW()-12,FALSE))</f>
        <v/>
      </c>
      <c r="AR25" s="281" t="str">
        <f>IF(HLOOKUP(AR$13,'MP (nominal)'!$D$12:$AM$244,ROW()-12,FALSE)="","",HLOOKUP(AR$13,'MP (nominal)'!$D$12:$AM$244,ROW()-12,FALSE))</f>
        <v/>
      </c>
    </row>
    <row r="26" spans="1:44" s="278" customFormat="1">
      <c r="A26" s="271">
        <f>References!G259</f>
        <v>28</v>
      </c>
      <c r="B26" s="292" t="s">
        <v>110</v>
      </c>
      <c r="C26" s="284">
        <v>2008</v>
      </c>
      <c r="D26" s="27">
        <f>IF(HLOOKUP(D$13,'MP (nominal)'!$D$12:$AM$244,ROW()-12,FALSE)="","",HLOOKUP(D$13,'MP (nominal)'!$D$12:$AM$244,ROW()-12,FALSE))</f>
        <v>3862.1</v>
      </c>
      <c r="E26" s="281">
        <f>IF(HLOOKUP(E$13,'MP (nominal)'!$D$12:$AM$244,ROW()-12,FALSE)="","",HLOOKUP(E$13,'MP (nominal)'!$D$12:$AM$244,ROW()-12,FALSE))</f>
        <v>60</v>
      </c>
      <c r="F26" s="27">
        <f>IF(HLOOKUP(F$13,'MP (nominal)'!$D$12:$AM$244,ROW()-12,FALSE)="","",HLOOKUP(F$13,'MP (nominal)'!$D$12:$AM$244,ROW()-12,FALSE))</f>
        <v>1591.2</v>
      </c>
      <c r="G26" s="281">
        <f>IF(HLOOKUP(G$13,'MP (nominal)'!$D$12:$AM$244,ROW()-12,FALSE)="","",HLOOKUP(G$13,'MP (nominal)'!$D$12:$AM$244,ROW()-12,FALSE))</f>
        <v>163</v>
      </c>
      <c r="H26" s="27">
        <f>IF(HLOOKUP(H$13,'MP (nominal)'!$D$12:$AM$244,ROW()-12,FALSE)="","",HLOOKUP(H$13,'MP (nominal)'!$D$12:$AM$244,ROW()-12,FALSE))</f>
        <v>5453.3</v>
      </c>
      <c r="I26" s="31">
        <f>IF(HLOOKUP(I$13,'MP (nominal)'!$D$12:$AM$244,ROW()-12,FALSE)="","",HLOOKUP(I$13,'MP (nominal)'!$D$12:$AM$244,ROW()-12,FALSE))</f>
        <v>223</v>
      </c>
      <c r="J26" s="31">
        <f>IF(HLOOKUP(J$13,'MP (nominal)'!$D$12:$AM$244,ROW()-12,FALSE)="","",HLOOKUP(J$13,'MP (nominal)'!$D$12:$AM$244,ROW()-12,FALSE))</f>
        <v>3862.1</v>
      </c>
      <c r="K26" s="281"/>
      <c r="L26" s="27">
        <f>IF(HLOOKUP(L$13,'MP (nominal)'!$D$12:$AM$244,ROW()-12,FALSE)="","",HLOOKUP(L$13,'MP (nominal)'!$D$12:$AM$244,ROW()-12,FALSE))</f>
        <v>283.185</v>
      </c>
      <c r="M26" s="283">
        <f>IF(HLOOKUP(M$13,'MP (nominal)'!$D$12:$AM$244,ROW()-12,FALSE)="","",HLOOKUP(M$13,'MP (nominal)'!$D$12:$AM$244,ROW()-12,FALSE))</f>
        <v>1274.4069999999999</v>
      </c>
      <c r="N26" s="35"/>
      <c r="O26" s="27">
        <f>IF(HLOOKUP(O$13,'MP (nominal)'!$D$12:$AM$244,ROW()-12,FALSE)="","",HLOOKUP(O$13,'MP (nominal)'!$D$12:$AM$244,ROW()-12,FALSE))</f>
        <v>79811</v>
      </c>
      <c r="P26" s="31"/>
      <c r="Q26" s="281"/>
      <c r="R26" s="281">
        <f>IF(HLOOKUP(R$13,'MP (nominal)'!$D$12:$AM$244,ROW()-12,FALSE)="","",HLOOKUP(R$13,'MP (nominal)'!$D$12:$AM$244,ROW()-12,FALSE))</f>
        <v>140.1</v>
      </c>
      <c r="S26" s="281">
        <f>IF(HLOOKUP(S$13,'MP (nominal)'!$D$12:$AM$244,ROW()-12,FALSE)="","",HLOOKUP(S$13,'MP (nominal)'!$D$12:$AM$244,ROW()-12,FALSE))</f>
        <v>13.29</v>
      </c>
      <c r="T26" s="281">
        <f>IF(HLOOKUP(T$13,'MP (nominal)'!$D$12:$AM$244,ROW()-12,FALSE)="","",HLOOKUP(T$13,'MP (nominal)'!$D$12:$AM$244,ROW()-12,FALSE))</f>
        <v>115.82</v>
      </c>
      <c r="U26" s="281"/>
      <c r="V26" s="281">
        <f>IF(HLOOKUP(V$13,'MP (nominal)'!$D$12:$AM$244,ROW()-12,FALSE)="","",HLOOKUP(V$13,'MP (nominal)'!$D$12:$AM$244,ROW()-12,FALSE))</f>
        <v>1.82</v>
      </c>
      <c r="W26" s="281">
        <f>IF(HLOOKUP(W$13,'MP (nominal)'!$D$12:$AM$244,ROW()-12,FALSE)="","",HLOOKUP(W$13,'MP (nominal)'!$D$12:$AM$244,ROW()-12,FALSE))</f>
        <v>0.1</v>
      </c>
      <c r="X26" s="281">
        <f>IF(HLOOKUP(X$13,'MP (nominal)'!$D$12:$AM$244,ROW()-12,FALSE)="","",HLOOKUP(X$13,'MP (nominal)'!$D$12:$AM$244,ROW()-12,FALSE))</f>
        <v>1.37</v>
      </c>
      <c r="Y26" s="281"/>
      <c r="Z26" s="281">
        <f>IF(HLOOKUP(Z$13,'MP (nominal)'!$D$12:$AM$244,ROW()-12,FALSE)="","",HLOOKUP(Z$13,'MP (nominal)'!$D$12:$AM$244,ROW()-12,FALSE)*VLOOKUP($C26,CPI!$B$9:$I$63,8))</f>
        <v>43499.126913974505</v>
      </c>
      <c r="AA26" s="281">
        <f>IF(HLOOKUP(AA$13,'MP (nominal)'!$D$12:$AM$244,ROW()-12,FALSE)="","",HLOOKUP(AA$13,'MP (nominal)'!$D$12:$AM$244,ROW()-12,FALSE))</f>
        <v>634860</v>
      </c>
      <c r="AB26" s="281">
        <f>IF(HLOOKUP(AB$13,'MP (nominal)'!$D$12:$AM$244,ROW()-12,FALSE)="","",HLOOKUP(AB$13,'MP (nominal)'!$D$12:$AM$244,ROW()-12,FALSE))</f>
        <v>74147</v>
      </c>
      <c r="AC26" s="281"/>
      <c r="AD26" s="281">
        <f>IF(HLOOKUP(AD$13,'MP (nominal)'!$D$12:$AM$244,ROW()-12,FALSE)="","",HLOOKUP(AD$13,'MP (nominal)'!$D$12:$AM$244,ROW()-12,FALSE)*VLOOKUP($C26,CPI!$B$9:$I$63,8))</f>
        <v>9111.0122323287032</v>
      </c>
      <c r="AE26" s="31">
        <f>IF(HLOOKUP(AE$13,'MP (nominal)'!$D$12:$AM$244,ROW()-12,FALSE)="","",HLOOKUP(AE$13,'MP (nominal)'!$D$12:$AM$244,ROW()-12,FALSE))</f>
        <v>173613</v>
      </c>
      <c r="AF26" s="31">
        <f>IF(HLOOKUP(AF$13,'MP (nominal)'!$D$12:$AM$244,ROW()-12,FALSE)="","",HLOOKUP(AF$13,'MP (nominal)'!$D$12:$AM$244,ROW()-12,FALSE))</f>
        <v>4622</v>
      </c>
      <c r="AG26" s="281"/>
      <c r="AH26" s="281">
        <f>IF(HLOOKUP(AH$13,'MP (nominal)'!$D$12:$AM$244,ROW()-12,FALSE)="","",HLOOKUP(AH$13,'MP (nominal)'!$D$12:$AM$244,ROW()-12,FALSE)*VLOOKUP($C26,CPI!$B$9:$I$63,8))</f>
        <v>15787.677568361323</v>
      </c>
      <c r="AI26" s="31">
        <f>IF(HLOOKUP(AI$13,'MP (nominal)'!$D$12:$AM$244,ROW()-12,FALSE)="","",HLOOKUP(AI$13,'MP (nominal)'!$D$12:$AM$244,ROW()-12,FALSE))</f>
        <v>395833</v>
      </c>
      <c r="AJ26" s="31">
        <f>IF(HLOOKUP(AJ$13,'MP (nominal)'!$D$12:$AM$244,ROW()-12,FALSE)="","",HLOOKUP(AJ$13,'MP (nominal)'!$D$12:$AM$244,ROW()-12,FALSE))</f>
        <v>1037</v>
      </c>
      <c r="AK26" s="281"/>
      <c r="AL26" s="281">
        <f>IF(HLOOKUP(AL$13,'MP (nominal)'!$D$12:$AM$244,ROW()-12,FALSE)="","",HLOOKUP(AL$13,'MP (nominal)'!$D$12:$AM$244,ROW()-12,FALSE)*VLOOKUP($C26,CPI!$B$9:$I$63,8))</f>
        <v>1349.7795899746229</v>
      </c>
      <c r="AM26" s="31">
        <f>IF(HLOOKUP(AM$13,'MP (nominal)'!$D$12:$AM$244,ROW()-12,FALSE)="","",HLOOKUP(AM$13,'MP (nominal)'!$D$12:$AM$244,ROW()-12,FALSE))</f>
        <v>70101</v>
      </c>
      <c r="AN26" s="31">
        <f>IF(HLOOKUP(AN$13,'MP (nominal)'!$D$12:$AM$244,ROW()-12,FALSE)="","",HLOOKUP(AN$13,'MP (nominal)'!$D$12:$AM$244,ROW()-12,FALSE))</f>
        <v>5</v>
      </c>
      <c r="AO26" s="281"/>
      <c r="AP26" s="281">
        <f>IF(HLOOKUP(AP$13,'MP (nominal)'!$D$12:$AM$244,ROW()-12,FALSE)="","",HLOOKUP(AP$13,'MP (nominal)'!$D$12:$AM$244,ROW()-12,FALSE)*VLOOKUP($C26,CPI!$B$9:$I$63,8))</f>
        <v>69747.596304639155</v>
      </c>
      <c r="AQ26" s="31">
        <f>IF(HLOOKUP(AQ$13,'MP (nominal)'!$D$12:$AM$244,ROW()-12,FALSE)="","",HLOOKUP(AQ$13,'MP (nominal)'!$D$12:$AM$244,ROW()-12,FALSE))</f>
        <v>1274407</v>
      </c>
      <c r="AR26" s="281">
        <f>IF(HLOOKUP(AR$13,'MP (nominal)'!$D$12:$AM$244,ROW()-12,FALSE)="","",HLOOKUP(AR$13,'MP (nominal)'!$D$12:$AM$244,ROW()-12,FALSE))</f>
        <v>79811</v>
      </c>
    </row>
    <row r="27" spans="1:44" s="278" customFormat="1">
      <c r="A27" s="271">
        <f>References!H259</f>
        <v>29</v>
      </c>
      <c r="B27" s="292" t="s">
        <v>30</v>
      </c>
      <c r="C27" s="284">
        <v>2009</v>
      </c>
      <c r="D27" s="27">
        <f>IF(HLOOKUP(D$13,'MP (nominal)'!$D$12:$AM$244,ROW()-12,FALSE)="","",HLOOKUP(D$13,'MP (nominal)'!$D$12:$AM$244,ROW()-12,FALSE))</f>
        <v>3900.7</v>
      </c>
      <c r="E27" s="281">
        <f>IF(HLOOKUP(E$13,'MP (nominal)'!$D$12:$AM$244,ROW()-12,FALSE)="","",HLOOKUP(E$13,'MP (nominal)'!$D$12:$AM$244,ROW()-12,FALSE))</f>
        <v>51</v>
      </c>
      <c r="F27" s="27">
        <f>IF(HLOOKUP(F$13,'MP (nominal)'!$D$12:$AM$244,ROW()-12,FALSE)="","",HLOOKUP(F$13,'MP (nominal)'!$D$12:$AM$244,ROW()-12,FALSE))</f>
        <v>1643.7</v>
      </c>
      <c r="G27" s="281">
        <f>IF(HLOOKUP(G$13,'MP (nominal)'!$D$12:$AM$244,ROW()-12,FALSE)="","",HLOOKUP(G$13,'MP (nominal)'!$D$12:$AM$244,ROW()-12,FALSE))</f>
        <v>149.6</v>
      </c>
      <c r="H27" s="27">
        <f>IF(HLOOKUP(H$13,'MP (nominal)'!$D$12:$AM$244,ROW()-12,FALSE)="","",HLOOKUP(H$13,'MP (nominal)'!$D$12:$AM$244,ROW()-12,FALSE))</f>
        <v>5544.4</v>
      </c>
      <c r="I27" s="31">
        <f>IF(HLOOKUP(I$13,'MP (nominal)'!$D$12:$AM$244,ROW()-12,FALSE)="","",HLOOKUP(I$13,'MP (nominal)'!$D$12:$AM$244,ROW()-12,FALSE))</f>
        <v>200.6</v>
      </c>
      <c r="J27" s="31">
        <f>IF(HLOOKUP(J$13,'MP (nominal)'!$D$12:$AM$244,ROW()-12,FALSE)="","",HLOOKUP(J$13,'MP (nominal)'!$D$12:$AM$244,ROW()-12,FALSE))</f>
        <v>3900.7</v>
      </c>
      <c r="K27" s="281"/>
      <c r="L27" s="27">
        <f>IF(HLOOKUP(L$13,'MP (nominal)'!$D$12:$AM$244,ROW()-12,FALSE)="","",HLOOKUP(L$13,'MP (nominal)'!$D$12:$AM$244,ROW()-12,FALSE))</f>
        <v>274.82600000000002</v>
      </c>
      <c r="M27" s="283">
        <f>IF(HLOOKUP(M$13,'MP (nominal)'!$D$12:$AM$244,ROW()-12,FALSE)="","",HLOOKUP(M$13,'MP (nominal)'!$D$12:$AM$244,ROW()-12,FALSE))</f>
        <v>1266.2239999999999</v>
      </c>
      <c r="N27" s="35"/>
      <c r="O27" s="27">
        <f>IF(HLOOKUP(O$13,'MP (nominal)'!$D$12:$AM$244,ROW()-12,FALSE)="","",HLOOKUP(O$13,'MP (nominal)'!$D$12:$AM$244,ROW()-12,FALSE))</f>
        <v>80686</v>
      </c>
      <c r="P27" s="31"/>
      <c r="Q27" s="281"/>
      <c r="R27" s="281">
        <f>IF(HLOOKUP(R$13,'MP (nominal)'!$D$12:$AM$244,ROW()-12,FALSE)="","",HLOOKUP(R$13,'MP (nominal)'!$D$12:$AM$244,ROW()-12,FALSE))</f>
        <v>68.010000000000005</v>
      </c>
      <c r="S27" s="281">
        <f>IF(HLOOKUP(S$13,'MP (nominal)'!$D$12:$AM$244,ROW()-12,FALSE)="","",HLOOKUP(S$13,'MP (nominal)'!$D$12:$AM$244,ROW()-12,FALSE))</f>
        <v>8.82</v>
      </c>
      <c r="T27" s="281">
        <f>IF(HLOOKUP(T$13,'MP (nominal)'!$D$12:$AM$244,ROW()-12,FALSE)="","",HLOOKUP(T$13,'MP (nominal)'!$D$12:$AM$244,ROW()-12,FALSE))</f>
        <v>59.15</v>
      </c>
      <c r="U27" s="281"/>
      <c r="V27" s="281">
        <f>IF(HLOOKUP(V$13,'MP (nominal)'!$D$12:$AM$244,ROW()-12,FALSE)="","",HLOOKUP(V$13,'MP (nominal)'!$D$12:$AM$244,ROW()-12,FALSE))</f>
        <v>1.23</v>
      </c>
      <c r="W27" s="281">
        <f>IF(HLOOKUP(W$13,'MP (nominal)'!$D$12:$AM$244,ROW()-12,FALSE)="","",HLOOKUP(W$13,'MP (nominal)'!$D$12:$AM$244,ROW()-12,FALSE))</f>
        <v>5.4953269999999999E-2</v>
      </c>
      <c r="X27" s="281">
        <f>IF(HLOOKUP(X$13,'MP (nominal)'!$D$12:$AM$244,ROW()-12,FALSE)="","",HLOOKUP(X$13,'MP (nominal)'!$D$12:$AM$244,ROW()-12,FALSE))</f>
        <v>1.1712871</v>
      </c>
      <c r="Y27" s="281"/>
      <c r="Z27" s="281">
        <f>IF(HLOOKUP(Z$13,'MP (nominal)'!$D$12:$AM$244,ROW()-12,FALSE)="","",HLOOKUP(Z$13,'MP (nominal)'!$D$12:$AM$244,ROW()-12,FALSE)*VLOOKUP($C27,CPI!$B$9:$I$63,8))</f>
        <v>45869.989543551361</v>
      </c>
      <c r="AA27" s="281">
        <f>IF(HLOOKUP(AA$13,'MP (nominal)'!$D$12:$AM$244,ROW()-12,FALSE)="","",HLOOKUP(AA$13,'MP (nominal)'!$D$12:$AM$244,ROW()-12,FALSE))</f>
        <v>631469</v>
      </c>
      <c r="AB27" s="281">
        <f>IF(HLOOKUP(AB$13,'MP (nominal)'!$D$12:$AM$244,ROW()-12,FALSE)="","",HLOOKUP(AB$13,'MP (nominal)'!$D$12:$AM$244,ROW()-12,FALSE))</f>
        <v>74871</v>
      </c>
      <c r="AC27" s="281"/>
      <c r="AD27" s="281">
        <f>IF(HLOOKUP(AD$13,'MP (nominal)'!$D$12:$AM$244,ROW()-12,FALSE)="","",HLOOKUP(AD$13,'MP (nominal)'!$D$12:$AM$244,ROW()-12,FALSE)*VLOOKUP($C27,CPI!$B$9:$I$63,8))</f>
        <v>9701.7174430640371</v>
      </c>
      <c r="AE27" s="31">
        <f>IF(HLOOKUP(AE$13,'MP (nominal)'!$D$12:$AM$244,ROW()-12,FALSE)="","",HLOOKUP(AE$13,'MP (nominal)'!$D$12:$AM$244,ROW()-12,FALSE))</f>
        <v>175952</v>
      </c>
      <c r="AF27" s="31">
        <f>IF(HLOOKUP(AF$13,'MP (nominal)'!$D$12:$AM$244,ROW()-12,FALSE)="","",HLOOKUP(AF$13,'MP (nominal)'!$D$12:$AM$244,ROW()-12,FALSE))</f>
        <v>4745</v>
      </c>
      <c r="AG27" s="281"/>
      <c r="AH27" s="281">
        <f>IF(HLOOKUP(AH$13,'MP (nominal)'!$D$12:$AM$244,ROW()-12,FALSE)="","",HLOOKUP(AH$13,'MP (nominal)'!$D$12:$AM$244,ROW()-12,FALSE)*VLOOKUP($C27,CPI!$B$9:$I$63,8))</f>
        <v>17506.567213947415</v>
      </c>
      <c r="AI27" s="31">
        <f>IF(HLOOKUP(AI$13,'MP (nominal)'!$D$12:$AM$244,ROW()-12,FALSE)="","",HLOOKUP(AI$13,'MP (nominal)'!$D$12:$AM$244,ROW()-12,FALSE))</f>
        <v>390231</v>
      </c>
      <c r="AJ27" s="31">
        <f>IF(HLOOKUP(AJ$13,'MP (nominal)'!$D$12:$AM$244,ROW()-12,FALSE)="","",HLOOKUP(AJ$13,'MP (nominal)'!$D$12:$AM$244,ROW()-12,FALSE))</f>
        <v>1065</v>
      </c>
      <c r="AK27" s="281"/>
      <c r="AL27" s="281">
        <f>IF(HLOOKUP(AL$13,'MP (nominal)'!$D$12:$AM$244,ROW()-12,FALSE)="","",HLOOKUP(AL$13,'MP (nominal)'!$D$12:$AM$244,ROW()-12,FALSE)*VLOOKUP($C27,CPI!$B$9:$I$63,8))</f>
        <v>1518.1645392271257</v>
      </c>
      <c r="AM27" s="31">
        <f>IF(HLOOKUP(AM$13,'MP (nominal)'!$D$12:$AM$244,ROW()-12,FALSE)="","",HLOOKUP(AM$13,'MP (nominal)'!$D$12:$AM$244,ROW()-12,FALSE))</f>
        <v>68572</v>
      </c>
      <c r="AN27" s="31">
        <f>IF(HLOOKUP(AN$13,'MP (nominal)'!$D$12:$AM$244,ROW()-12,FALSE)="","",HLOOKUP(AN$13,'MP (nominal)'!$D$12:$AM$244,ROW()-12,FALSE))</f>
        <v>5</v>
      </c>
      <c r="AO27" s="281"/>
      <c r="AP27" s="281">
        <f>IF(HLOOKUP(AP$13,'MP (nominal)'!$D$12:$AM$244,ROW()-12,FALSE)="","",HLOOKUP(AP$13,'MP (nominal)'!$D$12:$AM$244,ROW()-12,FALSE)*VLOOKUP($C27,CPI!$B$9:$I$63,8))</f>
        <v>74596.438739789941</v>
      </c>
      <c r="AQ27" s="31">
        <f>IF(HLOOKUP(AQ$13,'MP (nominal)'!$D$12:$AM$244,ROW()-12,FALSE)="","",HLOOKUP(AQ$13,'MP (nominal)'!$D$12:$AM$244,ROW()-12,FALSE))</f>
        <v>1266224</v>
      </c>
      <c r="AR27" s="281">
        <f>IF(HLOOKUP(AR$13,'MP (nominal)'!$D$12:$AM$244,ROW()-12,FALSE)="","",HLOOKUP(AR$13,'MP (nominal)'!$D$12:$AM$244,ROW()-12,FALSE))</f>
        <v>80686</v>
      </c>
    </row>
    <row r="28" spans="1:44" s="278" customFormat="1">
      <c r="A28" s="271">
        <f>References!I259</f>
        <v>30</v>
      </c>
      <c r="B28" s="292" t="s">
        <v>30</v>
      </c>
      <c r="C28" s="284">
        <v>2010</v>
      </c>
      <c r="D28" s="27">
        <f>IF(HLOOKUP(D$13,'MP (nominal)'!$D$12:$AM$244,ROW()-12,FALSE)="","",HLOOKUP(D$13,'MP (nominal)'!$D$12:$AM$244,ROW()-12,FALSE))</f>
        <v>3891.5</v>
      </c>
      <c r="E28" s="281">
        <f>IF(HLOOKUP(E$13,'MP (nominal)'!$D$12:$AM$244,ROW()-12,FALSE)="","",HLOOKUP(E$13,'MP (nominal)'!$D$12:$AM$244,ROW()-12,FALSE))</f>
        <v>49.2</v>
      </c>
      <c r="F28" s="27">
        <f>IF(HLOOKUP(F$13,'MP (nominal)'!$D$12:$AM$244,ROW()-12,FALSE)="","",HLOOKUP(F$13,'MP (nominal)'!$D$12:$AM$244,ROW()-12,FALSE))</f>
        <v>1708.5</v>
      </c>
      <c r="G28" s="281">
        <f>IF(HLOOKUP(G$13,'MP (nominal)'!$D$12:$AM$244,ROW()-12,FALSE)="","",HLOOKUP(G$13,'MP (nominal)'!$D$12:$AM$244,ROW()-12,FALSE))</f>
        <v>154.69999999999999</v>
      </c>
      <c r="H28" s="27">
        <f>IF(HLOOKUP(H$13,'MP (nominal)'!$D$12:$AM$244,ROW()-12,FALSE)="","",HLOOKUP(H$13,'MP (nominal)'!$D$12:$AM$244,ROW()-12,FALSE))</f>
        <v>5600</v>
      </c>
      <c r="I28" s="31">
        <f>IF(HLOOKUP(I$13,'MP (nominal)'!$D$12:$AM$244,ROW()-12,FALSE)="","",HLOOKUP(I$13,'MP (nominal)'!$D$12:$AM$244,ROW()-12,FALSE))</f>
        <v>203.9</v>
      </c>
      <c r="J28" s="31">
        <f>IF(HLOOKUP(J$13,'MP (nominal)'!$D$12:$AM$244,ROW()-12,FALSE)="","",HLOOKUP(J$13,'MP (nominal)'!$D$12:$AM$244,ROW()-12,FALSE))</f>
        <v>3891.5</v>
      </c>
      <c r="K28" s="281"/>
      <c r="L28" s="27">
        <f>IF(HLOOKUP(L$13,'MP (nominal)'!$D$12:$AM$244,ROW()-12,FALSE)="","",HLOOKUP(L$13,'MP (nominal)'!$D$12:$AM$244,ROW()-12,FALSE))</f>
        <v>285.09199999999998</v>
      </c>
      <c r="M28" s="283">
        <f>IF(HLOOKUP(M$13,'MP (nominal)'!$D$12:$AM$244,ROW()-12,FALSE)="","",HLOOKUP(M$13,'MP (nominal)'!$D$12:$AM$244,ROW()-12,FALSE))</f>
        <v>1279.9147</v>
      </c>
      <c r="N28" s="35"/>
      <c r="O28" s="27">
        <f>IF(HLOOKUP(O$13,'MP (nominal)'!$D$12:$AM$244,ROW()-12,FALSE)="","",HLOOKUP(O$13,'MP (nominal)'!$D$12:$AM$244,ROW()-12,FALSE))</f>
        <v>81573</v>
      </c>
      <c r="P28" s="31"/>
      <c r="Q28" s="281"/>
      <c r="R28" s="281">
        <f>IF(HLOOKUP(R$13,'MP (nominal)'!$D$12:$AM$244,ROW()-12,FALSE)="","",HLOOKUP(R$13,'MP (nominal)'!$D$12:$AM$244,ROW()-12,FALSE))</f>
        <v>82.68</v>
      </c>
      <c r="S28" s="281">
        <f>IF(HLOOKUP(S$13,'MP (nominal)'!$D$12:$AM$244,ROW()-12,FALSE)="","",HLOOKUP(S$13,'MP (nominal)'!$D$12:$AM$244,ROW()-12,FALSE))</f>
        <v>11.17</v>
      </c>
      <c r="T28" s="281">
        <f>IF(HLOOKUP(T$13,'MP (nominal)'!$D$12:$AM$244,ROW()-12,FALSE)="","",HLOOKUP(T$13,'MP (nominal)'!$D$12:$AM$244,ROW()-12,FALSE))</f>
        <v>61.3</v>
      </c>
      <c r="U28" s="281"/>
      <c r="V28" s="281">
        <f>IF(HLOOKUP(V$13,'MP (nominal)'!$D$12:$AM$244,ROW()-12,FALSE)="","",HLOOKUP(V$13,'MP (nominal)'!$D$12:$AM$244,ROW()-12,FALSE))</f>
        <v>1.48</v>
      </c>
      <c r="W28" s="281">
        <f>IF(HLOOKUP(W$13,'MP (nominal)'!$D$12:$AM$244,ROW()-12,FALSE)="","",HLOOKUP(W$13,'MP (nominal)'!$D$12:$AM$244,ROW()-12,FALSE))</f>
        <v>0.09</v>
      </c>
      <c r="X28" s="281">
        <f>IF(HLOOKUP(X$13,'MP (nominal)'!$D$12:$AM$244,ROW()-12,FALSE)="","",HLOOKUP(X$13,'MP (nominal)'!$D$12:$AM$244,ROW()-12,FALSE))</f>
        <v>1.25</v>
      </c>
      <c r="Y28" s="281"/>
      <c r="Z28" s="281">
        <f>IF(HLOOKUP(Z$13,'MP (nominal)'!$D$12:$AM$244,ROW()-12,FALSE)="","",HLOOKUP(Z$13,'MP (nominal)'!$D$12:$AM$244,ROW()-12,FALSE)*VLOOKUP($C28,CPI!$B$9:$I$63,8))</f>
        <v>46150.168128587211</v>
      </c>
      <c r="AA28" s="281">
        <f>IF(HLOOKUP(AA$13,'MP (nominal)'!$D$12:$AM$244,ROW()-12,FALSE)="","",HLOOKUP(AA$13,'MP (nominal)'!$D$12:$AM$244,ROW()-12,FALSE))</f>
        <v>651887.72</v>
      </c>
      <c r="AB28" s="281">
        <f>IF(HLOOKUP(AB$13,'MP (nominal)'!$D$12:$AM$244,ROW()-12,FALSE)="","",HLOOKUP(AB$13,'MP (nominal)'!$D$12:$AM$244,ROW()-12,FALSE))</f>
        <v>75623</v>
      </c>
      <c r="AC28" s="281"/>
      <c r="AD28" s="281">
        <f>IF(HLOOKUP(AD$13,'MP (nominal)'!$D$12:$AM$244,ROW()-12,FALSE)="","",HLOOKUP(AD$13,'MP (nominal)'!$D$12:$AM$244,ROW()-12,FALSE)*VLOOKUP($C28,CPI!$B$9:$I$63,8))</f>
        <v>11111.520600361078</v>
      </c>
      <c r="AE28" s="31">
        <f>IF(HLOOKUP(AE$13,'MP (nominal)'!$D$12:$AM$244,ROW()-12,FALSE)="","",HLOOKUP(AE$13,'MP (nominal)'!$D$12:$AM$244,ROW()-12,FALSE))</f>
        <v>180382</v>
      </c>
      <c r="AF28" s="31">
        <f>IF(HLOOKUP(AF$13,'MP (nominal)'!$D$12:$AM$244,ROW()-12,FALSE)="","",HLOOKUP(AF$13,'MP (nominal)'!$D$12:$AM$244,ROW()-12,FALSE))</f>
        <v>4862</v>
      </c>
      <c r="AG28" s="281"/>
      <c r="AH28" s="281">
        <f>IF(HLOOKUP(AH$13,'MP (nominal)'!$D$12:$AM$244,ROW()-12,FALSE)="","",HLOOKUP(AH$13,'MP (nominal)'!$D$12:$AM$244,ROW()-12,FALSE)*VLOOKUP($C28,CPI!$B$9:$I$63,8))</f>
        <v>15669.810492845785</v>
      </c>
      <c r="AI28" s="31">
        <f>IF(HLOOKUP(AI$13,'MP (nominal)'!$D$12:$AM$244,ROW()-12,FALSE)="","",HLOOKUP(AI$13,'MP (nominal)'!$D$12:$AM$244,ROW()-12,FALSE))</f>
        <v>387909</v>
      </c>
      <c r="AJ28" s="31">
        <f>IF(HLOOKUP(AJ$13,'MP (nominal)'!$D$12:$AM$244,ROW()-12,FALSE)="","",HLOOKUP(AJ$13,'MP (nominal)'!$D$12:$AM$244,ROW()-12,FALSE))</f>
        <v>1083</v>
      </c>
      <c r="AK28" s="281"/>
      <c r="AL28" s="281">
        <f>IF(HLOOKUP(AL$13,'MP (nominal)'!$D$12:$AM$244,ROW()-12,FALSE)="","",HLOOKUP(AL$13,'MP (nominal)'!$D$12:$AM$244,ROW()-12,FALSE)*VLOOKUP($C28,CPI!$B$9:$I$63,8))</f>
        <v>1393.5610029371344</v>
      </c>
      <c r="AM28" s="31">
        <f>IF(HLOOKUP(AM$13,'MP (nominal)'!$D$12:$AM$244,ROW()-12,FALSE)="","",HLOOKUP(AM$13,'MP (nominal)'!$D$12:$AM$244,ROW()-12,FALSE))</f>
        <v>59736</v>
      </c>
      <c r="AN28" s="31">
        <f>IF(HLOOKUP(AN$13,'MP (nominal)'!$D$12:$AM$244,ROW()-12,FALSE)="","",HLOOKUP(AN$13,'MP (nominal)'!$D$12:$AM$244,ROW()-12,FALSE))</f>
        <v>5</v>
      </c>
      <c r="AO28" s="281"/>
      <c r="AP28" s="281">
        <f>IF(HLOOKUP(AP$13,'MP (nominal)'!$D$12:$AM$244,ROW()-12,FALSE)="","",HLOOKUP(AP$13,'MP (nominal)'!$D$12:$AM$244,ROW()-12,FALSE)*VLOOKUP($C28,CPI!$B$9:$I$63,8))</f>
        <v>74325.060224731205</v>
      </c>
      <c r="AQ28" s="31">
        <f>IF(HLOOKUP(AQ$13,'MP (nominal)'!$D$12:$AM$244,ROW()-12,FALSE)="","",HLOOKUP(AQ$13,'MP (nominal)'!$D$12:$AM$244,ROW()-12,FALSE))</f>
        <v>1279914.7</v>
      </c>
      <c r="AR28" s="281">
        <f>IF(HLOOKUP(AR$13,'MP (nominal)'!$D$12:$AM$244,ROW()-12,FALSE)="","",HLOOKUP(AR$13,'MP (nominal)'!$D$12:$AM$244,ROW()-12,FALSE))</f>
        <v>81573</v>
      </c>
    </row>
    <row r="29" spans="1:44" s="278" customFormat="1">
      <c r="A29" s="271">
        <f>References!J259</f>
        <v>31</v>
      </c>
      <c r="B29" s="292" t="s">
        <v>110</v>
      </c>
      <c r="C29" s="284">
        <v>2011</v>
      </c>
      <c r="D29" s="27">
        <f>IF(HLOOKUP(D$13,'MP (nominal)'!$D$12:$AM$244,ROW()-12,FALSE)="","",HLOOKUP(D$13,'MP (nominal)'!$D$12:$AM$244,ROW()-12,FALSE))</f>
        <v>3891.2</v>
      </c>
      <c r="E29" s="281">
        <f>IF(HLOOKUP(E$13,'MP (nominal)'!$D$12:$AM$244,ROW()-12,FALSE)="","",HLOOKUP(E$13,'MP (nominal)'!$D$12:$AM$244,ROW()-12,FALSE))</f>
        <v>48.1</v>
      </c>
      <c r="F29" s="27">
        <f>IF(HLOOKUP(F$13,'MP (nominal)'!$D$12:$AM$244,ROW()-12,FALSE)="","",HLOOKUP(F$13,'MP (nominal)'!$D$12:$AM$244,ROW()-12,FALSE))</f>
        <v>1730.1</v>
      </c>
      <c r="G29" s="281">
        <f>IF(HLOOKUP(G$13,'MP (nominal)'!$D$12:$AM$244,ROW()-12,FALSE)="","",HLOOKUP(G$13,'MP (nominal)'!$D$12:$AM$244,ROW()-12,FALSE))</f>
        <v>157.30000000000001</v>
      </c>
      <c r="H29" s="27">
        <f>IF(HLOOKUP(H$13,'MP (nominal)'!$D$12:$AM$244,ROW()-12,FALSE)="","",HLOOKUP(H$13,'MP (nominal)'!$D$12:$AM$244,ROW()-12,FALSE))</f>
        <v>5621.3</v>
      </c>
      <c r="I29" s="31">
        <f>IF(HLOOKUP(I$13,'MP (nominal)'!$D$12:$AM$244,ROW()-12,FALSE)="","",HLOOKUP(I$13,'MP (nominal)'!$D$12:$AM$244,ROW()-12,FALSE))</f>
        <v>205.4</v>
      </c>
      <c r="J29" s="31">
        <f>IF(HLOOKUP(J$13,'MP (nominal)'!$D$12:$AM$244,ROW()-12,FALSE)="","",HLOOKUP(J$13,'MP (nominal)'!$D$12:$AM$244,ROW()-12,FALSE))</f>
        <v>3891.2</v>
      </c>
      <c r="K29" s="281"/>
      <c r="L29" s="27">
        <f>IF(HLOOKUP(L$13,'MP (nominal)'!$D$12:$AM$244,ROW()-12,FALSE)="","",HLOOKUP(L$13,'MP (nominal)'!$D$12:$AM$244,ROW()-12,FALSE))</f>
        <v>274.08499999999998</v>
      </c>
      <c r="M29" s="283">
        <f>IF(HLOOKUP(M$13,'MP (nominal)'!$D$12:$AM$244,ROW()-12,FALSE)="","",HLOOKUP(M$13,'MP (nominal)'!$D$12:$AM$244,ROW()-12,FALSE))</f>
        <v>1238.2881</v>
      </c>
      <c r="N29" s="35"/>
      <c r="O29" s="27">
        <f>IF(HLOOKUP(O$13,'MP (nominal)'!$D$12:$AM$244,ROW()-12,FALSE)="","",HLOOKUP(O$13,'MP (nominal)'!$D$12:$AM$244,ROW()-12,FALSE))</f>
        <v>82368</v>
      </c>
      <c r="P29" s="31"/>
      <c r="Q29" s="281"/>
      <c r="R29" s="281">
        <f>IF(HLOOKUP(R$13,'MP (nominal)'!$D$12:$AM$244,ROW()-12,FALSE)="","",HLOOKUP(R$13,'MP (nominal)'!$D$12:$AM$244,ROW()-12,FALSE))</f>
        <v>111.54</v>
      </c>
      <c r="S29" s="281">
        <f>IF(HLOOKUP(S$13,'MP (nominal)'!$D$12:$AM$244,ROW()-12,FALSE)="","",HLOOKUP(S$13,'MP (nominal)'!$D$12:$AM$244,ROW()-12,FALSE))</f>
        <v>16.920000000000002</v>
      </c>
      <c r="T29" s="281">
        <f>IF(HLOOKUP(T$13,'MP (nominal)'!$D$12:$AM$244,ROW()-12,FALSE)="","",HLOOKUP(T$13,'MP (nominal)'!$D$12:$AM$244,ROW()-12,FALSE))</f>
        <v>94.62</v>
      </c>
      <c r="U29" s="281"/>
      <c r="V29" s="281">
        <f>IF(HLOOKUP(V$13,'MP (nominal)'!$D$12:$AM$244,ROW()-12,FALSE)="","",HLOOKUP(V$13,'MP (nominal)'!$D$12:$AM$244,ROW()-12,FALSE))</f>
        <v>1.4773510000000001</v>
      </c>
      <c r="W29" s="281">
        <f>IF(HLOOKUP(W$13,'MP (nominal)'!$D$12:$AM$244,ROW()-12,FALSE)="","",HLOOKUP(W$13,'MP (nominal)'!$D$12:$AM$244,ROW()-12,FALSE))</f>
        <v>0.11709343</v>
      </c>
      <c r="X29" s="281">
        <f>IF(HLOOKUP(X$13,'MP (nominal)'!$D$12:$AM$244,ROW()-12,FALSE)="","",HLOOKUP(X$13,'MP (nominal)'!$D$12:$AM$244,ROW()-12,FALSE))</f>
        <v>1.3614387999999999</v>
      </c>
      <c r="Y29" s="281"/>
      <c r="Z29" s="281">
        <f>IF(HLOOKUP(Z$13,'MP (nominal)'!$D$12:$AM$244,ROW()-12,FALSE)="","",HLOOKUP(Z$13,'MP (nominal)'!$D$12:$AM$244,ROW()-12,FALSE)*VLOOKUP($C29,CPI!$B$9:$I$63,8))</f>
        <v>44422.35</v>
      </c>
      <c r="AA29" s="281">
        <f>IF(HLOOKUP(AA$13,'MP (nominal)'!$D$12:$AM$244,ROW()-12,FALSE)="","",HLOOKUP(AA$13,'MP (nominal)'!$D$12:$AM$244,ROW()-12,FALSE))</f>
        <v>618934.56999999995</v>
      </c>
      <c r="AB29" s="281">
        <f>IF(HLOOKUP(AB$13,'MP (nominal)'!$D$12:$AM$244,ROW()-12,FALSE)="","",HLOOKUP(AB$13,'MP (nominal)'!$D$12:$AM$244,ROW()-12,FALSE))</f>
        <v>73656</v>
      </c>
      <c r="AC29" s="281"/>
      <c r="AD29" s="281">
        <f>IF(HLOOKUP(AD$13,'MP (nominal)'!$D$12:$AM$244,ROW()-12,FALSE)="","",HLOOKUP(AD$13,'MP (nominal)'!$D$12:$AM$244,ROW()-12,FALSE)*VLOOKUP($C29,CPI!$B$9:$I$63,8))</f>
        <v>11030.181</v>
      </c>
      <c r="AE29" s="31">
        <f>IF(HLOOKUP(AE$13,'MP (nominal)'!$D$12:$AM$244,ROW()-12,FALSE)="","",HLOOKUP(AE$13,'MP (nominal)'!$D$12:$AM$244,ROW()-12,FALSE))</f>
        <v>176499.75</v>
      </c>
      <c r="AF29" s="31">
        <f>IF(HLOOKUP(AF$13,'MP (nominal)'!$D$12:$AM$244,ROW()-12,FALSE)="","",HLOOKUP(AF$13,'MP (nominal)'!$D$12:$AM$244,ROW()-12,FALSE))</f>
        <v>5010</v>
      </c>
      <c r="AG29" s="281"/>
      <c r="AH29" s="281">
        <f>IF(HLOOKUP(AH$13,'MP (nominal)'!$D$12:$AM$244,ROW()-12,FALSE)="","",HLOOKUP(AH$13,'MP (nominal)'!$D$12:$AM$244,ROW()-12,FALSE)*VLOOKUP($C29,CPI!$B$9:$I$63,8))</f>
        <v>15353.165999999999</v>
      </c>
      <c r="AI29" s="31">
        <f>IF(HLOOKUP(AI$13,'MP (nominal)'!$D$12:$AM$244,ROW()-12,FALSE)="","",HLOOKUP(AI$13,'MP (nominal)'!$D$12:$AM$244,ROW()-12,FALSE))</f>
        <v>388360.95</v>
      </c>
      <c r="AJ29" s="31">
        <f>IF(HLOOKUP(AJ$13,'MP (nominal)'!$D$12:$AM$244,ROW()-12,FALSE)="","",HLOOKUP(AJ$13,'MP (nominal)'!$D$12:$AM$244,ROW()-12,FALSE))</f>
        <v>1017</v>
      </c>
      <c r="AK29" s="281"/>
      <c r="AL29" s="281">
        <f>IF(HLOOKUP(AL$13,'MP (nominal)'!$D$12:$AM$244,ROW()-12,FALSE)="","",HLOOKUP(AL$13,'MP (nominal)'!$D$12:$AM$244,ROW()-12,FALSE)*VLOOKUP($C29,CPI!$B$9:$I$63,8))</f>
        <v>1311.3030000000001</v>
      </c>
      <c r="AM29" s="31">
        <f>IF(HLOOKUP(AM$13,'MP (nominal)'!$D$12:$AM$244,ROW()-12,FALSE)="","",HLOOKUP(AM$13,'MP (nominal)'!$D$12:$AM$244,ROW()-12,FALSE))</f>
        <v>54492.851999999999</v>
      </c>
      <c r="AN29" s="31">
        <f>IF(HLOOKUP(AN$13,'MP (nominal)'!$D$12:$AM$244,ROW()-12,FALSE)="","",HLOOKUP(AN$13,'MP (nominal)'!$D$12:$AM$244,ROW()-12,FALSE))</f>
        <v>5</v>
      </c>
      <c r="AO29" s="281"/>
      <c r="AP29" s="281">
        <f>IF(HLOOKUP(AP$13,'MP (nominal)'!$D$12:$AM$244,ROW()-12,FALSE)="","",HLOOKUP(AP$13,'MP (nominal)'!$D$12:$AM$244,ROW()-12,FALSE)*VLOOKUP($C29,CPI!$B$9:$I$63,8))</f>
        <v>72117</v>
      </c>
      <c r="AQ29" s="31">
        <f>IF(HLOOKUP(AQ$13,'MP (nominal)'!$D$12:$AM$244,ROW()-12,FALSE)="","",HLOOKUP(AQ$13,'MP (nominal)'!$D$12:$AM$244,ROW()-12,FALSE))</f>
        <v>1238288.1000000001</v>
      </c>
      <c r="AR29" s="281">
        <f>IF(HLOOKUP(AR$13,'MP (nominal)'!$D$12:$AM$244,ROW()-12,FALSE)="","",HLOOKUP(AR$13,'MP (nominal)'!$D$12:$AM$244,ROW()-12,FALSE))</f>
        <v>82368</v>
      </c>
    </row>
    <row r="30" spans="1:44" s="278" customFormat="1" hidden="1">
      <c r="A30" s="271">
        <f>References!C260</f>
        <v>47</v>
      </c>
      <c r="B30" s="292" t="s">
        <v>31</v>
      </c>
      <c r="C30" s="284">
        <v>2004</v>
      </c>
      <c r="D30" s="27" t="str">
        <f>IF(HLOOKUP(D$13,'MP (nominal)'!$D$12:$AM$244,ROW()-12,FALSE)="","",HLOOKUP(D$13,'MP (nominal)'!$D$12:$AM$244,ROW()-12,FALSE))</f>
        <v/>
      </c>
      <c r="E30" s="281" t="str">
        <f>IF(HLOOKUP(E$13,'MP (nominal)'!$D$12:$AM$244,ROW()-12,FALSE)="","",HLOOKUP(E$13,'MP (nominal)'!$D$12:$AM$244,ROW()-12,FALSE))</f>
        <v/>
      </c>
      <c r="F30" s="27">
        <f>IF(HLOOKUP(F$13,'MP (nominal)'!$D$12:$AM$244,ROW()-12,FALSE)="","",HLOOKUP(F$13,'MP (nominal)'!$D$12:$AM$244,ROW()-12,FALSE))</f>
        <v>16.2</v>
      </c>
      <c r="G30" s="281" t="str">
        <f>IF(HLOOKUP(G$13,'MP (nominal)'!$D$12:$AM$244,ROW()-12,FALSE)="","",HLOOKUP(G$13,'MP (nominal)'!$D$12:$AM$244,ROW()-12,FALSE))</f>
        <v/>
      </c>
      <c r="H30" s="27">
        <f>IF(HLOOKUP(H$13,'MP (nominal)'!$D$12:$AM$244,ROW()-12,FALSE)="","",HLOOKUP(H$13,'MP (nominal)'!$D$12:$AM$244,ROW()-12,FALSE))</f>
        <v>608</v>
      </c>
      <c r="I30" s="31" t="str">
        <f>IF(HLOOKUP(I$13,'MP (nominal)'!$D$12:$AM$244,ROW()-12,FALSE)="","",HLOOKUP(I$13,'MP (nominal)'!$D$12:$AM$244,ROW()-12,FALSE))</f>
        <v/>
      </c>
      <c r="J30" s="31">
        <f>IF(HLOOKUP(J$13,'MP (nominal)'!$D$12:$AM$244,ROW()-12,FALSE)="","",HLOOKUP(J$13,'MP (nominal)'!$D$12:$AM$244,ROW()-12,FALSE))</f>
        <v>592</v>
      </c>
      <c r="K30" s="281"/>
      <c r="L30" s="27">
        <f>IF(HLOOKUP(L$13,'MP (nominal)'!$D$12:$AM$244,ROW()-12,FALSE)="","",HLOOKUP(L$13,'MP (nominal)'!$D$12:$AM$244,ROW()-12,FALSE))</f>
        <v>7.82</v>
      </c>
      <c r="M30" s="293">
        <f>IF(HLOOKUP(M$13,'MP (nominal)'!$D$12:$AM$244,ROW()-12,FALSE)="","",HLOOKUP(M$13,'MP (nominal)'!$D$12:$AM$244,ROW()-12,FALSE))</f>
        <v>40.082593000000003</v>
      </c>
      <c r="N30" s="35"/>
      <c r="O30" s="27">
        <f>IF(HLOOKUP(O$13,'MP (nominal)'!$D$12:$AM$244,ROW()-12,FALSE)="","",HLOOKUP(O$13,'MP (nominal)'!$D$12:$AM$244,ROW()-12,FALSE))</f>
        <v>4171</v>
      </c>
      <c r="P30" s="31"/>
      <c r="Q30" s="281"/>
      <c r="R30" s="281">
        <f>IF(HLOOKUP(R$13,'MP (nominal)'!$D$12:$AM$244,ROW()-12,FALSE)="","",HLOOKUP(R$13,'MP (nominal)'!$D$12:$AM$244,ROW()-12,FALSE))</f>
        <v>256</v>
      </c>
      <c r="S30" s="281" t="str">
        <f>IF(HLOOKUP(S$13,'MP (nominal)'!$D$12:$AM$244,ROW()-12,FALSE)="","",HLOOKUP(S$13,'MP (nominal)'!$D$12:$AM$244,ROW()-12,FALSE))</f>
        <v/>
      </c>
      <c r="T30" s="281" t="str">
        <f>IF(HLOOKUP(T$13,'MP (nominal)'!$D$12:$AM$244,ROW()-12,FALSE)="","",HLOOKUP(T$13,'MP (nominal)'!$D$12:$AM$244,ROW()-12,FALSE))</f>
        <v/>
      </c>
      <c r="U30" s="281"/>
      <c r="V30" s="281">
        <f>IF(HLOOKUP(V$13,'MP (nominal)'!$D$12:$AM$244,ROW()-12,FALSE)="","",HLOOKUP(V$13,'MP (nominal)'!$D$12:$AM$244,ROW()-12,FALSE))</f>
        <v>2.41</v>
      </c>
      <c r="W30" s="281" t="str">
        <f>IF(HLOOKUP(W$13,'MP (nominal)'!$D$12:$AM$244,ROW()-12,FALSE)="","",HLOOKUP(W$13,'MP (nominal)'!$D$12:$AM$244,ROW()-12,FALSE))</f>
        <v/>
      </c>
      <c r="X30" s="281" t="str">
        <f>IF(HLOOKUP(X$13,'MP (nominal)'!$D$12:$AM$244,ROW()-12,FALSE)="","",HLOOKUP(X$13,'MP (nominal)'!$D$12:$AM$244,ROW()-12,FALSE))</f>
        <v/>
      </c>
      <c r="Y30" s="281"/>
      <c r="Z30" s="281" t="str">
        <f>IF(HLOOKUP(Z$13,'MP (nominal)'!$D$12:$AM$244,ROW()-12,FALSE)="","",HLOOKUP(Z$13,'MP (nominal)'!$D$12:$AM$244,ROW()-12,FALSE)*VLOOKUP($C30,CPI!$B$9:$I$63,8))</f>
        <v/>
      </c>
      <c r="AA30" s="281" t="str">
        <f>IF(HLOOKUP(AA$13,'MP (nominal)'!$D$12:$AM$244,ROW()-12,FALSE)="","",HLOOKUP(AA$13,'MP (nominal)'!$D$12:$AM$244,ROW()-12,FALSE))</f>
        <v/>
      </c>
      <c r="AB30" s="281" t="str">
        <f>IF(HLOOKUP(AB$13,'MP (nominal)'!$D$12:$AM$244,ROW()-12,FALSE)="","",HLOOKUP(AB$13,'MP (nominal)'!$D$12:$AM$244,ROW()-12,FALSE))</f>
        <v/>
      </c>
      <c r="AC30" s="281"/>
      <c r="AD30" s="281" t="str">
        <f>IF(HLOOKUP(AD$13,'MP (nominal)'!$D$12:$AM$244,ROW()-12,FALSE)="","",HLOOKUP(AD$13,'MP (nominal)'!$D$12:$AM$244,ROW()-12,FALSE)*VLOOKUP($C30,CPI!$B$9:$I$63,8))</f>
        <v/>
      </c>
      <c r="AE30" s="31" t="str">
        <f>IF(HLOOKUP(AE$13,'MP (nominal)'!$D$12:$AM$244,ROW()-12,FALSE)="","",HLOOKUP(AE$13,'MP (nominal)'!$D$12:$AM$244,ROW()-12,FALSE))</f>
        <v/>
      </c>
      <c r="AF30" s="31" t="str">
        <f>IF(HLOOKUP(AF$13,'MP (nominal)'!$D$12:$AM$244,ROW()-12,FALSE)="","",HLOOKUP(AF$13,'MP (nominal)'!$D$12:$AM$244,ROW()-12,FALSE))</f>
        <v/>
      </c>
      <c r="AG30" s="281"/>
      <c r="AH30" s="281" t="str">
        <f>IF(HLOOKUP(AH$13,'MP (nominal)'!$D$12:$AM$244,ROW()-12,FALSE)="","",HLOOKUP(AH$13,'MP (nominal)'!$D$12:$AM$244,ROW()-12,FALSE)*VLOOKUP($C30,CPI!$B$9:$I$63,8))</f>
        <v/>
      </c>
      <c r="AI30" s="31" t="str">
        <f>IF(HLOOKUP(AI$13,'MP (nominal)'!$D$12:$AM$244,ROW()-12,FALSE)="","",HLOOKUP(AI$13,'MP (nominal)'!$D$12:$AM$244,ROW()-12,FALSE))</f>
        <v/>
      </c>
      <c r="AJ30" s="31" t="str">
        <f>IF(HLOOKUP(AJ$13,'MP (nominal)'!$D$12:$AM$244,ROW()-12,FALSE)="","",HLOOKUP(AJ$13,'MP (nominal)'!$D$12:$AM$244,ROW()-12,FALSE))</f>
        <v/>
      </c>
      <c r="AK30" s="281"/>
      <c r="AL30" s="281" t="str">
        <f>IF(HLOOKUP(AL$13,'MP (nominal)'!$D$12:$AM$244,ROW()-12,FALSE)="","",HLOOKUP(AL$13,'MP (nominal)'!$D$12:$AM$244,ROW()-12,FALSE)*VLOOKUP($C30,CPI!$B$9:$I$63,8))</f>
        <v/>
      </c>
      <c r="AM30" s="31" t="str">
        <f>IF(HLOOKUP(AM$13,'MP (nominal)'!$D$12:$AM$244,ROW()-12,FALSE)="","",HLOOKUP(AM$13,'MP (nominal)'!$D$12:$AM$244,ROW()-12,FALSE))</f>
        <v/>
      </c>
      <c r="AN30" s="31" t="str">
        <f>IF(HLOOKUP(AN$13,'MP (nominal)'!$D$12:$AM$244,ROW()-12,FALSE)="","",HLOOKUP(AN$13,'MP (nominal)'!$D$12:$AM$244,ROW()-12,FALSE))</f>
        <v/>
      </c>
      <c r="AO30" s="281"/>
      <c r="AP30" s="281" t="str">
        <f>IF(HLOOKUP(AP$13,'MP (nominal)'!$D$12:$AM$244,ROW()-12,FALSE)="","",HLOOKUP(AP$13,'MP (nominal)'!$D$12:$AM$244,ROW()-12,FALSE)*VLOOKUP($C30,CPI!$B$9:$I$63,8))</f>
        <v/>
      </c>
      <c r="AQ30" s="31" t="str">
        <f>IF(HLOOKUP(AQ$13,'MP (nominal)'!$D$12:$AM$244,ROW()-12,FALSE)="","",HLOOKUP(AQ$13,'MP (nominal)'!$D$12:$AM$244,ROW()-12,FALSE))</f>
        <v/>
      </c>
      <c r="AR30" s="281" t="str">
        <f>IF(HLOOKUP(AR$13,'MP (nominal)'!$D$12:$AM$244,ROW()-12,FALSE)="","",HLOOKUP(AR$13,'MP (nominal)'!$D$12:$AM$244,ROW()-12,FALSE))</f>
        <v/>
      </c>
    </row>
    <row r="31" spans="1:44" s="278" customFormat="1" hidden="1">
      <c r="A31" s="271">
        <f>References!D260</f>
        <v>48</v>
      </c>
      <c r="B31" s="292" t="s">
        <v>31</v>
      </c>
      <c r="C31" s="284">
        <v>2005</v>
      </c>
      <c r="D31" s="27" t="str">
        <f>IF(HLOOKUP(D$13,'MP (nominal)'!$D$12:$AM$244,ROW()-12,FALSE)="","",HLOOKUP(D$13,'MP (nominal)'!$D$12:$AM$244,ROW()-12,FALSE))</f>
        <v/>
      </c>
      <c r="E31" s="281" t="str">
        <f>IF(HLOOKUP(E$13,'MP (nominal)'!$D$12:$AM$244,ROW()-12,FALSE)="","",HLOOKUP(E$13,'MP (nominal)'!$D$12:$AM$244,ROW()-12,FALSE))</f>
        <v/>
      </c>
      <c r="F31" s="27">
        <f>IF(HLOOKUP(F$13,'MP (nominal)'!$D$12:$AM$244,ROW()-12,FALSE)="","",HLOOKUP(F$13,'MP (nominal)'!$D$12:$AM$244,ROW()-12,FALSE))</f>
        <v>17.2</v>
      </c>
      <c r="G31" s="281" t="str">
        <f>IF(HLOOKUP(G$13,'MP (nominal)'!$D$12:$AM$244,ROW()-12,FALSE)="","",HLOOKUP(G$13,'MP (nominal)'!$D$12:$AM$244,ROW()-12,FALSE))</f>
        <v/>
      </c>
      <c r="H31" s="27">
        <f>IF(HLOOKUP(H$13,'MP (nominal)'!$D$12:$AM$244,ROW()-12,FALSE)="","",HLOOKUP(H$13,'MP (nominal)'!$D$12:$AM$244,ROW()-12,FALSE))</f>
        <v>598</v>
      </c>
      <c r="I31" s="31" t="str">
        <f>IF(HLOOKUP(I$13,'MP (nominal)'!$D$12:$AM$244,ROW()-12,FALSE)="","",HLOOKUP(I$13,'MP (nominal)'!$D$12:$AM$244,ROW()-12,FALSE))</f>
        <v/>
      </c>
      <c r="J31" s="31">
        <f>IF(HLOOKUP(J$13,'MP (nominal)'!$D$12:$AM$244,ROW()-12,FALSE)="","",HLOOKUP(J$13,'MP (nominal)'!$D$12:$AM$244,ROW()-12,FALSE))</f>
        <v>581</v>
      </c>
      <c r="K31" s="281"/>
      <c r="L31" s="27">
        <f>IF(HLOOKUP(L$13,'MP (nominal)'!$D$12:$AM$244,ROW()-12,FALSE)="","",HLOOKUP(L$13,'MP (nominal)'!$D$12:$AM$244,ROW()-12,FALSE))</f>
        <v>7.9029999999999996</v>
      </c>
      <c r="M31" s="293">
        <f>IF(HLOOKUP(M$13,'MP (nominal)'!$D$12:$AM$244,ROW()-12,FALSE)="","",HLOOKUP(M$13,'MP (nominal)'!$D$12:$AM$244,ROW()-12,FALSE))</f>
        <v>41.168505000000003</v>
      </c>
      <c r="N31" s="35"/>
      <c r="O31" s="27">
        <f>IF(HLOOKUP(O$13,'MP (nominal)'!$D$12:$AM$244,ROW()-12,FALSE)="","",HLOOKUP(O$13,'MP (nominal)'!$D$12:$AM$244,ROW()-12,FALSE))</f>
        <v>4178</v>
      </c>
      <c r="P31" s="31"/>
      <c r="Q31" s="281"/>
      <c r="R31" s="281">
        <f>IF(HLOOKUP(R$13,'MP (nominal)'!$D$12:$AM$244,ROW()-12,FALSE)="","",HLOOKUP(R$13,'MP (nominal)'!$D$12:$AM$244,ROW()-12,FALSE))</f>
        <v>134</v>
      </c>
      <c r="S31" s="281" t="str">
        <f>IF(HLOOKUP(S$13,'MP (nominal)'!$D$12:$AM$244,ROW()-12,FALSE)="","",HLOOKUP(S$13,'MP (nominal)'!$D$12:$AM$244,ROW()-12,FALSE))</f>
        <v/>
      </c>
      <c r="T31" s="281" t="str">
        <f>IF(HLOOKUP(T$13,'MP (nominal)'!$D$12:$AM$244,ROW()-12,FALSE)="","",HLOOKUP(T$13,'MP (nominal)'!$D$12:$AM$244,ROW()-12,FALSE))</f>
        <v/>
      </c>
      <c r="U31" s="281"/>
      <c r="V31" s="281">
        <f>IF(HLOOKUP(V$13,'MP (nominal)'!$D$12:$AM$244,ROW()-12,FALSE)="","",HLOOKUP(V$13,'MP (nominal)'!$D$12:$AM$244,ROW()-12,FALSE))</f>
        <v>1.34</v>
      </c>
      <c r="W31" s="281" t="str">
        <f>IF(HLOOKUP(W$13,'MP (nominal)'!$D$12:$AM$244,ROW()-12,FALSE)="","",HLOOKUP(W$13,'MP (nominal)'!$D$12:$AM$244,ROW()-12,FALSE))</f>
        <v/>
      </c>
      <c r="X31" s="281" t="str">
        <f>IF(HLOOKUP(X$13,'MP (nominal)'!$D$12:$AM$244,ROW()-12,FALSE)="","",HLOOKUP(X$13,'MP (nominal)'!$D$12:$AM$244,ROW()-12,FALSE))</f>
        <v/>
      </c>
      <c r="Y31" s="281"/>
      <c r="Z31" s="281" t="str">
        <f>IF(HLOOKUP(Z$13,'MP (nominal)'!$D$12:$AM$244,ROW()-12,FALSE)="","",HLOOKUP(Z$13,'MP (nominal)'!$D$12:$AM$244,ROW()-12,FALSE)*VLOOKUP($C31,CPI!$B$9:$I$63,8))</f>
        <v/>
      </c>
      <c r="AA31" s="281" t="str">
        <f>IF(HLOOKUP(AA$13,'MP (nominal)'!$D$12:$AM$244,ROW()-12,FALSE)="","",HLOOKUP(AA$13,'MP (nominal)'!$D$12:$AM$244,ROW()-12,FALSE))</f>
        <v/>
      </c>
      <c r="AB31" s="281" t="str">
        <f>IF(HLOOKUP(AB$13,'MP (nominal)'!$D$12:$AM$244,ROW()-12,FALSE)="","",HLOOKUP(AB$13,'MP (nominal)'!$D$12:$AM$244,ROW()-12,FALSE))</f>
        <v/>
      </c>
      <c r="AC31" s="281"/>
      <c r="AD31" s="281" t="str">
        <f>IF(HLOOKUP(AD$13,'MP (nominal)'!$D$12:$AM$244,ROW()-12,FALSE)="","",HLOOKUP(AD$13,'MP (nominal)'!$D$12:$AM$244,ROW()-12,FALSE)*VLOOKUP($C31,CPI!$B$9:$I$63,8))</f>
        <v/>
      </c>
      <c r="AE31" s="31" t="str">
        <f>IF(HLOOKUP(AE$13,'MP (nominal)'!$D$12:$AM$244,ROW()-12,FALSE)="","",HLOOKUP(AE$13,'MP (nominal)'!$D$12:$AM$244,ROW()-12,FALSE))</f>
        <v/>
      </c>
      <c r="AF31" s="31" t="str">
        <f>IF(HLOOKUP(AF$13,'MP (nominal)'!$D$12:$AM$244,ROW()-12,FALSE)="","",HLOOKUP(AF$13,'MP (nominal)'!$D$12:$AM$244,ROW()-12,FALSE))</f>
        <v/>
      </c>
      <c r="AG31" s="281"/>
      <c r="AH31" s="281" t="str">
        <f>IF(HLOOKUP(AH$13,'MP (nominal)'!$D$12:$AM$244,ROW()-12,FALSE)="","",HLOOKUP(AH$13,'MP (nominal)'!$D$12:$AM$244,ROW()-12,FALSE)*VLOOKUP($C31,CPI!$B$9:$I$63,8))</f>
        <v/>
      </c>
      <c r="AI31" s="31" t="str">
        <f>IF(HLOOKUP(AI$13,'MP (nominal)'!$D$12:$AM$244,ROW()-12,FALSE)="","",HLOOKUP(AI$13,'MP (nominal)'!$D$12:$AM$244,ROW()-12,FALSE))</f>
        <v/>
      </c>
      <c r="AJ31" s="31" t="str">
        <f>IF(HLOOKUP(AJ$13,'MP (nominal)'!$D$12:$AM$244,ROW()-12,FALSE)="","",HLOOKUP(AJ$13,'MP (nominal)'!$D$12:$AM$244,ROW()-12,FALSE))</f>
        <v/>
      </c>
      <c r="AK31" s="281"/>
      <c r="AL31" s="281" t="str">
        <f>IF(HLOOKUP(AL$13,'MP (nominal)'!$D$12:$AM$244,ROW()-12,FALSE)="","",HLOOKUP(AL$13,'MP (nominal)'!$D$12:$AM$244,ROW()-12,FALSE)*VLOOKUP($C31,CPI!$B$9:$I$63,8))</f>
        <v/>
      </c>
      <c r="AM31" s="31" t="str">
        <f>IF(HLOOKUP(AM$13,'MP (nominal)'!$D$12:$AM$244,ROW()-12,FALSE)="","",HLOOKUP(AM$13,'MP (nominal)'!$D$12:$AM$244,ROW()-12,FALSE))</f>
        <v/>
      </c>
      <c r="AN31" s="31" t="str">
        <f>IF(HLOOKUP(AN$13,'MP (nominal)'!$D$12:$AM$244,ROW()-12,FALSE)="","",HLOOKUP(AN$13,'MP (nominal)'!$D$12:$AM$244,ROW()-12,FALSE))</f>
        <v/>
      </c>
      <c r="AO31" s="281"/>
      <c r="AP31" s="281" t="str">
        <f>IF(HLOOKUP(AP$13,'MP (nominal)'!$D$12:$AM$244,ROW()-12,FALSE)="","",HLOOKUP(AP$13,'MP (nominal)'!$D$12:$AM$244,ROW()-12,FALSE)*VLOOKUP($C31,CPI!$B$9:$I$63,8))</f>
        <v/>
      </c>
      <c r="AQ31" s="31" t="str">
        <f>IF(HLOOKUP(AQ$13,'MP (nominal)'!$D$12:$AM$244,ROW()-12,FALSE)="","",HLOOKUP(AQ$13,'MP (nominal)'!$D$12:$AM$244,ROW()-12,FALSE))</f>
        <v/>
      </c>
      <c r="AR31" s="281" t="str">
        <f>IF(HLOOKUP(AR$13,'MP (nominal)'!$D$12:$AM$244,ROW()-12,FALSE)="","",HLOOKUP(AR$13,'MP (nominal)'!$D$12:$AM$244,ROW()-12,FALSE))</f>
        <v/>
      </c>
    </row>
    <row r="32" spans="1:44" s="278" customFormat="1" hidden="1">
      <c r="A32" s="271">
        <f>References!E260</f>
        <v>49</v>
      </c>
      <c r="B32" s="292" t="s">
        <v>31</v>
      </c>
      <c r="C32" s="284">
        <v>2006</v>
      </c>
      <c r="D32" s="27" t="str">
        <f>IF(HLOOKUP(D$13,'MP (nominal)'!$D$12:$AM$244,ROW()-12,FALSE)="","",HLOOKUP(D$13,'MP (nominal)'!$D$12:$AM$244,ROW()-12,FALSE))</f>
        <v/>
      </c>
      <c r="E32" s="281" t="str">
        <f>IF(HLOOKUP(E$13,'MP (nominal)'!$D$12:$AM$244,ROW()-12,FALSE)="","",HLOOKUP(E$13,'MP (nominal)'!$D$12:$AM$244,ROW()-12,FALSE))</f>
        <v/>
      </c>
      <c r="F32" s="27">
        <f>IF(HLOOKUP(F$13,'MP (nominal)'!$D$12:$AM$244,ROW()-12,FALSE)="","",HLOOKUP(F$13,'MP (nominal)'!$D$12:$AM$244,ROW()-12,FALSE))</f>
        <v>23.5</v>
      </c>
      <c r="G32" s="281" t="str">
        <f>IF(HLOOKUP(G$13,'MP (nominal)'!$D$12:$AM$244,ROW()-12,FALSE)="","",HLOOKUP(G$13,'MP (nominal)'!$D$12:$AM$244,ROW()-12,FALSE))</f>
        <v/>
      </c>
      <c r="H32" s="27">
        <f>IF(HLOOKUP(H$13,'MP (nominal)'!$D$12:$AM$244,ROW()-12,FALSE)="","",HLOOKUP(H$13,'MP (nominal)'!$D$12:$AM$244,ROW()-12,FALSE))</f>
        <v>587</v>
      </c>
      <c r="I32" s="31" t="str">
        <f>IF(HLOOKUP(I$13,'MP (nominal)'!$D$12:$AM$244,ROW()-12,FALSE)="","",HLOOKUP(I$13,'MP (nominal)'!$D$12:$AM$244,ROW()-12,FALSE))</f>
        <v/>
      </c>
      <c r="J32" s="31">
        <f>IF(HLOOKUP(J$13,'MP (nominal)'!$D$12:$AM$244,ROW()-12,FALSE)="","",HLOOKUP(J$13,'MP (nominal)'!$D$12:$AM$244,ROW()-12,FALSE))</f>
        <v>563</v>
      </c>
      <c r="K32" s="281"/>
      <c r="L32" s="27">
        <f>IF(HLOOKUP(L$13,'MP (nominal)'!$D$12:$AM$244,ROW()-12,FALSE)="","",HLOOKUP(L$13,'MP (nominal)'!$D$12:$AM$244,ROW()-12,FALSE))</f>
        <v>7.8460000000000001</v>
      </c>
      <c r="M32" s="293">
        <f>IF(HLOOKUP(M$13,'MP (nominal)'!$D$12:$AM$244,ROW()-12,FALSE)="","",HLOOKUP(M$13,'MP (nominal)'!$D$12:$AM$244,ROW()-12,FALSE))</f>
        <v>40.585568000000002</v>
      </c>
      <c r="N32" s="35"/>
      <c r="O32" s="27">
        <f>IF(HLOOKUP(O$13,'MP (nominal)'!$D$12:$AM$244,ROW()-12,FALSE)="","",HLOOKUP(O$13,'MP (nominal)'!$D$12:$AM$244,ROW()-12,FALSE))</f>
        <v>4211</v>
      </c>
      <c r="P32" s="31"/>
      <c r="Q32" s="281"/>
      <c r="R32" s="281">
        <f>IF(HLOOKUP(R$13,'MP (nominal)'!$D$12:$AM$244,ROW()-12,FALSE)="","",HLOOKUP(R$13,'MP (nominal)'!$D$12:$AM$244,ROW()-12,FALSE))</f>
        <v>196</v>
      </c>
      <c r="S32" s="281" t="str">
        <f>IF(HLOOKUP(S$13,'MP (nominal)'!$D$12:$AM$244,ROW()-12,FALSE)="","",HLOOKUP(S$13,'MP (nominal)'!$D$12:$AM$244,ROW()-12,FALSE))</f>
        <v/>
      </c>
      <c r="T32" s="281" t="str">
        <f>IF(HLOOKUP(T$13,'MP (nominal)'!$D$12:$AM$244,ROW()-12,FALSE)="","",HLOOKUP(T$13,'MP (nominal)'!$D$12:$AM$244,ROW()-12,FALSE))</f>
        <v/>
      </c>
      <c r="U32" s="281"/>
      <c r="V32" s="281">
        <f>IF(HLOOKUP(V$13,'MP (nominal)'!$D$12:$AM$244,ROW()-12,FALSE)="","",HLOOKUP(V$13,'MP (nominal)'!$D$12:$AM$244,ROW()-12,FALSE))</f>
        <v>1.88</v>
      </c>
      <c r="W32" s="281" t="str">
        <f>IF(HLOOKUP(W$13,'MP (nominal)'!$D$12:$AM$244,ROW()-12,FALSE)="","",HLOOKUP(W$13,'MP (nominal)'!$D$12:$AM$244,ROW()-12,FALSE))</f>
        <v/>
      </c>
      <c r="X32" s="281" t="str">
        <f>IF(HLOOKUP(X$13,'MP (nominal)'!$D$12:$AM$244,ROW()-12,FALSE)="","",HLOOKUP(X$13,'MP (nominal)'!$D$12:$AM$244,ROW()-12,FALSE))</f>
        <v/>
      </c>
      <c r="Y32" s="281"/>
      <c r="Z32" s="281" t="str">
        <f>IF(HLOOKUP(Z$13,'MP (nominal)'!$D$12:$AM$244,ROW()-12,FALSE)="","",HLOOKUP(Z$13,'MP (nominal)'!$D$12:$AM$244,ROW()-12,FALSE)*VLOOKUP($C32,CPI!$B$9:$I$63,8))</f>
        <v/>
      </c>
      <c r="AA32" s="281" t="str">
        <f>IF(HLOOKUP(AA$13,'MP (nominal)'!$D$12:$AM$244,ROW()-12,FALSE)="","",HLOOKUP(AA$13,'MP (nominal)'!$D$12:$AM$244,ROW()-12,FALSE))</f>
        <v/>
      </c>
      <c r="AB32" s="281" t="str">
        <f>IF(HLOOKUP(AB$13,'MP (nominal)'!$D$12:$AM$244,ROW()-12,FALSE)="","",HLOOKUP(AB$13,'MP (nominal)'!$D$12:$AM$244,ROW()-12,FALSE))</f>
        <v/>
      </c>
      <c r="AC32" s="281"/>
      <c r="AD32" s="281" t="str">
        <f>IF(HLOOKUP(AD$13,'MP (nominal)'!$D$12:$AM$244,ROW()-12,FALSE)="","",HLOOKUP(AD$13,'MP (nominal)'!$D$12:$AM$244,ROW()-12,FALSE)*VLOOKUP($C32,CPI!$B$9:$I$63,8))</f>
        <v/>
      </c>
      <c r="AE32" s="31" t="str">
        <f>IF(HLOOKUP(AE$13,'MP (nominal)'!$D$12:$AM$244,ROW()-12,FALSE)="","",HLOOKUP(AE$13,'MP (nominal)'!$D$12:$AM$244,ROW()-12,FALSE))</f>
        <v/>
      </c>
      <c r="AF32" s="31" t="str">
        <f>IF(HLOOKUP(AF$13,'MP (nominal)'!$D$12:$AM$244,ROW()-12,FALSE)="","",HLOOKUP(AF$13,'MP (nominal)'!$D$12:$AM$244,ROW()-12,FALSE))</f>
        <v/>
      </c>
      <c r="AG32" s="281"/>
      <c r="AH32" s="281" t="str">
        <f>IF(HLOOKUP(AH$13,'MP (nominal)'!$D$12:$AM$244,ROW()-12,FALSE)="","",HLOOKUP(AH$13,'MP (nominal)'!$D$12:$AM$244,ROW()-12,FALSE)*VLOOKUP($C32,CPI!$B$9:$I$63,8))</f>
        <v/>
      </c>
      <c r="AI32" s="31" t="str">
        <f>IF(HLOOKUP(AI$13,'MP (nominal)'!$D$12:$AM$244,ROW()-12,FALSE)="","",HLOOKUP(AI$13,'MP (nominal)'!$D$12:$AM$244,ROW()-12,FALSE))</f>
        <v/>
      </c>
      <c r="AJ32" s="31" t="str">
        <f>IF(HLOOKUP(AJ$13,'MP (nominal)'!$D$12:$AM$244,ROW()-12,FALSE)="","",HLOOKUP(AJ$13,'MP (nominal)'!$D$12:$AM$244,ROW()-12,FALSE))</f>
        <v/>
      </c>
      <c r="AK32" s="281"/>
      <c r="AL32" s="281" t="str">
        <f>IF(HLOOKUP(AL$13,'MP (nominal)'!$D$12:$AM$244,ROW()-12,FALSE)="","",HLOOKUP(AL$13,'MP (nominal)'!$D$12:$AM$244,ROW()-12,FALSE)*VLOOKUP($C32,CPI!$B$9:$I$63,8))</f>
        <v/>
      </c>
      <c r="AM32" s="31" t="str">
        <f>IF(HLOOKUP(AM$13,'MP (nominal)'!$D$12:$AM$244,ROW()-12,FALSE)="","",HLOOKUP(AM$13,'MP (nominal)'!$D$12:$AM$244,ROW()-12,FALSE))</f>
        <v/>
      </c>
      <c r="AN32" s="31" t="str">
        <f>IF(HLOOKUP(AN$13,'MP (nominal)'!$D$12:$AM$244,ROW()-12,FALSE)="","",HLOOKUP(AN$13,'MP (nominal)'!$D$12:$AM$244,ROW()-12,FALSE))</f>
        <v/>
      </c>
      <c r="AO32" s="281"/>
      <c r="AP32" s="281" t="str">
        <f>IF(HLOOKUP(AP$13,'MP (nominal)'!$D$12:$AM$244,ROW()-12,FALSE)="","",HLOOKUP(AP$13,'MP (nominal)'!$D$12:$AM$244,ROW()-12,FALSE)*VLOOKUP($C32,CPI!$B$9:$I$63,8))</f>
        <v/>
      </c>
      <c r="AQ32" s="31" t="str">
        <f>IF(HLOOKUP(AQ$13,'MP (nominal)'!$D$12:$AM$244,ROW()-12,FALSE)="","",HLOOKUP(AQ$13,'MP (nominal)'!$D$12:$AM$244,ROW()-12,FALSE))</f>
        <v/>
      </c>
      <c r="AR32" s="281" t="str">
        <f>IF(HLOOKUP(AR$13,'MP (nominal)'!$D$12:$AM$244,ROW()-12,FALSE)="","",HLOOKUP(AR$13,'MP (nominal)'!$D$12:$AM$244,ROW()-12,FALSE))</f>
        <v/>
      </c>
    </row>
    <row r="33" spans="1:44" s="278" customFormat="1" hidden="1">
      <c r="A33" s="271">
        <f>References!F260</f>
        <v>50</v>
      </c>
      <c r="B33" s="292" t="s">
        <v>31</v>
      </c>
      <c r="C33" s="284">
        <v>2007</v>
      </c>
      <c r="D33" s="27" t="str">
        <f>IF(HLOOKUP(D$13,'MP (nominal)'!$D$12:$AM$244,ROW()-12,FALSE)="","",HLOOKUP(D$13,'MP (nominal)'!$D$12:$AM$244,ROW()-12,FALSE))</f>
        <v/>
      </c>
      <c r="E33" s="281" t="str">
        <f>IF(HLOOKUP(E$13,'MP (nominal)'!$D$12:$AM$244,ROW()-12,FALSE)="","",HLOOKUP(E$13,'MP (nominal)'!$D$12:$AM$244,ROW()-12,FALSE))</f>
        <v/>
      </c>
      <c r="F33" s="27">
        <f>IF(HLOOKUP(F$13,'MP (nominal)'!$D$12:$AM$244,ROW()-12,FALSE)="","",HLOOKUP(F$13,'MP (nominal)'!$D$12:$AM$244,ROW()-12,FALSE))</f>
        <v>23.5</v>
      </c>
      <c r="G33" s="281" t="str">
        <f>IF(HLOOKUP(G$13,'MP (nominal)'!$D$12:$AM$244,ROW()-12,FALSE)="","",HLOOKUP(G$13,'MP (nominal)'!$D$12:$AM$244,ROW()-12,FALSE))</f>
        <v/>
      </c>
      <c r="H33" s="27">
        <f>IF(HLOOKUP(H$13,'MP (nominal)'!$D$12:$AM$244,ROW()-12,FALSE)="","",HLOOKUP(H$13,'MP (nominal)'!$D$12:$AM$244,ROW()-12,FALSE))</f>
        <v>590</v>
      </c>
      <c r="I33" s="31" t="str">
        <f>IF(HLOOKUP(I$13,'MP (nominal)'!$D$12:$AM$244,ROW()-12,FALSE)="","",HLOOKUP(I$13,'MP (nominal)'!$D$12:$AM$244,ROW()-12,FALSE))</f>
        <v/>
      </c>
      <c r="J33" s="31">
        <f>IF(HLOOKUP(J$13,'MP (nominal)'!$D$12:$AM$244,ROW()-12,FALSE)="","",HLOOKUP(J$13,'MP (nominal)'!$D$12:$AM$244,ROW()-12,FALSE))</f>
        <v>566</v>
      </c>
      <c r="K33" s="281"/>
      <c r="L33" s="27">
        <f>IF(HLOOKUP(L$13,'MP (nominal)'!$D$12:$AM$244,ROW()-12,FALSE)="","",HLOOKUP(L$13,'MP (nominal)'!$D$12:$AM$244,ROW()-12,FALSE))</f>
        <v>7.6779999999999999</v>
      </c>
      <c r="M33" s="293">
        <f>IF(HLOOKUP(M$13,'MP (nominal)'!$D$12:$AM$244,ROW()-12,FALSE)="","",HLOOKUP(M$13,'MP (nominal)'!$D$12:$AM$244,ROW()-12,FALSE))</f>
        <v>42.463479999999997</v>
      </c>
      <c r="N33" s="35"/>
      <c r="O33" s="27">
        <f>IF(HLOOKUP(O$13,'MP (nominal)'!$D$12:$AM$244,ROW()-12,FALSE)="","",HLOOKUP(O$13,'MP (nominal)'!$D$12:$AM$244,ROW()-12,FALSE))</f>
        <v>4258</v>
      </c>
      <c r="P33" s="31"/>
      <c r="Q33" s="281"/>
      <c r="R33" s="281">
        <f>IF(HLOOKUP(R$13,'MP (nominal)'!$D$12:$AM$244,ROW()-12,FALSE)="","",HLOOKUP(R$13,'MP (nominal)'!$D$12:$AM$244,ROW()-12,FALSE))</f>
        <v>355</v>
      </c>
      <c r="S33" s="281" t="str">
        <f>IF(HLOOKUP(S$13,'MP (nominal)'!$D$12:$AM$244,ROW()-12,FALSE)="","",HLOOKUP(S$13,'MP (nominal)'!$D$12:$AM$244,ROW()-12,FALSE))</f>
        <v/>
      </c>
      <c r="T33" s="281" t="str">
        <f>IF(HLOOKUP(T$13,'MP (nominal)'!$D$12:$AM$244,ROW()-12,FALSE)="","",HLOOKUP(T$13,'MP (nominal)'!$D$12:$AM$244,ROW()-12,FALSE))</f>
        <v/>
      </c>
      <c r="U33" s="281"/>
      <c r="V33" s="281">
        <f>IF(HLOOKUP(V$13,'MP (nominal)'!$D$12:$AM$244,ROW()-12,FALSE)="","",HLOOKUP(V$13,'MP (nominal)'!$D$12:$AM$244,ROW()-12,FALSE))</f>
        <v>3.24</v>
      </c>
      <c r="W33" s="281" t="str">
        <f>IF(HLOOKUP(W$13,'MP (nominal)'!$D$12:$AM$244,ROW()-12,FALSE)="","",HLOOKUP(W$13,'MP (nominal)'!$D$12:$AM$244,ROW()-12,FALSE))</f>
        <v/>
      </c>
      <c r="X33" s="281" t="str">
        <f>IF(HLOOKUP(X$13,'MP (nominal)'!$D$12:$AM$244,ROW()-12,FALSE)="","",HLOOKUP(X$13,'MP (nominal)'!$D$12:$AM$244,ROW()-12,FALSE))</f>
        <v/>
      </c>
      <c r="Y33" s="281"/>
      <c r="Z33" s="281" t="str">
        <f>IF(HLOOKUP(Z$13,'MP (nominal)'!$D$12:$AM$244,ROW()-12,FALSE)="","",HLOOKUP(Z$13,'MP (nominal)'!$D$12:$AM$244,ROW()-12,FALSE)*VLOOKUP($C33,CPI!$B$9:$I$63,8))</f>
        <v/>
      </c>
      <c r="AA33" s="281" t="str">
        <f>IF(HLOOKUP(AA$13,'MP (nominal)'!$D$12:$AM$244,ROW()-12,FALSE)="","",HLOOKUP(AA$13,'MP (nominal)'!$D$12:$AM$244,ROW()-12,FALSE))</f>
        <v/>
      </c>
      <c r="AB33" s="281" t="str">
        <f>IF(HLOOKUP(AB$13,'MP (nominal)'!$D$12:$AM$244,ROW()-12,FALSE)="","",HLOOKUP(AB$13,'MP (nominal)'!$D$12:$AM$244,ROW()-12,FALSE))</f>
        <v/>
      </c>
      <c r="AC33" s="281"/>
      <c r="AD33" s="281" t="str">
        <f>IF(HLOOKUP(AD$13,'MP (nominal)'!$D$12:$AM$244,ROW()-12,FALSE)="","",HLOOKUP(AD$13,'MP (nominal)'!$D$12:$AM$244,ROW()-12,FALSE)*VLOOKUP($C33,CPI!$B$9:$I$63,8))</f>
        <v/>
      </c>
      <c r="AE33" s="31" t="str">
        <f>IF(HLOOKUP(AE$13,'MP (nominal)'!$D$12:$AM$244,ROW()-12,FALSE)="","",HLOOKUP(AE$13,'MP (nominal)'!$D$12:$AM$244,ROW()-12,FALSE))</f>
        <v/>
      </c>
      <c r="AF33" s="31" t="str">
        <f>IF(HLOOKUP(AF$13,'MP (nominal)'!$D$12:$AM$244,ROW()-12,FALSE)="","",HLOOKUP(AF$13,'MP (nominal)'!$D$12:$AM$244,ROW()-12,FALSE))</f>
        <v/>
      </c>
      <c r="AG33" s="281"/>
      <c r="AH33" s="281" t="str">
        <f>IF(HLOOKUP(AH$13,'MP (nominal)'!$D$12:$AM$244,ROW()-12,FALSE)="","",HLOOKUP(AH$13,'MP (nominal)'!$D$12:$AM$244,ROW()-12,FALSE)*VLOOKUP($C33,CPI!$B$9:$I$63,8))</f>
        <v/>
      </c>
      <c r="AI33" s="31" t="str">
        <f>IF(HLOOKUP(AI$13,'MP (nominal)'!$D$12:$AM$244,ROW()-12,FALSE)="","",HLOOKUP(AI$13,'MP (nominal)'!$D$12:$AM$244,ROW()-12,FALSE))</f>
        <v/>
      </c>
      <c r="AJ33" s="31" t="str">
        <f>IF(HLOOKUP(AJ$13,'MP (nominal)'!$D$12:$AM$244,ROW()-12,FALSE)="","",HLOOKUP(AJ$13,'MP (nominal)'!$D$12:$AM$244,ROW()-12,FALSE))</f>
        <v/>
      </c>
      <c r="AK33" s="281"/>
      <c r="AL33" s="281" t="str">
        <f>IF(HLOOKUP(AL$13,'MP (nominal)'!$D$12:$AM$244,ROW()-12,FALSE)="","",HLOOKUP(AL$13,'MP (nominal)'!$D$12:$AM$244,ROW()-12,FALSE)*VLOOKUP($C33,CPI!$B$9:$I$63,8))</f>
        <v/>
      </c>
      <c r="AM33" s="31" t="str">
        <f>IF(HLOOKUP(AM$13,'MP (nominal)'!$D$12:$AM$244,ROW()-12,FALSE)="","",HLOOKUP(AM$13,'MP (nominal)'!$D$12:$AM$244,ROW()-12,FALSE))</f>
        <v/>
      </c>
      <c r="AN33" s="31" t="str">
        <f>IF(HLOOKUP(AN$13,'MP (nominal)'!$D$12:$AM$244,ROW()-12,FALSE)="","",HLOOKUP(AN$13,'MP (nominal)'!$D$12:$AM$244,ROW()-12,FALSE))</f>
        <v/>
      </c>
      <c r="AO33" s="281"/>
      <c r="AP33" s="281" t="str">
        <f>IF(HLOOKUP(AP$13,'MP (nominal)'!$D$12:$AM$244,ROW()-12,FALSE)="","",HLOOKUP(AP$13,'MP (nominal)'!$D$12:$AM$244,ROW()-12,FALSE)*VLOOKUP($C33,CPI!$B$9:$I$63,8))</f>
        <v/>
      </c>
      <c r="AQ33" s="31" t="str">
        <f>IF(HLOOKUP(AQ$13,'MP (nominal)'!$D$12:$AM$244,ROW()-12,FALSE)="","",HLOOKUP(AQ$13,'MP (nominal)'!$D$12:$AM$244,ROW()-12,FALSE))</f>
        <v/>
      </c>
      <c r="AR33" s="281" t="str">
        <f>IF(HLOOKUP(AR$13,'MP (nominal)'!$D$12:$AM$244,ROW()-12,FALSE)="","",HLOOKUP(AR$13,'MP (nominal)'!$D$12:$AM$244,ROW()-12,FALSE))</f>
        <v/>
      </c>
    </row>
    <row r="34" spans="1:44" s="278" customFormat="1">
      <c r="A34" s="271">
        <f>References!G260</f>
        <v>51</v>
      </c>
      <c r="B34" s="292" t="s">
        <v>31</v>
      </c>
      <c r="C34" s="284">
        <v>2008</v>
      </c>
      <c r="D34" s="27">
        <f>IF(HLOOKUP(D$13,'MP (nominal)'!$D$12:$AM$244,ROW()-12,FALSE)="","",HLOOKUP(D$13,'MP (nominal)'!$D$12:$AM$244,ROW()-12,FALSE))</f>
        <v>572</v>
      </c>
      <c r="E34" s="281">
        <f>IF(HLOOKUP(E$13,'MP (nominal)'!$D$12:$AM$244,ROW()-12,FALSE)="","",HLOOKUP(E$13,'MP (nominal)'!$D$12:$AM$244,ROW()-12,FALSE))</f>
        <v>58</v>
      </c>
      <c r="F34" s="27">
        <f>IF(HLOOKUP(F$13,'MP (nominal)'!$D$12:$AM$244,ROW()-12,FALSE)="","",HLOOKUP(F$13,'MP (nominal)'!$D$12:$AM$244,ROW()-12,FALSE))</f>
        <v>27.5</v>
      </c>
      <c r="G34" s="281">
        <f>IF(HLOOKUP(G$13,'MP (nominal)'!$D$12:$AM$244,ROW()-12,FALSE)="","",HLOOKUP(G$13,'MP (nominal)'!$D$12:$AM$244,ROW()-12,FALSE))</f>
        <v>8</v>
      </c>
      <c r="H34" s="27">
        <f>IF(HLOOKUP(H$13,'MP (nominal)'!$D$12:$AM$244,ROW()-12,FALSE)="","",HLOOKUP(H$13,'MP (nominal)'!$D$12:$AM$244,ROW()-12,FALSE))</f>
        <v>599.5</v>
      </c>
      <c r="I34" s="31">
        <f>IF(HLOOKUP(I$13,'MP (nominal)'!$D$12:$AM$244,ROW()-12,FALSE)="","",HLOOKUP(I$13,'MP (nominal)'!$D$12:$AM$244,ROW()-12,FALSE))</f>
        <v>66</v>
      </c>
      <c r="J34" s="31">
        <f>IF(HLOOKUP(J$13,'MP (nominal)'!$D$12:$AM$244,ROW()-12,FALSE)="","",HLOOKUP(J$13,'MP (nominal)'!$D$12:$AM$244,ROW()-12,FALSE))</f>
        <v>572</v>
      </c>
      <c r="K34" s="281"/>
      <c r="L34" s="27">
        <f>IF(HLOOKUP(L$13,'MP (nominal)'!$D$12:$AM$244,ROW()-12,FALSE)="","",HLOOKUP(L$13,'MP (nominal)'!$D$12:$AM$244,ROW()-12,FALSE))</f>
        <v>8.3770000000000007</v>
      </c>
      <c r="M34" s="283">
        <f>IF(HLOOKUP(M$13,'MP (nominal)'!$D$12:$AM$244,ROW()-12,FALSE)="","",HLOOKUP(M$13,'MP (nominal)'!$D$12:$AM$244,ROW()-12,FALSE))</f>
        <v>43.537999999999997</v>
      </c>
      <c r="N34" s="35"/>
      <c r="O34" s="27">
        <f>IF(HLOOKUP(O$13,'MP (nominal)'!$D$12:$AM$244,ROW()-12,FALSE)="","",HLOOKUP(O$13,'MP (nominal)'!$D$12:$AM$244,ROW()-12,FALSE))</f>
        <v>4320</v>
      </c>
      <c r="P34" s="31"/>
      <c r="Q34" s="281"/>
      <c r="R34" s="281">
        <f>IF(HLOOKUP(R$13,'MP (nominal)'!$D$12:$AM$244,ROW()-12,FALSE)="","",HLOOKUP(R$13,'MP (nominal)'!$D$12:$AM$244,ROW()-12,FALSE))</f>
        <v>428</v>
      </c>
      <c r="S34" s="281">
        <f>IF(HLOOKUP(S$13,'MP (nominal)'!$D$12:$AM$244,ROW()-12,FALSE)="","",HLOOKUP(S$13,'MP (nominal)'!$D$12:$AM$244,ROW()-12,FALSE))</f>
        <v>99</v>
      </c>
      <c r="T34" s="281">
        <f>IF(HLOOKUP(T$13,'MP (nominal)'!$D$12:$AM$244,ROW()-12,FALSE)="","",HLOOKUP(T$13,'MP (nominal)'!$D$12:$AM$244,ROW()-12,FALSE))</f>
        <v>152</v>
      </c>
      <c r="U34" s="281"/>
      <c r="V34" s="281">
        <f>IF(HLOOKUP(V$13,'MP (nominal)'!$D$12:$AM$244,ROW()-12,FALSE)="","",HLOOKUP(V$13,'MP (nominal)'!$D$12:$AM$244,ROW()-12,FALSE))</f>
        <v>6.2</v>
      </c>
      <c r="W34" s="281">
        <f>IF(HLOOKUP(W$13,'MP (nominal)'!$D$12:$AM$244,ROW()-12,FALSE)="","",HLOOKUP(W$13,'MP (nominal)'!$D$12:$AM$244,ROW()-12,FALSE))</f>
        <v>0.38</v>
      </c>
      <c r="X34" s="281">
        <f>IF(HLOOKUP(X$13,'MP (nominal)'!$D$12:$AM$244,ROW()-12,FALSE)="","",HLOOKUP(X$13,'MP (nominal)'!$D$12:$AM$244,ROW()-12,FALSE))</f>
        <v>1.68</v>
      </c>
      <c r="Y34" s="281"/>
      <c r="Z34" s="281">
        <f>IF(HLOOKUP(Z$13,'MP (nominal)'!$D$12:$AM$244,ROW()-12,FALSE)="","",HLOOKUP(Z$13,'MP (nominal)'!$D$12:$AM$244,ROW()-12,FALSE)*VLOOKUP($C34,CPI!$B$9:$I$63,8))</f>
        <v>3508.1332154771744</v>
      </c>
      <c r="AA34" s="281">
        <f>IF(HLOOKUP(AA$13,'MP (nominal)'!$D$12:$AM$244,ROW()-12,FALSE)="","",HLOOKUP(AA$13,'MP (nominal)'!$D$12:$AM$244,ROW()-12,FALSE))</f>
        <v>29430</v>
      </c>
      <c r="AB34" s="281">
        <f>IF(HLOOKUP(AB$13,'MP (nominal)'!$D$12:$AM$244,ROW()-12,FALSE)="","",HLOOKUP(AB$13,'MP (nominal)'!$D$12:$AM$244,ROW()-12,FALSE))</f>
        <v>4226</v>
      </c>
      <c r="AC34" s="281"/>
      <c r="AD34" s="281">
        <f>IF(HLOOKUP(AD$13,'MP (nominal)'!$D$12:$AM$244,ROW()-12,FALSE)="","",HLOOKUP(AD$13,'MP (nominal)'!$D$12:$AM$244,ROW()-12,FALSE)*VLOOKUP($C34,CPI!$B$9:$I$63,8))</f>
        <v>374.10025377092182</v>
      </c>
      <c r="AE34" s="31">
        <f>IF(HLOOKUP(AE$13,'MP (nominal)'!$D$12:$AM$244,ROW()-12,FALSE)="","",HLOOKUP(AE$13,'MP (nominal)'!$D$12:$AM$244,ROW()-12,FALSE))</f>
        <v>4163</v>
      </c>
      <c r="AF34" s="31">
        <f>IF(HLOOKUP(AF$13,'MP (nominal)'!$D$12:$AM$244,ROW()-12,FALSE)="","",HLOOKUP(AF$13,'MP (nominal)'!$D$12:$AM$244,ROW()-12,FALSE))</f>
        <v>76</v>
      </c>
      <c r="AG34" s="281"/>
      <c r="AH34" s="281">
        <f>IF(HLOOKUP(AH$13,'MP (nominal)'!$D$12:$AM$244,ROW()-12,FALSE)="","",HLOOKUP(AH$13,'MP (nominal)'!$D$12:$AM$244,ROW()-12,FALSE)*VLOOKUP($C34,CPI!$B$9:$I$63,8))</f>
        <v>210.22924923726154</v>
      </c>
      <c r="AI34" s="31">
        <f>IF(HLOOKUP(AI$13,'MP (nominal)'!$D$12:$AM$244,ROW()-12,FALSE)="","",HLOOKUP(AI$13,'MP (nominal)'!$D$12:$AM$244,ROW()-12,FALSE))</f>
        <v>2459</v>
      </c>
      <c r="AJ34" s="31">
        <f>IF(HLOOKUP(AJ$13,'MP (nominal)'!$D$12:$AM$244,ROW()-12,FALSE)="","",HLOOKUP(AJ$13,'MP (nominal)'!$D$12:$AM$244,ROW()-12,FALSE))</f>
        <v>13</v>
      </c>
      <c r="AK34" s="281"/>
      <c r="AL34" s="281">
        <f>IF(HLOOKUP(AL$13,'MP (nominal)'!$D$12:$AM$244,ROW()-12,FALSE)="","",HLOOKUP(AL$13,'MP (nominal)'!$D$12:$AM$244,ROW()-12,FALSE)*VLOOKUP($C34,CPI!$B$9:$I$63,8))</f>
        <v>1903.9223289897634</v>
      </c>
      <c r="AM34" s="31">
        <f>IF(HLOOKUP(AM$13,'MP (nominal)'!$D$12:$AM$244,ROW()-12,FALSE)="","",HLOOKUP(AM$13,'MP (nominal)'!$D$12:$AM$244,ROW()-12,FALSE))</f>
        <v>7486</v>
      </c>
      <c r="AN34" s="31">
        <f>IF(HLOOKUP(AN$13,'MP (nominal)'!$D$12:$AM$244,ROW()-12,FALSE)="","",HLOOKUP(AN$13,'MP (nominal)'!$D$12:$AM$244,ROW()-12,FALSE))</f>
        <v>5</v>
      </c>
      <c r="AO34" s="281"/>
      <c r="AP34" s="281">
        <f>IF(HLOOKUP(AP$13,'MP (nominal)'!$D$12:$AM$244,ROW()-12,FALSE)="","",HLOOKUP(AP$13,'MP (nominal)'!$D$12:$AM$244,ROW()-12,FALSE)*VLOOKUP($C34,CPI!$B$9:$I$63,8))</f>
        <v>5996.3850474751216</v>
      </c>
      <c r="AQ34" s="31">
        <f>IF(HLOOKUP(AQ$13,'MP (nominal)'!$D$12:$AM$244,ROW()-12,FALSE)="","",HLOOKUP(AQ$13,'MP (nominal)'!$D$12:$AM$244,ROW()-12,FALSE))</f>
        <v>43538</v>
      </c>
      <c r="AR34" s="281">
        <f>IF(HLOOKUP(AR$13,'MP (nominal)'!$D$12:$AM$244,ROW()-12,FALSE)="","",HLOOKUP(AR$13,'MP (nominal)'!$D$12:$AM$244,ROW()-12,FALSE))</f>
        <v>4320</v>
      </c>
    </row>
    <row r="35" spans="1:44" s="278" customFormat="1">
      <c r="A35" s="271">
        <f>References!H260</f>
        <v>52</v>
      </c>
      <c r="B35" s="292" t="s">
        <v>31</v>
      </c>
      <c r="C35" s="284">
        <v>2009</v>
      </c>
      <c r="D35" s="27">
        <f>IF(HLOOKUP(D$13,'MP (nominal)'!$D$12:$AM$244,ROW()-12,FALSE)="","",HLOOKUP(D$13,'MP (nominal)'!$D$12:$AM$244,ROW()-12,FALSE))</f>
        <v>572.15</v>
      </c>
      <c r="E35" s="281">
        <f>IF(HLOOKUP(E$13,'MP (nominal)'!$D$12:$AM$244,ROW()-12,FALSE)="","",HLOOKUP(E$13,'MP (nominal)'!$D$12:$AM$244,ROW()-12,FALSE))</f>
        <v>0</v>
      </c>
      <c r="F35" s="27">
        <f>IF(HLOOKUP(F$13,'MP (nominal)'!$D$12:$AM$244,ROW()-12,FALSE)="","",HLOOKUP(F$13,'MP (nominal)'!$D$12:$AM$244,ROW()-12,FALSE))</f>
        <v>30.13</v>
      </c>
      <c r="G35" s="281">
        <f>IF(HLOOKUP(G$13,'MP (nominal)'!$D$12:$AM$244,ROW()-12,FALSE)="","",HLOOKUP(G$13,'MP (nominal)'!$D$12:$AM$244,ROW()-12,FALSE))</f>
        <v>0</v>
      </c>
      <c r="H35" s="27">
        <f>IF(HLOOKUP(H$13,'MP (nominal)'!$D$12:$AM$244,ROW()-12,FALSE)="","",HLOOKUP(H$13,'MP (nominal)'!$D$12:$AM$244,ROW()-12,FALSE))</f>
        <v>602.28</v>
      </c>
      <c r="I35" s="31">
        <f>IF(HLOOKUP(I$13,'MP (nominal)'!$D$12:$AM$244,ROW()-12,FALSE)="","",HLOOKUP(I$13,'MP (nominal)'!$D$12:$AM$244,ROW()-12,FALSE))</f>
        <v>0</v>
      </c>
      <c r="J35" s="31">
        <f>IF(HLOOKUP(J$13,'MP (nominal)'!$D$12:$AM$244,ROW()-12,FALSE)="","",HLOOKUP(J$13,'MP (nominal)'!$D$12:$AM$244,ROW()-12,FALSE))</f>
        <v>572.16</v>
      </c>
      <c r="K35" s="281"/>
      <c r="L35" s="27">
        <f>IF(HLOOKUP(L$13,'MP (nominal)'!$D$12:$AM$244,ROW()-12,FALSE)="","",HLOOKUP(L$13,'MP (nominal)'!$D$12:$AM$244,ROW()-12,FALSE))</f>
        <v>8.6419999999999995</v>
      </c>
      <c r="M35" s="283">
        <f>IF(HLOOKUP(M$13,'MP (nominal)'!$D$12:$AM$244,ROW()-12,FALSE)="","",HLOOKUP(M$13,'MP (nominal)'!$D$12:$AM$244,ROW()-12,FALSE))</f>
        <v>45.166325999999998</v>
      </c>
      <c r="N35" s="35"/>
      <c r="O35" s="27">
        <f>IF(HLOOKUP(O$13,'MP (nominal)'!$D$12:$AM$244,ROW()-12,FALSE)="","",HLOOKUP(O$13,'MP (nominal)'!$D$12:$AM$244,ROW()-12,FALSE))</f>
        <v>4395</v>
      </c>
      <c r="P35" s="31"/>
      <c r="Q35" s="281"/>
      <c r="R35" s="281">
        <f>IF(HLOOKUP(R$13,'MP (nominal)'!$D$12:$AM$244,ROW()-12,FALSE)="","",HLOOKUP(R$13,'MP (nominal)'!$D$12:$AM$244,ROW()-12,FALSE))</f>
        <v>273.26</v>
      </c>
      <c r="S35" s="281">
        <f>IF(HLOOKUP(S$13,'MP (nominal)'!$D$12:$AM$244,ROW()-12,FALSE)="","",HLOOKUP(S$13,'MP (nominal)'!$D$12:$AM$244,ROW()-12,FALSE))</f>
        <v>98.64</v>
      </c>
      <c r="T35" s="281">
        <f>IF(HLOOKUP(T$13,'MP (nominal)'!$D$12:$AM$244,ROW()-12,FALSE)="","",HLOOKUP(T$13,'MP (nominal)'!$D$12:$AM$244,ROW()-12,FALSE))</f>
        <v>150.66999999999999</v>
      </c>
      <c r="U35" s="281"/>
      <c r="V35" s="281">
        <f>IF(HLOOKUP(V$13,'MP (nominal)'!$D$12:$AM$244,ROW()-12,FALSE)="","",HLOOKUP(V$13,'MP (nominal)'!$D$12:$AM$244,ROW()-12,FALSE))</f>
        <v>2.52</v>
      </c>
      <c r="W35" s="281">
        <f>IF(HLOOKUP(W$13,'MP (nominal)'!$D$12:$AM$244,ROW()-12,FALSE)="","",HLOOKUP(W$13,'MP (nominal)'!$D$12:$AM$244,ROW()-12,FALSE))</f>
        <v>0.4</v>
      </c>
      <c r="X35" s="281">
        <f>IF(HLOOKUP(X$13,'MP (nominal)'!$D$12:$AM$244,ROW()-12,FALSE)="","",HLOOKUP(X$13,'MP (nominal)'!$D$12:$AM$244,ROW()-12,FALSE))</f>
        <v>1.1200000000000001</v>
      </c>
      <c r="Y35" s="281"/>
      <c r="Z35" s="281">
        <f>IF(HLOOKUP(Z$13,'MP (nominal)'!$D$12:$AM$244,ROW()-12,FALSE)="","",HLOOKUP(Z$13,'MP (nominal)'!$D$12:$AM$244,ROW()-12,FALSE)*VLOOKUP($C35,CPI!$B$9:$I$63,8))</f>
        <v>3611.5310590980839</v>
      </c>
      <c r="AA35" s="281">
        <f>IF(HLOOKUP(AA$13,'MP (nominal)'!$D$12:$AM$244,ROW()-12,FALSE)="","",HLOOKUP(AA$13,'MP (nominal)'!$D$12:$AM$244,ROW()-12,FALSE))</f>
        <v>30030.884999999998</v>
      </c>
      <c r="AB35" s="281">
        <f>IF(HLOOKUP(AB$13,'MP (nominal)'!$D$12:$AM$244,ROW()-12,FALSE)="","",HLOOKUP(AB$13,'MP (nominal)'!$D$12:$AM$244,ROW()-12,FALSE))</f>
        <v>4303</v>
      </c>
      <c r="AC35" s="281"/>
      <c r="AD35" s="281">
        <f>IF(HLOOKUP(AD$13,'MP (nominal)'!$D$12:$AM$244,ROW()-12,FALSE)="","",HLOOKUP(AD$13,'MP (nominal)'!$D$12:$AM$244,ROW()-12,FALSE)*VLOOKUP($C35,CPI!$B$9:$I$63,8))</f>
        <v>389.28546914681846</v>
      </c>
      <c r="AE35" s="31">
        <f>IF(HLOOKUP(AE$13,'MP (nominal)'!$D$12:$AM$244,ROW()-12,FALSE)="","",HLOOKUP(AE$13,'MP (nominal)'!$D$12:$AM$244,ROW()-12,FALSE))</f>
        <v>4502.3900000000003</v>
      </c>
      <c r="AF35" s="31">
        <f>IF(HLOOKUP(AF$13,'MP (nominal)'!$D$12:$AM$244,ROW()-12,FALSE)="","",HLOOKUP(AF$13,'MP (nominal)'!$D$12:$AM$244,ROW()-12,FALSE))</f>
        <v>75</v>
      </c>
      <c r="AG35" s="281"/>
      <c r="AH35" s="281">
        <f>IF(HLOOKUP(AH$13,'MP (nominal)'!$D$12:$AM$244,ROW()-12,FALSE)="","",HLOOKUP(AH$13,'MP (nominal)'!$D$12:$AM$244,ROW()-12,FALSE)*VLOOKUP($C35,CPI!$B$9:$I$63,8))</f>
        <v>238.76175441004867</v>
      </c>
      <c r="AI35" s="31">
        <f>IF(HLOOKUP(AI$13,'MP (nominal)'!$D$12:$AM$244,ROW()-12,FALSE)="","",HLOOKUP(AI$13,'MP (nominal)'!$D$12:$AM$244,ROW()-12,FALSE))</f>
        <v>2819.8539999999998</v>
      </c>
      <c r="AJ35" s="31">
        <f>IF(HLOOKUP(AJ$13,'MP (nominal)'!$D$12:$AM$244,ROW()-12,FALSE)="","",HLOOKUP(AJ$13,'MP (nominal)'!$D$12:$AM$244,ROW()-12,FALSE))</f>
        <v>9</v>
      </c>
      <c r="AK35" s="281"/>
      <c r="AL35" s="281">
        <f>IF(HLOOKUP(AL$13,'MP (nominal)'!$D$12:$AM$244,ROW()-12,FALSE)="","",HLOOKUP(AL$13,'MP (nominal)'!$D$12:$AM$244,ROW()-12,FALSE)*VLOOKUP($C35,CPI!$B$9:$I$63,8))</f>
        <v>625.97103438808415</v>
      </c>
      <c r="AM35" s="31">
        <f>IF(HLOOKUP(AM$13,'MP (nominal)'!$D$12:$AM$244,ROW()-12,FALSE)="","",HLOOKUP(AM$13,'MP (nominal)'!$D$12:$AM$244,ROW()-12,FALSE))</f>
        <v>7813.1970000000001</v>
      </c>
      <c r="AN35" s="31">
        <f>IF(HLOOKUP(AN$13,'MP (nominal)'!$D$12:$AM$244,ROW()-12,FALSE)="","",HLOOKUP(AN$13,'MP (nominal)'!$D$12:$AM$244,ROW()-12,FALSE))</f>
        <v>8</v>
      </c>
      <c r="AO35" s="281"/>
      <c r="AP35" s="281">
        <f>IF(HLOOKUP(AP$13,'MP (nominal)'!$D$12:$AM$244,ROW()-12,FALSE)="","",HLOOKUP(AP$13,'MP (nominal)'!$D$12:$AM$244,ROW()-12,FALSE)*VLOOKUP($C35,CPI!$B$9:$I$63,8))</f>
        <v>4865.5493170430354</v>
      </c>
      <c r="AQ35" s="31">
        <f>IF(HLOOKUP(AQ$13,'MP (nominal)'!$D$12:$AM$244,ROW()-12,FALSE)="","",HLOOKUP(AQ$13,'MP (nominal)'!$D$12:$AM$244,ROW()-12,FALSE))</f>
        <v>45166.326000000001</v>
      </c>
      <c r="AR35" s="281">
        <f>IF(HLOOKUP(AR$13,'MP (nominal)'!$D$12:$AM$244,ROW()-12,FALSE)="","",HLOOKUP(AR$13,'MP (nominal)'!$D$12:$AM$244,ROW()-12,FALSE))</f>
        <v>4395</v>
      </c>
    </row>
    <row r="36" spans="1:44" s="278" customFormat="1">
      <c r="A36" s="271">
        <f>References!I260</f>
        <v>53</v>
      </c>
      <c r="B36" s="292" t="s">
        <v>31</v>
      </c>
      <c r="C36" s="284">
        <v>2010</v>
      </c>
      <c r="D36" s="27">
        <f>IF(HLOOKUP(D$13,'MP (nominal)'!$D$12:$AM$244,ROW()-12,FALSE)="","",HLOOKUP(D$13,'MP (nominal)'!$D$12:$AM$244,ROW()-12,FALSE))</f>
        <v>584.20000000000005</v>
      </c>
      <c r="E36" s="281">
        <f>IF(HLOOKUP(E$13,'MP (nominal)'!$D$12:$AM$244,ROW()-12,FALSE)="","",HLOOKUP(E$13,'MP (nominal)'!$D$12:$AM$244,ROW()-12,FALSE))</f>
        <v>58</v>
      </c>
      <c r="F36" s="27">
        <f>IF(HLOOKUP(F$13,'MP (nominal)'!$D$12:$AM$244,ROW()-12,FALSE)="","",HLOOKUP(F$13,'MP (nominal)'!$D$12:$AM$244,ROW()-12,FALSE))</f>
        <v>32.4</v>
      </c>
      <c r="G36" s="281">
        <f>IF(HLOOKUP(G$13,'MP (nominal)'!$D$12:$AM$244,ROW()-12,FALSE)="","",HLOOKUP(G$13,'MP (nominal)'!$D$12:$AM$244,ROW()-12,FALSE))</f>
        <v>7.6</v>
      </c>
      <c r="H36" s="27">
        <f>IF(HLOOKUP(H$13,'MP (nominal)'!$D$12:$AM$244,ROW()-12,FALSE)="","",HLOOKUP(H$13,'MP (nominal)'!$D$12:$AM$244,ROW()-12,FALSE))</f>
        <v>616.6</v>
      </c>
      <c r="I36" s="31">
        <f>IF(HLOOKUP(I$13,'MP (nominal)'!$D$12:$AM$244,ROW()-12,FALSE)="","",HLOOKUP(I$13,'MP (nominal)'!$D$12:$AM$244,ROW()-12,FALSE))</f>
        <v>65.599999999999994</v>
      </c>
      <c r="J36" s="31">
        <f>IF(HLOOKUP(J$13,'MP (nominal)'!$D$12:$AM$244,ROW()-12,FALSE)="","",HLOOKUP(J$13,'MP (nominal)'!$D$12:$AM$244,ROW()-12,FALSE))</f>
        <v>584.07000000000005</v>
      </c>
      <c r="K36" s="281"/>
      <c r="L36" s="27">
        <f>IF(HLOOKUP(L$13,'MP (nominal)'!$D$12:$AM$244,ROW()-12,FALSE)="","",HLOOKUP(L$13,'MP (nominal)'!$D$12:$AM$244,ROW()-12,FALSE))</f>
        <v>9</v>
      </c>
      <c r="M36" s="283">
        <f>IF(HLOOKUP(M$13,'MP (nominal)'!$D$12:$AM$244,ROW()-12,FALSE)="","",HLOOKUP(M$13,'MP (nominal)'!$D$12:$AM$244,ROW()-12,FALSE))</f>
        <v>48</v>
      </c>
      <c r="N36" s="35"/>
      <c r="O36" s="27">
        <f>IF(HLOOKUP(O$13,'MP (nominal)'!$D$12:$AM$244,ROW()-12,FALSE)="","",HLOOKUP(O$13,'MP (nominal)'!$D$12:$AM$244,ROW()-12,FALSE))</f>
        <v>4422</v>
      </c>
      <c r="P36" s="31"/>
      <c r="Q36" s="281"/>
      <c r="R36" s="281">
        <f>IF(HLOOKUP(R$13,'MP (nominal)'!$D$12:$AM$244,ROW()-12,FALSE)="","",HLOOKUP(R$13,'MP (nominal)'!$D$12:$AM$244,ROW()-12,FALSE))</f>
        <v>302.3</v>
      </c>
      <c r="S36" s="281">
        <f>IF(HLOOKUP(S$13,'MP (nominal)'!$D$12:$AM$244,ROW()-12,FALSE)="","",HLOOKUP(S$13,'MP (nominal)'!$D$12:$AM$244,ROW()-12,FALSE))</f>
        <v>147.80000000000001</v>
      </c>
      <c r="T36" s="281">
        <f>IF(HLOOKUP(T$13,'MP (nominal)'!$D$12:$AM$244,ROW()-12,FALSE)="","",HLOOKUP(T$13,'MP (nominal)'!$D$12:$AM$244,ROW()-12,FALSE))</f>
        <v>154.5</v>
      </c>
      <c r="U36" s="281"/>
      <c r="V36" s="281">
        <f>IF(HLOOKUP(V$13,'MP (nominal)'!$D$12:$AM$244,ROW()-12,FALSE)="","",HLOOKUP(V$13,'MP (nominal)'!$D$12:$AM$244,ROW()-12,FALSE))</f>
        <v>2.2400000000000002</v>
      </c>
      <c r="W36" s="281">
        <f>IF(HLOOKUP(W$13,'MP (nominal)'!$D$12:$AM$244,ROW()-12,FALSE)="","",HLOOKUP(W$13,'MP (nominal)'!$D$12:$AM$244,ROW()-12,FALSE))</f>
        <v>0.49</v>
      </c>
      <c r="X36" s="281">
        <f>IF(HLOOKUP(X$13,'MP (nominal)'!$D$12:$AM$244,ROW()-12,FALSE)="","",HLOOKUP(X$13,'MP (nominal)'!$D$12:$AM$244,ROW()-12,FALSE))</f>
        <v>1.75</v>
      </c>
      <c r="Y36" s="281"/>
      <c r="Z36" s="281">
        <f>IF(HLOOKUP(Z$13,'MP (nominal)'!$D$12:$AM$244,ROW()-12,FALSE)="","",HLOOKUP(Z$13,'MP (nominal)'!$D$12:$AM$244,ROW()-12,FALSE)*VLOOKUP($C36,CPI!$B$9:$I$63,8))</f>
        <v>3934.7422597073637</v>
      </c>
      <c r="AA36" s="281">
        <f>IF(HLOOKUP(AA$13,'MP (nominal)'!$D$12:$AM$244,ROW()-12,FALSE)="","",HLOOKUP(AA$13,'MP (nominal)'!$D$12:$AM$244,ROW()-12,FALSE))</f>
        <v>30563</v>
      </c>
      <c r="AB36" s="281">
        <f>IF(HLOOKUP(AB$13,'MP (nominal)'!$D$12:$AM$244,ROW()-12,FALSE)="","",HLOOKUP(AB$13,'MP (nominal)'!$D$12:$AM$244,ROW()-12,FALSE))</f>
        <v>4332</v>
      </c>
      <c r="AC36" s="281"/>
      <c r="AD36" s="281">
        <f>IF(HLOOKUP(AD$13,'MP (nominal)'!$D$12:$AM$244,ROW()-12,FALSE)="","",HLOOKUP(AD$13,'MP (nominal)'!$D$12:$AM$244,ROW()-12,FALSE)*VLOOKUP($C36,CPI!$B$9:$I$63,8))</f>
        <v>470.70194820942572</v>
      </c>
      <c r="AE36" s="31">
        <f>IF(HLOOKUP(AE$13,'MP (nominal)'!$D$12:$AM$244,ROW()-12,FALSE)="","",HLOOKUP(AE$13,'MP (nominal)'!$D$12:$AM$244,ROW()-12,FALSE))</f>
        <v>5151</v>
      </c>
      <c r="AF36" s="31">
        <f>IF(HLOOKUP(AF$13,'MP (nominal)'!$D$12:$AM$244,ROW()-12,FALSE)="","",HLOOKUP(AF$13,'MP (nominal)'!$D$12:$AM$244,ROW()-12,FALSE))</f>
        <v>72</v>
      </c>
      <c r="AG36" s="281"/>
      <c r="AH36" s="281">
        <f>IF(HLOOKUP(AH$13,'MP (nominal)'!$D$12:$AM$244,ROW()-12,FALSE)="","",HLOOKUP(AH$13,'MP (nominal)'!$D$12:$AM$244,ROW()-12,FALSE)*VLOOKUP($C36,CPI!$B$9:$I$63,8))</f>
        <v>252.67117566220256</v>
      </c>
      <c r="AI36" s="31">
        <f>IF(HLOOKUP(AI$13,'MP (nominal)'!$D$12:$AM$244,ROW()-12,FALSE)="","",HLOOKUP(AI$13,'MP (nominal)'!$D$12:$AM$244,ROW()-12,FALSE))</f>
        <v>2809</v>
      </c>
      <c r="AJ36" s="31">
        <f>IF(HLOOKUP(AJ$13,'MP (nominal)'!$D$12:$AM$244,ROW()-12,FALSE)="","",HLOOKUP(AJ$13,'MP (nominal)'!$D$12:$AM$244,ROW()-12,FALSE))</f>
        <v>9</v>
      </c>
      <c r="AK36" s="281"/>
      <c r="AL36" s="281">
        <f>IF(HLOOKUP(AL$13,'MP (nominal)'!$D$12:$AM$244,ROW()-12,FALSE)="","",HLOOKUP(AL$13,'MP (nominal)'!$D$12:$AM$244,ROW()-12,FALSE)*VLOOKUP($C36,CPI!$B$9:$I$63,8))</f>
        <v>806.91762550187264</v>
      </c>
      <c r="AM36" s="31">
        <f>IF(HLOOKUP(AM$13,'MP (nominal)'!$D$12:$AM$244,ROW()-12,FALSE)="","",HLOOKUP(AM$13,'MP (nominal)'!$D$12:$AM$244,ROW()-12,FALSE))</f>
        <v>9477</v>
      </c>
      <c r="AN36" s="31">
        <f>IF(HLOOKUP(AN$13,'MP (nominal)'!$D$12:$AM$244,ROW()-12,FALSE)="","",HLOOKUP(AN$13,'MP (nominal)'!$D$12:$AM$244,ROW()-12,FALSE))</f>
        <v>9</v>
      </c>
      <c r="AO36" s="281"/>
      <c r="AP36" s="281">
        <f>IF(HLOOKUP(AP$13,'MP (nominal)'!$D$12:$AM$244,ROW()-12,FALSE)="","",HLOOKUP(AP$13,'MP (nominal)'!$D$12:$AM$244,ROW()-12,FALSE)*VLOOKUP($C36,CPI!$B$9:$I$63,8))</f>
        <v>5465.0330090808648</v>
      </c>
      <c r="AQ36" s="31">
        <f>IF(HLOOKUP(AQ$13,'MP (nominal)'!$D$12:$AM$244,ROW()-12,FALSE)="","",HLOOKUP(AQ$13,'MP (nominal)'!$D$12:$AM$244,ROW()-12,FALSE))</f>
        <v>48000</v>
      </c>
      <c r="AR36" s="281">
        <f>IF(HLOOKUP(AR$13,'MP (nominal)'!$D$12:$AM$244,ROW()-12,FALSE)="","",HLOOKUP(AR$13,'MP (nominal)'!$D$12:$AM$244,ROW()-12,FALSE))</f>
        <v>4422</v>
      </c>
    </row>
    <row r="37" spans="1:44" s="278" customFormat="1">
      <c r="A37" s="271">
        <f>References!J260</f>
        <v>54</v>
      </c>
      <c r="B37" s="292" t="s">
        <v>31</v>
      </c>
      <c r="C37" s="284">
        <v>2011</v>
      </c>
      <c r="D37" s="27">
        <f>IF(HLOOKUP(D$13,'MP (nominal)'!$D$12:$AM$244,ROW()-12,FALSE)="","",HLOOKUP(D$13,'MP (nominal)'!$D$12:$AM$244,ROW()-12,FALSE))</f>
        <v>586.39</v>
      </c>
      <c r="E37" s="281">
        <f>IF(HLOOKUP(E$13,'MP (nominal)'!$D$12:$AM$244,ROW()-12,FALSE)="","",HLOOKUP(E$13,'MP (nominal)'!$D$12:$AM$244,ROW()-12,FALSE))</f>
        <v>58</v>
      </c>
      <c r="F37" s="27">
        <f>IF(HLOOKUP(F$13,'MP (nominal)'!$D$12:$AM$244,ROW()-12,FALSE)="","",HLOOKUP(F$13,'MP (nominal)'!$D$12:$AM$244,ROW()-12,FALSE))</f>
        <v>36.799999999999997</v>
      </c>
      <c r="G37" s="281">
        <f>IF(HLOOKUP(G$13,'MP (nominal)'!$D$12:$AM$244,ROW()-12,FALSE)="","",HLOOKUP(G$13,'MP (nominal)'!$D$12:$AM$244,ROW()-12,FALSE))</f>
        <v>7.6</v>
      </c>
      <c r="H37" s="27">
        <f>IF(HLOOKUP(H$13,'MP (nominal)'!$D$12:$AM$244,ROW()-12,FALSE)="","",HLOOKUP(H$13,'MP (nominal)'!$D$12:$AM$244,ROW()-12,FALSE))</f>
        <v>623.19000000000005</v>
      </c>
      <c r="I37" s="31">
        <f>IF(HLOOKUP(I$13,'MP (nominal)'!$D$12:$AM$244,ROW()-12,FALSE)="","",HLOOKUP(I$13,'MP (nominal)'!$D$12:$AM$244,ROW()-12,FALSE))</f>
        <v>65.599999999999994</v>
      </c>
      <c r="J37" s="31">
        <f>IF(HLOOKUP(J$13,'MP (nominal)'!$D$12:$AM$244,ROW()-12,FALSE)="","",HLOOKUP(J$13,'MP (nominal)'!$D$12:$AM$244,ROW()-12,FALSE))</f>
        <v>586.39</v>
      </c>
      <c r="K37" s="281"/>
      <c r="L37" s="27">
        <f>IF(HLOOKUP(L$13,'MP (nominal)'!$D$12:$AM$244,ROW()-12,FALSE)="","",HLOOKUP(L$13,'MP (nominal)'!$D$12:$AM$244,ROW()-12,FALSE))</f>
        <v>10.593</v>
      </c>
      <c r="M37" s="283">
        <f>IF(HLOOKUP(M$13,'MP (nominal)'!$D$12:$AM$244,ROW()-12,FALSE)="","",HLOOKUP(M$13,'MP (nominal)'!$D$12:$AM$244,ROW()-12,FALSE))</f>
        <v>55.909939000000001</v>
      </c>
      <c r="N37" s="35"/>
      <c r="O37" s="27">
        <f>IF(HLOOKUP(O$13,'MP (nominal)'!$D$12:$AM$244,ROW()-12,FALSE)="","",HLOOKUP(O$13,'MP (nominal)'!$D$12:$AM$244,ROW()-12,FALSE))</f>
        <v>4471</v>
      </c>
      <c r="P37" s="31"/>
      <c r="Q37" s="281"/>
      <c r="R37" s="281">
        <f>IF(HLOOKUP(R$13,'MP (nominal)'!$D$12:$AM$244,ROW()-12,FALSE)="","",HLOOKUP(R$13,'MP (nominal)'!$D$12:$AM$244,ROW()-12,FALSE))</f>
        <v>288.7</v>
      </c>
      <c r="S37" s="281">
        <f>IF(HLOOKUP(S$13,'MP (nominal)'!$D$12:$AM$244,ROW()-12,FALSE)="","",HLOOKUP(S$13,'MP (nominal)'!$D$12:$AM$244,ROW()-12,FALSE))</f>
        <v>150.9</v>
      </c>
      <c r="T37" s="281">
        <f>IF(HLOOKUP(T$13,'MP (nominal)'!$D$12:$AM$244,ROW()-12,FALSE)="","",HLOOKUP(T$13,'MP (nominal)'!$D$12:$AM$244,ROW()-12,FALSE))</f>
        <v>137.69999999999999</v>
      </c>
      <c r="U37" s="281"/>
      <c r="V37" s="281">
        <f>IF(HLOOKUP(V$13,'MP (nominal)'!$D$12:$AM$244,ROW()-12,FALSE)="","",HLOOKUP(V$13,'MP (nominal)'!$D$12:$AM$244,ROW()-12,FALSE))</f>
        <v>2.0699999999999998</v>
      </c>
      <c r="W37" s="281">
        <f>IF(HLOOKUP(W$13,'MP (nominal)'!$D$12:$AM$244,ROW()-12,FALSE)="","",HLOOKUP(W$13,'MP (nominal)'!$D$12:$AM$244,ROW()-12,FALSE))</f>
        <v>0.79</v>
      </c>
      <c r="X37" s="281">
        <f>IF(HLOOKUP(X$13,'MP (nominal)'!$D$12:$AM$244,ROW()-12,FALSE)="","",HLOOKUP(X$13,'MP (nominal)'!$D$12:$AM$244,ROW()-12,FALSE))</f>
        <v>1.28</v>
      </c>
      <c r="Y37" s="281"/>
      <c r="Z37" s="281">
        <f>IF(HLOOKUP(Z$13,'MP (nominal)'!$D$12:$AM$244,ROW()-12,FALSE)="","",HLOOKUP(Z$13,'MP (nominal)'!$D$12:$AM$244,ROW()-12,FALSE)*VLOOKUP($C37,CPI!$B$9:$I$63,8))</f>
        <v>2865.5581000000002</v>
      </c>
      <c r="AA37" s="281">
        <f>IF(HLOOKUP(AA$13,'MP (nominal)'!$D$12:$AM$244,ROW()-12,FALSE)="","",HLOOKUP(AA$13,'MP (nominal)'!$D$12:$AM$244,ROW()-12,FALSE))</f>
        <v>20119.02</v>
      </c>
      <c r="AB37" s="281">
        <f>IF(HLOOKUP(AB$13,'MP (nominal)'!$D$12:$AM$244,ROW()-12,FALSE)="","",HLOOKUP(AB$13,'MP (nominal)'!$D$12:$AM$244,ROW()-12,FALSE))</f>
        <v>3818</v>
      </c>
      <c r="AC37" s="281"/>
      <c r="AD37" s="281">
        <f>IF(HLOOKUP(AD$13,'MP (nominal)'!$D$12:$AM$244,ROW()-12,FALSE)="","",HLOOKUP(AD$13,'MP (nominal)'!$D$12:$AM$244,ROW()-12,FALSE)*VLOOKUP($C37,CPI!$B$9:$I$63,8))</f>
        <v>1555.3861999999999</v>
      </c>
      <c r="AE37" s="31">
        <f>IF(HLOOKUP(AE$13,'MP (nominal)'!$D$12:$AM$244,ROW()-12,FALSE)="","",HLOOKUP(AE$13,'MP (nominal)'!$D$12:$AM$244,ROW()-12,FALSE))</f>
        <v>14226.752</v>
      </c>
      <c r="AF37" s="31">
        <f>IF(HLOOKUP(AF$13,'MP (nominal)'!$D$12:$AM$244,ROW()-12,FALSE)="","",HLOOKUP(AF$13,'MP (nominal)'!$D$12:$AM$244,ROW()-12,FALSE))</f>
        <v>634</v>
      </c>
      <c r="AG37" s="281"/>
      <c r="AH37" s="281">
        <f>IF(HLOOKUP(AH$13,'MP (nominal)'!$D$12:$AM$244,ROW()-12,FALSE)="","",HLOOKUP(AH$13,'MP (nominal)'!$D$12:$AM$244,ROW()-12,FALSE)*VLOOKUP($C37,CPI!$B$9:$I$63,8))</f>
        <v>257.33213000000001</v>
      </c>
      <c r="AI37" s="31">
        <f>IF(HLOOKUP(AI$13,'MP (nominal)'!$D$12:$AM$244,ROW()-12,FALSE)="","",HLOOKUP(AI$13,'MP (nominal)'!$D$12:$AM$244,ROW()-12,FALSE))</f>
        <v>3247.2804000000001</v>
      </c>
      <c r="AJ37" s="31">
        <f>IF(HLOOKUP(AJ$13,'MP (nominal)'!$D$12:$AM$244,ROW()-12,FALSE)="","",HLOOKUP(AJ$13,'MP (nominal)'!$D$12:$AM$244,ROW()-12,FALSE))</f>
        <v>14</v>
      </c>
      <c r="AK37" s="281"/>
      <c r="AL37" s="281">
        <f>IF(HLOOKUP(AL$13,'MP (nominal)'!$D$12:$AM$244,ROW()-12,FALSE)="","",HLOOKUP(AL$13,'MP (nominal)'!$D$12:$AM$244,ROW()-12,FALSE)*VLOOKUP($C37,CPI!$B$9:$I$63,8))</f>
        <v>1522.1706999999999</v>
      </c>
      <c r="AM37" s="31">
        <f>IF(HLOOKUP(AM$13,'MP (nominal)'!$D$12:$AM$244,ROW()-12,FALSE)="","",HLOOKUP(AM$13,'MP (nominal)'!$D$12:$AM$244,ROW()-12,FALSE))</f>
        <v>18316.886999999999</v>
      </c>
      <c r="AN37" s="31">
        <f>IF(HLOOKUP(AN$13,'MP (nominal)'!$D$12:$AM$244,ROW()-12,FALSE)="","",HLOOKUP(AN$13,'MP (nominal)'!$D$12:$AM$244,ROW()-12,FALSE))</f>
        <v>5</v>
      </c>
      <c r="AO37" s="281"/>
      <c r="AP37" s="281">
        <f>IF(HLOOKUP(AP$13,'MP (nominal)'!$D$12:$AM$244,ROW()-12,FALSE)="","",HLOOKUP(AP$13,'MP (nominal)'!$D$12:$AM$244,ROW()-12,FALSE)*VLOOKUP($C37,CPI!$B$9:$I$63,8))</f>
        <v>6200.4471999999996</v>
      </c>
      <c r="AQ37" s="31">
        <f>IF(HLOOKUP(AQ$13,'MP (nominal)'!$D$12:$AM$244,ROW()-12,FALSE)="","",HLOOKUP(AQ$13,'MP (nominal)'!$D$12:$AM$244,ROW()-12,FALSE))</f>
        <v>55909.938999999998</v>
      </c>
      <c r="AR37" s="281">
        <f>IF(HLOOKUP(AR$13,'MP (nominal)'!$D$12:$AM$244,ROW()-12,FALSE)="","",HLOOKUP(AR$13,'MP (nominal)'!$D$12:$AM$244,ROW()-12,FALSE))</f>
        <v>4471</v>
      </c>
    </row>
    <row r="38" spans="1:44" s="278" customFormat="1" hidden="1">
      <c r="A38" s="271">
        <f>References!C261</f>
        <v>70</v>
      </c>
      <c r="B38" s="292" t="s">
        <v>32</v>
      </c>
      <c r="C38" s="284">
        <v>2004</v>
      </c>
      <c r="D38" s="27" t="str">
        <f>IF(HLOOKUP(D$13,'MP (nominal)'!$D$12:$AM$244,ROW()-12,FALSE)="","",HLOOKUP(D$13,'MP (nominal)'!$D$12:$AM$244,ROW()-12,FALSE))</f>
        <v/>
      </c>
      <c r="E38" s="281" t="str">
        <f>IF(HLOOKUP(E$13,'MP (nominal)'!$D$12:$AM$244,ROW()-12,FALSE)="","",HLOOKUP(E$13,'MP (nominal)'!$D$12:$AM$244,ROW()-12,FALSE))</f>
        <v/>
      </c>
      <c r="F38" s="27">
        <f>IF(HLOOKUP(F$13,'MP (nominal)'!$D$12:$AM$244,ROW()-12,FALSE)="","",HLOOKUP(F$13,'MP (nominal)'!$D$12:$AM$244,ROW()-12,FALSE))</f>
        <v>21</v>
      </c>
      <c r="G38" s="281" t="str">
        <f>IF(HLOOKUP(G$13,'MP (nominal)'!$D$12:$AM$244,ROW()-12,FALSE)="","",HLOOKUP(G$13,'MP (nominal)'!$D$12:$AM$244,ROW()-12,FALSE))</f>
        <v/>
      </c>
      <c r="H38" s="27">
        <f>IF(HLOOKUP(H$13,'MP (nominal)'!$D$12:$AM$244,ROW()-12,FALSE)="","",HLOOKUP(H$13,'MP (nominal)'!$D$12:$AM$244,ROW()-12,FALSE))</f>
        <v>1638</v>
      </c>
      <c r="I38" s="31" t="str">
        <f>IF(HLOOKUP(I$13,'MP (nominal)'!$D$12:$AM$244,ROW()-12,FALSE)="","",HLOOKUP(I$13,'MP (nominal)'!$D$12:$AM$244,ROW()-12,FALSE))</f>
        <v/>
      </c>
      <c r="J38" s="31">
        <f>IF(HLOOKUP(J$13,'MP (nominal)'!$D$12:$AM$244,ROW()-12,FALSE)="","",HLOOKUP(J$13,'MP (nominal)'!$D$12:$AM$244,ROW()-12,FALSE))</f>
        <v>1618</v>
      </c>
      <c r="K38" s="281"/>
      <c r="L38" s="27">
        <f>IF(HLOOKUP(L$13,'MP (nominal)'!$D$12:$AM$244,ROW()-12,FALSE)="","",HLOOKUP(L$13,'MP (nominal)'!$D$12:$AM$244,ROW()-12,FALSE))</f>
        <v>19.015999999999998</v>
      </c>
      <c r="M38" s="293">
        <f>IF(HLOOKUP(M$13,'MP (nominal)'!$D$12:$AM$244,ROW()-12,FALSE)="","",HLOOKUP(M$13,'MP (nominal)'!$D$12:$AM$244,ROW()-12,FALSE))</f>
        <v>104.33498299999999</v>
      </c>
      <c r="N38" s="35"/>
      <c r="O38" s="27">
        <f>IF(HLOOKUP(O$13,'MP (nominal)'!$D$12:$AM$244,ROW()-12,FALSE)="","",HLOOKUP(O$13,'MP (nominal)'!$D$12:$AM$244,ROW()-12,FALSE))</f>
        <v>7457</v>
      </c>
      <c r="P38" s="31"/>
      <c r="Q38" s="281"/>
      <c r="R38" s="281">
        <f>IF(HLOOKUP(R$13,'MP (nominal)'!$D$12:$AM$244,ROW()-12,FALSE)="","",HLOOKUP(R$13,'MP (nominal)'!$D$12:$AM$244,ROW()-12,FALSE))</f>
        <v>388</v>
      </c>
      <c r="S38" s="281" t="str">
        <f>IF(HLOOKUP(S$13,'MP (nominal)'!$D$12:$AM$244,ROW()-12,FALSE)="","",HLOOKUP(S$13,'MP (nominal)'!$D$12:$AM$244,ROW()-12,FALSE))</f>
        <v/>
      </c>
      <c r="T38" s="281" t="str">
        <f>IF(HLOOKUP(T$13,'MP (nominal)'!$D$12:$AM$244,ROW()-12,FALSE)="","",HLOOKUP(T$13,'MP (nominal)'!$D$12:$AM$244,ROW()-12,FALSE))</f>
        <v/>
      </c>
      <c r="U38" s="281"/>
      <c r="V38" s="281">
        <f>IF(HLOOKUP(V$13,'MP (nominal)'!$D$12:$AM$244,ROW()-12,FALSE)="","",HLOOKUP(V$13,'MP (nominal)'!$D$12:$AM$244,ROW()-12,FALSE))</f>
        <v>7</v>
      </c>
      <c r="W38" s="281" t="str">
        <f>IF(HLOOKUP(W$13,'MP (nominal)'!$D$12:$AM$244,ROW()-12,FALSE)="","",HLOOKUP(W$13,'MP (nominal)'!$D$12:$AM$244,ROW()-12,FALSE))</f>
        <v/>
      </c>
      <c r="X38" s="281" t="str">
        <f>IF(HLOOKUP(X$13,'MP (nominal)'!$D$12:$AM$244,ROW()-12,FALSE)="","",HLOOKUP(X$13,'MP (nominal)'!$D$12:$AM$244,ROW()-12,FALSE))</f>
        <v/>
      </c>
      <c r="Y38" s="281"/>
      <c r="Z38" s="281" t="str">
        <f>IF(HLOOKUP(Z$13,'MP (nominal)'!$D$12:$AM$244,ROW()-12,FALSE)="","",HLOOKUP(Z$13,'MP (nominal)'!$D$12:$AM$244,ROW()-12,FALSE)*VLOOKUP($C38,CPI!$B$9:$I$63,8))</f>
        <v/>
      </c>
      <c r="AA38" s="281" t="str">
        <f>IF(HLOOKUP(AA$13,'MP (nominal)'!$D$12:$AM$244,ROW()-12,FALSE)="","",HLOOKUP(AA$13,'MP (nominal)'!$D$12:$AM$244,ROW()-12,FALSE))</f>
        <v/>
      </c>
      <c r="AB38" s="281" t="str">
        <f>IF(HLOOKUP(AB$13,'MP (nominal)'!$D$12:$AM$244,ROW()-12,FALSE)="","",HLOOKUP(AB$13,'MP (nominal)'!$D$12:$AM$244,ROW()-12,FALSE))</f>
        <v/>
      </c>
      <c r="AC38" s="281"/>
      <c r="AD38" s="281" t="str">
        <f>IF(HLOOKUP(AD$13,'MP (nominal)'!$D$12:$AM$244,ROW()-12,FALSE)="","",HLOOKUP(AD$13,'MP (nominal)'!$D$12:$AM$244,ROW()-12,FALSE)*VLOOKUP($C38,CPI!$B$9:$I$63,8))</f>
        <v/>
      </c>
      <c r="AE38" s="31" t="str">
        <f>IF(HLOOKUP(AE$13,'MP (nominal)'!$D$12:$AM$244,ROW()-12,FALSE)="","",HLOOKUP(AE$13,'MP (nominal)'!$D$12:$AM$244,ROW()-12,FALSE))</f>
        <v/>
      </c>
      <c r="AF38" s="31" t="str">
        <f>IF(HLOOKUP(AF$13,'MP (nominal)'!$D$12:$AM$244,ROW()-12,FALSE)="","",HLOOKUP(AF$13,'MP (nominal)'!$D$12:$AM$244,ROW()-12,FALSE))</f>
        <v/>
      </c>
      <c r="AG38" s="281"/>
      <c r="AH38" s="281" t="str">
        <f>IF(HLOOKUP(AH$13,'MP (nominal)'!$D$12:$AM$244,ROW()-12,FALSE)="","",HLOOKUP(AH$13,'MP (nominal)'!$D$12:$AM$244,ROW()-12,FALSE)*VLOOKUP($C38,CPI!$B$9:$I$63,8))</f>
        <v/>
      </c>
      <c r="AI38" s="31" t="str">
        <f>IF(HLOOKUP(AI$13,'MP (nominal)'!$D$12:$AM$244,ROW()-12,FALSE)="","",HLOOKUP(AI$13,'MP (nominal)'!$D$12:$AM$244,ROW()-12,FALSE))</f>
        <v/>
      </c>
      <c r="AJ38" s="31" t="str">
        <f>IF(HLOOKUP(AJ$13,'MP (nominal)'!$D$12:$AM$244,ROW()-12,FALSE)="","",HLOOKUP(AJ$13,'MP (nominal)'!$D$12:$AM$244,ROW()-12,FALSE))</f>
        <v/>
      </c>
      <c r="AK38" s="281"/>
      <c r="AL38" s="281" t="str">
        <f>IF(HLOOKUP(AL$13,'MP (nominal)'!$D$12:$AM$244,ROW()-12,FALSE)="","",HLOOKUP(AL$13,'MP (nominal)'!$D$12:$AM$244,ROW()-12,FALSE)*VLOOKUP($C38,CPI!$B$9:$I$63,8))</f>
        <v/>
      </c>
      <c r="AM38" s="31" t="str">
        <f>IF(HLOOKUP(AM$13,'MP (nominal)'!$D$12:$AM$244,ROW()-12,FALSE)="","",HLOOKUP(AM$13,'MP (nominal)'!$D$12:$AM$244,ROW()-12,FALSE))</f>
        <v/>
      </c>
      <c r="AN38" s="31" t="str">
        <f>IF(HLOOKUP(AN$13,'MP (nominal)'!$D$12:$AM$244,ROW()-12,FALSE)="","",HLOOKUP(AN$13,'MP (nominal)'!$D$12:$AM$244,ROW()-12,FALSE))</f>
        <v/>
      </c>
      <c r="AO38" s="281"/>
      <c r="AP38" s="281" t="str">
        <f>IF(HLOOKUP(AP$13,'MP (nominal)'!$D$12:$AM$244,ROW()-12,FALSE)="","",HLOOKUP(AP$13,'MP (nominal)'!$D$12:$AM$244,ROW()-12,FALSE)*VLOOKUP($C38,CPI!$B$9:$I$63,8))</f>
        <v/>
      </c>
      <c r="AQ38" s="31" t="str">
        <f>IF(HLOOKUP(AQ$13,'MP (nominal)'!$D$12:$AM$244,ROW()-12,FALSE)="","",HLOOKUP(AQ$13,'MP (nominal)'!$D$12:$AM$244,ROW()-12,FALSE))</f>
        <v/>
      </c>
      <c r="AR38" s="281" t="str">
        <f>IF(HLOOKUP(AR$13,'MP (nominal)'!$D$12:$AM$244,ROW()-12,FALSE)="","",HLOOKUP(AR$13,'MP (nominal)'!$D$12:$AM$244,ROW()-12,FALSE))</f>
        <v/>
      </c>
    </row>
    <row r="39" spans="1:44" s="278" customFormat="1" hidden="1">
      <c r="A39" s="271">
        <f>References!D261</f>
        <v>71</v>
      </c>
      <c r="B39" s="292" t="s">
        <v>32</v>
      </c>
      <c r="C39" s="284">
        <v>2005</v>
      </c>
      <c r="D39" s="27" t="str">
        <f>IF(HLOOKUP(D$13,'MP (nominal)'!$D$12:$AM$244,ROW()-12,FALSE)="","",HLOOKUP(D$13,'MP (nominal)'!$D$12:$AM$244,ROW()-12,FALSE))</f>
        <v/>
      </c>
      <c r="E39" s="281" t="str">
        <f>IF(HLOOKUP(E$13,'MP (nominal)'!$D$12:$AM$244,ROW()-12,FALSE)="","",HLOOKUP(E$13,'MP (nominal)'!$D$12:$AM$244,ROW()-12,FALSE))</f>
        <v/>
      </c>
      <c r="F39" s="27">
        <f>IF(HLOOKUP(F$13,'MP (nominal)'!$D$12:$AM$244,ROW()-12,FALSE)="","",HLOOKUP(F$13,'MP (nominal)'!$D$12:$AM$244,ROW()-12,FALSE))</f>
        <v>34.700000000000003</v>
      </c>
      <c r="G39" s="281" t="str">
        <f>IF(HLOOKUP(G$13,'MP (nominal)'!$D$12:$AM$244,ROW()-12,FALSE)="","",HLOOKUP(G$13,'MP (nominal)'!$D$12:$AM$244,ROW()-12,FALSE))</f>
        <v/>
      </c>
      <c r="H39" s="27">
        <f>IF(HLOOKUP(H$13,'MP (nominal)'!$D$12:$AM$244,ROW()-12,FALSE)="","",HLOOKUP(H$13,'MP (nominal)'!$D$12:$AM$244,ROW()-12,FALSE))</f>
        <v>1649.9</v>
      </c>
      <c r="I39" s="31" t="str">
        <f>IF(HLOOKUP(I$13,'MP (nominal)'!$D$12:$AM$244,ROW()-12,FALSE)="","",HLOOKUP(I$13,'MP (nominal)'!$D$12:$AM$244,ROW()-12,FALSE))</f>
        <v/>
      </c>
      <c r="J39" s="31">
        <f>IF(HLOOKUP(J$13,'MP (nominal)'!$D$12:$AM$244,ROW()-12,FALSE)="","",HLOOKUP(J$13,'MP (nominal)'!$D$12:$AM$244,ROW()-12,FALSE))</f>
        <v>1615.2</v>
      </c>
      <c r="K39" s="281"/>
      <c r="L39" s="27">
        <f>IF(HLOOKUP(L$13,'MP (nominal)'!$D$12:$AM$244,ROW()-12,FALSE)="","",HLOOKUP(L$13,'MP (nominal)'!$D$12:$AM$244,ROW()-12,FALSE))</f>
        <v>19.024000000000001</v>
      </c>
      <c r="M39" s="293">
        <f>IF(HLOOKUP(M$13,'MP (nominal)'!$D$12:$AM$244,ROW()-12,FALSE)="","",HLOOKUP(M$13,'MP (nominal)'!$D$12:$AM$244,ROW()-12,FALSE))</f>
        <v>106.01869499999999</v>
      </c>
      <c r="N39" s="35"/>
      <c r="O39" s="27">
        <f>IF(HLOOKUP(O$13,'MP (nominal)'!$D$12:$AM$244,ROW()-12,FALSE)="","",HLOOKUP(O$13,'MP (nominal)'!$D$12:$AM$244,ROW()-12,FALSE))</f>
        <v>7532</v>
      </c>
      <c r="P39" s="31"/>
      <c r="Q39" s="281"/>
      <c r="R39" s="281">
        <f>IF(HLOOKUP(R$13,'MP (nominal)'!$D$12:$AM$244,ROW()-12,FALSE)="","",HLOOKUP(R$13,'MP (nominal)'!$D$12:$AM$244,ROW()-12,FALSE))</f>
        <v>171.39</v>
      </c>
      <c r="S39" s="281" t="str">
        <f>IF(HLOOKUP(S$13,'MP (nominal)'!$D$12:$AM$244,ROW()-12,FALSE)="","",HLOOKUP(S$13,'MP (nominal)'!$D$12:$AM$244,ROW()-12,FALSE))</f>
        <v/>
      </c>
      <c r="T39" s="281" t="str">
        <f>IF(HLOOKUP(T$13,'MP (nominal)'!$D$12:$AM$244,ROW()-12,FALSE)="","",HLOOKUP(T$13,'MP (nominal)'!$D$12:$AM$244,ROW()-12,FALSE))</f>
        <v/>
      </c>
      <c r="U39" s="281"/>
      <c r="V39" s="281">
        <f>IF(HLOOKUP(V$13,'MP (nominal)'!$D$12:$AM$244,ROW()-12,FALSE)="","",HLOOKUP(V$13,'MP (nominal)'!$D$12:$AM$244,ROW()-12,FALSE))</f>
        <v>4.43</v>
      </c>
      <c r="W39" s="281" t="str">
        <f>IF(HLOOKUP(W$13,'MP (nominal)'!$D$12:$AM$244,ROW()-12,FALSE)="","",HLOOKUP(W$13,'MP (nominal)'!$D$12:$AM$244,ROW()-12,FALSE))</f>
        <v/>
      </c>
      <c r="X39" s="281" t="str">
        <f>IF(HLOOKUP(X$13,'MP (nominal)'!$D$12:$AM$244,ROW()-12,FALSE)="","",HLOOKUP(X$13,'MP (nominal)'!$D$12:$AM$244,ROW()-12,FALSE))</f>
        <v/>
      </c>
      <c r="Y39" s="281"/>
      <c r="Z39" s="281" t="str">
        <f>IF(HLOOKUP(Z$13,'MP (nominal)'!$D$12:$AM$244,ROW()-12,FALSE)="","",HLOOKUP(Z$13,'MP (nominal)'!$D$12:$AM$244,ROW()-12,FALSE)*VLOOKUP($C39,CPI!$B$9:$I$63,8))</f>
        <v/>
      </c>
      <c r="AA39" s="281" t="str">
        <f>IF(HLOOKUP(AA$13,'MP (nominal)'!$D$12:$AM$244,ROW()-12,FALSE)="","",HLOOKUP(AA$13,'MP (nominal)'!$D$12:$AM$244,ROW()-12,FALSE))</f>
        <v/>
      </c>
      <c r="AB39" s="281" t="str">
        <f>IF(HLOOKUP(AB$13,'MP (nominal)'!$D$12:$AM$244,ROW()-12,FALSE)="","",HLOOKUP(AB$13,'MP (nominal)'!$D$12:$AM$244,ROW()-12,FALSE))</f>
        <v/>
      </c>
      <c r="AC39" s="281"/>
      <c r="AD39" s="281" t="str">
        <f>IF(HLOOKUP(AD$13,'MP (nominal)'!$D$12:$AM$244,ROW()-12,FALSE)="","",HLOOKUP(AD$13,'MP (nominal)'!$D$12:$AM$244,ROW()-12,FALSE)*VLOOKUP($C39,CPI!$B$9:$I$63,8))</f>
        <v/>
      </c>
      <c r="AE39" s="31" t="str">
        <f>IF(HLOOKUP(AE$13,'MP (nominal)'!$D$12:$AM$244,ROW()-12,FALSE)="","",HLOOKUP(AE$13,'MP (nominal)'!$D$12:$AM$244,ROW()-12,FALSE))</f>
        <v/>
      </c>
      <c r="AF39" s="31" t="str">
        <f>IF(HLOOKUP(AF$13,'MP (nominal)'!$D$12:$AM$244,ROW()-12,FALSE)="","",HLOOKUP(AF$13,'MP (nominal)'!$D$12:$AM$244,ROW()-12,FALSE))</f>
        <v/>
      </c>
      <c r="AG39" s="281"/>
      <c r="AH39" s="281" t="str">
        <f>IF(HLOOKUP(AH$13,'MP (nominal)'!$D$12:$AM$244,ROW()-12,FALSE)="","",HLOOKUP(AH$13,'MP (nominal)'!$D$12:$AM$244,ROW()-12,FALSE)*VLOOKUP($C39,CPI!$B$9:$I$63,8))</f>
        <v/>
      </c>
      <c r="AI39" s="31" t="str">
        <f>IF(HLOOKUP(AI$13,'MP (nominal)'!$D$12:$AM$244,ROW()-12,FALSE)="","",HLOOKUP(AI$13,'MP (nominal)'!$D$12:$AM$244,ROW()-12,FALSE))</f>
        <v/>
      </c>
      <c r="AJ39" s="31" t="str">
        <f>IF(HLOOKUP(AJ$13,'MP (nominal)'!$D$12:$AM$244,ROW()-12,FALSE)="","",HLOOKUP(AJ$13,'MP (nominal)'!$D$12:$AM$244,ROW()-12,FALSE))</f>
        <v/>
      </c>
      <c r="AK39" s="281"/>
      <c r="AL39" s="281" t="str">
        <f>IF(HLOOKUP(AL$13,'MP (nominal)'!$D$12:$AM$244,ROW()-12,FALSE)="","",HLOOKUP(AL$13,'MP (nominal)'!$D$12:$AM$244,ROW()-12,FALSE)*VLOOKUP($C39,CPI!$B$9:$I$63,8))</f>
        <v/>
      </c>
      <c r="AM39" s="31" t="str">
        <f>IF(HLOOKUP(AM$13,'MP (nominal)'!$D$12:$AM$244,ROW()-12,FALSE)="","",HLOOKUP(AM$13,'MP (nominal)'!$D$12:$AM$244,ROW()-12,FALSE))</f>
        <v/>
      </c>
      <c r="AN39" s="31" t="str">
        <f>IF(HLOOKUP(AN$13,'MP (nominal)'!$D$12:$AM$244,ROW()-12,FALSE)="","",HLOOKUP(AN$13,'MP (nominal)'!$D$12:$AM$244,ROW()-12,FALSE))</f>
        <v/>
      </c>
      <c r="AO39" s="281"/>
      <c r="AP39" s="281" t="str">
        <f>IF(HLOOKUP(AP$13,'MP (nominal)'!$D$12:$AM$244,ROW()-12,FALSE)="","",HLOOKUP(AP$13,'MP (nominal)'!$D$12:$AM$244,ROW()-12,FALSE)*VLOOKUP($C39,CPI!$B$9:$I$63,8))</f>
        <v/>
      </c>
      <c r="AQ39" s="31" t="str">
        <f>IF(HLOOKUP(AQ$13,'MP (nominal)'!$D$12:$AM$244,ROW()-12,FALSE)="","",HLOOKUP(AQ$13,'MP (nominal)'!$D$12:$AM$244,ROW()-12,FALSE))</f>
        <v/>
      </c>
      <c r="AR39" s="281" t="str">
        <f>IF(HLOOKUP(AR$13,'MP (nominal)'!$D$12:$AM$244,ROW()-12,FALSE)="","",HLOOKUP(AR$13,'MP (nominal)'!$D$12:$AM$244,ROW()-12,FALSE))</f>
        <v/>
      </c>
    </row>
    <row r="40" spans="1:44" s="278" customFormat="1" hidden="1">
      <c r="A40" s="271">
        <f>References!E261</f>
        <v>72</v>
      </c>
      <c r="B40" s="292" t="s">
        <v>32</v>
      </c>
      <c r="C40" s="284">
        <v>2006</v>
      </c>
      <c r="D40" s="27" t="str">
        <f>IF(HLOOKUP(D$13,'MP (nominal)'!$D$12:$AM$244,ROW()-12,FALSE)="","",HLOOKUP(D$13,'MP (nominal)'!$D$12:$AM$244,ROW()-12,FALSE))</f>
        <v/>
      </c>
      <c r="E40" s="281" t="str">
        <f>IF(HLOOKUP(E$13,'MP (nominal)'!$D$12:$AM$244,ROW()-12,FALSE)="","",HLOOKUP(E$13,'MP (nominal)'!$D$12:$AM$244,ROW()-12,FALSE))</f>
        <v/>
      </c>
      <c r="F40" s="27">
        <f>IF(HLOOKUP(F$13,'MP (nominal)'!$D$12:$AM$244,ROW()-12,FALSE)="","",HLOOKUP(F$13,'MP (nominal)'!$D$12:$AM$244,ROW()-12,FALSE))</f>
        <v>52.7</v>
      </c>
      <c r="G40" s="281" t="str">
        <f>IF(HLOOKUP(G$13,'MP (nominal)'!$D$12:$AM$244,ROW()-12,FALSE)="","",HLOOKUP(G$13,'MP (nominal)'!$D$12:$AM$244,ROW()-12,FALSE))</f>
        <v/>
      </c>
      <c r="H40" s="27">
        <f>IF(HLOOKUP(H$13,'MP (nominal)'!$D$12:$AM$244,ROW()-12,FALSE)="","",HLOOKUP(H$13,'MP (nominal)'!$D$12:$AM$244,ROW()-12,FALSE))</f>
        <v>1669.1</v>
      </c>
      <c r="I40" s="31" t="str">
        <f>IF(HLOOKUP(I$13,'MP (nominal)'!$D$12:$AM$244,ROW()-12,FALSE)="","",HLOOKUP(I$13,'MP (nominal)'!$D$12:$AM$244,ROW()-12,FALSE))</f>
        <v/>
      </c>
      <c r="J40" s="31">
        <f>IF(HLOOKUP(J$13,'MP (nominal)'!$D$12:$AM$244,ROW()-12,FALSE)="","",HLOOKUP(J$13,'MP (nominal)'!$D$12:$AM$244,ROW()-12,FALSE))</f>
        <v>1616.4</v>
      </c>
      <c r="K40" s="281"/>
      <c r="L40" s="27">
        <f>IF(HLOOKUP(L$13,'MP (nominal)'!$D$12:$AM$244,ROW()-12,FALSE)="","",HLOOKUP(L$13,'MP (nominal)'!$D$12:$AM$244,ROW()-12,FALSE))</f>
        <v>19.835999999999999</v>
      </c>
      <c r="M40" s="293">
        <f>IF(HLOOKUP(M$13,'MP (nominal)'!$D$12:$AM$244,ROW()-12,FALSE)="","",HLOOKUP(M$13,'MP (nominal)'!$D$12:$AM$244,ROW()-12,FALSE))</f>
        <v>106.46754799999999</v>
      </c>
      <c r="N40" s="35"/>
      <c r="O40" s="27">
        <f>IF(HLOOKUP(O$13,'MP (nominal)'!$D$12:$AM$244,ROW()-12,FALSE)="","",HLOOKUP(O$13,'MP (nominal)'!$D$12:$AM$244,ROW()-12,FALSE))</f>
        <v>7692</v>
      </c>
      <c r="P40" s="31"/>
      <c r="Q40" s="281"/>
      <c r="R40" s="281">
        <f>IF(HLOOKUP(R$13,'MP (nominal)'!$D$12:$AM$244,ROW()-12,FALSE)="","",HLOOKUP(R$13,'MP (nominal)'!$D$12:$AM$244,ROW()-12,FALSE))</f>
        <v>153.19999999999999</v>
      </c>
      <c r="S40" s="281" t="str">
        <f>IF(HLOOKUP(S$13,'MP (nominal)'!$D$12:$AM$244,ROW()-12,FALSE)="","",HLOOKUP(S$13,'MP (nominal)'!$D$12:$AM$244,ROW()-12,FALSE))</f>
        <v/>
      </c>
      <c r="T40" s="281" t="str">
        <f>IF(HLOOKUP(T$13,'MP (nominal)'!$D$12:$AM$244,ROW()-12,FALSE)="","",HLOOKUP(T$13,'MP (nominal)'!$D$12:$AM$244,ROW()-12,FALSE))</f>
        <v/>
      </c>
      <c r="U40" s="281"/>
      <c r="V40" s="281">
        <f>IF(HLOOKUP(V$13,'MP (nominal)'!$D$12:$AM$244,ROW()-12,FALSE)="","",HLOOKUP(V$13,'MP (nominal)'!$D$12:$AM$244,ROW()-12,FALSE))</f>
        <v>5.58</v>
      </c>
      <c r="W40" s="281" t="str">
        <f>IF(HLOOKUP(W$13,'MP (nominal)'!$D$12:$AM$244,ROW()-12,FALSE)="","",HLOOKUP(W$13,'MP (nominal)'!$D$12:$AM$244,ROW()-12,FALSE))</f>
        <v/>
      </c>
      <c r="X40" s="281" t="str">
        <f>IF(HLOOKUP(X$13,'MP (nominal)'!$D$12:$AM$244,ROW()-12,FALSE)="","",HLOOKUP(X$13,'MP (nominal)'!$D$12:$AM$244,ROW()-12,FALSE))</f>
        <v/>
      </c>
      <c r="Y40" s="281"/>
      <c r="Z40" s="281" t="str">
        <f>IF(HLOOKUP(Z$13,'MP (nominal)'!$D$12:$AM$244,ROW()-12,FALSE)="","",HLOOKUP(Z$13,'MP (nominal)'!$D$12:$AM$244,ROW()-12,FALSE)*VLOOKUP($C40,CPI!$B$9:$I$63,8))</f>
        <v/>
      </c>
      <c r="AA40" s="281" t="str">
        <f>IF(HLOOKUP(AA$13,'MP (nominal)'!$D$12:$AM$244,ROW()-12,FALSE)="","",HLOOKUP(AA$13,'MP (nominal)'!$D$12:$AM$244,ROW()-12,FALSE))</f>
        <v/>
      </c>
      <c r="AB40" s="281" t="str">
        <f>IF(HLOOKUP(AB$13,'MP (nominal)'!$D$12:$AM$244,ROW()-12,FALSE)="","",HLOOKUP(AB$13,'MP (nominal)'!$D$12:$AM$244,ROW()-12,FALSE))</f>
        <v/>
      </c>
      <c r="AC40" s="281"/>
      <c r="AD40" s="281" t="str">
        <f>IF(HLOOKUP(AD$13,'MP (nominal)'!$D$12:$AM$244,ROW()-12,FALSE)="","",HLOOKUP(AD$13,'MP (nominal)'!$D$12:$AM$244,ROW()-12,FALSE)*VLOOKUP($C40,CPI!$B$9:$I$63,8))</f>
        <v/>
      </c>
      <c r="AE40" s="31" t="str">
        <f>IF(HLOOKUP(AE$13,'MP (nominal)'!$D$12:$AM$244,ROW()-12,FALSE)="","",HLOOKUP(AE$13,'MP (nominal)'!$D$12:$AM$244,ROW()-12,FALSE))</f>
        <v/>
      </c>
      <c r="AF40" s="31" t="str">
        <f>IF(HLOOKUP(AF$13,'MP (nominal)'!$D$12:$AM$244,ROW()-12,FALSE)="","",HLOOKUP(AF$13,'MP (nominal)'!$D$12:$AM$244,ROW()-12,FALSE))</f>
        <v/>
      </c>
      <c r="AG40" s="281"/>
      <c r="AH40" s="281" t="str">
        <f>IF(HLOOKUP(AH$13,'MP (nominal)'!$D$12:$AM$244,ROW()-12,FALSE)="","",HLOOKUP(AH$13,'MP (nominal)'!$D$12:$AM$244,ROW()-12,FALSE)*VLOOKUP($C40,CPI!$B$9:$I$63,8))</f>
        <v/>
      </c>
      <c r="AI40" s="31" t="str">
        <f>IF(HLOOKUP(AI$13,'MP (nominal)'!$D$12:$AM$244,ROW()-12,FALSE)="","",HLOOKUP(AI$13,'MP (nominal)'!$D$12:$AM$244,ROW()-12,FALSE))</f>
        <v/>
      </c>
      <c r="AJ40" s="31" t="str">
        <f>IF(HLOOKUP(AJ$13,'MP (nominal)'!$D$12:$AM$244,ROW()-12,FALSE)="","",HLOOKUP(AJ$13,'MP (nominal)'!$D$12:$AM$244,ROW()-12,FALSE))</f>
        <v/>
      </c>
      <c r="AK40" s="281"/>
      <c r="AL40" s="281" t="str">
        <f>IF(HLOOKUP(AL$13,'MP (nominal)'!$D$12:$AM$244,ROW()-12,FALSE)="","",HLOOKUP(AL$13,'MP (nominal)'!$D$12:$AM$244,ROW()-12,FALSE)*VLOOKUP($C40,CPI!$B$9:$I$63,8))</f>
        <v/>
      </c>
      <c r="AM40" s="31" t="str">
        <f>IF(HLOOKUP(AM$13,'MP (nominal)'!$D$12:$AM$244,ROW()-12,FALSE)="","",HLOOKUP(AM$13,'MP (nominal)'!$D$12:$AM$244,ROW()-12,FALSE))</f>
        <v/>
      </c>
      <c r="AN40" s="31" t="str">
        <f>IF(HLOOKUP(AN$13,'MP (nominal)'!$D$12:$AM$244,ROW()-12,FALSE)="","",HLOOKUP(AN$13,'MP (nominal)'!$D$12:$AM$244,ROW()-12,FALSE))</f>
        <v/>
      </c>
      <c r="AO40" s="281"/>
      <c r="AP40" s="281" t="str">
        <f>IF(HLOOKUP(AP$13,'MP (nominal)'!$D$12:$AM$244,ROW()-12,FALSE)="","",HLOOKUP(AP$13,'MP (nominal)'!$D$12:$AM$244,ROW()-12,FALSE)*VLOOKUP($C40,CPI!$B$9:$I$63,8))</f>
        <v/>
      </c>
      <c r="AQ40" s="31" t="str">
        <f>IF(HLOOKUP(AQ$13,'MP (nominal)'!$D$12:$AM$244,ROW()-12,FALSE)="","",HLOOKUP(AQ$13,'MP (nominal)'!$D$12:$AM$244,ROW()-12,FALSE))</f>
        <v/>
      </c>
      <c r="AR40" s="281" t="str">
        <f>IF(HLOOKUP(AR$13,'MP (nominal)'!$D$12:$AM$244,ROW()-12,FALSE)="","",HLOOKUP(AR$13,'MP (nominal)'!$D$12:$AM$244,ROW()-12,FALSE))</f>
        <v/>
      </c>
    </row>
    <row r="41" spans="1:44" s="278" customFormat="1" ht="13.5" hidden="1" customHeight="1">
      <c r="A41" s="271">
        <f>References!F261</f>
        <v>73</v>
      </c>
      <c r="B41" s="292" t="s">
        <v>32</v>
      </c>
      <c r="C41" s="284">
        <v>2007</v>
      </c>
      <c r="D41" s="27" t="str">
        <f>IF(HLOOKUP(D$13,'MP (nominal)'!$D$12:$AM$244,ROW()-12,FALSE)="","",HLOOKUP(D$13,'MP (nominal)'!$D$12:$AM$244,ROW()-12,FALSE))</f>
        <v/>
      </c>
      <c r="E41" s="281" t="str">
        <f>IF(HLOOKUP(E$13,'MP (nominal)'!$D$12:$AM$244,ROW()-12,FALSE)="","",HLOOKUP(E$13,'MP (nominal)'!$D$12:$AM$244,ROW()-12,FALSE))</f>
        <v/>
      </c>
      <c r="F41" s="27">
        <f>IF(HLOOKUP(F$13,'MP (nominal)'!$D$12:$AM$244,ROW()-12,FALSE)="","",HLOOKUP(F$13,'MP (nominal)'!$D$12:$AM$244,ROW()-12,FALSE))</f>
        <v>70.34</v>
      </c>
      <c r="G41" s="281" t="str">
        <f>IF(HLOOKUP(G$13,'MP (nominal)'!$D$12:$AM$244,ROW()-12,FALSE)="","",HLOOKUP(G$13,'MP (nominal)'!$D$12:$AM$244,ROW()-12,FALSE))</f>
        <v/>
      </c>
      <c r="H41" s="27">
        <f>IF(HLOOKUP(H$13,'MP (nominal)'!$D$12:$AM$244,ROW()-12,FALSE)="","",HLOOKUP(H$13,'MP (nominal)'!$D$12:$AM$244,ROW()-12,FALSE))</f>
        <v>1707</v>
      </c>
      <c r="I41" s="31" t="str">
        <f>IF(HLOOKUP(I$13,'MP (nominal)'!$D$12:$AM$244,ROW()-12,FALSE)="","",HLOOKUP(I$13,'MP (nominal)'!$D$12:$AM$244,ROW()-12,FALSE))</f>
        <v/>
      </c>
      <c r="J41" s="31">
        <f>IF(HLOOKUP(J$13,'MP (nominal)'!$D$12:$AM$244,ROW()-12,FALSE)="","",HLOOKUP(J$13,'MP (nominal)'!$D$12:$AM$244,ROW()-12,FALSE))</f>
        <v>1636.6</v>
      </c>
      <c r="K41" s="281"/>
      <c r="L41" s="27">
        <f>IF(HLOOKUP(L$13,'MP (nominal)'!$D$12:$AM$244,ROW()-12,FALSE)="","",HLOOKUP(L$13,'MP (nominal)'!$D$12:$AM$244,ROW()-12,FALSE))</f>
        <v>19.006</v>
      </c>
      <c r="M41" s="293">
        <f>IF(HLOOKUP(M$13,'MP (nominal)'!$D$12:$AM$244,ROW()-12,FALSE)="","",HLOOKUP(M$13,'MP (nominal)'!$D$12:$AM$244,ROW()-12,FALSE))</f>
        <v>103.64460800000001</v>
      </c>
      <c r="N41" s="35"/>
      <c r="O41" s="27">
        <f>IF(HLOOKUP(O$13,'MP (nominal)'!$D$12:$AM$244,ROW()-12,FALSE)="","",HLOOKUP(O$13,'MP (nominal)'!$D$12:$AM$244,ROW()-12,FALSE))</f>
        <v>7775</v>
      </c>
      <c r="P41" s="31"/>
      <c r="Q41" s="281"/>
      <c r="R41" s="281">
        <f>IF(HLOOKUP(R$13,'MP (nominal)'!$D$12:$AM$244,ROW()-12,FALSE)="","",HLOOKUP(R$13,'MP (nominal)'!$D$12:$AM$244,ROW()-12,FALSE))</f>
        <v>246.6</v>
      </c>
      <c r="S41" s="281" t="str">
        <f>IF(HLOOKUP(S$13,'MP (nominal)'!$D$12:$AM$244,ROW()-12,FALSE)="","",HLOOKUP(S$13,'MP (nominal)'!$D$12:$AM$244,ROW()-12,FALSE))</f>
        <v/>
      </c>
      <c r="T41" s="281" t="str">
        <f>IF(HLOOKUP(T$13,'MP (nominal)'!$D$12:$AM$244,ROW()-12,FALSE)="","",HLOOKUP(T$13,'MP (nominal)'!$D$12:$AM$244,ROW()-12,FALSE))</f>
        <v/>
      </c>
      <c r="U41" s="281"/>
      <c r="V41" s="281">
        <f>IF(HLOOKUP(V$13,'MP (nominal)'!$D$12:$AM$244,ROW()-12,FALSE)="","",HLOOKUP(V$13,'MP (nominal)'!$D$12:$AM$244,ROW()-12,FALSE))</f>
        <v>4.1900000000000004</v>
      </c>
      <c r="W41" s="281" t="str">
        <f>IF(HLOOKUP(W$13,'MP (nominal)'!$D$12:$AM$244,ROW()-12,FALSE)="","",HLOOKUP(W$13,'MP (nominal)'!$D$12:$AM$244,ROW()-12,FALSE))</f>
        <v/>
      </c>
      <c r="X41" s="281" t="str">
        <f>IF(HLOOKUP(X$13,'MP (nominal)'!$D$12:$AM$244,ROW()-12,FALSE)="","",HLOOKUP(X$13,'MP (nominal)'!$D$12:$AM$244,ROW()-12,FALSE))</f>
        <v/>
      </c>
      <c r="Y41" s="281"/>
      <c r="Z41" s="281" t="str">
        <f>IF(HLOOKUP(Z$13,'MP (nominal)'!$D$12:$AM$244,ROW()-12,FALSE)="","",HLOOKUP(Z$13,'MP (nominal)'!$D$12:$AM$244,ROW()-12,FALSE)*VLOOKUP($C41,CPI!$B$9:$I$63,8))</f>
        <v/>
      </c>
      <c r="AA41" s="281" t="str">
        <f>IF(HLOOKUP(AA$13,'MP (nominal)'!$D$12:$AM$244,ROW()-12,FALSE)="","",HLOOKUP(AA$13,'MP (nominal)'!$D$12:$AM$244,ROW()-12,FALSE))</f>
        <v/>
      </c>
      <c r="AB41" s="281" t="str">
        <f>IF(HLOOKUP(AB$13,'MP (nominal)'!$D$12:$AM$244,ROW()-12,FALSE)="","",HLOOKUP(AB$13,'MP (nominal)'!$D$12:$AM$244,ROW()-12,FALSE))</f>
        <v/>
      </c>
      <c r="AC41" s="281"/>
      <c r="AD41" s="281" t="str">
        <f>IF(HLOOKUP(AD$13,'MP (nominal)'!$D$12:$AM$244,ROW()-12,FALSE)="","",HLOOKUP(AD$13,'MP (nominal)'!$D$12:$AM$244,ROW()-12,FALSE)*VLOOKUP($C41,CPI!$B$9:$I$63,8))</f>
        <v/>
      </c>
      <c r="AE41" s="31" t="str">
        <f>IF(HLOOKUP(AE$13,'MP (nominal)'!$D$12:$AM$244,ROW()-12,FALSE)="","",HLOOKUP(AE$13,'MP (nominal)'!$D$12:$AM$244,ROW()-12,FALSE))</f>
        <v/>
      </c>
      <c r="AF41" s="31" t="str">
        <f>IF(HLOOKUP(AF$13,'MP (nominal)'!$D$12:$AM$244,ROW()-12,FALSE)="","",HLOOKUP(AF$13,'MP (nominal)'!$D$12:$AM$244,ROW()-12,FALSE))</f>
        <v/>
      </c>
      <c r="AG41" s="281"/>
      <c r="AH41" s="281" t="str">
        <f>IF(HLOOKUP(AH$13,'MP (nominal)'!$D$12:$AM$244,ROW()-12,FALSE)="","",HLOOKUP(AH$13,'MP (nominal)'!$D$12:$AM$244,ROW()-12,FALSE)*VLOOKUP($C41,CPI!$B$9:$I$63,8))</f>
        <v/>
      </c>
      <c r="AI41" s="31" t="str">
        <f>IF(HLOOKUP(AI$13,'MP (nominal)'!$D$12:$AM$244,ROW()-12,FALSE)="","",HLOOKUP(AI$13,'MP (nominal)'!$D$12:$AM$244,ROW()-12,FALSE))</f>
        <v/>
      </c>
      <c r="AJ41" s="31" t="str">
        <f>IF(HLOOKUP(AJ$13,'MP (nominal)'!$D$12:$AM$244,ROW()-12,FALSE)="","",HLOOKUP(AJ$13,'MP (nominal)'!$D$12:$AM$244,ROW()-12,FALSE))</f>
        <v/>
      </c>
      <c r="AK41" s="281"/>
      <c r="AL41" s="281" t="str">
        <f>IF(HLOOKUP(AL$13,'MP (nominal)'!$D$12:$AM$244,ROW()-12,FALSE)="","",HLOOKUP(AL$13,'MP (nominal)'!$D$12:$AM$244,ROW()-12,FALSE)*VLOOKUP($C41,CPI!$B$9:$I$63,8))</f>
        <v/>
      </c>
      <c r="AM41" s="31" t="str">
        <f>IF(HLOOKUP(AM$13,'MP (nominal)'!$D$12:$AM$244,ROW()-12,FALSE)="","",HLOOKUP(AM$13,'MP (nominal)'!$D$12:$AM$244,ROW()-12,FALSE))</f>
        <v/>
      </c>
      <c r="AN41" s="31" t="str">
        <f>IF(HLOOKUP(AN$13,'MP (nominal)'!$D$12:$AM$244,ROW()-12,FALSE)="","",HLOOKUP(AN$13,'MP (nominal)'!$D$12:$AM$244,ROW()-12,FALSE))</f>
        <v/>
      </c>
      <c r="AO41" s="281"/>
      <c r="AP41" s="281" t="str">
        <f>IF(HLOOKUP(AP$13,'MP (nominal)'!$D$12:$AM$244,ROW()-12,FALSE)="","",HLOOKUP(AP$13,'MP (nominal)'!$D$12:$AM$244,ROW()-12,FALSE)*VLOOKUP($C41,CPI!$B$9:$I$63,8))</f>
        <v/>
      </c>
      <c r="AQ41" s="31" t="str">
        <f>IF(HLOOKUP(AQ$13,'MP (nominal)'!$D$12:$AM$244,ROW()-12,FALSE)="","",HLOOKUP(AQ$13,'MP (nominal)'!$D$12:$AM$244,ROW()-12,FALSE))</f>
        <v/>
      </c>
      <c r="AR41" s="281" t="str">
        <f>IF(HLOOKUP(AR$13,'MP (nominal)'!$D$12:$AM$244,ROW()-12,FALSE)="","",HLOOKUP(AR$13,'MP (nominal)'!$D$12:$AM$244,ROW()-12,FALSE))</f>
        <v/>
      </c>
    </row>
    <row r="42" spans="1:44" s="278" customFormat="1">
      <c r="A42" s="271">
        <f>References!G261</f>
        <v>74</v>
      </c>
      <c r="B42" s="292" t="s">
        <v>32</v>
      </c>
      <c r="C42" s="284">
        <v>2008</v>
      </c>
      <c r="D42" s="27">
        <f>IF(HLOOKUP(D$13,'MP (nominal)'!$D$12:$AM$244,ROW()-12,FALSE)="","",HLOOKUP(D$13,'MP (nominal)'!$D$12:$AM$244,ROW()-12,FALSE))</f>
        <v>1641.9</v>
      </c>
      <c r="E42" s="281">
        <f>IF(HLOOKUP(E$13,'MP (nominal)'!$D$12:$AM$244,ROW()-12,FALSE)="","",HLOOKUP(E$13,'MP (nominal)'!$D$12:$AM$244,ROW()-12,FALSE))</f>
        <v>0</v>
      </c>
      <c r="F42" s="27">
        <f>IF(HLOOKUP(F$13,'MP (nominal)'!$D$12:$AM$244,ROW()-12,FALSE)="","",HLOOKUP(F$13,'MP (nominal)'!$D$12:$AM$244,ROW()-12,FALSE))</f>
        <v>70.3</v>
      </c>
      <c r="G42" s="281">
        <f>IF(HLOOKUP(G$13,'MP (nominal)'!$D$12:$AM$244,ROW()-12,FALSE)="","",HLOOKUP(G$13,'MP (nominal)'!$D$12:$AM$244,ROW()-12,FALSE))</f>
        <v>0</v>
      </c>
      <c r="H42" s="27">
        <f>IF(HLOOKUP(H$13,'MP (nominal)'!$D$12:$AM$244,ROW()-12,FALSE)="","",HLOOKUP(H$13,'MP (nominal)'!$D$12:$AM$244,ROW()-12,FALSE))</f>
        <v>1712.2</v>
      </c>
      <c r="I42" s="31">
        <f>IF(HLOOKUP(I$13,'MP (nominal)'!$D$12:$AM$244,ROW()-12,FALSE)="","",HLOOKUP(I$13,'MP (nominal)'!$D$12:$AM$244,ROW()-12,FALSE))</f>
        <v>0</v>
      </c>
      <c r="J42" s="31">
        <f>IF(HLOOKUP(J$13,'MP (nominal)'!$D$12:$AM$244,ROW()-12,FALSE)="","",HLOOKUP(J$13,'MP (nominal)'!$D$12:$AM$244,ROW()-12,FALSE))</f>
        <v>1641.9</v>
      </c>
      <c r="K42" s="281"/>
      <c r="L42" s="27">
        <f>IF(HLOOKUP(L$13,'MP (nominal)'!$D$12:$AM$244,ROW()-12,FALSE)="","",HLOOKUP(L$13,'MP (nominal)'!$D$12:$AM$244,ROW()-12,FALSE))</f>
        <v>20.512</v>
      </c>
      <c r="M42" s="283">
        <f>IF(HLOOKUP(M$13,'MP (nominal)'!$D$12:$AM$244,ROW()-12,FALSE)="","",HLOOKUP(M$13,'MP (nominal)'!$D$12:$AM$244,ROW()-12,FALSE))</f>
        <v>105.4667</v>
      </c>
      <c r="N42" s="35"/>
      <c r="O42" s="27">
        <f>IF(HLOOKUP(O$13,'MP (nominal)'!$D$12:$AM$244,ROW()-12,FALSE)="","",HLOOKUP(O$13,'MP (nominal)'!$D$12:$AM$244,ROW()-12,FALSE))</f>
        <v>7958</v>
      </c>
      <c r="P42" s="31"/>
      <c r="Q42" s="281"/>
      <c r="R42" s="281">
        <f>IF(HLOOKUP(R$13,'MP (nominal)'!$D$12:$AM$244,ROW()-12,FALSE)="","",HLOOKUP(R$13,'MP (nominal)'!$D$12:$AM$244,ROW()-12,FALSE))</f>
        <v>157.09</v>
      </c>
      <c r="S42" s="281">
        <f>IF(HLOOKUP(S$13,'MP (nominal)'!$D$12:$AM$244,ROW()-12,FALSE)="","",HLOOKUP(S$13,'MP (nominal)'!$D$12:$AM$244,ROW()-12,FALSE))</f>
        <v>50.17</v>
      </c>
      <c r="T42" s="281">
        <f>IF(HLOOKUP(T$13,'MP (nominal)'!$D$12:$AM$244,ROW()-12,FALSE)="","",HLOOKUP(T$13,'MP (nominal)'!$D$12:$AM$244,ROW()-12,FALSE))</f>
        <v>106.92</v>
      </c>
      <c r="U42" s="281"/>
      <c r="V42" s="281">
        <f>IF(HLOOKUP(V$13,'MP (nominal)'!$D$12:$AM$244,ROW()-12,FALSE)="","",HLOOKUP(V$13,'MP (nominal)'!$D$12:$AM$244,ROW()-12,FALSE))</f>
        <v>2.68</v>
      </c>
      <c r="W42" s="281">
        <f>IF(HLOOKUP(W$13,'MP (nominal)'!$D$12:$AM$244,ROW()-12,FALSE)="","",HLOOKUP(W$13,'MP (nominal)'!$D$12:$AM$244,ROW()-12,FALSE))</f>
        <v>0.15</v>
      </c>
      <c r="X42" s="281">
        <f>IF(HLOOKUP(X$13,'MP (nominal)'!$D$12:$AM$244,ROW()-12,FALSE)="","",HLOOKUP(X$13,'MP (nominal)'!$D$12:$AM$244,ROW()-12,FALSE))</f>
        <v>2.5299999999999998</v>
      </c>
      <c r="Y42" s="281"/>
      <c r="Z42" s="281">
        <f>IF(HLOOKUP(Z$13,'MP (nominal)'!$D$12:$AM$244,ROW()-12,FALSE)="","",HLOOKUP(Z$13,'MP (nominal)'!$D$12:$AM$244,ROW()-12,FALSE)*VLOOKUP($C42,CPI!$B$9:$I$63,8))</f>
        <v>5515.9016781386326</v>
      </c>
      <c r="AA42" s="281">
        <f>IF(HLOOKUP(AA$13,'MP (nominal)'!$D$12:$AM$244,ROW()-12,FALSE)="","",HLOOKUP(AA$13,'MP (nominal)'!$D$12:$AM$244,ROW()-12,FALSE))</f>
        <v>60502.777000000002</v>
      </c>
      <c r="AB42" s="281">
        <f>IF(HLOOKUP(AB$13,'MP (nominal)'!$D$12:$AM$244,ROW()-12,FALSE)="","",HLOOKUP(AB$13,'MP (nominal)'!$D$12:$AM$244,ROW()-12,FALSE))</f>
        <v>7904</v>
      </c>
      <c r="AC42" s="281"/>
      <c r="AD42" s="281">
        <f>IF(HLOOKUP(AD$13,'MP (nominal)'!$D$12:$AM$244,ROW()-12,FALSE)="","",HLOOKUP(AD$13,'MP (nominal)'!$D$12:$AM$244,ROW()-12,FALSE)*VLOOKUP($C42,CPI!$B$9:$I$63,8))</f>
        <v>653.96891210686886</v>
      </c>
      <c r="AE42" s="31">
        <f>IF(HLOOKUP(AE$13,'MP (nominal)'!$D$12:$AM$244,ROW()-12,FALSE)="","",HLOOKUP(AE$13,'MP (nominal)'!$D$12:$AM$244,ROW()-12,FALSE))</f>
        <v>9605.0949999999993</v>
      </c>
      <c r="AF42" s="31">
        <f>IF(HLOOKUP(AF$13,'MP (nominal)'!$D$12:$AM$244,ROW()-12,FALSE)="","",HLOOKUP(AF$13,'MP (nominal)'!$D$12:$AM$244,ROW()-12,FALSE))</f>
        <v>43</v>
      </c>
      <c r="AG42" s="281"/>
      <c r="AH42" s="281">
        <f>IF(HLOOKUP(AH$13,'MP (nominal)'!$D$12:$AM$244,ROW()-12,FALSE)="","",HLOOKUP(AH$13,'MP (nominal)'!$D$12:$AM$244,ROW()-12,FALSE)*VLOOKUP($C42,CPI!$B$9:$I$63,8))</f>
        <v>170.05608919905333</v>
      </c>
      <c r="AI42" s="31">
        <f>IF(HLOOKUP(AI$13,'MP (nominal)'!$D$12:$AM$244,ROW()-12,FALSE)="","",HLOOKUP(AI$13,'MP (nominal)'!$D$12:$AM$244,ROW()-12,FALSE))</f>
        <v>3217.953</v>
      </c>
      <c r="AJ42" s="31">
        <f>IF(HLOOKUP(AJ$13,'MP (nominal)'!$D$12:$AM$244,ROW()-12,FALSE)="","",HLOOKUP(AJ$13,'MP (nominal)'!$D$12:$AM$244,ROW()-12,FALSE))</f>
        <v>7</v>
      </c>
      <c r="AK42" s="281"/>
      <c r="AL42" s="281">
        <f>IF(HLOOKUP(AL$13,'MP (nominal)'!$D$12:$AM$244,ROW()-12,FALSE)="","",HLOOKUP(AL$13,'MP (nominal)'!$D$12:$AM$244,ROW()-12,FALSE)*VLOOKUP($C42,CPI!$B$9:$I$63,8))</f>
        <v>986.58657948447433</v>
      </c>
      <c r="AM42" s="31">
        <f>IF(HLOOKUP(AM$13,'MP (nominal)'!$D$12:$AM$244,ROW()-12,FALSE)="","",HLOOKUP(AM$13,'MP (nominal)'!$D$12:$AM$244,ROW()-12,FALSE))</f>
        <v>32140.876</v>
      </c>
      <c r="AN42" s="31">
        <f>IF(HLOOKUP(AN$13,'MP (nominal)'!$D$12:$AM$244,ROW()-12,FALSE)="","",HLOOKUP(AN$13,'MP (nominal)'!$D$12:$AM$244,ROW()-12,FALSE))</f>
        <v>4</v>
      </c>
      <c r="AO42" s="281"/>
      <c r="AP42" s="281">
        <f>IF(HLOOKUP(AP$13,'MP (nominal)'!$D$12:$AM$244,ROW()-12,FALSE)="","",HLOOKUP(AP$13,'MP (nominal)'!$D$12:$AM$244,ROW()-12,FALSE)*VLOOKUP($C42,CPI!$B$9:$I$63,8))</f>
        <v>7326.5132697100171</v>
      </c>
      <c r="AQ42" s="31">
        <f>IF(HLOOKUP(AQ$13,'MP (nominal)'!$D$12:$AM$244,ROW()-12,FALSE)="","",HLOOKUP(AQ$13,'MP (nominal)'!$D$12:$AM$244,ROW()-12,FALSE))</f>
        <v>105466.7</v>
      </c>
      <c r="AR42" s="281">
        <f>IF(HLOOKUP(AR$13,'MP (nominal)'!$D$12:$AM$244,ROW()-12,FALSE)="","",HLOOKUP(AR$13,'MP (nominal)'!$D$12:$AM$244,ROW()-12,FALSE))</f>
        <v>7958</v>
      </c>
    </row>
    <row r="43" spans="1:44" s="278" customFormat="1">
      <c r="A43" s="271">
        <f>References!H261</f>
        <v>75</v>
      </c>
      <c r="B43" s="292" t="s">
        <v>32</v>
      </c>
      <c r="C43" s="284">
        <v>2009</v>
      </c>
      <c r="D43" s="27">
        <f>IF(HLOOKUP(D$13,'MP (nominal)'!$D$12:$AM$244,ROW()-12,FALSE)="","",HLOOKUP(D$13,'MP (nominal)'!$D$12:$AM$244,ROW()-12,FALSE))</f>
        <v>1721</v>
      </c>
      <c r="E43" s="281">
        <f>IF(HLOOKUP(E$13,'MP (nominal)'!$D$12:$AM$244,ROW()-12,FALSE)="","",HLOOKUP(E$13,'MP (nominal)'!$D$12:$AM$244,ROW()-12,FALSE))</f>
        <v>47.9</v>
      </c>
      <c r="F43" s="27">
        <f>IF(HLOOKUP(F$13,'MP (nominal)'!$D$12:$AM$244,ROW()-12,FALSE)="","",HLOOKUP(F$13,'MP (nominal)'!$D$12:$AM$244,ROW()-12,FALSE))</f>
        <v>76.007000000000005</v>
      </c>
      <c r="G43" s="281">
        <f>IF(HLOOKUP(G$13,'MP (nominal)'!$D$12:$AM$244,ROW()-12,FALSE)="","",HLOOKUP(G$13,'MP (nominal)'!$D$12:$AM$244,ROW()-12,FALSE))</f>
        <v>0</v>
      </c>
      <c r="H43" s="27">
        <f>IF(HLOOKUP(H$13,'MP (nominal)'!$D$12:$AM$244,ROW()-12,FALSE)="","",HLOOKUP(H$13,'MP (nominal)'!$D$12:$AM$244,ROW()-12,FALSE))</f>
        <v>1769.0070000000001</v>
      </c>
      <c r="I43" s="31">
        <f>IF(HLOOKUP(I$13,'MP (nominal)'!$D$12:$AM$244,ROW()-12,FALSE)="","",HLOOKUP(I$13,'MP (nominal)'!$D$12:$AM$244,ROW()-12,FALSE))</f>
        <v>47.9</v>
      </c>
      <c r="J43" s="31">
        <f>IF(HLOOKUP(J$13,'MP (nominal)'!$D$12:$AM$244,ROW()-12,FALSE)="","",HLOOKUP(J$13,'MP (nominal)'!$D$12:$AM$244,ROW()-12,FALSE))</f>
        <v>1693</v>
      </c>
      <c r="K43" s="281"/>
      <c r="L43" s="27">
        <f>IF(HLOOKUP(L$13,'MP (nominal)'!$D$12:$AM$244,ROW()-12,FALSE)="","",HLOOKUP(L$13,'MP (nominal)'!$D$12:$AM$244,ROW()-12,FALSE))</f>
        <v>20.63</v>
      </c>
      <c r="M43" s="283">
        <f>IF(HLOOKUP(M$13,'MP (nominal)'!$D$12:$AM$244,ROW()-12,FALSE)="","",HLOOKUP(M$13,'MP (nominal)'!$D$12:$AM$244,ROW()-12,FALSE))</f>
        <v>109.37146</v>
      </c>
      <c r="N43" s="35"/>
      <c r="O43" s="27">
        <f>IF(HLOOKUP(O$13,'MP (nominal)'!$D$12:$AM$244,ROW()-12,FALSE)="","",HLOOKUP(O$13,'MP (nominal)'!$D$12:$AM$244,ROW()-12,FALSE))</f>
        <v>7981</v>
      </c>
      <c r="P43" s="31"/>
      <c r="Q43" s="281"/>
      <c r="R43" s="281">
        <f>IF(HLOOKUP(R$13,'MP (nominal)'!$D$12:$AM$244,ROW()-12,FALSE)="","",HLOOKUP(R$13,'MP (nominal)'!$D$12:$AM$244,ROW()-12,FALSE))</f>
        <v>198.76</v>
      </c>
      <c r="S43" s="281">
        <f>IF(HLOOKUP(S$13,'MP (nominal)'!$D$12:$AM$244,ROW()-12,FALSE)="","",HLOOKUP(S$13,'MP (nominal)'!$D$12:$AM$244,ROW()-12,FALSE))</f>
        <v>66.239999999999995</v>
      </c>
      <c r="T43" s="281">
        <f>IF(HLOOKUP(T$13,'MP (nominal)'!$D$12:$AM$244,ROW()-12,FALSE)="","",HLOOKUP(T$13,'MP (nominal)'!$D$12:$AM$244,ROW()-12,FALSE))</f>
        <v>132.52000000000001</v>
      </c>
      <c r="U43" s="281"/>
      <c r="V43" s="281">
        <f>IF(HLOOKUP(V$13,'MP (nominal)'!$D$12:$AM$244,ROW()-12,FALSE)="","",HLOOKUP(V$13,'MP (nominal)'!$D$12:$AM$244,ROW()-12,FALSE))</f>
        <v>4.93</v>
      </c>
      <c r="W43" s="281">
        <f>IF(HLOOKUP(W$13,'MP (nominal)'!$D$12:$AM$244,ROW()-12,FALSE)="","",HLOOKUP(W$13,'MP (nominal)'!$D$12:$AM$244,ROW()-12,FALSE))</f>
        <v>0.26</v>
      </c>
      <c r="X43" s="281">
        <f>IF(HLOOKUP(X$13,'MP (nominal)'!$D$12:$AM$244,ROW()-12,FALSE)="","",HLOOKUP(X$13,'MP (nominal)'!$D$12:$AM$244,ROW()-12,FALSE))</f>
        <v>4.67</v>
      </c>
      <c r="Y43" s="281"/>
      <c r="Z43" s="281">
        <f>IF(HLOOKUP(Z$13,'MP (nominal)'!$D$12:$AM$244,ROW()-12,FALSE)="","",HLOOKUP(Z$13,'MP (nominal)'!$D$12:$AM$244,ROW()-12,FALSE)*VLOOKUP($C43,CPI!$B$9:$I$63,8))</f>
        <v>6244.4362354039376</v>
      </c>
      <c r="AA43" s="281">
        <f>IF(HLOOKUP(AA$13,'MP (nominal)'!$D$12:$AM$244,ROW()-12,FALSE)="","",HLOOKUP(AA$13,'MP (nominal)'!$D$12:$AM$244,ROW()-12,FALSE))</f>
        <v>64471.752999999997</v>
      </c>
      <c r="AB43" s="281">
        <f>IF(HLOOKUP(AB$13,'MP (nominal)'!$D$12:$AM$244,ROW()-12,FALSE)="","",HLOOKUP(AB$13,'MP (nominal)'!$D$12:$AM$244,ROW()-12,FALSE))</f>
        <v>7900</v>
      </c>
      <c r="AC43" s="281"/>
      <c r="AD43" s="281">
        <f>IF(HLOOKUP(AD$13,'MP (nominal)'!$D$12:$AM$244,ROW()-12,FALSE)="","",HLOOKUP(AD$13,'MP (nominal)'!$D$12:$AM$244,ROW()-12,FALSE)*VLOOKUP($C43,CPI!$B$9:$I$63,8))</f>
        <v>644.60269370306798</v>
      </c>
      <c r="AE43" s="31">
        <f>IF(HLOOKUP(AE$13,'MP (nominal)'!$D$12:$AM$244,ROW()-12,FALSE)="","",HLOOKUP(AE$13,'MP (nominal)'!$D$12:$AM$244,ROW()-12,FALSE))</f>
        <v>8436.6910000000007</v>
      </c>
      <c r="AF43" s="31">
        <f>IF(HLOOKUP(AF$13,'MP (nominal)'!$D$12:$AM$244,ROW()-12,FALSE)="","",HLOOKUP(AF$13,'MP (nominal)'!$D$12:$AM$244,ROW()-12,FALSE))</f>
        <v>68</v>
      </c>
      <c r="AG43" s="281"/>
      <c r="AH43" s="281">
        <f>IF(HLOOKUP(AH$13,'MP (nominal)'!$D$12:$AM$244,ROW()-12,FALSE)="","",HLOOKUP(AH$13,'MP (nominal)'!$D$12:$AM$244,ROW()-12,FALSE)*VLOOKUP($C43,CPI!$B$9:$I$63,8))</f>
        <v>140.95062447937397</v>
      </c>
      <c r="AI43" s="31">
        <f>IF(HLOOKUP(AI$13,'MP (nominal)'!$D$12:$AM$244,ROW()-12,FALSE)="","",HLOOKUP(AI$13,'MP (nominal)'!$D$12:$AM$244,ROW()-12,FALSE))</f>
        <v>2291.12</v>
      </c>
      <c r="AJ43" s="31">
        <f>IF(HLOOKUP(AJ$13,'MP (nominal)'!$D$12:$AM$244,ROW()-12,FALSE)="","",HLOOKUP(AJ$13,'MP (nominal)'!$D$12:$AM$244,ROW()-12,FALSE))</f>
        <v>8</v>
      </c>
      <c r="AK43" s="281"/>
      <c r="AL43" s="281">
        <f>IF(HLOOKUP(AL$13,'MP (nominal)'!$D$12:$AM$244,ROW()-12,FALSE)="","",HLOOKUP(AL$13,'MP (nominal)'!$D$12:$AM$244,ROW()-12,FALSE)*VLOOKUP($C43,CPI!$B$9:$I$63,8))</f>
        <v>1019.7757237367009</v>
      </c>
      <c r="AM43" s="31">
        <f>IF(HLOOKUP(AM$13,'MP (nominal)'!$D$12:$AM$244,ROW()-12,FALSE)="","",HLOOKUP(AM$13,'MP (nominal)'!$D$12:$AM$244,ROW()-12,FALSE))</f>
        <v>34171.894</v>
      </c>
      <c r="AN43" s="31">
        <f>IF(HLOOKUP(AN$13,'MP (nominal)'!$D$12:$AM$244,ROW()-12,FALSE)="","",HLOOKUP(AN$13,'MP (nominal)'!$D$12:$AM$244,ROW()-12,FALSE))</f>
        <v>5</v>
      </c>
      <c r="AO43" s="281"/>
      <c r="AP43" s="281">
        <f>IF(HLOOKUP(AP$13,'MP (nominal)'!$D$12:$AM$244,ROW()-12,FALSE)="","",HLOOKUP(AP$13,'MP (nominal)'!$D$12:$AM$244,ROW()-12,FALSE)*VLOOKUP($C43,CPI!$B$9:$I$63,8))</f>
        <v>8049.7653499897015</v>
      </c>
      <c r="AQ43" s="31">
        <f>IF(HLOOKUP(AQ$13,'MP (nominal)'!$D$12:$AM$244,ROW()-12,FALSE)="","",HLOOKUP(AQ$13,'MP (nominal)'!$D$12:$AM$244,ROW()-12,FALSE))</f>
        <v>109371.46</v>
      </c>
      <c r="AR43" s="281">
        <f>IF(HLOOKUP(AR$13,'MP (nominal)'!$D$12:$AM$244,ROW()-12,FALSE)="","",HLOOKUP(AR$13,'MP (nominal)'!$D$12:$AM$244,ROW()-12,FALSE))</f>
        <v>7981</v>
      </c>
    </row>
    <row r="44" spans="1:44" s="278" customFormat="1">
      <c r="A44" s="271">
        <f>References!I261</f>
        <v>76</v>
      </c>
      <c r="B44" s="292" t="s">
        <v>32</v>
      </c>
      <c r="C44" s="284">
        <v>2010</v>
      </c>
      <c r="D44" s="27">
        <f>IF(HLOOKUP(D$13,'MP (nominal)'!$D$12:$AM$244,ROW()-12,FALSE)="","",HLOOKUP(D$13,'MP (nominal)'!$D$12:$AM$244,ROW()-12,FALSE))</f>
        <v>1721</v>
      </c>
      <c r="E44" s="281">
        <f>IF(HLOOKUP(E$13,'MP (nominal)'!$D$12:$AM$244,ROW()-12,FALSE)="","",HLOOKUP(E$13,'MP (nominal)'!$D$12:$AM$244,ROW()-12,FALSE))</f>
        <v>46.47</v>
      </c>
      <c r="F44" s="27">
        <f>IF(HLOOKUP(F$13,'MP (nominal)'!$D$12:$AM$244,ROW()-12,FALSE)="","",HLOOKUP(F$13,'MP (nominal)'!$D$12:$AM$244,ROW()-12,FALSE))</f>
        <v>96.105000000000004</v>
      </c>
      <c r="G44" s="281">
        <f>IF(HLOOKUP(G$13,'MP (nominal)'!$D$12:$AM$244,ROW()-12,FALSE)="","",HLOOKUP(G$13,'MP (nominal)'!$D$12:$AM$244,ROW()-12,FALSE))</f>
        <v>11.57</v>
      </c>
      <c r="H44" s="27">
        <f>IF(HLOOKUP(H$13,'MP (nominal)'!$D$12:$AM$244,ROW()-12,FALSE)="","",HLOOKUP(H$13,'MP (nominal)'!$D$12:$AM$244,ROW()-12,FALSE))</f>
        <v>1837.105</v>
      </c>
      <c r="I44" s="31">
        <f>IF(HLOOKUP(I$13,'MP (nominal)'!$D$12:$AM$244,ROW()-12,FALSE)="","",HLOOKUP(I$13,'MP (nominal)'!$D$12:$AM$244,ROW()-12,FALSE))</f>
        <v>58.04</v>
      </c>
      <c r="J44" s="31">
        <f>IF(HLOOKUP(J$13,'MP (nominal)'!$D$12:$AM$244,ROW()-12,FALSE)="","",HLOOKUP(J$13,'MP (nominal)'!$D$12:$AM$244,ROW()-12,FALSE))</f>
        <v>1741</v>
      </c>
      <c r="K44" s="281"/>
      <c r="L44" s="27">
        <f>IF(HLOOKUP(L$13,'MP (nominal)'!$D$12:$AM$244,ROW()-12,FALSE)="","",HLOOKUP(L$13,'MP (nominal)'!$D$12:$AM$244,ROW()-12,FALSE))</f>
        <v>20.391999999999999</v>
      </c>
      <c r="M44" s="283">
        <f>IF(HLOOKUP(M$13,'MP (nominal)'!$D$12:$AM$244,ROW()-12,FALSE)="","",HLOOKUP(M$13,'MP (nominal)'!$D$12:$AM$244,ROW()-12,FALSE))</f>
        <v>107.82899999999999</v>
      </c>
      <c r="N44" s="35"/>
      <c r="O44" s="27">
        <f>IF(HLOOKUP(O$13,'MP (nominal)'!$D$12:$AM$244,ROW()-12,FALSE)="","",HLOOKUP(O$13,'MP (nominal)'!$D$12:$AM$244,ROW()-12,FALSE))</f>
        <v>7983</v>
      </c>
      <c r="P44" s="31"/>
      <c r="Q44" s="281"/>
      <c r="R44" s="281">
        <f>IF(HLOOKUP(R$13,'MP (nominal)'!$D$12:$AM$244,ROW()-12,FALSE)="","",HLOOKUP(R$13,'MP (nominal)'!$D$12:$AM$244,ROW()-12,FALSE))</f>
        <v>132.94</v>
      </c>
      <c r="S44" s="281">
        <f>IF(HLOOKUP(S$13,'MP (nominal)'!$D$12:$AM$244,ROW()-12,FALSE)="","",HLOOKUP(S$13,'MP (nominal)'!$D$12:$AM$244,ROW()-12,FALSE))</f>
        <v>68.64</v>
      </c>
      <c r="T44" s="281">
        <f>IF(HLOOKUP(T$13,'MP (nominal)'!$D$12:$AM$244,ROW()-12,FALSE)="","",HLOOKUP(T$13,'MP (nominal)'!$D$12:$AM$244,ROW()-12,FALSE))</f>
        <v>64.36</v>
      </c>
      <c r="U44" s="281"/>
      <c r="V44" s="281">
        <f>IF(HLOOKUP(V$13,'MP (nominal)'!$D$12:$AM$244,ROW()-12,FALSE)="","",HLOOKUP(V$13,'MP (nominal)'!$D$12:$AM$244,ROW()-12,FALSE))</f>
        <v>2.34</v>
      </c>
      <c r="W44" s="281">
        <f>IF(HLOOKUP(W$13,'MP (nominal)'!$D$12:$AM$244,ROW()-12,FALSE)="","",HLOOKUP(W$13,'MP (nominal)'!$D$12:$AM$244,ROW()-12,FALSE))</f>
        <v>0.28000000000000003</v>
      </c>
      <c r="X44" s="281">
        <f>IF(HLOOKUP(X$13,'MP (nominal)'!$D$12:$AM$244,ROW()-12,FALSE)="","",HLOOKUP(X$13,'MP (nominal)'!$D$12:$AM$244,ROW()-12,FALSE))</f>
        <v>2.06</v>
      </c>
      <c r="Y44" s="281"/>
      <c r="Z44" s="281">
        <f>IF(HLOOKUP(Z$13,'MP (nominal)'!$D$12:$AM$244,ROW()-12,FALSE)="","",HLOOKUP(Z$13,'MP (nominal)'!$D$12:$AM$244,ROW()-12,FALSE)*VLOOKUP($C44,CPI!$B$9:$I$63,8))</f>
        <v>6721.2570396917345</v>
      </c>
      <c r="AA44" s="281">
        <f>IF(HLOOKUP(AA$13,'MP (nominal)'!$D$12:$AM$244,ROW()-12,FALSE)="","",HLOOKUP(AA$13,'MP (nominal)'!$D$12:$AM$244,ROW()-12,FALSE))</f>
        <v>61621</v>
      </c>
      <c r="AB44" s="281">
        <f>IF(HLOOKUP(AB$13,'MP (nominal)'!$D$12:$AM$244,ROW()-12,FALSE)="","",HLOOKUP(AB$13,'MP (nominal)'!$D$12:$AM$244,ROW()-12,FALSE))</f>
        <v>7902</v>
      </c>
      <c r="AC44" s="281"/>
      <c r="AD44" s="281">
        <f>IF(HLOOKUP(AD$13,'MP (nominal)'!$D$12:$AM$244,ROW()-12,FALSE)="","",HLOOKUP(AD$13,'MP (nominal)'!$D$12:$AM$244,ROW()-12,FALSE)*VLOOKUP($C44,CPI!$B$9:$I$63,8))</f>
        <v>604.16938374066979</v>
      </c>
      <c r="AE44" s="31">
        <f>IF(HLOOKUP(AE$13,'MP (nominal)'!$D$12:$AM$244,ROW()-12,FALSE)="","",HLOOKUP(AE$13,'MP (nominal)'!$D$12:$AM$244,ROW()-12,FALSE))</f>
        <v>7285</v>
      </c>
      <c r="AF44" s="31">
        <f>IF(HLOOKUP(AF$13,'MP (nominal)'!$D$12:$AM$244,ROW()-12,FALSE)="","",HLOOKUP(AF$13,'MP (nominal)'!$D$12:$AM$244,ROW()-12,FALSE))</f>
        <v>68</v>
      </c>
      <c r="AG44" s="281"/>
      <c r="AH44" s="281">
        <f>IF(HLOOKUP(AH$13,'MP (nominal)'!$D$12:$AM$244,ROW()-12,FALSE)="","",HLOOKUP(AH$13,'MP (nominal)'!$D$12:$AM$244,ROW()-12,FALSE)*VLOOKUP($C44,CPI!$B$9:$I$63,8))</f>
        <v>257.76535259087598</v>
      </c>
      <c r="AI44" s="31">
        <f>IF(HLOOKUP(AI$13,'MP (nominal)'!$D$12:$AM$244,ROW()-12,FALSE)="","",HLOOKUP(AI$13,'MP (nominal)'!$D$12:$AM$244,ROW()-12,FALSE))</f>
        <v>4395</v>
      </c>
      <c r="AJ44" s="31">
        <f>IF(HLOOKUP(AJ$13,'MP (nominal)'!$D$12:$AM$244,ROW()-12,FALSE)="","",HLOOKUP(AJ$13,'MP (nominal)'!$D$12:$AM$244,ROW()-12,FALSE))</f>
        <v>8</v>
      </c>
      <c r="AK44" s="281"/>
      <c r="AL44" s="281">
        <f>IF(HLOOKUP(AL$13,'MP (nominal)'!$D$12:$AM$244,ROW()-12,FALSE)="","",HLOOKUP(AL$13,'MP (nominal)'!$D$12:$AM$244,ROW()-12,FALSE)*VLOOKUP($C44,CPI!$B$9:$I$63,8))</f>
        <v>1211.3952736385436</v>
      </c>
      <c r="AM44" s="31">
        <f>IF(HLOOKUP(AM$13,'MP (nominal)'!$D$12:$AM$244,ROW()-12,FALSE)="","",HLOOKUP(AM$13,'MP (nominal)'!$D$12:$AM$244,ROW()-12,FALSE))</f>
        <v>34528</v>
      </c>
      <c r="AN44" s="31">
        <f>IF(HLOOKUP(AN$13,'MP (nominal)'!$D$12:$AM$244,ROW()-12,FALSE)="","",HLOOKUP(AN$13,'MP (nominal)'!$D$12:$AM$244,ROW()-12,FALSE))</f>
        <v>5</v>
      </c>
      <c r="AO44" s="281"/>
      <c r="AP44" s="281">
        <f>IF(HLOOKUP(AP$13,'MP (nominal)'!$D$12:$AM$244,ROW()-12,FALSE)="","",HLOOKUP(AP$13,'MP (nominal)'!$D$12:$AM$244,ROW()-12,FALSE)*VLOOKUP($C44,CPI!$B$9:$I$63,8))</f>
        <v>8794.5870496618245</v>
      </c>
      <c r="AQ44" s="31">
        <f>IF(HLOOKUP(AQ$13,'MP (nominal)'!$D$12:$AM$244,ROW()-12,FALSE)="","",HLOOKUP(AQ$13,'MP (nominal)'!$D$12:$AM$244,ROW()-12,FALSE))</f>
        <v>107829</v>
      </c>
      <c r="AR44" s="281">
        <f>IF(HLOOKUP(AR$13,'MP (nominal)'!$D$12:$AM$244,ROW()-12,FALSE)="","",HLOOKUP(AR$13,'MP (nominal)'!$D$12:$AM$244,ROW()-12,FALSE))</f>
        <v>7983</v>
      </c>
    </row>
    <row r="45" spans="1:44" s="278" customFormat="1">
      <c r="A45" s="271">
        <f>References!J261</f>
        <v>77</v>
      </c>
      <c r="B45" s="292" t="s">
        <v>32</v>
      </c>
      <c r="C45" s="284">
        <v>2011</v>
      </c>
      <c r="D45" s="27">
        <f>IF(HLOOKUP(D$13,'MP (nominal)'!$D$12:$AM$244,ROW()-12,FALSE)="","",HLOOKUP(D$13,'MP (nominal)'!$D$12:$AM$244,ROW()-12,FALSE))</f>
        <v>1727</v>
      </c>
      <c r="E45" s="281">
        <f>IF(HLOOKUP(E$13,'MP (nominal)'!$D$12:$AM$244,ROW()-12,FALSE)="","",HLOOKUP(E$13,'MP (nominal)'!$D$12:$AM$244,ROW()-12,FALSE))</f>
        <v>47</v>
      </c>
      <c r="F45" s="27">
        <f>IF(HLOOKUP(F$13,'MP (nominal)'!$D$12:$AM$244,ROW()-12,FALSE)="","",HLOOKUP(F$13,'MP (nominal)'!$D$12:$AM$244,ROW()-12,FALSE))</f>
        <v>80.5</v>
      </c>
      <c r="G45" s="281">
        <f>IF(HLOOKUP(G$13,'MP (nominal)'!$D$12:$AM$244,ROW()-12,FALSE)="","",HLOOKUP(G$13,'MP (nominal)'!$D$12:$AM$244,ROW()-12,FALSE))</f>
        <v>12</v>
      </c>
      <c r="H45" s="27">
        <f>IF(HLOOKUP(H$13,'MP (nominal)'!$D$12:$AM$244,ROW()-12,FALSE)="","",HLOOKUP(H$13,'MP (nominal)'!$D$12:$AM$244,ROW()-12,FALSE))</f>
        <v>1727.5</v>
      </c>
      <c r="I45" s="31">
        <f>IF(HLOOKUP(I$13,'MP (nominal)'!$D$12:$AM$244,ROW()-12,FALSE)="","",HLOOKUP(I$13,'MP (nominal)'!$D$12:$AM$244,ROW()-12,FALSE))</f>
        <v>59</v>
      </c>
      <c r="J45" s="31">
        <f>IF(HLOOKUP(J$13,'MP (nominal)'!$D$12:$AM$244,ROW()-12,FALSE)="","",HLOOKUP(J$13,'MP (nominal)'!$D$12:$AM$244,ROW()-12,FALSE))</f>
        <v>1647</v>
      </c>
      <c r="K45" s="281"/>
      <c r="L45" s="27">
        <f>IF(HLOOKUP(L$13,'MP (nominal)'!$D$12:$AM$244,ROW()-12,FALSE)="","",HLOOKUP(L$13,'MP (nominal)'!$D$12:$AM$244,ROW()-12,FALSE))</f>
        <v>21</v>
      </c>
      <c r="M45" s="283">
        <f>IF(HLOOKUP(M$13,'MP (nominal)'!$D$12:$AM$244,ROW()-12,FALSE)="","",HLOOKUP(M$13,'MP (nominal)'!$D$12:$AM$244,ROW()-12,FALSE))</f>
        <v>109.283</v>
      </c>
      <c r="N45" s="35"/>
      <c r="O45" s="27">
        <f>IF(HLOOKUP(O$13,'MP (nominal)'!$D$12:$AM$244,ROW()-12,FALSE)="","",HLOOKUP(O$13,'MP (nominal)'!$D$12:$AM$244,ROW()-12,FALSE))</f>
        <v>8245</v>
      </c>
      <c r="P45" s="31"/>
      <c r="Q45" s="281"/>
      <c r="R45" s="281">
        <f>IF(HLOOKUP(R$13,'MP (nominal)'!$D$12:$AM$244,ROW()-12,FALSE)="","",HLOOKUP(R$13,'MP (nominal)'!$D$12:$AM$244,ROW()-12,FALSE))</f>
        <v>191.45</v>
      </c>
      <c r="S45" s="281">
        <f>IF(HLOOKUP(S$13,'MP (nominal)'!$D$12:$AM$244,ROW()-12,FALSE)="","",HLOOKUP(S$13,'MP (nominal)'!$D$12:$AM$244,ROW()-12,FALSE))</f>
        <v>84.81</v>
      </c>
      <c r="T45" s="281">
        <f>IF(HLOOKUP(T$13,'MP (nominal)'!$D$12:$AM$244,ROW()-12,FALSE)="","",HLOOKUP(T$13,'MP (nominal)'!$D$12:$AM$244,ROW()-12,FALSE))</f>
        <v>106.64</v>
      </c>
      <c r="U45" s="281"/>
      <c r="V45" s="281">
        <f>IF(HLOOKUP(V$13,'MP (nominal)'!$D$12:$AM$244,ROW()-12,FALSE)="","",HLOOKUP(V$13,'MP (nominal)'!$D$12:$AM$244,ROW()-12,FALSE))</f>
        <v>4.72</v>
      </c>
      <c r="W45" s="281">
        <f>IF(HLOOKUP(W$13,'MP (nominal)'!$D$12:$AM$244,ROW()-12,FALSE)="","",HLOOKUP(W$13,'MP (nominal)'!$D$12:$AM$244,ROW()-12,FALSE))</f>
        <v>0.42</v>
      </c>
      <c r="X45" s="281">
        <f>IF(HLOOKUP(X$13,'MP (nominal)'!$D$12:$AM$244,ROW()-12,FALSE)="","",HLOOKUP(X$13,'MP (nominal)'!$D$12:$AM$244,ROW()-12,FALSE))</f>
        <v>4.3</v>
      </c>
      <c r="Y45" s="281"/>
      <c r="Z45" s="281">
        <f>IF(HLOOKUP(Z$13,'MP (nominal)'!$D$12:$AM$244,ROW()-12,FALSE)="","",HLOOKUP(Z$13,'MP (nominal)'!$D$12:$AM$244,ROW()-12,FALSE)*VLOOKUP($C45,CPI!$B$9:$I$63,8))</f>
        <v>7603</v>
      </c>
      <c r="AA45" s="281">
        <f>IF(HLOOKUP(AA$13,'MP (nominal)'!$D$12:$AM$244,ROW()-12,FALSE)="","",HLOOKUP(AA$13,'MP (nominal)'!$D$12:$AM$244,ROW()-12,FALSE))</f>
        <v>66101</v>
      </c>
      <c r="AB45" s="281">
        <f>IF(HLOOKUP(AB$13,'MP (nominal)'!$D$12:$AM$244,ROW()-12,FALSE)="","",HLOOKUP(AB$13,'MP (nominal)'!$D$12:$AM$244,ROW()-12,FALSE))</f>
        <v>8192</v>
      </c>
      <c r="AC45" s="281"/>
      <c r="AD45" s="281">
        <f>IF(HLOOKUP(AD$13,'MP (nominal)'!$D$12:$AM$244,ROW()-12,FALSE)="","",HLOOKUP(AD$13,'MP (nominal)'!$D$12:$AM$244,ROW()-12,FALSE)*VLOOKUP($C45,CPI!$B$9:$I$63,8))</f>
        <v>863</v>
      </c>
      <c r="AE45" s="31">
        <f>IF(HLOOKUP(AE$13,'MP (nominal)'!$D$12:$AM$244,ROW()-12,FALSE)="","",HLOOKUP(AE$13,'MP (nominal)'!$D$12:$AM$244,ROW()-12,FALSE))</f>
        <v>10200</v>
      </c>
      <c r="AF45" s="31">
        <f>IF(HLOOKUP(AF$13,'MP (nominal)'!$D$12:$AM$244,ROW()-12,FALSE)="","",HLOOKUP(AF$13,'MP (nominal)'!$D$12:$AM$244,ROW()-12,FALSE))</f>
        <v>48</v>
      </c>
      <c r="AG45" s="281"/>
      <c r="AH45" s="281">
        <f>IF(HLOOKUP(AH$13,'MP (nominal)'!$D$12:$AM$244,ROW()-12,FALSE)="","",HLOOKUP(AH$13,'MP (nominal)'!$D$12:$AM$244,ROW()-12,FALSE)*VLOOKUP($C45,CPI!$B$9:$I$63,8))</f>
        <v>0</v>
      </c>
      <c r="AI45" s="31">
        <f>IF(HLOOKUP(AI$13,'MP (nominal)'!$D$12:$AM$244,ROW()-12,FALSE)="","",HLOOKUP(AI$13,'MP (nominal)'!$D$12:$AM$244,ROW()-12,FALSE))</f>
        <v>0</v>
      </c>
      <c r="AJ45" s="31">
        <f>IF(HLOOKUP(AJ$13,'MP (nominal)'!$D$12:$AM$244,ROW()-12,FALSE)="","",HLOOKUP(AJ$13,'MP (nominal)'!$D$12:$AM$244,ROW()-12,FALSE))</f>
        <v>0</v>
      </c>
      <c r="AK45" s="281"/>
      <c r="AL45" s="281">
        <f>IF(HLOOKUP(AL$13,'MP (nominal)'!$D$12:$AM$244,ROW()-12,FALSE)="","",HLOOKUP(AL$13,'MP (nominal)'!$D$12:$AM$244,ROW()-12,FALSE)*VLOOKUP($C45,CPI!$B$9:$I$63,8))</f>
        <v>1096</v>
      </c>
      <c r="AM45" s="31">
        <f>IF(HLOOKUP(AM$13,'MP (nominal)'!$D$12:$AM$244,ROW()-12,FALSE)="","",HLOOKUP(AM$13,'MP (nominal)'!$D$12:$AM$244,ROW()-12,FALSE))</f>
        <v>32982</v>
      </c>
      <c r="AN45" s="31">
        <f>IF(HLOOKUP(AN$13,'MP (nominal)'!$D$12:$AM$244,ROW()-12,FALSE)="","",HLOOKUP(AN$13,'MP (nominal)'!$D$12:$AM$244,ROW()-12,FALSE))</f>
        <v>5</v>
      </c>
      <c r="AO45" s="281"/>
      <c r="AP45" s="281">
        <f>IF(HLOOKUP(AP$13,'MP (nominal)'!$D$12:$AM$244,ROW()-12,FALSE)="","",HLOOKUP(AP$13,'MP (nominal)'!$D$12:$AM$244,ROW()-12,FALSE)*VLOOKUP($C45,CPI!$B$9:$I$63,8))</f>
        <v>9562</v>
      </c>
      <c r="AQ45" s="31">
        <f>IF(HLOOKUP(AQ$13,'MP (nominal)'!$D$12:$AM$244,ROW()-12,FALSE)="","",HLOOKUP(AQ$13,'MP (nominal)'!$D$12:$AM$244,ROW()-12,FALSE))</f>
        <v>109283</v>
      </c>
      <c r="AR45" s="281">
        <f>IF(HLOOKUP(AR$13,'MP (nominal)'!$D$12:$AM$244,ROW()-12,FALSE)="","",HLOOKUP(AR$13,'MP (nominal)'!$D$12:$AM$244,ROW()-12,FALSE))</f>
        <v>8245</v>
      </c>
    </row>
    <row r="46" spans="1:44" s="278" customFormat="1" hidden="1">
      <c r="A46" s="271">
        <f>References!C262</f>
        <v>93</v>
      </c>
      <c r="B46" s="292" t="s">
        <v>33</v>
      </c>
      <c r="C46" s="284">
        <v>2004</v>
      </c>
      <c r="D46" s="27" t="str">
        <f>IF(HLOOKUP(D$13,'MP (nominal)'!$D$12:$AM$244,ROW()-12,FALSE)="","",HLOOKUP(D$13,'MP (nominal)'!$D$12:$AM$244,ROW()-12,FALSE))</f>
        <v/>
      </c>
      <c r="E46" s="281" t="str">
        <f>IF(HLOOKUP(E$13,'MP (nominal)'!$D$12:$AM$244,ROW()-12,FALSE)="","",HLOOKUP(E$13,'MP (nominal)'!$D$12:$AM$244,ROW()-12,FALSE))</f>
        <v/>
      </c>
      <c r="F46" s="27">
        <f>IF(HLOOKUP(F$13,'MP (nominal)'!$D$12:$AM$244,ROW()-12,FALSE)="","",HLOOKUP(F$13,'MP (nominal)'!$D$12:$AM$244,ROW()-12,FALSE))</f>
        <v>444.3</v>
      </c>
      <c r="G46" s="281" t="str">
        <f>IF(HLOOKUP(G$13,'MP (nominal)'!$D$12:$AM$244,ROW()-12,FALSE)="","",HLOOKUP(G$13,'MP (nominal)'!$D$12:$AM$244,ROW()-12,FALSE))</f>
        <v/>
      </c>
      <c r="H46" s="27">
        <f>IF(HLOOKUP(H$13,'MP (nominal)'!$D$12:$AM$244,ROW()-12,FALSE)="","",HLOOKUP(H$13,'MP (nominal)'!$D$12:$AM$244,ROW()-12,FALSE))</f>
        <v>3246</v>
      </c>
      <c r="I46" s="31" t="str">
        <f>IF(HLOOKUP(I$13,'MP (nominal)'!$D$12:$AM$244,ROW()-12,FALSE)="","",HLOOKUP(I$13,'MP (nominal)'!$D$12:$AM$244,ROW()-12,FALSE))</f>
        <v/>
      </c>
      <c r="J46" s="31">
        <f>IF(HLOOKUP(J$13,'MP (nominal)'!$D$12:$AM$244,ROW()-12,FALSE)="","",HLOOKUP(J$13,'MP (nominal)'!$D$12:$AM$244,ROW()-12,FALSE))</f>
        <v>2801.7</v>
      </c>
      <c r="K46" s="281"/>
      <c r="L46" s="27">
        <f>IF(HLOOKUP(L$13,'MP (nominal)'!$D$12:$AM$244,ROW()-12,FALSE)="","",HLOOKUP(L$13,'MP (nominal)'!$D$12:$AM$244,ROW()-12,FALSE))</f>
        <v>80.128</v>
      </c>
      <c r="M46" s="293">
        <f>IF(HLOOKUP(M$13,'MP (nominal)'!$D$12:$AM$244,ROW()-12,FALSE)="","",HLOOKUP(M$13,'MP (nominal)'!$D$12:$AM$244,ROW()-12,FALSE))</f>
        <v>417.97199999999998</v>
      </c>
      <c r="N46" s="35"/>
      <c r="O46" s="27">
        <f>IF(HLOOKUP(O$13,'MP (nominal)'!$D$12:$AM$244,ROW()-12,FALSE)="","",HLOOKUP(O$13,'MP (nominal)'!$D$12:$AM$244,ROW()-12,FALSE))</f>
        <v>32781</v>
      </c>
      <c r="P46" s="31"/>
      <c r="Q46" s="281"/>
      <c r="R46" s="281">
        <f>IF(HLOOKUP(R$13,'MP (nominal)'!$D$12:$AM$244,ROW()-12,FALSE)="","",HLOOKUP(R$13,'MP (nominal)'!$D$12:$AM$244,ROW()-12,FALSE))</f>
        <v>96.45</v>
      </c>
      <c r="S46" s="281" t="str">
        <f>IF(HLOOKUP(S$13,'MP (nominal)'!$D$12:$AM$244,ROW()-12,FALSE)="","",HLOOKUP(S$13,'MP (nominal)'!$D$12:$AM$244,ROW()-12,FALSE))</f>
        <v/>
      </c>
      <c r="T46" s="281" t="str">
        <f>IF(HLOOKUP(T$13,'MP (nominal)'!$D$12:$AM$244,ROW()-12,FALSE)="","",HLOOKUP(T$13,'MP (nominal)'!$D$12:$AM$244,ROW()-12,FALSE))</f>
        <v/>
      </c>
      <c r="U46" s="281"/>
      <c r="V46" s="281">
        <f>IF(HLOOKUP(V$13,'MP (nominal)'!$D$12:$AM$244,ROW()-12,FALSE)="","",HLOOKUP(V$13,'MP (nominal)'!$D$12:$AM$244,ROW()-12,FALSE))</f>
        <v>2.72</v>
      </c>
      <c r="W46" s="281" t="str">
        <f>IF(HLOOKUP(W$13,'MP (nominal)'!$D$12:$AM$244,ROW()-12,FALSE)="","",HLOOKUP(W$13,'MP (nominal)'!$D$12:$AM$244,ROW()-12,FALSE))</f>
        <v/>
      </c>
      <c r="X46" s="281" t="str">
        <f>IF(HLOOKUP(X$13,'MP (nominal)'!$D$12:$AM$244,ROW()-12,FALSE)="","",HLOOKUP(X$13,'MP (nominal)'!$D$12:$AM$244,ROW()-12,FALSE))</f>
        <v/>
      </c>
      <c r="Y46" s="281"/>
      <c r="Z46" s="281" t="str">
        <f>IF(HLOOKUP(Z$13,'MP (nominal)'!$D$12:$AM$244,ROW()-12,FALSE)="","",HLOOKUP(Z$13,'MP (nominal)'!$D$12:$AM$244,ROW()-12,FALSE)*VLOOKUP($C46,CPI!$B$9:$I$63,8))</f>
        <v/>
      </c>
      <c r="AA46" s="281" t="str">
        <f>IF(HLOOKUP(AA$13,'MP (nominal)'!$D$12:$AM$244,ROW()-12,FALSE)="","",HLOOKUP(AA$13,'MP (nominal)'!$D$12:$AM$244,ROW()-12,FALSE))</f>
        <v/>
      </c>
      <c r="AB46" s="281" t="str">
        <f>IF(HLOOKUP(AB$13,'MP (nominal)'!$D$12:$AM$244,ROW()-12,FALSE)="","",HLOOKUP(AB$13,'MP (nominal)'!$D$12:$AM$244,ROW()-12,FALSE))</f>
        <v/>
      </c>
      <c r="AC46" s="281"/>
      <c r="AD46" s="281" t="str">
        <f>IF(HLOOKUP(AD$13,'MP (nominal)'!$D$12:$AM$244,ROW()-12,FALSE)="","",HLOOKUP(AD$13,'MP (nominal)'!$D$12:$AM$244,ROW()-12,FALSE)*VLOOKUP($C46,CPI!$B$9:$I$63,8))</f>
        <v/>
      </c>
      <c r="AE46" s="31" t="str">
        <f>IF(HLOOKUP(AE$13,'MP (nominal)'!$D$12:$AM$244,ROW()-12,FALSE)="","",HLOOKUP(AE$13,'MP (nominal)'!$D$12:$AM$244,ROW()-12,FALSE))</f>
        <v/>
      </c>
      <c r="AF46" s="31" t="str">
        <f>IF(HLOOKUP(AF$13,'MP (nominal)'!$D$12:$AM$244,ROW()-12,FALSE)="","",HLOOKUP(AF$13,'MP (nominal)'!$D$12:$AM$244,ROW()-12,FALSE))</f>
        <v/>
      </c>
      <c r="AG46" s="281"/>
      <c r="AH46" s="281" t="str">
        <f>IF(HLOOKUP(AH$13,'MP (nominal)'!$D$12:$AM$244,ROW()-12,FALSE)="","",HLOOKUP(AH$13,'MP (nominal)'!$D$12:$AM$244,ROW()-12,FALSE)*VLOOKUP($C46,CPI!$B$9:$I$63,8))</f>
        <v/>
      </c>
      <c r="AI46" s="31" t="str">
        <f>IF(HLOOKUP(AI$13,'MP (nominal)'!$D$12:$AM$244,ROW()-12,FALSE)="","",HLOOKUP(AI$13,'MP (nominal)'!$D$12:$AM$244,ROW()-12,FALSE))</f>
        <v/>
      </c>
      <c r="AJ46" s="31" t="str">
        <f>IF(HLOOKUP(AJ$13,'MP (nominal)'!$D$12:$AM$244,ROW()-12,FALSE)="","",HLOOKUP(AJ$13,'MP (nominal)'!$D$12:$AM$244,ROW()-12,FALSE))</f>
        <v/>
      </c>
      <c r="AK46" s="281"/>
      <c r="AL46" s="281" t="str">
        <f>IF(HLOOKUP(AL$13,'MP (nominal)'!$D$12:$AM$244,ROW()-12,FALSE)="","",HLOOKUP(AL$13,'MP (nominal)'!$D$12:$AM$244,ROW()-12,FALSE)*VLOOKUP($C46,CPI!$B$9:$I$63,8))</f>
        <v/>
      </c>
      <c r="AM46" s="31" t="str">
        <f>IF(HLOOKUP(AM$13,'MP (nominal)'!$D$12:$AM$244,ROW()-12,FALSE)="","",HLOOKUP(AM$13,'MP (nominal)'!$D$12:$AM$244,ROW()-12,FALSE))</f>
        <v/>
      </c>
      <c r="AN46" s="31" t="str">
        <f>IF(HLOOKUP(AN$13,'MP (nominal)'!$D$12:$AM$244,ROW()-12,FALSE)="","",HLOOKUP(AN$13,'MP (nominal)'!$D$12:$AM$244,ROW()-12,FALSE))</f>
        <v/>
      </c>
      <c r="AO46" s="281"/>
      <c r="AP46" s="281" t="str">
        <f>IF(HLOOKUP(AP$13,'MP (nominal)'!$D$12:$AM$244,ROW()-12,FALSE)="","",HLOOKUP(AP$13,'MP (nominal)'!$D$12:$AM$244,ROW()-12,FALSE)*VLOOKUP($C46,CPI!$B$9:$I$63,8))</f>
        <v/>
      </c>
      <c r="AQ46" s="31" t="str">
        <f>IF(HLOOKUP(AQ$13,'MP (nominal)'!$D$12:$AM$244,ROW()-12,FALSE)="","",HLOOKUP(AQ$13,'MP (nominal)'!$D$12:$AM$244,ROW()-12,FALSE))</f>
        <v/>
      </c>
      <c r="AR46" s="281" t="str">
        <f>IF(HLOOKUP(AR$13,'MP (nominal)'!$D$12:$AM$244,ROW()-12,FALSE)="","",HLOOKUP(AR$13,'MP (nominal)'!$D$12:$AM$244,ROW()-12,FALSE))</f>
        <v/>
      </c>
    </row>
    <row r="47" spans="1:44" s="278" customFormat="1" hidden="1">
      <c r="A47" s="271">
        <f>References!D262</f>
        <v>94</v>
      </c>
      <c r="B47" s="292" t="s">
        <v>33</v>
      </c>
      <c r="C47" s="284">
        <v>2005</v>
      </c>
      <c r="D47" s="27" t="str">
        <f>IF(HLOOKUP(D$13,'MP (nominal)'!$D$12:$AM$244,ROW()-12,FALSE)="","",HLOOKUP(D$13,'MP (nominal)'!$D$12:$AM$244,ROW()-12,FALSE))</f>
        <v/>
      </c>
      <c r="E47" s="281" t="str">
        <f>IF(HLOOKUP(E$13,'MP (nominal)'!$D$12:$AM$244,ROW()-12,FALSE)="","",HLOOKUP(E$13,'MP (nominal)'!$D$12:$AM$244,ROW()-12,FALSE))</f>
        <v/>
      </c>
      <c r="F47" s="27">
        <f>IF(HLOOKUP(F$13,'MP (nominal)'!$D$12:$AM$244,ROW()-12,FALSE)="","",HLOOKUP(F$13,'MP (nominal)'!$D$12:$AM$244,ROW()-12,FALSE))</f>
        <v>454.06</v>
      </c>
      <c r="G47" s="281" t="str">
        <f>IF(HLOOKUP(G$13,'MP (nominal)'!$D$12:$AM$244,ROW()-12,FALSE)="","",HLOOKUP(G$13,'MP (nominal)'!$D$12:$AM$244,ROW()-12,FALSE))</f>
        <v/>
      </c>
      <c r="H47" s="27">
        <f>IF(HLOOKUP(H$13,'MP (nominal)'!$D$12:$AM$244,ROW()-12,FALSE)="","",HLOOKUP(H$13,'MP (nominal)'!$D$12:$AM$244,ROW()-12,FALSE))</f>
        <v>3233.04</v>
      </c>
      <c r="I47" s="31" t="str">
        <f>IF(HLOOKUP(I$13,'MP (nominal)'!$D$12:$AM$244,ROW()-12,FALSE)="","",HLOOKUP(I$13,'MP (nominal)'!$D$12:$AM$244,ROW()-12,FALSE))</f>
        <v/>
      </c>
      <c r="J47" s="31">
        <f>IF(HLOOKUP(J$13,'MP (nominal)'!$D$12:$AM$244,ROW()-12,FALSE)="","",HLOOKUP(J$13,'MP (nominal)'!$D$12:$AM$244,ROW()-12,FALSE))</f>
        <v>2778.98</v>
      </c>
      <c r="K47" s="281"/>
      <c r="L47" s="27">
        <f>IF(HLOOKUP(L$13,'MP (nominal)'!$D$12:$AM$244,ROW()-12,FALSE)="","",HLOOKUP(L$13,'MP (nominal)'!$D$12:$AM$244,ROW()-12,FALSE))</f>
        <v>85.26</v>
      </c>
      <c r="M47" s="293">
        <f>IF(HLOOKUP(M$13,'MP (nominal)'!$D$12:$AM$244,ROW()-12,FALSE)="","",HLOOKUP(M$13,'MP (nominal)'!$D$12:$AM$244,ROW()-12,FALSE))</f>
        <v>440.29605099999998</v>
      </c>
      <c r="N47" s="35"/>
      <c r="O47" s="27">
        <f>IF(HLOOKUP(O$13,'MP (nominal)'!$D$12:$AM$244,ROW()-12,FALSE)="","",HLOOKUP(O$13,'MP (nominal)'!$D$12:$AM$244,ROW()-12,FALSE))</f>
        <v>33931</v>
      </c>
      <c r="P47" s="31"/>
      <c r="Q47" s="281"/>
      <c r="R47" s="281">
        <f>IF(HLOOKUP(R$13,'MP (nominal)'!$D$12:$AM$244,ROW()-12,FALSE)="","",HLOOKUP(R$13,'MP (nominal)'!$D$12:$AM$244,ROW()-12,FALSE))</f>
        <v>59.6</v>
      </c>
      <c r="S47" s="281" t="str">
        <f>IF(HLOOKUP(S$13,'MP (nominal)'!$D$12:$AM$244,ROW()-12,FALSE)="","",HLOOKUP(S$13,'MP (nominal)'!$D$12:$AM$244,ROW()-12,FALSE))</f>
        <v/>
      </c>
      <c r="T47" s="281" t="str">
        <f>IF(HLOOKUP(T$13,'MP (nominal)'!$D$12:$AM$244,ROW()-12,FALSE)="","",HLOOKUP(T$13,'MP (nominal)'!$D$12:$AM$244,ROW()-12,FALSE))</f>
        <v/>
      </c>
      <c r="U47" s="281"/>
      <c r="V47" s="281">
        <f>IF(HLOOKUP(V$13,'MP (nominal)'!$D$12:$AM$244,ROW()-12,FALSE)="","",HLOOKUP(V$13,'MP (nominal)'!$D$12:$AM$244,ROW()-12,FALSE))</f>
        <v>2.13</v>
      </c>
      <c r="W47" s="281" t="str">
        <f>IF(HLOOKUP(W$13,'MP (nominal)'!$D$12:$AM$244,ROW()-12,FALSE)="","",HLOOKUP(W$13,'MP (nominal)'!$D$12:$AM$244,ROW()-12,FALSE))</f>
        <v/>
      </c>
      <c r="X47" s="281" t="str">
        <f>IF(HLOOKUP(X$13,'MP (nominal)'!$D$12:$AM$244,ROW()-12,FALSE)="","",HLOOKUP(X$13,'MP (nominal)'!$D$12:$AM$244,ROW()-12,FALSE))</f>
        <v/>
      </c>
      <c r="Y47" s="281"/>
      <c r="Z47" s="281" t="str">
        <f>IF(HLOOKUP(Z$13,'MP (nominal)'!$D$12:$AM$244,ROW()-12,FALSE)="","",HLOOKUP(Z$13,'MP (nominal)'!$D$12:$AM$244,ROW()-12,FALSE)*VLOOKUP($C47,CPI!$B$9:$I$63,8))</f>
        <v/>
      </c>
      <c r="AA47" s="281" t="str">
        <f>IF(HLOOKUP(AA$13,'MP (nominal)'!$D$12:$AM$244,ROW()-12,FALSE)="","",HLOOKUP(AA$13,'MP (nominal)'!$D$12:$AM$244,ROW()-12,FALSE))</f>
        <v/>
      </c>
      <c r="AB47" s="281" t="str">
        <f>IF(HLOOKUP(AB$13,'MP (nominal)'!$D$12:$AM$244,ROW()-12,FALSE)="","",HLOOKUP(AB$13,'MP (nominal)'!$D$12:$AM$244,ROW()-12,FALSE))</f>
        <v/>
      </c>
      <c r="AC47" s="281"/>
      <c r="AD47" s="281" t="str">
        <f>IF(HLOOKUP(AD$13,'MP (nominal)'!$D$12:$AM$244,ROW()-12,FALSE)="","",HLOOKUP(AD$13,'MP (nominal)'!$D$12:$AM$244,ROW()-12,FALSE)*VLOOKUP($C47,CPI!$B$9:$I$63,8))</f>
        <v/>
      </c>
      <c r="AE47" s="31" t="str">
        <f>IF(HLOOKUP(AE$13,'MP (nominal)'!$D$12:$AM$244,ROW()-12,FALSE)="","",HLOOKUP(AE$13,'MP (nominal)'!$D$12:$AM$244,ROW()-12,FALSE))</f>
        <v/>
      </c>
      <c r="AF47" s="31" t="str">
        <f>IF(HLOOKUP(AF$13,'MP (nominal)'!$D$12:$AM$244,ROW()-12,FALSE)="","",HLOOKUP(AF$13,'MP (nominal)'!$D$12:$AM$244,ROW()-12,FALSE))</f>
        <v/>
      </c>
      <c r="AG47" s="281"/>
      <c r="AH47" s="281" t="str">
        <f>IF(HLOOKUP(AH$13,'MP (nominal)'!$D$12:$AM$244,ROW()-12,FALSE)="","",HLOOKUP(AH$13,'MP (nominal)'!$D$12:$AM$244,ROW()-12,FALSE)*VLOOKUP($C47,CPI!$B$9:$I$63,8))</f>
        <v/>
      </c>
      <c r="AI47" s="31" t="str">
        <f>IF(HLOOKUP(AI$13,'MP (nominal)'!$D$12:$AM$244,ROW()-12,FALSE)="","",HLOOKUP(AI$13,'MP (nominal)'!$D$12:$AM$244,ROW()-12,FALSE))</f>
        <v/>
      </c>
      <c r="AJ47" s="31" t="str">
        <f>IF(HLOOKUP(AJ$13,'MP (nominal)'!$D$12:$AM$244,ROW()-12,FALSE)="","",HLOOKUP(AJ$13,'MP (nominal)'!$D$12:$AM$244,ROW()-12,FALSE))</f>
        <v/>
      </c>
      <c r="AK47" s="281"/>
      <c r="AL47" s="281" t="str">
        <f>IF(HLOOKUP(AL$13,'MP (nominal)'!$D$12:$AM$244,ROW()-12,FALSE)="","",HLOOKUP(AL$13,'MP (nominal)'!$D$12:$AM$244,ROW()-12,FALSE)*VLOOKUP($C47,CPI!$B$9:$I$63,8))</f>
        <v/>
      </c>
      <c r="AM47" s="31" t="str">
        <f>IF(HLOOKUP(AM$13,'MP (nominal)'!$D$12:$AM$244,ROW()-12,FALSE)="","",HLOOKUP(AM$13,'MP (nominal)'!$D$12:$AM$244,ROW()-12,FALSE))</f>
        <v/>
      </c>
      <c r="AN47" s="31" t="str">
        <f>IF(HLOOKUP(AN$13,'MP (nominal)'!$D$12:$AM$244,ROW()-12,FALSE)="","",HLOOKUP(AN$13,'MP (nominal)'!$D$12:$AM$244,ROW()-12,FALSE))</f>
        <v/>
      </c>
      <c r="AO47" s="281"/>
      <c r="AP47" s="281" t="str">
        <f>IF(HLOOKUP(AP$13,'MP (nominal)'!$D$12:$AM$244,ROW()-12,FALSE)="","",HLOOKUP(AP$13,'MP (nominal)'!$D$12:$AM$244,ROW()-12,FALSE)*VLOOKUP($C47,CPI!$B$9:$I$63,8))</f>
        <v/>
      </c>
      <c r="AQ47" s="31" t="str">
        <f>IF(HLOOKUP(AQ$13,'MP (nominal)'!$D$12:$AM$244,ROW()-12,FALSE)="","",HLOOKUP(AQ$13,'MP (nominal)'!$D$12:$AM$244,ROW()-12,FALSE))</f>
        <v/>
      </c>
      <c r="AR47" s="281" t="str">
        <f>IF(HLOOKUP(AR$13,'MP (nominal)'!$D$12:$AM$244,ROW()-12,FALSE)="","",HLOOKUP(AR$13,'MP (nominal)'!$D$12:$AM$244,ROW()-12,FALSE))</f>
        <v/>
      </c>
    </row>
    <row r="48" spans="1:44" s="278" customFormat="1" hidden="1">
      <c r="A48" s="271">
        <f>References!E262</f>
        <v>95</v>
      </c>
      <c r="B48" s="292" t="s">
        <v>33</v>
      </c>
      <c r="C48" s="284">
        <v>2006</v>
      </c>
      <c r="D48" s="27" t="str">
        <f>IF(HLOOKUP(D$13,'MP (nominal)'!$D$12:$AM$244,ROW()-12,FALSE)="","",HLOOKUP(D$13,'MP (nominal)'!$D$12:$AM$244,ROW()-12,FALSE))</f>
        <v/>
      </c>
      <c r="E48" s="281" t="str">
        <f>IF(HLOOKUP(E$13,'MP (nominal)'!$D$12:$AM$244,ROW()-12,FALSE)="","",HLOOKUP(E$13,'MP (nominal)'!$D$12:$AM$244,ROW()-12,FALSE))</f>
        <v/>
      </c>
      <c r="F48" s="27">
        <f>IF(HLOOKUP(F$13,'MP (nominal)'!$D$12:$AM$244,ROW()-12,FALSE)="","",HLOOKUP(F$13,'MP (nominal)'!$D$12:$AM$244,ROW()-12,FALSE))</f>
        <v>473.39</v>
      </c>
      <c r="G48" s="281" t="str">
        <f>IF(HLOOKUP(G$13,'MP (nominal)'!$D$12:$AM$244,ROW()-12,FALSE)="","",HLOOKUP(G$13,'MP (nominal)'!$D$12:$AM$244,ROW()-12,FALSE))</f>
        <v/>
      </c>
      <c r="H48" s="27">
        <f>IF(HLOOKUP(H$13,'MP (nominal)'!$D$12:$AM$244,ROW()-12,FALSE)="","",HLOOKUP(H$13,'MP (nominal)'!$D$12:$AM$244,ROW()-12,FALSE))</f>
        <v>3260.4639999999999</v>
      </c>
      <c r="I48" s="31" t="str">
        <f>IF(HLOOKUP(I$13,'MP (nominal)'!$D$12:$AM$244,ROW()-12,FALSE)="","",HLOOKUP(I$13,'MP (nominal)'!$D$12:$AM$244,ROW()-12,FALSE))</f>
        <v/>
      </c>
      <c r="J48" s="31">
        <f>IF(HLOOKUP(J$13,'MP (nominal)'!$D$12:$AM$244,ROW()-12,FALSE)="","",HLOOKUP(J$13,'MP (nominal)'!$D$12:$AM$244,ROW()-12,FALSE))</f>
        <v>2787.07</v>
      </c>
      <c r="K48" s="281"/>
      <c r="L48" s="27">
        <f>IF(HLOOKUP(L$13,'MP (nominal)'!$D$12:$AM$244,ROW()-12,FALSE)="","",HLOOKUP(L$13,'MP (nominal)'!$D$12:$AM$244,ROW()-12,FALSE))</f>
        <v>87.097999999999999</v>
      </c>
      <c r="M48" s="293">
        <f>IF(HLOOKUP(M$13,'MP (nominal)'!$D$12:$AM$244,ROW()-12,FALSE)="","",HLOOKUP(M$13,'MP (nominal)'!$D$12:$AM$244,ROW()-12,FALSE))</f>
        <v>444.48528299999998</v>
      </c>
      <c r="N48" s="35"/>
      <c r="O48" s="27">
        <f>IF(HLOOKUP(O$13,'MP (nominal)'!$D$12:$AM$244,ROW()-12,FALSE)="","",HLOOKUP(O$13,'MP (nominal)'!$D$12:$AM$244,ROW()-12,FALSE))</f>
        <v>34813</v>
      </c>
      <c r="P48" s="31"/>
      <c r="Q48" s="281"/>
      <c r="R48" s="281">
        <f>IF(HLOOKUP(R$13,'MP (nominal)'!$D$12:$AM$244,ROW()-12,FALSE)="","",HLOOKUP(R$13,'MP (nominal)'!$D$12:$AM$244,ROW()-12,FALSE))</f>
        <v>61.73</v>
      </c>
      <c r="S48" s="281" t="str">
        <f>IF(HLOOKUP(S$13,'MP (nominal)'!$D$12:$AM$244,ROW()-12,FALSE)="","",HLOOKUP(S$13,'MP (nominal)'!$D$12:$AM$244,ROW()-12,FALSE))</f>
        <v/>
      </c>
      <c r="T48" s="281" t="str">
        <f>IF(HLOOKUP(T$13,'MP (nominal)'!$D$12:$AM$244,ROW()-12,FALSE)="","",HLOOKUP(T$13,'MP (nominal)'!$D$12:$AM$244,ROW()-12,FALSE))</f>
        <v/>
      </c>
      <c r="U48" s="281"/>
      <c r="V48" s="281">
        <f>IF(HLOOKUP(V$13,'MP (nominal)'!$D$12:$AM$244,ROW()-12,FALSE)="","",HLOOKUP(V$13,'MP (nominal)'!$D$12:$AM$244,ROW()-12,FALSE))</f>
        <v>1.65</v>
      </c>
      <c r="W48" s="281" t="str">
        <f>IF(HLOOKUP(W$13,'MP (nominal)'!$D$12:$AM$244,ROW()-12,FALSE)="","",HLOOKUP(W$13,'MP (nominal)'!$D$12:$AM$244,ROW()-12,FALSE))</f>
        <v/>
      </c>
      <c r="X48" s="281" t="str">
        <f>IF(HLOOKUP(X$13,'MP (nominal)'!$D$12:$AM$244,ROW()-12,FALSE)="","",HLOOKUP(X$13,'MP (nominal)'!$D$12:$AM$244,ROW()-12,FALSE))</f>
        <v/>
      </c>
      <c r="Y48" s="281"/>
      <c r="Z48" s="281" t="str">
        <f>IF(HLOOKUP(Z$13,'MP (nominal)'!$D$12:$AM$244,ROW()-12,FALSE)="","",HLOOKUP(Z$13,'MP (nominal)'!$D$12:$AM$244,ROW()-12,FALSE)*VLOOKUP($C48,CPI!$B$9:$I$63,8))</f>
        <v/>
      </c>
      <c r="AA48" s="281" t="str">
        <f>IF(HLOOKUP(AA$13,'MP (nominal)'!$D$12:$AM$244,ROW()-12,FALSE)="","",HLOOKUP(AA$13,'MP (nominal)'!$D$12:$AM$244,ROW()-12,FALSE))</f>
        <v/>
      </c>
      <c r="AB48" s="281" t="str">
        <f>IF(HLOOKUP(AB$13,'MP (nominal)'!$D$12:$AM$244,ROW()-12,FALSE)="","",HLOOKUP(AB$13,'MP (nominal)'!$D$12:$AM$244,ROW()-12,FALSE))</f>
        <v/>
      </c>
      <c r="AC48" s="281"/>
      <c r="AD48" s="281" t="str">
        <f>IF(HLOOKUP(AD$13,'MP (nominal)'!$D$12:$AM$244,ROW()-12,FALSE)="","",HLOOKUP(AD$13,'MP (nominal)'!$D$12:$AM$244,ROW()-12,FALSE)*VLOOKUP($C48,CPI!$B$9:$I$63,8))</f>
        <v/>
      </c>
      <c r="AE48" s="31" t="str">
        <f>IF(HLOOKUP(AE$13,'MP (nominal)'!$D$12:$AM$244,ROW()-12,FALSE)="","",HLOOKUP(AE$13,'MP (nominal)'!$D$12:$AM$244,ROW()-12,FALSE))</f>
        <v/>
      </c>
      <c r="AF48" s="31" t="str">
        <f>IF(HLOOKUP(AF$13,'MP (nominal)'!$D$12:$AM$244,ROW()-12,FALSE)="","",HLOOKUP(AF$13,'MP (nominal)'!$D$12:$AM$244,ROW()-12,FALSE))</f>
        <v/>
      </c>
      <c r="AG48" s="281"/>
      <c r="AH48" s="281" t="str">
        <f>IF(HLOOKUP(AH$13,'MP (nominal)'!$D$12:$AM$244,ROW()-12,FALSE)="","",HLOOKUP(AH$13,'MP (nominal)'!$D$12:$AM$244,ROW()-12,FALSE)*VLOOKUP($C48,CPI!$B$9:$I$63,8))</f>
        <v/>
      </c>
      <c r="AI48" s="31" t="str">
        <f>IF(HLOOKUP(AI$13,'MP (nominal)'!$D$12:$AM$244,ROW()-12,FALSE)="","",HLOOKUP(AI$13,'MP (nominal)'!$D$12:$AM$244,ROW()-12,FALSE))</f>
        <v/>
      </c>
      <c r="AJ48" s="31" t="str">
        <f>IF(HLOOKUP(AJ$13,'MP (nominal)'!$D$12:$AM$244,ROW()-12,FALSE)="","",HLOOKUP(AJ$13,'MP (nominal)'!$D$12:$AM$244,ROW()-12,FALSE))</f>
        <v/>
      </c>
      <c r="AK48" s="281"/>
      <c r="AL48" s="281" t="str">
        <f>IF(HLOOKUP(AL$13,'MP (nominal)'!$D$12:$AM$244,ROW()-12,FALSE)="","",HLOOKUP(AL$13,'MP (nominal)'!$D$12:$AM$244,ROW()-12,FALSE)*VLOOKUP($C48,CPI!$B$9:$I$63,8))</f>
        <v/>
      </c>
      <c r="AM48" s="31" t="str">
        <f>IF(HLOOKUP(AM$13,'MP (nominal)'!$D$12:$AM$244,ROW()-12,FALSE)="","",HLOOKUP(AM$13,'MP (nominal)'!$D$12:$AM$244,ROW()-12,FALSE))</f>
        <v/>
      </c>
      <c r="AN48" s="31" t="str">
        <f>IF(HLOOKUP(AN$13,'MP (nominal)'!$D$12:$AM$244,ROW()-12,FALSE)="","",HLOOKUP(AN$13,'MP (nominal)'!$D$12:$AM$244,ROW()-12,FALSE))</f>
        <v/>
      </c>
      <c r="AO48" s="281"/>
      <c r="AP48" s="281" t="str">
        <f>IF(HLOOKUP(AP$13,'MP (nominal)'!$D$12:$AM$244,ROW()-12,FALSE)="","",HLOOKUP(AP$13,'MP (nominal)'!$D$12:$AM$244,ROW()-12,FALSE)*VLOOKUP($C48,CPI!$B$9:$I$63,8))</f>
        <v/>
      </c>
      <c r="AQ48" s="31" t="str">
        <f>IF(HLOOKUP(AQ$13,'MP (nominal)'!$D$12:$AM$244,ROW()-12,FALSE)="","",HLOOKUP(AQ$13,'MP (nominal)'!$D$12:$AM$244,ROW()-12,FALSE))</f>
        <v/>
      </c>
      <c r="AR48" s="281" t="str">
        <f>IF(HLOOKUP(AR$13,'MP (nominal)'!$D$12:$AM$244,ROW()-12,FALSE)="","",HLOOKUP(AR$13,'MP (nominal)'!$D$12:$AM$244,ROW()-12,FALSE))</f>
        <v/>
      </c>
    </row>
    <row r="49" spans="1:44" s="278" customFormat="1" hidden="1">
      <c r="A49" s="271">
        <f>References!F262</f>
        <v>96</v>
      </c>
      <c r="B49" s="292" t="s">
        <v>33</v>
      </c>
      <c r="C49" s="284">
        <v>2007</v>
      </c>
      <c r="D49" s="27" t="str">
        <f>IF(HLOOKUP(D$13,'MP (nominal)'!$D$12:$AM$244,ROW()-12,FALSE)="","",HLOOKUP(D$13,'MP (nominal)'!$D$12:$AM$244,ROW()-12,FALSE))</f>
        <v/>
      </c>
      <c r="E49" s="281" t="str">
        <f>IF(HLOOKUP(E$13,'MP (nominal)'!$D$12:$AM$244,ROW()-12,FALSE)="","",HLOOKUP(E$13,'MP (nominal)'!$D$12:$AM$244,ROW()-12,FALSE))</f>
        <v/>
      </c>
      <c r="F49" s="27">
        <f>IF(HLOOKUP(F$13,'MP (nominal)'!$D$12:$AM$244,ROW()-12,FALSE)="","",HLOOKUP(F$13,'MP (nominal)'!$D$12:$AM$244,ROW()-12,FALSE))</f>
        <v>511.25</v>
      </c>
      <c r="G49" s="281" t="str">
        <f>IF(HLOOKUP(G$13,'MP (nominal)'!$D$12:$AM$244,ROW()-12,FALSE)="","",HLOOKUP(G$13,'MP (nominal)'!$D$12:$AM$244,ROW()-12,FALSE))</f>
        <v/>
      </c>
      <c r="H49" s="27">
        <f>IF(HLOOKUP(H$13,'MP (nominal)'!$D$12:$AM$244,ROW()-12,FALSE)="","",HLOOKUP(H$13,'MP (nominal)'!$D$12:$AM$244,ROW()-12,FALSE))</f>
        <v>2962.9</v>
      </c>
      <c r="I49" s="31" t="str">
        <f>IF(HLOOKUP(I$13,'MP (nominal)'!$D$12:$AM$244,ROW()-12,FALSE)="","",HLOOKUP(I$13,'MP (nominal)'!$D$12:$AM$244,ROW()-12,FALSE))</f>
        <v/>
      </c>
      <c r="J49" s="31">
        <f>IF(HLOOKUP(J$13,'MP (nominal)'!$D$12:$AM$244,ROW()-12,FALSE)="","",HLOOKUP(J$13,'MP (nominal)'!$D$12:$AM$244,ROW()-12,FALSE))</f>
        <v>2451.65</v>
      </c>
      <c r="K49" s="281"/>
      <c r="L49" s="27">
        <f>IF(HLOOKUP(L$13,'MP (nominal)'!$D$12:$AM$244,ROW()-12,FALSE)="","",HLOOKUP(L$13,'MP (nominal)'!$D$12:$AM$244,ROW()-12,FALSE))</f>
        <v>91.506</v>
      </c>
      <c r="M49" s="293">
        <f>IF(HLOOKUP(M$13,'MP (nominal)'!$D$12:$AM$244,ROW()-12,FALSE)="","",HLOOKUP(M$13,'MP (nominal)'!$D$12:$AM$244,ROW()-12,FALSE))</f>
        <v>457.00062400000002</v>
      </c>
      <c r="N49" s="35"/>
      <c r="O49" s="27">
        <f>IF(HLOOKUP(O$13,'MP (nominal)'!$D$12:$AM$244,ROW()-12,FALSE)="","",HLOOKUP(O$13,'MP (nominal)'!$D$12:$AM$244,ROW()-12,FALSE))</f>
        <v>35545</v>
      </c>
      <c r="P49" s="31"/>
      <c r="Q49" s="281"/>
      <c r="R49" s="281">
        <f>IF(HLOOKUP(R$13,'MP (nominal)'!$D$12:$AM$244,ROW()-12,FALSE)="","",HLOOKUP(R$13,'MP (nominal)'!$D$12:$AM$244,ROW()-12,FALSE))</f>
        <v>109.49</v>
      </c>
      <c r="S49" s="281" t="str">
        <f>IF(HLOOKUP(S$13,'MP (nominal)'!$D$12:$AM$244,ROW()-12,FALSE)="","",HLOOKUP(S$13,'MP (nominal)'!$D$12:$AM$244,ROW()-12,FALSE))</f>
        <v/>
      </c>
      <c r="T49" s="281" t="str">
        <f>IF(HLOOKUP(T$13,'MP (nominal)'!$D$12:$AM$244,ROW()-12,FALSE)="","",HLOOKUP(T$13,'MP (nominal)'!$D$12:$AM$244,ROW()-12,FALSE))</f>
        <v/>
      </c>
      <c r="U49" s="281"/>
      <c r="V49" s="281">
        <f>IF(HLOOKUP(V$13,'MP (nominal)'!$D$12:$AM$244,ROW()-12,FALSE)="","",HLOOKUP(V$13,'MP (nominal)'!$D$12:$AM$244,ROW()-12,FALSE))</f>
        <v>3.12</v>
      </c>
      <c r="W49" s="281" t="str">
        <f>IF(HLOOKUP(W$13,'MP (nominal)'!$D$12:$AM$244,ROW()-12,FALSE)="","",HLOOKUP(W$13,'MP (nominal)'!$D$12:$AM$244,ROW()-12,FALSE))</f>
        <v/>
      </c>
      <c r="X49" s="281" t="str">
        <f>IF(HLOOKUP(X$13,'MP (nominal)'!$D$12:$AM$244,ROW()-12,FALSE)="","",HLOOKUP(X$13,'MP (nominal)'!$D$12:$AM$244,ROW()-12,FALSE))</f>
        <v/>
      </c>
      <c r="Y49" s="281"/>
      <c r="Z49" s="281" t="str">
        <f>IF(HLOOKUP(Z$13,'MP (nominal)'!$D$12:$AM$244,ROW()-12,FALSE)="","",HLOOKUP(Z$13,'MP (nominal)'!$D$12:$AM$244,ROW()-12,FALSE)*VLOOKUP($C49,CPI!$B$9:$I$63,8))</f>
        <v/>
      </c>
      <c r="AA49" s="281" t="str">
        <f>IF(HLOOKUP(AA$13,'MP (nominal)'!$D$12:$AM$244,ROW()-12,FALSE)="","",HLOOKUP(AA$13,'MP (nominal)'!$D$12:$AM$244,ROW()-12,FALSE))</f>
        <v/>
      </c>
      <c r="AB49" s="281" t="str">
        <f>IF(HLOOKUP(AB$13,'MP (nominal)'!$D$12:$AM$244,ROW()-12,FALSE)="","",HLOOKUP(AB$13,'MP (nominal)'!$D$12:$AM$244,ROW()-12,FALSE))</f>
        <v/>
      </c>
      <c r="AC49" s="281"/>
      <c r="AD49" s="281" t="str">
        <f>IF(HLOOKUP(AD$13,'MP (nominal)'!$D$12:$AM$244,ROW()-12,FALSE)="","",HLOOKUP(AD$13,'MP (nominal)'!$D$12:$AM$244,ROW()-12,FALSE)*VLOOKUP($C49,CPI!$B$9:$I$63,8))</f>
        <v/>
      </c>
      <c r="AE49" s="31" t="str">
        <f>IF(HLOOKUP(AE$13,'MP (nominal)'!$D$12:$AM$244,ROW()-12,FALSE)="","",HLOOKUP(AE$13,'MP (nominal)'!$D$12:$AM$244,ROW()-12,FALSE))</f>
        <v/>
      </c>
      <c r="AF49" s="31" t="str">
        <f>IF(HLOOKUP(AF$13,'MP (nominal)'!$D$12:$AM$244,ROW()-12,FALSE)="","",HLOOKUP(AF$13,'MP (nominal)'!$D$12:$AM$244,ROW()-12,FALSE))</f>
        <v/>
      </c>
      <c r="AG49" s="281"/>
      <c r="AH49" s="281" t="str">
        <f>IF(HLOOKUP(AH$13,'MP (nominal)'!$D$12:$AM$244,ROW()-12,FALSE)="","",HLOOKUP(AH$13,'MP (nominal)'!$D$12:$AM$244,ROW()-12,FALSE)*VLOOKUP($C49,CPI!$B$9:$I$63,8))</f>
        <v/>
      </c>
      <c r="AI49" s="31" t="str">
        <f>IF(HLOOKUP(AI$13,'MP (nominal)'!$D$12:$AM$244,ROW()-12,FALSE)="","",HLOOKUP(AI$13,'MP (nominal)'!$D$12:$AM$244,ROW()-12,FALSE))</f>
        <v/>
      </c>
      <c r="AJ49" s="31" t="str">
        <f>IF(HLOOKUP(AJ$13,'MP (nominal)'!$D$12:$AM$244,ROW()-12,FALSE)="","",HLOOKUP(AJ$13,'MP (nominal)'!$D$12:$AM$244,ROW()-12,FALSE))</f>
        <v/>
      </c>
      <c r="AK49" s="281"/>
      <c r="AL49" s="281" t="str">
        <f>IF(HLOOKUP(AL$13,'MP (nominal)'!$D$12:$AM$244,ROW()-12,FALSE)="","",HLOOKUP(AL$13,'MP (nominal)'!$D$12:$AM$244,ROW()-12,FALSE)*VLOOKUP($C49,CPI!$B$9:$I$63,8))</f>
        <v/>
      </c>
      <c r="AM49" s="31" t="str">
        <f>IF(HLOOKUP(AM$13,'MP (nominal)'!$D$12:$AM$244,ROW()-12,FALSE)="","",HLOOKUP(AM$13,'MP (nominal)'!$D$12:$AM$244,ROW()-12,FALSE))</f>
        <v/>
      </c>
      <c r="AN49" s="31" t="str">
        <f>IF(HLOOKUP(AN$13,'MP (nominal)'!$D$12:$AM$244,ROW()-12,FALSE)="","",HLOOKUP(AN$13,'MP (nominal)'!$D$12:$AM$244,ROW()-12,FALSE))</f>
        <v/>
      </c>
      <c r="AO49" s="281"/>
      <c r="AP49" s="281" t="str">
        <f>IF(HLOOKUP(AP$13,'MP (nominal)'!$D$12:$AM$244,ROW()-12,FALSE)="","",HLOOKUP(AP$13,'MP (nominal)'!$D$12:$AM$244,ROW()-12,FALSE)*VLOOKUP($C49,CPI!$B$9:$I$63,8))</f>
        <v/>
      </c>
      <c r="AQ49" s="31" t="str">
        <f>IF(HLOOKUP(AQ$13,'MP (nominal)'!$D$12:$AM$244,ROW()-12,FALSE)="","",HLOOKUP(AQ$13,'MP (nominal)'!$D$12:$AM$244,ROW()-12,FALSE))</f>
        <v/>
      </c>
      <c r="AR49" s="281" t="str">
        <f>IF(HLOOKUP(AR$13,'MP (nominal)'!$D$12:$AM$244,ROW()-12,FALSE)="","",HLOOKUP(AR$13,'MP (nominal)'!$D$12:$AM$244,ROW()-12,FALSE))</f>
        <v/>
      </c>
    </row>
    <row r="50" spans="1:44" s="278" customFormat="1">
      <c r="A50" s="271">
        <f>References!G262</f>
        <v>97</v>
      </c>
      <c r="B50" s="292" t="s">
        <v>33</v>
      </c>
      <c r="C50" s="284">
        <v>2008</v>
      </c>
      <c r="D50" s="27">
        <f>IF(HLOOKUP(D$13,'MP (nominal)'!$D$12:$AM$244,ROW()-12,FALSE)="","",HLOOKUP(D$13,'MP (nominal)'!$D$12:$AM$244,ROW()-12,FALSE))</f>
        <v>2429.8802000000001</v>
      </c>
      <c r="E50" s="281">
        <f>IF(HLOOKUP(E$13,'MP (nominal)'!$D$12:$AM$244,ROW()-12,FALSE)="","",HLOOKUP(E$13,'MP (nominal)'!$D$12:$AM$244,ROW()-12,FALSE))</f>
        <v>0</v>
      </c>
      <c r="F50" s="27">
        <f>IF(HLOOKUP(F$13,'MP (nominal)'!$D$12:$AM$244,ROW()-12,FALSE)="","",HLOOKUP(F$13,'MP (nominal)'!$D$12:$AM$244,ROW()-12,FALSE))</f>
        <v>545.19991000000005</v>
      </c>
      <c r="G50" s="281">
        <f>IF(HLOOKUP(G$13,'MP (nominal)'!$D$12:$AM$244,ROW()-12,FALSE)="","",HLOOKUP(G$13,'MP (nominal)'!$D$12:$AM$244,ROW()-12,FALSE))</f>
        <v>1.9311841999999999</v>
      </c>
      <c r="H50" s="27">
        <f>IF(HLOOKUP(H$13,'MP (nominal)'!$D$12:$AM$244,ROW()-12,FALSE)="","",HLOOKUP(H$13,'MP (nominal)'!$D$12:$AM$244,ROW()-12,FALSE))</f>
        <v>2975.0801999999999</v>
      </c>
      <c r="I50" s="31">
        <f>IF(HLOOKUP(I$13,'MP (nominal)'!$D$12:$AM$244,ROW()-12,FALSE)="","",HLOOKUP(I$13,'MP (nominal)'!$D$12:$AM$244,ROW()-12,FALSE))</f>
        <v>1.9311841999999999</v>
      </c>
      <c r="J50" s="31">
        <f>IF(HLOOKUP(J$13,'MP (nominal)'!$D$12:$AM$244,ROW()-12,FALSE)="","",HLOOKUP(J$13,'MP (nominal)'!$D$12:$AM$244,ROW()-12,FALSE))</f>
        <v>2429.8802000000001</v>
      </c>
      <c r="K50" s="281"/>
      <c r="L50" s="27">
        <f>IF(HLOOKUP(L$13,'MP (nominal)'!$D$12:$AM$244,ROW()-12,FALSE)="","",HLOOKUP(L$13,'MP (nominal)'!$D$12:$AM$244,ROW()-12,FALSE))</f>
        <v>92.427999999999997</v>
      </c>
      <c r="M50" s="283">
        <f>IF(HLOOKUP(M$13,'MP (nominal)'!$D$12:$AM$244,ROW()-12,FALSE)="","",HLOOKUP(M$13,'MP (nominal)'!$D$12:$AM$244,ROW()-12,FALSE))</f>
        <v>464.86900000000003</v>
      </c>
      <c r="N50" s="35"/>
      <c r="O50" s="27">
        <f>IF(HLOOKUP(O$13,'MP (nominal)'!$D$12:$AM$244,ROW()-12,FALSE)="","",HLOOKUP(O$13,'MP (nominal)'!$D$12:$AM$244,ROW()-12,FALSE))</f>
        <v>35613</v>
      </c>
      <c r="P50" s="31"/>
      <c r="Q50" s="281"/>
      <c r="R50" s="281">
        <f>IF(HLOOKUP(R$13,'MP (nominal)'!$D$12:$AM$244,ROW()-12,FALSE)="","",HLOOKUP(R$13,'MP (nominal)'!$D$12:$AM$244,ROW()-12,FALSE))</f>
        <v>167.78100000000001</v>
      </c>
      <c r="S50" s="281">
        <f>IF(HLOOKUP(S$13,'MP (nominal)'!$D$12:$AM$244,ROW()-12,FALSE)="","",HLOOKUP(S$13,'MP (nominal)'!$D$12:$AM$244,ROW()-12,FALSE))</f>
        <v>19.248699999999999</v>
      </c>
      <c r="T50" s="281">
        <f>IF(HLOOKUP(T$13,'MP (nominal)'!$D$12:$AM$244,ROW()-12,FALSE)="","",HLOOKUP(T$13,'MP (nominal)'!$D$12:$AM$244,ROW()-12,FALSE))</f>
        <v>148.53229999999999</v>
      </c>
      <c r="U50" s="281"/>
      <c r="V50" s="281">
        <f>IF(HLOOKUP(V$13,'MP (nominal)'!$D$12:$AM$244,ROW()-12,FALSE)="","",HLOOKUP(V$13,'MP (nominal)'!$D$12:$AM$244,ROW()-12,FALSE))</f>
        <v>2.1968000000000001</v>
      </c>
      <c r="W50" s="281">
        <f>IF(HLOOKUP(W$13,'MP (nominal)'!$D$12:$AM$244,ROW()-12,FALSE)="","",HLOOKUP(W$13,'MP (nominal)'!$D$12:$AM$244,ROW()-12,FALSE))</f>
        <v>0.1082</v>
      </c>
      <c r="X50" s="281">
        <f>IF(HLOOKUP(X$13,'MP (nominal)'!$D$12:$AM$244,ROW()-12,FALSE)="","",HLOOKUP(X$13,'MP (nominal)'!$D$12:$AM$244,ROW()-12,FALSE))</f>
        <v>2.0886</v>
      </c>
      <c r="Y50" s="281"/>
      <c r="Z50" s="281">
        <f>IF(HLOOKUP(Z$13,'MP (nominal)'!$D$12:$AM$244,ROW()-12,FALSE)="","",HLOOKUP(Z$13,'MP (nominal)'!$D$12:$AM$244,ROW()-12,FALSE)*VLOOKUP($C50,CPI!$B$9:$I$63,8))</f>
        <v>13282.17615693878</v>
      </c>
      <c r="AA50" s="281">
        <f>IF(HLOOKUP(AA$13,'MP (nominal)'!$D$12:$AM$244,ROW()-12,FALSE)="","",HLOOKUP(AA$13,'MP (nominal)'!$D$12:$AM$244,ROW()-12,FALSE))</f>
        <v>210435</v>
      </c>
      <c r="AB50" s="281">
        <f>IF(HLOOKUP(AB$13,'MP (nominal)'!$D$12:$AM$244,ROW()-12,FALSE)="","",HLOOKUP(AB$13,'MP (nominal)'!$D$12:$AM$244,ROW()-12,FALSE))</f>
        <v>28093</v>
      </c>
      <c r="AC50" s="281"/>
      <c r="AD50" s="281">
        <f>IF(HLOOKUP(AD$13,'MP (nominal)'!$D$12:$AM$244,ROW()-12,FALSE)="","",HLOOKUP(AD$13,'MP (nominal)'!$D$12:$AM$244,ROW()-12,FALSE)*VLOOKUP($C50,CPI!$B$9:$I$63,8))</f>
        <v>6268.065923412506</v>
      </c>
      <c r="AE50" s="31">
        <f>IF(HLOOKUP(AE$13,'MP (nominal)'!$D$12:$AM$244,ROW()-12,FALSE)="","",HLOOKUP(AE$13,'MP (nominal)'!$D$12:$AM$244,ROW()-12,FALSE))</f>
        <v>89039</v>
      </c>
      <c r="AF50" s="31">
        <f>IF(HLOOKUP(AF$13,'MP (nominal)'!$D$12:$AM$244,ROW()-12,FALSE)="","",HLOOKUP(AF$13,'MP (nominal)'!$D$12:$AM$244,ROW()-12,FALSE))</f>
        <v>6992</v>
      </c>
      <c r="AG50" s="281"/>
      <c r="AH50" s="281">
        <f>IF(HLOOKUP(AH$13,'MP (nominal)'!$D$12:$AM$244,ROW()-12,FALSE)="","",HLOOKUP(AH$13,'MP (nominal)'!$D$12:$AM$244,ROW()-12,FALSE)*VLOOKUP($C50,CPI!$B$9:$I$63,8))</f>
        <v>5976.9792706224516</v>
      </c>
      <c r="AI50" s="31">
        <f>IF(HLOOKUP(AI$13,'MP (nominal)'!$D$12:$AM$244,ROW()-12,FALSE)="","",HLOOKUP(AI$13,'MP (nominal)'!$D$12:$AM$244,ROW()-12,FALSE))</f>
        <v>112584</v>
      </c>
      <c r="AJ50" s="31">
        <f>IF(HLOOKUP(AJ$13,'MP (nominal)'!$D$12:$AM$244,ROW()-12,FALSE)="","",HLOOKUP(AJ$13,'MP (nominal)'!$D$12:$AM$244,ROW()-12,FALSE))</f>
        <v>523</v>
      </c>
      <c r="AK50" s="281"/>
      <c r="AL50" s="281">
        <f>IF(HLOOKUP(AL$13,'MP (nominal)'!$D$12:$AM$244,ROW()-12,FALSE)="","",HLOOKUP(AL$13,'MP (nominal)'!$D$12:$AM$244,ROW()-12,FALSE)*VLOOKUP($C50,CPI!$B$9:$I$63,8))</f>
        <v>1539.5249636451767</v>
      </c>
      <c r="AM50" s="31">
        <f>IF(HLOOKUP(AM$13,'MP (nominal)'!$D$12:$AM$244,ROW()-12,FALSE)="","",HLOOKUP(AM$13,'MP (nominal)'!$D$12:$AM$244,ROW()-12,FALSE))</f>
        <v>52811</v>
      </c>
      <c r="AN50" s="31">
        <f>IF(HLOOKUP(AN$13,'MP (nominal)'!$D$12:$AM$244,ROW()-12,FALSE)="","",HLOOKUP(AN$13,'MP (nominal)'!$D$12:$AM$244,ROW()-12,FALSE))</f>
        <v>5</v>
      </c>
      <c r="AO50" s="281"/>
      <c r="AP50" s="281">
        <f>IF(HLOOKUP(AP$13,'MP (nominal)'!$D$12:$AM$244,ROW()-12,FALSE)="","",HLOOKUP(AP$13,'MP (nominal)'!$D$12:$AM$244,ROW()-12,FALSE)*VLOOKUP($C50,CPI!$B$9:$I$63,8))</f>
        <v>27066.746314618915</v>
      </c>
      <c r="AQ50" s="31">
        <f>IF(HLOOKUP(AQ$13,'MP (nominal)'!$D$12:$AM$244,ROW()-12,FALSE)="","",HLOOKUP(AQ$13,'MP (nominal)'!$D$12:$AM$244,ROW()-12,FALSE))</f>
        <v>464869</v>
      </c>
      <c r="AR50" s="281">
        <f>IF(HLOOKUP(AR$13,'MP (nominal)'!$D$12:$AM$244,ROW()-12,FALSE)="","",HLOOKUP(AR$13,'MP (nominal)'!$D$12:$AM$244,ROW()-12,FALSE))</f>
        <v>35613</v>
      </c>
    </row>
    <row r="51" spans="1:44" s="278" customFormat="1">
      <c r="A51" s="271">
        <f>References!H262</f>
        <v>98</v>
      </c>
      <c r="B51" s="292" t="s">
        <v>33</v>
      </c>
      <c r="C51" s="284">
        <v>2009</v>
      </c>
      <c r="D51" s="27">
        <f>IF(HLOOKUP(D$13,'MP (nominal)'!$D$12:$AM$244,ROW()-12,FALSE)="","",HLOOKUP(D$13,'MP (nominal)'!$D$12:$AM$244,ROW()-12,FALSE))</f>
        <v>2446.2548999999999</v>
      </c>
      <c r="E51" s="281">
        <f>IF(HLOOKUP(E$13,'MP (nominal)'!$D$12:$AM$244,ROW()-12,FALSE)="","",HLOOKUP(E$13,'MP (nominal)'!$D$12:$AM$244,ROW()-12,FALSE))</f>
        <v>0</v>
      </c>
      <c r="F51" s="27">
        <f>IF(HLOOKUP(F$13,'MP (nominal)'!$D$12:$AM$244,ROW()-12,FALSE)="","",HLOOKUP(F$13,'MP (nominal)'!$D$12:$AM$244,ROW()-12,FALSE))</f>
        <v>562.75279999999998</v>
      </c>
      <c r="G51" s="281">
        <f>IF(HLOOKUP(G$13,'MP (nominal)'!$D$12:$AM$244,ROW()-12,FALSE)="","",HLOOKUP(G$13,'MP (nominal)'!$D$12:$AM$244,ROW()-12,FALSE))</f>
        <v>3</v>
      </c>
      <c r="H51" s="27">
        <f>IF(HLOOKUP(H$13,'MP (nominal)'!$D$12:$AM$244,ROW()-12,FALSE)="","",HLOOKUP(H$13,'MP (nominal)'!$D$12:$AM$244,ROW()-12,FALSE))</f>
        <v>3009.0077000000001</v>
      </c>
      <c r="I51" s="31">
        <f>IF(HLOOKUP(I$13,'MP (nominal)'!$D$12:$AM$244,ROW()-12,FALSE)="","",HLOOKUP(I$13,'MP (nominal)'!$D$12:$AM$244,ROW()-12,FALSE))</f>
        <v>3</v>
      </c>
      <c r="J51" s="31">
        <f>IF(HLOOKUP(J$13,'MP (nominal)'!$D$12:$AM$244,ROW()-12,FALSE)="","",HLOOKUP(J$13,'MP (nominal)'!$D$12:$AM$244,ROW()-12,FALSE))</f>
        <v>2446.2548999999999</v>
      </c>
      <c r="K51" s="281"/>
      <c r="L51" s="27">
        <f>IF(HLOOKUP(L$13,'MP (nominal)'!$D$12:$AM$244,ROW()-12,FALSE)="","",HLOOKUP(L$13,'MP (nominal)'!$D$12:$AM$244,ROW()-12,FALSE))</f>
        <v>94.09</v>
      </c>
      <c r="M51" s="283">
        <f>IF(HLOOKUP(M$13,'MP (nominal)'!$D$12:$AM$244,ROW()-12,FALSE)="","",HLOOKUP(M$13,'MP (nominal)'!$D$12:$AM$244,ROW()-12,FALSE))</f>
        <v>472.77141</v>
      </c>
      <c r="N51" s="35"/>
      <c r="O51" s="27">
        <f>IF(HLOOKUP(O$13,'MP (nominal)'!$D$12:$AM$244,ROW()-12,FALSE)="","",HLOOKUP(O$13,'MP (nominal)'!$D$12:$AM$244,ROW()-12,FALSE))</f>
        <v>35970</v>
      </c>
      <c r="P51" s="31"/>
      <c r="Q51" s="281"/>
      <c r="R51" s="281">
        <f>IF(HLOOKUP(R$13,'MP (nominal)'!$D$12:$AM$244,ROW()-12,FALSE)="","",HLOOKUP(R$13,'MP (nominal)'!$D$12:$AM$244,ROW()-12,FALSE))</f>
        <v>171.6781</v>
      </c>
      <c r="S51" s="281">
        <f>IF(HLOOKUP(S$13,'MP (nominal)'!$D$12:$AM$244,ROW()-12,FALSE)="","",HLOOKUP(S$13,'MP (nominal)'!$D$12:$AM$244,ROW()-12,FALSE))</f>
        <v>26.985524999999999</v>
      </c>
      <c r="T51" s="281">
        <f>IF(HLOOKUP(T$13,'MP (nominal)'!$D$12:$AM$244,ROW()-12,FALSE)="","",HLOOKUP(T$13,'MP (nominal)'!$D$12:$AM$244,ROW()-12,FALSE))</f>
        <v>144.69257999999999</v>
      </c>
      <c r="U51" s="281"/>
      <c r="V51" s="281">
        <f>IF(HLOOKUP(V$13,'MP (nominal)'!$D$12:$AM$244,ROW()-12,FALSE)="","",HLOOKUP(V$13,'MP (nominal)'!$D$12:$AM$244,ROW()-12,FALSE))</f>
        <v>3.6193339999999998</v>
      </c>
      <c r="W51" s="281">
        <f>IF(HLOOKUP(W$13,'MP (nominal)'!$D$12:$AM$244,ROW()-12,FALSE)="","",HLOOKUP(W$13,'MP (nominal)'!$D$12:$AM$244,ROW()-12,FALSE))</f>
        <v>0.1502916</v>
      </c>
      <c r="X51" s="281">
        <f>IF(HLOOKUP(X$13,'MP (nominal)'!$D$12:$AM$244,ROW()-12,FALSE)="","",HLOOKUP(X$13,'MP (nominal)'!$D$12:$AM$244,ROW()-12,FALSE))</f>
        <v>3.4690424000000002</v>
      </c>
      <c r="Y51" s="281"/>
      <c r="Z51" s="281">
        <f>IF(HLOOKUP(Z$13,'MP (nominal)'!$D$12:$AM$244,ROW()-12,FALSE)="","",HLOOKUP(Z$13,'MP (nominal)'!$D$12:$AM$244,ROW()-12,FALSE)*VLOOKUP($C51,CPI!$B$9:$I$63,8))</f>
        <v>14016.353078454247</v>
      </c>
      <c r="AA51" s="281">
        <f>IF(HLOOKUP(AA$13,'MP (nominal)'!$D$12:$AM$244,ROW()-12,FALSE)="","",HLOOKUP(AA$13,'MP (nominal)'!$D$12:$AM$244,ROW()-12,FALSE))</f>
        <v>214017.72</v>
      </c>
      <c r="AB51" s="281">
        <f>IF(HLOOKUP(AB$13,'MP (nominal)'!$D$12:$AM$244,ROW()-12,FALSE)="","",HLOOKUP(AB$13,'MP (nominal)'!$D$12:$AM$244,ROW()-12,FALSE))</f>
        <v>28467</v>
      </c>
      <c r="AC51" s="281"/>
      <c r="AD51" s="281">
        <f>IF(HLOOKUP(AD$13,'MP (nominal)'!$D$12:$AM$244,ROW()-12,FALSE)="","",HLOOKUP(AD$13,'MP (nominal)'!$D$12:$AM$244,ROW()-12,FALSE)*VLOOKUP($C51,CPI!$B$9:$I$63,8))</f>
        <v>6663.5291372091406</v>
      </c>
      <c r="AE51" s="31">
        <f>IF(HLOOKUP(AE$13,'MP (nominal)'!$D$12:$AM$244,ROW()-12,FALSE)="","",HLOOKUP(AE$13,'MP (nominal)'!$D$12:$AM$244,ROW()-12,FALSE))</f>
        <v>90481.436000000002</v>
      </c>
      <c r="AF51" s="31">
        <f>IF(HLOOKUP(AF$13,'MP (nominal)'!$D$12:$AM$244,ROW()-12,FALSE)="","",HLOOKUP(AF$13,'MP (nominal)'!$D$12:$AM$244,ROW()-12,FALSE))</f>
        <v>6976</v>
      </c>
      <c r="AG51" s="281"/>
      <c r="AH51" s="281">
        <f>IF(HLOOKUP(AH$13,'MP (nominal)'!$D$12:$AM$244,ROW()-12,FALSE)="","",HLOOKUP(AH$13,'MP (nominal)'!$D$12:$AM$244,ROW()-12,FALSE)*VLOOKUP($C51,CPI!$B$9:$I$63,8))</f>
        <v>7096.4145789004024</v>
      </c>
      <c r="AI51" s="31">
        <f>IF(HLOOKUP(AI$13,'MP (nominal)'!$D$12:$AM$244,ROW()-12,FALSE)="","",HLOOKUP(AI$13,'MP (nominal)'!$D$12:$AM$244,ROW()-12,FALSE))</f>
        <v>117778.9</v>
      </c>
      <c r="AJ51" s="31">
        <f>IF(HLOOKUP(AJ$13,'MP (nominal)'!$D$12:$AM$244,ROW()-12,FALSE)="","",HLOOKUP(AJ$13,'MP (nominal)'!$D$12:$AM$244,ROW()-12,FALSE))</f>
        <v>522</v>
      </c>
      <c r="AK51" s="281"/>
      <c r="AL51" s="281">
        <f>IF(HLOOKUP(AL$13,'MP (nominal)'!$D$12:$AM$244,ROW()-12,FALSE)="","",HLOOKUP(AL$13,'MP (nominal)'!$D$12:$AM$244,ROW()-12,FALSE)*VLOOKUP($C51,CPI!$B$9:$I$63,8))</f>
        <v>1699.3608346489116</v>
      </c>
      <c r="AM51" s="31">
        <f>IF(HLOOKUP(AM$13,'MP (nominal)'!$D$12:$AM$244,ROW()-12,FALSE)="","",HLOOKUP(AM$13,'MP (nominal)'!$D$12:$AM$244,ROW()-12,FALSE))</f>
        <v>50493.358</v>
      </c>
      <c r="AN51" s="31">
        <f>IF(HLOOKUP(AN$13,'MP (nominal)'!$D$12:$AM$244,ROW()-12,FALSE)="","",HLOOKUP(AN$13,'MP (nominal)'!$D$12:$AM$244,ROW()-12,FALSE))</f>
        <v>5</v>
      </c>
      <c r="AO51" s="281"/>
      <c r="AP51" s="281">
        <f>IF(HLOOKUP(AP$13,'MP (nominal)'!$D$12:$AM$244,ROW()-12,FALSE)="","",HLOOKUP(AP$13,'MP (nominal)'!$D$12:$AM$244,ROW()-12,FALSE)*VLOOKUP($C51,CPI!$B$9:$I$63,8))</f>
        <v>29475.657629212703</v>
      </c>
      <c r="AQ51" s="31">
        <f>IF(HLOOKUP(AQ$13,'MP (nominal)'!$D$12:$AM$244,ROW()-12,FALSE)="","",HLOOKUP(AQ$13,'MP (nominal)'!$D$12:$AM$244,ROW()-12,FALSE))</f>
        <v>472771.41</v>
      </c>
      <c r="AR51" s="281">
        <f>IF(HLOOKUP(AR$13,'MP (nominal)'!$D$12:$AM$244,ROW()-12,FALSE)="","",HLOOKUP(AR$13,'MP (nominal)'!$D$12:$AM$244,ROW()-12,FALSE))</f>
        <v>35970</v>
      </c>
    </row>
    <row r="52" spans="1:44" s="278" customFormat="1">
      <c r="A52" s="271">
        <f>References!I262</f>
        <v>99</v>
      </c>
      <c r="B52" s="292" t="s">
        <v>33</v>
      </c>
      <c r="C52" s="284">
        <v>2010</v>
      </c>
      <c r="D52" s="27">
        <f>IF(HLOOKUP(D$13,'MP (nominal)'!$D$12:$AM$244,ROW()-12,FALSE)="","",HLOOKUP(D$13,'MP (nominal)'!$D$12:$AM$244,ROW()-12,FALSE))</f>
        <v>2438.3126999999999</v>
      </c>
      <c r="E52" s="281">
        <f>IF(HLOOKUP(E$13,'MP (nominal)'!$D$12:$AM$244,ROW()-12,FALSE)="","",HLOOKUP(E$13,'MP (nominal)'!$D$12:$AM$244,ROW()-12,FALSE))</f>
        <v>0</v>
      </c>
      <c r="F52" s="27">
        <f>IF(HLOOKUP(F$13,'MP (nominal)'!$D$12:$AM$244,ROW()-12,FALSE)="","",HLOOKUP(F$13,'MP (nominal)'!$D$12:$AM$244,ROW()-12,FALSE))</f>
        <v>584.17917999999997</v>
      </c>
      <c r="G52" s="281">
        <f>IF(HLOOKUP(G$13,'MP (nominal)'!$D$12:$AM$244,ROW()-12,FALSE)="","",HLOOKUP(G$13,'MP (nominal)'!$D$12:$AM$244,ROW()-12,FALSE))</f>
        <v>3.8672895</v>
      </c>
      <c r="H52" s="27">
        <f>IF(HLOOKUP(H$13,'MP (nominal)'!$D$12:$AM$244,ROW()-12,FALSE)="","",HLOOKUP(H$13,'MP (nominal)'!$D$12:$AM$244,ROW()-12,FALSE))</f>
        <v>3022.4917999999998</v>
      </c>
      <c r="I52" s="31">
        <f>IF(HLOOKUP(I$13,'MP (nominal)'!$D$12:$AM$244,ROW()-12,FALSE)="","",HLOOKUP(I$13,'MP (nominal)'!$D$12:$AM$244,ROW()-12,FALSE))</f>
        <v>3.8672895</v>
      </c>
      <c r="J52" s="31">
        <f>IF(HLOOKUP(J$13,'MP (nominal)'!$D$12:$AM$244,ROW()-12,FALSE)="","",HLOOKUP(J$13,'MP (nominal)'!$D$12:$AM$244,ROW()-12,FALSE))</f>
        <v>2438.3126999999999</v>
      </c>
      <c r="K52" s="281"/>
      <c r="L52" s="27">
        <f>IF(HLOOKUP(L$13,'MP (nominal)'!$D$12:$AM$244,ROW()-12,FALSE)="","",HLOOKUP(L$13,'MP (nominal)'!$D$12:$AM$244,ROW()-12,FALSE))</f>
        <v>96.197999999999993</v>
      </c>
      <c r="M52" s="283">
        <f>IF(HLOOKUP(M$13,'MP (nominal)'!$D$12:$AM$244,ROW()-12,FALSE)="","",HLOOKUP(M$13,'MP (nominal)'!$D$12:$AM$244,ROW()-12,FALSE))</f>
        <v>476.07069000000001</v>
      </c>
      <c r="N52" s="35"/>
      <c r="O52" s="27">
        <f>IF(HLOOKUP(O$13,'MP (nominal)'!$D$12:$AM$244,ROW()-12,FALSE)="","",HLOOKUP(O$13,'MP (nominal)'!$D$12:$AM$244,ROW()-12,FALSE))</f>
        <v>36447</v>
      </c>
      <c r="P52" s="31"/>
      <c r="Q52" s="281"/>
      <c r="R52" s="281">
        <f>IF(HLOOKUP(R$13,'MP (nominal)'!$D$12:$AM$244,ROW()-12,FALSE)="","",HLOOKUP(R$13,'MP (nominal)'!$D$12:$AM$244,ROW()-12,FALSE))</f>
        <v>98.101715999999996</v>
      </c>
      <c r="S52" s="281">
        <f>IF(HLOOKUP(S$13,'MP (nominal)'!$D$12:$AM$244,ROW()-12,FALSE)="","",HLOOKUP(S$13,'MP (nominal)'!$D$12:$AM$244,ROW()-12,FALSE))</f>
        <v>12.599334000000001</v>
      </c>
      <c r="T52" s="281">
        <f>IF(HLOOKUP(T$13,'MP (nominal)'!$D$12:$AM$244,ROW()-12,FALSE)="","",HLOOKUP(T$13,'MP (nominal)'!$D$12:$AM$244,ROW()-12,FALSE))</f>
        <v>65.694961000000006</v>
      </c>
      <c r="U52" s="281"/>
      <c r="V52" s="281">
        <f>IF(HLOOKUP(V$13,'MP (nominal)'!$D$12:$AM$244,ROW()-12,FALSE)="","",HLOOKUP(V$13,'MP (nominal)'!$D$12:$AM$244,ROW()-12,FALSE))</f>
        <v>2.3148430000000002</v>
      </c>
      <c r="W52" s="281">
        <f>IF(HLOOKUP(W$13,'MP (nominal)'!$D$12:$AM$244,ROW()-12,FALSE)="","",HLOOKUP(W$13,'MP (nominal)'!$D$12:$AM$244,ROW()-12,FALSE))</f>
        <v>0.11734799999999999</v>
      </c>
      <c r="X52" s="281">
        <f>IF(HLOOKUP(X$13,'MP (nominal)'!$D$12:$AM$244,ROW()-12,FALSE)="","",HLOOKUP(X$13,'MP (nominal)'!$D$12:$AM$244,ROW()-12,FALSE))</f>
        <v>1.9973211</v>
      </c>
      <c r="Y52" s="281"/>
      <c r="Z52" s="281">
        <f>IF(HLOOKUP(Z$13,'MP (nominal)'!$D$12:$AM$244,ROW()-12,FALSE)="","",HLOOKUP(Z$13,'MP (nominal)'!$D$12:$AM$244,ROW()-12,FALSE)*VLOOKUP($C52,CPI!$B$9:$I$63,8))</f>
        <v>15692.36241410902</v>
      </c>
      <c r="AA52" s="281">
        <f>IF(HLOOKUP(AA$13,'MP (nominal)'!$D$12:$AM$244,ROW()-12,FALSE)="","",HLOOKUP(AA$13,'MP (nominal)'!$D$12:$AM$244,ROW()-12,FALSE))</f>
        <v>227438.92</v>
      </c>
      <c r="AB52" s="281">
        <f>IF(HLOOKUP(AB$13,'MP (nominal)'!$D$12:$AM$244,ROW()-12,FALSE)="","",HLOOKUP(AB$13,'MP (nominal)'!$D$12:$AM$244,ROW()-12,FALSE))</f>
        <v>28902</v>
      </c>
      <c r="AC52" s="281"/>
      <c r="AD52" s="281">
        <f>IF(HLOOKUP(AD$13,'MP (nominal)'!$D$12:$AM$244,ROW()-12,FALSE)="","",HLOOKUP(AD$13,'MP (nominal)'!$D$12:$AM$244,ROW()-12,FALSE)*VLOOKUP($C52,CPI!$B$9:$I$63,8))</f>
        <v>6961.2240512785957</v>
      </c>
      <c r="AE52" s="31">
        <f>IF(HLOOKUP(AE$13,'MP (nominal)'!$D$12:$AM$244,ROW()-12,FALSE)="","",HLOOKUP(AE$13,'MP (nominal)'!$D$12:$AM$244,ROW()-12,FALSE))</f>
        <v>91672.691999999995</v>
      </c>
      <c r="AF52" s="31">
        <f>IF(HLOOKUP(AF$13,'MP (nominal)'!$D$12:$AM$244,ROW()-12,FALSE)="","",HLOOKUP(AF$13,'MP (nominal)'!$D$12:$AM$244,ROW()-12,FALSE))</f>
        <v>7025</v>
      </c>
      <c r="AG52" s="281"/>
      <c r="AH52" s="281">
        <f>IF(HLOOKUP(AH$13,'MP (nominal)'!$D$12:$AM$244,ROW()-12,FALSE)="","",HLOOKUP(AH$13,'MP (nominal)'!$D$12:$AM$244,ROW()-12,FALSE)*VLOOKUP($C52,CPI!$B$9:$I$63,8))</f>
        <v>5993.7043474172078</v>
      </c>
      <c r="AI52" s="31">
        <f>IF(HLOOKUP(AI$13,'MP (nominal)'!$D$12:$AM$244,ROW()-12,FALSE)="","",HLOOKUP(AI$13,'MP (nominal)'!$D$12:$AM$244,ROW()-12,FALSE))</f>
        <v>110827.69</v>
      </c>
      <c r="AJ52" s="31">
        <f>IF(HLOOKUP(AJ$13,'MP (nominal)'!$D$12:$AM$244,ROW()-12,FALSE)="","",HLOOKUP(AJ$13,'MP (nominal)'!$D$12:$AM$244,ROW()-12,FALSE))</f>
        <v>515</v>
      </c>
      <c r="AK52" s="281"/>
      <c r="AL52" s="281">
        <f>IF(HLOOKUP(AL$13,'MP (nominal)'!$D$12:$AM$244,ROW()-12,FALSE)="","",HLOOKUP(AL$13,'MP (nominal)'!$D$12:$AM$244,ROW()-12,FALSE)*VLOOKUP($C52,CPI!$B$9:$I$63,8))</f>
        <v>1543.5873662256472</v>
      </c>
      <c r="AM52" s="31">
        <f>IF(HLOOKUP(AM$13,'MP (nominal)'!$D$12:$AM$244,ROW()-12,FALSE)="","",HLOOKUP(AM$13,'MP (nominal)'!$D$12:$AM$244,ROW()-12,FALSE))</f>
        <v>46131.385999999999</v>
      </c>
      <c r="AN52" s="31">
        <f>IF(HLOOKUP(AN$13,'MP (nominal)'!$D$12:$AM$244,ROW()-12,FALSE)="","",HLOOKUP(AN$13,'MP (nominal)'!$D$12:$AM$244,ROW()-12,FALSE))</f>
        <v>5</v>
      </c>
      <c r="AO52" s="281"/>
      <c r="AP52" s="281">
        <f>IF(HLOOKUP(AP$13,'MP (nominal)'!$D$12:$AM$244,ROW()-12,FALSE)="","",HLOOKUP(AP$13,'MP (nominal)'!$D$12:$AM$244,ROW()-12,FALSE)*VLOOKUP($C52,CPI!$B$9:$I$63,8))</f>
        <v>30190.877975263396</v>
      </c>
      <c r="AQ52" s="31">
        <f>IF(HLOOKUP(AQ$13,'MP (nominal)'!$D$12:$AM$244,ROW()-12,FALSE)="","",HLOOKUP(AQ$13,'MP (nominal)'!$D$12:$AM$244,ROW()-12,FALSE))</f>
        <v>476070.69</v>
      </c>
      <c r="AR52" s="281">
        <f>IF(HLOOKUP(AR$13,'MP (nominal)'!$D$12:$AM$244,ROW()-12,FALSE)="","",HLOOKUP(AR$13,'MP (nominal)'!$D$12:$AM$244,ROW()-12,FALSE))</f>
        <v>36447</v>
      </c>
    </row>
    <row r="53" spans="1:44" s="278" customFormat="1">
      <c r="A53" s="271">
        <f>References!J262</f>
        <v>100</v>
      </c>
      <c r="B53" s="292" t="s">
        <v>33</v>
      </c>
      <c r="C53" s="284">
        <v>2011</v>
      </c>
      <c r="D53" s="27">
        <f>IF(HLOOKUP(D$13,'MP (nominal)'!$D$12:$AM$244,ROW()-12,FALSE)="","",HLOOKUP(D$13,'MP (nominal)'!$D$12:$AM$244,ROW()-12,FALSE))</f>
        <v>2419.5509999999999</v>
      </c>
      <c r="E53" s="281">
        <f>IF(HLOOKUP(E$13,'MP (nominal)'!$D$12:$AM$244,ROW()-12,FALSE)="","",HLOOKUP(E$13,'MP (nominal)'!$D$12:$AM$244,ROW()-12,FALSE))</f>
        <v>0</v>
      </c>
      <c r="F53" s="27">
        <f>IF(HLOOKUP(F$13,'MP (nominal)'!$D$12:$AM$244,ROW()-12,FALSE)="","",HLOOKUP(F$13,'MP (nominal)'!$D$12:$AM$244,ROW()-12,FALSE))</f>
        <v>613.26693999999998</v>
      </c>
      <c r="G53" s="281">
        <f>IF(HLOOKUP(G$13,'MP (nominal)'!$D$12:$AM$244,ROW()-12,FALSE)="","",HLOOKUP(G$13,'MP (nominal)'!$D$12:$AM$244,ROW()-12,FALSE))</f>
        <v>4.8540000000000001</v>
      </c>
      <c r="H53" s="27">
        <f>IF(HLOOKUP(H$13,'MP (nominal)'!$D$12:$AM$244,ROW()-12,FALSE)="","",HLOOKUP(H$13,'MP (nominal)'!$D$12:$AM$244,ROW()-12,FALSE))</f>
        <v>3032.8179</v>
      </c>
      <c r="I53" s="31">
        <f>IF(HLOOKUP(I$13,'MP (nominal)'!$D$12:$AM$244,ROW()-12,FALSE)="","",HLOOKUP(I$13,'MP (nominal)'!$D$12:$AM$244,ROW()-12,FALSE))</f>
        <v>4.8540000000000001</v>
      </c>
      <c r="J53" s="31">
        <f>IF(HLOOKUP(J$13,'MP (nominal)'!$D$12:$AM$244,ROW()-12,FALSE)="","",HLOOKUP(J$13,'MP (nominal)'!$D$12:$AM$244,ROW()-12,FALSE))</f>
        <v>2419.5509999999999</v>
      </c>
      <c r="K53" s="281"/>
      <c r="L53" s="27">
        <f>IF(HLOOKUP(L$13,'MP (nominal)'!$D$12:$AM$244,ROW()-12,FALSE)="","",HLOOKUP(L$13,'MP (nominal)'!$D$12:$AM$244,ROW()-12,FALSE))</f>
        <v>98.867999999999995</v>
      </c>
      <c r="M53" s="283">
        <f>IF(HLOOKUP(M$13,'MP (nominal)'!$D$12:$AM$244,ROW()-12,FALSE)="","",HLOOKUP(M$13,'MP (nominal)'!$D$12:$AM$244,ROW()-12,FALSE))</f>
        <v>485.46920999999998</v>
      </c>
      <c r="N53" s="35"/>
      <c r="O53" s="27">
        <f>IF(HLOOKUP(O$13,'MP (nominal)'!$D$12:$AM$244,ROW()-12,FALSE)="","",HLOOKUP(O$13,'MP (nominal)'!$D$12:$AM$244,ROW()-12,FALSE))</f>
        <v>36859</v>
      </c>
      <c r="P53" s="31"/>
      <c r="Q53" s="281"/>
      <c r="R53" s="281">
        <f>IF(HLOOKUP(R$13,'MP (nominal)'!$D$12:$AM$244,ROW()-12,FALSE)="","",HLOOKUP(R$13,'MP (nominal)'!$D$12:$AM$244,ROW()-12,FALSE))</f>
        <v>138.17529999999999</v>
      </c>
      <c r="S53" s="281">
        <f>IF(HLOOKUP(S$13,'MP (nominal)'!$D$12:$AM$244,ROW()-12,FALSE)="","",HLOOKUP(S$13,'MP (nominal)'!$D$12:$AM$244,ROW()-12,FALSE))</f>
        <v>17.946400000000001</v>
      </c>
      <c r="T53" s="281">
        <f>IF(HLOOKUP(T$13,'MP (nominal)'!$D$12:$AM$244,ROW()-12,FALSE)="","",HLOOKUP(T$13,'MP (nominal)'!$D$12:$AM$244,ROW()-12,FALSE))</f>
        <v>120.2289</v>
      </c>
      <c r="U53" s="281"/>
      <c r="V53" s="281">
        <f>IF(HLOOKUP(V$13,'MP (nominal)'!$D$12:$AM$244,ROW()-12,FALSE)="","",HLOOKUP(V$13,'MP (nominal)'!$D$12:$AM$244,ROW()-12,FALSE))</f>
        <v>2.9518</v>
      </c>
      <c r="W53" s="281">
        <f>IF(HLOOKUP(W$13,'MP (nominal)'!$D$12:$AM$244,ROW()-12,FALSE)="","",HLOOKUP(W$13,'MP (nominal)'!$D$12:$AM$244,ROW()-12,FALSE))</f>
        <v>0.1077</v>
      </c>
      <c r="X53" s="281">
        <f>IF(HLOOKUP(X$13,'MP (nominal)'!$D$12:$AM$244,ROW()-12,FALSE)="","",HLOOKUP(X$13,'MP (nominal)'!$D$12:$AM$244,ROW()-12,FALSE))</f>
        <v>2.8441000000000001</v>
      </c>
      <c r="Y53" s="281"/>
      <c r="Z53" s="281">
        <f>IF(HLOOKUP(Z$13,'MP (nominal)'!$D$12:$AM$244,ROW()-12,FALSE)="","",HLOOKUP(Z$13,'MP (nominal)'!$D$12:$AM$244,ROW()-12,FALSE)*VLOOKUP($C53,CPI!$B$9:$I$63,8))</f>
        <v>15033.242</v>
      </c>
      <c r="AA53" s="281">
        <f>IF(HLOOKUP(AA$13,'MP (nominal)'!$D$12:$AM$244,ROW()-12,FALSE)="","",HLOOKUP(AA$13,'MP (nominal)'!$D$12:$AM$244,ROW()-12,FALSE))</f>
        <v>222496.04</v>
      </c>
      <c r="AB53" s="281">
        <f>IF(HLOOKUP(AB$13,'MP (nominal)'!$D$12:$AM$244,ROW()-12,FALSE)="","",HLOOKUP(AB$13,'MP (nominal)'!$D$12:$AM$244,ROW()-12,FALSE))</f>
        <v>29222</v>
      </c>
      <c r="AC53" s="281"/>
      <c r="AD53" s="281">
        <f>IF(HLOOKUP(AD$13,'MP (nominal)'!$D$12:$AM$244,ROW()-12,FALSE)="","",HLOOKUP(AD$13,'MP (nominal)'!$D$12:$AM$244,ROW()-12,FALSE)*VLOOKUP($C53,CPI!$B$9:$I$63,8))</f>
        <v>6847.2689</v>
      </c>
      <c r="AE53" s="31">
        <f>IF(HLOOKUP(AE$13,'MP (nominal)'!$D$12:$AM$244,ROW()-12,FALSE)="","",HLOOKUP(AE$13,'MP (nominal)'!$D$12:$AM$244,ROW()-12,FALSE))</f>
        <v>93473.729000000007</v>
      </c>
      <c r="AF53" s="31">
        <f>IF(HLOOKUP(AF$13,'MP (nominal)'!$D$12:$AM$244,ROW()-12,FALSE)="","",HLOOKUP(AF$13,'MP (nominal)'!$D$12:$AM$244,ROW()-12,FALSE))</f>
        <v>7125</v>
      </c>
      <c r="AG53" s="281"/>
      <c r="AH53" s="281">
        <f>IF(HLOOKUP(AH$13,'MP (nominal)'!$D$12:$AM$244,ROW()-12,FALSE)="","",HLOOKUP(AH$13,'MP (nominal)'!$D$12:$AM$244,ROW()-12,FALSE)*VLOOKUP($C53,CPI!$B$9:$I$63,8))</f>
        <v>6334.9359000000004</v>
      </c>
      <c r="AI53" s="31">
        <f>IF(HLOOKUP(AI$13,'MP (nominal)'!$D$12:$AM$244,ROW()-12,FALSE)="","",HLOOKUP(AI$13,'MP (nominal)'!$D$12:$AM$244,ROW()-12,FALSE))</f>
        <v>119926.72</v>
      </c>
      <c r="AJ53" s="31">
        <f>IF(HLOOKUP(AJ$13,'MP (nominal)'!$D$12:$AM$244,ROW()-12,FALSE)="","",HLOOKUP(AJ$13,'MP (nominal)'!$D$12:$AM$244,ROW()-12,FALSE))</f>
        <v>507</v>
      </c>
      <c r="AK53" s="281"/>
      <c r="AL53" s="281">
        <f>IF(HLOOKUP(AL$13,'MP (nominal)'!$D$12:$AM$244,ROW()-12,FALSE)="","",HLOOKUP(AL$13,'MP (nominal)'!$D$12:$AM$244,ROW()-12,FALSE)*VLOOKUP($C53,CPI!$B$9:$I$63,8))</f>
        <v>1650.3175000000001</v>
      </c>
      <c r="AM53" s="31">
        <f>IF(HLOOKUP(AM$13,'MP (nominal)'!$D$12:$AM$244,ROW()-12,FALSE)="","",HLOOKUP(AM$13,'MP (nominal)'!$D$12:$AM$244,ROW()-12,FALSE))</f>
        <v>49572.714</v>
      </c>
      <c r="AN53" s="31">
        <f>IF(HLOOKUP(AN$13,'MP (nominal)'!$D$12:$AM$244,ROW()-12,FALSE)="","",HLOOKUP(AN$13,'MP (nominal)'!$D$12:$AM$244,ROW()-12,FALSE))</f>
        <v>5</v>
      </c>
      <c r="AO53" s="281"/>
      <c r="AP53" s="281">
        <f>IF(HLOOKUP(AP$13,'MP (nominal)'!$D$12:$AM$244,ROW()-12,FALSE)="","",HLOOKUP(AP$13,'MP (nominal)'!$D$12:$AM$244,ROW()-12,FALSE)*VLOOKUP($C53,CPI!$B$9:$I$63,8))</f>
        <v>29865.763999999999</v>
      </c>
      <c r="AQ53" s="31">
        <f>IF(HLOOKUP(AQ$13,'MP (nominal)'!$D$12:$AM$244,ROW()-12,FALSE)="","",HLOOKUP(AQ$13,'MP (nominal)'!$D$12:$AM$244,ROW()-12,FALSE))</f>
        <v>485469.21</v>
      </c>
      <c r="AR53" s="281">
        <f>IF(HLOOKUP(AR$13,'MP (nominal)'!$D$12:$AM$244,ROW()-12,FALSE)="","",HLOOKUP(AR$13,'MP (nominal)'!$D$12:$AM$244,ROW()-12,FALSE))</f>
        <v>36859</v>
      </c>
    </row>
    <row r="54" spans="1:44" s="278" customFormat="1" hidden="1">
      <c r="A54" s="271">
        <f>References!C263</f>
        <v>116</v>
      </c>
      <c r="B54" s="292" t="s">
        <v>34</v>
      </c>
      <c r="C54" s="284">
        <v>2004</v>
      </c>
      <c r="D54" s="27" t="str">
        <f>IF(HLOOKUP(D$13,'MP (nominal)'!$D$12:$AM$244,ROW()-12,FALSE)="","",HLOOKUP(D$13,'MP (nominal)'!$D$12:$AM$244,ROW()-12,FALSE))</f>
        <v/>
      </c>
      <c r="E54" s="281" t="str">
        <f>IF(HLOOKUP(E$13,'MP (nominal)'!$D$12:$AM$244,ROW()-12,FALSE)="","",HLOOKUP(E$13,'MP (nominal)'!$D$12:$AM$244,ROW()-12,FALSE))</f>
        <v/>
      </c>
      <c r="F54" s="27">
        <f>IF(HLOOKUP(F$13,'MP (nominal)'!$D$12:$AM$244,ROW()-12,FALSE)="","",HLOOKUP(F$13,'MP (nominal)'!$D$12:$AM$244,ROW()-12,FALSE))</f>
        <v>309.64999999999998</v>
      </c>
      <c r="G54" s="281" t="str">
        <f>IF(HLOOKUP(G$13,'MP (nominal)'!$D$12:$AM$244,ROW()-12,FALSE)="","",HLOOKUP(G$13,'MP (nominal)'!$D$12:$AM$244,ROW()-12,FALSE))</f>
        <v/>
      </c>
      <c r="H54" s="27">
        <f>IF(HLOOKUP(H$13,'MP (nominal)'!$D$12:$AM$244,ROW()-12,FALSE)="","",HLOOKUP(H$13,'MP (nominal)'!$D$12:$AM$244,ROW()-12,FALSE))</f>
        <v>3629.3</v>
      </c>
      <c r="I54" s="31" t="str">
        <f>IF(HLOOKUP(I$13,'MP (nominal)'!$D$12:$AM$244,ROW()-12,FALSE)="","",HLOOKUP(I$13,'MP (nominal)'!$D$12:$AM$244,ROW()-12,FALSE))</f>
        <v/>
      </c>
      <c r="J54" s="31">
        <f>IF(HLOOKUP(J$13,'MP (nominal)'!$D$12:$AM$244,ROW()-12,FALSE)="","",HLOOKUP(J$13,'MP (nominal)'!$D$12:$AM$244,ROW()-12,FALSE))</f>
        <v>3319.65</v>
      </c>
      <c r="K54" s="281"/>
      <c r="L54" s="27">
        <f>IF(HLOOKUP(L$13,'MP (nominal)'!$D$12:$AM$244,ROW()-12,FALSE)="","",HLOOKUP(L$13,'MP (nominal)'!$D$12:$AM$244,ROW()-12,FALSE))</f>
        <v>53.847000000000001</v>
      </c>
      <c r="M54" s="293">
        <f>IF(HLOOKUP(M$13,'MP (nominal)'!$D$12:$AM$244,ROW()-12,FALSE)="","",HLOOKUP(M$13,'MP (nominal)'!$D$12:$AM$244,ROW()-12,FALSE))</f>
        <v>273.98978299999999</v>
      </c>
      <c r="N54" s="35"/>
      <c r="O54" s="27">
        <f>IF(HLOOKUP(O$13,'MP (nominal)'!$D$12:$AM$244,ROW()-12,FALSE)="","",HLOOKUP(O$13,'MP (nominal)'!$D$12:$AM$244,ROW()-12,FALSE))</f>
        <v>24876</v>
      </c>
      <c r="P54" s="31"/>
      <c r="Q54" s="281"/>
      <c r="R54" s="281">
        <f>IF(HLOOKUP(R$13,'MP (nominal)'!$D$12:$AM$244,ROW()-12,FALSE)="","",HLOOKUP(R$13,'MP (nominal)'!$D$12:$AM$244,ROW()-12,FALSE))</f>
        <v>356.32</v>
      </c>
      <c r="S54" s="281" t="str">
        <f>IF(HLOOKUP(S$13,'MP (nominal)'!$D$12:$AM$244,ROW()-12,FALSE)="","",HLOOKUP(S$13,'MP (nominal)'!$D$12:$AM$244,ROW()-12,FALSE))</f>
        <v/>
      </c>
      <c r="T54" s="281" t="str">
        <f>IF(HLOOKUP(T$13,'MP (nominal)'!$D$12:$AM$244,ROW()-12,FALSE)="","",HLOOKUP(T$13,'MP (nominal)'!$D$12:$AM$244,ROW()-12,FALSE))</f>
        <v/>
      </c>
      <c r="U54" s="281"/>
      <c r="V54" s="281">
        <f>IF(HLOOKUP(V$13,'MP (nominal)'!$D$12:$AM$244,ROW()-12,FALSE)="","",HLOOKUP(V$13,'MP (nominal)'!$D$12:$AM$244,ROW()-12,FALSE))</f>
        <v>2.82</v>
      </c>
      <c r="W54" s="281" t="str">
        <f>IF(HLOOKUP(W$13,'MP (nominal)'!$D$12:$AM$244,ROW()-12,FALSE)="","",HLOOKUP(W$13,'MP (nominal)'!$D$12:$AM$244,ROW()-12,FALSE))</f>
        <v/>
      </c>
      <c r="X54" s="281" t="str">
        <f>IF(HLOOKUP(X$13,'MP (nominal)'!$D$12:$AM$244,ROW()-12,FALSE)="","",HLOOKUP(X$13,'MP (nominal)'!$D$12:$AM$244,ROW()-12,FALSE))</f>
        <v/>
      </c>
      <c r="Y54" s="281"/>
      <c r="Z54" s="281" t="str">
        <f>IF(HLOOKUP(Z$13,'MP (nominal)'!$D$12:$AM$244,ROW()-12,FALSE)="","",HLOOKUP(Z$13,'MP (nominal)'!$D$12:$AM$244,ROW()-12,FALSE)*VLOOKUP($C54,CPI!$B$9:$I$63,8))</f>
        <v/>
      </c>
      <c r="AA54" s="281" t="str">
        <f>IF(HLOOKUP(AA$13,'MP (nominal)'!$D$12:$AM$244,ROW()-12,FALSE)="","",HLOOKUP(AA$13,'MP (nominal)'!$D$12:$AM$244,ROW()-12,FALSE))</f>
        <v/>
      </c>
      <c r="AB54" s="281" t="str">
        <f>IF(HLOOKUP(AB$13,'MP (nominal)'!$D$12:$AM$244,ROW()-12,FALSE)="","",HLOOKUP(AB$13,'MP (nominal)'!$D$12:$AM$244,ROW()-12,FALSE))</f>
        <v/>
      </c>
      <c r="AC54" s="281"/>
      <c r="AD54" s="281" t="str">
        <f>IF(HLOOKUP(AD$13,'MP (nominal)'!$D$12:$AM$244,ROW()-12,FALSE)="","",HLOOKUP(AD$13,'MP (nominal)'!$D$12:$AM$244,ROW()-12,FALSE)*VLOOKUP($C54,CPI!$B$9:$I$63,8))</f>
        <v/>
      </c>
      <c r="AE54" s="31" t="str">
        <f>IF(HLOOKUP(AE$13,'MP (nominal)'!$D$12:$AM$244,ROW()-12,FALSE)="","",HLOOKUP(AE$13,'MP (nominal)'!$D$12:$AM$244,ROW()-12,FALSE))</f>
        <v/>
      </c>
      <c r="AF54" s="31" t="str">
        <f>IF(HLOOKUP(AF$13,'MP (nominal)'!$D$12:$AM$244,ROW()-12,FALSE)="","",HLOOKUP(AF$13,'MP (nominal)'!$D$12:$AM$244,ROW()-12,FALSE))</f>
        <v/>
      </c>
      <c r="AG54" s="281"/>
      <c r="AH54" s="281" t="str">
        <f>IF(HLOOKUP(AH$13,'MP (nominal)'!$D$12:$AM$244,ROW()-12,FALSE)="","",HLOOKUP(AH$13,'MP (nominal)'!$D$12:$AM$244,ROW()-12,FALSE)*VLOOKUP($C54,CPI!$B$9:$I$63,8))</f>
        <v/>
      </c>
      <c r="AI54" s="31" t="str">
        <f>IF(HLOOKUP(AI$13,'MP (nominal)'!$D$12:$AM$244,ROW()-12,FALSE)="","",HLOOKUP(AI$13,'MP (nominal)'!$D$12:$AM$244,ROW()-12,FALSE))</f>
        <v/>
      </c>
      <c r="AJ54" s="31" t="str">
        <f>IF(HLOOKUP(AJ$13,'MP (nominal)'!$D$12:$AM$244,ROW()-12,FALSE)="","",HLOOKUP(AJ$13,'MP (nominal)'!$D$12:$AM$244,ROW()-12,FALSE))</f>
        <v/>
      </c>
      <c r="AK54" s="281"/>
      <c r="AL54" s="281" t="str">
        <f>IF(HLOOKUP(AL$13,'MP (nominal)'!$D$12:$AM$244,ROW()-12,FALSE)="","",HLOOKUP(AL$13,'MP (nominal)'!$D$12:$AM$244,ROW()-12,FALSE)*VLOOKUP($C54,CPI!$B$9:$I$63,8))</f>
        <v/>
      </c>
      <c r="AM54" s="31" t="str">
        <f>IF(HLOOKUP(AM$13,'MP (nominal)'!$D$12:$AM$244,ROW()-12,FALSE)="","",HLOOKUP(AM$13,'MP (nominal)'!$D$12:$AM$244,ROW()-12,FALSE))</f>
        <v/>
      </c>
      <c r="AN54" s="31" t="str">
        <f>IF(HLOOKUP(AN$13,'MP (nominal)'!$D$12:$AM$244,ROW()-12,FALSE)="","",HLOOKUP(AN$13,'MP (nominal)'!$D$12:$AM$244,ROW()-12,FALSE))</f>
        <v/>
      </c>
      <c r="AO54" s="281"/>
      <c r="AP54" s="281" t="str">
        <f>IF(HLOOKUP(AP$13,'MP (nominal)'!$D$12:$AM$244,ROW()-12,FALSE)="","",HLOOKUP(AP$13,'MP (nominal)'!$D$12:$AM$244,ROW()-12,FALSE)*VLOOKUP($C54,CPI!$B$9:$I$63,8))</f>
        <v/>
      </c>
      <c r="AQ54" s="31" t="str">
        <f>IF(HLOOKUP(AQ$13,'MP (nominal)'!$D$12:$AM$244,ROW()-12,FALSE)="","",HLOOKUP(AQ$13,'MP (nominal)'!$D$12:$AM$244,ROW()-12,FALSE))</f>
        <v/>
      </c>
      <c r="AR54" s="281" t="str">
        <f>IF(HLOOKUP(AR$13,'MP (nominal)'!$D$12:$AM$244,ROW()-12,FALSE)="","",HLOOKUP(AR$13,'MP (nominal)'!$D$12:$AM$244,ROW()-12,FALSE))</f>
        <v/>
      </c>
    </row>
    <row r="55" spans="1:44" s="278" customFormat="1" hidden="1">
      <c r="A55" s="271">
        <f>References!D263</f>
        <v>117</v>
      </c>
      <c r="B55" s="292" t="s">
        <v>34</v>
      </c>
      <c r="C55" s="284">
        <v>2005</v>
      </c>
      <c r="D55" s="27" t="str">
        <f>IF(HLOOKUP(D$13,'MP (nominal)'!$D$12:$AM$244,ROW()-12,FALSE)="","",HLOOKUP(D$13,'MP (nominal)'!$D$12:$AM$244,ROW()-12,FALSE))</f>
        <v/>
      </c>
      <c r="E55" s="281" t="str">
        <f>IF(HLOOKUP(E$13,'MP (nominal)'!$D$12:$AM$244,ROW()-12,FALSE)="","",HLOOKUP(E$13,'MP (nominal)'!$D$12:$AM$244,ROW()-12,FALSE))</f>
        <v/>
      </c>
      <c r="F55" s="27">
        <f>IF(HLOOKUP(F$13,'MP (nominal)'!$D$12:$AM$244,ROW()-12,FALSE)="","",HLOOKUP(F$13,'MP (nominal)'!$D$12:$AM$244,ROW()-12,FALSE))</f>
        <v>321.58999999999997</v>
      </c>
      <c r="G55" s="281" t="str">
        <f>IF(HLOOKUP(G$13,'MP (nominal)'!$D$12:$AM$244,ROW()-12,FALSE)="","",HLOOKUP(G$13,'MP (nominal)'!$D$12:$AM$244,ROW()-12,FALSE))</f>
        <v/>
      </c>
      <c r="H55" s="27">
        <f>IF(HLOOKUP(H$13,'MP (nominal)'!$D$12:$AM$244,ROW()-12,FALSE)="","",HLOOKUP(H$13,'MP (nominal)'!$D$12:$AM$244,ROW()-12,FALSE))</f>
        <v>3671.8</v>
      </c>
      <c r="I55" s="31" t="str">
        <f>IF(HLOOKUP(I$13,'MP (nominal)'!$D$12:$AM$244,ROW()-12,FALSE)="","",HLOOKUP(I$13,'MP (nominal)'!$D$12:$AM$244,ROW()-12,FALSE))</f>
        <v/>
      </c>
      <c r="J55" s="31">
        <f>IF(HLOOKUP(J$13,'MP (nominal)'!$D$12:$AM$244,ROW()-12,FALSE)="","",HLOOKUP(J$13,'MP (nominal)'!$D$12:$AM$244,ROW()-12,FALSE))</f>
        <v>3350.21</v>
      </c>
      <c r="K55" s="281"/>
      <c r="L55" s="27">
        <f>IF(HLOOKUP(L$13,'MP (nominal)'!$D$12:$AM$244,ROW()-12,FALSE)="","",HLOOKUP(L$13,'MP (nominal)'!$D$12:$AM$244,ROW()-12,FALSE))</f>
        <v>55.698999999999998</v>
      </c>
      <c r="M55" s="293">
        <f>IF(HLOOKUP(M$13,'MP (nominal)'!$D$12:$AM$244,ROW()-12,FALSE)="","",HLOOKUP(M$13,'MP (nominal)'!$D$12:$AM$244,ROW()-12,FALSE))</f>
        <v>287.25791800000002</v>
      </c>
      <c r="N55" s="35"/>
      <c r="O55" s="27">
        <f>IF(HLOOKUP(O$13,'MP (nominal)'!$D$12:$AM$244,ROW()-12,FALSE)="","",HLOOKUP(O$13,'MP (nominal)'!$D$12:$AM$244,ROW()-12,FALSE))</f>
        <v>24856</v>
      </c>
      <c r="P55" s="31"/>
      <c r="Q55" s="281"/>
      <c r="R55" s="281">
        <f>IF(HLOOKUP(R$13,'MP (nominal)'!$D$12:$AM$244,ROW()-12,FALSE)="","",HLOOKUP(R$13,'MP (nominal)'!$D$12:$AM$244,ROW()-12,FALSE))</f>
        <v>282.52999999999997</v>
      </c>
      <c r="S55" s="281" t="str">
        <f>IF(HLOOKUP(S$13,'MP (nominal)'!$D$12:$AM$244,ROW()-12,FALSE)="","",HLOOKUP(S$13,'MP (nominal)'!$D$12:$AM$244,ROW()-12,FALSE))</f>
        <v/>
      </c>
      <c r="T55" s="281" t="str">
        <f>IF(HLOOKUP(T$13,'MP (nominal)'!$D$12:$AM$244,ROW()-12,FALSE)="","",HLOOKUP(T$13,'MP (nominal)'!$D$12:$AM$244,ROW()-12,FALSE))</f>
        <v/>
      </c>
      <c r="U55" s="281"/>
      <c r="V55" s="281">
        <f>IF(HLOOKUP(V$13,'MP (nominal)'!$D$12:$AM$244,ROW()-12,FALSE)="","",HLOOKUP(V$13,'MP (nominal)'!$D$12:$AM$244,ROW()-12,FALSE))</f>
        <v>2.13</v>
      </c>
      <c r="W55" s="281" t="str">
        <f>IF(HLOOKUP(W$13,'MP (nominal)'!$D$12:$AM$244,ROW()-12,FALSE)="","",HLOOKUP(W$13,'MP (nominal)'!$D$12:$AM$244,ROW()-12,FALSE))</f>
        <v/>
      </c>
      <c r="X55" s="281" t="str">
        <f>IF(HLOOKUP(X$13,'MP (nominal)'!$D$12:$AM$244,ROW()-12,FALSE)="","",HLOOKUP(X$13,'MP (nominal)'!$D$12:$AM$244,ROW()-12,FALSE))</f>
        <v/>
      </c>
      <c r="Y55" s="281"/>
      <c r="Z55" s="281" t="str">
        <f>IF(HLOOKUP(Z$13,'MP (nominal)'!$D$12:$AM$244,ROW()-12,FALSE)="","",HLOOKUP(Z$13,'MP (nominal)'!$D$12:$AM$244,ROW()-12,FALSE)*VLOOKUP($C55,CPI!$B$9:$I$63,8))</f>
        <v/>
      </c>
      <c r="AA55" s="281" t="str">
        <f>IF(HLOOKUP(AA$13,'MP (nominal)'!$D$12:$AM$244,ROW()-12,FALSE)="","",HLOOKUP(AA$13,'MP (nominal)'!$D$12:$AM$244,ROW()-12,FALSE))</f>
        <v/>
      </c>
      <c r="AB55" s="281" t="str">
        <f>IF(HLOOKUP(AB$13,'MP (nominal)'!$D$12:$AM$244,ROW()-12,FALSE)="","",HLOOKUP(AB$13,'MP (nominal)'!$D$12:$AM$244,ROW()-12,FALSE))</f>
        <v/>
      </c>
      <c r="AC55" s="281"/>
      <c r="AD55" s="281" t="str">
        <f>IF(HLOOKUP(AD$13,'MP (nominal)'!$D$12:$AM$244,ROW()-12,FALSE)="","",HLOOKUP(AD$13,'MP (nominal)'!$D$12:$AM$244,ROW()-12,FALSE)*VLOOKUP($C55,CPI!$B$9:$I$63,8))</f>
        <v/>
      </c>
      <c r="AE55" s="31" t="str">
        <f>IF(HLOOKUP(AE$13,'MP (nominal)'!$D$12:$AM$244,ROW()-12,FALSE)="","",HLOOKUP(AE$13,'MP (nominal)'!$D$12:$AM$244,ROW()-12,FALSE))</f>
        <v/>
      </c>
      <c r="AF55" s="31" t="str">
        <f>IF(HLOOKUP(AF$13,'MP (nominal)'!$D$12:$AM$244,ROW()-12,FALSE)="","",HLOOKUP(AF$13,'MP (nominal)'!$D$12:$AM$244,ROW()-12,FALSE))</f>
        <v/>
      </c>
      <c r="AG55" s="281"/>
      <c r="AH55" s="281" t="str">
        <f>IF(HLOOKUP(AH$13,'MP (nominal)'!$D$12:$AM$244,ROW()-12,FALSE)="","",HLOOKUP(AH$13,'MP (nominal)'!$D$12:$AM$244,ROW()-12,FALSE)*VLOOKUP($C55,CPI!$B$9:$I$63,8))</f>
        <v/>
      </c>
      <c r="AI55" s="31" t="str">
        <f>IF(HLOOKUP(AI$13,'MP (nominal)'!$D$12:$AM$244,ROW()-12,FALSE)="","",HLOOKUP(AI$13,'MP (nominal)'!$D$12:$AM$244,ROW()-12,FALSE))</f>
        <v/>
      </c>
      <c r="AJ55" s="31" t="str">
        <f>IF(HLOOKUP(AJ$13,'MP (nominal)'!$D$12:$AM$244,ROW()-12,FALSE)="","",HLOOKUP(AJ$13,'MP (nominal)'!$D$12:$AM$244,ROW()-12,FALSE))</f>
        <v/>
      </c>
      <c r="AK55" s="281"/>
      <c r="AL55" s="281" t="str">
        <f>IF(HLOOKUP(AL$13,'MP (nominal)'!$D$12:$AM$244,ROW()-12,FALSE)="","",HLOOKUP(AL$13,'MP (nominal)'!$D$12:$AM$244,ROW()-12,FALSE)*VLOOKUP($C55,CPI!$B$9:$I$63,8))</f>
        <v/>
      </c>
      <c r="AM55" s="31" t="str">
        <f>IF(HLOOKUP(AM$13,'MP (nominal)'!$D$12:$AM$244,ROW()-12,FALSE)="","",HLOOKUP(AM$13,'MP (nominal)'!$D$12:$AM$244,ROW()-12,FALSE))</f>
        <v/>
      </c>
      <c r="AN55" s="31" t="str">
        <f>IF(HLOOKUP(AN$13,'MP (nominal)'!$D$12:$AM$244,ROW()-12,FALSE)="","",HLOOKUP(AN$13,'MP (nominal)'!$D$12:$AM$244,ROW()-12,FALSE))</f>
        <v/>
      </c>
      <c r="AO55" s="281"/>
      <c r="AP55" s="281" t="str">
        <f>IF(HLOOKUP(AP$13,'MP (nominal)'!$D$12:$AM$244,ROW()-12,FALSE)="","",HLOOKUP(AP$13,'MP (nominal)'!$D$12:$AM$244,ROW()-12,FALSE)*VLOOKUP($C55,CPI!$B$9:$I$63,8))</f>
        <v/>
      </c>
      <c r="AQ55" s="31" t="str">
        <f>IF(HLOOKUP(AQ$13,'MP (nominal)'!$D$12:$AM$244,ROW()-12,FALSE)="","",HLOOKUP(AQ$13,'MP (nominal)'!$D$12:$AM$244,ROW()-12,FALSE))</f>
        <v/>
      </c>
      <c r="AR55" s="281" t="str">
        <f>IF(HLOOKUP(AR$13,'MP (nominal)'!$D$12:$AM$244,ROW()-12,FALSE)="","",HLOOKUP(AR$13,'MP (nominal)'!$D$12:$AM$244,ROW()-12,FALSE))</f>
        <v/>
      </c>
    </row>
    <row r="56" spans="1:44" s="278" customFormat="1" hidden="1">
      <c r="A56" s="271">
        <f>References!E263</f>
        <v>118</v>
      </c>
      <c r="B56" s="292" t="s">
        <v>34</v>
      </c>
      <c r="C56" s="284">
        <v>2006</v>
      </c>
      <c r="D56" s="27" t="str">
        <f>IF(HLOOKUP(D$13,'MP (nominal)'!$D$12:$AM$244,ROW()-12,FALSE)="","",HLOOKUP(D$13,'MP (nominal)'!$D$12:$AM$244,ROW()-12,FALSE))</f>
        <v/>
      </c>
      <c r="E56" s="281" t="str">
        <f>IF(HLOOKUP(E$13,'MP (nominal)'!$D$12:$AM$244,ROW()-12,FALSE)="","",HLOOKUP(E$13,'MP (nominal)'!$D$12:$AM$244,ROW()-12,FALSE))</f>
        <v/>
      </c>
      <c r="F56" s="27">
        <f>IF(HLOOKUP(F$13,'MP (nominal)'!$D$12:$AM$244,ROW()-12,FALSE)="","",HLOOKUP(F$13,'MP (nominal)'!$D$12:$AM$244,ROW()-12,FALSE))</f>
        <v>331.58</v>
      </c>
      <c r="G56" s="281" t="str">
        <f>IF(HLOOKUP(G$13,'MP (nominal)'!$D$12:$AM$244,ROW()-12,FALSE)="","",HLOOKUP(G$13,'MP (nominal)'!$D$12:$AM$244,ROW()-12,FALSE))</f>
        <v/>
      </c>
      <c r="H56" s="27">
        <f>IF(HLOOKUP(H$13,'MP (nominal)'!$D$12:$AM$244,ROW()-12,FALSE)="","",HLOOKUP(H$13,'MP (nominal)'!$D$12:$AM$244,ROW()-12,FALSE))</f>
        <v>3666.64</v>
      </c>
      <c r="I56" s="31" t="str">
        <f>IF(HLOOKUP(I$13,'MP (nominal)'!$D$12:$AM$244,ROW()-12,FALSE)="","",HLOOKUP(I$13,'MP (nominal)'!$D$12:$AM$244,ROW()-12,FALSE))</f>
        <v/>
      </c>
      <c r="J56" s="31">
        <f>IF(HLOOKUP(J$13,'MP (nominal)'!$D$12:$AM$244,ROW()-12,FALSE)="","",HLOOKUP(J$13,'MP (nominal)'!$D$12:$AM$244,ROW()-12,FALSE))</f>
        <v>3335.08</v>
      </c>
      <c r="K56" s="281"/>
      <c r="L56" s="27">
        <f>IF(HLOOKUP(L$13,'MP (nominal)'!$D$12:$AM$244,ROW()-12,FALSE)="","",HLOOKUP(L$13,'MP (nominal)'!$D$12:$AM$244,ROW()-12,FALSE))</f>
        <v>55.893999999999998</v>
      </c>
      <c r="M56" s="293">
        <f>IF(HLOOKUP(M$13,'MP (nominal)'!$D$12:$AM$244,ROW()-12,FALSE)="","",HLOOKUP(M$13,'MP (nominal)'!$D$12:$AM$244,ROW()-12,FALSE))</f>
        <v>283.16208</v>
      </c>
      <c r="N56" s="35"/>
      <c r="O56" s="27">
        <f>IF(HLOOKUP(O$13,'MP (nominal)'!$D$12:$AM$244,ROW()-12,FALSE)="","",HLOOKUP(O$13,'MP (nominal)'!$D$12:$AM$244,ROW()-12,FALSE))</f>
        <v>24864</v>
      </c>
      <c r="P56" s="31"/>
      <c r="Q56" s="281"/>
      <c r="R56" s="281">
        <f>IF(HLOOKUP(R$13,'MP (nominal)'!$D$12:$AM$244,ROW()-12,FALSE)="","",HLOOKUP(R$13,'MP (nominal)'!$D$12:$AM$244,ROW()-12,FALSE))</f>
        <v>358.95</v>
      </c>
      <c r="S56" s="281" t="str">
        <f>IF(HLOOKUP(S$13,'MP (nominal)'!$D$12:$AM$244,ROW()-12,FALSE)="","",HLOOKUP(S$13,'MP (nominal)'!$D$12:$AM$244,ROW()-12,FALSE))</f>
        <v/>
      </c>
      <c r="T56" s="281" t="str">
        <f>IF(HLOOKUP(T$13,'MP (nominal)'!$D$12:$AM$244,ROW()-12,FALSE)="","",HLOOKUP(T$13,'MP (nominal)'!$D$12:$AM$244,ROW()-12,FALSE))</f>
        <v/>
      </c>
      <c r="U56" s="281"/>
      <c r="V56" s="281">
        <f>IF(HLOOKUP(V$13,'MP (nominal)'!$D$12:$AM$244,ROW()-12,FALSE)="","",HLOOKUP(V$13,'MP (nominal)'!$D$12:$AM$244,ROW()-12,FALSE))</f>
        <v>2.65</v>
      </c>
      <c r="W56" s="281" t="str">
        <f>IF(HLOOKUP(W$13,'MP (nominal)'!$D$12:$AM$244,ROW()-12,FALSE)="","",HLOOKUP(W$13,'MP (nominal)'!$D$12:$AM$244,ROW()-12,FALSE))</f>
        <v/>
      </c>
      <c r="X56" s="281" t="str">
        <f>IF(HLOOKUP(X$13,'MP (nominal)'!$D$12:$AM$244,ROW()-12,FALSE)="","",HLOOKUP(X$13,'MP (nominal)'!$D$12:$AM$244,ROW()-12,FALSE))</f>
        <v/>
      </c>
      <c r="Y56" s="281"/>
      <c r="Z56" s="281" t="str">
        <f>IF(HLOOKUP(Z$13,'MP (nominal)'!$D$12:$AM$244,ROW()-12,FALSE)="","",HLOOKUP(Z$13,'MP (nominal)'!$D$12:$AM$244,ROW()-12,FALSE)*VLOOKUP($C56,CPI!$B$9:$I$63,8))</f>
        <v/>
      </c>
      <c r="AA56" s="281" t="str">
        <f>IF(HLOOKUP(AA$13,'MP (nominal)'!$D$12:$AM$244,ROW()-12,FALSE)="","",HLOOKUP(AA$13,'MP (nominal)'!$D$12:$AM$244,ROW()-12,FALSE))</f>
        <v/>
      </c>
      <c r="AB56" s="281" t="str">
        <f>IF(HLOOKUP(AB$13,'MP (nominal)'!$D$12:$AM$244,ROW()-12,FALSE)="","",HLOOKUP(AB$13,'MP (nominal)'!$D$12:$AM$244,ROW()-12,FALSE))</f>
        <v/>
      </c>
      <c r="AC56" s="281"/>
      <c r="AD56" s="281" t="str">
        <f>IF(HLOOKUP(AD$13,'MP (nominal)'!$D$12:$AM$244,ROW()-12,FALSE)="","",HLOOKUP(AD$13,'MP (nominal)'!$D$12:$AM$244,ROW()-12,FALSE)*VLOOKUP($C56,CPI!$B$9:$I$63,8))</f>
        <v/>
      </c>
      <c r="AE56" s="31" t="str">
        <f>IF(HLOOKUP(AE$13,'MP (nominal)'!$D$12:$AM$244,ROW()-12,FALSE)="","",HLOOKUP(AE$13,'MP (nominal)'!$D$12:$AM$244,ROW()-12,FALSE))</f>
        <v/>
      </c>
      <c r="AF56" s="31" t="str">
        <f>IF(HLOOKUP(AF$13,'MP (nominal)'!$D$12:$AM$244,ROW()-12,FALSE)="","",HLOOKUP(AF$13,'MP (nominal)'!$D$12:$AM$244,ROW()-12,FALSE))</f>
        <v/>
      </c>
      <c r="AG56" s="281"/>
      <c r="AH56" s="281" t="str">
        <f>IF(HLOOKUP(AH$13,'MP (nominal)'!$D$12:$AM$244,ROW()-12,FALSE)="","",HLOOKUP(AH$13,'MP (nominal)'!$D$12:$AM$244,ROW()-12,FALSE)*VLOOKUP($C56,CPI!$B$9:$I$63,8))</f>
        <v/>
      </c>
      <c r="AI56" s="31" t="str">
        <f>IF(HLOOKUP(AI$13,'MP (nominal)'!$D$12:$AM$244,ROW()-12,FALSE)="","",HLOOKUP(AI$13,'MP (nominal)'!$D$12:$AM$244,ROW()-12,FALSE))</f>
        <v/>
      </c>
      <c r="AJ56" s="31" t="str">
        <f>IF(HLOOKUP(AJ$13,'MP (nominal)'!$D$12:$AM$244,ROW()-12,FALSE)="","",HLOOKUP(AJ$13,'MP (nominal)'!$D$12:$AM$244,ROW()-12,FALSE))</f>
        <v/>
      </c>
      <c r="AK56" s="281"/>
      <c r="AL56" s="281" t="str">
        <f>IF(HLOOKUP(AL$13,'MP (nominal)'!$D$12:$AM$244,ROW()-12,FALSE)="","",HLOOKUP(AL$13,'MP (nominal)'!$D$12:$AM$244,ROW()-12,FALSE)*VLOOKUP($C56,CPI!$B$9:$I$63,8))</f>
        <v/>
      </c>
      <c r="AM56" s="31" t="str">
        <f>IF(HLOOKUP(AM$13,'MP (nominal)'!$D$12:$AM$244,ROW()-12,FALSE)="","",HLOOKUP(AM$13,'MP (nominal)'!$D$12:$AM$244,ROW()-12,FALSE))</f>
        <v/>
      </c>
      <c r="AN56" s="31" t="str">
        <f>IF(HLOOKUP(AN$13,'MP (nominal)'!$D$12:$AM$244,ROW()-12,FALSE)="","",HLOOKUP(AN$13,'MP (nominal)'!$D$12:$AM$244,ROW()-12,FALSE))</f>
        <v/>
      </c>
      <c r="AO56" s="281"/>
      <c r="AP56" s="281" t="str">
        <f>IF(HLOOKUP(AP$13,'MP (nominal)'!$D$12:$AM$244,ROW()-12,FALSE)="","",HLOOKUP(AP$13,'MP (nominal)'!$D$12:$AM$244,ROW()-12,FALSE)*VLOOKUP($C56,CPI!$B$9:$I$63,8))</f>
        <v/>
      </c>
      <c r="AQ56" s="31" t="str">
        <f>IF(HLOOKUP(AQ$13,'MP (nominal)'!$D$12:$AM$244,ROW()-12,FALSE)="","",HLOOKUP(AQ$13,'MP (nominal)'!$D$12:$AM$244,ROW()-12,FALSE))</f>
        <v/>
      </c>
      <c r="AR56" s="281" t="str">
        <f>IF(HLOOKUP(AR$13,'MP (nominal)'!$D$12:$AM$244,ROW()-12,FALSE)="","",HLOOKUP(AR$13,'MP (nominal)'!$D$12:$AM$244,ROW()-12,FALSE))</f>
        <v/>
      </c>
    </row>
    <row r="57" spans="1:44" s="278" customFormat="1" hidden="1">
      <c r="A57" s="271">
        <f>References!F263</f>
        <v>119</v>
      </c>
      <c r="B57" s="292" t="s">
        <v>34</v>
      </c>
      <c r="C57" s="284">
        <v>2007</v>
      </c>
      <c r="D57" s="27" t="str">
        <f>IF(HLOOKUP(D$13,'MP (nominal)'!$D$12:$AM$244,ROW()-12,FALSE)="","",HLOOKUP(D$13,'MP (nominal)'!$D$12:$AM$244,ROW()-12,FALSE))</f>
        <v/>
      </c>
      <c r="E57" s="281" t="str">
        <f>IF(HLOOKUP(E$13,'MP (nominal)'!$D$12:$AM$244,ROW()-12,FALSE)="","",HLOOKUP(E$13,'MP (nominal)'!$D$12:$AM$244,ROW()-12,FALSE))</f>
        <v/>
      </c>
      <c r="F57" s="27">
        <f>IF(HLOOKUP(F$13,'MP (nominal)'!$D$12:$AM$244,ROW()-12,FALSE)="","",HLOOKUP(F$13,'MP (nominal)'!$D$12:$AM$244,ROW()-12,FALSE))</f>
        <v>341.18</v>
      </c>
      <c r="G57" s="281" t="str">
        <f>IF(HLOOKUP(G$13,'MP (nominal)'!$D$12:$AM$244,ROW()-12,FALSE)="","",HLOOKUP(G$13,'MP (nominal)'!$D$12:$AM$244,ROW()-12,FALSE))</f>
        <v/>
      </c>
      <c r="H57" s="27">
        <f>IF(HLOOKUP(H$13,'MP (nominal)'!$D$12:$AM$244,ROW()-12,FALSE)="","",HLOOKUP(H$13,'MP (nominal)'!$D$12:$AM$244,ROW()-12,FALSE))</f>
        <v>3647.25</v>
      </c>
      <c r="I57" s="31" t="str">
        <f>IF(HLOOKUP(I$13,'MP (nominal)'!$D$12:$AM$244,ROW()-12,FALSE)="","",HLOOKUP(I$13,'MP (nominal)'!$D$12:$AM$244,ROW()-12,FALSE))</f>
        <v/>
      </c>
      <c r="J57" s="31">
        <f>IF(HLOOKUP(J$13,'MP (nominal)'!$D$12:$AM$244,ROW()-12,FALSE)="","",HLOOKUP(J$13,'MP (nominal)'!$D$12:$AM$244,ROW()-12,FALSE))</f>
        <v>3306.07</v>
      </c>
      <c r="K57" s="281"/>
      <c r="L57" s="27">
        <f>IF(HLOOKUP(L$13,'MP (nominal)'!$D$12:$AM$244,ROW()-12,FALSE)="","",HLOOKUP(L$13,'MP (nominal)'!$D$12:$AM$244,ROW()-12,FALSE))</f>
        <v>59.212000000000003</v>
      </c>
      <c r="M57" s="293">
        <f>IF(HLOOKUP(M$13,'MP (nominal)'!$D$12:$AM$244,ROW()-12,FALSE)="","",HLOOKUP(M$13,'MP (nominal)'!$D$12:$AM$244,ROW()-12,FALSE))</f>
        <v>290.92193700000001</v>
      </c>
      <c r="N57" s="35"/>
      <c r="O57" s="27">
        <f>IF(HLOOKUP(O$13,'MP (nominal)'!$D$12:$AM$244,ROW()-12,FALSE)="","",HLOOKUP(O$13,'MP (nominal)'!$D$12:$AM$244,ROW()-12,FALSE))</f>
        <v>24962</v>
      </c>
      <c r="P57" s="31"/>
      <c r="Q57" s="281"/>
      <c r="R57" s="281">
        <f>IF(HLOOKUP(R$13,'MP (nominal)'!$D$12:$AM$244,ROW()-12,FALSE)="","",HLOOKUP(R$13,'MP (nominal)'!$D$12:$AM$244,ROW()-12,FALSE))</f>
        <v>261.5</v>
      </c>
      <c r="S57" s="281" t="str">
        <f>IF(HLOOKUP(S$13,'MP (nominal)'!$D$12:$AM$244,ROW()-12,FALSE)="","",HLOOKUP(S$13,'MP (nominal)'!$D$12:$AM$244,ROW()-12,FALSE))</f>
        <v/>
      </c>
      <c r="T57" s="281" t="str">
        <f>IF(HLOOKUP(T$13,'MP (nominal)'!$D$12:$AM$244,ROW()-12,FALSE)="","",HLOOKUP(T$13,'MP (nominal)'!$D$12:$AM$244,ROW()-12,FALSE))</f>
        <v/>
      </c>
      <c r="U57" s="281"/>
      <c r="V57" s="281">
        <f>IF(HLOOKUP(V$13,'MP (nominal)'!$D$12:$AM$244,ROW()-12,FALSE)="","",HLOOKUP(V$13,'MP (nominal)'!$D$12:$AM$244,ROW()-12,FALSE))</f>
        <v>3.96</v>
      </c>
      <c r="W57" s="281" t="str">
        <f>IF(HLOOKUP(W$13,'MP (nominal)'!$D$12:$AM$244,ROW()-12,FALSE)="","",HLOOKUP(W$13,'MP (nominal)'!$D$12:$AM$244,ROW()-12,FALSE))</f>
        <v/>
      </c>
      <c r="X57" s="281" t="str">
        <f>IF(HLOOKUP(X$13,'MP (nominal)'!$D$12:$AM$244,ROW()-12,FALSE)="","",HLOOKUP(X$13,'MP (nominal)'!$D$12:$AM$244,ROW()-12,FALSE))</f>
        <v/>
      </c>
      <c r="Y57" s="281"/>
      <c r="Z57" s="281" t="str">
        <f>IF(HLOOKUP(Z$13,'MP (nominal)'!$D$12:$AM$244,ROW()-12,FALSE)="","",HLOOKUP(Z$13,'MP (nominal)'!$D$12:$AM$244,ROW()-12,FALSE)*VLOOKUP($C57,CPI!$B$9:$I$63,8))</f>
        <v/>
      </c>
      <c r="AA57" s="281" t="str">
        <f>IF(HLOOKUP(AA$13,'MP (nominal)'!$D$12:$AM$244,ROW()-12,FALSE)="","",HLOOKUP(AA$13,'MP (nominal)'!$D$12:$AM$244,ROW()-12,FALSE))</f>
        <v/>
      </c>
      <c r="AB57" s="281" t="str">
        <f>IF(HLOOKUP(AB$13,'MP (nominal)'!$D$12:$AM$244,ROW()-12,FALSE)="","",HLOOKUP(AB$13,'MP (nominal)'!$D$12:$AM$244,ROW()-12,FALSE))</f>
        <v/>
      </c>
      <c r="AC57" s="281"/>
      <c r="AD57" s="281" t="str">
        <f>IF(HLOOKUP(AD$13,'MP (nominal)'!$D$12:$AM$244,ROW()-12,FALSE)="","",HLOOKUP(AD$13,'MP (nominal)'!$D$12:$AM$244,ROW()-12,FALSE)*VLOOKUP($C57,CPI!$B$9:$I$63,8))</f>
        <v/>
      </c>
      <c r="AE57" s="31" t="str">
        <f>IF(HLOOKUP(AE$13,'MP (nominal)'!$D$12:$AM$244,ROW()-12,FALSE)="","",HLOOKUP(AE$13,'MP (nominal)'!$D$12:$AM$244,ROW()-12,FALSE))</f>
        <v/>
      </c>
      <c r="AF57" s="31" t="str">
        <f>IF(HLOOKUP(AF$13,'MP (nominal)'!$D$12:$AM$244,ROW()-12,FALSE)="","",HLOOKUP(AF$13,'MP (nominal)'!$D$12:$AM$244,ROW()-12,FALSE))</f>
        <v/>
      </c>
      <c r="AG57" s="281"/>
      <c r="AH57" s="281" t="str">
        <f>IF(HLOOKUP(AH$13,'MP (nominal)'!$D$12:$AM$244,ROW()-12,FALSE)="","",HLOOKUP(AH$13,'MP (nominal)'!$D$12:$AM$244,ROW()-12,FALSE)*VLOOKUP($C57,CPI!$B$9:$I$63,8))</f>
        <v/>
      </c>
      <c r="AI57" s="31" t="str">
        <f>IF(HLOOKUP(AI$13,'MP (nominal)'!$D$12:$AM$244,ROW()-12,FALSE)="","",HLOOKUP(AI$13,'MP (nominal)'!$D$12:$AM$244,ROW()-12,FALSE))</f>
        <v/>
      </c>
      <c r="AJ57" s="31" t="str">
        <f>IF(HLOOKUP(AJ$13,'MP (nominal)'!$D$12:$AM$244,ROW()-12,FALSE)="","",HLOOKUP(AJ$13,'MP (nominal)'!$D$12:$AM$244,ROW()-12,FALSE))</f>
        <v/>
      </c>
      <c r="AK57" s="281"/>
      <c r="AL57" s="281" t="str">
        <f>IF(HLOOKUP(AL$13,'MP (nominal)'!$D$12:$AM$244,ROW()-12,FALSE)="","",HLOOKUP(AL$13,'MP (nominal)'!$D$12:$AM$244,ROW()-12,FALSE)*VLOOKUP($C57,CPI!$B$9:$I$63,8))</f>
        <v/>
      </c>
      <c r="AM57" s="31" t="str">
        <f>IF(HLOOKUP(AM$13,'MP (nominal)'!$D$12:$AM$244,ROW()-12,FALSE)="","",HLOOKUP(AM$13,'MP (nominal)'!$D$12:$AM$244,ROW()-12,FALSE))</f>
        <v/>
      </c>
      <c r="AN57" s="31" t="str">
        <f>IF(HLOOKUP(AN$13,'MP (nominal)'!$D$12:$AM$244,ROW()-12,FALSE)="","",HLOOKUP(AN$13,'MP (nominal)'!$D$12:$AM$244,ROW()-12,FALSE))</f>
        <v/>
      </c>
      <c r="AO57" s="281"/>
      <c r="AP57" s="281" t="str">
        <f>IF(HLOOKUP(AP$13,'MP (nominal)'!$D$12:$AM$244,ROW()-12,FALSE)="","",HLOOKUP(AP$13,'MP (nominal)'!$D$12:$AM$244,ROW()-12,FALSE)*VLOOKUP($C57,CPI!$B$9:$I$63,8))</f>
        <v/>
      </c>
      <c r="AQ57" s="31" t="str">
        <f>IF(HLOOKUP(AQ$13,'MP (nominal)'!$D$12:$AM$244,ROW()-12,FALSE)="","",HLOOKUP(AQ$13,'MP (nominal)'!$D$12:$AM$244,ROW()-12,FALSE))</f>
        <v/>
      </c>
      <c r="AR57" s="281" t="str">
        <f>IF(HLOOKUP(AR$13,'MP (nominal)'!$D$12:$AM$244,ROW()-12,FALSE)="","",HLOOKUP(AR$13,'MP (nominal)'!$D$12:$AM$244,ROW()-12,FALSE))</f>
        <v/>
      </c>
    </row>
    <row r="58" spans="1:44" s="278" customFormat="1">
      <c r="A58" s="271">
        <f>References!G263</f>
        <v>120</v>
      </c>
      <c r="B58" s="292" t="s">
        <v>34</v>
      </c>
      <c r="C58" s="284">
        <v>2008</v>
      </c>
      <c r="D58" s="27">
        <f>IF(HLOOKUP(D$13,'MP (nominal)'!$D$12:$AM$244,ROW()-12,FALSE)="","",HLOOKUP(D$13,'MP (nominal)'!$D$12:$AM$244,ROW()-12,FALSE))</f>
        <v>3293.7</v>
      </c>
      <c r="E58" s="281">
        <f>IF(HLOOKUP(E$13,'MP (nominal)'!$D$12:$AM$244,ROW()-12,FALSE)="","",HLOOKUP(E$13,'MP (nominal)'!$D$12:$AM$244,ROW()-12,FALSE))</f>
        <v>0</v>
      </c>
      <c r="F58" s="27">
        <f>IF(HLOOKUP(F$13,'MP (nominal)'!$D$12:$AM$244,ROW()-12,FALSE)="","",HLOOKUP(F$13,'MP (nominal)'!$D$12:$AM$244,ROW()-12,FALSE))</f>
        <v>359.3</v>
      </c>
      <c r="G58" s="281">
        <f>IF(HLOOKUP(G$13,'MP (nominal)'!$D$12:$AM$244,ROW()-12,FALSE)="","",HLOOKUP(G$13,'MP (nominal)'!$D$12:$AM$244,ROW()-12,FALSE))</f>
        <v>9</v>
      </c>
      <c r="H58" s="27">
        <f>IF(HLOOKUP(H$13,'MP (nominal)'!$D$12:$AM$244,ROW()-12,FALSE)="","",HLOOKUP(H$13,'MP (nominal)'!$D$12:$AM$244,ROW()-12,FALSE))</f>
        <v>3653</v>
      </c>
      <c r="I58" s="31">
        <f>IF(HLOOKUP(I$13,'MP (nominal)'!$D$12:$AM$244,ROW()-12,FALSE)="","",HLOOKUP(I$13,'MP (nominal)'!$D$12:$AM$244,ROW()-12,FALSE))</f>
        <v>9</v>
      </c>
      <c r="J58" s="31">
        <f>IF(HLOOKUP(J$13,'MP (nominal)'!$D$12:$AM$244,ROW()-12,FALSE)="","",HLOOKUP(J$13,'MP (nominal)'!$D$12:$AM$244,ROW()-12,FALSE))</f>
        <v>3293.7</v>
      </c>
      <c r="K58" s="281"/>
      <c r="L58" s="27">
        <f>IF(HLOOKUP(L$13,'MP (nominal)'!$D$12:$AM$244,ROW()-12,FALSE)="","",HLOOKUP(L$13,'MP (nominal)'!$D$12:$AM$244,ROW()-12,FALSE))</f>
        <v>57.9</v>
      </c>
      <c r="M58" s="283">
        <f>IF(HLOOKUP(M$13,'MP (nominal)'!$D$12:$AM$244,ROW()-12,FALSE)="","",HLOOKUP(M$13,'MP (nominal)'!$D$12:$AM$244,ROW()-12,FALSE))</f>
        <v>283.71800000000002</v>
      </c>
      <c r="N58" s="35"/>
      <c r="O58" s="27">
        <f>IF(HLOOKUP(O$13,'MP (nominal)'!$D$12:$AM$244,ROW()-12,FALSE)="","",HLOOKUP(O$13,'MP (nominal)'!$D$12:$AM$244,ROW()-12,FALSE))</f>
        <v>25196</v>
      </c>
      <c r="P58" s="31"/>
      <c r="Q58" s="281"/>
      <c r="R58" s="281">
        <f>IF(HLOOKUP(R$13,'MP (nominal)'!$D$12:$AM$244,ROW()-12,FALSE)="","",HLOOKUP(R$13,'MP (nominal)'!$D$12:$AM$244,ROW()-12,FALSE))</f>
        <v>258.13</v>
      </c>
      <c r="S58" s="281">
        <f>IF(HLOOKUP(S$13,'MP (nominal)'!$D$12:$AM$244,ROW()-12,FALSE)="","",HLOOKUP(S$13,'MP (nominal)'!$D$12:$AM$244,ROW()-12,FALSE))</f>
        <v>31.54</v>
      </c>
      <c r="T58" s="281">
        <f>IF(HLOOKUP(T$13,'MP (nominal)'!$D$12:$AM$244,ROW()-12,FALSE)="","",HLOOKUP(T$13,'MP (nominal)'!$D$12:$AM$244,ROW()-12,FALSE))</f>
        <v>213.43</v>
      </c>
      <c r="U58" s="281"/>
      <c r="V58" s="281">
        <f>IF(HLOOKUP(V$13,'MP (nominal)'!$D$12:$AM$244,ROW()-12,FALSE)="","",HLOOKUP(V$13,'MP (nominal)'!$D$12:$AM$244,ROW()-12,FALSE))</f>
        <v>4</v>
      </c>
      <c r="W58" s="281">
        <f>IF(HLOOKUP(W$13,'MP (nominal)'!$D$12:$AM$244,ROW()-12,FALSE)="","",HLOOKUP(W$13,'MP (nominal)'!$D$12:$AM$244,ROW()-12,FALSE))</f>
        <v>0.23</v>
      </c>
      <c r="X58" s="281">
        <f>IF(HLOOKUP(X$13,'MP (nominal)'!$D$12:$AM$244,ROW()-12,FALSE)="","",HLOOKUP(X$13,'MP (nominal)'!$D$12:$AM$244,ROW()-12,FALSE))</f>
        <v>3.68</v>
      </c>
      <c r="Y58" s="281"/>
      <c r="Z58" s="281">
        <f>IF(HLOOKUP(Z$13,'MP (nominal)'!$D$12:$AM$244,ROW()-12,FALSE)="","",HLOOKUP(Z$13,'MP (nominal)'!$D$12:$AM$244,ROW()-12,FALSE)*VLOOKUP($C58,CPI!$B$9:$I$63,8))</f>
        <v>20799.758489920445</v>
      </c>
      <c r="AA58" s="281">
        <f>IF(HLOOKUP(AA$13,'MP (nominal)'!$D$12:$AM$244,ROW()-12,FALSE)="","",HLOOKUP(AA$13,'MP (nominal)'!$D$12:$AM$244,ROW()-12,FALSE))</f>
        <v>165999</v>
      </c>
      <c r="AB58" s="281">
        <f>IF(HLOOKUP(AB$13,'MP (nominal)'!$D$12:$AM$244,ROW()-12,FALSE)="","",HLOOKUP(AB$13,'MP (nominal)'!$D$12:$AM$244,ROW()-12,FALSE))</f>
        <v>24791</v>
      </c>
      <c r="AC58" s="281"/>
      <c r="AD58" s="281">
        <f>IF(HLOOKUP(AD$13,'MP (nominal)'!$D$12:$AM$244,ROW()-12,FALSE)="","",HLOOKUP(AD$13,'MP (nominal)'!$D$12:$AM$244,ROW()-12,FALSE)*VLOOKUP($C58,CPI!$B$9:$I$63,8))</f>
        <v>1851.0954920019387</v>
      </c>
      <c r="AE58" s="31">
        <f>IF(HLOOKUP(AE$13,'MP (nominal)'!$D$12:$AM$244,ROW()-12,FALSE)="","",HLOOKUP(AE$13,'MP (nominal)'!$D$12:$AM$244,ROW()-12,FALSE))</f>
        <v>26363</v>
      </c>
      <c r="AF58" s="31">
        <f>IF(HLOOKUP(AF$13,'MP (nominal)'!$D$12:$AM$244,ROW()-12,FALSE)="","",HLOOKUP(AF$13,'MP (nominal)'!$D$12:$AM$244,ROW()-12,FALSE))</f>
        <v>303</v>
      </c>
      <c r="AG58" s="281"/>
      <c r="AH58" s="281">
        <f>IF(HLOOKUP(AH$13,'MP (nominal)'!$D$12:$AM$244,ROW()-12,FALSE)="","",HLOOKUP(AH$13,'MP (nominal)'!$D$12:$AM$244,ROW()-12,FALSE)*VLOOKUP($C58,CPI!$B$9:$I$63,8))</f>
        <v>2028.9817798180832</v>
      </c>
      <c r="AI58" s="31">
        <f>IF(HLOOKUP(AI$13,'MP (nominal)'!$D$12:$AM$244,ROW()-12,FALSE)="","",HLOOKUP(AI$13,'MP (nominal)'!$D$12:$AM$244,ROW()-12,FALSE))</f>
        <v>43968</v>
      </c>
      <c r="AJ58" s="31">
        <f>IF(HLOOKUP(AJ$13,'MP (nominal)'!$D$12:$AM$244,ROW()-12,FALSE)="","",HLOOKUP(AJ$13,'MP (nominal)'!$D$12:$AM$244,ROW()-12,FALSE))</f>
        <v>97</v>
      </c>
      <c r="AK58" s="281"/>
      <c r="AL58" s="281">
        <f>IF(HLOOKUP(AL$13,'MP (nominal)'!$D$12:$AM$244,ROW()-12,FALSE)="","",HLOOKUP(AL$13,'MP (nominal)'!$D$12:$AM$244,ROW()-12,FALSE)*VLOOKUP($C58,CPI!$B$9:$I$63,8))</f>
        <v>1610.6794787716346</v>
      </c>
      <c r="AM58" s="31">
        <f>IF(HLOOKUP(AM$13,'MP (nominal)'!$D$12:$AM$244,ROW()-12,FALSE)="","",HLOOKUP(AM$13,'MP (nominal)'!$D$12:$AM$244,ROW()-12,FALSE))</f>
        <v>47388</v>
      </c>
      <c r="AN58" s="31">
        <f>IF(HLOOKUP(AN$13,'MP (nominal)'!$D$12:$AM$244,ROW()-12,FALSE)="","",HLOOKUP(AN$13,'MP (nominal)'!$D$12:$AM$244,ROW()-12,FALSE))</f>
        <v>5</v>
      </c>
      <c r="AO58" s="281"/>
      <c r="AP58" s="281">
        <f>IF(HLOOKUP(AP$13,'MP (nominal)'!$D$12:$AM$244,ROW()-12,FALSE)="","",HLOOKUP(AP$13,'MP (nominal)'!$D$12:$AM$244,ROW()-12,FALSE)*VLOOKUP($C58,CPI!$B$9:$I$63,8))</f>
        <v>26290.515240512101</v>
      </c>
      <c r="AQ58" s="31">
        <f>IF(HLOOKUP(AQ$13,'MP (nominal)'!$D$12:$AM$244,ROW()-12,FALSE)="","",HLOOKUP(AQ$13,'MP (nominal)'!$D$12:$AM$244,ROW()-12,FALSE))</f>
        <v>283718</v>
      </c>
      <c r="AR58" s="281">
        <f>IF(HLOOKUP(AR$13,'MP (nominal)'!$D$12:$AM$244,ROW()-12,FALSE)="","",HLOOKUP(AR$13,'MP (nominal)'!$D$12:$AM$244,ROW()-12,FALSE))</f>
        <v>25196</v>
      </c>
    </row>
    <row r="59" spans="1:44" s="278" customFormat="1">
      <c r="A59" s="271">
        <f>References!H263</f>
        <v>121</v>
      </c>
      <c r="B59" s="292" t="s">
        <v>34</v>
      </c>
      <c r="C59" s="284">
        <v>2009</v>
      </c>
      <c r="D59" s="27">
        <f>IF(HLOOKUP(D$13,'MP (nominal)'!$D$12:$AM$244,ROW()-12,FALSE)="","",HLOOKUP(D$13,'MP (nominal)'!$D$12:$AM$244,ROW()-12,FALSE))</f>
        <v>3286.5</v>
      </c>
      <c r="E59" s="281">
        <f>IF(HLOOKUP(E$13,'MP (nominal)'!$D$12:$AM$244,ROW()-12,FALSE)="","",HLOOKUP(E$13,'MP (nominal)'!$D$12:$AM$244,ROW()-12,FALSE))</f>
        <v>1</v>
      </c>
      <c r="F59" s="27">
        <f>IF(HLOOKUP(F$13,'MP (nominal)'!$D$12:$AM$244,ROW()-12,FALSE)="","",HLOOKUP(F$13,'MP (nominal)'!$D$12:$AM$244,ROW()-12,FALSE))</f>
        <v>377.71</v>
      </c>
      <c r="G59" s="281">
        <f>IF(HLOOKUP(G$13,'MP (nominal)'!$D$12:$AM$244,ROW()-12,FALSE)="","",HLOOKUP(G$13,'MP (nominal)'!$D$12:$AM$244,ROW()-12,FALSE))</f>
        <v>10</v>
      </c>
      <c r="H59" s="27">
        <f>IF(HLOOKUP(H$13,'MP (nominal)'!$D$12:$AM$244,ROW()-12,FALSE)="","",HLOOKUP(H$13,'MP (nominal)'!$D$12:$AM$244,ROW()-12,FALSE))</f>
        <v>3664.21</v>
      </c>
      <c r="I59" s="31">
        <f>IF(HLOOKUP(I$13,'MP (nominal)'!$D$12:$AM$244,ROW()-12,FALSE)="","",HLOOKUP(I$13,'MP (nominal)'!$D$12:$AM$244,ROW()-12,FALSE))</f>
        <v>11</v>
      </c>
      <c r="J59" s="31">
        <f>IF(HLOOKUP(J$13,'MP (nominal)'!$D$12:$AM$244,ROW()-12,FALSE)="","",HLOOKUP(J$13,'MP (nominal)'!$D$12:$AM$244,ROW()-12,FALSE))</f>
        <v>3286.5</v>
      </c>
      <c r="K59" s="281"/>
      <c r="L59" s="27">
        <f>IF(HLOOKUP(L$13,'MP (nominal)'!$D$12:$AM$244,ROW()-12,FALSE)="","",HLOOKUP(L$13,'MP (nominal)'!$D$12:$AM$244,ROW()-12,FALSE))</f>
        <v>55.95</v>
      </c>
      <c r="M59" s="283">
        <f>IF(HLOOKUP(M$13,'MP (nominal)'!$D$12:$AM$244,ROW()-12,FALSE)="","",HLOOKUP(M$13,'MP (nominal)'!$D$12:$AM$244,ROW()-12,FALSE))</f>
        <v>280.73754000000002</v>
      </c>
      <c r="N59" s="35"/>
      <c r="O59" s="27">
        <f>IF(HLOOKUP(O$13,'MP (nominal)'!$D$12:$AM$244,ROW()-12,FALSE)="","",HLOOKUP(O$13,'MP (nominal)'!$D$12:$AM$244,ROW()-12,FALSE))</f>
        <v>25300</v>
      </c>
      <c r="P59" s="31"/>
      <c r="Q59" s="281"/>
      <c r="R59" s="281">
        <f>IF(HLOOKUP(R$13,'MP (nominal)'!$D$12:$AM$244,ROW()-12,FALSE)="","",HLOOKUP(R$13,'MP (nominal)'!$D$12:$AM$244,ROW()-12,FALSE))</f>
        <v>248.82</v>
      </c>
      <c r="S59" s="281">
        <f>IF(HLOOKUP(S$13,'MP (nominal)'!$D$12:$AM$244,ROW()-12,FALSE)="","",HLOOKUP(S$13,'MP (nominal)'!$D$12:$AM$244,ROW()-12,FALSE))</f>
        <v>53.25</v>
      </c>
      <c r="T59" s="281">
        <f>IF(HLOOKUP(T$13,'MP (nominal)'!$D$12:$AM$244,ROW()-12,FALSE)="","",HLOOKUP(T$13,'MP (nominal)'!$D$12:$AM$244,ROW()-12,FALSE))</f>
        <v>189.84</v>
      </c>
      <c r="U59" s="281"/>
      <c r="V59" s="281">
        <f>IF(HLOOKUP(V$13,'MP (nominal)'!$D$12:$AM$244,ROW()-12,FALSE)="","",HLOOKUP(V$13,'MP (nominal)'!$D$12:$AM$244,ROW()-12,FALSE))</f>
        <v>3.42</v>
      </c>
      <c r="W59" s="281">
        <f>IF(HLOOKUP(W$13,'MP (nominal)'!$D$12:$AM$244,ROW()-12,FALSE)="","",HLOOKUP(W$13,'MP (nominal)'!$D$12:$AM$244,ROW()-12,FALSE))</f>
        <v>0.38</v>
      </c>
      <c r="X59" s="281">
        <f>IF(HLOOKUP(X$13,'MP (nominal)'!$D$12:$AM$244,ROW()-12,FALSE)="","",HLOOKUP(X$13,'MP (nominal)'!$D$12:$AM$244,ROW()-12,FALSE))</f>
        <v>3.02</v>
      </c>
      <c r="Y59" s="281"/>
      <c r="Z59" s="281">
        <f>IF(HLOOKUP(Z$13,'MP (nominal)'!$D$12:$AM$244,ROW()-12,FALSE)="","",HLOOKUP(Z$13,'MP (nominal)'!$D$12:$AM$244,ROW()-12,FALSE)*VLOOKUP($C59,CPI!$B$9:$I$63,8))</f>
        <v>21437.691262269196</v>
      </c>
      <c r="AA59" s="281">
        <f>IF(HLOOKUP(AA$13,'MP (nominal)'!$D$12:$AM$244,ROW()-12,FALSE)="","",HLOOKUP(AA$13,'MP (nominal)'!$D$12:$AM$244,ROW()-12,FALSE))</f>
        <v>164391.74</v>
      </c>
      <c r="AB59" s="281">
        <f>IF(HLOOKUP(AB$13,'MP (nominal)'!$D$12:$AM$244,ROW()-12,FALSE)="","",HLOOKUP(AB$13,'MP (nominal)'!$D$12:$AM$244,ROW()-12,FALSE))</f>
        <v>24882</v>
      </c>
      <c r="AC59" s="281"/>
      <c r="AD59" s="281">
        <f>IF(HLOOKUP(AD$13,'MP (nominal)'!$D$12:$AM$244,ROW()-12,FALSE)="","",HLOOKUP(AD$13,'MP (nominal)'!$D$12:$AM$244,ROW()-12,FALSE)*VLOOKUP($C59,CPI!$B$9:$I$63,8))</f>
        <v>2010.7892099663663</v>
      </c>
      <c r="AE59" s="31">
        <f>IF(HLOOKUP(AE$13,'MP (nominal)'!$D$12:$AM$244,ROW()-12,FALSE)="","",HLOOKUP(AE$13,'MP (nominal)'!$D$12:$AM$244,ROW()-12,FALSE))</f>
        <v>26315.342000000001</v>
      </c>
      <c r="AF59" s="31">
        <f>IF(HLOOKUP(AF$13,'MP (nominal)'!$D$12:$AM$244,ROW()-12,FALSE)="","",HLOOKUP(AF$13,'MP (nominal)'!$D$12:$AM$244,ROW()-12,FALSE))</f>
        <v>315</v>
      </c>
      <c r="AG59" s="281"/>
      <c r="AH59" s="281">
        <f>IF(HLOOKUP(AH$13,'MP (nominal)'!$D$12:$AM$244,ROW()-12,FALSE)="","",HLOOKUP(AH$13,'MP (nominal)'!$D$12:$AM$244,ROW()-12,FALSE)*VLOOKUP($C59,CPI!$B$9:$I$63,8))</f>
        <v>2140.5510330153056</v>
      </c>
      <c r="AI59" s="31">
        <f>IF(HLOOKUP(AI$13,'MP (nominal)'!$D$12:$AM$244,ROW()-12,FALSE)="","",HLOOKUP(AI$13,'MP (nominal)'!$D$12:$AM$244,ROW()-12,FALSE))</f>
        <v>43802.038</v>
      </c>
      <c r="AJ59" s="31">
        <f>IF(HLOOKUP(AJ$13,'MP (nominal)'!$D$12:$AM$244,ROW()-12,FALSE)="","",HLOOKUP(AJ$13,'MP (nominal)'!$D$12:$AM$244,ROW()-12,FALSE))</f>
        <v>98</v>
      </c>
      <c r="AK59" s="281"/>
      <c r="AL59" s="281">
        <f>IF(HLOOKUP(AL$13,'MP (nominal)'!$D$12:$AM$244,ROW()-12,FALSE)="","",HLOOKUP(AL$13,'MP (nominal)'!$D$12:$AM$244,ROW()-12,FALSE)*VLOOKUP($C59,CPI!$B$9:$I$63,8))</f>
        <v>1654.7227675200763</v>
      </c>
      <c r="AM59" s="31">
        <f>IF(HLOOKUP(AM$13,'MP (nominal)'!$D$12:$AM$244,ROW()-12,FALSE)="","",HLOOKUP(AM$13,'MP (nominal)'!$D$12:$AM$244,ROW()-12,FALSE))</f>
        <v>46228.415999999997</v>
      </c>
      <c r="AN59" s="31">
        <f>IF(HLOOKUP(AN$13,'MP (nominal)'!$D$12:$AM$244,ROW()-12,FALSE)="","",HLOOKUP(AN$13,'MP (nominal)'!$D$12:$AM$244,ROW()-12,FALSE))</f>
        <v>5</v>
      </c>
      <c r="AO59" s="281"/>
      <c r="AP59" s="281">
        <f>IF(HLOOKUP(AP$13,'MP (nominal)'!$D$12:$AM$244,ROW()-12,FALSE)="","",HLOOKUP(AP$13,'MP (nominal)'!$D$12:$AM$244,ROW()-12,FALSE)*VLOOKUP($C59,CPI!$B$9:$I$63,8))</f>
        <v>27243.754272770944</v>
      </c>
      <c r="AQ59" s="31">
        <f>IF(HLOOKUP(AQ$13,'MP (nominal)'!$D$12:$AM$244,ROW()-12,FALSE)="","",HLOOKUP(AQ$13,'MP (nominal)'!$D$12:$AM$244,ROW()-12,FALSE))</f>
        <v>280737.53999999998</v>
      </c>
      <c r="AR59" s="281">
        <f>IF(HLOOKUP(AR$13,'MP (nominal)'!$D$12:$AM$244,ROW()-12,FALSE)="","",HLOOKUP(AR$13,'MP (nominal)'!$D$12:$AM$244,ROW()-12,FALSE))</f>
        <v>25300</v>
      </c>
    </row>
    <row r="60" spans="1:44" s="278" customFormat="1">
      <c r="A60" s="271">
        <f>References!I263</f>
        <v>122</v>
      </c>
      <c r="B60" s="292" t="s">
        <v>161</v>
      </c>
      <c r="C60" s="284">
        <v>2010</v>
      </c>
      <c r="D60" s="27">
        <f>IF(HLOOKUP(D$13,'MP (nominal)'!$D$12:$AM$244,ROW()-12,FALSE)="","",HLOOKUP(D$13,'MP (nominal)'!$D$12:$AM$244,ROW()-12,FALSE))</f>
        <v>3279.712</v>
      </c>
      <c r="E60" s="281">
        <f>IF(HLOOKUP(E$13,'MP (nominal)'!$D$12:$AM$244,ROW()-12,FALSE)="","",HLOOKUP(E$13,'MP (nominal)'!$D$12:$AM$244,ROW()-12,FALSE))</f>
        <v>12.538</v>
      </c>
      <c r="F60" s="27">
        <f>IF(HLOOKUP(F$13,'MP (nominal)'!$D$12:$AM$244,ROW()-12,FALSE)="","",HLOOKUP(F$13,'MP (nominal)'!$D$12:$AM$244,ROW()-12,FALSE))</f>
        <v>382.00400000000002</v>
      </c>
      <c r="G60" s="281">
        <f>IF(HLOOKUP(G$13,'MP (nominal)'!$D$12:$AM$244,ROW()-12,FALSE)="","",HLOOKUP(G$13,'MP (nominal)'!$D$12:$AM$244,ROW()-12,FALSE))</f>
        <v>8.2059999999999995</v>
      </c>
      <c r="H60" s="27">
        <f>IF(HLOOKUP(H$13,'MP (nominal)'!$D$12:$AM$244,ROW()-12,FALSE)="","",HLOOKUP(H$13,'MP (nominal)'!$D$12:$AM$244,ROW()-12,FALSE))</f>
        <v>3661.7159999999999</v>
      </c>
      <c r="I60" s="31">
        <f>IF(HLOOKUP(I$13,'MP (nominal)'!$D$12:$AM$244,ROW()-12,FALSE)="","",HLOOKUP(I$13,'MP (nominal)'!$D$12:$AM$244,ROW()-12,FALSE))</f>
        <v>20.744</v>
      </c>
      <c r="J60" s="31">
        <f>IF(HLOOKUP(J$13,'MP (nominal)'!$D$12:$AM$244,ROW()-12,FALSE)="","",HLOOKUP(J$13,'MP (nominal)'!$D$12:$AM$244,ROW()-12,FALSE))</f>
        <v>3279.712</v>
      </c>
      <c r="K60" s="281"/>
      <c r="L60" s="27">
        <f>IF(HLOOKUP(L$13,'MP (nominal)'!$D$12:$AM$244,ROW()-12,FALSE)="","",HLOOKUP(L$13,'MP (nominal)'!$D$12:$AM$244,ROW()-12,FALSE))</f>
        <v>56.686</v>
      </c>
      <c r="M60" s="283">
        <f>IF(HLOOKUP(M$13,'MP (nominal)'!$D$12:$AM$244,ROW()-12,FALSE)="","",HLOOKUP(M$13,'MP (nominal)'!$D$12:$AM$244,ROW()-12,FALSE))</f>
        <v>279.82600000000002</v>
      </c>
      <c r="N60" s="35"/>
      <c r="O60" s="27">
        <f>IF(HLOOKUP(O$13,'MP (nominal)'!$D$12:$AM$244,ROW()-12,FALSE)="","",HLOOKUP(O$13,'MP (nominal)'!$D$12:$AM$244,ROW()-12,FALSE))</f>
        <v>25432</v>
      </c>
      <c r="P60" s="31"/>
      <c r="Q60" s="281"/>
      <c r="R60" s="281">
        <f>IF(HLOOKUP(R$13,'MP (nominal)'!$D$12:$AM$244,ROW()-12,FALSE)="","",HLOOKUP(R$13,'MP (nominal)'!$D$12:$AM$244,ROW()-12,FALSE))</f>
        <v>322.73</v>
      </c>
      <c r="S60" s="281">
        <f>IF(HLOOKUP(S$13,'MP (nominal)'!$D$12:$AM$244,ROW()-12,FALSE)="","",HLOOKUP(S$13,'MP (nominal)'!$D$12:$AM$244,ROW()-12,FALSE))</f>
        <v>73.61</v>
      </c>
      <c r="T60" s="281">
        <f>IF(HLOOKUP(T$13,'MP (nominal)'!$D$12:$AM$244,ROW()-12,FALSE)="","",HLOOKUP(T$13,'MP (nominal)'!$D$12:$AM$244,ROW()-12,FALSE))</f>
        <v>238.66</v>
      </c>
      <c r="U60" s="281"/>
      <c r="V60" s="281">
        <f>IF(HLOOKUP(V$13,'MP (nominal)'!$D$12:$AM$244,ROW()-12,FALSE)="","",HLOOKUP(V$13,'MP (nominal)'!$D$12:$AM$244,ROW()-12,FALSE))</f>
        <v>3.88</v>
      </c>
      <c r="W60" s="281">
        <f>IF(HLOOKUP(W$13,'MP (nominal)'!$D$12:$AM$244,ROW()-12,FALSE)="","",HLOOKUP(W$13,'MP (nominal)'!$D$12:$AM$244,ROW()-12,FALSE))</f>
        <v>0.51</v>
      </c>
      <c r="X60" s="281">
        <f>IF(HLOOKUP(X$13,'MP (nominal)'!$D$12:$AM$244,ROW()-12,FALSE)="","",HLOOKUP(X$13,'MP (nominal)'!$D$12:$AM$244,ROW()-12,FALSE))</f>
        <v>2.95</v>
      </c>
      <c r="Y60" s="281"/>
      <c r="Z60" s="281">
        <f>IF(HLOOKUP(Z$13,'MP (nominal)'!$D$12:$AM$244,ROW()-12,FALSE)="","",HLOOKUP(Z$13,'MP (nominal)'!$D$12:$AM$244,ROW()-12,FALSE)*VLOOKUP($C60,CPI!$B$9:$I$63,8))</f>
        <v>22375.66274150521</v>
      </c>
      <c r="AA60" s="281">
        <f>IF(HLOOKUP(AA$13,'MP (nominal)'!$D$12:$AM$244,ROW()-12,FALSE)="","",HLOOKUP(AA$13,'MP (nominal)'!$D$12:$AM$244,ROW()-12,FALSE))</f>
        <v>169538</v>
      </c>
      <c r="AB60" s="281">
        <f>IF(HLOOKUP(AB$13,'MP (nominal)'!$D$12:$AM$244,ROW()-12,FALSE)="","",HLOOKUP(AB$13,'MP (nominal)'!$D$12:$AM$244,ROW()-12,FALSE))</f>
        <v>25000</v>
      </c>
      <c r="AC60" s="281"/>
      <c r="AD60" s="281">
        <f>IF(HLOOKUP(AD$13,'MP (nominal)'!$D$12:$AM$244,ROW()-12,FALSE)="","",HLOOKUP(AD$13,'MP (nominal)'!$D$12:$AM$244,ROW()-12,FALSE)*VLOOKUP($C60,CPI!$B$9:$I$63,8))</f>
        <v>2119.1776023281504</v>
      </c>
      <c r="AE60" s="31">
        <f>IF(HLOOKUP(AE$13,'MP (nominal)'!$D$12:$AM$244,ROW()-12,FALSE)="","",HLOOKUP(AE$13,'MP (nominal)'!$D$12:$AM$244,ROW()-12,FALSE))</f>
        <v>26119</v>
      </c>
      <c r="AF60" s="31">
        <f>IF(HLOOKUP(AF$13,'MP (nominal)'!$D$12:$AM$244,ROW()-12,FALSE)="","",HLOOKUP(AF$13,'MP (nominal)'!$D$12:$AM$244,ROW()-12,FALSE))</f>
        <v>327</v>
      </c>
      <c r="AG60" s="281"/>
      <c r="AH60" s="281">
        <f>IF(HLOOKUP(AH$13,'MP (nominal)'!$D$12:$AM$244,ROW()-12,FALSE)="","",HLOOKUP(AH$13,'MP (nominal)'!$D$12:$AM$244,ROW()-12,FALSE)*VLOOKUP($C60,CPI!$B$9:$I$63,8))</f>
        <v>2138.5354746571093</v>
      </c>
      <c r="AI60" s="31">
        <f>IF(HLOOKUP(AI$13,'MP (nominal)'!$D$12:$AM$244,ROW()-12,FALSE)="","",HLOOKUP(AI$13,'MP (nominal)'!$D$12:$AM$244,ROW()-12,FALSE))</f>
        <v>42957</v>
      </c>
      <c r="AJ60" s="31">
        <f>IF(HLOOKUP(AJ$13,'MP (nominal)'!$D$12:$AM$244,ROW()-12,FALSE)="","",HLOOKUP(AJ$13,'MP (nominal)'!$D$12:$AM$244,ROW()-12,FALSE))</f>
        <v>100</v>
      </c>
      <c r="AK60" s="281"/>
      <c r="AL60" s="281">
        <f>IF(HLOOKUP(AL$13,'MP (nominal)'!$D$12:$AM$244,ROW()-12,FALSE)="","",HLOOKUP(AL$13,'MP (nominal)'!$D$12:$AM$244,ROW()-12,FALSE)*VLOOKUP($C60,CPI!$B$9:$I$63,8))</f>
        <v>1522.1400662876233</v>
      </c>
      <c r="AM60" s="31">
        <f>IF(HLOOKUP(AM$13,'MP (nominal)'!$D$12:$AM$244,ROW()-12,FALSE)="","",HLOOKUP(AM$13,'MP (nominal)'!$D$12:$AM$244,ROW()-12,FALSE))</f>
        <v>41212</v>
      </c>
      <c r="AN60" s="31">
        <f>IF(HLOOKUP(AN$13,'MP (nominal)'!$D$12:$AM$244,ROW()-12,FALSE)="","",HLOOKUP(AN$13,'MP (nominal)'!$D$12:$AM$244,ROW()-12,FALSE))</f>
        <v>5</v>
      </c>
      <c r="AO60" s="281"/>
      <c r="AP60" s="281">
        <f>IF(HLOOKUP(AP$13,'MP (nominal)'!$D$12:$AM$244,ROW()-12,FALSE)="","",HLOOKUP(AP$13,'MP (nominal)'!$D$12:$AM$244,ROW()-12,FALSE)*VLOOKUP($C60,CPI!$B$9:$I$63,8))</f>
        <v>28155.515884778095</v>
      </c>
      <c r="AQ60" s="31">
        <f>IF(HLOOKUP(AQ$13,'MP (nominal)'!$D$12:$AM$244,ROW()-12,FALSE)="","",HLOOKUP(AQ$13,'MP (nominal)'!$D$12:$AM$244,ROW()-12,FALSE))</f>
        <v>279826</v>
      </c>
      <c r="AR60" s="281">
        <f>IF(HLOOKUP(AR$13,'MP (nominal)'!$D$12:$AM$244,ROW()-12,FALSE)="","",HLOOKUP(AR$13,'MP (nominal)'!$D$12:$AM$244,ROW()-12,FALSE))</f>
        <v>25432</v>
      </c>
    </row>
    <row r="61" spans="1:44" s="278" customFormat="1">
      <c r="A61" s="271">
        <f>References!J263</f>
        <v>123</v>
      </c>
      <c r="B61" s="292" t="s">
        <v>161</v>
      </c>
      <c r="C61" s="284">
        <v>2011</v>
      </c>
      <c r="D61" s="27">
        <f>IF(HLOOKUP(D$13,'MP (nominal)'!$D$12:$AM$244,ROW()-12,FALSE)="","",HLOOKUP(D$13,'MP (nominal)'!$D$12:$AM$244,ROW()-12,FALSE))</f>
        <v>3272.5140000000001</v>
      </c>
      <c r="E61" s="281">
        <f>IF(HLOOKUP(E$13,'MP (nominal)'!$D$12:$AM$244,ROW()-12,FALSE)="","",HLOOKUP(E$13,'MP (nominal)'!$D$12:$AM$244,ROW()-12,FALSE))</f>
        <v>12.541</v>
      </c>
      <c r="F61" s="27">
        <f>IF(HLOOKUP(F$13,'MP (nominal)'!$D$12:$AM$244,ROW()-12,FALSE)="","",HLOOKUP(F$13,'MP (nominal)'!$D$12:$AM$244,ROW()-12,FALSE))</f>
        <v>381.11624</v>
      </c>
      <c r="G61" s="281">
        <f>IF(HLOOKUP(G$13,'MP (nominal)'!$D$12:$AM$244,ROW()-12,FALSE)="","",HLOOKUP(G$13,'MP (nominal)'!$D$12:$AM$244,ROW()-12,FALSE))</f>
        <v>7.3310000000000004</v>
      </c>
      <c r="H61" s="27">
        <f>IF(HLOOKUP(H$13,'MP (nominal)'!$D$12:$AM$244,ROW()-12,FALSE)="","",HLOOKUP(H$13,'MP (nominal)'!$D$12:$AM$244,ROW()-12,FALSE))</f>
        <v>3653.6302000000001</v>
      </c>
      <c r="I61" s="31">
        <f>IF(HLOOKUP(I$13,'MP (nominal)'!$D$12:$AM$244,ROW()-12,FALSE)="","",HLOOKUP(I$13,'MP (nominal)'!$D$12:$AM$244,ROW()-12,FALSE))</f>
        <v>19.872</v>
      </c>
      <c r="J61" s="31">
        <f>IF(HLOOKUP(J$13,'MP (nominal)'!$D$12:$AM$244,ROW()-12,FALSE)="","",HLOOKUP(J$13,'MP (nominal)'!$D$12:$AM$244,ROW()-12,FALSE))</f>
        <v>3272.5140000000001</v>
      </c>
      <c r="K61" s="281"/>
      <c r="L61" s="27">
        <f>IF(HLOOKUP(L$13,'MP (nominal)'!$D$12:$AM$244,ROW()-12,FALSE)="","",HLOOKUP(L$13,'MP (nominal)'!$D$12:$AM$244,ROW()-12,FALSE))</f>
        <v>56.404000000000003</v>
      </c>
      <c r="M61" s="283">
        <f>IF(HLOOKUP(M$13,'MP (nominal)'!$D$12:$AM$244,ROW()-12,FALSE)="","",HLOOKUP(M$13,'MP (nominal)'!$D$12:$AM$244,ROW()-12,FALSE))</f>
        <v>282.07</v>
      </c>
      <c r="N61" s="35"/>
      <c r="O61" s="27">
        <f>IF(HLOOKUP(O$13,'MP (nominal)'!$D$12:$AM$244,ROW()-12,FALSE)="","",HLOOKUP(O$13,'MP (nominal)'!$D$12:$AM$244,ROW()-12,FALSE))</f>
        <v>25514</v>
      </c>
      <c r="P61" s="31"/>
      <c r="Q61" s="281"/>
      <c r="R61" s="281">
        <f>IF(HLOOKUP(R$13,'MP (nominal)'!$D$12:$AM$244,ROW()-12,FALSE)="","",HLOOKUP(R$13,'MP (nominal)'!$D$12:$AM$244,ROW()-12,FALSE))</f>
        <v>340.8</v>
      </c>
      <c r="S61" s="281">
        <f>IF(HLOOKUP(S$13,'MP (nominal)'!$D$12:$AM$244,ROW()-12,FALSE)="","",HLOOKUP(S$13,'MP (nominal)'!$D$12:$AM$244,ROW()-12,FALSE))</f>
        <v>76.599999999999994</v>
      </c>
      <c r="T61" s="281">
        <f>IF(HLOOKUP(T$13,'MP (nominal)'!$D$12:$AM$244,ROW()-12,FALSE)="","",HLOOKUP(T$13,'MP (nominal)'!$D$12:$AM$244,ROW()-12,FALSE))</f>
        <v>257.39</v>
      </c>
      <c r="U61" s="281"/>
      <c r="V61" s="281">
        <f>IF(HLOOKUP(V$13,'MP (nominal)'!$D$12:$AM$244,ROW()-12,FALSE)="","",HLOOKUP(V$13,'MP (nominal)'!$D$12:$AM$244,ROW()-12,FALSE))</f>
        <v>3.52</v>
      </c>
      <c r="W61" s="281">
        <f>IF(HLOOKUP(W$13,'MP (nominal)'!$D$12:$AM$244,ROW()-12,FALSE)="","",HLOOKUP(W$13,'MP (nominal)'!$D$12:$AM$244,ROW()-12,FALSE))</f>
        <v>0.33</v>
      </c>
      <c r="X61" s="281">
        <f>IF(HLOOKUP(X$13,'MP (nominal)'!$D$12:$AM$244,ROW()-12,FALSE)="","",HLOOKUP(X$13,'MP (nominal)'!$D$12:$AM$244,ROW()-12,FALSE))</f>
        <v>3.15</v>
      </c>
      <c r="Y61" s="281"/>
      <c r="Z61" s="281">
        <f>IF(HLOOKUP(Z$13,'MP (nominal)'!$D$12:$AM$244,ROW()-12,FALSE)="","",HLOOKUP(Z$13,'MP (nominal)'!$D$12:$AM$244,ROW()-12,FALSE)*VLOOKUP($C61,CPI!$B$9:$I$63,8))</f>
        <v>23259</v>
      </c>
      <c r="AA61" s="281">
        <f>IF(HLOOKUP(AA$13,'MP (nominal)'!$D$12:$AM$244,ROW()-12,FALSE)="","",HLOOKUP(AA$13,'MP (nominal)'!$D$12:$AM$244,ROW()-12,FALSE))</f>
        <v>167400</v>
      </c>
      <c r="AB61" s="281">
        <f>IF(HLOOKUP(AB$13,'MP (nominal)'!$D$12:$AM$244,ROW()-12,FALSE)="","",HLOOKUP(AB$13,'MP (nominal)'!$D$12:$AM$244,ROW()-12,FALSE))</f>
        <v>25065</v>
      </c>
      <c r="AC61" s="281"/>
      <c r="AD61" s="281">
        <f>IF(HLOOKUP(AD$13,'MP (nominal)'!$D$12:$AM$244,ROW()-12,FALSE)="","",HLOOKUP(AD$13,'MP (nominal)'!$D$12:$AM$244,ROW()-12,FALSE)*VLOOKUP($C61,CPI!$B$9:$I$63,8))</f>
        <v>2258</v>
      </c>
      <c r="AE61" s="31">
        <f>IF(HLOOKUP(AE$13,'MP (nominal)'!$D$12:$AM$244,ROW()-12,FALSE)="","",HLOOKUP(AE$13,'MP (nominal)'!$D$12:$AM$244,ROW()-12,FALSE))</f>
        <v>26166</v>
      </c>
      <c r="AF61" s="31">
        <f>IF(HLOOKUP(AF$13,'MP (nominal)'!$D$12:$AM$244,ROW()-12,FALSE)="","",HLOOKUP(AF$13,'MP (nominal)'!$D$12:$AM$244,ROW()-12,FALSE))</f>
        <v>336</v>
      </c>
      <c r="AG61" s="281"/>
      <c r="AH61" s="281">
        <f>IF(HLOOKUP(AH$13,'MP (nominal)'!$D$12:$AM$244,ROW()-12,FALSE)="","",HLOOKUP(AH$13,'MP (nominal)'!$D$12:$AM$244,ROW()-12,FALSE)*VLOOKUP($C61,CPI!$B$9:$I$63,8))</f>
        <v>2329</v>
      </c>
      <c r="AI61" s="31">
        <f>IF(HLOOKUP(AI$13,'MP (nominal)'!$D$12:$AM$244,ROW()-12,FALSE)="","",HLOOKUP(AI$13,'MP (nominal)'!$D$12:$AM$244,ROW()-12,FALSE))</f>
        <v>44241</v>
      </c>
      <c r="AJ61" s="31">
        <f>IF(HLOOKUP(AJ$13,'MP (nominal)'!$D$12:$AM$244,ROW()-12,FALSE)="","",HLOOKUP(AJ$13,'MP (nominal)'!$D$12:$AM$244,ROW()-12,FALSE))</f>
        <v>108</v>
      </c>
      <c r="AK61" s="281"/>
      <c r="AL61" s="281">
        <f>IF(HLOOKUP(AL$13,'MP (nominal)'!$D$12:$AM$244,ROW()-12,FALSE)="","",HLOOKUP(AL$13,'MP (nominal)'!$D$12:$AM$244,ROW()-12,FALSE)*VLOOKUP($C61,CPI!$B$9:$I$63,8))</f>
        <v>1607</v>
      </c>
      <c r="AM61" s="31">
        <f>IF(HLOOKUP(AM$13,'MP (nominal)'!$D$12:$AM$244,ROW()-12,FALSE)="","",HLOOKUP(AM$13,'MP (nominal)'!$D$12:$AM$244,ROW()-12,FALSE))</f>
        <v>44263</v>
      </c>
      <c r="AN61" s="31">
        <f>IF(HLOOKUP(AN$13,'MP (nominal)'!$D$12:$AM$244,ROW()-12,FALSE)="","",HLOOKUP(AN$13,'MP (nominal)'!$D$12:$AM$244,ROW()-12,FALSE))</f>
        <v>5</v>
      </c>
      <c r="AO61" s="281"/>
      <c r="AP61" s="281">
        <f>IF(HLOOKUP(AP$13,'MP (nominal)'!$D$12:$AM$244,ROW()-12,FALSE)="","",HLOOKUP(AP$13,'MP (nominal)'!$D$12:$AM$244,ROW()-12,FALSE)*VLOOKUP($C61,CPI!$B$9:$I$63,8))</f>
        <v>29453</v>
      </c>
      <c r="AQ61" s="31">
        <f>IF(HLOOKUP(AQ$13,'MP (nominal)'!$D$12:$AM$244,ROW()-12,FALSE)="","",HLOOKUP(AQ$13,'MP (nominal)'!$D$12:$AM$244,ROW()-12,FALSE))</f>
        <v>282070</v>
      </c>
      <c r="AR61" s="281">
        <f>IF(HLOOKUP(AR$13,'MP (nominal)'!$D$12:$AM$244,ROW()-12,FALSE)="","",HLOOKUP(AR$13,'MP (nominal)'!$D$12:$AM$244,ROW()-12,FALSE))</f>
        <v>25514</v>
      </c>
    </row>
    <row r="62" spans="1:44" s="278" customFormat="1" hidden="1">
      <c r="A62" s="271">
        <f>References!C264</f>
        <v>139</v>
      </c>
      <c r="B62" s="292" t="s">
        <v>35</v>
      </c>
      <c r="C62" s="284">
        <v>2004</v>
      </c>
      <c r="D62" s="27" t="str">
        <f>IF(HLOOKUP(D$13,'MP (nominal)'!$D$12:$AM$244,ROW()-12,FALSE)="","",HLOOKUP(D$13,'MP (nominal)'!$D$12:$AM$244,ROW()-12,FALSE))</f>
        <v/>
      </c>
      <c r="E62" s="281" t="str">
        <f>IF(HLOOKUP(E$13,'MP (nominal)'!$D$12:$AM$244,ROW()-12,FALSE)="","",HLOOKUP(E$13,'MP (nominal)'!$D$12:$AM$244,ROW()-12,FALSE))</f>
        <v/>
      </c>
      <c r="F62" s="27">
        <f>IF(HLOOKUP(F$13,'MP (nominal)'!$D$12:$AM$244,ROW()-12,FALSE)="","",HLOOKUP(F$13,'MP (nominal)'!$D$12:$AM$244,ROW()-12,FALSE))</f>
        <v>589</v>
      </c>
      <c r="G62" s="281" t="str">
        <f>IF(HLOOKUP(G$13,'MP (nominal)'!$D$12:$AM$244,ROW()-12,FALSE)="","",HLOOKUP(G$13,'MP (nominal)'!$D$12:$AM$244,ROW()-12,FALSE))</f>
        <v/>
      </c>
      <c r="H62" s="27">
        <f>IF(HLOOKUP(H$13,'MP (nominal)'!$D$12:$AM$244,ROW()-12,FALSE)="","",HLOOKUP(H$13,'MP (nominal)'!$D$12:$AM$244,ROW()-12,FALSE))</f>
        <v>2148</v>
      </c>
      <c r="I62" s="31" t="str">
        <f>IF(HLOOKUP(I$13,'MP (nominal)'!$D$12:$AM$244,ROW()-12,FALSE)="","",HLOOKUP(I$13,'MP (nominal)'!$D$12:$AM$244,ROW()-12,FALSE))</f>
        <v/>
      </c>
      <c r="J62" s="31">
        <f>IF(HLOOKUP(J$13,'MP (nominal)'!$D$12:$AM$244,ROW()-12,FALSE)="","",HLOOKUP(J$13,'MP (nominal)'!$D$12:$AM$244,ROW()-12,FALSE))</f>
        <v>1559</v>
      </c>
      <c r="K62" s="281"/>
      <c r="L62" s="27">
        <f>IF(HLOOKUP(L$13,'MP (nominal)'!$D$12:$AM$244,ROW()-12,FALSE)="","",HLOOKUP(L$13,'MP (nominal)'!$D$12:$AM$244,ROW()-12,FALSE))</f>
        <v>82.016000000000005</v>
      </c>
      <c r="M62" s="293">
        <f>IF(HLOOKUP(M$13,'MP (nominal)'!$D$12:$AM$244,ROW()-12,FALSE)="","",HLOOKUP(M$13,'MP (nominal)'!$D$12:$AM$244,ROW()-12,FALSE))</f>
        <v>368.91154399999999</v>
      </c>
      <c r="N62" s="35"/>
      <c r="O62" s="27">
        <f>IF(HLOOKUP(O$13,'MP (nominal)'!$D$12:$AM$244,ROW()-12,FALSE)="","",HLOOKUP(O$13,'MP (nominal)'!$D$12:$AM$244,ROW()-12,FALSE))</f>
        <v>39541</v>
      </c>
      <c r="P62" s="31"/>
      <c r="Q62" s="281"/>
      <c r="R62" s="281">
        <f>IF(HLOOKUP(R$13,'MP (nominal)'!$D$12:$AM$244,ROW()-12,FALSE)="","",HLOOKUP(R$13,'MP (nominal)'!$D$12:$AM$244,ROW()-12,FALSE))</f>
        <v>133.47</v>
      </c>
      <c r="S62" s="281" t="str">
        <f>IF(HLOOKUP(S$13,'MP (nominal)'!$D$12:$AM$244,ROW()-12,FALSE)="","",HLOOKUP(S$13,'MP (nominal)'!$D$12:$AM$244,ROW()-12,FALSE))</f>
        <v/>
      </c>
      <c r="T62" s="281" t="str">
        <f>IF(HLOOKUP(T$13,'MP (nominal)'!$D$12:$AM$244,ROW()-12,FALSE)="","",HLOOKUP(T$13,'MP (nominal)'!$D$12:$AM$244,ROW()-12,FALSE))</f>
        <v/>
      </c>
      <c r="U62" s="281"/>
      <c r="V62" s="281">
        <f>IF(HLOOKUP(V$13,'MP (nominal)'!$D$12:$AM$244,ROW()-12,FALSE)="","",HLOOKUP(V$13,'MP (nominal)'!$D$12:$AM$244,ROW()-12,FALSE))</f>
        <v>3.4990000000000001</v>
      </c>
      <c r="W62" s="281" t="str">
        <f>IF(HLOOKUP(W$13,'MP (nominal)'!$D$12:$AM$244,ROW()-12,FALSE)="","",HLOOKUP(W$13,'MP (nominal)'!$D$12:$AM$244,ROW()-12,FALSE))</f>
        <v/>
      </c>
      <c r="X62" s="281" t="str">
        <f>IF(HLOOKUP(X$13,'MP (nominal)'!$D$12:$AM$244,ROW()-12,FALSE)="","",HLOOKUP(X$13,'MP (nominal)'!$D$12:$AM$244,ROW()-12,FALSE))</f>
        <v/>
      </c>
      <c r="Y62" s="281"/>
      <c r="Z62" s="281" t="str">
        <f>IF(HLOOKUP(Z$13,'MP (nominal)'!$D$12:$AM$244,ROW()-12,FALSE)="","",HLOOKUP(Z$13,'MP (nominal)'!$D$12:$AM$244,ROW()-12,FALSE)*VLOOKUP($C62,CPI!$B$9:$I$63,8))</f>
        <v/>
      </c>
      <c r="AA62" s="281" t="str">
        <f>IF(HLOOKUP(AA$13,'MP (nominal)'!$D$12:$AM$244,ROW()-12,FALSE)="","",HLOOKUP(AA$13,'MP (nominal)'!$D$12:$AM$244,ROW()-12,FALSE))</f>
        <v/>
      </c>
      <c r="AB62" s="281" t="str">
        <f>IF(HLOOKUP(AB$13,'MP (nominal)'!$D$12:$AM$244,ROW()-12,FALSE)="","",HLOOKUP(AB$13,'MP (nominal)'!$D$12:$AM$244,ROW()-12,FALSE))</f>
        <v/>
      </c>
      <c r="AC62" s="281"/>
      <c r="AD62" s="281" t="str">
        <f>IF(HLOOKUP(AD$13,'MP (nominal)'!$D$12:$AM$244,ROW()-12,FALSE)="","",HLOOKUP(AD$13,'MP (nominal)'!$D$12:$AM$244,ROW()-12,FALSE)*VLOOKUP($C62,CPI!$B$9:$I$63,8))</f>
        <v/>
      </c>
      <c r="AE62" s="31" t="str">
        <f>IF(HLOOKUP(AE$13,'MP (nominal)'!$D$12:$AM$244,ROW()-12,FALSE)="","",HLOOKUP(AE$13,'MP (nominal)'!$D$12:$AM$244,ROW()-12,FALSE))</f>
        <v/>
      </c>
      <c r="AF62" s="31" t="str">
        <f>IF(HLOOKUP(AF$13,'MP (nominal)'!$D$12:$AM$244,ROW()-12,FALSE)="","",HLOOKUP(AF$13,'MP (nominal)'!$D$12:$AM$244,ROW()-12,FALSE))</f>
        <v/>
      </c>
      <c r="AG62" s="281"/>
      <c r="AH62" s="281" t="str">
        <f>IF(HLOOKUP(AH$13,'MP (nominal)'!$D$12:$AM$244,ROW()-12,FALSE)="","",HLOOKUP(AH$13,'MP (nominal)'!$D$12:$AM$244,ROW()-12,FALSE)*VLOOKUP($C62,CPI!$B$9:$I$63,8))</f>
        <v/>
      </c>
      <c r="AI62" s="31" t="str">
        <f>IF(HLOOKUP(AI$13,'MP (nominal)'!$D$12:$AM$244,ROW()-12,FALSE)="","",HLOOKUP(AI$13,'MP (nominal)'!$D$12:$AM$244,ROW()-12,FALSE))</f>
        <v/>
      </c>
      <c r="AJ62" s="31" t="str">
        <f>IF(HLOOKUP(AJ$13,'MP (nominal)'!$D$12:$AM$244,ROW()-12,FALSE)="","",HLOOKUP(AJ$13,'MP (nominal)'!$D$12:$AM$244,ROW()-12,FALSE))</f>
        <v/>
      </c>
      <c r="AK62" s="281"/>
      <c r="AL62" s="281" t="str">
        <f>IF(HLOOKUP(AL$13,'MP (nominal)'!$D$12:$AM$244,ROW()-12,FALSE)="","",HLOOKUP(AL$13,'MP (nominal)'!$D$12:$AM$244,ROW()-12,FALSE)*VLOOKUP($C62,CPI!$B$9:$I$63,8))</f>
        <v/>
      </c>
      <c r="AM62" s="31" t="str">
        <f>IF(HLOOKUP(AM$13,'MP (nominal)'!$D$12:$AM$244,ROW()-12,FALSE)="","",HLOOKUP(AM$13,'MP (nominal)'!$D$12:$AM$244,ROW()-12,FALSE))</f>
        <v/>
      </c>
      <c r="AN62" s="31" t="str">
        <f>IF(HLOOKUP(AN$13,'MP (nominal)'!$D$12:$AM$244,ROW()-12,FALSE)="","",HLOOKUP(AN$13,'MP (nominal)'!$D$12:$AM$244,ROW()-12,FALSE))</f>
        <v/>
      </c>
      <c r="AO62" s="281"/>
      <c r="AP62" s="281" t="str">
        <f>IF(HLOOKUP(AP$13,'MP (nominal)'!$D$12:$AM$244,ROW()-12,FALSE)="","",HLOOKUP(AP$13,'MP (nominal)'!$D$12:$AM$244,ROW()-12,FALSE)*VLOOKUP($C62,CPI!$B$9:$I$63,8))</f>
        <v/>
      </c>
      <c r="AQ62" s="31" t="str">
        <f>IF(HLOOKUP(AQ$13,'MP (nominal)'!$D$12:$AM$244,ROW()-12,FALSE)="","",HLOOKUP(AQ$13,'MP (nominal)'!$D$12:$AM$244,ROW()-12,FALSE))</f>
        <v/>
      </c>
      <c r="AR62" s="281" t="str">
        <f>IF(HLOOKUP(AR$13,'MP (nominal)'!$D$12:$AM$244,ROW()-12,FALSE)="","",HLOOKUP(AR$13,'MP (nominal)'!$D$12:$AM$244,ROW()-12,FALSE))</f>
        <v/>
      </c>
    </row>
    <row r="63" spans="1:44" s="278" customFormat="1" hidden="1">
      <c r="A63" s="271">
        <f>References!D264</f>
        <v>140</v>
      </c>
      <c r="B63" s="292" t="s">
        <v>35</v>
      </c>
      <c r="C63" s="284">
        <v>2005</v>
      </c>
      <c r="D63" s="27" t="str">
        <f>IF(HLOOKUP(D$13,'MP (nominal)'!$D$12:$AM$244,ROW()-12,FALSE)="","",HLOOKUP(D$13,'MP (nominal)'!$D$12:$AM$244,ROW()-12,FALSE))</f>
        <v/>
      </c>
      <c r="E63" s="281" t="str">
        <f>IF(HLOOKUP(E$13,'MP (nominal)'!$D$12:$AM$244,ROW()-12,FALSE)="","",HLOOKUP(E$13,'MP (nominal)'!$D$12:$AM$244,ROW()-12,FALSE))</f>
        <v/>
      </c>
      <c r="F63" s="27">
        <f>IF(HLOOKUP(F$13,'MP (nominal)'!$D$12:$AM$244,ROW()-12,FALSE)="","",HLOOKUP(F$13,'MP (nominal)'!$D$12:$AM$244,ROW()-12,FALSE))</f>
        <v>614</v>
      </c>
      <c r="G63" s="281" t="str">
        <f>IF(HLOOKUP(G$13,'MP (nominal)'!$D$12:$AM$244,ROW()-12,FALSE)="","",HLOOKUP(G$13,'MP (nominal)'!$D$12:$AM$244,ROW()-12,FALSE))</f>
        <v/>
      </c>
      <c r="H63" s="27">
        <f>IF(HLOOKUP(H$13,'MP (nominal)'!$D$12:$AM$244,ROW()-12,FALSE)="","",HLOOKUP(H$13,'MP (nominal)'!$D$12:$AM$244,ROW()-12,FALSE))</f>
        <v>2165</v>
      </c>
      <c r="I63" s="31" t="str">
        <f>IF(HLOOKUP(I$13,'MP (nominal)'!$D$12:$AM$244,ROW()-12,FALSE)="","",HLOOKUP(I$13,'MP (nominal)'!$D$12:$AM$244,ROW()-12,FALSE))</f>
        <v/>
      </c>
      <c r="J63" s="31">
        <f>IF(HLOOKUP(J$13,'MP (nominal)'!$D$12:$AM$244,ROW()-12,FALSE)="","",HLOOKUP(J$13,'MP (nominal)'!$D$12:$AM$244,ROW()-12,FALSE))</f>
        <v>1551</v>
      </c>
      <c r="K63" s="281"/>
      <c r="L63" s="27">
        <f>IF(HLOOKUP(L$13,'MP (nominal)'!$D$12:$AM$244,ROW()-12,FALSE)="","",HLOOKUP(L$13,'MP (nominal)'!$D$12:$AM$244,ROW()-12,FALSE))</f>
        <v>91.406000000000006</v>
      </c>
      <c r="M63" s="293">
        <f>IF(HLOOKUP(M$13,'MP (nominal)'!$D$12:$AM$244,ROW()-12,FALSE)="","",HLOOKUP(M$13,'MP (nominal)'!$D$12:$AM$244,ROW()-12,FALSE))</f>
        <v>388.34218800000002</v>
      </c>
      <c r="N63" s="35"/>
      <c r="O63" s="27">
        <f>IF(HLOOKUP(O$13,'MP (nominal)'!$D$12:$AM$244,ROW()-12,FALSE)="","",HLOOKUP(O$13,'MP (nominal)'!$D$12:$AM$244,ROW()-12,FALSE))</f>
        <v>39906</v>
      </c>
      <c r="P63" s="31"/>
      <c r="Q63" s="281"/>
      <c r="R63" s="281">
        <f>IF(HLOOKUP(R$13,'MP (nominal)'!$D$12:$AM$244,ROW()-12,FALSE)="","",HLOOKUP(R$13,'MP (nominal)'!$D$12:$AM$244,ROW()-12,FALSE))</f>
        <v>83.86</v>
      </c>
      <c r="S63" s="281" t="str">
        <f>IF(HLOOKUP(S$13,'MP (nominal)'!$D$12:$AM$244,ROW()-12,FALSE)="","",HLOOKUP(S$13,'MP (nominal)'!$D$12:$AM$244,ROW()-12,FALSE))</f>
        <v/>
      </c>
      <c r="T63" s="281" t="str">
        <f>IF(HLOOKUP(T$13,'MP (nominal)'!$D$12:$AM$244,ROW()-12,FALSE)="","",HLOOKUP(T$13,'MP (nominal)'!$D$12:$AM$244,ROW()-12,FALSE))</f>
        <v/>
      </c>
      <c r="U63" s="281"/>
      <c r="V63" s="281">
        <f>IF(HLOOKUP(V$13,'MP (nominal)'!$D$12:$AM$244,ROW()-12,FALSE)="","",HLOOKUP(V$13,'MP (nominal)'!$D$12:$AM$244,ROW()-12,FALSE))</f>
        <v>1.95</v>
      </c>
      <c r="W63" s="281" t="str">
        <f>IF(HLOOKUP(W$13,'MP (nominal)'!$D$12:$AM$244,ROW()-12,FALSE)="","",HLOOKUP(W$13,'MP (nominal)'!$D$12:$AM$244,ROW()-12,FALSE))</f>
        <v/>
      </c>
      <c r="X63" s="281" t="str">
        <f>IF(HLOOKUP(X$13,'MP (nominal)'!$D$12:$AM$244,ROW()-12,FALSE)="","",HLOOKUP(X$13,'MP (nominal)'!$D$12:$AM$244,ROW()-12,FALSE))</f>
        <v/>
      </c>
      <c r="Y63" s="281"/>
      <c r="Z63" s="281" t="str">
        <f>IF(HLOOKUP(Z$13,'MP (nominal)'!$D$12:$AM$244,ROW()-12,FALSE)="","",HLOOKUP(Z$13,'MP (nominal)'!$D$12:$AM$244,ROW()-12,FALSE)*VLOOKUP($C63,CPI!$B$9:$I$63,8))</f>
        <v/>
      </c>
      <c r="AA63" s="281" t="str">
        <f>IF(HLOOKUP(AA$13,'MP (nominal)'!$D$12:$AM$244,ROW()-12,FALSE)="","",HLOOKUP(AA$13,'MP (nominal)'!$D$12:$AM$244,ROW()-12,FALSE))</f>
        <v/>
      </c>
      <c r="AB63" s="281" t="str">
        <f>IF(HLOOKUP(AB$13,'MP (nominal)'!$D$12:$AM$244,ROW()-12,FALSE)="","",HLOOKUP(AB$13,'MP (nominal)'!$D$12:$AM$244,ROW()-12,FALSE))</f>
        <v/>
      </c>
      <c r="AC63" s="281"/>
      <c r="AD63" s="281" t="str">
        <f>IF(HLOOKUP(AD$13,'MP (nominal)'!$D$12:$AM$244,ROW()-12,FALSE)="","",HLOOKUP(AD$13,'MP (nominal)'!$D$12:$AM$244,ROW()-12,FALSE)*VLOOKUP($C63,CPI!$B$9:$I$63,8))</f>
        <v/>
      </c>
      <c r="AE63" s="31" t="str">
        <f>IF(HLOOKUP(AE$13,'MP (nominal)'!$D$12:$AM$244,ROW()-12,FALSE)="","",HLOOKUP(AE$13,'MP (nominal)'!$D$12:$AM$244,ROW()-12,FALSE))</f>
        <v/>
      </c>
      <c r="AF63" s="31" t="str">
        <f>IF(HLOOKUP(AF$13,'MP (nominal)'!$D$12:$AM$244,ROW()-12,FALSE)="","",HLOOKUP(AF$13,'MP (nominal)'!$D$12:$AM$244,ROW()-12,FALSE))</f>
        <v/>
      </c>
      <c r="AG63" s="281"/>
      <c r="AH63" s="281" t="str">
        <f>IF(HLOOKUP(AH$13,'MP (nominal)'!$D$12:$AM$244,ROW()-12,FALSE)="","",HLOOKUP(AH$13,'MP (nominal)'!$D$12:$AM$244,ROW()-12,FALSE)*VLOOKUP($C63,CPI!$B$9:$I$63,8))</f>
        <v/>
      </c>
      <c r="AI63" s="31" t="str">
        <f>IF(HLOOKUP(AI$13,'MP (nominal)'!$D$12:$AM$244,ROW()-12,FALSE)="","",HLOOKUP(AI$13,'MP (nominal)'!$D$12:$AM$244,ROW()-12,FALSE))</f>
        <v/>
      </c>
      <c r="AJ63" s="31" t="str">
        <f>IF(HLOOKUP(AJ$13,'MP (nominal)'!$D$12:$AM$244,ROW()-12,FALSE)="","",HLOOKUP(AJ$13,'MP (nominal)'!$D$12:$AM$244,ROW()-12,FALSE))</f>
        <v/>
      </c>
      <c r="AK63" s="281"/>
      <c r="AL63" s="281" t="str">
        <f>IF(HLOOKUP(AL$13,'MP (nominal)'!$D$12:$AM$244,ROW()-12,FALSE)="","",HLOOKUP(AL$13,'MP (nominal)'!$D$12:$AM$244,ROW()-12,FALSE)*VLOOKUP($C63,CPI!$B$9:$I$63,8))</f>
        <v/>
      </c>
      <c r="AM63" s="31" t="str">
        <f>IF(HLOOKUP(AM$13,'MP (nominal)'!$D$12:$AM$244,ROW()-12,FALSE)="","",HLOOKUP(AM$13,'MP (nominal)'!$D$12:$AM$244,ROW()-12,FALSE))</f>
        <v/>
      </c>
      <c r="AN63" s="31" t="str">
        <f>IF(HLOOKUP(AN$13,'MP (nominal)'!$D$12:$AM$244,ROW()-12,FALSE)="","",HLOOKUP(AN$13,'MP (nominal)'!$D$12:$AM$244,ROW()-12,FALSE))</f>
        <v/>
      </c>
      <c r="AO63" s="281"/>
      <c r="AP63" s="281" t="str">
        <f>IF(HLOOKUP(AP$13,'MP (nominal)'!$D$12:$AM$244,ROW()-12,FALSE)="","",HLOOKUP(AP$13,'MP (nominal)'!$D$12:$AM$244,ROW()-12,FALSE)*VLOOKUP($C63,CPI!$B$9:$I$63,8))</f>
        <v/>
      </c>
      <c r="AQ63" s="31" t="str">
        <f>IF(HLOOKUP(AQ$13,'MP (nominal)'!$D$12:$AM$244,ROW()-12,FALSE)="","",HLOOKUP(AQ$13,'MP (nominal)'!$D$12:$AM$244,ROW()-12,FALSE))</f>
        <v/>
      </c>
      <c r="AR63" s="281" t="str">
        <f>IF(HLOOKUP(AR$13,'MP (nominal)'!$D$12:$AM$244,ROW()-12,FALSE)="","",HLOOKUP(AR$13,'MP (nominal)'!$D$12:$AM$244,ROW()-12,FALSE))</f>
        <v/>
      </c>
    </row>
    <row r="64" spans="1:44" s="278" customFormat="1" hidden="1">
      <c r="A64" s="271">
        <f>References!E264</f>
        <v>141</v>
      </c>
      <c r="B64" s="292" t="s">
        <v>35</v>
      </c>
      <c r="C64" s="284">
        <v>2006</v>
      </c>
      <c r="D64" s="27" t="str">
        <f>IF(HLOOKUP(D$13,'MP (nominal)'!$D$12:$AM$244,ROW()-12,FALSE)="","",HLOOKUP(D$13,'MP (nominal)'!$D$12:$AM$244,ROW()-12,FALSE))</f>
        <v/>
      </c>
      <c r="E64" s="281" t="str">
        <f>IF(HLOOKUP(E$13,'MP (nominal)'!$D$12:$AM$244,ROW()-12,FALSE)="","",HLOOKUP(E$13,'MP (nominal)'!$D$12:$AM$244,ROW()-12,FALSE))</f>
        <v/>
      </c>
      <c r="F64" s="27">
        <f>IF(HLOOKUP(F$13,'MP (nominal)'!$D$12:$AM$244,ROW()-12,FALSE)="","",HLOOKUP(F$13,'MP (nominal)'!$D$12:$AM$244,ROW()-12,FALSE))</f>
        <v>629</v>
      </c>
      <c r="G64" s="281" t="str">
        <f>IF(HLOOKUP(G$13,'MP (nominal)'!$D$12:$AM$244,ROW()-12,FALSE)="","",HLOOKUP(G$13,'MP (nominal)'!$D$12:$AM$244,ROW()-12,FALSE))</f>
        <v/>
      </c>
      <c r="H64" s="27">
        <f>IF(HLOOKUP(H$13,'MP (nominal)'!$D$12:$AM$244,ROW()-12,FALSE)="","",HLOOKUP(H$13,'MP (nominal)'!$D$12:$AM$244,ROW()-12,FALSE))</f>
        <v>2179</v>
      </c>
      <c r="I64" s="31" t="str">
        <f>IF(HLOOKUP(I$13,'MP (nominal)'!$D$12:$AM$244,ROW()-12,FALSE)="","",HLOOKUP(I$13,'MP (nominal)'!$D$12:$AM$244,ROW()-12,FALSE))</f>
        <v/>
      </c>
      <c r="J64" s="31">
        <f>IF(HLOOKUP(J$13,'MP (nominal)'!$D$12:$AM$244,ROW()-12,FALSE)="","",HLOOKUP(J$13,'MP (nominal)'!$D$12:$AM$244,ROW()-12,FALSE))</f>
        <v>1550</v>
      </c>
      <c r="K64" s="281"/>
      <c r="L64" s="27">
        <f>IF(HLOOKUP(L$13,'MP (nominal)'!$D$12:$AM$244,ROW()-12,FALSE)="","",HLOOKUP(L$13,'MP (nominal)'!$D$12:$AM$244,ROW()-12,FALSE))</f>
        <v>91.93</v>
      </c>
      <c r="M64" s="293">
        <f>IF(HLOOKUP(M$13,'MP (nominal)'!$D$12:$AM$244,ROW()-12,FALSE)="","",HLOOKUP(M$13,'MP (nominal)'!$D$12:$AM$244,ROW()-12,FALSE))</f>
        <v>384.99008199999997</v>
      </c>
      <c r="N64" s="35"/>
      <c r="O64" s="27">
        <f>IF(HLOOKUP(O$13,'MP (nominal)'!$D$12:$AM$244,ROW()-12,FALSE)="","",HLOOKUP(O$13,'MP (nominal)'!$D$12:$AM$244,ROW()-12,FALSE))</f>
        <v>40458</v>
      </c>
      <c r="P64" s="31"/>
      <c r="Q64" s="281"/>
      <c r="R64" s="281">
        <f>IF(HLOOKUP(R$13,'MP (nominal)'!$D$12:$AM$244,ROW()-12,FALSE)="","",HLOOKUP(R$13,'MP (nominal)'!$D$12:$AM$244,ROW()-12,FALSE))</f>
        <v>93.99</v>
      </c>
      <c r="S64" s="281" t="str">
        <f>IF(HLOOKUP(S$13,'MP (nominal)'!$D$12:$AM$244,ROW()-12,FALSE)="","",HLOOKUP(S$13,'MP (nominal)'!$D$12:$AM$244,ROW()-12,FALSE))</f>
        <v/>
      </c>
      <c r="T64" s="281" t="str">
        <f>IF(HLOOKUP(T$13,'MP (nominal)'!$D$12:$AM$244,ROW()-12,FALSE)="","",HLOOKUP(T$13,'MP (nominal)'!$D$12:$AM$244,ROW()-12,FALSE))</f>
        <v/>
      </c>
      <c r="U64" s="281"/>
      <c r="V64" s="281">
        <f>IF(HLOOKUP(V$13,'MP (nominal)'!$D$12:$AM$244,ROW()-12,FALSE)="","",HLOOKUP(V$13,'MP (nominal)'!$D$12:$AM$244,ROW()-12,FALSE))</f>
        <v>2.87</v>
      </c>
      <c r="W64" s="281" t="str">
        <f>IF(HLOOKUP(W$13,'MP (nominal)'!$D$12:$AM$244,ROW()-12,FALSE)="","",HLOOKUP(W$13,'MP (nominal)'!$D$12:$AM$244,ROW()-12,FALSE))</f>
        <v/>
      </c>
      <c r="X64" s="281" t="str">
        <f>IF(HLOOKUP(X$13,'MP (nominal)'!$D$12:$AM$244,ROW()-12,FALSE)="","",HLOOKUP(X$13,'MP (nominal)'!$D$12:$AM$244,ROW()-12,FALSE))</f>
        <v/>
      </c>
      <c r="Y64" s="281"/>
      <c r="Z64" s="281" t="str">
        <f>IF(HLOOKUP(Z$13,'MP (nominal)'!$D$12:$AM$244,ROW()-12,FALSE)="","",HLOOKUP(Z$13,'MP (nominal)'!$D$12:$AM$244,ROW()-12,FALSE)*VLOOKUP($C64,CPI!$B$9:$I$63,8))</f>
        <v/>
      </c>
      <c r="AA64" s="281" t="str">
        <f>IF(HLOOKUP(AA$13,'MP (nominal)'!$D$12:$AM$244,ROW()-12,FALSE)="","",HLOOKUP(AA$13,'MP (nominal)'!$D$12:$AM$244,ROW()-12,FALSE))</f>
        <v/>
      </c>
      <c r="AB64" s="281" t="str">
        <f>IF(HLOOKUP(AB$13,'MP (nominal)'!$D$12:$AM$244,ROW()-12,FALSE)="","",HLOOKUP(AB$13,'MP (nominal)'!$D$12:$AM$244,ROW()-12,FALSE))</f>
        <v/>
      </c>
      <c r="AC64" s="281"/>
      <c r="AD64" s="281" t="str">
        <f>IF(HLOOKUP(AD$13,'MP (nominal)'!$D$12:$AM$244,ROW()-12,FALSE)="","",HLOOKUP(AD$13,'MP (nominal)'!$D$12:$AM$244,ROW()-12,FALSE)*VLOOKUP($C64,CPI!$B$9:$I$63,8))</f>
        <v/>
      </c>
      <c r="AE64" s="31" t="str">
        <f>IF(HLOOKUP(AE$13,'MP (nominal)'!$D$12:$AM$244,ROW()-12,FALSE)="","",HLOOKUP(AE$13,'MP (nominal)'!$D$12:$AM$244,ROW()-12,FALSE))</f>
        <v/>
      </c>
      <c r="AF64" s="31" t="str">
        <f>IF(HLOOKUP(AF$13,'MP (nominal)'!$D$12:$AM$244,ROW()-12,FALSE)="","",HLOOKUP(AF$13,'MP (nominal)'!$D$12:$AM$244,ROW()-12,FALSE))</f>
        <v/>
      </c>
      <c r="AG64" s="281"/>
      <c r="AH64" s="281" t="str">
        <f>IF(HLOOKUP(AH$13,'MP (nominal)'!$D$12:$AM$244,ROW()-12,FALSE)="","",HLOOKUP(AH$13,'MP (nominal)'!$D$12:$AM$244,ROW()-12,FALSE)*VLOOKUP($C64,CPI!$B$9:$I$63,8))</f>
        <v/>
      </c>
      <c r="AI64" s="31" t="str">
        <f>IF(HLOOKUP(AI$13,'MP (nominal)'!$D$12:$AM$244,ROW()-12,FALSE)="","",HLOOKUP(AI$13,'MP (nominal)'!$D$12:$AM$244,ROW()-12,FALSE))</f>
        <v/>
      </c>
      <c r="AJ64" s="31" t="str">
        <f>IF(HLOOKUP(AJ$13,'MP (nominal)'!$D$12:$AM$244,ROW()-12,FALSE)="","",HLOOKUP(AJ$13,'MP (nominal)'!$D$12:$AM$244,ROW()-12,FALSE))</f>
        <v/>
      </c>
      <c r="AK64" s="281"/>
      <c r="AL64" s="281" t="str">
        <f>IF(HLOOKUP(AL$13,'MP (nominal)'!$D$12:$AM$244,ROW()-12,FALSE)="","",HLOOKUP(AL$13,'MP (nominal)'!$D$12:$AM$244,ROW()-12,FALSE)*VLOOKUP($C64,CPI!$B$9:$I$63,8))</f>
        <v/>
      </c>
      <c r="AM64" s="31" t="str">
        <f>IF(HLOOKUP(AM$13,'MP (nominal)'!$D$12:$AM$244,ROW()-12,FALSE)="","",HLOOKUP(AM$13,'MP (nominal)'!$D$12:$AM$244,ROW()-12,FALSE))</f>
        <v/>
      </c>
      <c r="AN64" s="31" t="str">
        <f>IF(HLOOKUP(AN$13,'MP (nominal)'!$D$12:$AM$244,ROW()-12,FALSE)="","",HLOOKUP(AN$13,'MP (nominal)'!$D$12:$AM$244,ROW()-12,FALSE))</f>
        <v/>
      </c>
      <c r="AO64" s="281"/>
      <c r="AP64" s="281" t="str">
        <f>IF(HLOOKUP(AP$13,'MP (nominal)'!$D$12:$AM$244,ROW()-12,FALSE)="","",HLOOKUP(AP$13,'MP (nominal)'!$D$12:$AM$244,ROW()-12,FALSE)*VLOOKUP($C64,CPI!$B$9:$I$63,8))</f>
        <v/>
      </c>
      <c r="AQ64" s="31" t="str">
        <f>IF(HLOOKUP(AQ$13,'MP (nominal)'!$D$12:$AM$244,ROW()-12,FALSE)="","",HLOOKUP(AQ$13,'MP (nominal)'!$D$12:$AM$244,ROW()-12,FALSE))</f>
        <v/>
      </c>
      <c r="AR64" s="281" t="str">
        <f>IF(HLOOKUP(AR$13,'MP (nominal)'!$D$12:$AM$244,ROW()-12,FALSE)="","",HLOOKUP(AR$13,'MP (nominal)'!$D$12:$AM$244,ROW()-12,FALSE))</f>
        <v/>
      </c>
    </row>
    <row r="65" spans="1:44" s="278" customFormat="1" hidden="1">
      <c r="A65" s="271">
        <f>References!F264</f>
        <v>142</v>
      </c>
      <c r="B65" s="292" t="s">
        <v>35</v>
      </c>
      <c r="C65" s="284">
        <v>2007</v>
      </c>
      <c r="D65" s="27" t="str">
        <f>IF(HLOOKUP(D$13,'MP (nominal)'!$D$12:$AM$244,ROW()-12,FALSE)="","",HLOOKUP(D$13,'MP (nominal)'!$D$12:$AM$244,ROW()-12,FALSE))</f>
        <v/>
      </c>
      <c r="E65" s="281" t="str">
        <f>IF(HLOOKUP(E$13,'MP (nominal)'!$D$12:$AM$244,ROW()-12,FALSE)="","",HLOOKUP(E$13,'MP (nominal)'!$D$12:$AM$244,ROW()-12,FALSE))</f>
        <v/>
      </c>
      <c r="F65" s="27">
        <f>IF(HLOOKUP(F$13,'MP (nominal)'!$D$12:$AM$244,ROW()-12,FALSE)="","",HLOOKUP(F$13,'MP (nominal)'!$D$12:$AM$244,ROW()-12,FALSE))</f>
        <v>639</v>
      </c>
      <c r="G65" s="281" t="str">
        <f>IF(HLOOKUP(G$13,'MP (nominal)'!$D$12:$AM$244,ROW()-12,FALSE)="","",HLOOKUP(G$13,'MP (nominal)'!$D$12:$AM$244,ROW()-12,FALSE))</f>
        <v/>
      </c>
      <c r="H65" s="27">
        <f>IF(HLOOKUP(H$13,'MP (nominal)'!$D$12:$AM$244,ROW()-12,FALSE)="","",HLOOKUP(H$13,'MP (nominal)'!$D$12:$AM$244,ROW()-12,FALSE))</f>
        <v>2188</v>
      </c>
      <c r="I65" s="31" t="str">
        <f>IF(HLOOKUP(I$13,'MP (nominal)'!$D$12:$AM$244,ROW()-12,FALSE)="","",HLOOKUP(I$13,'MP (nominal)'!$D$12:$AM$244,ROW()-12,FALSE))</f>
        <v/>
      </c>
      <c r="J65" s="31">
        <f>IF(HLOOKUP(J$13,'MP (nominal)'!$D$12:$AM$244,ROW()-12,FALSE)="","",HLOOKUP(J$13,'MP (nominal)'!$D$12:$AM$244,ROW()-12,FALSE))</f>
        <v>1549</v>
      </c>
      <c r="K65" s="281"/>
      <c r="L65" s="27">
        <f>IF(HLOOKUP(L$13,'MP (nominal)'!$D$12:$AM$244,ROW()-12,FALSE)="","",HLOOKUP(L$13,'MP (nominal)'!$D$12:$AM$244,ROW()-12,FALSE))</f>
        <v>98</v>
      </c>
      <c r="M65" s="293">
        <f>IF(HLOOKUP(M$13,'MP (nominal)'!$D$12:$AM$244,ROW()-12,FALSE)="","",HLOOKUP(M$13,'MP (nominal)'!$D$12:$AM$244,ROW()-12,FALSE))</f>
        <v>406.23004900000001</v>
      </c>
      <c r="N65" s="35"/>
      <c r="O65" s="27">
        <f>IF(HLOOKUP(O$13,'MP (nominal)'!$D$12:$AM$244,ROW()-12,FALSE)="","",HLOOKUP(O$13,'MP (nominal)'!$D$12:$AM$244,ROW()-12,FALSE))</f>
        <v>40860</v>
      </c>
      <c r="P65" s="31"/>
      <c r="Q65" s="281"/>
      <c r="R65" s="281">
        <f>IF(HLOOKUP(R$13,'MP (nominal)'!$D$12:$AM$244,ROW()-12,FALSE)="","",HLOOKUP(R$13,'MP (nominal)'!$D$12:$AM$244,ROW()-12,FALSE))</f>
        <v>185.26</v>
      </c>
      <c r="S65" s="281" t="str">
        <f>IF(HLOOKUP(S$13,'MP (nominal)'!$D$12:$AM$244,ROW()-12,FALSE)="","",HLOOKUP(S$13,'MP (nominal)'!$D$12:$AM$244,ROW()-12,FALSE))</f>
        <v/>
      </c>
      <c r="T65" s="281" t="str">
        <f>IF(HLOOKUP(T$13,'MP (nominal)'!$D$12:$AM$244,ROW()-12,FALSE)="","",HLOOKUP(T$13,'MP (nominal)'!$D$12:$AM$244,ROW()-12,FALSE))</f>
        <v/>
      </c>
      <c r="U65" s="281"/>
      <c r="V65" s="281">
        <f>IF(HLOOKUP(V$13,'MP (nominal)'!$D$12:$AM$244,ROW()-12,FALSE)="","",HLOOKUP(V$13,'MP (nominal)'!$D$12:$AM$244,ROW()-12,FALSE))</f>
        <v>3.18</v>
      </c>
      <c r="W65" s="281" t="str">
        <f>IF(HLOOKUP(W$13,'MP (nominal)'!$D$12:$AM$244,ROW()-12,FALSE)="","",HLOOKUP(W$13,'MP (nominal)'!$D$12:$AM$244,ROW()-12,FALSE))</f>
        <v/>
      </c>
      <c r="X65" s="281" t="str">
        <f>IF(HLOOKUP(X$13,'MP (nominal)'!$D$12:$AM$244,ROW()-12,FALSE)="","",HLOOKUP(X$13,'MP (nominal)'!$D$12:$AM$244,ROW()-12,FALSE))</f>
        <v/>
      </c>
      <c r="Y65" s="281"/>
      <c r="Z65" s="281" t="str">
        <f>IF(HLOOKUP(Z$13,'MP (nominal)'!$D$12:$AM$244,ROW()-12,FALSE)="","",HLOOKUP(Z$13,'MP (nominal)'!$D$12:$AM$244,ROW()-12,FALSE)*VLOOKUP($C65,CPI!$B$9:$I$63,8))</f>
        <v/>
      </c>
      <c r="AA65" s="281" t="str">
        <f>IF(HLOOKUP(AA$13,'MP (nominal)'!$D$12:$AM$244,ROW()-12,FALSE)="","",HLOOKUP(AA$13,'MP (nominal)'!$D$12:$AM$244,ROW()-12,FALSE))</f>
        <v/>
      </c>
      <c r="AB65" s="281" t="str">
        <f>IF(HLOOKUP(AB$13,'MP (nominal)'!$D$12:$AM$244,ROW()-12,FALSE)="","",HLOOKUP(AB$13,'MP (nominal)'!$D$12:$AM$244,ROW()-12,FALSE))</f>
        <v/>
      </c>
      <c r="AC65" s="281"/>
      <c r="AD65" s="281" t="str">
        <f>IF(HLOOKUP(AD$13,'MP (nominal)'!$D$12:$AM$244,ROW()-12,FALSE)="","",HLOOKUP(AD$13,'MP (nominal)'!$D$12:$AM$244,ROW()-12,FALSE)*VLOOKUP($C65,CPI!$B$9:$I$63,8))</f>
        <v/>
      </c>
      <c r="AE65" s="31" t="str">
        <f>IF(HLOOKUP(AE$13,'MP (nominal)'!$D$12:$AM$244,ROW()-12,FALSE)="","",HLOOKUP(AE$13,'MP (nominal)'!$D$12:$AM$244,ROW()-12,FALSE))</f>
        <v/>
      </c>
      <c r="AF65" s="31" t="str">
        <f>IF(HLOOKUP(AF$13,'MP (nominal)'!$D$12:$AM$244,ROW()-12,FALSE)="","",HLOOKUP(AF$13,'MP (nominal)'!$D$12:$AM$244,ROW()-12,FALSE))</f>
        <v/>
      </c>
      <c r="AG65" s="281"/>
      <c r="AH65" s="281" t="str">
        <f>IF(HLOOKUP(AH$13,'MP (nominal)'!$D$12:$AM$244,ROW()-12,FALSE)="","",HLOOKUP(AH$13,'MP (nominal)'!$D$12:$AM$244,ROW()-12,FALSE)*VLOOKUP($C65,CPI!$B$9:$I$63,8))</f>
        <v/>
      </c>
      <c r="AI65" s="31" t="str">
        <f>IF(HLOOKUP(AI$13,'MP (nominal)'!$D$12:$AM$244,ROW()-12,FALSE)="","",HLOOKUP(AI$13,'MP (nominal)'!$D$12:$AM$244,ROW()-12,FALSE))</f>
        <v/>
      </c>
      <c r="AJ65" s="31" t="str">
        <f>IF(HLOOKUP(AJ$13,'MP (nominal)'!$D$12:$AM$244,ROW()-12,FALSE)="","",HLOOKUP(AJ$13,'MP (nominal)'!$D$12:$AM$244,ROW()-12,FALSE))</f>
        <v/>
      </c>
      <c r="AK65" s="281"/>
      <c r="AL65" s="281" t="str">
        <f>IF(HLOOKUP(AL$13,'MP (nominal)'!$D$12:$AM$244,ROW()-12,FALSE)="","",HLOOKUP(AL$13,'MP (nominal)'!$D$12:$AM$244,ROW()-12,FALSE)*VLOOKUP($C65,CPI!$B$9:$I$63,8))</f>
        <v/>
      </c>
      <c r="AM65" s="31" t="str">
        <f>IF(HLOOKUP(AM$13,'MP (nominal)'!$D$12:$AM$244,ROW()-12,FALSE)="","",HLOOKUP(AM$13,'MP (nominal)'!$D$12:$AM$244,ROW()-12,FALSE))</f>
        <v/>
      </c>
      <c r="AN65" s="31" t="str">
        <f>IF(HLOOKUP(AN$13,'MP (nominal)'!$D$12:$AM$244,ROW()-12,FALSE)="","",HLOOKUP(AN$13,'MP (nominal)'!$D$12:$AM$244,ROW()-12,FALSE))</f>
        <v/>
      </c>
      <c r="AO65" s="281"/>
      <c r="AP65" s="281" t="str">
        <f>IF(HLOOKUP(AP$13,'MP (nominal)'!$D$12:$AM$244,ROW()-12,FALSE)="","",HLOOKUP(AP$13,'MP (nominal)'!$D$12:$AM$244,ROW()-12,FALSE)*VLOOKUP($C65,CPI!$B$9:$I$63,8))</f>
        <v/>
      </c>
      <c r="AQ65" s="31" t="str">
        <f>IF(HLOOKUP(AQ$13,'MP (nominal)'!$D$12:$AM$244,ROW()-12,FALSE)="","",HLOOKUP(AQ$13,'MP (nominal)'!$D$12:$AM$244,ROW()-12,FALSE))</f>
        <v/>
      </c>
      <c r="AR65" s="281" t="str">
        <f>IF(HLOOKUP(AR$13,'MP (nominal)'!$D$12:$AM$244,ROW()-12,FALSE)="","",HLOOKUP(AR$13,'MP (nominal)'!$D$12:$AM$244,ROW()-12,FALSE))</f>
        <v/>
      </c>
    </row>
    <row r="66" spans="1:44" s="278" customFormat="1">
      <c r="A66" s="271">
        <f>References!G264</f>
        <v>143</v>
      </c>
      <c r="B66" s="292" t="s">
        <v>35</v>
      </c>
      <c r="C66" s="284">
        <v>2008</v>
      </c>
      <c r="D66" s="27">
        <f>IF(HLOOKUP(D$13,'MP (nominal)'!$D$12:$AM$244,ROW()-12,FALSE)="","",HLOOKUP(D$13,'MP (nominal)'!$D$12:$AM$244,ROW()-12,FALSE))</f>
        <v>1611</v>
      </c>
      <c r="E66" s="281">
        <f>IF(HLOOKUP(E$13,'MP (nominal)'!$D$12:$AM$244,ROW()-12,FALSE)="","",HLOOKUP(E$13,'MP (nominal)'!$D$12:$AM$244,ROW()-12,FALSE))</f>
        <v>151</v>
      </c>
      <c r="F66" s="27">
        <f>IF(HLOOKUP(F$13,'MP (nominal)'!$D$12:$AM$244,ROW()-12,FALSE)="","",HLOOKUP(F$13,'MP (nominal)'!$D$12:$AM$244,ROW()-12,FALSE))</f>
        <v>947</v>
      </c>
      <c r="G66" s="281">
        <f>IF(HLOOKUP(G$13,'MP (nominal)'!$D$12:$AM$244,ROW()-12,FALSE)="","",HLOOKUP(G$13,'MP (nominal)'!$D$12:$AM$244,ROW()-12,FALSE))</f>
        <v>297</v>
      </c>
      <c r="H66" s="27">
        <f>IF(HLOOKUP(H$13,'MP (nominal)'!$D$12:$AM$244,ROW()-12,FALSE)="","",HLOOKUP(H$13,'MP (nominal)'!$D$12:$AM$244,ROW()-12,FALSE))</f>
        <v>2558</v>
      </c>
      <c r="I66" s="31">
        <f>IF(HLOOKUP(I$13,'MP (nominal)'!$D$12:$AM$244,ROW()-12,FALSE)="","",HLOOKUP(I$13,'MP (nominal)'!$D$12:$AM$244,ROW()-12,FALSE))</f>
        <v>448</v>
      </c>
      <c r="J66" s="31">
        <f>IF(HLOOKUP(J$13,'MP (nominal)'!$D$12:$AM$244,ROW()-12,FALSE)="","",HLOOKUP(J$13,'MP (nominal)'!$D$12:$AM$244,ROW()-12,FALSE))</f>
        <v>1611</v>
      </c>
      <c r="K66" s="281"/>
      <c r="L66" s="27">
        <f>IF(HLOOKUP(L$13,'MP (nominal)'!$D$12:$AM$244,ROW()-12,FALSE)="","",HLOOKUP(L$13,'MP (nominal)'!$D$12:$AM$244,ROW()-12,FALSE))</f>
        <v>95</v>
      </c>
      <c r="M66" s="283">
        <f>IF(HLOOKUP(M$13,'MP (nominal)'!$D$12:$AM$244,ROW()-12,FALSE)="","",HLOOKUP(M$13,'MP (nominal)'!$D$12:$AM$244,ROW()-12,FALSE))</f>
        <v>402.36700000000002</v>
      </c>
      <c r="N66" s="35"/>
      <c r="O66" s="27">
        <f>IF(HLOOKUP(O$13,'MP (nominal)'!$D$12:$AM$244,ROW()-12,FALSE)="","",HLOOKUP(O$13,'MP (nominal)'!$D$12:$AM$244,ROW()-12,FALSE))</f>
        <v>41512</v>
      </c>
      <c r="P66" s="31"/>
      <c r="Q66" s="281"/>
      <c r="R66" s="281">
        <f>IF(HLOOKUP(R$13,'MP (nominal)'!$D$12:$AM$244,ROW()-12,FALSE)="","",HLOOKUP(R$13,'MP (nominal)'!$D$12:$AM$244,ROW()-12,FALSE))</f>
        <v>193.9</v>
      </c>
      <c r="S66" s="281">
        <f>IF(HLOOKUP(S$13,'MP (nominal)'!$D$12:$AM$244,ROW()-12,FALSE)="","",HLOOKUP(S$13,'MP (nominal)'!$D$12:$AM$244,ROW()-12,FALSE))</f>
        <v>27.76</v>
      </c>
      <c r="T66" s="281">
        <f>IF(HLOOKUP(T$13,'MP (nominal)'!$D$12:$AM$244,ROW()-12,FALSE)="","",HLOOKUP(T$13,'MP (nominal)'!$D$12:$AM$244,ROW()-12,FALSE))</f>
        <v>76.209999999999994</v>
      </c>
      <c r="U66" s="281"/>
      <c r="V66" s="281">
        <f>IF(HLOOKUP(V$13,'MP (nominal)'!$D$12:$AM$244,ROW()-12,FALSE)="","",HLOOKUP(V$13,'MP (nominal)'!$D$12:$AM$244,ROW()-12,FALSE))</f>
        <v>2.82</v>
      </c>
      <c r="W66" s="281">
        <f>IF(HLOOKUP(W$13,'MP (nominal)'!$D$12:$AM$244,ROW()-12,FALSE)="","",HLOOKUP(W$13,'MP (nominal)'!$D$12:$AM$244,ROW()-12,FALSE))</f>
        <v>0.16</v>
      </c>
      <c r="X66" s="281">
        <f>IF(HLOOKUP(X$13,'MP (nominal)'!$D$12:$AM$244,ROW()-12,FALSE)="","",HLOOKUP(X$13,'MP (nominal)'!$D$12:$AM$244,ROW()-12,FALSE))</f>
        <v>1.45</v>
      </c>
      <c r="Y66" s="281"/>
      <c r="Z66" s="281">
        <f>IF(HLOOKUP(Z$13,'MP (nominal)'!$D$12:$AM$244,ROW()-12,FALSE)="","",HLOOKUP(Z$13,'MP (nominal)'!$D$12:$AM$244,ROW()-12,FALSE)*VLOOKUP($C66,CPI!$B$9:$I$63,8))</f>
        <v>16446.395882638077</v>
      </c>
      <c r="AA66" s="281">
        <f>IF(HLOOKUP(AA$13,'MP (nominal)'!$D$12:$AM$244,ROW()-12,FALSE)="","",HLOOKUP(AA$13,'MP (nominal)'!$D$12:$AM$244,ROW()-12,FALSE))</f>
        <v>298484</v>
      </c>
      <c r="AB66" s="281">
        <f>IF(HLOOKUP(AB$13,'MP (nominal)'!$D$12:$AM$244,ROW()-12,FALSE)="","",HLOOKUP(AB$13,'MP (nominal)'!$D$12:$AM$244,ROW()-12,FALSE))</f>
        <v>40940</v>
      </c>
      <c r="AC66" s="281"/>
      <c r="AD66" s="281">
        <f>IF(HLOOKUP(AD$13,'MP (nominal)'!$D$12:$AM$244,ROW()-12,FALSE)="","",HLOOKUP(AD$13,'MP (nominal)'!$D$12:$AM$244,ROW()-12,FALSE)*VLOOKUP($C66,CPI!$B$9:$I$63,8))</f>
        <v>0</v>
      </c>
      <c r="AE66" s="31">
        <f>IF(HLOOKUP(AE$13,'MP (nominal)'!$D$12:$AM$244,ROW()-12,FALSE)="","",HLOOKUP(AE$13,'MP (nominal)'!$D$12:$AM$244,ROW()-12,FALSE))</f>
        <v>0</v>
      </c>
      <c r="AF66" s="31">
        <f>IF(HLOOKUP(AF$13,'MP (nominal)'!$D$12:$AM$244,ROW()-12,FALSE)="","",HLOOKUP(AF$13,'MP (nominal)'!$D$12:$AM$244,ROW()-12,FALSE))</f>
        <v>0</v>
      </c>
      <c r="AG66" s="281"/>
      <c r="AH66" s="281">
        <f>IF(HLOOKUP(AH$13,'MP (nominal)'!$D$12:$AM$244,ROW()-12,FALSE)="","",HLOOKUP(AH$13,'MP (nominal)'!$D$12:$AM$244,ROW()-12,FALSE)*VLOOKUP($C66,CPI!$B$9:$I$63,8))</f>
        <v>2978.7867468848904</v>
      </c>
      <c r="AI66" s="31">
        <f>IF(HLOOKUP(AI$13,'MP (nominal)'!$D$12:$AM$244,ROW()-12,FALSE)="","",HLOOKUP(AI$13,'MP (nominal)'!$D$12:$AM$244,ROW()-12,FALSE))</f>
        <v>89296</v>
      </c>
      <c r="AJ66" s="31">
        <f>IF(HLOOKUP(AJ$13,'MP (nominal)'!$D$12:$AM$244,ROW()-12,FALSE)="","",HLOOKUP(AJ$13,'MP (nominal)'!$D$12:$AM$244,ROW()-12,FALSE))</f>
        <v>567</v>
      </c>
      <c r="AK66" s="281"/>
      <c r="AL66" s="281">
        <f>IF(HLOOKUP(AL$13,'MP (nominal)'!$D$12:$AM$244,ROW()-12,FALSE)="","",HLOOKUP(AL$13,'MP (nominal)'!$D$12:$AM$244,ROW()-12,FALSE)*VLOOKUP($C66,CPI!$B$9:$I$63,8))</f>
        <v>499.15970459924148</v>
      </c>
      <c r="AM66" s="31">
        <f>IF(HLOOKUP(AM$13,'MP (nominal)'!$D$12:$AM$244,ROW()-12,FALSE)="","",HLOOKUP(AM$13,'MP (nominal)'!$D$12:$AM$244,ROW()-12,FALSE))</f>
        <v>14587</v>
      </c>
      <c r="AN66" s="31">
        <f>IF(HLOOKUP(AN$13,'MP (nominal)'!$D$12:$AM$244,ROW()-12,FALSE)="","",HLOOKUP(AN$13,'MP (nominal)'!$D$12:$AM$244,ROW()-12,FALSE))</f>
        <v>5</v>
      </c>
      <c r="AO66" s="281"/>
      <c r="AP66" s="281">
        <f>IF(HLOOKUP(AP$13,'MP (nominal)'!$D$12:$AM$244,ROW()-12,FALSE)="","",HLOOKUP(AP$13,'MP (nominal)'!$D$12:$AM$244,ROW()-12,FALSE)*VLOOKUP($C66,CPI!$B$9:$I$63,8))</f>
        <v>19924.342334122208</v>
      </c>
      <c r="AQ66" s="31">
        <f>IF(HLOOKUP(AQ$13,'MP (nominal)'!$D$12:$AM$244,ROW()-12,FALSE)="","",HLOOKUP(AQ$13,'MP (nominal)'!$D$12:$AM$244,ROW()-12,FALSE))</f>
        <v>402367</v>
      </c>
      <c r="AR66" s="281">
        <f>IF(HLOOKUP(AR$13,'MP (nominal)'!$D$12:$AM$244,ROW()-12,FALSE)="","",HLOOKUP(AR$13,'MP (nominal)'!$D$12:$AM$244,ROW()-12,FALSE))</f>
        <v>41512</v>
      </c>
    </row>
    <row r="67" spans="1:44" s="278" customFormat="1">
      <c r="A67" s="271">
        <f>References!H264</f>
        <v>144</v>
      </c>
      <c r="B67" s="292" t="s">
        <v>35</v>
      </c>
      <c r="C67" s="284">
        <v>2009</v>
      </c>
      <c r="D67" s="27">
        <f>IF(HLOOKUP(D$13,'MP (nominal)'!$D$12:$AM$244,ROW()-12,FALSE)="","",HLOOKUP(D$13,'MP (nominal)'!$D$12:$AM$244,ROW()-12,FALSE))</f>
        <v>1613.3</v>
      </c>
      <c r="E67" s="281">
        <f>IF(HLOOKUP(E$13,'MP (nominal)'!$D$12:$AM$244,ROW()-12,FALSE)="","",HLOOKUP(E$13,'MP (nominal)'!$D$12:$AM$244,ROW()-12,FALSE))</f>
        <v>216.6</v>
      </c>
      <c r="F67" s="27">
        <f>IF(HLOOKUP(F$13,'MP (nominal)'!$D$12:$AM$244,ROW()-12,FALSE)="","",HLOOKUP(F$13,'MP (nominal)'!$D$12:$AM$244,ROW()-12,FALSE))</f>
        <v>947.7</v>
      </c>
      <c r="G67" s="281">
        <f>IF(HLOOKUP(G$13,'MP (nominal)'!$D$12:$AM$244,ROW()-12,FALSE)="","",HLOOKUP(G$13,'MP (nominal)'!$D$12:$AM$244,ROW()-12,FALSE))</f>
        <v>304.8</v>
      </c>
      <c r="H67" s="27">
        <f>IF(HLOOKUP(H$13,'MP (nominal)'!$D$12:$AM$244,ROW()-12,FALSE)="","",HLOOKUP(H$13,'MP (nominal)'!$D$12:$AM$244,ROW()-12,FALSE))</f>
        <v>2561</v>
      </c>
      <c r="I67" s="31">
        <f>IF(HLOOKUP(I$13,'MP (nominal)'!$D$12:$AM$244,ROW()-12,FALSE)="","",HLOOKUP(I$13,'MP (nominal)'!$D$12:$AM$244,ROW()-12,FALSE))</f>
        <v>521.4</v>
      </c>
      <c r="J67" s="31">
        <f>IF(HLOOKUP(J$13,'MP (nominal)'!$D$12:$AM$244,ROW()-12,FALSE)="","",HLOOKUP(J$13,'MP (nominal)'!$D$12:$AM$244,ROW()-12,FALSE))</f>
        <v>1613.3</v>
      </c>
      <c r="K67" s="281"/>
      <c r="L67" s="27">
        <f>IF(HLOOKUP(L$13,'MP (nominal)'!$D$12:$AM$244,ROW()-12,FALSE)="","",HLOOKUP(L$13,'MP (nominal)'!$D$12:$AM$244,ROW()-12,FALSE))</f>
        <v>95</v>
      </c>
      <c r="M67" s="283">
        <f>IF(HLOOKUP(M$13,'MP (nominal)'!$D$12:$AM$244,ROW()-12,FALSE)="","",HLOOKUP(M$13,'MP (nominal)'!$D$12:$AM$244,ROW()-12,FALSE))</f>
        <v>401.42</v>
      </c>
      <c r="N67" s="35"/>
      <c r="O67" s="27">
        <f>IF(HLOOKUP(O$13,'MP (nominal)'!$D$12:$AM$244,ROW()-12,FALSE)="","",HLOOKUP(O$13,'MP (nominal)'!$D$12:$AM$244,ROW()-12,FALSE))</f>
        <v>41761</v>
      </c>
      <c r="P67" s="31"/>
      <c r="Q67" s="281"/>
      <c r="R67" s="281">
        <f>IF(HLOOKUP(R$13,'MP (nominal)'!$D$12:$AM$244,ROW()-12,FALSE)="","",HLOOKUP(R$13,'MP (nominal)'!$D$12:$AM$244,ROW()-12,FALSE))</f>
        <v>683.1</v>
      </c>
      <c r="S67" s="281">
        <f>IF(HLOOKUP(S$13,'MP (nominal)'!$D$12:$AM$244,ROW()-12,FALSE)="","",HLOOKUP(S$13,'MP (nominal)'!$D$12:$AM$244,ROW()-12,FALSE))</f>
        <v>21.04</v>
      </c>
      <c r="T67" s="281">
        <f>IF(HLOOKUP(T$13,'MP (nominal)'!$D$12:$AM$244,ROW()-12,FALSE)="","",HLOOKUP(T$13,'MP (nominal)'!$D$12:$AM$244,ROW()-12,FALSE))</f>
        <v>662.08</v>
      </c>
      <c r="U67" s="281"/>
      <c r="V67" s="281">
        <f>IF(HLOOKUP(V$13,'MP (nominal)'!$D$12:$AM$244,ROW()-12,FALSE)="","",HLOOKUP(V$13,'MP (nominal)'!$D$12:$AM$244,ROW()-12,FALSE))</f>
        <v>2.94</v>
      </c>
      <c r="W67" s="281">
        <f>IF(HLOOKUP(W$13,'MP (nominal)'!$D$12:$AM$244,ROW()-12,FALSE)="","",HLOOKUP(W$13,'MP (nominal)'!$D$12:$AM$244,ROW()-12,FALSE))</f>
        <v>0.08</v>
      </c>
      <c r="X67" s="281">
        <f>IF(HLOOKUP(X$13,'MP (nominal)'!$D$12:$AM$244,ROW()-12,FALSE)="","",HLOOKUP(X$13,'MP (nominal)'!$D$12:$AM$244,ROW()-12,FALSE))</f>
        <v>2.86</v>
      </c>
      <c r="Y67" s="281"/>
      <c r="Z67" s="281">
        <f>IF(HLOOKUP(Z$13,'MP (nominal)'!$D$12:$AM$244,ROW()-12,FALSE)="","",HLOOKUP(Z$13,'MP (nominal)'!$D$12:$AM$244,ROW()-12,FALSE)*VLOOKUP($C67,CPI!$B$9:$I$63,8))</f>
        <v>16094.618436406063</v>
      </c>
      <c r="AA67" s="281">
        <f>IF(HLOOKUP(AA$13,'MP (nominal)'!$D$12:$AM$244,ROW()-12,FALSE)="","",HLOOKUP(AA$13,'MP (nominal)'!$D$12:$AM$244,ROW()-12,FALSE))</f>
        <v>303730</v>
      </c>
      <c r="AB67" s="281">
        <f>IF(HLOOKUP(AB$13,'MP (nominal)'!$D$12:$AM$244,ROW()-12,FALSE)="","",HLOOKUP(AB$13,'MP (nominal)'!$D$12:$AM$244,ROW()-12,FALSE))</f>
        <v>41356</v>
      </c>
      <c r="AC67" s="281"/>
      <c r="AD67" s="281">
        <f>IF(HLOOKUP(AD$13,'MP (nominal)'!$D$12:$AM$244,ROW()-12,FALSE)="","",HLOOKUP(AD$13,'MP (nominal)'!$D$12:$AM$244,ROW()-12,FALSE)*VLOOKUP($C67,CPI!$B$9:$I$63,8))</f>
        <v>0</v>
      </c>
      <c r="AE67" s="31">
        <f>IF(HLOOKUP(AE$13,'MP (nominal)'!$D$12:$AM$244,ROW()-12,FALSE)="","",HLOOKUP(AE$13,'MP (nominal)'!$D$12:$AM$244,ROW()-12,FALSE))</f>
        <v>0</v>
      </c>
      <c r="AF67" s="31">
        <f>IF(HLOOKUP(AF$13,'MP (nominal)'!$D$12:$AM$244,ROW()-12,FALSE)="","",HLOOKUP(AF$13,'MP (nominal)'!$D$12:$AM$244,ROW()-12,FALSE))</f>
        <v>0</v>
      </c>
      <c r="AG67" s="281"/>
      <c r="AH67" s="281">
        <f>IF(HLOOKUP(AH$13,'MP (nominal)'!$D$12:$AM$244,ROW()-12,FALSE)="","",HLOOKUP(AH$13,'MP (nominal)'!$D$12:$AM$244,ROW()-12,FALSE)*VLOOKUP($C67,CPI!$B$9:$I$63,8))</f>
        <v>2663.7507035486296</v>
      </c>
      <c r="AI67" s="31">
        <f>IF(HLOOKUP(AI$13,'MP (nominal)'!$D$12:$AM$244,ROW()-12,FALSE)="","",HLOOKUP(AI$13,'MP (nominal)'!$D$12:$AM$244,ROW()-12,FALSE))</f>
        <v>84850</v>
      </c>
      <c r="AJ67" s="31">
        <f>IF(HLOOKUP(AJ$13,'MP (nominal)'!$D$12:$AM$244,ROW()-12,FALSE)="","",HLOOKUP(AJ$13,'MP (nominal)'!$D$12:$AM$244,ROW()-12,FALSE))</f>
        <v>400</v>
      </c>
      <c r="AK67" s="281"/>
      <c r="AL67" s="281">
        <f>IF(HLOOKUP(AL$13,'MP (nominal)'!$D$12:$AM$244,ROW()-12,FALSE)="","",HLOOKUP(AL$13,'MP (nominal)'!$D$12:$AM$244,ROW()-12,FALSE)*VLOOKUP($C67,CPI!$B$9:$I$63,8))</f>
        <v>405.89498249708271</v>
      </c>
      <c r="AM67" s="31">
        <f>IF(HLOOKUP(AM$13,'MP (nominal)'!$D$12:$AM$244,ROW()-12,FALSE)="","",HLOOKUP(AM$13,'MP (nominal)'!$D$12:$AM$244,ROW()-12,FALSE))</f>
        <v>12840</v>
      </c>
      <c r="AN67" s="31">
        <f>IF(HLOOKUP(AN$13,'MP (nominal)'!$D$12:$AM$244,ROW()-12,FALSE)="","",HLOOKUP(AN$13,'MP (nominal)'!$D$12:$AM$244,ROW()-12,FALSE))</f>
        <v>5</v>
      </c>
      <c r="AO67" s="281"/>
      <c r="AP67" s="281">
        <f>IF(HLOOKUP(AP$13,'MP (nominal)'!$D$12:$AM$244,ROW()-12,FALSE)="","",HLOOKUP(AP$13,'MP (nominal)'!$D$12:$AM$244,ROW()-12,FALSE)*VLOOKUP($C67,CPI!$B$9:$I$63,8))</f>
        <v>19164.264122451776</v>
      </c>
      <c r="AQ67" s="31">
        <f>IF(HLOOKUP(AQ$13,'MP (nominal)'!$D$12:$AM$244,ROW()-12,FALSE)="","",HLOOKUP(AQ$13,'MP (nominal)'!$D$12:$AM$244,ROW()-12,FALSE))</f>
        <v>401420</v>
      </c>
      <c r="AR67" s="281">
        <f>IF(HLOOKUP(AR$13,'MP (nominal)'!$D$12:$AM$244,ROW()-12,FALSE)="","",HLOOKUP(AR$13,'MP (nominal)'!$D$12:$AM$244,ROW()-12,FALSE))</f>
        <v>41761</v>
      </c>
    </row>
    <row r="68" spans="1:44" s="278" customFormat="1">
      <c r="A68" s="271">
        <f>References!I264</f>
        <v>145</v>
      </c>
      <c r="B68" s="292" t="s">
        <v>35</v>
      </c>
      <c r="C68" s="284">
        <v>2010</v>
      </c>
      <c r="D68" s="27">
        <f>IF(HLOOKUP(D$13,'MP (nominal)'!$D$12:$AM$244,ROW()-12,FALSE)="","",HLOOKUP(D$13,'MP (nominal)'!$D$12:$AM$244,ROW()-12,FALSE))</f>
        <v>1618.9</v>
      </c>
      <c r="E68" s="281">
        <f>IF(HLOOKUP(E$13,'MP (nominal)'!$D$12:$AM$244,ROW()-12,FALSE)="","",HLOOKUP(E$13,'MP (nominal)'!$D$12:$AM$244,ROW()-12,FALSE))</f>
        <v>215.7</v>
      </c>
      <c r="F68" s="27">
        <f>IF(HLOOKUP(F$13,'MP (nominal)'!$D$12:$AM$244,ROW()-12,FALSE)="","",HLOOKUP(F$13,'MP (nominal)'!$D$12:$AM$244,ROW()-12,FALSE))</f>
        <v>957.8</v>
      </c>
      <c r="G68" s="281">
        <f>IF(HLOOKUP(G$13,'MP (nominal)'!$D$12:$AM$244,ROW()-12,FALSE)="","",HLOOKUP(G$13,'MP (nominal)'!$D$12:$AM$244,ROW()-12,FALSE))</f>
        <v>317.89999999999998</v>
      </c>
      <c r="H68" s="27">
        <f>IF(HLOOKUP(H$13,'MP (nominal)'!$D$12:$AM$244,ROW()-12,FALSE)="","",HLOOKUP(H$13,'MP (nominal)'!$D$12:$AM$244,ROW()-12,FALSE))</f>
        <v>2576.6999999999998</v>
      </c>
      <c r="I68" s="31">
        <f>IF(HLOOKUP(I$13,'MP (nominal)'!$D$12:$AM$244,ROW()-12,FALSE)="","",HLOOKUP(I$13,'MP (nominal)'!$D$12:$AM$244,ROW()-12,FALSE))</f>
        <v>533.6</v>
      </c>
      <c r="J68" s="31">
        <f>IF(HLOOKUP(J$13,'MP (nominal)'!$D$12:$AM$244,ROW()-12,FALSE)="","",HLOOKUP(J$13,'MP (nominal)'!$D$12:$AM$244,ROW()-12,FALSE))</f>
        <v>1618.9</v>
      </c>
      <c r="K68" s="281"/>
      <c r="L68" s="27">
        <f>IF(HLOOKUP(L$13,'MP (nominal)'!$D$12:$AM$244,ROW()-12,FALSE)="","",HLOOKUP(L$13,'MP (nominal)'!$D$12:$AM$244,ROW()-12,FALSE))</f>
        <v>94.45</v>
      </c>
      <c r="M68" s="283">
        <f>IF(HLOOKUP(M$13,'MP (nominal)'!$D$12:$AM$244,ROW()-12,FALSE)="","",HLOOKUP(M$13,'MP (nominal)'!$D$12:$AM$244,ROW()-12,FALSE))</f>
        <v>416.07900000000001</v>
      </c>
      <c r="N68" s="35"/>
      <c r="O68" s="27">
        <f>IF(HLOOKUP(O$13,'MP (nominal)'!$D$12:$AM$244,ROW()-12,FALSE)="","",HLOOKUP(O$13,'MP (nominal)'!$D$12:$AM$244,ROW()-12,FALSE))</f>
        <v>42204</v>
      </c>
      <c r="P68" s="31"/>
      <c r="Q68" s="281"/>
      <c r="R68" s="281">
        <f>IF(HLOOKUP(R$13,'MP (nominal)'!$D$12:$AM$244,ROW()-12,FALSE)="","",HLOOKUP(R$13,'MP (nominal)'!$D$12:$AM$244,ROW()-12,FALSE))</f>
        <v>163.28</v>
      </c>
      <c r="S68" s="281">
        <f>IF(HLOOKUP(S$13,'MP (nominal)'!$D$12:$AM$244,ROW()-12,FALSE)="","",HLOOKUP(S$13,'MP (nominal)'!$D$12:$AM$244,ROW()-12,FALSE))</f>
        <v>4.47</v>
      </c>
      <c r="T68" s="281">
        <f>IF(HLOOKUP(T$13,'MP (nominal)'!$D$12:$AM$244,ROW()-12,FALSE)="","",HLOOKUP(T$13,'MP (nominal)'!$D$12:$AM$244,ROW()-12,FALSE))</f>
        <v>158.82</v>
      </c>
      <c r="U68" s="281"/>
      <c r="V68" s="281">
        <f>IF(HLOOKUP(V$13,'MP (nominal)'!$D$12:$AM$244,ROW()-12,FALSE)="","",HLOOKUP(V$13,'MP (nominal)'!$D$12:$AM$244,ROW()-12,FALSE))</f>
        <v>3.15</v>
      </c>
      <c r="W68" s="281">
        <f>IF(HLOOKUP(W$13,'MP (nominal)'!$D$12:$AM$244,ROW()-12,FALSE)="","",HLOOKUP(W$13,'MP (nominal)'!$D$12:$AM$244,ROW()-12,FALSE))</f>
        <v>0.02</v>
      </c>
      <c r="X68" s="281">
        <f>IF(HLOOKUP(X$13,'MP (nominal)'!$D$12:$AM$244,ROW()-12,FALSE)="","",HLOOKUP(X$13,'MP (nominal)'!$D$12:$AM$244,ROW()-12,FALSE))</f>
        <v>3.13</v>
      </c>
      <c r="Y68" s="281"/>
      <c r="Z68" s="281">
        <f>IF(HLOOKUP(Z$13,'MP (nominal)'!$D$12:$AM$244,ROW()-12,FALSE)="","",HLOOKUP(Z$13,'MP (nominal)'!$D$12:$AM$244,ROW()-12,FALSE)*VLOOKUP($C68,CPI!$B$9:$I$63,8))</f>
        <v>17531.100482336769</v>
      </c>
      <c r="AA68" s="281">
        <f>IF(HLOOKUP(AA$13,'MP (nominal)'!$D$12:$AM$244,ROW()-12,FALSE)="","",HLOOKUP(AA$13,'MP (nominal)'!$D$12:$AM$244,ROW()-12,FALSE))</f>
        <v>311696</v>
      </c>
      <c r="AB68" s="281">
        <f>IF(HLOOKUP(AB$13,'MP (nominal)'!$D$12:$AM$244,ROW()-12,FALSE)="","",HLOOKUP(AB$13,'MP (nominal)'!$D$12:$AM$244,ROW()-12,FALSE))</f>
        <v>41799</v>
      </c>
      <c r="AC68" s="281"/>
      <c r="AD68" s="281">
        <f>IF(HLOOKUP(AD$13,'MP (nominal)'!$D$12:$AM$244,ROW()-12,FALSE)="","",HLOOKUP(AD$13,'MP (nominal)'!$D$12:$AM$244,ROW()-12,FALSE)*VLOOKUP($C68,CPI!$B$9:$I$63,8))</f>
        <v>0</v>
      </c>
      <c r="AE68" s="31">
        <f>IF(HLOOKUP(AE$13,'MP (nominal)'!$D$12:$AM$244,ROW()-12,FALSE)="","",HLOOKUP(AE$13,'MP (nominal)'!$D$12:$AM$244,ROW()-12,FALSE))</f>
        <v>0</v>
      </c>
      <c r="AF68" s="31">
        <f>IF(HLOOKUP(AF$13,'MP (nominal)'!$D$12:$AM$244,ROW()-12,FALSE)="","",HLOOKUP(AF$13,'MP (nominal)'!$D$12:$AM$244,ROW()-12,FALSE))</f>
        <v>0</v>
      </c>
      <c r="AG68" s="281"/>
      <c r="AH68" s="281">
        <f>IF(HLOOKUP(AH$13,'MP (nominal)'!$D$12:$AM$244,ROW()-12,FALSE)="","",HLOOKUP(AH$13,'MP (nominal)'!$D$12:$AM$244,ROW()-12,FALSE)*VLOOKUP($C68,CPI!$B$9:$I$63,8))</f>
        <v>2723.3469860688201</v>
      </c>
      <c r="AI68" s="31">
        <f>IF(HLOOKUP(AI$13,'MP (nominal)'!$D$12:$AM$244,ROW()-12,FALSE)="","",HLOOKUP(AI$13,'MP (nominal)'!$D$12:$AM$244,ROW()-12,FALSE))</f>
        <v>88401</v>
      </c>
      <c r="AJ68" s="31">
        <f>IF(HLOOKUP(AJ$13,'MP (nominal)'!$D$12:$AM$244,ROW()-12,FALSE)="","",HLOOKUP(AJ$13,'MP (nominal)'!$D$12:$AM$244,ROW()-12,FALSE))</f>
        <v>400</v>
      </c>
      <c r="AK68" s="281"/>
      <c r="AL68" s="281">
        <f>IF(HLOOKUP(AL$13,'MP (nominal)'!$D$12:$AM$244,ROW()-12,FALSE)="","",HLOOKUP(AL$13,'MP (nominal)'!$D$12:$AM$244,ROW()-12,FALSE)*VLOOKUP($C68,CPI!$B$9:$I$63,8))</f>
        <v>477.83379590956855</v>
      </c>
      <c r="AM68" s="31">
        <f>IF(HLOOKUP(AM$13,'MP (nominal)'!$D$12:$AM$244,ROW()-12,FALSE)="","",HLOOKUP(AM$13,'MP (nominal)'!$D$12:$AM$244,ROW()-12,FALSE))</f>
        <v>15982</v>
      </c>
      <c r="AN68" s="31">
        <f>IF(HLOOKUP(AN$13,'MP (nominal)'!$D$12:$AM$244,ROW()-12,FALSE)="","",HLOOKUP(AN$13,'MP (nominal)'!$D$12:$AM$244,ROW()-12,FALSE))</f>
        <v>5</v>
      </c>
      <c r="AO68" s="281"/>
      <c r="AP68" s="281">
        <f>IF(HLOOKUP(AP$13,'MP (nominal)'!$D$12:$AM$244,ROW()-12,FALSE)="","",HLOOKUP(AP$13,'MP (nominal)'!$D$12:$AM$244,ROW()-12,FALSE)*VLOOKUP($C68,CPI!$B$9:$I$63,8))</f>
        <v>20732.281264315159</v>
      </c>
      <c r="AQ68" s="31">
        <f>IF(HLOOKUP(AQ$13,'MP (nominal)'!$D$12:$AM$244,ROW()-12,FALSE)="","",HLOOKUP(AQ$13,'MP (nominal)'!$D$12:$AM$244,ROW()-12,FALSE))</f>
        <v>416079</v>
      </c>
      <c r="AR68" s="281">
        <f>IF(HLOOKUP(AR$13,'MP (nominal)'!$D$12:$AM$244,ROW()-12,FALSE)="","",HLOOKUP(AR$13,'MP (nominal)'!$D$12:$AM$244,ROW()-12,FALSE))</f>
        <v>42204</v>
      </c>
    </row>
    <row r="69" spans="1:44" s="278" customFormat="1">
      <c r="A69" s="271">
        <f>References!J264</f>
        <v>146</v>
      </c>
      <c r="B69" s="292" t="s">
        <v>35</v>
      </c>
      <c r="C69" s="284">
        <v>2011</v>
      </c>
      <c r="D69" s="27">
        <f>IF(HLOOKUP(D$13,'MP (nominal)'!$D$12:$AM$244,ROW()-12,FALSE)="","",HLOOKUP(D$13,'MP (nominal)'!$D$12:$AM$244,ROW()-12,FALSE))</f>
        <v>1627.76</v>
      </c>
      <c r="E69" s="281">
        <f>IF(HLOOKUP(E$13,'MP (nominal)'!$D$12:$AM$244,ROW()-12,FALSE)="","",HLOOKUP(E$13,'MP (nominal)'!$D$12:$AM$244,ROW()-12,FALSE))</f>
        <v>216</v>
      </c>
      <c r="F69" s="27">
        <f>IF(HLOOKUP(F$13,'MP (nominal)'!$D$12:$AM$244,ROW()-12,FALSE)="","",HLOOKUP(F$13,'MP (nominal)'!$D$12:$AM$244,ROW()-12,FALSE))</f>
        <v>952.7</v>
      </c>
      <c r="G69" s="281">
        <f>IF(HLOOKUP(G$13,'MP (nominal)'!$D$12:$AM$244,ROW()-12,FALSE)="","",HLOOKUP(G$13,'MP (nominal)'!$D$12:$AM$244,ROW()-12,FALSE))</f>
        <v>318</v>
      </c>
      <c r="H69" s="27">
        <f>IF(HLOOKUP(H$13,'MP (nominal)'!$D$12:$AM$244,ROW()-12,FALSE)="","",HLOOKUP(H$13,'MP (nominal)'!$D$12:$AM$244,ROW()-12,FALSE))</f>
        <v>2580.46</v>
      </c>
      <c r="I69" s="31">
        <f>IF(HLOOKUP(I$13,'MP (nominal)'!$D$12:$AM$244,ROW()-12,FALSE)="","",HLOOKUP(I$13,'MP (nominal)'!$D$12:$AM$244,ROW()-12,FALSE))</f>
        <v>534</v>
      </c>
      <c r="J69" s="31">
        <f>IF(HLOOKUP(J$13,'MP (nominal)'!$D$12:$AM$244,ROW()-12,FALSE)="","",HLOOKUP(J$13,'MP (nominal)'!$D$12:$AM$244,ROW()-12,FALSE))</f>
        <v>1627.76</v>
      </c>
      <c r="K69" s="281"/>
      <c r="L69" s="27">
        <f>IF(HLOOKUP(L$13,'MP (nominal)'!$D$12:$AM$244,ROW()-12,FALSE)="","",HLOOKUP(L$13,'MP (nominal)'!$D$12:$AM$244,ROW()-12,FALSE))</f>
        <v>94.33</v>
      </c>
      <c r="M69" s="283">
        <f>IF(HLOOKUP(M$13,'MP (nominal)'!$D$12:$AM$244,ROW()-12,FALSE)="","",HLOOKUP(M$13,'MP (nominal)'!$D$12:$AM$244,ROW()-12,FALSE))</f>
        <v>410.69148000000001</v>
      </c>
      <c r="N69" s="35"/>
      <c r="O69" s="27">
        <f>IF(HLOOKUP(O$13,'MP (nominal)'!$D$12:$AM$244,ROW()-12,FALSE)="","",HLOOKUP(O$13,'MP (nominal)'!$D$12:$AM$244,ROW()-12,FALSE))</f>
        <v>42483</v>
      </c>
      <c r="P69" s="31"/>
      <c r="Q69" s="281"/>
      <c r="R69" s="281">
        <f>IF(HLOOKUP(R$13,'MP (nominal)'!$D$12:$AM$244,ROW()-12,FALSE)="","",HLOOKUP(R$13,'MP (nominal)'!$D$12:$AM$244,ROW()-12,FALSE))</f>
        <v>74.712999999999994</v>
      </c>
      <c r="S69" s="281">
        <f>IF(HLOOKUP(S$13,'MP (nominal)'!$D$12:$AM$244,ROW()-12,FALSE)="","",HLOOKUP(S$13,'MP (nominal)'!$D$12:$AM$244,ROW()-12,FALSE))</f>
        <v>16.89</v>
      </c>
      <c r="T69" s="281">
        <f>IF(HLOOKUP(T$13,'MP (nominal)'!$D$12:$AM$244,ROW()-12,FALSE)="","",HLOOKUP(T$13,'MP (nominal)'!$D$12:$AM$244,ROW()-12,FALSE))</f>
        <v>57.823</v>
      </c>
      <c r="U69" s="281"/>
      <c r="V69" s="281">
        <f>IF(HLOOKUP(V$13,'MP (nominal)'!$D$12:$AM$244,ROW()-12,FALSE)="","",HLOOKUP(V$13,'MP (nominal)'!$D$12:$AM$244,ROW()-12,FALSE))</f>
        <v>1.617</v>
      </c>
      <c r="W69" s="281">
        <f>IF(HLOOKUP(W$13,'MP (nominal)'!$D$12:$AM$244,ROW()-12,FALSE)="","",HLOOKUP(W$13,'MP (nominal)'!$D$12:$AM$244,ROW()-12,FALSE))</f>
        <v>0.10299999999999999</v>
      </c>
      <c r="X69" s="281">
        <f>IF(HLOOKUP(X$13,'MP (nominal)'!$D$12:$AM$244,ROW()-12,FALSE)="","",HLOOKUP(X$13,'MP (nominal)'!$D$12:$AM$244,ROW()-12,FALSE))</f>
        <v>1.514</v>
      </c>
      <c r="Y69" s="281"/>
      <c r="Z69" s="281">
        <f>IF(HLOOKUP(Z$13,'MP (nominal)'!$D$12:$AM$244,ROW()-12,FALSE)="","",HLOOKUP(Z$13,'MP (nominal)'!$D$12:$AM$244,ROW()-12,FALSE)*VLOOKUP($C69,CPI!$B$9:$I$63,8))</f>
        <v>23678</v>
      </c>
      <c r="AA69" s="281">
        <f>IF(HLOOKUP(AA$13,'MP (nominal)'!$D$12:$AM$244,ROW()-12,FALSE)="","",HLOOKUP(AA$13,'MP (nominal)'!$D$12:$AM$244,ROW()-12,FALSE))</f>
        <v>300971.8</v>
      </c>
      <c r="AB69" s="281">
        <f>IF(HLOOKUP(AB$13,'MP (nominal)'!$D$12:$AM$244,ROW()-12,FALSE)="","",HLOOKUP(AB$13,'MP (nominal)'!$D$12:$AM$244,ROW()-12,FALSE))</f>
        <v>42078</v>
      </c>
      <c r="AC69" s="281"/>
      <c r="AD69" s="281">
        <f>IF(HLOOKUP(AD$13,'MP (nominal)'!$D$12:$AM$244,ROW()-12,FALSE)="","",HLOOKUP(AD$13,'MP (nominal)'!$D$12:$AM$244,ROW()-12,FALSE)*VLOOKUP($C69,CPI!$B$9:$I$63,8))</f>
        <v>0</v>
      </c>
      <c r="AE69" s="31">
        <f>IF(HLOOKUP(AE$13,'MP (nominal)'!$D$12:$AM$244,ROW()-12,FALSE)="","",HLOOKUP(AE$13,'MP (nominal)'!$D$12:$AM$244,ROW()-12,FALSE))</f>
        <v>0</v>
      </c>
      <c r="AF69" s="31">
        <f>IF(HLOOKUP(AF$13,'MP (nominal)'!$D$12:$AM$244,ROW()-12,FALSE)="","",HLOOKUP(AF$13,'MP (nominal)'!$D$12:$AM$244,ROW()-12,FALSE))</f>
        <v>0</v>
      </c>
      <c r="AG69" s="281"/>
      <c r="AH69" s="281">
        <f>IF(HLOOKUP(AH$13,'MP (nominal)'!$D$12:$AM$244,ROW()-12,FALSE)="","",HLOOKUP(AH$13,'MP (nominal)'!$D$12:$AM$244,ROW()-12,FALSE)*VLOOKUP($C69,CPI!$B$9:$I$63,8))</f>
        <v>4077</v>
      </c>
      <c r="AI69" s="31">
        <f>IF(HLOOKUP(AI$13,'MP (nominal)'!$D$12:$AM$244,ROW()-12,FALSE)="","",HLOOKUP(AI$13,'MP (nominal)'!$D$12:$AM$244,ROW()-12,FALSE))</f>
        <v>93949.187000000005</v>
      </c>
      <c r="AJ69" s="31">
        <f>IF(HLOOKUP(AJ$13,'MP (nominal)'!$D$12:$AM$244,ROW()-12,FALSE)="","",HLOOKUP(AJ$13,'MP (nominal)'!$D$12:$AM$244,ROW()-12,FALSE))</f>
        <v>400</v>
      </c>
      <c r="AK69" s="281"/>
      <c r="AL69" s="281">
        <f>IF(HLOOKUP(AL$13,'MP (nominal)'!$D$12:$AM$244,ROW()-12,FALSE)="","",HLOOKUP(AL$13,'MP (nominal)'!$D$12:$AM$244,ROW()-12,FALSE)*VLOOKUP($C69,CPI!$B$9:$I$63,8))</f>
        <v>680.38199999999995</v>
      </c>
      <c r="AM69" s="31">
        <f>IF(HLOOKUP(AM$13,'MP (nominal)'!$D$12:$AM$244,ROW()-12,FALSE)="","",HLOOKUP(AM$13,'MP (nominal)'!$D$12:$AM$244,ROW()-12,FALSE))</f>
        <v>15770.486999999999</v>
      </c>
      <c r="AN69" s="31">
        <f>IF(HLOOKUP(AN$13,'MP (nominal)'!$D$12:$AM$244,ROW()-12,FALSE)="","",HLOOKUP(AN$13,'MP (nominal)'!$D$12:$AM$244,ROW()-12,FALSE))</f>
        <v>5</v>
      </c>
      <c r="AO69" s="281"/>
      <c r="AP69" s="281">
        <f>IF(HLOOKUP(AP$13,'MP (nominal)'!$D$12:$AM$244,ROW()-12,FALSE)="","",HLOOKUP(AP$13,'MP (nominal)'!$D$12:$AM$244,ROW()-12,FALSE)*VLOOKUP($C69,CPI!$B$9:$I$63,8))</f>
        <v>28435.382000000001</v>
      </c>
      <c r="AQ69" s="31">
        <f>IF(HLOOKUP(AQ$13,'MP (nominal)'!$D$12:$AM$244,ROW()-12,FALSE)="","",HLOOKUP(AQ$13,'MP (nominal)'!$D$12:$AM$244,ROW()-12,FALSE))</f>
        <v>410691.48</v>
      </c>
      <c r="AR69" s="281">
        <f>IF(HLOOKUP(AR$13,'MP (nominal)'!$D$12:$AM$244,ROW()-12,FALSE)="","",HLOOKUP(AR$13,'MP (nominal)'!$D$12:$AM$244,ROW()-12,FALSE))</f>
        <v>42483</v>
      </c>
    </row>
    <row r="70" spans="1:44" s="278" customFormat="1" hidden="1">
      <c r="A70" s="271">
        <f>References!C265</f>
        <v>162</v>
      </c>
      <c r="B70" s="292" t="s">
        <v>36</v>
      </c>
      <c r="C70" s="284">
        <v>2004</v>
      </c>
      <c r="D70" s="27" t="str">
        <f>IF(HLOOKUP(D$13,'MP (nominal)'!$D$12:$AM$244,ROW()-12,FALSE)="","",HLOOKUP(D$13,'MP (nominal)'!$D$12:$AM$244,ROW()-12,FALSE))</f>
        <v/>
      </c>
      <c r="E70" s="281" t="str">
        <f>IF(HLOOKUP(E$13,'MP (nominal)'!$D$12:$AM$244,ROW()-12,FALSE)="","",HLOOKUP(E$13,'MP (nominal)'!$D$12:$AM$244,ROW()-12,FALSE))</f>
        <v/>
      </c>
      <c r="F70" s="27">
        <f>IF(HLOOKUP(F$13,'MP (nominal)'!$D$12:$AM$244,ROW()-12,FALSE)="","",HLOOKUP(F$13,'MP (nominal)'!$D$12:$AM$244,ROW()-12,FALSE))</f>
        <v>306</v>
      </c>
      <c r="G70" s="281" t="str">
        <f>IF(HLOOKUP(G$13,'MP (nominal)'!$D$12:$AM$244,ROW()-12,FALSE)="","",HLOOKUP(G$13,'MP (nominal)'!$D$12:$AM$244,ROW()-12,FALSE))</f>
        <v/>
      </c>
      <c r="H70" s="27">
        <f>IF(HLOOKUP(H$13,'MP (nominal)'!$D$12:$AM$244,ROW()-12,FALSE)="","",HLOOKUP(H$13,'MP (nominal)'!$D$12:$AM$244,ROW()-12,FALSE))</f>
        <v>2730</v>
      </c>
      <c r="I70" s="31" t="str">
        <f>IF(HLOOKUP(I$13,'MP (nominal)'!$D$12:$AM$244,ROW()-12,FALSE)="","",HLOOKUP(I$13,'MP (nominal)'!$D$12:$AM$244,ROW()-12,FALSE))</f>
        <v/>
      </c>
      <c r="J70" s="31">
        <f>IF(HLOOKUP(J$13,'MP (nominal)'!$D$12:$AM$244,ROW()-12,FALSE)="","",HLOOKUP(J$13,'MP (nominal)'!$D$12:$AM$244,ROW()-12,FALSE))</f>
        <v>2424</v>
      </c>
      <c r="K70" s="281"/>
      <c r="L70" s="27">
        <f>IF(HLOOKUP(L$13,'MP (nominal)'!$D$12:$AM$244,ROW()-12,FALSE)="","",HLOOKUP(L$13,'MP (nominal)'!$D$12:$AM$244,ROW()-12,FALSE))</f>
        <v>91.206000000000003</v>
      </c>
      <c r="M70" s="293">
        <f>IF(HLOOKUP(M$13,'MP (nominal)'!$D$12:$AM$244,ROW()-12,FALSE)="","",HLOOKUP(M$13,'MP (nominal)'!$D$12:$AM$244,ROW()-12,FALSE))</f>
        <v>367.10171600000001</v>
      </c>
      <c r="N70" s="35"/>
      <c r="O70" s="27">
        <f>IF(HLOOKUP(O$13,'MP (nominal)'!$D$12:$AM$244,ROW()-12,FALSE)="","",HLOOKUP(O$13,'MP (nominal)'!$D$12:$AM$244,ROW()-12,FALSE))</f>
        <v>15049</v>
      </c>
      <c r="P70" s="31"/>
      <c r="Q70" s="281"/>
      <c r="R70" s="281">
        <f>IF(HLOOKUP(R$13,'MP (nominal)'!$D$12:$AM$244,ROW()-12,FALSE)="","",HLOOKUP(R$13,'MP (nominal)'!$D$12:$AM$244,ROW()-12,FALSE))</f>
        <v>198.63</v>
      </c>
      <c r="S70" s="281" t="str">
        <f>IF(HLOOKUP(S$13,'MP (nominal)'!$D$12:$AM$244,ROW()-12,FALSE)="","",HLOOKUP(S$13,'MP (nominal)'!$D$12:$AM$244,ROW()-12,FALSE))</f>
        <v/>
      </c>
      <c r="T70" s="281" t="str">
        <f>IF(HLOOKUP(T$13,'MP (nominal)'!$D$12:$AM$244,ROW()-12,FALSE)="","",HLOOKUP(T$13,'MP (nominal)'!$D$12:$AM$244,ROW()-12,FALSE))</f>
        <v/>
      </c>
      <c r="U70" s="281"/>
      <c r="V70" s="281">
        <f>IF(HLOOKUP(V$13,'MP (nominal)'!$D$12:$AM$244,ROW()-12,FALSE)="","",HLOOKUP(V$13,'MP (nominal)'!$D$12:$AM$244,ROW()-12,FALSE))</f>
        <v>1.47</v>
      </c>
      <c r="W70" s="281" t="str">
        <f>IF(HLOOKUP(W$13,'MP (nominal)'!$D$12:$AM$244,ROW()-12,FALSE)="","",HLOOKUP(W$13,'MP (nominal)'!$D$12:$AM$244,ROW()-12,FALSE))</f>
        <v/>
      </c>
      <c r="X70" s="281" t="str">
        <f>IF(HLOOKUP(X$13,'MP (nominal)'!$D$12:$AM$244,ROW()-12,FALSE)="","",HLOOKUP(X$13,'MP (nominal)'!$D$12:$AM$244,ROW()-12,FALSE))</f>
        <v/>
      </c>
      <c r="Y70" s="281"/>
      <c r="Z70" s="281" t="str">
        <f>IF(HLOOKUP(Z$13,'MP (nominal)'!$D$12:$AM$244,ROW()-12,FALSE)="","",HLOOKUP(Z$13,'MP (nominal)'!$D$12:$AM$244,ROW()-12,FALSE)*VLOOKUP($C70,CPI!$B$9:$I$63,8))</f>
        <v/>
      </c>
      <c r="AA70" s="281" t="str">
        <f>IF(HLOOKUP(AA$13,'MP (nominal)'!$D$12:$AM$244,ROW()-12,FALSE)="","",HLOOKUP(AA$13,'MP (nominal)'!$D$12:$AM$244,ROW()-12,FALSE))</f>
        <v/>
      </c>
      <c r="AB70" s="281" t="str">
        <f>IF(HLOOKUP(AB$13,'MP (nominal)'!$D$12:$AM$244,ROW()-12,FALSE)="","",HLOOKUP(AB$13,'MP (nominal)'!$D$12:$AM$244,ROW()-12,FALSE))</f>
        <v/>
      </c>
      <c r="AC70" s="281"/>
      <c r="AD70" s="281" t="str">
        <f>IF(HLOOKUP(AD$13,'MP (nominal)'!$D$12:$AM$244,ROW()-12,FALSE)="","",HLOOKUP(AD$13,'MP (nominal)'!$D$12:$AM$244,ROW()-12,FALSE)*VLOOKUP($C70,CPI!$B$9:$I$63,8))</f>
        <v/>
      </c>
      <c r="AE70" s="31" t="str">
        <f>IF(HLOOKUP(AE$13,'MP (nominal)'!$D$12:$AM$244,ROW()-12,FALSE)="","",HLOOKUP(AE$13,'MP (nominal)'!$D$12:$AM$244,ROW()-12,FALSE))</f>
        <v/>
      </c>
      <c r="AF70" s="31" t="str">
        <f>IF(HLOOKUP(AF$13,'MP (nominal)'!$D$12:$AM$244,ROW()-12,FALSE)="","",HLOOKUP(AF$13,'MP (nominal)'!$D$12:$AM$244,ROW()-12,FALSE))</f>
        <v/>
      </c>
      <c r="AG70" s="281"/>
      <c r="AH70" s="281" t="str">
        <f>IF(HLOOKUP(AH$13,'MP (nominal)'!$D$12:$AM$244,ROW()-12,FALSE)="","",HLOOKUP(AH$13,'MP (nominal)'!$D$12:$AM$244,ROW()-12,FALSE)*VLOOKUP($C70,CPI!$B$9:$I$63,8))</f>
        <v/>
      </c>
      <c r="AI70" s="31" t="str">
        <f>IF(HLOOKUP(AI$13,'MP (nominal)'!$D$12:$AM$244,ROW()-12,FALSE)="","",HLOOKUP(AI$13,'MP (nominal)'!$D$12:$AM$244,ROW()-12,FALSE))</f>
        <v/>
      </c>
      <c r="AJ70" s="31" t="str">
        <f>IF(HLOOKUP(AJ$13,'MP (nominal)'!$D$12:$AM$244,ROW()-12,FALSE)="","",HLOOKUP(AJ$13,'MP (nominal)'!$D$12:$AM$244,ROW()-12,FALSE))</f>
        <v/>
      </c>
      <c r="AK70" s="281"/>
      <c r="AL70" s="281" t="str">
        <f>IF(HLOOKUP(AL$13,'MP (nominal)'!$D$12:$AM$244,ROW()-12,FALSE)="","",HLOOKUP(AL$13,'MP (nominal)'!$D$12:$AM$244,ROW()-12,FALSE)*VLOOKUP($C70,CPI!$B$9:$I$63,8))</f>
        <v/>
      </c>
      <c r="AM70" s="31" t="str">
        <f>IF(HLOOKUP(AM$13,'MP (nominal)'!$D$12:$AM$244,ROW()-12,FALSE)="","",HLOOKUP(AM$13,'MP (nominal)'!$D$12:$AM$244,ROW()-12,FALSE))</f>
        <v/>
      </c>
      <c r="AN70" s="31" t="str">
        <f>IF(HLOOKUP(AN$13,'MP (nominal)'!$D$12:$AM$244,ROW()-12,FALSE)="","",HLOOKUP(AN$13,'MP (nominal)'!$D$12:$AM$244,ROW()-12,FALSE))</f>
        <v/>
      </c>
      <c r="AO70" s="281"/>
      <c r="AP70" s="281" t="str">
        <f>IF(HLOOKUP(AP$13,'MP (nominal)'!$D$12:$AM$244,ROW()-12,FALSE)="","",HLOOKUP(AP$13,'MP (nominal)'!$D$12:$AM$244,ROW()-12,FALSE)*VLOOKUP($C70,CPI!$B$9:$I$63,8))</f>
        <v/>
      </c>
      <c r="AQ70" s="31" t="str">
        <f>IF(HLOOKUP(AQ$13,'MP (nominal)'!$D$12:$AM$244,ROW()-12,FALSE)="","",HLOOKUP(AQ$13,'MP (nominal)'!$D$12:$AM$244,ROW()-12,FALSE))</f>
        <v/>
      </c>
      <c r="AR70" s="281" t="str">
        <f>IF(HLOOKUP(AR$13,'MP (nominal)'!$D$12:$AM$244,ROW()-12,FALSE)="","",HLOOKUP(AR$13,'MP (nominal)'!$D$12:$AM$244,ROW()-12,FALSE))</f>
        <v/>
      </c>
    </row>
    <row r="71" spans="1:44" s="278" customFormat="1" hidden="1">
      <c r="A71" s="271">
        <f>References!D265</f>
        <v>163</v>
      </c>
      <c r="B71" s="292" t="s">
        <v>36</v>
      </c>
      <c r="C71" s="284">
        <v>2005</v>
      </c>
      <c r="D71" s="27" t="str">
        <f>IF(HLOOKUP(D$13,'MP (nominal)'!$D$12:$AM$244,ROW()-12,FALSE)="","",HLOOKUP(D$13,'MP (nominal)'!$D$12:$AM$244,ROW()-12,FALSE))</f>
        <v/>
      </c>
      <c r="E71" s="281" t="str">
        <f>IF(HLOOKUP(E$13,'MP (nominal)'!$D$12:$AM$244,ROW()-12,FALSE)="","",HLOOKUP(E$13,'MP (nominal)'!$D$12:$AM$244,ROW()-12,FALSE))</f>
        <v/>
      </c>
      <c r="F71" s="27">
        <f>IF(HLOOKUP(F$13,'MP (nominal)'!$D$12:$AM$244,ROW()-12,FALSE)="","",HLOOKUP(F$13,'MP (nominal)'!$D$12:$AM$244,ROW()-12,FALSE))</f>
        <v>322</v>
      </c>
      <c r="G71" s="281" t="str">
        <f>IF(HLOOKUP(G$13,'MP (nominal)'!$D$12:$AM$244,ROW()-12,FALSE)="","",HLOOKUP(G$13,'MP (nominal)'!$D$12:$AM$244,ROW()-12,FALSE))</f>
        <v/>
      </c>
      <c r="H71" s="27">
        <f>IF(HLOOKUP(H$13,'MP (nominal)'!$D$12:$AM$244,ROW()-12,FALSE)="","",HLOOKUP(H$13,'MP (nominal)'!$D$12:$AM$244,ROW()-12,FALSE))</f>
        <v>2776</v>
      </c>
      <c r="I71" s="31" t="str">
        <f>IF(HLOOKUP(I$13,'MP (nominal)'!$D$12:$AM$244,ROW()-12,FALSE)="","",HLOOKUP(I$13,'MP (nominal)'!$D$12:$AM$244,ROW()-12,FALSE))</f>
        <v/>
      </c>
      <c r="J71" s="31">
        <f>IF(HLOOKUP(J$13,'MP (nominal)'!$D$12:$AM$244,ROW()-12,FALSE)="","",HLOOKUP(J$13,'MP (nominal)'!$D$12:$AM$244,ROW()-12,FALSE))</f>
        <v>2454</v>
      </c>
      <c r="K71" s="281"/>
      <c r="L71" s="27">
        <f>IF(HLOOKUP(L$13,'MP (nominal)'!$D$12:$AM$244,ROW()-12,FALSE)="","",HLOOKUP(L$13,'MP (nominal)'!$D$12:$AM$244,ROW()-12,FALSE))</f>
        <v>95.58</v>
      </c>
      <c r="M71" s="293">
        <f>IF(HLOOKUP(M$13,'MP (nominal)'!$D$12:$AM$244,ROW()-12,FALSE)="","",HLOOKUP(M$13,'MP (nominal)'!$D$12:$AM$244,ROW()-12,FALSE))</f>
        <v>357.99005499999998</v>
      </c>
      <c r="N71" s="35"/>
      <c r="O71" s="27">
        <f>IF(HLOOKUP(O$13,'MP (nominal)'!$D$12:$AM$244,ROW()-12,FALSE)="","",HLOOKUP(O$13,'MP (nominal)'!$D$12:$AM$244,ROW()-12,FALSE))</f>
        <v>15311</v>
      </c>
      <c r="P71" s="31"/>
      <c r="Q71" s="281"/>
      <c r="R71" s="281">
        <f>IF(HLOOKUP(R$13,'MP (nominal)'!$D$12:$AM$244,ROW()-12,FALSE)="","",HLOOKUP(R$13,'MP (nominal)'!$D$12:$AM$244,ROW()-12,FALSE))</f>
        <v>132.69</v>
      </c>
      <c r="S71" s="281" t="str">
        <f>IF(HLOOKUP(S$13,'MP (nominal)'!$D$12:$AM$244,ROW()-12,FALSE)="","",HLOOKUP(S$13,'MP (nominal)'!$D$12:$AM$244,ROW()-12,FALSE))</f>
        <v/>
      </c>
      <c r="T71" s="281" t="str">
        <f>IF(HLOOKUP(T$13,'MP (nominal)'!$D$12:$AM$244,ROW()-12,FALSE)="","",HLOOKUP(T$13,'MP (nominal)'!$D$12:$AM$244,ROW()-12,FALSE))</f>
        <v/>
      </c>
      <c r="U71" s="281"/>
      <c r="V71" s="281">
        <f>IF(HLOOKUP(V$13,'MP (nominal)'!$D$12:$AM$244,ROW()-12,FALSE)="","",HLOOKUP(V$13,'MP (nominal)'!$D$12:$AM$244,ROW()-12,FALSE))</f>
        <v>1.17</v>
      </c>
      <c r="W71" s="281" t="str">
        <f>IF(HLOOKUP(W$13,'MP (nominal)'!$D$12:$AM$244,ROW()-12,FALSE)="","",HLOOKUP(W$13,'MP (nominal)'!$D$12:$AM$244,ROW()-12,FALSE))</f>
        <v/>
      </c>
      <c r="X71" s="281" t="str">
        <f>IF(HLOOKUP(X$13,'MP (nominal)'!$D$12:$AM$244,ROW()-12,FALSE)="","",HLOOKUP(X$13,'MP (nominal)'!$D$12:$AM$244,ROW()-12,FALSE))</f>
        <v/>
      </c>
      <c r="Y71" s="281"/>
      <c r="Z71" s="281" t="str">
        <f>IF(HLOOKUP(Z$13,'MP (nominal)'!$D$12:$AM$244,ROW()-12,FALSE)="","",HLOOKUP(Z$13,'MP (nominal)'!$D$12:$AM$244,ROW()-12,FALSE)*VLOOKUP($C71,CPI!$B$9:$I$63,8))</f>
        <v/>
      </c>
      <c r="AA71" s="281" t="str">
        <f>IF(HLOOKUP(AA$13,'MP (nominal)'!$D$12:$AM$244,ROW()-12,FALSE)="","",HLOOKUP(AA$13,'MP (nominal)'!$D$12:$AM$244,ROW()-12,FALSE))</f>
        <v/>
      </c>
      <c r="AB71" s="281" t="str">
        <f>IF(HLOOKUP(AB$13,'MP (nominal)'!$D$12:$AM$244,ROW()-12,FALSE)="","",HLOOKUP(AB$13,'MP (nominal)'!$D$12:$AM$244,ROW()-12,FALSE))</f>
        <v/>
      </c>
      <c r="AC71" s="281"/>
      <c r="AD71" s="281" t="str">
        <f>IF(HLOOKUP(AD$13,'MP (nominal)'!$D$12:$AM$244,ROW()-12,FALSE)="","",HLOOKUP(AD$13,'MP (nominal)'!$D$12:$AM$244,ROW()-12,FALSE)*VLOOKUP($C71,CPI!$B$9:$I$63,8))</f>
        <v/>
      </c>
      <c r="AE71" s="31" t="str">
        <f>IF(HLOOKUP(AE$13,'MP (nominal)'!$D$12:$AM$244,ROW()-12,FALSE)="","",HLOOKUP(AE$13,'MP (nominal)'!$D$12:$AM$244,ROW()-12,FALSE))</f>
        <v/>
      </c>
      <c r="AF71" s="31" t="str">
        <f>IF(HLOOKUP(AF$13,'MP (nominal)'!$D$12:$AM$244,ROW()-12,FALSE)="","",HLOOKUP(AF$13,'MP (nominal)'!$D$12:$AM$244,ROW()-12,FALSE))</f>
        <v/>
      </c>
      <c r="AG71" s="281"/>
      <c r="AH71" s="281" t="str">
        <f>IF(HLOOKUP(AH$13,'MP (nominal)'!$D$12:$AM$244,ROW()-12,FALSE)="","",HLOOKUP(AH$13,'MP (nominal)'!$D$12:$AM$244,ROW()-12,FALSE)*VLOOKUP($C71,CPI!$B$9:$I$63,8))</f>
        <v/>
      </c>
      <c r="AI71" s="31" t="str">
        <f>IF(HLOOKUP(AI$13,'MP (nominal)'!$D$12:$AM$244,ROW()-12,FALSE)="","",HLOOKUP(AI$13,'MP (nominal)'!$D$12:$AM$244,ROW()-12,FALSE))</f>
        <v/>
      </c>
      <c r="AJ71" s="31" t="str">
        <f>IF(HLOOKUP(AJ$13,'MP (nominal)'!$D$12:$AM$244,ROW()-12,FALSE)="","",HLOOKUP(AJ$13,'MP (nominal)'!$D$12:$AM$244,ROW()-12,FALSE))</f>
        <v/>
      </c>
      <c r="AK71" s="281"/>
      <c r="AL71" s="281" t="str">
        <f>IF(HLOOKUP(AL$13,'MP (nominal)'!$D$12:$AM$244,ROW()-12,FALSE)="","",HLOOKUP(AL$13,'MP (nominal)'!$D$12:$AM$244,ROW()-12,FALSE)*VLOOKUP($C71,CPI!$B$9:$I$63,8))</f>
        <v/>
      </c>
      <c r="AM71" s="31" t="str">
        <f>IF(HLOOKUP(AM$13,'MP (nominal)'!$D$12:$AM$244,ROW()-12,FALSE)="","",HLOOKUP(AM$13,'MP (nominal)'!$D$12:$AM$244,ROW()-12,FALSE))</f>
        <v/>
      </c>
      <c r="AN71" s="31" t="str">
        <f>IF(HLOOKUP(AN$13,'MP (nominal)'!$D$12:$AM$244,ROW()-12,FALSE)="","",HLOOKUP(AN$13,'MP (nominal)'!$D$12:$AM$244,ROW()-12,FALSE))</f>
        <v/>
      </c>
      <c r="AO71" s="281"/>
      <c r="AP71" s="281" t="str">
        <f>IF(HLOOKUP(AP$13,'MP (nominal)'!$D$12:$AM$244,ROW()-12,FALSE)="","",HLOOKUP(AP$13,'MP (nominal)'!$D$12:$AM$244,ROW()-12,FALSE)*VLOOKUP($C71,CPI!$B$9:$I$63,8))</f>
        <v/>
      </c>
      <c r="AQ71" s="31" t="str">
        <f>IF(HLOOKUP(AQ$13,'MP (nominal)'!$D$12:$AM$244,ROW()-12,FALSE)="","",HLOOKUP(AQ$13,'MP (nominal)'!$D$12:$AM$244,ROW()-12,FALSE))</f>
        <v/>
      </c>
      <c r="AR71" s="281" t="str">
        <f>IF(HLOOKUP(AR$13,'MP (nominal)'!$D$12:$AM$244,ROW()-12,FALSE)="","",HLOOKUP(AR$13,'MP (nominal)'!$D$12:$AM$244,ROW()-12,FALSE))</f>
        <v/>
      </c>
    </row>
    <row r="72" spans="1:44" s="278" customFormat="1" hidden="1">
      <c r="A72" s="271">
        <f>References!E265</f>
        <v>164</v>
      </c>
      <c r="B72" s="292" t="s">
        <v>36</v>
      </c>
      <c r="C72" s="284">
        <v>2006</v>
      </c>
      <c r="D72" s="27" t="str">
        <f>IF(HLOOKUP(D$13,'MP (nominal)'!$D$12:$AM$244,ROW()-12,FALSE)="","",HLOOKUP(D$13,'MP (nominal)'!$D$12:$AM$244,ROW()-12,FALSE))</f>
        <v/>
      </c>
      <c r="E72" s="281" t="str">
        <f>IF(HLOOKUP(E$13,'MP (nominal)'!$D$12:$AM$244,ROW()-12,FALSE)="","",HLOOKUP(E$13,'MP (nominal)'!$D$12:$AM$244,ROW()-12,FALSE))</f>
        <v/>
      </c>
      <c r="F72" s="27">
        <f>IF(HLOOKUP(F$13,'MP (nominal)'!$D$12:$AM$244,ROW()-12,FALSE)="","",HLOOKUP(F$13,'MP (nominal)'!$D$12:$AM$244,ROW()-12,FALSE))</f>
        <v>339</v>
      </c>
      <c r="G72" s="281" t="str">
        <f>IF(HLOOKUP(G$13,'MP (nominal)'!$D$12:$AM$244,ROW()-12,FALSE)="","",HLOOKUP(G$13,'MP (nominal)'!$D$12:$AM$244,ROW()-12,FALSE))</f>
        <v/>
      </c>
      <c r="H72" s="27">
        <f>IF(HLOOKUP(H$13,'MP (nominal)'!$D$12:$AM$244,ROW()-12,FALSE)="","",HLOOKUP(H$13,'MP (nominal)'!$D$12:$AM$244,ROW()-12,FALSE))</f>
        <v>2802</v>
      </c>
      <c r="I72" s="31" t="str">
        <f>IF(HLOOKUP(I$13,'MP (nominal)'!$D$12:$AM$244,ROW()-12,FALSE)="","",HLOOKUP(I$13,'MP (nominal)'!$D$12:$AM$244,ROW()-12,FALSE))</f>
        <v/>
      </c>
      <c r="J72" s="31">
        <f>IF(HLOOKUP(J$13,'MP (nominal)'!$D$12:$AM$244,ROW()-12,FALSE)="","",HLOOKUP(J$13,'MP (nominal)'!$D$12:$AM$244,ROW()-12,FALSE))</f>
        <v>2463</v>
      </c>
      <c r="K72" s="281"/>
      <c r="L72" s="27">
        <f>IF(HLOOKUP(L$13,'MP (nominal)'!$D$12:$AM$244,ROW()-12,FALSE)="","",HLOOKUP(L$13,'MP (nominal)'!$D$12:$AM$244,ROW()-12,FALSE))</f>
        <v>104.021</v>
      </c>
      <c r="M72" s="293">
        <f>IF(HLOOKUP(M$13,'MP (nominal)'!$D$12:$AM$244,ROW()-12,FALSE)="","",HLOOKUP(M$13,'MP (nominal)'!$D$12:$AM$244,ROW()-12,FALSE))</f>
        <v>471.482619</v>
      </c>
      <c r="N72" s="35"/>
      <c r="O72" s="27">
        <f>IF(HLOOKUP(O$13,'MP (nominal)'!$D$12:$AM$244,ROW()-12,FALSE)="","",HLOOKUP(O$13,'MP (nominal)'!$D$12:$AM$244,ROW()-12,FALSE))</f>
        <v>15975</v>
      </c>
      <c r="P72" s="31"/>
      <c r="Q72" s="281"/>
      <c r="R72" s="281">
        <f>IF(HLOOKUP(R$13,'MP (nominal)'!$D$12:$AM$244,ROW()-12,FALSE)="","",HLOOKUP(R$13,'MP (nominal)'!$D$12:$AM$244,ROW()-12,FALSE))</f>
        <v>150.19999999999999</v>
      </c>
      <c r="S72" s="281" t="str">
        <f>IF(HLOOKUP(S$13,'MP (nominal)'!$D$12:$AM$244,ROW()-12,FALSE)="","",HLOOKUP(S$13,'MP (nominal)'!$D$12:$AM$244,ROW()-12,FALSE))</f>
        <v/>
      </c>
      <c r="T72" s="281" t="str">
        <f>IF(HLOOKUP(T$13,'MP (nominal)'!$D$12:$AM$244,ROW()-12,FALSE)="","",HLOOKUP(T$13,'MP (nominal)'!$D$12:$AM$244,ROW()-12,FALSE))</f>
        <v/>
      </c>
      <c r="U72" s="281"/>
      <c r="V72" s="281">
        <f>IF(HLOOKUP(V$13,'MP (nominal)'!$D$12:$AM$244,ROW()-12,FALSE)="","",HLOOKUP(V$13,'MP (nominal)'!$D$12:$AM$244,ROW()-12,FALSE))</f>
        <v>1.31</v>
      </c>
      <c r="W72" s="281" t="str">
        <f>IF(HLOOKUP(W$13,'MP (nominal)'!$D$12:$AM$244,ROW()-12,FALSE)="","",HLOOKUP(W$13,'MP (nominal)'!$D$12:$AM$244,ROW()-12,FALSE))</f>
        <v/>
      </c>
      <c r="X72" s="281" t="str">
        <f>IF(HLOOKUP(X$13,'MP (nominal)'!$D$12:$AM$244,ROW()-12,FALSE)="","",HLOOKUP(X$13,'MP (nominal)'!$D$12:$AM$244,ROW()-12,FALSE))</f>
        <v/>
      </c>
      <c r="Y72" s="281"/>
      <c r="Z72" s="281" t="str">
        <f>IF(HLOOKUP(Z$13,'MP (nominal)'!$D$12:$AM$244,ROW()-12,FALSE)="","",HLOOKUP(Z$13,'MP (nominal)'!$D$12:$AM$244,ROW()-12,FALSE)*VLOOKUP($C72,CPI!$B$9:$I$63,8))</f>
        <v/>
      </c>
      <c r="AA72" s="281" t="str">
        <f>IF(HLOOKUP(AA$13,'MP (nominal)'!$D$12:$AM$244,ROW()-12,FALSE)="","",HLOOKUP(AA$13,'MP (nominal)'!$D$12:$AM$244,ROW()-12,FALSE))</f>
        <v/>
      </c>
      <c r="AB72" s="281" t="str">
        <f>IF(HLOOKUP(AB$13,'MP (nominal)'!$D$12:$AM$244,ROW()-12,FALSE)="","",HLOOKUP(AB$13,'MP (nominal)'!$D$12:$AM$244,ROW()-12,FALSE))</f>
        <v/>
      </c>
      <c r="AC72" s="281"/>
      <c r="AD72" s="281" t="str">
        <f>IF(HLOOKUP(AD$13,'MP (nominal)'!$D$12:$AM$244,ROW()-12,FALSE)="","",HLOOKUP(AD$13,'MP (nominal)'!$D$12:$AM$244,ROW()-12,FALSE)*VLOOKUP($C72,CPI!$B$9:$I$63,8))</f>
        <v/>
      </c>
      <c r="AE72" s="31" t="str">
        <f>IF(HLOOKUP(AE$13,'MP (nominal)'!$D$12:$AM$244,ROW()-12,FALSE)="","",HLOOKUP(AE$13,'MP (nominal)'!$D$12:$AM$244,ROW()-12,FALSE))</f>
        <v/>
      </c>
      <c r="AF72" s="31" t="str">
        <f>IF(HLOOKUP(AF$13,'MP (nominal)'!$D$12:$AM$244,ROW()-12,FALSE)="","",HLOOKUP(AF$13,'MP (nominal)'!$D$12:$AM$244,ROW()-12,FALSE))</f>
        <v/>
      </c>
      <c r="AG72" s="281"/>
      <c r="AH72" s="281" t="str">
        <f>IF(HLOOKUP(AH$13,'MP (nominal)'!$D$12:$AM$244,ROW()-12,FALSE)="","",HLOOKUP(AH$13,'MP (nominal)'!$D$12:$AM$244,ROW()-12,FALSE)*VLOOKUP($C72,CPI!$B$9:$I$63,8))</f>
        <v/>
      </c>
      <c r="AI72" s="31" t="str">
        <f>IF(HLOOKUP(AI$13,'MP (nominal)'!$D$12:$AM$244,ROW()-12,FALSE)="","",HLOOKUP(AI$13,'MP (nominal)'!$D$12:$AM$244,ROW()-12,FALSE))</f>
        <v/>
      </c>
      <c r="AJ72" s="31" t="str">
        <f>IF(HLOOKUP(AJ$13,'MP (nominal)'!$D$12:$AM$244,ROW()-12,FALSE)="","",HLOOKUP(AJ$13,'MP (nominal)'!$D$12:$AM$244,ROW()-12,FALSE))</f>
        <v/>
      </c>
      <c r="AK72" s="281"/>
      <c r="AL72" s="281" t="str">
        <f>IF(HLOOKUP(AL$13,'MP (nominal)'!$D$12:$AM$244,ROW()-12,FALSE)="","",HLOOKUP(AL$13,'MP (nominal)'!$D$12:$AM$244,ROW()-12,FALSE)*VLOOKUP($C72,CPI!$B$9:$I$63,8))</f>
        <v/>
      </c>
      <c r="AM72" s="31" t="str">
        <f>IF(HLOOKUP(AM$13,'MP (nominal)'!$D$12:$AM$244,ROW()-12,FALSE)="","",HLOOKUP(AM$13,'MP (nominal)'!$D$12:$AM$244,ROW()-12,FALSE))</f>
        <v/>
      </c>
      <c r="AN72" s="31" t="str">
        <f>IF(HLOOKUP(AN$13,'MP (nominal)'!$D$12:$AM$244,ROW()-12,FALSE)="","",HLOOKUP(AN$13,'MP (nominal)'!$D$12:$AM$244,ROW()-12,FALSE))</f>
        <v/>
      </c>
      <c r="AO72" s="281"/>
      <c r="AP72" s="281" t="str">
        <f>IF(HLOOKUP(AP$13,'MP (nominal)'!$D$12:$AM$244,ROW()-12,FALSE)="","",HLOOKUP(AP$13,'MP (nominal)'!$D$12:$AM$244,ROW()-12,FALSE)*VLOOKUP($C72,CPI!$B$9:$I$63,8))</f>
        <v/>
      </c>
      <c r="AQ72" s="31" t="str">
        <f>IF(HLOOKUP(AQ$13,'MP (nominal)'!$D$12:$AM$244,ROW()-12,FALSE)="","",HLOOKUP(AQ$13,'MP (nominal)'!$D$12:$AM$244,ROW()-12,FALSE))</f>
        <v/>
      </c>
      <c r="AR72" s="281" t="str">
        <f>IF(HLOOKUP(AR$13,'MP (nominal)'!$D$12:$AM$244,ROW()-12,FALSE)="","",HLOOKUP(AR$13,'MP (nominal)'!$D$12:$AM$244,ROW()-12,FALSE))</f>
        <v/>
      </c>
    </row>
    <row r="73" spans="1:44" s="278" customFormat="1" hidden="1">
      <c r="A73" s="271">
        <f>References!F265</f>
        <v>165</v>
      </c>
      <c r="B73" s="292" t="s">
        <v>36</v>
      </c>
      <c r="C73" s="284">
        <v>2007</v>
      </c>
      <c r="D73" s="27" t="str">
        <f>IF(HLOOKUP(D$13,'MP (nominal)'!$D$12:$AM$244,ROW()-12,FALSE)="","",HLOOKUP(D$13,'MP (nominal)'!$D$12:$AM$244,ROW()-12,FALSE))</f>
        <v/>
      </c>
      <c r="E73" s="281" t="str">
        <f>IF(HLOOKUP(E$13,'MP (nominal)'!$D$12:$AM$244,ROW()-12,FALSE)="","",HLOOKUP(E$13,'MP (nominal)'!$D$12:$AM$244,ROW()-12,FALSE))</f>
        <v/>
      </c>
      <c r="F73" s="27">
        <f>IF(HLOOKUP(F$13,'MP (nominal)'!$D$12:$AM$244,ROW()-12,FALSE)="","",HLOOKUP(F$13,'MP (nominal)'!$D$12:$AM$244,ROW()-12,FALSE))</f>
        <v>353</v>
      </c>
      <c r="G73" s="281" t="str">
        <f>IF(HLOOKUP(G$13,'MP (nominal)'!$D$12:$AM$244,ROW()-12,FALSE)="","",HLOOKUP(G$13,'MP (nominal)'!$D$12:$AM$244,ROW()-12,FALSE))</f>
        <v/>
      </c>
      <c r="H73" s="27">
        <f>IF(HLOOKUP(H$13,'MP (nominal)'!$D$12:$AM$244,ROW()-12,FALSE)="","",HLOOKUP(H$13,'MP (nominal)'!$D$12:$AM$244,ROW()-12,FALSE))</f>
        <v>2840</v>
      </c>
      <c r="I73" s="31" t="str">
        <f>IF(HLOOKUP(I$13,'MP (nominal)'!$D$12:$AM$244,ROW()-12,FALSE)="","",HLOOKUP(I$13,'MP (nominal)'!$D$12:$AM$244,ROW()-12,FALSE))</f>
        <v/>
      </c>
      <c r="J73" s="31">
        <f>IF(HLOOKUP(J$13,'MP (nominal)'!$D$12:$AM$244,ROW()-12,FALSE)="","",HLOOKUP(J$13,'MP (nominal)'!$D$12:$AM$244,ROW()-12,FALSE))</f>
        <v>2487</v>
      </c>
      <c r="K73" s="281"/>
      <c r="L73" s="27">
        <f>IF(HLOOKUP(L$13,'MP (nominal)'!$D$12:$AM$244,ROW()-12,FALSE)="","",HLOOKUP(L$13,'MP (nominal)'!$D$12:$AM$244,ROW()-12,FALSE))</f>
        <v>99.617999999999995</v>
      </c>
      <c r="M73" s="293">
        <f>IF(HLOOKUP(M$13,'MP (nominal)'!$D$12:$AM$244,ROW()-12,FALSE)="","",HLOOKUP(M$13,'MP (nominal)'!$D$12:$AM$244,ROW()-12,FALSE))</f>
        <v>477.19870300000002</v>
      </c>
      <c r="N73" s="35"/>
      <c r="O73" s="27">
        <f>IF(HLOOKUP(O$13,'MP (nominal)'!$D$12:$AM$244,ROW()-12,FALSE)="","",HLOOKUP(O$13,'MP (nominal)'!$D$12:$AM$244,ROW()-12,FALSE))</f>
        <v>16091</v>
      </c>
      <c r="P73" s="31"/>
      <c r="Q73" s="281"/>
      <c r="R73" s="281">
        <f>IF(HLOOKUP(R$13,'MP (nominal)'!$D$12:$AM$244,ROW()-12,FALSE)="","",HLOOKUP(R$13,'MP (nominal)'!$D$12:$AM$244,ROW()-12,FALSE))</f>
        <v>1918</v>
      </c>
      <c r="S73" s="281" t="str">
        <f>IF(HLOOKUP(S$13,'MP (nominal)'!$D$12:$AM$244,ROW()-12,FALSE)="","",HLOOKUP(S$13,'MP (nominal)'!$D$12:$AM$244,ROW()-12,FALSE))</f>
        <v/>
      </c>
      <c r="T73" s="281" t="str">
        <f>IF(HLOOKUP(T$13,'MP (nominal)'!$D$12:$AM$244,ROW()-12,FALSE)="","",HLOOKUP(T$13,'MP (nominal)'!$D$12:$AM$244,ROW()-12,FALSE))</f>
        <v/>
      </c>
      <c r="U73" s="281"/>
      <c r="V73" s="281">
        <f>IF(HLOOKUP(V$13,'MP (nominal)'!$D$12:$AM$244,ROW()-12,FALSE)="","",HLOOKUP(V$13,'MP (nominal)'!$D$12:$AM$244,ROW()-12,FALSE))</f>
        <v>3.57</v>
      </c>
      <c r="W73" s="281" t="str">
        <f>IF(HLOOKUP(W$13,'MP (nominal)'!$D$12:$AM$244,ROW()-12,FALSE)="","",HLOOKUP(W$13,'MP (nominal)'!$D$12:$AM$244,ROW()-12,FALSE))</f>
        <v/>
      </c>
      <c r="X73" s="281" t="str">
        <f>IF(HLOOKUP(X$13,'MP (nominal)'!$D$12:$AM$244,ROW()-12,FALSE)="","",HLOOKUP(X$13,'MP (nominal)'!$D$12:$AM$244,ROW()-12,FALSE))</f>
        <v/>
      </c>
      <c r="Y73" s="281"/>
      <c r="Z73" s="281" t="str">
        <f>IF(HLOOKUP(Z$13,'MP (nominal)'!$D$12:$AM$244,ROW()-12,FALSE)="","",HLOOKUP(Z$13,'MP (nominal)'!$D$12:$AM$244,ROW()-12,FALSE)*VLOOKUP($C73,CPI!$B$9:$I$63,8))</f>
        <v/>
      </c>
      <c r="AA73" s="281" t="str">
        <f>IF(HLOOKUP(AA$13,'MP (nominal)'!$D$12:$AM$244,ROW()-12,FALSE)="","",HLOOKUP(AA$13,'MP (nominal)'!$D$12:$AM$244,ROW()-12,FALSE))</f>
        <v/>
      </c>
      <c r="AB73" s="281" t="str">
        <f>IF(HLOOKUP(AB$13,'MP (nominal)'!$D$12:$AM$244,ROW()-12,FALSE)="","",HLOOKUP(AB$13,'MP (nominal)'!$D$12:$AM$244,ROW()-12,FALSE))</f>
        <v/>
      </c>
      <c r="AC73" s="281"/>
      <c r="AD73" s="281" t="str">
        <f>IF(HLOOKUP(AD$13,'MP (nominal)'!$D$12:$AM$244,ROW()-12,FALSE)="","",HLOOKUP(AD$13,'MP (nominal)'!$D$12:$AM$244,ROW()-12,FALSE)*VLOOKUP($C73,CPI!$B$9:$I$63,8))</f>
        <v/>
      </c>
      <c r="AE73" s="31" t="str">
        <f>IF(HLOOKUP(AE$13,'MP (nominal)'!$D$12:$AM$244,ROW()-12,FALSE)="","",HLOOKUP(AE$13,'MP (nominal)'!$D$12:$AM$244,ROW()-12,FALSE))</f>
        <v/>
      </c>
      <c r="AF73" s="31" t="str">
        <f>IF(HLOOKUP(AF$13,'MP (nominal)'!$D$12:$AM$244,ROW()-12,FALSE)="","",HLOOKUP(AF$13,'MP (nominal)'!$D$12:$AM$244,ROW()-12,FALSE))</f>
        <v/>
      </c>
      <c r="AG73" s="281"/>
      <c r="AH73" s="281" t="str">
        <f>IF(HLOOKUP(AH$13,'MP (nominal)'!$D$12:$AM$244,ROW()-12,FALSE)="","",HLOOKUP(AH$13,'MP (nominal)'!$D$12:$AM$244,ROW()-12,FALSE)*VLOOKUP($C73,CPI!$B$9:$I$63,8))</f>
        <v/>
      </c>
      <c r="AI73" s="31" t="str">
        <f>IF(HLOOKUP(AI$13,'MP (nominal)'!$D$12:$AM$244,ROW()-12,FALSE)="","",HLOOKUP(AI$13,'MP (nominal)'!$D$12:$AM$244,ROW()-12,FALSE))</f>
        <v/>
      </c>
      <c r="AJ73" s="31" t="str">
        <f>IF(HLOOKUP(AJ$13,'MP (nominal)'!$D$12:$AM$244,ROW()-12,FALSE)="","",HLOOKUP(AJ$13,'MP (nominal)'!$D$12:$AM$244,ROW()-12,FALSE))</f>
        <v/>
      </c>
      <c r="AK73" s="281"/>
      <c r="AL73" s="281" t="str">
        <f>IF(HLOOKUP(AL$13,'MP (nominal)'!$D$12:$AM$244,ROW()-12,FALSE)="","",HLOOKUP(AL$13,'MP (nominal)'!$D$12:$AM$244,ROW()-12,FALSE)*VLOOKUP($C73,CPI!$B$9:$I$63,8))</f>
        <v/>
      </c>
      <c r="AM73" s="31" t="str">
        <f>IF(HLOOKUP(AM$13,'MP (nominal)'!$D$12:$AM$244,ROW()-12,FALSE)="","",HLOOKUP(AM$13,'MP (nominal)'!$D$12:$AM$244,ROW()-12,FALSE))</f>
        <v/>
      </c>
      <c r="AN73" s="31" t="str">
        <f>IF(HLOOKUP(AN$13,'MP (nominal)'!$D$12:$AM$244,ROW()-12,FALSE)="","",HLOOKUP(AN$13,'MP (nominal)'!$D$12:$AM$244,ROW()-12,FALSE))</f>
        <v/>
      </c>
      <c r="AO73" s="281"/>
      <c r="AP73" s="281" t="str">
        <f>IF(HLOOKUP(AP$13,'MP (nominal)'!$D$12:$AM$244,ROW()-12,FALSE)="","",HLOOKUP(AP$13,'MP (nominal)'!$D$12:$AM$244,ROW()-12,FALSE)*VLOOKUP($C73,CPI!$B$9:$I$63,8))</f>
        <v/>
      </c>
      <c r="AQ73" s="31" t="str">
        <f>IF(HLOOKUP(AQ$13,'MP (nominal)'!$D$12:$AM$244,ROW()-12,FALSE)="","",HLOOKUP(AQ$13,'MP (nominal)'!$D$12:$AM$244,ROW()-12,FALSE))</f>
        <v/>
      </c>
      <c r="AR73" s="281" t="str">
        <f>IF(HLOOKUP(AR$13,'MP (nominal)'!$D$12:$AM$244,ROW()-12,FALSE)="","",HLOOKUP(AR$13,'MP (nominal)'!$D$12:$AM$244,ROW()-12,FALSE))</f>
        <v/>
      </c>
    </row>
    <row r="74" spans="1:44" s="278" customFormat="1">
      <c r="A74" s="271">
        <f>References!G265</f>
        <v>166</v>
      </c>
      <c r="B74" s="292" t="s">
        <v>36</v>
      </c>
      <c r="C74" s="284">
        <v>2008</v>
      </c>
      <c r="D74" s="27">
        <f>IF(HLOOKUP(D$13,'MP (nominal)'!$D$12:$AM$244,ROW()-12,FALSE)="","",HLOOKUP(D$13,'MP (nominal)'!$D$12:$AM$244,ROW()-12,FALSE))</f>
        <v>2488</v>
      </c>
      <c r="E74" s="281">
        <f>IF(HLOOKUP(E$13,'MP (nominal)'!$D$12:$AM$244,ROW()-12,FALSE)="","",HLOOKUP(E$13,'MP (nominal)'!$D$12:$AM$244,ROW()-12,FALSE))</f>
        <v>39.6</v>
      </c>
      <c r="F74" s="27">
        <f>IF(HLOOKUP(F$13,'MP (nominal)'!$D$12:$AM$244,ROW()-12,FALSE)="","",HLOOKUP(F$13,'MP (nominal)'!$D$12:$AM$244,ROW()-12,FALSE))</f>
        <v>364.9</v>
      </c>
      <c r="G74" s="281">
        <f>IF(HLOOKUP(G$13,'MP (nominal)'!$D$12:$AM$244,ROW()-12,FALSE)="","",HLOOKUP(G$13,'MP (nominal)'!$D$12:$AM$244,ROW()-12,FALSE))</f>
        <v>166</v>
      </c>
      <c r="H74" s="27">
        <f>IF(HLOOKUP(H$13,'MP (nominal)'!$D$12:$AM$244,ROW()-12,FALSE)="","",HLOOKUP(H$13,'MP (nominal)'!$D$12:$AM$244,ROW()-12,FALSE))</f>
        <v>2852.9</v>
      </c>
      <c r="I74" s="31">
        <f>IF(HLOOKUP(I$13,'MP (nominal)'!$D$12:$AM$244,ROW()-12,FALSE)="","",HLOOKUP(I$13,'MP (nominal)'!$D$12:$AM$244,ROW()-12,FALSE))</f>
        <v>205.6</v>
      </c>
      <c r="J74" s="31">
        <f>IF(HLOOKUP(J$13,'MP (nominal)'!$D$12:$AM$244,ROW()-12,FALSE)="","",HLOOKUP(J$13,'MP (nominal)'!$D$12:$AM$244,ROW()-12,FALSE))</f>
        <v>2488</v>
      </c>
      <c r="K74" s="281"/>
      <c r="L74" s="27">
        <f>IF(HLOOKUP(L$13,'MP (nominal)'!$D$12:$AM$244,ROW()-12,FALSE)="","",HLOOKUP(L$13,'MP (nominal)'!$D$12:$AM$244,ROW()-12,FALSE))</f>
        <v>123.0664</v>
      </c>
      <c r="M74" s="283">
        <f>IF(HLOOKUP(M$13,'MP (nominal)'!$D$12:$AM$244,ROW()-12,FALSE)="","",HLOOKUP(M$13,'MP (nominal)'!$D$12:$AM$244,ROW()-12,FALSE))</f>
        <v>477.73968000000002</v>
      </c>
      <c r="N74" s="35"/>
      <c r="O74" s="27">
        <f>IF(HLOOKUP(O$13,'MP (nominal)'!$D$12:$AM$244,ROW()-12,FALSE)="","",HLOOKUP(O$13,'MP (nominal)'!$D$12:$AM$244,ROW()-12,FALSE))</f>
        <v>16732</v>
      </c>
      <c r="P74" s="31"/>
      <c r="Q74" s="281"/>
      <c r="R74" s="281">
        <f>IF(HLOOKUP(R$13,'MP (nominal)'!$D$12:$AM$244,ROW()-12,FALSE)="","",HLOOKUP(R$13,'MP (nominal)'!$D$12:$AM$244,ROW()-12,FALSE))</f>
        <v>199.27</v>
      </c>
      <c r="S74" s="281">
        <f>IF(HLOOKUP(S$13,'MP (nominal)'!$D$12:$AM$244,ROW()-12,FALSE)="","",HLOOKUP(S$13,'MP (nominal)'!$D$12:$AM$244,ROW()-12,FALSE))</f>
        <v>107.71</v>
      </c>
      <c r="T74" s="281">
        <f>IF(HLOOKUP(T$13,'MP (nominal)'!$D$12:$AM$244,ROW()-12,FALSE)="","",HLOOKUP(T$13,'MP (nominal)'!$D$12:$AM$244,ROW()-12,FALSE))</f>
        <v>91.56</v>
      </c>
      <c r="U74" s="281"/>
      <c r="V74" s="281">
        <f>IF(HLOOKUP(V$13,'MP (nominal)'!$D$12:$AM$244,ROW()-12,FALSE)="","",HLOOKUP(V$13,'MP (nominal)'!$D$12:$AM$244,ROW()-12,FALSE))</f>
        <v>1.47</v>
      </c>
      <c r="W74" s="281">
        <f>IF(HLOOKUP(W$13,'MP (nominal)'!$D$12:$AM$244,ROW()-12,FALSE)="","",HLOOKUP(W$13,'MP (nominal)'!$D$12:$AM$244,ROW()-12,FALSE))</f>
        <v>0.31</v>
      </c>
      <c r="X74" s="281">
        <f>IF(HLOOKUP(X$13,'MP (nominal)'!$D$12:$AM$244,ROW()-12,FALSE)="","",HLOOKUP(X$13,'MP (nominal)'!$D$12:$AM$244,ROW()-12,FALSE))</f>
        <v>1.1299999999999999</v>
      </c>
      <c r="Y74" s="281"/>
      <c r="Z74" s="281">
        <f>IF(HLOOKUP(Z$13,'MP (nominal)'!$D$12:$AM$244,ROW()-12,FALSE)="","",HLOOKUP(Z$13,'MP (nominal)'!$D$12:$AM$244,ROW()-12,FALSE)*VLOOKUP($C74,CPI!$B$9:$I$63,8))</f>
        <v>7224.3394827635366</v>
      </c>
      <c r="AA74" s="281">
        <f>IF(HLOOKUP(AA$13,'MP (nominal)'!$D$12:$AM$244,ROW()-12,FALSE)="","",HLOOKUP(AA$13,'MP (nominal)'!$D$12:$AM$244,ROW()-12,FALSE))</f>
        <v>113341.63</v>
      </c>
      <c r="AB74" s="281">
        <f>IF(HLOOKUP(AB$13,'MP (nominal)'!$D$12:$AM$244,ROW()-12,FALSE)="","",HLOOKUP(AB$13,'MP (nominal)'!$D$12:$AM$244,ROW()-12,FALSE))</f>
        <v>13695</v>
      </c>
      <c r="AC74" s="281"/>
      <c r="AD74" s="281">
        <f>IF(HLOOKUP(AD$13,'MP (nominal)'!$D$12:$AM$244,ROW()-12,FALSE)="","",HLOOKUP(AD$13,'MP (nominal)'!$D$12:$AM$244,ROW()-12,FALSE)*VLOOKUP($C74,CPI!$B$9:$I$63,8))</f>
        <v>4948.4730974309259</v>
      </c>
      <c r="AE74" s="31">
        <f>IF(HLOOKUP(AE$13,'MP (nominal)'!$D$12:$AM$244,ROW()-12,FALSE)="","",HLOOKUP(AE$13,'MP (nominal)'!$D$12:$AM$244,ROW()-12,FALSE))</f>
        <v>74984.714000000007</v>
      </c>
      <c r="AF74" s="31">
        <f>IF(HLOOKUP(AF$13,'MP (nominal)'!$D$12:$AM$244,ROW()-12,FALSE)="","",HLOOKUP(AF$13,'MP (nominal)'!$D$12:$AM$244,ROW()-12,FALSE))</f>
        <v>1796</v>
      </c>
      <c r="AG74" s="281"/>
      <c r="AH74" s="281">
        <f>IF(HLOOKUP(AH$13,'MP (nominal)'!$D$12:$AM$244,ROW()-12,FALSE)="","",HLOOKUP(AH$13,'MP (nominal)'!$D$12:$AM$244,ROW()-12,FALSE)*VLOOKUP($C74,CPI!$B$9:$I$63,8))</f>
        <v>12878.967237888854</v>
      </c>
      <c r="AI74" s="31">
        <f>IF(HLOOKUP(AI$13,'MP (nominal)'!$D$12:$AM$244,ROW()-12,FALSE)="","",HLOOKUP(AI$13,'MP (nominal)'!$D$12:$AM$244,ROW()-12,FALSE))</f>
        <v>211391.02</v>
      </c>
      <c r="AJ74" s="31">
        <f>IF(HLOOKUP(AJ$13,'MP (nominal)'!$D$12:$AM$244,ROW()-12,FALSE)="","",HLOOKUP(AJ$13,'MP (nominal)'!$D$12:$AM$244,ROW()-12,FALSE))</f>
        <v>1236</v>
      </c>
      <c r="AK74" s="281"/>
      <c r="AL74" s="281">
        <f>IF(HLOOKUP(AL$13,'MP (nominal)'!$D$12:$AM$244,ROW()-12,FALSE)="","",HLOOKUP(AL$13,'MP (nominal)'!$D$12:$AM$244,ROW()-12,FALSE)*VLOOKUP($C74,CPI!$B$9:$I$63,8))</f>
        <v>1611.7575774856718</v>
      </c>
      <c r="AM74" s="31">
        <f>IF(HLOOKUP(AM$13,'MP (nominal)'!$D$12:$AM$244,ROW()-12,FALSE)="","",HLOOKUP(AM$13,'MP (nominal)'!$D$12:$AM$244,ROW()-12,FALSE))</f>
        <v>78022.323999999993</v>
      </c>
      <c r="AN74" s="31">
        <f>IF(HLOOKUP(AN$13,'MP (nominal)'!$D$12:$AM$244,ROW()-12,FALSE)="","",HLOOKUP(AN$13,'MP (nominal)'!$D$12:$AM$244,ROW()-12,FALSE))</f>
        <v>5</v>
      </c>
      <c r="AO74" s="281"/>
      <c r="AP74" s="281">
        <f>IF(HLOOKUP(AP$13,'MP (nominal)'!$D$12:$AM$244,ROW()-12,FALSE)="","",HLOOKUP(AP$13,'MP (nominal)'!$D$12:$AM$244,ROW()-12,FALSE)*VLOOKUP($C74,CPI!$B$9:$I$63,8))</f>
        <v>26663.537395568987</v>
      </c>
      <c r="AQ74" s="31">
        <f>IF(HLOOKUP(AQ$13,'MP (nominal)'!$D$12:$AM$244,ROW()-12,FALSE)="","",HLOOKUP(AQ$13,'MP (nominal)'!$D$12:$AM$244,ROW()-12,FALSE))</f>
        <v>477739.68</v>
      </c>
      <c r="AR74" s="281">
        <f>IF(HLOOKUP(AR$13,'MP (nominal)'!$D$12:$AM$244,ROW()-12,FALSE)="","",HLOOKUP(AR$13,'MP (nominal)'!$D$12:$AM$244,ROW()-12,FALSE))</f>
        <v>16732</v>
      </c>
    </row>
    <row r="75" spans="1:44" s="278" customFormat="1">
      <c r="A75" s="271">
        <f>References!H265</f>
        <v>167</v>
      </c>
      <c r="B75" s="292" t="s">
        <v>36</v>
      </c>
      <c r="C75" s="284">
        <v>2009</v>
      </c>
      <c r="D75" s="27">
        <f>IF(HLOOKUP(D$13,'MP (nominal)'!$D$12:$AM$244,ROW()-12,FALSE)="","",HLOOKUP(D$13,'MP (nominal)'!$D$12:$AM$244,ROW()-12,FALSE))</f>
        <v>2503</v>
      </c>
      <c r="E75" s="281">
        <f>IF(HLOOKUP(E$13,'MP (nominal)'!$D$12:$AM$244,ROW()-12,FALSE)="","",HLOOKUP(E$13,'MP (nominal)'!$D$12:$AM$244,ROW()-12,FALSE))</f>
        <v>39</v>
      </c>
      <c r="F75" s="27">
        <f>IF(HLOOKUP(F$13,'MP (nominal)'!$D$12:$AM$244,ROW()-12,FALSE)="","",HLOOKUP(F$13,'MP (nominal)'!$D$12:$AM$244,ROW()-12,FALSE))</f>
        <v>384.5</v>
      </c>
      <c r="G75" s="281">
        <f>IF(HLOOKUP(G$13,'MP (nominal)'!$D$12:$AM$244,ROW()-12,FALSE)="","",HLOOKUP(G$13,'MP (nominal)'!$D$12:$AM$244,ROW()-12,FALSE))</f>
        <v>183</v>
      </c>
      <c r="H75" s="27">
        <f>IF(HLOOKUP(H$13,'MP (nominal)'!$D$12:$AM$244,ROW()-12,FALSE)="","",HLOOKUP(H$13,'MP (nominal)'!$D$12:$AM$244,ROW()-12,FALSE))</f>
        <v>2887.5</v>
      </c>
      <c r="I75" s="31">
        <f>IF(HLOOKUP(I$13,'MP (nominal)'!$D$12:$AM$244,ROW()-12,FALSE)="","",HLOOKUP(I$13,'MP (nominal)'!$D$12:$AM$244,ROW()-12,FALSE))</f>
        <v>222</v>
      </c>
      <c r="J75" s="31">
        <f>IF(HLOOKUP(J$13,'MP (nominal)'!$D$12:$AM$244,ROW()-12,FALSE)="","",HLOOKUP(J$13,'MP (nominal)'!$D$12:$AM$244,ROW()-12,FALSE))</f>
        <v>2503</v>
      </c>
      <c r="K75" s="281"/>
      <c r="L75" s="27">
        <f>IF(HLOOKUP(L$13,'MP (nominal)'!$D$12:$AM$244,ROW()-12,FALSE)="","",HLOOKUP(L$13,'MP (nominal)'!$D$12:$AM$244,ROW()-12,FALSE))</f>
        <v>136</v>
      </c>
      <c r="M75" s="283">
        <f>IF(HLOOKUP(M$13,'MP (nominal)'!$D$12:$AM$244,ROW()-12,FALSE)="","",HLOOKUP(M$13,'MP (nominal)'!$D$12:$AM$244,ROW()-12,FALSE))</f>
        <v>524.91600000000005</v>
      </c>
      <c r="N75" s="35"/>
      <c r="O75" s="27">
        <f>IF(HLOOKUP(O$13,'MP (nominal)'!$D$12:$AM$244,ROW()-12,FALSE)="","",HLOOKUP(O$13,'MP (nominal)'!$D$12:$AM$244,ROW()-12,FALSE))</f>
        <v>17218</v>
      </c>
      <c r="P75" s="31"/>
      <c r="Q75" s="281"/>
      <c r="R75" s="281">
        <f>IF(HLOOKUP(R$13,'MP (nominal)'!$D$12:$AM$244,ROW()-12,FALSE)="","",HLOOKUP(R$13,'MP (nominal)'!$D$12:$AM$244,ROW()-12,FALSE))</f>
        <v>337.32</v>
      </c>
      <c r="S75" s="281">
        <f>IF(HLOOKUP(S$13,'MP (nominal)'!$D$12:$AM$244,ROW()-12,FALSE)="","",HLOOKUP(S$13,'MP (nominal)'!$D$12:$AM$244,ROW()-12,FALSE))</f>
        <v>89</v>
      </c>
      <c r="T75" s="281">
        <f>IF(HLOOKUP(T$13,'MP (nominal)'!$D$12:$AM$244,ROW()-12,FALSE)="","",HLOOKUP(T$13,'MP (nominal)'!$D$12:$AM$244,ROW()-12,FALSE))</f>
        <v>248.32</v>
      </c>
      <c r="U75" s="281"/>
      <c r="V75" s="281">
        <f>IF(HLOOKUP(V$13,'MP (nominal)'!$D$12:$AM$244,ROW()-12,FALSE)="","",HLOOKUP(V$13,'MP (nominal)'!$D$12:$AM$244,ROW()-12,FALSE))</f>
        <v>2.34</v>
      </c>
      <c r="W75" s="281">
        <f>IF(HLOOKUP(W$13,'MP (nominal)'!$D$12:$AM$244,ROW()-12,FALSE)="","",HLOOKUP(W$13,'MP (nominal)'!$D$12:$AM$244,ROW()-12,FALSE))</f>
        <v>0.38</v>
      </c>
      <c r="X75" s="281">
        <f>IF(HLOOKUP(X$13,'MP (nominal)'!$D$12:$AM$244,ROW()-12,FALSE)="","",HLOOKUP(X$13,'MP (nominal)'!$D$12:$AM$244,ROW()-12,FALSE))</f>
        <v>1.96</v>
      </c>
      <c r="Y75" s="281"/>
      <c r="Z75" s="281">
        <f>IF(HLOOKUP(Z$13,'MP (nominal)'!$D$12:$AM$244,ROW()-12,FALSE)="","",HLOOKUP(Z$13,'MP (nominal)'!$D$12:$AM$244,ROW()-12,FALSE)*VLOOKUP($C75,CPI!$B$9:$I$63,8))</f>
        <v>7373.5858329329376</v>
      </c>
      <c r="AA75" s="281">
        <f>IF(HLOOKUP(AA$13,'MP (nominal)'!$D$12:$AM$244,ROW()-12,FALSE)="","",HLOOKUP(AA$13,'MP (nominal)'!$D$12:$AM$244,ROW()-12,FALSE))</f>
        <v>118499.98</v>
      </c>
      <c r="AB75" s="281">
        <f>IF(HLOOKUP(AB$13,'MP (nominal)'!$D$12:$AM$244,ROW()-12,FALSE)="","",HLOOKUP(AB$13,'MP (nominal)'!$D$12:$AM$244,ROW()-12,FALSE))</f>
        <v>13940</v>
      </c>
      <c r="AC75" s="281"/>
      <c r="AD75" s="281">
        <f>IF(HLOOKUP(AD$13,'MP (nominal)'!$D$12:$AM$244,ROW()-12,FALSE)="","",HLOOKUP(AD$13,'MP (nominal)'!$D$12:$AM$244,ROW()-12,FALSE)*VLOOKUP($C75,CPI!$B$9:$I$63,8))</f>
        <v>4971.43496465097</v>
      </c>
      <c r="AE75" s="31">
        <f>IF(HLOOKUP(AE$13,'MP (nominal)'!$D$12:$AM$244,ROW()-12,FALSE)="","",HLOOKUP(AE$13,'MP (nominal)'!$D$12:$AM$244,ROW()-12,FALSE))</f>
        <v>80258.531000000003</v>
      </c>
      <c r="AF75" s="31">
        <f>IF(HLOOKUP(AF$13,'MP (nominal)'!$D$12:$AM$244,ROW()-12,FALSE)="","",HLOOKUP(AF$13,'MP (nominal)'!$D$12:$AM$244,ROW()-12,FALSE))</f>
        <v>1894</v>
      </c>
      <c r="AG75" s="281"/>
      <c r="AH75" s="281">
        <f>IF(HLOOKUP(AH$13,'MP (nominal)'!$D$12:$AM$244,ROW()-12,FALSE)="","",HLOOKUP(AH$13,'MP (nominal)'!$D$12:$AM$244,ROW()-12,FALSE)*VLOOKUP($C75,CPI!$B$9:$I$63,8))</f>
        <v>13810.810350744729</v>
      </c>
      <c r="AI75" s="31">
        <f>IF(HLOOKUP(AI$13,'MP (nominal)'!$D$12:$AM$244,ROW()-12,FALSE)="","",HLOOKUP(AI$13,'MP (nominal)'!$D$12:$AM$244,ROW()-12,FALSE))</f>
        <v>244830.88</v>
      </c>
      <c r="AJ75" s="31">
        <f>IF(HLOOKUP(AJ$13,'MP (nominal)'!$D$12:$AM$244,ROW()-12,FALSE)="","",HLOOKUP(AJ$13,'MP (nominal)'!$D$12:$AM$244,ROW()-12,FALSE))</f>
        <v>1379</v>
      </c>
      <c r="AK75" s="281"/>
      <c r="AL75" s="281">
        <f>IF(HLOOKUP(AL$13,'MP (nominal)'!$D$12:$AM$244,ROW()-12,FALSE)="","",HLOOKUP(AL$13,'MP (nominal)'!$D$12:$AM$244,ROW()-12,FALSE)*VLOOKUP($C75,CPI!$B$9:$I$63,8))</f>
        <v>1688.9798888049963</v>
      </c>
      <c r="AM75" s="31">
        <f>IF(HLOOKUP(AM$13,'MP (nominal)'!$D$12:$AM$244,ROW()-12,FALSE)="","",HLOOKUP(AM$13,'MP (nominal)'!$D$12:$AM$244,ROW()-12,FALSE))</f>
        <v>81326.607000000004</v>
      </c>
      <c r="AN75" s="31">
        <f>IF(HLOOKUP(AN$13,'MP (nominal)'!$D$12:$AM$244,ROW()-12,FALSE)="","",HLOOKUP(AN$13,'MP (nominal)'!$D$12:$AM$244,ROW()-12,FALSE))</f>
        <v>5</v>
      </c>
      <c r="AO75" s="281"/>
      <c r="AP75" s="281">
        <f>IF(HLOOKUP(AP$13,'MP (nominal)'!$D$12:$AM$244,ROW()-12,FALSE)="","",HLOOKUP(AP$13,'MP (nominal)'!$D$12:$AM$244,ROW()-12,FALSE)*VLOOKUP($C75,CPI!$B$9:$I$63,8))</f>
        <v>27844.81103713363</v>
      </c>
      <c r="AQ75" s="31">
        <f>IF(HLOOKUP(AQ$13,'MP (nominal)'!$D$12:$AM$244,ROW()-12,FALSE)="","",HLOOKUP(AQ$13,'MP (nominal)'!$D$12:$AM$244,ROW()-12,FALSE))</f>
        <v>524916</v>
      </c>
      <c r="AR75" s="281">
        <f>IF(HLOOKUP(AR$13,'MP (nominal)'!$D$12:$AM$244,ROW()-12,FALSE)="","",HLOOKUP(AR$13,'MP (nominal)'!$D$12:$AM$244,ROW()-12,FALSE))</f>
        <v>17218</v>
      </c>
    </row>
    <row r="76" spans="1:44" s="278" customFormat="1">
      <c r="A76" s="271">
        <f>References!I265</f>
        <v>168</v>
      </c>
      <c r="B76" s="292" t="s">
        <v>36</v>
      </c>
      <c r="C76" s="284">
        <v>2010</v>
      </c>
      <c r="D76" s="27">
        <f>IF(HLOOKUP(D$13,'MP (nominal)'!$D$12:$AM$244,ROW()-12,FALSE)="","",HLOOKUP(D$13,'MP (nominal)'!$D$12:$AM$244,ROW()-12,FALSE))</f>
        <v>2537.6999999999998</v>
      </c>
      <c r="E76" s="281">
        <f>IF(HLOOKUP(E$13,'MP (nominal)'!$D$12:$AM$244,ROW()-12,FALSE)="","",HLOOKUP(E$13,'MP (nominal)'!$D$12:$AM$244,ROW()-12,FALSE))</f>
        <v>38.4</v>
      </c>
      <c r="F76" s="27">
        <f>IF(HLOOKUP(F$13,'MP (nominal)'!$D$12:$AM$244,ROW()-12,FALSE)="","",HLOOKUP(F$13,'MP (nominal)'!$D$12:$AM$244,ROW()-12,FALSE))</f>
        <v>395.7</v>
      </c>
      <c r="G76" s="281">
        <f>IF(HLOOKUP(G$13,'MP (nominal)'!$D$12:$AM$244,ROW()-12,FALSE)="","",HLOOKUP(G$13,'MP (nominal)'!$D$12:$AM$244,ROW()-12,FALSE))</f>
        <v>189.5</v>
      </c>
      <c r="H76" s="27">
        <f>IF(HLOOKUP(H$13,'MP (nominal)'!$D$12:$AM$244,ROW()-12,FALSE)="","",HLOOKUP(H$13,'MP (nominal)'!$D$12:$AM$244,ROW()-12,FALSE))</f>
        <v>2933.4</v>
      </c>
      <c r="I76" s="31">
        <f>IF(HLOOKUP(I$13,'MP (nominal)'!$D$12:$AM$244,ROW()-12,FALSE)="","",HLOOKUP(I$13,'MP (nominal)'!$D$12:$AM$244,ROW()-12,FALSE))</f>
        <v>227.9</v>
      </c>
      <c r="J76" s="31">
        <f>IF(HLOOKUP(J$13,'MP (nominal)'!$D$12:$AM$244,ROW()-12,FALSE)="","",HLOOKUP(J$13,'MP (nominal)'!$D$12:$AM$244,ROW()-12,FALSE))</f>
        <v>2537.6999999999998</v>
      </c>
      <c r="K76" s="281"/>
      <c r="L76" s="27">
        <f>IF(HLOOKUP(L$13,'MP (nominal)'!$D$12:$AM$244,ROW()-12,FALSE)="","",HLOOKUP(L$13,'MP (nominal)'!$D$12:$AM$244,ROW()-12,FALSE))</f>
        <v>137.71312</v>
      </c>
      <c r="M76" s="283">
        <f>IF(HLOOKUP(M$13,'MP (nominal)'!$D$12:$AM$244,ROW()-12,FALSE)="","",HLOOKUP(M$13,'MP (nominal)'!$D$12:$AM$244,ROW()-12,FALSE))</f>
        <v>528.84571000000005</v>
      </c>
      <c r="N76" s="35"/>
      <c r="O76" s="27">
        <f>IF(HLOOKUP(O$13,'MP (nominal)'!$D$12:$AM$244,ROW()-12,FALSE)="","",HLOOKUP(O$13,'MP (nominal)'!$D$12:$AM$244,ROW()-12,FALSE))</f>
        <v>17452</v>
      </c>
      <c r="P76" s="31"/>
      <c r="Q76" s="281"/>
      <c r="R76" s="281">
        <f>IF(HLOOKUP(R$13,'MP (nominal)'!$D$12:$AM$244,ROW()-12,FALSE)="","",HLOOKUP(R$13,'MP (nominal)'!$D$12:$AM$244,ROW()-12,FALSE))</f>
        <v>186.06482</v>
      </c>
      <c r="S76" s="281">
        <f>IF(HLOOKUP(S$13,'MP (nominal)'!$D$12:$AM$244,ROW()-12,FALSE)="","",HLOOKUP(S$13,'MP (nominal)'!$D$12:$AM$244,ROW()-12,FALSE))</f>
        <v>105.5936</v>
      </c>
      <c r="T76" s="281">
        <f>IF(HLOOKUP(T$13,'MP (nominal)'!$D$12:$AM$244,ROW()-12,FALSE)="","",HLOOKUP(T$13,'MP (nominal)'!$D$12:$AM$244,ROW()-12,FALSE))</f>
        <v>80.471222999999995</v>
      </c>
      <c r="U76" s="281"/>
      <c r="V76" s="281">
        <f>IF(HLOOKUP(V$13,'MP (nominal)'!$D$12:$AM$244,ROW()-12,FALSE)="","",HLOOKUP(V$13,'MP (nominal)'!$D$12:$AM$244,ROW()-12,FALSE))</f>
        <v>1.4705306</v>
      </c>
      <c r="W76" s="281">
        <f>IF(HLOOKUP(W$13,'MP (nominal)'!$D$12:$AM$244,ROW()-12,FALSE)="","",HLOOKUP(W$13,'MP (nominal)'!$D$12:$AM$244,ROW()-12,FALSE))</f>
        <v>0.38627451000000002</v>
      </c>
      <c r="X76" s="281">
        <f>IF(HLOOKUP(X$13,'MP (nominal)'!$D$12:$AM$244,ROW()-12,FALSE)="","",HLOOKUP(X$13,'MP (nominal)'!$D$12:$AM$244,ROW()-12,FALSE))</f>
        <v>1.0842560999999999</v>
      </c>
      <c r="Y76" s="281"/>
      <c r="Z76" s="281">
        <f>IF(HLOOKUP(Z$13,'MP (nominal)'!$D$12:$AM$244,ROW()-12,FALSE)="","",HLOOKUP(Z$13,'MP (nominal)'!$D$12:$AM$244,ROW()-12,FALSE)*VLOOKUP($C76,CPI!$B$9:$I$63,8))</f>
        <v>7526.5360722427304</v>
      </c>
      <c r="AA76" s="281">
        <f>IF(HLOOKUP(AA$13,'MP (nominal)'!$D$12:$AM$244,ROW()-12,FALSE)="","",HLOOKUP(AA$13,'MP (nominal)'!$D$12:$AM$244,ROW()-12,FALSE))</f>
        <v>120864.69</v>
      </c>
      <c r="AB76" s="281">
        <f>IF(HLOOKUP(AB$13,'MP (nominal)'!$D$12:$AM$244,ROW()-12,FALSE)="","",HLOOKUP(AB$13,'MP (nominal)'!$D$12:$AM$244,ROW()-12,FALSE))</f>
        <v>14045</v>
      </c>
      <c r="AC76" s="281"/>
      <c r="AD76" s="281">
        <f>IF(HLOOKUP(AD$13,'MP (nominal)'!$D$12:$AM$244,ROW()-12,FALSE)="","",HLOOKUP(AD$13,'MP (nominal)'!$D$12:$AM$244,ROW()-12,FALSE)*VLOOKUP($C76,CPI!$B$9:$I$63,8))</f>
        <v>4978.4418136132135</v>
      </c>
      <c r="AE76" s="31">
        <f>IF(HLOOKUP(AE$13,'MP (nominal)'!$D$12:$AM$244,ROW()-12,FALSE)="","",HLOOKUP(AE$13,'MP (nominal)'!$D$12:$AM$244,ROW()-12,FALSE))</f>
        <v>78829.296000000002</v>
      </c>
      <c r="AF76" s="31">
        <f>IF(HLOOKUP(AF$13,'MP (nominal)'!$D$12:$AM$244,ROW()-12,FALSE)="","",HLOOKUP(AF$13,'MP (nominal)'!$D$12:$AM$244,ROW()-12,FALSE))</f>
        <v>1954</v>
      </c>
      <c r="AG76" s="281"/>
      <c r="AH76" s="281">
        <f>IF(HLOOKUP(AH$13,'MP (nominal)'!$D$12:$AM$244,ROW()-12,FALSE)="","",HLOOKUP(AH$13,'MP (nominal)'!$D$12:$AM$244,ROW()-12,FALSE)*VLOOKUP($C76,CPI!$B$9:$I$63,8))</f>
        <v>14423.697384602945</v>
      </c>
      <c r="AI76" s="31">
        <f>IF(HLOOKUP(AI$13,'MP (nominal)'!$D$12:$AM$244,ROW()-12,FALSE)="","",HLOOKUP(AI$13,'MP (nominal)'!$D$12:$AM$244,ROW()-12,FALSE))</f>
        <v>248217.14</v>
      </c>
      <c r="AJ76" s="31">
        <f>IF(HLOOKUP(AJ$13,'MP (nominal)'!$D$12:$AM$244,ROW()-12,FALSE)="","",HLOOKUP(AJ$13,'MP (nominal)'!$D$12:$AM$244,ROW()-12,FALSE))</f>
        <v>1448</v>
      </c>
      <c r="AK76" s="281"/>
      <c r="AL76" s="281">
        <f>IF(HLOOKUP(AL$13,'MP (nominal)'!$D$12:$AM$244,ROW()-12,FALSE)="","",HLOOKUP(AL$13,'MP (nominal)'!$D$12:$AM$244,ROW()-12,FALSE)*VLOOKUP($C76,CPI!$B$9:$I$63,8))</f>
        <v>1426.103623992886</v>
      </c>
      <c r="AM76" s="31">
        <f>IF(HLOOKUP(AM$13,'MP (nominal)'!$D$12:$AM$244,ROW()-12,FALSE)="","",HLOOKUP(AM$13,'MP (nominal)'!$D$12:$AM$244,ROW()-12,FALSE))</f>
        <v>80934.581999999995</v>
      </c>
      <c r="AN76" s="31">
        <f>IF(HLOOKUP(AN$13,'MP (nominal)'!$D$12:$AM$244,ROW()-12,FALSE)="","",HLOOKUP(AN$13,'MP (nominal)'!$D$12:$AM$244,ROW()-12,FALSE))</f>
        <v>5</v>
      </c>
      <c r="AO76" s="281"/>
      <c r="AP76" s="281">
        <f>IF(HLOOKUP(AP$13,'MP (nominal)'!$D$12:$AM$244,ROW()-12,FALSE)="","",HLOOKUP(AP$13,'MP (nominal)'!$D$12:$AM$244,ROW()-12,FALSE)*VLOOKUP($C76,CPI!$B$9:$I$63,8))</f>
        <v>28354.7786906847</v>
      </c>
      <c r="AQ76" s="31">
        <f>IF(HLOOKUP(AQ$13,'MP (nominal)'!$D$12:$AM$244,ROW()-12,FALSE)="","",HLOOKUP(AQ$13,'MP (nominal)'!$D$12:$AM$244,ROW()-12,FALSE))</f>
        <v>528845.71</v>
      </c>
      <c r="AR76" s="281">
        <f>IF(HLOOKUP(AR$13,'MP (nominal)'!$D$12:$AM$244,ROW()-12,FALSE)="","",HLOOKUP(AR$13,'MP (nominal)'!$D$12:$AM$244,ROW()-12,FALSE))</f>
        <v>17452</v>
      </c>
    </row>
    <row r="77" spans="1:44" s="278" customFormat="1">
      <c r="A77" s="271">
        <f>References!J265</f>
        <v>169</v>
      </c>
      <c r="B77" s="292" t="s">
        <v>36</v>
      </c>
      <c r="C77" s="284">
        <v>2011</v>
      </c>
      <c r="D77" s="27">
        <f>IF(HLOOKUP(D$13,'MP (nominal)'!$D$12:$AM$244,ROW()-12,FALSE)="","",HLOOKUP(D$13,'MP (nominal)'!$D$12:$AM$244,ROW()-12,FALSE))</f>
        <v>2540.4</v>
      </c>
      <c r="E77" s="281">
        <f>IF(HLOOKUP(E$13,'MP (nominal)'!$D$12:$AM$244,ROW()-12,FALSE)="","",HLOOKUP(E$13,'MP (nominal)'!$D$12:$AM$244,ROW()-12,FALSE))</f>
        <v>38</v>
      </c>
      <c r="F77" s="27">
        <f>IF(HLOOKUP(F$13,'MP (nominal)'!$D$12:$AM$244,ROW()-12,FALSE)="","",HLOOKUP(F$13,'MP (nominal)'!$D$12:$AM$244,ROW()-12,FALSE))</f>
        <v>420.1</v>
      </c>
      <c r="G77" s="281">
        <f>IF(HLOOKUP(G$13,'MP (nominal)'!$D$12:$AM$244,ROW()-12,FALSE)="","",HLOOKUP(G$13,'MP (nominal)'!$D$12:$AM$244,ROW()-12,FALSE))</f>
        <v>200.6</v>
      </c>
      <c r="H77" s="27">
        <f>IF(HLOOKUP(H$13,'MP (nominal)'!$D$12:$AM$244,ROW()-12,FALSE)="","",HLOOKUP(H$13,'MP (nominal)'!$D$12:$AM$244,ROW()-12,FALSE))</f>
        <v>2960.5</v>
      </c>
      <c r="I77" s="31">
        <f>IF(HLOOKUP(I$13,'MP (nominal)'!$D$12:$AM$244,ROW()-12,FALSE)="","",HLOOKUP(I$13,'MP (nominal)'!$D$12:$AM$244,ROW()-12,FALSE))</f>
        <v>238.6</v>
      </c>
      <c r="J77" s="31">
        <f>IF(HLOOKUP(J$13,'MP (nominal)'!$D$12:$AM$244,ROW()-12,FALSE)="","",HLOOKUP(J$13,'MP (nominal)'!$D$12:$AM$244,ROW()-12,FALSE))</f>
        <v>2540.4</v>
      </c>
      <c r="K77" s="281"/>
      <c r="L77" s="27">
        <f>IF(HLOOKUP(L$13,'MP (nominal)'!$D$12:$AM$244,ROW()-12,FALSE)="","",HLOOKUP(L$13,'MP (nominal)'!$D$12:$AM$244,ROW()-12,FALSE))</f>
        <v>149.0985</v>
      </c>
      <c r="M77" s="283">
        <f>IF(HLOOKUP(M$13,'MP (nominal)'!$D$12:$AM$244,ROW()-12,FALSE)="","",HLOOKUP(M$13,'MP (nominal)'!$D$12:$AM$244,ROW()-12,FALSE))</f>
        <v>543.05700000000002</v>
      </c>
      <c r="N77" s="35"/>
      <c r="O77" s="27">
        <f>IF(HLOOKUP(O$13,'MP (nominal)'!$D$12:$AM$244,ROW()-12,FALSE)="","",HLOOKUP(O$13,'MP (nominal)'!$D$12:$AM$244,ROW()-12,FALSE))</f>
        <v>17804</v>
      </c>
      <c r="P77" s="31"/>
      <c r="Q77" s="281"/>
      <c r="R77" s="281">
        <f>IF(HLOOKUP(R$13,'MP (nominal)'!$D$12:$AM$244,ROW()-12,FALSE)="","",HLOOKUP(R$13,'MP (nominal)'!$D$12:$AM$244,ROW()-12,FALSE))</f>
        <v>262.67932000000002</v>
      </c>
      <c r="S77" s="281">
        <f>IF(HLOOKUP(S$13,'MP (nominal)'!$D$12:$AM$244,ROW()-12,FALSE)="","",HLOOKUP(S$13,'MP (nominal)'!$D$12:$AM$244,ROW()-12,FALSE))</f>
        <v>80.440606000000002</v>
      </c>
      <c r="T77" s="281">
        <f>IF(HLOOKUP(T$13,'MP (nominal)'!$D$12:$AM$244,ROW()-12,FALSE)="","",HLOOKUP(T$13,'MP (nominal)'!$D$12:$AM$244,ROW()-12,FALSE))</f>
        <v>182.23871</v>
      </c>
      <c r="U77" s="281"/>
      <c r="V77" s="281">
        <f>IF(HLOOKUP(V$13,'MP (nominal)'!$D$12:$AM$244,ROW()-12,FALSE)="","",HLOOKUP(V$13,'MP (nominal)'!$D$12:$AM$244,ROW()-12,FALSE))</f>
        <v>2.1331972000000001</v>
      </c>
      <c r="W77" s="281">
        <f>IF(HLOOKUP(W$13,'MP (nominal)'!$D$12:$AM$244,ROW()-12,FALSE)="","",HLOOKUP(W$13,'MP (nominal)'!$D$12:$AM$244,ROW()-12,FALSE))</f>
        <v>0.31075562000000001</v>
      </c>
      <c r="X77" s="281">
        <f>IF(HLOOKUP(X$13,'MP (nominal)'!$D$12:$AM$244,ROW()-12,FALSE)="","",HLOOKUP(X$13,'MP (nominal)'!$D$12:$AM$244,ROW()-12,FALSE))</f>
        <v>1.8224416000000001</v>
      </c>
      <c r="Y77" s="281"/>
      <c r="Z77" s="281">
        <f>IF(HLOOKUP(Z$13,'MP (nominal)'!$D$12:$AM$244,ROW()-12,FALSE)="","",HLOOKUP(Z$13,'MP (nominal)'!$D$12:$AM$244,ROW()-12,FALSE)*VLOOKUP($C77,CPI!$B$9:$I$63,8))</f>
        <v>7655.8152</v>
      </c>
      <c r="AA77" s="281">
        <f>IF(HLOOKUP(AA$13,'MP (nominal)'!$D$12:$AM$244,ROW()-12,FALSE)="","",HLOOKUP(AA$13,'MP (nominal)'!$D$12:$AM$244,ROW()-12,FALSE))</f>
        <v>120992.69</v>
      </c>
      <c r="AB77" s="281">
        <f>IF(HLOOKUP(AB$13,'MP (nominal)'!$D$12:$AM$244,ROW()-12,FALSE)="","",HLOOKUP(AB$13,'MP (nominal)'!$D$12:$AM$244,ROW()-12,FALSE))</f>
        <v>14298.370999999999</v>
      </c>
      <c r="AC77" s="281"/>
      <c r="AD77" s="281">
        <f>IF(HLOOKUP(AD$13,'MP (nominal)'!$D$12:$AM$244,ROW()-12,FALSE)="","",HLOOKUP(AD$13,'MP (nominal)'!$D$12:$AM$244,ROW()-12,FALSE)*VLOOKUP($C77,CPI!$B$9:$I$63,8))</f>
        <v>5040.7983999999997</v>
      </c>
      <c r="AE77" s="31">
        <f>IF(HLOOKUP(AE$13,'MP (nominal)'!$D$12:$AM$244,ROW()-12,FALSE)="","",HLOOKUP(AE$13,'MP (nominal)'!$D$12:$AM$244,ROW()-12,FALSE))</f>
        <v>84413.638000000006</v>
      </c>
      <c r="AF77" s="31">
        <f>IF(HLOOKUP(AF$13,'MP (nominal)'!$D$12:$AM$244,ROW()-12,FALSE)="","",HLOOKUP(AF$13,'MP (nominal)'!$D$12:$AM$244,ROW()-12,FALSE))</f>
        <v>1993.3497</v>
      </c>
      <c r="AG77" s="281"/>
      <c r="AH77" s="281">
        <f>IF(HLOOKUP(AH$13,'MP (nominal)'!$D$12:$AM$244,ROW()-12,FALSE)="","",HLOOKUP(AH$13,'MP (nominal)'!$D$12:$AM$244,ROW()-12,FALSE)*VLOOKUP($C77,CPI!$B$9:$I$63,8))</f>
        <v>14724.16</v>
      </c>
      <c r="AI77" s="31">
        <f>IF(HLOOKUP(AI$13,'MP (nominal)'!$D$12:$AM$244,ROW()-12,FALSE)="","",HLOOKUP(AI$13,'MP (nominal)'!$D$12:$AM$244,ROW()-12,FALSE))</f>
        <v>260184.31</v>
      </c>
      <c r="AJ77" s="31">
        <f>IF(HLOOKUP(AJ$13,'MP (nominal)'!$D$12:$AM$244,ROW()-12,FALSE)="","",HLOOKUP(AJ$13,'MP (nominal)'!$D$12:$AM$244,ROW()-12,FALSE))</f>
        <v>1507.2789</v>
      </c>
      <c r="AK77" s="281"/>
      <c r="AL77" s="281">
        <f>IF(HLOOKUP(AL$13,'MP (nominal)'!$D$12:$AM$244,ROW()-12,FALSE)="","",HLOOKUP(AL$13,'MP (nominal)'!$D$12:$AM$244,ROW()-12,FALSE)*VLOOKUP($C77,CPI!$B$9:$I$63,8))</f>
        <v>1415.2262000000001</v>
      </c>
      <c r="AM77" s="31">
        <f>IF(HLOOKUP(AM$13,'MP (nominal)'!$D$12:$AM$244,ROW()-12,FALSE)="","",HLOOKUP(AM$13,'MP (nominal)'!$D$12:$AM$244,ROW()-12,FALSE))</f>
        <v>77466.36</v>
      </c>
      <c r="AN77" s="31">
        <f>IF(HLOOKUP(AN$13,'MP (nominal)'!$D$12:$AM$244,ROW()-12,FALSE)="","",HLOOKUP(AN$13,'MP (nominal)'!$D$12:$AM$244,ROW()-12,FALSE))</f>
        <v>5</v>
      </c>
      <c r="AO77" s="281"/>
      <c r="AP77" s="281">
        <f>IF(HLOOKUP(AP$13,'MP (nominal)'!$D$12:$AM$244,ROW()-12,FALSE)="","",HLOOKUP(AP$13,'MP (nominal)'!$D$12:$AM$244,ROW()-12,FALSE)*VLOOKUP($C77,CPI!$B$9:$I$63,8))</f>
        <v>28836</v>
      </c>
      <c r="AQ77" s="31">
        <f>IF(HLOOKUP(AQ$13,'MP (nominal)'!$D$12:$AM$244,ROW()-12,FALSE)="","",HLOOKUP(AQ$13,'MP (nominal)'!$D$12:$AM$244,ROW()-12,FALSE))</f>
        <v>543057</v>
      </c>
      <c r="AR77" s="281">
        <f>IF(HLOOKUP(AR$13,'MP (nominal)'!$D$12:$AM$244,ROW()-12,FALSE)="","",HLOOKUP(AR$13,'MP (nominal)'!$D$12:$AM$244,ROW()-12,FALSE))</f>
        <v>17804</v>
      </c>
    </row>
    <row r="78" spans="1:44" s="278" customFormat="1" hidden="1">
      <c r="A78" s="271">
        <f>References!C266</f>
        <v>185</v>
      </c>
      <c r="B78" s="292" t="s">
        <v>37</v>
      </c>
      <c r="C78" s="284">
        <v>2004</v>
      </c>
      <c r="D78" s="27" t="str">
        <f>IF(HLOOKUP(D$13,'MP (nominal)'!$D$12:$AM$244,ROW()-12,FALSE)="","",HLOOKUP(D$13,'MP (nominal)'!$D$12:$AM$244,ROW()-12,FALSE))</f>
        <v/>
      </c>
      <c r="E78" s="281" t="str">
        <f>IF(HLOOKUP(E$13,'MP (nominal)'!$D$12:$AM$244,ROW()-12,FALSE)="","",HLOOKUP(E$13,'MP (nominal)'!$D$12:$AM$244,ROW()-12,FALSE))</f>
        <v/>
      </c>
      <c r="F78" s="27">
        <f>IF(HLOOKUP(F$13,'MP (nominal)'!$D$12:$AM$244,ROW()-12,FALSE)="","",HLOOKUP(F$13,'MP (nominal)'!$D$12:$AM$244,ROW()-12,FALSE))</f>
        <v>584</v>
      </c>
      <c r="G78" s="281" t="str">
        <f>IF(HLOOKUP(G$13,'MP (nominal)'!$D$12:$AM$244,ROW()-12,FALSE)="","",HLOOKUP(G$13,'MP (nominal)'!$D$12:$AM$244,ROW()-12,FALSE))</f>
        <v/>
      </c>
      <c r="H78" s="27">
        <f>IF(HLOOKUP(H$13,'MP (nominal)'!$D$12:$AM$244,ROW()-12,FALSE)="","",HLOOKUP(H$13,'MP (nominal)'!$D$12:$AM$244,ROW()-12,FALSE))</f>
        <v>676</v>
      </c>
      <c r="I78" s="31" t="str">
        <f>IF(HLOOKUP(I$13,'MP (nominal)'!$D$12:$AM$244,ROW()-12,FALSE)="","",HLOOKUP(I$13,'MP (nominal)'!$D$12:$AM$244,ROW()-12,FALSE))</f>
        <v/>
      </c>
      <c r="J78" s="31">
        <f>IF(HLOOKUP(J$13,'MP (nominal)'!$D$12:$AM$244,ROW()-12,FALSE)="","",HLOOKUP(J$13,'MP (nominal)'!$D$12:$AM$244,ROW()-12,FALSE))</f>
        <v>92</v>
      </c>
      <c r="K78" s="281"/>
      <c r="L78" s="27">
        <f>IF(HLOOKUP(L$13,'MP (nominal)'!$D$12:$AM$244,ROW()-12,FALSE)="","",HLOOKUP(L$13,'MP (nominal)'!$D$12:$AM$244,ROW()-12,FALSE))</f>
        <v>60.07</v>
      </c>
      <c r="M78" s="293">
        <f>IF(HLOOKUP(M$13,'MP (nominal)'!$D$12:$AM$244,ROW()-12,FALSE)="","",HLOOKUP(M$13,'MP (nominal)'!$D$12:$AM$244,ROW()-12,FALSE))</f>
        <v>253.53802400000001</v>
      </c>
      <c r="N78" s="35"/>
      <c r="O78" s="27">
        <f>IF(HLOOKUP(O$13,'MP (nominal)'!$D$12:$AM$244,ROW()-12,FALSE)="","",HLOOKUP(O$13,'MP (nominal)'!$D$12:$AM$244,ROW()-12,FALSE))</f>
        <v>16922</v>
      </c>
      <c r="P78" s="31"/>
      <c r="Q78" s="281"/>
      <c r="R78" s="281">
        <f>IF(HLOOKUP(R$13,'MP (nominal)'!$D$12:$AM$244,ROW()-12,FALSE)="","",HLOOKUP(R$13,'MP (nominal)'!$D$12:$AM$244,ROW()-12,FALSE))</f>
        <v>49.6</v>
      </c>
      <c r="S78" s="281" t="str">
        <f>IF(HLOOKUP(S$13,'MP (nominal)'!$D$12:$AM$244,ROW()-12,FALSE)="","",HLOOKUP(S$13,'MP (nominal)'!$D$12:$AM$244,ROW()-12,FALSE))</f>
        <v/>
      </c>
      <c r="T78" s="281" t="str">
        <f>IF(HLOOKUP(T$13,'MP (nominal)'!$D$12:$AM$244,ROW()-12,FALSE)="","",HLOOKUP(T$13,'MP (nominal)'!$D$12:$AM$244,ROW()-12,FALSE))</f>
        <v/>
      </c>
      <c r="U78" s="281"/>
      <c r="V78" s="281">
        <f>IF(HLOOKUP(V$13,'MP (nominal)'!$D$12:$AM$244,ROW()-12,FALSE)="","",HLOOKUP(V$13,'MP (nominal)'!$D$12:$AM$244,ROW()-12,FALSE))</f>
        <v>1.28</v>
      </c>
      <c r="W78" s="281" t="str">
        <f>IF(HLOOKUP(W$13,'MP (nominal)'!$D$12:$AM$244,ROW()-12,FALSE)="","",HLOOKUP(W$13,'MP (nominal)'!$D$12:$AM$244,ROW()-12,FALSE))</f>
        <v/>
      </c>
      <c r="X78" s="281" t="str">
        <f>IF(HLOOKUP(X$13,'MP (nominal)'!$D$12:$AM$244,ROW()-12,FALSE)="","",HLOOKUP(X$13,'MP (nominal)'!$D$12:$AM$244,ROW()-12,FALSE))</f>
        <v/>
      </c>
      <c r="Y78" s="281"/>
      <c r="Z78" s="281" t="str">
        <f>IF(HLOOKUP(Z$13,'MP (nominal)'!$D$12:$AM$244,ROW()-12,FALSE)="","",HLOOKUP(Z$13,'MP (nominal)'!$D$12:$AM$244,ROW()-12,FALSE)*VLOOKUP($C78,CPI!$B$9:$I$63,8))</f>
        <v/>
      </c>
      <c r="AA78" s="281" t="str">
        <f>IF(HLOOKUP(AA$13,'MP (nominal)'!$D$12:$AM$244,ROW()-12,FALSE)="","",HLOOKUP(AA$13,'MP (nominal)'!$D$12:$AM$244,ROW()-12,FALSE))</f>
        <v/>
      </c>
      <c r="AB78" s="281" t="str">
        <f>IF(HLOOKUP(AB$13,'MP (nominal)'!$D$12:$AM$244,ROW()-12,FALSE)="","",HLOOKUP(AB$13,'MP (nominal)'!$D$12:$AM$244,ROW()-12,FALSE))</f>
        <v/>
      </c>
      <c r="AC78" s="281"/>
      <c r="AD78" s="281" t="str">
        <f>IF(HLOOKUP(AD$13,'MP (nominal)'!$D$12:$AM$244,ROW()-12,FALSE)="","",HLOOKUP(AD$13,'MP (nominal)'!$D$12:$AM$244,ROW()-12,FALSE)*VLOOKUP($C78,CPI!$B$9:$I$63,8))</f>
        <v/>
      </c>
      <c r="AE78" s="31" t="str">
        <f>IF(HLOOKUP(AE$13,'MP (nominal)'!$D$12:$AM$244,ROW()-12,FALSE)="","",HLOOKUP(AE$13,'MP (nominal)'!$D$12:$AM$244,ROW()-12,FALSE))</f>
        <v/>
      </c>
      <c r="AF78" s="31" t="str">
        <f>IF(HLOOKUP(AF$13,'MP (nominal)'!$D$12:$AM$244,ROW()-12,FALSE)="","",HLOOKUP(AF$13,'MP (nominal)'!$D$12:$AM$244,ROW()-12,FALSE))</f>
        <v/>
      </c>
      <c r="AG78" s="281"/>
      <c r="AH78" s="281" t="str">
        <f>IF(HLOOKUP(AH$13,'MP (nominal)'!$D$12:$AM$244,ROW()-12,FALSE)="","",HLOOKUP(AH$13,'MP (nominal)'!$D$12:$AM$244,ROW()-12,FALSE)*VLOOKUP($C78,CPI!$B$9:$I$63,8))</f>
        <v/>
      </c>
      <c r="AI78" s="31" t="str">
        <f>IF(HLOOKUP(AI$13,'MP (nominal)'!$D$12:$AM$244,ROW()-12,FALSE)="","",HLOOKUP(AI$13,'MP (nominal)'!$D$12:$AM$244,ROW()-12,FALSE))</f>
        <v/>
      </c>
      <c r="AJ78" s="31" t="str">
        <f>IF(HLOOKUP(AJ$13,'MP (nominal)'!$D$12:$AM$244,ROW()-12,FALSE)="","",HLOOKUP(AJ$13,'MP (nominal)'!$D$12:$AM$244,ROW()-12,FALSE))</f>
        <v/>
      </c>
      <c r="AK78" s="281"/>
      <c r="AL78" s="281" t="str">
        <f>IF(HLOOKUP(AL$13,'MP (nominal)'!$D$12:$AM$244,ROW()-12,FALSE)="","",HLOOKUP(AL$13,'MP (nominal)'!$D$12:$AM$244,ROW()-12,FALSE)*VLOOKUP($C78,CPI!$B$9:$I$63,8))</f>
        <v/>
      </c>
      <c r="AM78" s="31" t="str">
        <f>IF(HLOOKUP(AM$13,'MP (nominal)'!$D$12:$AM$244,ROW()-12,FALSE)="","",HLOOKUP(AM$13,'MP (nominal)'!$D$12:$AM$244,ROW()-12,FALSE))</f>
        <v/>
      </c>
      <c r="AN78" s="31" t="str">
        <f>IF(HLOOKUP(AN$13,'MP (nominal)'!$D$12:$AM$244,ROW()-12,FALSE)="","",HLOOKUP(AN$13,'MP (nominal)'!$D$12:$AM$244,ROW()-12,FALSE))</f>
        <v/>
      </c>
      <c r="AO78" s="281"/>
      <c r="AP78" s="281" t="str">
        <f>IF(HLOOKUP(AP$13,'MP (nominal)'!$D$12:$AM$244,ROW()-12,FALSE)="","",HLOOKUP(AP$13,'MP (nominal)'!$D$12:$AM$244,ROW()-12,FALSE)*VLOOKUP($C78,CPI!$B$9:$I$63,8))</f>
        <v/>
      </c>
      <c r="AQ78" s="31" t="str">
        <f>IF(HLOOKUP(AQ$13,'MP (nominal)'!$D$12:$AM$244,ROW()-12,FALSE)="","",HLOOKUP(AQ$13,'MP (nominal)'!$D$12:$AM$244,ROW()-12,FALSE))</f>
        <v/>
      </c>
      <c r="AR78" s="281" t="str">
        <f>IF(HLOOKUP(AR$13,'MP (nominal)'!$D$12:$AM$244,ROW()-12,FALSE)="","",HLOOKUP(AR$13,'MP (nominal)'!$D$12:$AM$244,ROW()-12,FALSE))</f>
        <v/>
      </c>
    </row>
    <row r="79" spans="1:44" s="278" customFormat="1" hidden="1">
      <c r="A79" s="271">
        <f>References!D266</f>
        <v>186</v>
      </c>
      <c r="B79" s="292" t="s">
        <v>37</v>
      </c>
      <c r="C79" s="284">
        <v>2005</v>
      </c>
      <c r="D79" s="27" t="str">
        <f>IF(HLOOKUP(D$13,'MP (nominal)'!$D$12:$AM$244,ROW()-12,FALSE)="","",HLOOKUP(D$13,'MP (nominal)'!$D$12:$AM$244,ROW()-12,FALSE))</f>
        <v/>
      </c>
      <c r="E79" s="281" t="str">
        <f>IF(HLOOKUP(E$13,'MP (nominal)'!$D$12:$AM$244,ROW()-12,FALSE)="","",HLOOKUP(E$13,'MP (nominal)'!$D$12:$AM$244,ROW()-12,FALSE))</f>
        <v/>
      </c>
      <c r="F79" s="27">
        <f>IF(HLOOKUP(F$13,'MP (nominal)'!$D$12:$AM$244,ROW()-12,FALSE)="","",HLOOKUP(F$13,'MP (nominal)'!$D$12:$AM$244,ROW()-12,FALSE))</f>
        <v>591</v>
      </c>
      <c r="G79" s="281" t="str">
        <f>IF(HLOOKUP(G$13,'MP (nominal)'!$D$12:$AM$244,ROW()-12,FALSE)="","",HLOOKUP(G$13,'MP (nominal)'!$D$12:$AM$244,ROW()-12,FALSE))</f>
        <v/>
      </c>
      <c r="H79" s="27">
        <f>IF(HLOOKUP(H$13,'MP (nominal)'!$D$12:$AM$244,ROW()-12,FALSE)="","",HLOOKUP(H$13,'MP (nominal)'!$D$12:$AM$244,ROW()-12,FALSE))</f>
        <v>679</v>
      </c>
      <c r="I79" s="31" t="str">
        <f>IF(HLOOKUP(I$13,'MP (nominal)'!$D$12:$AM$244,ROW()-12,FALSE)="","",HLOOKUP(I$13,'MP (nominal)'!$D$12:$AM$244,ROW()-12,FALSE))</f>
        <v/>
      </c>
      <c r="J79" s="31">
        <f>IF(HLOOKUP(J$13,'MP (nominal)'!$D$12:$AM$244,ROW()-12,FALSE)="","",HLOOKUP(J$13,'MP (nominal)'!$D$12:$AM$244,ROW()-12,FALSE))</f>
        <v>88</v>
      </c>
      <c r="K79" s="281"/>
      <c r="L79" s="27">
        <f>IF(HLOOKUP(L$13,'MP (nominal)'!$D$12:$AM$244,ROW()-12,FALSE)="","",HLOOKUP(L$13,'MP (nominal)'!$D$12:$AM$244,ROW()-12,FALSE))</f>
        <v>60.610999999999997</v>
      </c>
      <c r="M79" s="293">
        <f>IF(HLOOKUP(M$13,'MP (nominal)'!$D$12:$AM$244,ROW()-12,FALSE)="","",HLOOKUP(M$13,'MP (nominal)'!$D$12:$AM$244,ROW()-12,FALSE))</f>
        <v>262.53050400000001</v>
      </c>
      <c r="N79" s="35"/>
      <c r="O79" s="27">
        <f>IF(HLOOKUP(O$13,'MP (nominal)'!$D$12:$AM$244,ROW()-12,FALSE)="","",HLOOKUP(O$13,'MP (nominal)'!$D$12:$AM$244,ROW()-12,FALSE))</f>
        <v>16842</v>
      </c>
      <c r="P79" s="31"/>
      <c r="Q79" s="281"/>
      <c r="R79" s="281">
        <f>IF(HLOOKUP(R$13,'MP (nominal)'!$D$12:$AM$244,ROW()-12,FALSE)="","",HLOOKUP(R$13,'MP (nominal)'!$D$12:$AM$244,ROW()-12,FALSE))</f>
        <v>15.4</v>
      </c>
      <c r="S79" s="281" t="str">
        <f>IF(HLOOKUP(S$13,'MP (nominal)'!$D$12:$AM$244,ROW()-12,FALSE)="","",HLOOKUP(S$13,'MP (nominal)'!$D$12:$AM$244,ROW()-12,FALSE))</f>
        <v/>
      </c>
      <c r="T79" s="281" t="str">
        <f>IF(HLOOKUP(T$13,'MP (nominal)'!$D$12:$AM$244,ROW()-12,FALSE)="","",HLOOKUP(T$13,'MP (nominal)'!$D$12:$AM$244,ROW()-12,FALSE))</f>
        <v/>
      </c>
      <c r="U79" s="281"/>
      <c r="V79" s="281">
        <f>IF(HLOOKUP(V$13,'MP (nominal)'!$D$12:$AM$244,ROW()-12,FALSE)="","",HLOOKUP(V$13,'MP (nominal)'!$D$12:$AM$244,ROW()-12,FALSE))</f>
        <v>0.28000000000000003</v>
      </c>
      <c r="W79" s="281" t="str">
        <f>IF(HLOOKUP(W$13,'MP (nominal)'!$D$12:$AM$244,ROW()-12,FALSE)="","",HLOOKUP(W$13,'MP (nominal)'!$D$12:$AM$244,ROW()-12,FALSE))</f>
        <v/>
      </c>
      <c r="X79" s="281" t="str">
        <f>IF(HLOOKUP(X$13,'MP (nominal)'!$D$12:$AM$244,ROW()-12,FALSE)="","",HLOOKUP(X$13,'MP (nominal)'!$D$12:$AM$244,ROW()-12,FALSE))</f>
        <v/>
      </c>
      <c r="Y79" s="281"/>
      <c r="Z79" s="281" t="str">
        <f>IF(HLOOKUP(Z$13,'MP (nominal)'!$D$12:$AM$244,ROW()-12,FALSE)="","",HLOOKUP(Z$13,'MP (nominal)'!$D$12:$AM$244,ROW()-12,FALSE)*VLOOKUP($C79,CPI!$B$9:$I$63,8))</f>
        <v/>
      </c>
      <c r="AA79" s="281" t="str">
        <f>IF(HLOOKUP(AA$13,'MP (nominal)'!$D$12:$AM$244,ROW()-12,FALSE)="","",HLOOKUP(AA$13,'MP (nominal)'!$D$12:$AM$244,ROW()-12,FALSE))</f>
        <v/>
      </c>
      <c r="AB79" s="281" t="str">
        <f>IF(HLOOKUP(AB$13,'MP (nominal)'!$D$12:$AM$244,ROW()-12,FALSE)="","",HLOOKUP(AB$13,'MP (nominal)'!$D$12:$AM$244,ROW()-12,FALSE))</f>
        <v/>
      </c>
      <c r="AC79" s="281"/>
      <c r="AD79" s="281" t="str">
        <f>IF(HLOOKUP(AD$13,'MP (nominal)'!$D$12:$AM$244,ROW()-12,FALSE)="","",HLOOKUP(AD$13,'MP (nominal)'!$D$12:$AM$244,ROW()-12,FALSE)*VLOOKUP($C79,CPI!$B$9:$I$63,8))</f>
        <v/>
      </c>
      <c r="AE79" s="31" t="str">
        <f>IF(HLOOKUP(AE$13,'MP (nominal)'!$D$12:$AM$244,ROW()-12,FALSE)="","",HLOOKUP(AE$13,'MP (nominal)'!$D$12:$AM$244,ROW()-12,FALSE))</f>
        <v/>
      </c>
      <c r="AF79" s="31" t="str">
        <f>IF(HLOOKUP(AF$13,'MP (nominal)'!$D$12:$AM$244,ROW()-12,FALSE)="","",HLOOKUP(AF$13,'MP (nominal)'!$D$12:$AM$244,ROW()-12,FALSE))</f>
        <v/>
      </c>
      <c r="AG79" s="281"/>
      <c r="AH79" s="281" t="str">
        <f>IF(HLOOKUP(AH$13,'MP (nominal)'!$D$12:$AM$244,ROW()-12,FALSE)="","",HLOOKUP(AH$13,'MP (nominal)'!$D$12:$AM$244,ROW()-12,FALSE)*VLOOKUP($C79,CPI!$B$9:$I$63,8))</f>
        <v/>
      </c>
      <c r="AI79" s="31" t="str">
        <f>IF(HLOOKUP(AI$13,'MP (nominal)'!$D$12:$AM$244,ROW()-12,FALSE)="","",HLOOKUP(AI$13,'MP (nominal)'!$D$12:$AM$244,ROW()-12,FALSE))</f>
        <v/>
      </c>
      <c r="AJ79" s="31" t="str">
        <f>IF(HLOOKUP(AJ$13,'MP (nominal)'!$D$12:$AM$244,ROW()-12,FALSE)="","",HLOOKUP(AJ$13,'MP (nominal)'!$D$12:$AM$244,ROW()-12,FALSE))</f>
        <v/>
      </c>
      <c r="AK79" s="281"/>
      <c r="AL79" s="281" t="str">
        <f>IF(HLOOKUP(AL$13,'MP (nominal)'!$D$12:$AM$244,ROW()-12,FALSE)="","",HLOOKUP(AL$13,'MP (nominal)'!$D$12:$AM$244,ROW()-12,FALSE)*VLOOKUP($C79,CPI!$B$9:$I$63,8))</f>
        <v/>
      </c>
      <c r="AM79" s="31" t="str">
        <f>IF(HLOOKUP(AM$13,'MP (nominal)'!$D$12:$AM$244,ROW()-12,FALSE)="","",HLOOKUP(AM$13,'MP (nominal)'!$D$12:$AM$244,ROW()-12,FALSE))</f>
        <v/>
      </c>
      <c r="AN79" s="31" t="str">
        <f>IF(HLOOKUP(AN$13,'MP (nominal)'!$D$12:$AM$244,ROW()-12,FALSE)="","",HLOOKUP(AN$13,'MP (nominal)'!$D$12:$AM$244,ROW()-12,FALSE))</f>
        <v/>
      </c>
      <c r="AO79" s="281"/>
      <c r="AP79" s="281" t="str">
        <f>IF(HLOOKUP(AP$13,'MP (nominal)'!$D$12:$AM$244,ROW()-12,FALSE)="","",HLOOKUP(AP$13,'MP (nominal)'!$D$12:$AM$244,ROW()-12,FALSE)*VLOOKUP($C79,CPI!$B$9:$I$63,8))</f>
        <v/>
      </c>
      <c r="AQ79" s="31" t="str">
        <f>IF(HLOOKUP(AQ$13,'MP (nominal)'!$D$12:$AM$244,ROW()-12,FALSE)="","",HLOOKUP(AQ$13,'MP (nominal)'!$D$12:$AM$244,ROW()-12,FALSE))</f>
        <v/>
      </c>
      <c r="AR79" s="281" t="str">
        <f>IF(HLOOKUP(AR$13,'MP (nominal)'!$D$12:$AM$244,ROW()-12,FALSE)="","",HLOOKUP(AR$13,'MP (nominal)'!$D$12:$AM$244,ROW()-12,FALSE))</f>
        <v/>
      </c>
    </row>
    <row r="80" spans="1:44" s="278" customFormat="1" hidden="1">
      <c r="A80" s="271">
        <f>References!E266</f>
        <v>187</v>
      </c>
      <c r="B80" s="292" t="s">
        <v>37</v>
      </c>
      <c r="C80" s="284">
        <v>2006</v>
      </c>
      <c r="D80" s="27" t="str">
        <f>IF(HLOOKUP(D$13,'MP (nominal)'!$D$12:$AM$244,ROW()-12,FALSE)="","",HLOOKUP(D$13,'MP (nominal)'!$D$12:$AM$244,ROW()-12,FALSE))</f>
        <v/>
      </c>
      <c r="E80" s="281" t="str">
        <f>IF(HLOOKUP(E$13,'MP (nominal)'!$D$12:$AM$244,ROW()-12,FALSE)="","",HLOOKUP(E$13,'MP (nominal)'!$D$12:$AM$244,ROW()-12,FALSE))</f>
        <v/>
      </c>
      <c r="F80" s="27">
        <f>IF(HLOOKUP(F$13,'MP (nominal)'!$D$12:$AM$244,ROW()-12,FALSE)="","",HLOOKUP(F$13,'MP (nominal)'!$D$12:$AM$244,ROW()-12,FALSE))</f>
        <v>593</v>
      </c>
      <c r="G80" s="281" t="str">
        <f>IF(HLOOKUP(G$13,'MP (nominal)'!$D$12:$AM$244,ROW()-12,FALSE)="","",HLOOKUP(G$13,'MP (nominal)'!$D$12:$AM$244,ROW()-12,FALSE))</f>
        <v/>
      </c>
      <c r="H80" s="27">
        <f>IF(HLOOKUP(H$13,'MP (nominal)'!$D$12:$AM$244,ROW()-12,FALSE)="","",HLOOKUP(H$13,'MP (nominal)'!$D$12:$AM$244,ROW()-12,FALSE))</f>
        <v>681</v>
      </c>
      <c r="I80" s="31" t="str">
        <f>IF(HLOOKUP(I$13,'MP (nominal)'!$D$12:$AM$244,ROW()-12,FALSE)="","",HLOOKUP(I$13,'MP (nominal)'!$D$12:$AM$244,ROW()-12,FALSE))</f>
        <v/>
      </c>
      <c r="J80" s="31">
        <f>IF(HLOOKUP(J$13,'MP (nominal)'!$D$12:$AM$244,ROW()-12,FALSE)="","",HLOOKUP(J$13,'MP (nominal)'!$D$12:$AM$244,ROW()-12,FALSE))</f>
        <v>89</v>
      </c>
      <c r="K80" s="281"/>
      <c r="L80" s="27">
        <f>IF(HLOOKUP(L$13,'MP (nominal)'!$D$12:$AM$244,ROW()-12,FALSE)="","",HLOOKUP(L$13,'MP (nominal)'!$D$12:$AM$244,ROW()-12,FALSE))</f>
        <v>57.859000000000002</v>
      </c>
      <c r="M80" s="293">
        <f>IF(HLOOKUP(M$13,'MP (nominal)'!$D$12:$AM$244,ROW()-12,FALSE)="","",HLOOKUP(M$13,'MP (nominal)'!$D$12:$AM$244,ROW()-12,FALSE))</f>
        <v>259.60508099999998</v>
      </c>
      <c r="N80" s="35"/>
      <c r="O80" s="27">
        <f>IF(HLOOKUP(O$13,'MP (nominal)'!$D$12:$AM$244,ROW()-12,FALSE)="","",HLOOKUP(O$13,'MP (nominal)'!$D$12:$AM$244,ROW()-12,FALSE))</f>
        <v>16889</v>
      </c>
      <c r="P80" s="31"/>
      <c r="Q80" s="281"/>
      <c r="R80" s="281">
        <f>IF(HLOOKUP(R$13,'MP (nominal)'!$D$12:$AM$244,ROW()-12,FALSE)="","",HLOOKUP(R$13,'MP (nominal)'!$D$12:$AM$244,ROW()-12,FALSE))</f>
        <v>19.8</v>
      </c>
      <c r="S80" s="281" t="str">
        <f>IF(HLOOKUP(S$13,'MP (nominal)'!$D$12:$AM$244,ROW()-12,FALSE)="","",HLOOKUP(S$13,'MP (nominal)'!$D$12:$AM$244,ROW()-12,FALSE))</f>
        <v/>
      </c>
      <c r="T80" s="281" t="str">
        <f>IF(HLOOKUP(T$13,'MP (nominal)'!$D$12:$AM$244,ROW()-12,FALSE)="","",HLOOKUP(T$13,'MP (nominal)'!$D$12:$AM$244,ROW()-12,FALSE))</f>
        <v/>
      </c>
      <c r="U80" s="281"/>
      <c r="V80" s="281">
        <f>IF(HLOOKUP(V$13,'MP (nominal)'!$D$12:$AM$244,ROW()-12,FALSE)="","",HLOOKUP(V$13,'MP (nominal)'!$D$12:$AM$244,ROW()-12,FALSE))</f>
        <v>0.55000000000000004</v>
      </c>
      <c r="W80" s="281" t="str">
        <f>IF(HLOOKUP(W$13,'MP (nominal)'!$D$12:$AM$244,ROW()-12,FALSE)="","",HLOOKUP(W$13,'MP (nominal)'!$D$12:$AM$244,ROW()-12,FALSE))</f>
        <v/>
      </c>
      <c r="X80" s="281" t="str">
        <f>IF(HLOOKUP(X$13,'MP (nominal)'!$D$12:$AM$244,ROW()-12,FALSE)="","",HLOOKUP(X$13,'MP (nominal)'!$D$12:$AM$244,ROW()-12,FALSE))</f>
        <v/>
      </c>
      <c r="Y80" s="281"/>
      <c r="Z80" s="281" t="str">
        <f>IF(HLOOKUP(Z$13,'MP (nominal)'!$D$12:$AM$244,ROW()-12,FALSE)="","",HLOOKUP(Z$13,'MP (nominal)'!$D$12:$AM$244,ROW()-12,FALSE)*VLOOKUP($C80,CPI!$B$9:$I$63,8))</f>
        <v/>
      </c>
      <c r="AA80" s="281" t="str">
        <f>IF(HLOOKUP(AA$13,'MP (nominal)'!$D$12:$AM$244,ROW()-12,FALSE)="","",HLOOKUP(AA$13,'MP (nominal)'!$D$12:$AM$244,ROW()-12,FALSE))</f>
        <v/>
      </c>
      <c r="AB80" s="281" t="str">
        <f>IF(HLOOKUP(AB$13,'MP (nominal)'!$D$12:$AM$244,ROW()-12,FALSE)="","",HLOOKUP(AB$13,'MP (nominal)'!$D$12:$AM$244,ROW()-12,FALSE))</f>
        <v/>
      </c>
      <c r="AC80" s="281"/>
      <c r="AD80" s="281" t="str">
        <f>IF(HLOOKUP(AD$13,'MP (nominal)'!$D$12:$AM$244,ROW()-12,FALSE)="","",HLOOKUP(AD$13,'MP (nominal)'!$D$12:$AM$244,ROW()-12,FALSE)*VLOOKUP($C80,CPI!$B$9:$I$63,8))</f>
        <v/>
      </c>
      <c r="AE80" s="31" t="str">
        <f>IF(HLOOKUP(AE$13,'MP (nominal)'!$D$12:$AM$244,ROW()-12,FALSE)="","",HLOOKUP(AE$13,'MP (nominal)'!$D$12:$AM$244,ROW()-12,FALSE))</f>
        <v/>
      </c>
      <c r="AF80" s="31" t="str">
        <f>IF(HLOOKUP(AF$13,'MP (nominal)'!$D$12:$AM$244,ROW()-12,FALSE)="","",HLOOKUP(AF$13,'MP (nominal)'!$D$12:$AM$244,ROW()-12,FALSE))</f>
        <v/>
      </c>
      <c r="AG80" s="281"/>
      <c r="AH80" s="281" t="str">
        <f>IF(HLOOKUP(AH$13,'MP (nominal)'!$D$12:$AM$244,ROW()-12,FALSE)="","",HLOOKUP(AH$13,'MP (nominal)'!$D$12:$AM$244,ROW()-12,FALSE)*VLOOKUP($C80,CPI!$B$9:$I$63,8))</f>
        <v/>
      </c>
      <c r="AI80" s="31" t="str">
        <f>IF(HLOOKUP(AI$13,'MP (nominal)'!$D$12:$AM$244,ROW()-12,FALSE)="","",HLOOKUP(AI$13,'MP (nominal)'!$D$12:$AM$244,ROW()-12,FALSE))</f>
        <v/>
      </c>
      <c r="AJ80" s="31" t="str">
        <f>IF(HLOOKUP(AJ$13,'MP (nominal)'!$D$12:$AM$244,ROW()-12,FALSE)="","",HLOOKUP(AJ$13,'MP (nominal)'!$D$12:$AM$244,ROW()-12,FALSE))</f>
        <v/>
      </c>
      <c r="AK80" s="281"/>
      <c r="AL80" s="281" t="str">
        <f>IF(HLOOKUP(AL$13,'MP (nominal)'!$D$12:$AM$244,ROW()-12,FALSE)="","",HLOOKUP(AL$13,'MP (nominal)'!$D$12:$AM$244,ROW()-12,FALSE)*VLOOKUP($C80,CPI!$B$9:$I$63,8))</f>
        <v/>
      </c>
      <c r="AM80" s="31" t="str">
        <f>IF(HLOOKUP(AM$13,'MP (nominal)'!$D$12:$AM$244,ROW()-12,FALSE)="","",HLOOKUP(AM$13,'MP (nominal)'!$D$12:$AM$244,ROW()-12,FALSE))</f>
        <v/>
      </c>
      <c r="AN80" s="31" t="str">
        <f>IF(HLOOKUP(AN$13,'MP (nominal)'!$D$12:$AM$244,ROW()-12,FALSE)="","",HLOOKUP(AN$13,'MP (nominal)'!$D$12:$AM$244,ROW()-12,FALSE))</f>
        <v/>
      </c>
      <c r="AO80" s="281"/>
      <c r="AP80" s="281" t="str">
        <f>IF(HLOOKUP(AP$13,'MP (nominal)'!$D$12:$AM$244,ROW()-12,FALSE)="","",HLOOKUP(AP$13,'MP (nominal)'!$D$12:$AM$244,ROW()-12,FALSE)*VLOOKUP($C80,CPI!$B$9:$I$63,8))</f>
        <v/>
      </c>
      <c r="AQ80" s="31" t="str">
        <f>IF(HLOOKUP(AQ$13,'MP (nominal)'!$D$12:$AM$244,ROW()-12,FALSE)="","",HLOOKUP(AQ$13,'MP (nominal)'!$D$12:$AM$244,ROW()-12,FALSE))</f>
        <v/>
      </c>
      <c r="AR80" s="281" t="str">
        <f>IF(HLOOKUP(AR$13,'MP (nominal)'!$D$12:$AM$244,ROW()-12,FALSE)="","",HLOOKUP(AR$13,'MP (nominal)'!$D$12:$AM$244,ROW()-12,FALSE))</f>
        <v/>
      </c>
    </row>
    <row r="81" spans="1:44" s="278" customFormat="1" hidden="1">
      <c r="A81" s="271">
        <f>References!F266</f>
        <v>188</v>
      </c>
      <c r="B81" s="292" t="s">
        <v>37</v>
      </c>
      <c r="C81" s="284">
        <v>2007</v>
      </c>
      <c r="D81" s="27" t="str">
        <f>IF(HLOOKUP(D$13,'MP (nominal)'!$D$12:$AM$244,ROW()-12,FALSE)="","",HLOOKUP(D$13,'MP (nominal)'!$D$12:$AM$244,ROW()-12,FALSE))</f>
        <v/>
      </c>
      <c r="E81" s="281" t="str">
        <f>IF(HLOOKUP(E$13,'MP (nominal)'!$D$12:$AM$244,ROW()-12,FALSE)="","",HLOOKUP(E$13,'MP (nominal)'!$D$12:$AM$244,ROW()-12,FALSE))</f>
        <v/>
      </c>
      <c r="F81" s="27">
        <f>IF(HLOOKUP(F$13,'MP (nominal)'!$D$12:$AM$244,ROW()-12,FALSE)="","",HLOOKUP(F$13,'MP (nominal)'!$D$12:$AM$244,ROW()-12,FALSE))</f>
        <v>604</v>
      </c>
      <c r="G81" s="281" t="str">
        <f>IF(HLOOKUP(G$13,'MP (nominal)'!$D$12:$AM$244,ROW()-12,FALSE)="","",HLOOKUP(G$13,'MP (nominal)'!$D$12:$AM$244,ROW()-12,FALSE))</f>
        <v/>
      </c>
      <c r="H81" s="27">
        <f>IF(HLOOKUP(H$13,'MP (nominal)'!$D$12:$AM$244,ROW()-12,FALSE)="","",HLOOKUP(H$13,'MP (nominal)'!$D$12:$AM$244,ROW()-12,FALSE))</f>
        <v>679</v>
      </c>
      <c r="I81" s="31" t="str">
        <f>IF(HLOOKUP(I$13,'MP (nominal)'!$D$12:$AM$244,ROW()-12,FALSE)="","",HLOOKUP(I$13,'MP (nominal)'!$D$12:$AM$244,ROW()-12,FALSE))</f>
        <v/>
      </c>
      <c r="J81" s="31">
        <f>IF(HLOOKUP(J$13,'MP (nominal)'!$D$12:$AM$244,ROW()-12,FALSE)="","",HLOOKUP(J$13,'MP (nominal)'!$D$12:$AM$244,ROW()-12,FALSE))</f>
        <v>75</v>
      </c>
      <c r="K81" s="281"/>
      <c r="L81" s="27">
        <f>IF(HLOOKUP(L$13,'MP (nominal)'!$D$12:$AM$244,ROW()-12,FALSE)="","",HLOOKUP(L$13,'MP (nominal)'!$D$12:$AM$244,ROW()-12,FALSE))</f>
        <v>63.698</v>
      </c>
      <c r="M81" s="293">
        <f>IF(HLOOKUP(M$13,'MP (nominal)'!$D$12:$AM$244,ROW()-12,FALSE)="","",HLOOKUP(M$13,'MP (nominal)'!$D$12:$AM$244,ROW()-12,FALSE))</f>
        <v>280.38083599999999</v>
      </c>
      <c r="N81" s="35"/>
      <c r="O81" s="27">
        <f>IF(HLOOKUP(O$13,'MP (nominal)'!$D$12:$AM$244,ROW()-12,FALSE)="","",HLOOKUP(O$13,'MP (nominal)'!$D$12:$AM$244,ROW()-12,FALSE))</f>
        <v>16943</v>
      </c>
      <c r="P81" s="31"/>
      <c r="Q81" s="281"/>
      <c r="R81" s="281">
        <f>IF(HLOOKUP(R$13,'MP (nominal)'!$D$12:$AM$244,ROW()-12,FALSE)="","",HLOOKUP(R$13,'MP (nominal)'!$D$12:$AM$244,ROW()-12,FALSE))</f>
        <v>36.700000000000003</v>
      </c>
      <c r="S81" s="281" t="str">
        <f>IF(HLOOKUP(S$13,'MP (nominal)'!$D$12:$AM$244,ROW()-12,FALSE)="","",HLOOKUP(S$13,'MP (nominal)'!$D$12:$AM$244,ROW()-12,FALSE))</f>
        <v/>
      </c>
      <c r="T81" s="281" t="str">
        <f>IF(HLOOKUP(T$13,'MP (nominal)'!$D$12:$AM$244,ROW()-12,FALSE)="","",HLOOKUP(T$13,'MP (nominal)'!$D$12:$AM$244,ROW()-12,FALSE))</f>
        <v/>
      </c>
      <c r="U81" s="281"/>
      <c r="V81" s="281">
        <f>IF(HLOOKUP(V$13,'MP (nominal)'!$D$12:$AM$244,ROW()-12,FALSE)="","",HLOOKUP(V$13,'MP (nominal)'!$D$12:$AM$244,ROW()-12,FALSE))</f>
        <v>1.28</v>
      </c>
      <c r="W81" s="281" t="str">
        <f>IF(HLOOKUP(W$13,'MP (nominal)'!$D$12:$AM$244,ROW()-12,FALSE)="","",HLOOKUP(W$13,'MP (nominal)'!$D$12:$AM$244,ROW()-12,FALSE))</f>
        <v/>
      </c>
      <c r="X81" s="281" t="str">
        <f>IF(HLOOKUP(X$13,'MP (nominal)'!$D$12:$AM$244,ROW()-12,FALSE)="","",HLOOKUP(X$13,'MP (nominal)'!$D$12:$AM$244,ROW()-12,FALSE))</f>
        <v/>
      </c>
      <c r="Y81" s="281"/>
      <c r="Z81" s="281" t="str">
        <f>IF(HLOOKUP(Z$13,'MP (nominal)'!$D$12:$AM$244,ROW()-12,FALSE)="","",HLOOKUP(Z$13,'MP (nominal)'!$D$12:$AM$244,ROW()-12,FALSE)*VLOOKUP($C81,CPI!$B$9:$I$63,8))</f>
        <v/>
      </c>
      <c r="AA81" s="281" t="str">
        <f>IF(HLOOKUP(AA$13,'MP (nominal)'!$D$12:$AM$244,ROW()-12,FALSE)="","",HLOOKUP(AA$13,'MP (nominal)'!$D$12:$AM$244,ROW()-12,FALSE))</f>
        <v/>
      </c>
      <c r="AB81" s="281" t="str">
        <f>IF(HLOOKUP(AB$13,'MP (nominal)'!$D$12:$AM$244,ROW()-12,FALSE)="","",HLOOKUP(AB$13,'MP (nominal)'!$D$12:$AM$244,ROW()-12,FALSE))</f>
        <v/>
      </c>
      <c r="AC81" s="281"/>
      <c r="AD81" s="281" t="str">
        <f>IF(HLOOKUP(AD$13,'MP (nominal)'!$D$12:$AM$244,ROW()-12,FALSE)="","",HLOOKUP(AD$13,'MP (nominal)'!$D$12:$AM$244,ROW()-12,FALSE)*VLOOKUP($C81,CPI!$B$9:$I$63,8))</f>
        <v/>
      </c>
      <c r="AE81" s="31" t="str">
        <f>IF(HLOOKUP(AE$13,'MP (nominal)'!$D$12:$AM$244,ROW()-12,FALSE)="","",HLOOKUP(AE$13,'MP (nominal)'!$D$12:$AM$244,ROW()-12,FALSE))</f>
        <v/>
      </c>
      <c r="AF81" s="31" t="str">
        <f>IF(HLOOKUP(AF$13,'MP (nominal)'!$D$12:$AM$244,ROW()-12,FALSE)="","",HLOOKUP(AF$13,'MP (nominal)'!$D$12:$AM$244,ROW()-12,FALSE))</f>
        <v/>
      </c>
      <c r="AG81" s="281"/>
      <c r="AH81" s="281" t="str">
        <f>IF(HLOOKUP(AH$13,'MP (nominal)'!$D$12:$AM$244,ROW()-12,FALSE)="","",HLOOKUP(AH$13,'MP (nominal)'!$D$12:$AM$244,ROW()-12,FALSE)*VLOOKUP($C81,CPI!$B$9:$I$63,8))</f>
        <v/>
      </c>
      <c r="AI81" s="31" t="str">
        <f>IF(HLOOKUP(AI$13,'MP (nominal)'!$D$12:$AM$244,ROW()-12,FALSE)="","",HLOOKUP(AI$13,'MP (nominal)'!$D$12:$AM$244,ROW()-12,FALSE))</f>
        <v/>
      </c>
      <c r="AJ81" s="31" t="str">
        <f>IF(HLOOKUP(AJ$13,'MP (nominal)'!$D$12:$AM$244,ROW()-12,FALSE)="","",HLOOKUP(AJ$13,'MP (nominal)'!$D$12:$AM$244,ROW()-12,FALSE))</f>
        <v/>
      </c>
      <c r="AK81" s="281"/>
      <c r="AL81" s="281" t="str">
        <f>IF(HLOOKUP(AL$13,'MP (nominal)'!$D$12:$AM$244,ROW()-12,FALSE)="","",HLOOKUP(AL$13,'MP (nominal)'!$D$12:$AM$244,ROW()-12,FALSE)*VLOOKUP($C81,CPI!$B$9:$I$63,8))</f>
        <v/>
      </c>
      <c r="AM81" s="31" t="str">
        <f>IF(HLOOKUP(AM$13,'MP (nominal)'!$D$12:$AM$244,ROW()-12,FALSE)="","",HLOOKUP(AM$13,'MP (nominal)'!$D$12:$AM$244,ROW()-12,FALSE))</f>
        <v/>
      </c>
      <c r="AN81" s="31" t="str">
        <f>IF(HLOOKUP(AN$13,'MP (nominal)'!$D$12:$AM$244,ROW()-12,FALSE)="","",HLOOKUP(AN$13,'MP (nominal)'!$D$12:$AM$244,ROW()-12,FALSE))</f>
        <v/>
      </c>
      <c r="AO81" s="281"/>
      <c r="AP81" s="281" t="str">
        <f>IF(HLOOKUP(AP$13,'MP (nominal)'!$D$12:$AM$244,ROW()-12,FALSE)="","",HLOOKUP(AP$13,'MP (nominal)'!$D$12:$AM$244,ROW()-12,FALSE)*VLOOKUP($C81,CPI!$B$9:$I$63,8))</f>
        <v/>
      </c>
      <c r="AQ81" s="31" t="str">
        <f>IF(HLOOKUP(AQ$13,'MP (nominal)'!$D$12:$AM$244,ROW()-12,FALSE)="","",HLOOKUP(AQ$13,'MP (nominal)'!$D$12:$AM$244,ROW()-12,FALSE))</f>
        <v/>
      </c>
      <c r="AR81" s="281" t="str">
        <f>IF(HLOOKUP(AR$13,'MP (nominal)'!$D$12:$AM$244,ROW()-12,FALSE)="","",HLOOKUP(AR$13,'MP (nominal)'!$D$12:$AM$244,ROW()-12,FALSE))</f>
        <v/>
      </c>
    </row>
    <row r="82" spans="1:44" s="278" customFormat="1">
      <c r="A82" s="271">
        <f>References!G266</f>
        <v>189</v>
      </c>
      <c r="B82" s="292" t="s">
        <v>37</v>
      </c>
      <c r="C82" s="284">
        <v>2008</v>
      </c>
      <c r="D82" s="27">
        <f>IF(HLOOKUP(D$13,'MP (nominal)'!$D$12:$AM$244,ROW()-12,FALSE)="","",HLOOKUP(D$13,'MP (nominal)'!$D$12:$AM$244,ROW()-12,FALSE))</f>
        <v>67.080539999999999</v>
      </c>
      <c r="E82" s="281">
        <f>IF(HLOOKUP(E$13,'MP (nominal)'!$D$12:$AM$244,ROW()-12,FALSE)="","",HLOOKUP(E$13,'MP (nominal)'!$D$12:$AM$244,ROW()-12,FALSE))</f>
        <v>34.129379999999998</v>
      </c>
      <c r="F82" s="27">
        <f>IF(HLOOKUP(F$13,'MP (nominal)'!$D$12:$AM$244,ROW()-12,FALSE)="","",HLOOKUP(F$13,'MP (nominal)'!$D$12:$AM$244,ROW()-12,FALSE))</f>
        <v>574.77219000000002</v>
      </c>
      <c r="G82" s="281">
        <f>IF(HLOOKUP(G$13,'MP (nominal)'!$D$12:$AM$244,ROW()-12,FALSE)="","",HLOOKUP(G$13,'MP (nominal)'!$D$12:$AM$244,ROW()-12,FALSE))</f>
        <v>137.19333</v>
      </c>
      <c r="H82" s="27">
        <f>IF(HLOOKUP(H$13,'MP (nominal)'!$D$12:$AM$244,ROW()-12,FALSE)="","",HLOOKUP(H$13,'MP (nominal)'!$D$12:$AM$244,ROW()-12,FALSE))</f>
        <v>641.85272999999995</v>
      </c>
      <c r="I82" s="31">
        <f>IF(HLOOKUP(I$13,'MP (nominal)'!$D$12:$AM$244,ROW()-12,FALSE)="","",HLOOKUP(I$13,'MP (nominal)'!$D$12:$AM$244,ROW()-12,FALSE))</f>
        <v>171.32271</v>
      </c>
      <c r="J82" s="31">
        <f>IF(HLOOKUP(J$13,'MP (nominal)'!$D$12:$AM$244,ROW()-12,FALSE)="","",HLOOKUP(J$13,'MP (nominal)'!$D$12:$AM$244,ROW()-12,FALSE))</f>
        <v>67.080539999999999</v>
      </c>
      <c r="K82" s="281"/>
      <c r="L82" s="27">
        <f>IF(HLOOKUP(L$13,'MP (nominal)'!$D$12:$AM$244,ROW()-12,FALSE)="","",HLOOKUP(L$13,'MP (nominal)'!$D$12:$AM$244,ROW()-12,FALSE))</f>
        <v>62.4</v>
      </c>
      <c r="M82" s="283">
        <f>IF(HLOOKUP(M$13,'MP (nominal)'!$D$12:$AM$244,ROW()-12,FALSE)="","",HLOOKUP(M$13,'MP (nominal)'!$D$12:$AM$244,ROW()-12,FALSE))</f>
        <v>267.47561999999999</v>
      </c>
      <c r="N82" s="35"/>
      <c r="O82" s="27">
        <f>IF(HLOOKUP(O$13,'MP (nominal)'!$D$12:$AM$244,ROW()-12,FALSE)="","",HLOOKUP(O$13,'MP (nominal)'!$D$12:$AM$244,ROW()-12,FALSE))</f>
        <v>17012</v>
      </c>
      <c r="P82" s="31"/>
      <c r="Q82" s="281"/>
      <c r="R82" s="281">
        <f>IF(HLOOKUP(R$13,'MP (nominal)'!$D$12:$AM$244,ROW()-12,FALSE)="","",HLOOKUP(R$13,'MP (nominal)'!$D$12:$AM$244,ROW()-12,FALSE))</f>
        <v>54.66</v>
      </c>
      <c r="S82" s="281">
        <f>IF(HLOOKUP(S$13,'MP (nominal)'!$D$12:$AM$244,ROW()-12,FALSE)="","",HLOOKUP(S$13,'MP (nominal)'!$D$12:$AM$244,ROW()-12,FALSE))</f>
        <v>0</v>
      </c>
      <c r="T82" s="281">
        <f>IF(HLOOKUP(T$13,'MP (nominal)'!$D$12:$AM$244,ROW()-12,FALSE)="","",HLOOKUP(T$13,'MP (nominal)'!$D$12:$AM$244,ROW()-12,FALSE))</f>
        <v>54.66</v>
      </c>
      <c r="U82" s="281"/>
      <c r="V82" s="281">
        <f>IF(HLOOKUP(V$13,'MP (nominal)'!$D$12:$AM$244,ROW()-12,FALSE)="","",HLOOKUP(V$13,'MP (nominal)'!$D$12:$AM$244,ROW()-12,FALSE))</f>
        <v>1.1499999999999999</v>
      </c>
      <c r="W82" s="281">
        <f>IF(HLOOKUP(W$13,'MP (nominal)'!$D$12:$AM$244,ROW()-12,FALSE)="","",HLOOKUP(W$13,'MP (nominal)'!$D$12:$AM$244,ROW()-12,FALSE))</f>
        <v>0</v>
      </c>
      <c r="X82" s="281">
        <f>IF(HLOOKUP(X$13,'MP (nominal)'!$D$12:$AM$244,ROW()-12,FALSE)="","",HLOOKUP(X$13,'MP (nominal)'!$D$12:$AM$244,ROW()-12,FALSE))</f>
        <v>1.1499999999999999</v>
      </c>
      <c r="Y82" s="281"/>
      <c r="Z82" s="281">
        <f>IF(HLOOKUP(Z$13,'MP (nominal)'!$D$12:$AM$244,ROW()-12,FALSE)="","",HLOOKUP(Z$13,'MP (nominal)'!$D$12:$AM$244,ROW()-12,FALSE)*VLOOKUP($C82,CPI!$B$9:$I$63,8))</f>
        <v>9703.0362336688431</v>
      </c>
      <c r="AA82" s="281">
        <f>IF(HLOOKUP(AA$13,'MP (nominal)'!$D$12:$AM$244,ROW()-12,FALSE)="","",HLOOKUP(AA$13,'MP (nominal)'!$D$12:$AM$244,ROW()-12,FALSE))</f>
        <v>141344.22</v>
      </c>
      <c r="AB82" s="281">
        <f>IF(HLOOKUP(AB$13,'MP (nominal)'!$D$12:$AM$244,ROW()-12,FALSE)="","",HLOOKUP(AB$13,'MP (nominal)'!$D$12:$AM$244,ROW()-12,FALSE))</f>
        <v>15620</v>
      </c>
      <c r="AC82" s="281"/>
      <c r="AD82" s="281">
        <f>IF(HLOOKUP(AD$13,'MP (nominal)'!$D$12:$AM$244,ROW()-12,FALSE)="","",HLOOKUP(AD$13,'MP (nominal)'!$D$12:$AM$244,ROW()-12,FALSE)*VLOOKUP($C82,CPI!$B$9:$I$63,8))</f>
        <v>2540.4205975307232</v>
      </c>
      <c r="AE82" s="31">
        <f>IF(HLOOKUP(AE$13,'MP (nominal)'!$D$12:$AM$244,ROW()-12,FALSE)="","",HLOOKUP(AE$13,'MP (nominal)'!$D$12:$AM$244,ROW()-12,FALSE))</f>
        <v>39563.695</v>
      </c>
      <c r="AF82" s="31">
        <f>IF(HLOOKUP(AF$13,'MP (nominal)'!$D$12:$AM$244,ROW()-12,FALSE)="","",HLOOKUP(AF$13,'MP (nominal)'!$D$12:$AM$244,ROW()-12,FALSE))</f>
        <v>1174</v>
      </c>
      <c r="AG82" s="281"/>
      <c r="AH82" s="281">
        <f>IF(HLOOKUP(AH$13,'MP (nominal)'!$D$12:$AM$244,ROW()-12,FALSE)="","",HLOOKUP(AH$13,'MP (nominal)'!$D$12:$AM$244,ROW()-12,FALSE)*VLOOKUP($C82,CPI!$B$9:$I$63,8))</f>
        <v>2257.3160798095291</v>
      </c>
      <c r="AI82" s="31">
        <f>IF(HLOOKUP(AI$13,'MP (nominal)'!$D$12:$AM$244,ROW()-12,FALSE)="","",HLOOKUP(AI$13,'MP (nominal)'!$D$12:$AM$244,ROW()-12,FALSE))</f>
        <v>70788.407999999996</v>
      </c>
      <c r="AJ82" s="31">
        <f>IF(HLOOKUP(AJ$13,'MP (nominal)'!$D$12:$AM$244,ROW()-12,FALSE)="","",HLOOKUP(AJ$13,'MP (nominal)'!$D$12:$AM$244,ROW()-12,FALSE))</f>
        <v>213</v>
      </c>
      <c r="AK82" s="281"/>
      <c r="AL82" s="281">
        <f>IF(HLOOKUP(AL$13,'MP (nominal)'!$D$12:$AM$244,ROW()-12,FALSE)="","",HLOOKUP(AL$13,'MP (nominal)'!$D$12:$AM$244,ROW()-12,FALSE)*VLOOKUP($C82,CPI!$B$9:$I$63,8))</f>
        <v>395.31704240540614</v>
      </c>
      <c r="AM82" s="31">
        <f>IF(HLOOKUP(AM$13,'MP (nominal)'!$D$12:$AM$244,ROW()-12,FALSE)="","",HLOOKUP(AM$13,'MP (nominal)'!$D$12:$AM$244,ROW()-12,FALSE))</f>
        <v>15779.304</v>
      </c>
      <c r="AN82" s="31">
        <f>IF(HLOOKUP(AN$13,'MP (nominal)'!$D$12:$AM$244,ROW()-12,FALSE)="","",HLOOKUP(AN$13,'MP (nominal)'!$D$12:$AM$244,ROW()-12,FALSE))</f>
        <v>5</v>
      </c>
      <c r="AO82" s="281"/>
      <c r="AP82" s="281">
        <f>IF(HLOOKUP(AP$13,'MP (nominal)'!$D$12:$AM$244,ROW()-12,FALSE)="","",HLOOKUP(AP$13,'MP (nominal)'!$D$12:$AM$244,ROW()-12,FALSE)*VLOOKUP($C82,CPI!$B$9:$I$63,8))</f>
        <v>14896.089931852526</v>
      </c>
      <c r="AQ82" s="31">
        <f>IF(HLOOKUP(AQ$13,'MP (nominal)'!$D$12:$AM$244,ROW()-12,FALSE)="","",HLOOKUP(AQ$13,'MP (nominal)'!$D$12:$AM$244,ROW()-12,FALSE))</f>
        <v>267475.62</v>
      </c>
      <c r="AR82" s="281">
        <f>IF(HLOOKUP(AR$13,'MP (nominal)'!$D$12:$AM$244,ROW()-12,FALSE)="","",HLOOKUP(AR$13,'MP (nominal)'!$D$12:$AM$244,ROW()-12,FALSE))</f>
        <v>17012</v>
      </c>
    </row>
    <row r="83" spans="1:44" s="278" customFormat="1">
      <c r="A83" s="271">
        <f>References!H266</f>
        <v>190</v>
      </c>
      <c r="B83" s="292" t="s">
        <v>37</v>
      </c>
      <c r="C83" s="284">
        <v>2009</v>
      </c>
      <c r="D83" s="27">
        <f>IF(HLOOKUP(D$13,'MP (nominal)'!$D$12:$AM$244,ROW()-12,FALSE)="","",HLOOKUP(D$13,'MP (nominal)'!$D$12:$AM$244,ROW()-12,FALSE))</f>
        <v>67.110619999999997</v>
      </c>
      <c r="E83" s="281">
        <f>IF(HLOOKUP(E$13,'MP (nominal)'!$D$12:$AM$244,ROW()-12,FALSE)="","",HLOOKUP(E$13,'MP (nominal)'!$D$12:$AM$244,ROW()-12,FALSE))</f>
        <v>34.082340000000002</v>
      </c>
      <c r="F83" s="27">
        <f>IF(HLOOKUP(F$13,'MP (nominal)'!$D$12:$AM$244,ROW()-12,FALSE)="","",HLOOKUP(F$13,'MP (nominal)'!$D$12:$AM$244,ROW()-12,FALSE))</f>
        <v>584.29570000000001</v>
      </c>
      <c r="G83" s="281">
        <f>IF(HLOOKUP(G$13,'MP (nominal)'!$D$12:$AM$244,ROW()-12,FALSE)="","",HLOOKUP(G$13,'MP (nominal)'!$D$12:$AM$244,ROW()-12,FALSE))</f>
        <v>137.40089</v>
      </c>
      <c r="H83" s="27">
        <f>IF(HLOOKUP(H$13,'MP (nominal)'!$D$12:$AM$244,ROW()-12,FALSE)="","",HLOOKUP(H$13,'MP (nominal)'!$D$12:$AM$244,ROW()-12,FALSE))</f>
        <v>651.40632000000005</v>
      </c>
      <c r="I83" s="31">
        <f>IF(HLOOKUP(I$13,'MP (nominal)'!$D$12:$AM$244,ROW()-12,FALSE)="","",HLOOKUP(I$13,'MP (nominal)'!$D$12:$AM$244,ROW()-12,FALSE))</f>
        <v>171.48322999999999</v>
      </c>
      <c r="J83" s="31">
        <f>IF(HLOOKUP(J$13,'MP (nominal)'!$D$12:$AM$244,ROW()-12,FALSE)="","",HLOOKUP(J$13,'MP (nominal)'!$D$12:$AM$244,ROW()-12,FALSE))</f>
        <v>67.110619999999997</v>
      </c>
      <c r="K83" s="281"/>
      <c r="L83" s="27">
        <f>IF(HLOOKUP(L$13,'MP (nominal)'!$D$12:$AM$244,ROW()-12,FALSE)="","",HLOOKUP(L$13,'MP (nominal)'!$D$12:$AM$244,ROW()-12,FALSE))</f>
        <v>61.363999999999997</v>
      </c>
      <c r="M83" s="283">
        <f>IF(HLOOKUP(M$13,'MP (nominal)'!$D$12:$AM$244,ROW()-12,FALSE)="","",HLOOKUP(M$13,'MP (nominal)'!$D$12:$AM$244,ROW()-12,FALSE))</f>
        <v>269.59890999999999</v>
      </c>
      <c r="N83" s="35"/>
      <c r="O83" s="27">
        <f>IF(HLOOKUP(O$13,'MP (nominal)'!$D$12:$AM$244,ROW()-12,FALSE)="","",HLOOKUP(O$13,'MP (nominal)'!$D$12:$AM$244,ROW()-12,FALSE))</f>
        <v>17126</v>
      </c>
      <c r="P83" s="31"/>
      <c r="Q83" s="281"/>
      <c r="R83" s="281">
        <f>IF(HLOOKUP(R$13,'MP (nominal)'!$D$12:$AM$244,ROW()-12,FALSE)="","",HLOOKUP(R$13,'MP (nominal)'!$D$12:$AM$244,ROW()-12,FALSE))</f>
        <v>51.43</v>
      </c>
      <c r="S83" s="281">
        <f>IF(HLOOKUP(S$13,'MP (nominal)'!$D$12:$AM$244,ROW()-12,FALSE)="","",HLOOKUP(S$13,'MP (nominal)'!$D$12:$AM$244,ROW()-12,FALSE))</f>
        <v>6.0000000000000001E-3</v>
      </c>
      <c r="T83" s="281">
        <f>IF(HLOOKUP(T$13,'MP (nominal)'!$D$12:$AM$244,ROW()-12,FALSE)="","",HLOOKUP(T$13,'MP (nominal)'!$D$12:$AM$244,ROW()-12,FALSE))</f>
        <v>32.866</v>
      </c>
      <c r="U83" s="281"/>
      <c r="V83" s="281">
        <f>IF(HLOOKUP(V$13,'MP (nominal)'!$D$12:$AM$244,ROW()-12,FALSE)="","",HLOOKUP(V$13,'MP (nominal)'!$D$12:$AM$244,ROW()-12,FALSE))</f>
        <v>1.258</v>
      </c>
      <c r="W83" s="281">
        <f>IF(HLOOKUP(W$13,'MP (nominal)'!$D$12:$AM$244,ROW()-12,FALSE)="","",HLOOKUP(W$13,'MP (nominal)'!$D$12:$AM$244,ROW()-12,FALSE))</f>
        <v>5.9999999999999995E-4</v>
      </c>
      <c r="X83" s="281">
        <f>IF(HLOOKUP(X$13,'MP (nominal)'!$D$12:$AM$244,ROW()-12,FALSE)="","",HLOOKUP(X$13,'MP (nominal)'!$D$12:$AM$244,ROW()-12,FALSE))</f>
        <v>0.84460000000000002</v>
      </c>
      <c r="Y83" s="281"/>
      <c r="Z83" s="281">
        <f>IF(HLOOKUP(Z$13,'MP (nominal)'!$D$12:$AM$244,ROW()-12,FALSE)="","",HLOOKUP(Z$13,'MP (nominal)'!$D$12:$AM$244,ROW()-12,FALSE)*VLOOKUP($C83,CPI!$B$9:$I$63,8))</f>
        <v>9736.9533837325798</v>
      </c>
      <c r="AA83" s="281">
        <f>IF(HLOOKUP(AA$13,'MP (nominal)'!$D$12:$AM$244,ROW()-12,FALSE)="","",HLOOKUP(AA$13,'MP (nominal)'!$D$12:$AM$244,ROW()-12,FALSE))</f>
        <v>147817.84</v>
      </c>
      <c r="AB83" s="281">
        <f>IF(HLOOKUP(AB$13,'MP (nominal)'!$D$12:$AM$244,ROW()-12,FALSE)="","",HLOOKUP(AB$13,'MP (nominal)'!$D$12:$AM$244,ROW()-12,FALSE))</f>
        <v>15669</v>
      </c>
      <c r="AC83" s="281"/>
      <c r="AD83" s="281">
        <f>IF(HLOOKUP(AD$13,'MP (nominal)'!$D$12:$AM$244,ROW()-12,FALSE)="","",HLOOKUP(AD$13,'MP (nominal)'!$D$12:$AM$244,ROW()-12,FALSE)*VLOOKUP($C83,CPI!$B$9:$I$63,8))</f>
        <v>2586.5900673759347</v>
      </c>
      <c r="AE83" s="31">
        <f>IF(HLOOKUP(AE$13,'MP (nominal)'!$D$12:$AM$244,ROW()-12,FALSE)="","",HLOOKUP(AE$13,'MP (nominal)'!$D$12:$AM$244,ROW()-12,FALSE))</f>
        <v>40239.705999999998</v>
      </c>
      <c r="AF83" s="31">
        <f>IF(HLOOKUP(AF$13,'MP (nominal)'!$D$12:$AM$244,ROW()-12,FALSE)="","",HLOOKUP(AF$13,'MP (nominal)'!$D$12:$AM$244,ROW()-12,FALSE))</f>
        <v>1235</v>
      </c>
      <c r="AG83" s="281"/>
      <c r="AH83" s="281">
        <f>IF(HLOOKUP(AH$13,'MP (nominal)'!$D$12:$AM$244,ROW()-12,FALSE)="","",HLOOKUP(AH$13,'MP (nominal)'!$D$12:$AM$244,ROW()-12,FALSE)*VLOOKUP($C83,CPI!$B$9:$I$63,8))</f>
        <v>2421.0607992312434</v>
      </c>
      <c r="AI83" s="31">
        <f>IF(HLOOKUP(AI$13,'MP (nominal)'!$D$12:$AM$244,ROW()-12,FALSE)="","",HLOOKUP(AI$13,'MP (nominal)'!$D$12:$AM$244,ROW()-12,FALSE))</f>
        <v>65579.947</v>
      </c>
      <c r="AJ83" s="31">
        <f>IF(HLOOKUP(AJ$13,'MP (nominal)'!$D$12:$AM$244,ROW()-12,FALSE)="","",HLOOKUP(AJ$13,'MP (nominal)'!$D$12:$AM$244,ROW()-12,FALSE))</f>
        <v>217</v>
      </c>
      <c r="AK83" s="281"/>
      <c r="AL83" s="281">
        <f>IF(HLOOKUP(AL$13,'MP (nominal)'!$D$12:$AM$244,ROW()-12,FALSE)="","",HLOOKUP(AL$13,'MP (nominal)'!$D$12:$AM$244,ROW()-12,FALSE)*VLOOKUP($C83,CPI!$B$9:$I$63,8))</f>
        <v>420.512703768275</v>
      </c>
      <c r="AM83" s="31">
        <f>IF(HLOOKUP(AM$13,'MP (nominal)'!$D$12:$AM$244,ROW()-12,FALSE)="","",HLOOKUP(AM$13,'MP (nominal)'!$D$12:$AM$244,ROW()-12,FALSE))</f>
        <v>15961.419</v>
      </c>
      <c r="AN83" s="31">
        <f>IF(HLOOKUP(AN$13,'MP (nominal)'!$D$12:$AM$244,ROW()-12,FALSE)="","",HLOOKUP(AN$13,'MP (nominal)'!$D$12:$AM$244,ROW()-12,FALSE))</f>
        <v>5</v>
      </c>
      <c r="AO83" s="281"/>
      <c r="AP83" s="281">
        <f>IF(HLOOKUP(AP$13,'MP (nominal)'!$D$12:$AM$244,ROW()-12,FALSE)="","",HLOOKUP(AP$13,'MP (nominal)'!$D$12:$AM$244,ROW()-12,FALSE)*VLOOKUP($C83,CPI!$B$9:$I$63,8))</f>
        <v>15165.116850298575</v>
      </c>
      <c r="AQ83" s="31">
        <f>IF(HLOOKUP(AQ$13,'MP (nominal)'!$D$12:$AM$244,ROW()-12,FALSE)="","",HLOOKUP(AQ$13,'MP (nominal)'!$D$12:$AM$244,ROW()-12,FALSE))</f>
        <v>269598.90999999997</v>
      </c>
      <c r="AR83" s="281">
        <f>IF(HLOOKUP(AR$13,'MP (nominal)'!$D$12:$AM$244,ROW()-12,FALSE)="","",HLOOKUP(AR$13,'MP (nominal)'!$D$12:$AM$244,ROW()-12,FALSE))</f>
        <v>17126</v>
      </c>
    </row>
    <row r="84" spans="1:44" s="278" customFormat="1">
      <c r="A84" s="271">
        <f>References!I266</f>
        <v>191</v>
      </c>
      <c r="B84" s="292" t="s">
        <v>37</v>
      </c>
      <c r="C84" s="284">
        <v>2010</v>
      </c>
      <c r="D84" s="27">
        <f>IF(HLOOKUP(D$13,'MP (nominal)'!$D$12:$AM$244,ROW()-12,FALSE)="","",HLOOKUP(D$13,'MP (nominal)'!$D$12:$AM$244,ROW()-12,FALSE))</f>
        <v>58.964489999999998</v>
      </c>
      <c r="E84" s="281">
        <f>IF(HLOOKUP(E$13,'MP (nominal)'!$D$12:$AM$244,ROW()-12,FALSE)="","",HLOOKUP(E$13,'MP (nominal)'!$D$12:$AM$244,ROW()-12,FALSE))</f>
        <v>30.762160000000002</v>
      </c>
      <c r="F84" s="27">
        <f>IF(HLOOKUP(F$13,'MP (nominal)'!$D$12:$AM$244,ROW()-12,FALSE)="","",HLOOKUP(F$13,'MP (nominal)'!$D$12:$AM$244,ROW()-12,FALSE))</f>
        <v>593.98442</v>
      </c>
      <c r="G84" s="281">
        <f>IF(HLOOKUP(G$13,'MP (nominal)'!$D$12:$AM$244,ROW()-12,FALSE)="","",HLOOKUP(G$13,'MP (nominal)'!$D$12:$AM$244,ROW()-12,FALSE))</f>
        <v>137.65316999999999</v>
      </c>
      <c r="H84" s="27">
        <f>IF(HLOOKUP(H$13,'MP (nominal)'!$D$12:$AM$244,ROW()-12,FALSE)="","",HLOOKUP(H$13,'MP (nominal)'!$D$12:$AM$244,ROW()-12,FALSE))</f>
        <v>652.94890999999996</v>
      </c>
      <c r="I84" s="31">
        <f>IF(HLOOKUP(I$13,'MP (nominal)'!$D$12:$AM$244,ROW()-12,FALSE)="","",HLOOKUP(I$13,'MP (nominal)'!$D$12:$AM$244,ROW()-12,FALSE))</f>
        <v>168.41533000000001</v>
      </c>
      <c r="J84" s="31">
        <f>IF(HLOOKUP(J$13,'MP (nominal)'!$D$12:$AM$244,ROW()-12,FALSE)="","",HLOOKUP(J$13,'MP (nominal)'!$D$12:$AM$244,ROW()-12,FALSE))</f>
        <v>58.964489999999998</v>
      </c>
      <c r="K84" s="281"/>
      <c r="L84" s="27">
        <f>IF(HLOOKUP(L$13,'MP (nominal)'!$D$12:$AM$244,ROW()-12,FALSE)="","",HLOOKUP(L$13,'MP (nominal)'!$D$12:$AM$244,ROW()-12,FALSE))</f>
        <v>62.728000000000002</v>
      </c>
      <c r="M84" s="283">
        <f>IF(HLOOKUP(M$13,'MP (nominal)'!$D$12:$AM$244,ROW()-12,FALSE)="","",HLOOKUP(M$13,'MP (nominal)'!$D$12:$AM$244,ROW()-12,FALSE))</f>
        <v>274.57558999999998</v>
      </c>
      <c r="N84" s="35"/>
      <c r="O84" s="27">
        <f>IF(HLOOKUP(O$13,'MP (nominal)'!$D$12:$AM$244,ROW()-12,FALSE)="","",HLOOKUP(O$13,'MP (nominal)'!$D$12:$AM$244,ROW()-12,FALSE))</f>
        <v>17198</v>
      </c>
      <c r="P84" s="31"/>
      <c r="Q84" s="281"/>
      <c r="R84" s="281">
        <f>IF(HLOOKUP(R$13,'MP (nominal)'!$D$12:$AM$244,ROW()-12,FALSE)="","",HLOOKUP(R$13,'MP (nominal)'!$D$12:$AM$244,ROW()-12,FALSE))</f>
        <v>29.992000000000001</v>
      </c>
      <c r="S84" s="281">
        <f>IF(HLOOKUP(S$13,'MP (nominal)'!$D$12:$AM$244,ROW()-12,FALSE)="","",HLOOKUP(S$13,'MP (nominal)'!$D$12:$AM$244,ROW()-12,FALSE))</f>
        <v>2.7589999999999999</v>
      </c>
      <c r="T84" s="281">
        <f>IF(HLOOKUP(T$13,'MP (nominal)'!$D$12:$AM$244,ROW()-12,FALSE)="","",HLOOKUP(T$13,'MP (nominal)'!$D$12:$AM$244,ROW()-12,FALSE))</f>
        <v>27.231999999999999</v>
      </c>
      <c r="U84" s="281"/>
      <c r="V84" s="281">
        <f>IF(HLOOKUP(V$13,'MP (nominal)'!$D$12:$AM$244,ROW()-12,FALSE)="","",HLOOKUP(V$13,'MP (nominal)'!$D$12:$AM$244,ROW()-12,FALSE))</f>
        <v>0.84299999999999997</v>
      </c>
      <c r="W84" s="281">
        <f>IF(HLOOKUP(W$13,'MP (nominal)'!$D$12:$AM$244,ROW()-12,FALSE)="","",HLOOKUP(W$13,'MP (nominal)'!$D$12:$AM$244,ROW()-12,FALSE))</f>
        <v>1.72E-2</v>
      </c>
      <c r="X84" s="281">
        <f>IF(HLOOKUP(X$13,'MP (nominal)'!$D$12:$AM$244,ROW()-12,FALSE)="","",HLOOKUP(X$13,'MP (nominal)'!$D$12:$AM$244,ROW()-12,FALSE))</f>
        <v>0.82579999999999998</v>
      </c>
      <c r="Y84" s="281"/>
      <c r="Z84" s="281">
        <f>IF(HLOOKUP(Z$13,'MP (nominal)'!$D$12:$AM$244,ROW()-12,FALSE)="","",HLOOKUP(Z$13,'MP (nominal)'!$D$12:$AM$244,ROW()-12,FALSE)*VLOOKUP($C84,CPI!$B$9:$I$63,8))</f>
        <v>10170.497748376491</v>
      </c>
      <c r="AA84" s="281">
        <f>IF(HLOOKUP(AA$13,'MP (nominal)'!$D$12:$AM$244,ROW()-12,FALSE)="","",HLOOKUP(AA$13,'MP (nominal)'!$D$12:$AM$244,ROW()-12,FALSE))</f>
        <v>151100.13</v>
      </c>
      <c r="AB84" s="281">
        <f>IF(HLOOKUP(AB$13,'MP (nominal)'!$D$12:$AM$244,ROW()-12,FALSE)="","",HLOOKUP(AB$13,'MP (nominal)'!$D$12:$AM$244,ROW()-12,FALSE))</f>
        <v>15743</v>
      </c>
      <c r="AC84" s="281"/>
      <c r="AD84" s="281">
        <f>IF(HLOOKUP(AD$13,'MP (nominal)'!$D$12:$AM$244,ROW()-12,FALSE)="","",HLOOKUP(AD$13,'MP (nominal)'!$D$12:$AM$244,ROW()-12,FALSE)*VLOOKUP($C84,CPI!$B$9:$I$63,8))</f>
        <v>2993.4569557274117</v>
      </c>
      <c r="AE84" s="31">
        <f>IF(HLOOKUP(AE$13,'MP (nominal)'!$D$12:$AM$244,ROW()-12,FALSE)="","",HLOOKUP(AE$13,'MP (nominal)'!$D$12:$AM$244,ROW()-12,FALSE))</f>
        <v>49503.803</v>
      </c>
      <c r="AF84" s="31">
        <f>IF(HLOOKUP(AF$13,'MP (nominal)'!$D$12:$AM$244,ROW()-12,FALSE)="","",HLOOKUP(AF$13,'MP (nominal)'!$D$12:$AM$244,ROW()-12,FALSE))</f>
        <v>1233</v>
      </c>
      <c r="AG84" s="281"/>
      <c r="AH84" s="281">
        <f>IF(HLOOKUP(AH$13,'MP (nominal)'!$D$12:$AM$244,ROW()-12,FALSE)="","",HLOOKUP(AH$13,'MP (nominal)'!$D$12:$AM$244,ROW()-12,FALSE)*VLOOKUP($C84,CPI!$B$9:$I$63,8))</f>
        <v>2004.6854664385219</v>
      </c>
      <c r="AI84" s="31">
        <f>IF(HLOOKUP(AI$13,'MP (nominal)'!$D$12:$AM$244,ROW()-12,FALSE)="","",HLOOKUP(AI$13,'MP (nominal)'!$D$12:$AM$244,ROW()-12,FALSE))</f>
        <v>58063.12</v>
      </c>
      <c r="AJ84" s="31">
        <f>IF(HLOOKUP(AJ$13,'MP (nominal)'!$D$12:$AM$244,ROW()-12,FALSE)="","",HLOOKUP(AJ$13,'MP (nominal)'!$D$12:$AM$244,ROW()-12,FALSE))</f>
        <v>217</v>
      </c>
      <c r="AK84" s="281"/>
      <c r="AL84" s="281">
        <f>IF(HLOOKUP(AL$13,'MP (nominal)'!$D$12:$AM$244,ROW()-12,FALSE)="","",HLOOKUP(AL$13,'MP (nominal)'!$D$12:$AM$244,ROW()-12,FALSE)*VLOOKUP($C84,CPI!$B$9:$I$63,8))</f>
        <v>460.29469756945372</v>
      </c>
      <c r="AM84" s="31">
        <f>IF(HLOOKUP(AM$13,'MP (nominal)'!$D$12:$AM$244,ROW()-12,FALSE)="","",HLOOKUP(AM$13,'MP (nominal)'!$D$12:$AM$244,ROW()-12,FALSE))</f>
        <v>15908.532999999999</v>
      </c>
      <c r="AN84" s="31">
        <f>IF(HLOOKUP(AN$13,'MP (nominal)'!$D$12:$AM$244,ROW()-12,FALSE)="","",HLOOKUP(AN$13,'MP (nominal)'!$D$12:$AM$244,ROW()-12,FALSE))</f>
        <v>5</v>
      </c>
      <c r="AO84" s="281"/>
      <c r="AP84" s="281">
        <f>IF(HLOOKUP(AP$13,'MP (nominal)'!$D$12:$AM$244,ROW()-12,FALSE)="","",HLOOKUP(AP$13,'MP (nominal)'!$D$12:$AM$244,ROW()-12,FALSE)*VLOOKUP($C84,CPI!$B$9:$I$63,8))</f>
        <v>15628.934817170109</v>
      </c>
      <c r="AQ84" s="31">
        <f>IF(HLOOKUP(AQ$13,'MP (nominal)'!$D$12:$AM$244,ROW()-12,FALSE)="","",HLOOKUP(AQ$13,'MP (nominal)'!$D$12:$AM$244,ROW()-12,FALSE))</f>
        <v>274575.59000000003</v>
      </c>
      <c r="AR84" s="281">
        <f>IF(HLOOKUP(AR$13,'MP (nominal)'!$D$12:$AM$244,ROW()-12,FALSE)="","",HLOOKUP(AR$13,'MP (nominal)'!$D$12:$AM$244,ROW()-12,FALSE))</f>
        <v>17198</v>
      </c>
    </row>
    <row r="85" spans="1:44" s="278" customFormat="1">
      <c r="A85" s="271">
        <f>References!J266</f>
        <v>192</v>
      </c>
      <c r="B85" s="292" t="s">
        <v>37</v>
      </c>
      <c r="C85" s="284">
        <v>2011</v>
      </c>
      <c r="D85" s="27">
        <f>IF(HLOOKUP(D$13,'MP (nominal)'!$D$12:$AM$244,ROW()-12,FALSE)="","",HLOOKUP(D$13,'MP (nominal)'!$D$12:$AM$244,ROW()-12,FALSE))</f>
        <v>54.405610000000003</v>
      </c>
      <c r="E85" s="281">
        <f>IF(HLOOKUP(E$13,'MP (nominal)'!$D$12:$AM$244,ROW()-12,FALSE)="","",HLOOKUP(E$13,'MP (nominal)'!$D$12:$AM$244,ROW()-12,FALSE))</f>
        <v>28.104579999999999</v>
      </c>
      <c r="F85" s="27">
        <f>IF(HLOOKUP(F$13,'MP (nominal)'!$D$12:$AM$244,ROW()-12,FALSE)="","",HLOOKUP(F$13,'MP (nominal)'!$D$12:$AM$244,ROW()-12,FALSE))</f>
        <v>599.90554999999995</v>
      </c>
      <c r="G85" s="281">
        <f>IF(HLOOKUP(G$13,'MP (nominal)'!$D$12:$AM$244,ROW()-12,FALSE)="","",HLOOKUP(G$13,'MP (nominal)'!$D$12:$AM$244,ROW()-12,FALSE))</f>
        <v>139.7346</v>
      </c>
      <c r="H85" s="27">
        <f>IF(HLOOKUP(H$13,'MP (nominal)'!$D$12:$AM$244,ROW()-12,FALSE)="","",HLOOKUP(H$13,'MP (nominal)'!$D$12:$AM$244,ROW()-12,FALSE))</f>
        <v>654.31115999999997</v>
      </c>
      <c r="I85" s="31">
        <f>IF(HLOOKUP(I$13,'MP (nominal)'!$D$12:$AM$244,ROW()-12,FALSE)="","",HLOOKUP(I$13,'MP (nominal)'!$D$12:$AM$244,ROW()-12,FALSE))</f>
        <v>167.83918</v>
      </c>
      <c r="J85" s="31">
        <f>IF(HLOOKUP(J$13,'MP (nominal)'!$D$12:$AM$244,ROW()-12,FALSE)="","",HLOOKUP(J$13,'MP (nominal)'!$D$12:$AM$244,ROW()-12,FALSE))</f>
        <v>54.405610000000003</v>
      </c>
      <c r="K85" s="281"/>
      <c r="L85" s="27">
        <f>IF(HLOOKUP(L$13,'MP (nominal)'!$D$12:$AM$244,ROW()-12,FALSE)="","",HLOOKUP(L$13,'MP (nominal)'!$D$12:$AM$244,ROW()-12,FALSE))</f>
        <v>64.585999999999999</v>
      </c>
      <c r="M85" s="283">
        <f>IF(HLOOKUP(M$13,'MP (nominal)'!$D$12:$AM$244,ROW()-12,FALSE)="","",HLOOKUP(M$13,'MP (nominal)'!$D$12:$AM$244,ROW()-12,FALSE))</f>
        <v>273.73370999999997</v>
      </c>
      <c r="N85" s="35"/>
      <c r="O85" s="27">
        <f>IF(HLOOKUP(O$13,'MP (nominal)'!$D$12:$AM$244,ROW()-12,FALSE)="","",HLOOKUP(O$13,'MP (nominal)'!$D$12:$AM$244,ROW()-12,FALSE))</f>
        <v>17266</v>
      </c>
      <c r="P85" s="31"/>
      <c r="Q85" s="281"/>
      <c r="R85" s="281">
        <f>IF(HLOOKUP(R$13,'MP (nominal)'!$D$12:$AM$244,ROW()-12,FALSE)="","",HLOOKUP(R$13,'MP (nominal)'!$D$12:$AM$244,ROW()-12,FALSE))</f>
        <v>44.77</v>
      </c>
      <c r="S85" s="281">
        <f>IF(HLOOKUP(S$13,'MP (nominal)'!$D$12:$AM$244,ROW()-12,FALSE)="","",HLOOKUP(S$13,'MP (nominal)'!$D$12:$AM$244,ROW()-12,FALSE))</f>
        <v>6.59</v>
      </c>
      <c r="T85" s="281">
        <f>IF(HLOOKUP(T$13,'MP (nominal)'!$D$12:$AM$244,ROW()-12,FALSE)="","",HLOOKUP(T$13,'MP (nominal)'!$D$12:$AM$244,ROW()-12,FALSE))</f>
        <v>38.18</v>
      </c>
      <c r="U85" s="281"/>
      <c r="V85" s="281">
        <f>IF(HLOOKUP(V$13,'MP (nominal)'!$D$12:$AM$244,ROW()-12,FALSE)="","",HLOOKUP(V$13,'MP (nominal)'!$D$12:$AM$244,ROW()-12,FALSE))</f>
        <v>1.18</v>
      </c>
      <c r="W85" s="281">
        <f>IF(HLOOKUP(W$13,'MP (nominal)'!$D$12:$AM$244,ROW()-12,FALSE)="","",HLOOKUP(W$13,'MP (nominal)'!$D$12:$AM$244,ROW()-12,FALSE))</f>
        <v>0.03</v>
      </c>
      <c r="X85" s="281">
        <f>IF(HLOOKUP(X$13,'MP (nominal)'!$D$12:$AM$244,ROW()-12,FALSE)="","",HLOOKUP(X$13,'MP (nominal)'!$D$12:$AM$244,ROW()-12,FALSE))</f>
        <v>1.1499999999999999</v>
      </c>
      <c r="Y85" s="281"/>
      <c r="Z85" s="281">
        <f>IF(HLOOKUP(Z$13,'MP (nominal)'!$D$12:$AM$244,ROW()-12,FALSE)="","",HLOOKUP(Z$13,'MP (nominal)'!$D$12:$AM$244,ROW()-12,FALSE)*VLOOKUP($C85,CPI!$B$9:$I$63,8))</f>
        <v>10685.285</v>
      </c>
      <c r="AA85" s="281">
        <f>IF(HLOOKUP(AA$13,'MP (nominal)'!$D$12:$AM$244,ROW()-12,FALSE)="","",HLOOKUP(AA$13,'MP (nominal)'!$D$12:$AM$244,ROW()-12,FALSE))</f>
        <v>150704.42000000001</v>
      </c>
      <c r="AB85" s="281">
        <f>IF(HLOOKUP(AB$13,'MP (nominal)'!$D$12:$AM$244,ROW()-12,FALSE)="","",HLOOKUP(AB$13,'MP (nominal)'!$D$12:$AM$244,ROW()-12,FALSE))</f>
        <v>15802</v>
      </c>
      <c r="AC85" s="281"/>
      <c r="AD85" s="281">
        <f>IF(HLOOKUP(AD$13,'MP (nominal)'!$D$12:$AM$244,ROW()-12,FALSE)="","",HLOOKUP(AD$13,'MP (nominal)'!$D$12:$AM$244,ROW()-12,FALSE)*VLOOKUP($C85,CPI!$B$9:$I$63,8))</f>
        <v>3009.2372</v>
      </c>
      <c r="AE85" s="31">
        <f>IF(HLOOKUP(AE$13,'MP (nominal)'!$D$12:$AM$244,ROW()-12,FALSE)="","",HLOOKUP(AE$13,'MP (nominal)'!$D$12:$AM$244,ROW()-12,FALSE))</f>
        <v>49548.273000000001</v>
      </c>
      <c r="AF85" s="31">
        <f>IF(HLOOKUP(AF$13,'MP (nominal)'!$D$12:$AM$244,ROW()-12,FALSE)="","",HLOOKUP(AF$13,'MP (nominal)'!$D$12:$AM$244,ROW()-12,FALSE))</f>
        <v>1237</v>
      </c>
      <c r="AG85" s="281"/>
      <c r="AH85" s="281">
        <f>IF(HLOOKUP(AH$13,'MP (nominal)'!$D$12:$AM$244,ROW()-12,FALSE)="","",HLOOKUP(AH$13,'MP (nominal)'!$D$12:$AM$244,ROW()-12,FALSE)*VLOOKUP($C85,CPI!$B$9:$I$63,8))</f>
        <v>2099.9636999999998</v>
      </c>
      <c r="AI85" s="31">
        <f>IF(HLOOKUP(AI$13,'MP (nominal)'!$D$12:$AM$244,ROW()-12,FALSE)="","",HLOOKUP(AI$13,'MP (nominal)'!$D$12:$AM$244,ROW()-12,FALSE))</f>
        <v>57286.646000000001</v>
      </c>
      <c r="AJ85" s="31">
        <f>IF(HLOOKUP(AJ$13,'MP (nominal)'!$D$12:$AM$244,ROW()-12,FALSE)="","",HLOOKUP(AJ$13,'MP (nominal)'!$D$12:$AM$244,ROW()-12,FALSE))</f>
        <v>222</v>
      </c>
      <c r="AK85" s="281"/>
      <c r="AL85" s="281">
        <f>IF(HLOOKUP(AL$13,'MP (nominal)'!$D$12:$AM$244,ROW()-12,FALSE)="","",HLOOKUP(AL$13,'MP (nominal)'!$D$12:$AM$244,ROW()-12,FALSE)*VLOOKUP($C85,CPI!$B$9:$I$63,8))</f>
        <v>459.84805</v>
      </c>
      <c r="AM85" s="31">
        <f>IF(HLOOKUP(AM$13,'MP (nominal)'!$D$12:$AM$244,ROW()-12,FALSE)="","",HLOOKUP(AM$13,'MP (nominal)'!$D$12:$AM$244,ROW()-12,FALSE))</f>
        <v>16194.377</v>
      </c>
      <c r="AN85" s="31">
        <f>IF(HLOOKUP(AN$13,'MP (nominal)'!$D$12:$AM$244,ROW()-12,FALSE)="","",HLOOKUP(AN$13,'MP (nominal)'!$D$12:$AM$244,ROW()-12,FALSE))</f>
        <v>5</v>
      </c>
      <c r="AO85" s="281"/>
      <c r="AP85" s="281">
        <f>IF(HLOOKUP(AP$13,'MP (nominal)'!$D$12:$AM$244,ROW()-12,FALSE)="","",HLOOKUP(AP$13,'MP (nominal)'!$D$12:$AM$244,ROW()-12,FALSE)*VLOOKUP($C85,CPI!$B$9:$I$63,8))</f>
        <v>16254.334000000001</v>
      </c>
      <c r="AQ85" s="31">
        <f>IF(HLOOKUP(AQ$13,'MP (nominal)'!$D$12:$AM$244,ROW()-12,FALSE)="","",HLOOKUP(AQ$13,'MP (nominal)'!$D$12:$AM$244,ROW()-12,FALSE))</f>
        <v>273733.71000000002</v>
      </c>
      <c r="AR85" s="281">
        <f>IF(HLOOKUP(AR$13,'MP (nominal)'!$D$12:$AM$244,ROW()-12,FALSE)="","",HLOOKUP(AR$13,'MP (nominal)'!$D$12:$AM$244,ROW()-12,FALSE))</f>
        <v>17266</v>
      </c>
    </row>
    <row r="86" spans="1:44" s="278" customFormat="1" hidden="1">
      <c r="A86" s="271">
        <f>References!C267</f>
        <v>208</v>
      </c>
      <c r="B86" s="292" t="s">
        <v>38</v>
      </c>
      <c r="C86" s="284">
        <v>2004</v>
      </c>
      <c r="D86" s="27" t="str">
        <f>IF(HLOOKUP(D$13,'MP (nominal)'!$D$12:$AM$244,ROW()-12,FALSE)="","",HLOOKUP(D$13,'MP (nominal)'!$D$12:$AM$244,ROW()-12,FALSE))</f>
        <v/>
      </c>
      <c r="E86" s="281" t="str">
        <f>IF(HLOOKUP(E$13,'MP (nominal)'!$D$12:$AM$244,ROW()-12,FALSE)="","",HLOOKUP(E$13,'MP (nominal)'!$D$12:$AM$244,ROW()-12,FALSE))</f>
        <v/>
      </c>
      <c r="F86" s="27">
        <f>IF(HLOOKUP(F$13,'MP (nominal)'!$D$12:$AM$244,ROW()-12,FALSE)="","",HLOOKUP(F$13,'MP (nominal)'!$D$12:$AM$244,ROW()-12,FALSE))</f>
        <v>397</v>
      </c>
      <c r="G86" s="281" t="str">
        <f>IF(HLOOKUP(G$13,'MP (nominal)'!$D$12:$AM$244,ROW()-12,FALSE)="","",HLOOKUP(G$13,'MP (nominal)'!$D$12:$AM$244,ROW()-12,FALSE))</f>
        <v/>
      </c>
      <c r="H86" s="27">
        <f>IF(HLOOKUP(H$13,'MP (nominal)'!$D$12:$AM$244,ROW()-12,FALSE)="","",HLOOKUP(H$13,'MP (nominal)'!$D$12:$AM$244,ROW()-12,FALSE))</f>
        <v>2404</v>
      </c>
      <c r="I86" s="31" t="str">
        <f>IF(HLOOKUP(I$13,'MP (nominal)'!$D$12:$AM$244,ROW()-12,FALSE)="","",HLOOKUP(I$13,'MP (nominal)'!$D$12:$AM$244,ROW()-12,FALSE))</f>
        <v/>
      </c>
      <c r="J86" s="31">
        <f>IF(HLOOKUP(J$13,'MP (nominal)'!$D$12:$AM$244,ROW()-12,FALSE)="","",HLOOKUP(J$13,'MP (nominal)'!$D$12:$AM$244,ROW()-12,FALSE))</f>
        <v>2007</v>
      </c>
      <c r="K86" s="281"/>
      <c r="L86" s="27">
        <f>IF(HLOOKUP(L$13,'MP (nominal)'!$D$12:$AM$244,ROW()-12,FALSE)="","",HLOOKUP(L$13,'MP (nominal)'!$D$12:$AM$244,ROW()-12,FALSE))</f>
        <v>86.444000000000003</v>
      </c>
      <c r="M86" s="293">
        <f>IF(HLOOKUP(M$13,'MP (nominal)'!$D$12:$AM$244,ROW()-12,FALSE)="","",HLOOKUP(M$13,'MP (nominal)'!$D$12:$AM$244,ROW()-12,FALSE))</f>
        <v>559.37317599999994</v>
      </c>
      <c r="N86" s="35"/>
      <c r="O86" s="27">
        <f>IF(HLOOKUP(O$13,'MP (nominal)'!$D$12:$AM$244,ROW()-12,FALSE)="","",HLOOKUP(O$13,'MP (nominal)'!$D$12:$AM$244,ROW()-12,FALSE))</f>
        <v>23458</v>
      </c>
      <c r="P86" s="31"/>
      <c r="Q86" s="281"/>
      <c r="R86" s="281">
        <f>IF(HLOOKUP(R$13,'MP (nominal)'!$D$12:$AM$244,ROW()-12,FALSE)="","",HLOOKUP(R$13,'MP (nominal)'!$D$12:$AM$244,ROW()-12,FALSE))</f>
        <v>219</v>
      </c>
      <c r="S86" s="281" t="str">
        <f>IF(HLOOKUP(S$13,'MP (nominal)'!$D$12:$AM$244,ROW()-12,FALSE)="","",HLOOKUP(S$13,'MP (nominal)'!$D$12:$AM$244,ROW()-12,FALSE))</f>
        <v/>
      </c>
      <c r="T86" s="281" t="str">
        <f>IF(HLOOKUP(T$13,'MP (nominal)'!$D$12:$AM$244,ROW()-12,FALSE)="","",HLOOKUP(T$13,'MP (nominal)'!$D$12:$AM$244,ROW()-12,FALSE))</f>
        <v/>
      </c>
      <c r="U86" s="281"/>
      <c r="V86" s="281">
        <f>IF(HLOOKUP(V$13,'MP (nominal)'!$D$12:$AM$244,ROW()-12,FALSE)="","",HLOOKUP(V$13,'MP (nominal)'!$D$12:$AM$244,ROW()-12,FALSE))</f>
        <v>1.62</v>
      </c>
      <c r="W86" s="281" t="str">
        <f>IF(HLOOKUP(W$13,'MP (nominal)'!$D$12:$AM$244,ROW()-12,FALSE)="","",HLOOKUP(W$13,'MP (nominal)'!$D$12:$AM$244,ROW()-12,FALSE))</f>
        <v/>
      </c>
      <c r="X86" s="281" t="str">
        <f>IF(HLOOKUP(X$13,'MP (nominal)'!$D$12:$AM$244,ROW()-12,FALSE)="","",HLOOKUP(X$13,'MP (nominal)'!$D$12:$AM$244,ROW()-12,FALSE))</f>
        <v/>
      </c>
      <c r="Y86" s="281"/>
      <c r="Z86" s="281" t="str">
        <f>IF(HLOOKUP(Z$13,'MP (nominal)'!$D$12:$AM$244,ROW()-12,FALSE)="","",HLOOKUP(Z$13,'MP (nominal)'!$D$12:$AM$244,ROW()-12,FALSE)*VLOOKUP($C86,CPI!$B$9:$I$63,8))</f>
        <v/>
      </c>
      <c r="AA86" s="281" t="str">
        <f>IF(HLOOKUP(AA$13,'MP (nominal)'!$D$12:$AM$244,ROW()-12,FALSE)="","",HLOOKUP(AA$13,'MP (nominal)'!$D$12:$AM$244,ROW()-12,FALSE))</f>
        <v/>
      </c>
      <c r="AB86" s="281" t="str">
        <f>IF(HLOOKUP(AB$13,'MP (nominal)'!$D$12:$AM$244,ROW()-12,FALSE)="","",HLOOKUP(AB$13,'MP (nominal)'!$D$12:$AM$244,ROW()-12,FALSE))</f>
        <v/>
      </c>
      <c r="AC86" s="281"/>
      <c r="AD86" s="281" t="str">
        <f>IF(HLOOKUP(AD$13,'MP (nominal)'!$D$12:$AM$244,ROW()-12,FALSE)="","",HLOOKUP(AD$13,'MP (nominal)'!$D$12:$AM$244,ROW()-12,FALSE)*VLOOKUP($C86,CPI!$B$9:$I$63,8))</f>
        <v/>
      </c>
      <c r="AE86" s="31" t="str">
        <f>IF(HLOOKUP(AE$13,'MP (nominal)'!$D$12:$AM$244,ROW()-12,FALSE)="","",HLOOKUP(AE$13,'MP (nominal)'!$D$12:$AM$244,ROW()-12,FALSE))</f>
        <v/>
      </c>
      <c r="AF86" s="31" t="str">
        <f>IF(HLOOKUP(AF$13,'MP (nominal)'!$D$12:$AM$244,ROW()-12,FALSE)="","",HLOOKUP(AF$13,'MP (nominal)'!$D$12:$AM$244,ROW()-12,FALSE))</f>
        <v/>
      </c>
      <c r="AG86" s="281"/>
      <c r="AH86" s="281" t="str">
        <f>IF(HLOOKUP(AH$13,'MP (nominal)'!$D$12:$AM$244,ROW()-12,FALSE)="","",HLOOKUP(AH$13,'MP (nominal)'!$D$12:$AM$244,ROW()-12,FALSE)*VLOOKUP($C86,CPI!$B$9:$I$63,8))</f>
        <v/>
      </c>
      <c r="AI86" s="31" t="str">
        <f>IF(HLOOKUP(AI$13,'MP (nominal)'!$D$12:$AM$244,ROW()-12,FALSE)="","",HLOOKUP(AI$13,'MP (nominal)'!$D$12:$AM$244,ROW()-12,FALSE))</f>
        <v/>
      </c>
      <c r="AJ86" s="31" t="str">
        <f>IF(HLOOKUP(AJ$13,'MP (nominal)'!$D$12:$AM$244,ROW()-12,FALSE)="","",HLOOKUP(AJ$13,'MP (nominal)'!$D$12:$AM$244,ROW()-12,FALSE))</f>
        <v/>
      </c>
      <c r="AK86" s="281"/>
      <c r="AL86" s="281" t="str">
        <f>IF(HLOOKUP(AL$13,'MP (nominal)'!$D$12:$AM$244,ROW()-12,FALSE)="","",HLOOKUP(AL$13,'MP (nominal)'!$D$12:$AM$244,ROW()-12,FALSE)*VLOOKUP($C86,CPI!$B$9:$I$63,8))</f>
        <v/>
      </c>
      <c r="AM86" s="31" t="str">
        <f>IF(HLOOKUP(AM$13,'MP (nominal)'!$D$12:$AM$244,ROW()-12,FALSE)="","",HLOOKUP(AM$13,'MP (nominal)'!$D$12:$AM$244,ROW()-12,FALSE))</f>
        <v/>
      </c>
      <c r="AN86" s="31" t="str">
        <f>IF(HLOOKUP(AN$13,'MP (nominal)'!$D$12:$AM$244,ROW()-12,FALSE)="","",HLOOKUP(AN$13,'MP (nominal)'!$D$12:$AM$244,ROW()-12,FALSE))</f>
        <v/>
      </c>
      <c r="AO86" s="281"/>
      <c r="AP86" s="281" t="str">
        <f>IF(HLOOKUP(AP$13,'MP (nominal)'!$D$12:$AM$244,ROW()-12,FALSE)="","",HLOOKUP(AP$13,'MP (nominal)'!$D$12:$AM$244,ROW()-12,FALSE)*VLOOKUP($C86,CPI!$B$9:$I$63,8))</f>
        <v/>
      </c>
      <c r="AQ86" s="31" t="str">
        <f>IF(HLOOKUP(AQ$13,'MP (nominal)'!$D$12:$AM$244,ROW()-12,FALSE)="","",HLOOKUP(AQ$13,'MP (nominal)'!$D$12:$AM$244,ROW()-12,FALSE))</f>
        <v/>
      </c>
      <c r="AR86" s="281" t="str">
        <f>IF(HLOOKUP(AR$13,'MP (nominal)'!$D$12:$AM$244,ROW()-12,FALSE)="","",HLOOKUP(AR$13,'MP (nominal)'!$D$12:$AM$244,ROW()-12,FALSE))</f>
        <v/>
      </c>
    </row>
    <row r="87" spans="1:44" s="278" customFormat="1" hidden="1">
      <c r="A87" s="271">
        <f>References!D267</f>
        <v>209</v>
      </c>
      <c r="B87" s="292" t="s">
        <v>38</v>
      </c>
      <c r="C87" s="284">
        <v>2005</v>
      </c>
      <c r="D87" s="27" t="str">
        <f>IF(HLOOKUP(D$13,'MP (nominal)'!$D$12:$AM$244,ROW()-12,FALSE)="","",HLOOKUP(D$13,'MP (nominal)'!$D$12:$AM$244,ROW()-12,FALSE))</f>
        <v/>
      </c>
      <c r="E87" s="281" t="str">
        <f>IF(HLOOKUP(E$13,'MP (nominal)'!$D$12:$AM$244,ROW()-12,FALSE)="","",HLOOKUP(E$13,'MP (nominal)'!$D$12:$AM$244,ROW()-12,FALSE))</f>
        <v/>
      </c>
      <c r="F87" s="27">
        <f>IF(HLOOKUP(F$13,'MP (nominal)'!$D$12:$AM$244,ROW()-12,FALSE)="","",HLOOKUP(F$13,'MP (nominal)'!$D$12:$AM$244,ROW()-12,FALSE))</f>
        <v>412</v>
      </c>
      <c r="G87" s="281" t="str">
        <f>IF(HLOOKUP(G$13,'MP (nominal)'!$D$12:$AM$244,ROW()-12,FALSE)="","",HLOOKUP(G$13,'MP (nominal)'!$D$12:$AM$244,ROW()-12,FALSE))</f>
        <v/>
      </c>
      <c r="H87" s="27">
        <f>IF(HLOOKUP(H$13,'MP (nominal)'!$D$12:$AM$244,ROW()-12,FALSE)="","",HLOOKUP(H$13,'MP (nominal)'!$D$12:$AM$244,ROW()-12,FALSE))</f>
        <v>2393</v>
      </c>
      <c r="I87" s="31" t="str">
        <f>IF(HLOOKUP(I$13,'MP (nominal)'!$D$12:$AM$244,ROW()-12,FALSE)="","",HLOOKUP(I$13,'MP (nominal)'!$D$12:$AM$244,ROW()-12,FALSE))</f>
        <v/>
      </c>
      <c r="J87" s="31">
        <f>IF(HLOOKUP(J$13,'MP (nominal)'!$D$12:$AM$244,ROW()-12,FALSE)="","",HLOOKUP(J$13,'MP (nominal)'!$D$12:$AM$244,ROW()-12,FALSE))</f>
        <v>1981</v>
      </c>
      <c r="K87" s="281"/>
      <c r="L87" s="27">
        <f>IF(HLOOKUP(L$13,'MP (nominal)'!$D$12:$AM$244,ROW()-12,FALSE)="","",HLOOKUP(L$13,'MP (nominal)'!$D$12:$AM$244,ROW()-12,FALSE))</f>
        <v>92.614999999999995</v>
      </c>
      <c r="M87" s="293">
        <f>IF(HLOOKUP(M$13,'MP (nominal)'!$D$12:$AM$244,ROW()-12,FALSE)="","",HLOOKUP(M$13,'MP (nominal)'!$D$12:$AM$244,ROW()-12,FALSE))</f>
        <v>571.01202599999999</v>
      </c>
      <c r="N87" s="35"/>
      <c r="O87" s="27">
        <f>IF(HLOOKUP(O$13,'MP (nominal)'!$D$12:$AM$244,ROW()-12,FALSE)="","",HLOOKUP(O$13,'MP (nominal)'!$D$12:$AM$244,ROW()-12,FALSE))</f>
        <v>23572</v>
      </c>
      <c r="P87" s="31"/>
      <c r="Q87" s="281"/>
      <c r="R87" s="281">
        <f>IF(HLOOKUP(R$13,'MP (nominal)'!$D$12:$AM$244,ROW()-12,FALSE)="","",HLOOKUP(R$13,'MP (nominal)'!$D$12:$AM$244,ROW()-12,FALSE))</f>
        <v>987</v>
      </c>
      <c r="S87" s="281" t="str">
        <f>IF(HLOOKUP(S$13,'MP (nominal)'!$D$12:$AM$244,ROW()-12,FALSE)="","",HLOOKUP(S$13,'MP (nominal)'!$D$12:$AM$244,ROW()-12,FALSE))</f>
        <v/>
      </c>
      <c r="T87" s="281" t="str">
        <f>IF(HLOOKUP(T$13,'MP (nominal)'!$D$12:$AM$244,ROW()-12,FALSE)="","",HLOOKUP(T$13,'MP (nominal)'!$D$12:$AM$244,ROW()-12,FALSE))</f>
        <v/>
      </c>
      <c r="U87" s="281"/>
      <c r="V87" s="281">
        <f>IF(HLOOKUP(V$13,'MP (nominal)'!$D$12:$AM$244,ROW()-12,FALSE)="","",HLOOKUP(V$13,'MP (nominal)'!$D$12:$AM$244,ROW()-12,FALSE))</f>
        <v>3.54</v>
      </c>
      <c r="W87" s="281" t="str">
        <f>IF(HLOOKUP(W$13,'MP (nominal)'!$D$12:$AM$244,ROW()-12,FALSE)="","",HLOOKUP(W$13,'MP (nominal)'!$D$12:$AM$244,ROW()-12,FALSE))</f>
        <v/>
      </c>
      <c r="X87" s="281" t="str">
        <f>IF(HLOOKUP(X$13,'MP (nominal)'!$D$12:$AM$244,ROW()-12,FALSE)="","",HLOOKUP(X$13,'MP (nominal)'!$D$12:$AM$244,ROW()-12,FALSE))</f>
        <v/>
      </c>
      <c r="Y87" s="281"/>
      <c r="Z87" s="281" t="str">
        <f>IF(HLOOKUP(Z$13,'MP (nominal)'!$D$12:$AM$244,ROW()-12,FALSE)="","",HLOOKUP(Z$13,'MP (nominal)'!$D$12:$AM$244,ROW()-12,FALSE)*VLOOKUP($C87,CPI!$B$9:$I$63,8))</f>
        <v/>
      </c>
      <c r="AA87" s="281" t="str">
        <f>IF(HLOOKUP(AA$13,'MP (nominal)'!$D$12:$AM$244,ROW()-12,FALSE)="","",HLOOKUP(AA$13,'MP (nominal)'!$D$12:$AM$244,ROW()-12,FALSE))</f>
        <v/>
      </c>
      <c r="AB87" s="281" t="str">
        <f>IF(HLOOKUP(AB$13,'MP (nominal)'!$D$12:$AM$244,ROW()-12,FALSE)="","",HLOOKUP(AB$13,'MP (nominal)'!$D$12:$AM$244,ROW()-12,FALSE))</f>
        <v/>
      </c>
      <c r="AC87" s="281"/>
      <c r="AD87" s="281" t="str">
        <f>IF(HLOOKUP(AD$13,'MP (nominal)'!$D$12:$AM$244,ROW()-12,FALSE)="","",HLOOKUP(AD$13,'MP (nominal)'!$D$12:$AM$244,ROW()-12,FALSE)*VLOOKUP($C87,CPI!$B$9:$I$63,8))</f>
        <v/>
      </c>
      <c r="AE87" s="31" t="str">
        <f>IF(HLOOKUP(AE$13,'MP (nominal)'!$D$12:$AM$244,ROW()-12,FALSE)="","",HLOOKUP(AE$13,'MP (nominal)'!$D$12:$AM$244,ROW()-12,FALSE))</f>
        <v/>
      </c>
      <c r="AF87" s="31" t="str">
        <f>IF(HLOOKUP(AF$13,'MP (nominal)'!$D$12:$AM$244,ROW()-12,FALSE)="","",HLOOKUP(AF$13,'MP (nominal)'!$D$12:$AM$244,ROW()-12,FALSE))</f>
        <v/>
      </c>
      <c r="AG87" s="281"/>
      <c r="AH87" s="281" t="str">
        <f>IF(HLOOKUP(AH$13,'MP (nominal)'!$D$12:$AM$244,ROW()-12,FALSE)="","",HLOOKUP(AH$13,'MP (nominal)'!$D$12:$AM$244,ROW()-12,FALSE)*VLOOKUP($C87,CPI!$B$9:$I$63,8))</f>
        <v/>
      </c>
      <c r="AI87" s="31" t="str">
        <f>IF(HLOOKUP(AI$13,'MP (nominal)'!$D$12:$AM$244,ROW()-12,FALSE)="","",HLOOKUP(AI$13,'MP (nominal)'!$D$12:$AM$244,ROW()-12,FALSE))</f>
        <v/>
      </c>
      <c r="AJ87" s="31" t="str">
        <f>IF(HLOOKUP(AJ$13,'MP (nominal)'!$D$12:$AM$244,ROW()-12,FALSE)="","",HLOOKUP(AJ$13,'MP (nominal)'!$D$12:$AM$244,ROW()-12,FALSE))</f>
        <v/>
      </c>
      <c r="AK87" s="281"/>
      <c r="AL87" s="281" t="str">
        <f>IF(HLOOKUP(AL$13,'MP (nominal)'!$D$12:$AM$244,ROW()-12,FALSE)="","",HLOOKUP(AL$13,'MP (nominal)'!$D$12:$AM$244,ROW()-12,FALSE)*VLOOKUP($C87,CPI!$B$9:$I$63,8))</f>
        <v/>
      </c>
      <c r="AM87" s="31" t="str">
        <f>IF(HLOOKUP(AM$13,'MP (nominal)'!$D$12:$AM$244,ROW()-12,FALSE)="","",HLOOKUP(AM$13,'MP (nominal)'!$D$12:$AM$244,ROW()-12,FALSE))</f>
        <v/>
      </c>
      <c r="AN87" s="31" t="str">
        <f>IF(HLOOKUP(AN$13,'MP (nominal)'!$D$12:$AM$244,ROW()-12,FALSE)="","",HLOOKUP(AN$13,'MP (nominal)'!$D$12:$AM$244,ROW()-12,FALSE))</f>
        <v/>
      </c>
      <c r="AO87" s="281"/>
      <c r="AP87" s="281" t="str">
        <f>IF(HLOOKUP(AP$13,'MP (nominal)'!$D$12:$AM$244,ROW()-12,FALSE)="","",HLOOKUP(AP$13,'MP (nominal)'!$D$12:$AM$244,ROW()-12,FALSE)*VLOOKUP($C87,CPI!$B$9:$I$63,8))</f>
        <v/>
      </c>
      <c r="AQ87" s="31" t="str">
        <f>IF(HLOOKUP(AQ$13,'MP (nominal)'!$D$12:$AM$244,ROW()-12,FALSE)="","",HLOOKUP(AQ$13,'MP (nominal)'!$D$12:$AM$244,ROW()-12,FALSE))</f>
        <v/>
      </c>
      <c r="AR87" s="281" t="str">
        <f>IF(HLOOKUP(AR$13,'MP (nominal)'!$D$12:$AM$244,ROW()-12,FALSE)="","",HLOOKUP(AR$13,'MP (nominal)'!$D$12:$AM$244,ROW()-12,FALSE))</f>
        <v/>
      </c>
    </row>
    <row r="88" spans="1:44" s="278" customFormat="1" hidden="1">
      <c r="A88" s="271">
        <f>References!E267</f>
        <v>210</v>
      </c>
      <c r="B88" s="292" t="s">
        <v>38</v>
      </c>
      <c r="C88" s="284">
        <v>2006</v>
      </c>
      <c r="D88" s="27" t="str">
        <f>IF(HLOOKUP(D$13,'MP (nominal)'!$D$12:$AM$244,ROW()-12,FALSE)="","",HLOOKUP(D$13,'MP (nominal)'!$D$12:$AM$244,ROW()-12,FALSE))</f>
        <v/>
      </c>
      <c r="E88" s="281" t="str">
        <f>IF(HLOOKUP(E$13,'MP (nominal)'!$D$12:$AM$244,ROW()-12,FALSE)="","",HLOOKUP(E$13,'MP (nominal)'!$D$12:$AM$244,ROW()-12,FALSE))</f>
        <v/>
      </c>
      <c r="F88" s="27">
        <f>IF(HLOOKUP(F$13,'MP (nominal)'!$D$12:$AM$244,ROW()-12,FALSE)="","",HLOOKUP(F$13,'MP (nominal)'!$D$12:$AM$244,ROW()-12,FALSE))</f>
        <v>451</v>
      </c>
      <c r="G88" s="281" t="str">
        <f>IF(HLOOKUP(G$13,'MP (nominal)'!$D$12:$AM$244,ROW()-12,FALSE)="","",HLOOKUP(G$13,'MP (nominal)'!$D$12:$AM$244,ROW()-12,FALSE))</f>
        <v/>
      </c>
      <c r="H88" s="27">
        <f>IF(HLOOKUP(H$13,'MP (nominal)'!$D$12:$AM$244,ROW()-12,FALSE)="","",HLOOKUP(H$13,'MP (nominal)'!$D$12:$AM$244,ROW()-12,FALSE))</f>
        <v>2404</v>
      </c>
      <c r="I88" s="31" t="str">
        <f>IF(HLOOKUP(I$13,'MP (nominal)'!$D$12:$AM$244,ROW()-12,FALSE)="","",HLOOKUP(I$13,'MP (nominal)'!$D$12:$AM$244,ROW()-12,FALSE))</f>
        <v/>
      </c>
      <c r="J88" s="31">
        <f>IF(HLOOKUP(J$13,'MP (nominal)'!$D$12:$AM$244,ROW()-12,FALSE)="","",HLOOKUP(J$13,'MP (nominal)'!$D$12:$AM$244,ROW()-12,FALSE))</f>
        <v>1952</v>
      </c>
      <c r="K88" s="281"/>
      <c r="L88" s="27">
        <f>IF(HLOOKUP(L$13,'MP (nominal)'!$D$12:$AM$244,ROW()-12,FALSE)="","",HLOOKUP(L$13,'MP (nominal)'!$D$12:$AM$244,ROW()-12,FALSE))</f>
        <v>94.073999999999998</v>
      </c>
      <c r="M88" s="293">
        <f>IF(HLOOKUP(M$13,'MP (nominal)'!$D$12:$AM$244,ROW()-12,FALSE)="","",HLOOKUP(M$13,'MP (nominal)'!$D$12:$AM$244,ROW()-12,FALSE))</f>
        <v>586.65623900000003</v>
      </c>
      <c r="N88" s="35"/>
      <c r="O88" s="27">
        <f>IF(HLOOKUP(O$13,'MP (nominal)'!$D$12:$AM$244,ROW()-12,FALSE)="","",HLOOKUP(O$13,'MP (nominal)'!$D$12:$AM$244,ROW()-12,FALSE))</f>
        <v>23887</v>
      </c>
      <c r="P88" s="31"/>
      <c r="Q88" s="281"/>
      <c r="R88" s="281">
        <f>IF(HLOOKUP(R$13,'MP (nominal)'!$D$12:$AM$244,ROW()-12,FALSE)="","",HLOOKUP(R$13,'MP (nominal)'!$D$12:$AM$244,ROW()-12,FALSE))</f>
        <v>292</v>
      </c>
      <c r="S88" s="281" t="str">
        <f>IF(HLOOKUP(S$13,'MP (nominal)'!$D$12:$AM$244,ROW()-12,FALSE)="","",HLOOKUP(S$13,'MP (nominal)'!$D$12:$AM$244,ROW()-12,FALSE))</f>
        <v/>
      </c>
      <c r="T88" s="281" t="str">
        <f>IF(HLOOKUP(T$13,'MP (nominal)'!$D$12:$AM$244,ROW()-12,FALSE)="","",HLOOKUP(T$13,'MP (nominal)'!$D$12:$AM$244,ROW()-12,FALSE))</f>
        <v/>
      </c>
      <c r="U88" s="281"/>
      <c r="V88" s="281">
        <f>IF(HLOOKUP(V$13,'MP (nominal)'!$D$12:$AM$244,ROW()-12,FALSE)="","",HLOOKUP(V$13,'MP (nominal)'!$D$12:$AM$244,ROW()-12,FALSE))</f>
        <v>2.48</v>
      </c>
      <c r="W88" s="281" t="str">
        <f>IF(HLOOKUP(W$13,'MP (nominal)'!$D$12:$AM$244,ROW()-12,FALSE)="","",HLOOKUP(W$13,'MP (nominal)'!$D$12:$AM$244,ROW()-12,FALSE))</f>
        <v/>
      </c>
      <c r="X88" s="281" t="str">
        <f>IF(HLOOKUP(X$13,'MP (nominal)'!$D$12:$AM$244,ROW()-12,FALSE)="","",HLOOKUP(X$13,'MP (nominal)'!$D$12:$AM$244,ROW()-12,FALSE))</f>
        <v/>
      </c>
      <c r="Y88" s="281"/>
      <c r="Z88" s="281" t="str">
        <f>IF(HLOOKUP(Z$13,'MP (nominal)'!$D$12:$AM$244,ROW()-12,FALSE)="","",HLOOKUP(Z$13,'MP (nominal)'!$D$12:$AM$244,ROW()-12,FALSE)*VLOOKUP($C88,CPI!$B$9:$I$63,8))</f>
        <v/>
      </c>
      <c r="AA88" s="281" t="str">
        <f>IF(HLOOKUP(AA$13,'MP (nominal)'!$D$12:$AM$244,ROW()-12,FALSE)="","",HLOOKUP(AA$13,'MP (nominal)'!$D$12:$AM$244,ROW()-12,FALSE))</f>
        <v/>
      </c>
      <c r="AB88" s="281" t="str">
        <f>IF(HLOOKUP(AB$13,'MP (nominal)'!$D$12:$AM$244,ROW()-12,FALSE)="","",HLOOKUP(AB$13,'MP (nominal)'!$D$12:$AM$244,ROW()-12,FALSE))</f>
        <v/>
      </c>
      <c r="AC88" s="281"/>
      <c r="AD88" s="281" t="str">
        <f>IF(HLOOKUP(AD$13,'MP (nominal)'!$D$12:$AM$244,ROW()-12,FALSE)="","",HLOOKUP(AD$13,'MP (nominal)'!$D$12:$AM$244,ROW()-12,FALSE)*VLOOKUP($C88,CPI!$B$9:$I$63,8))</f>
        <v/>
      </c>
      <c r="AE88" s="31" t="str">
        <f>IF(HLOOKUP(AE$13,'MP (nominal)'!$D$12:$AM$244,ROW()-12,FALSE)="","",HLOOKUP(AE$13,'MP (nominal)'!$D$12:$AM$244,ROW()-12,FALSE))</f>
        <v/>
      </c>
      <c r="AF88" s="31" t="str">
        <f>IF(HLOOKUP(AF$13,'MP (nominal)'!$D$12:$AM$244,ROW()-12,FALSE)="","",HLOOKUP(AF$13,'MP (nominal)'!$D$12:$AM$244,ROW()-12,FALSE))</f>
        <v/>
      </c>
      <c r="AG88" s="281"/>
      <c r="AH88" s="281" t="str">
        <f>IF(HLOOKUP(AH$13,'MP (nominal)'!$D$12:$AM$244,ROW()-12,FALSE)="","",HLOOKUP(AH$13,'MP (nominal)'!$D$12:$AM$244,ROW()-12,FALSE)*VLOOKUP($C88,CPI!$B$9:$I$63,8))</f>
        <v/>
      </c>
      <c r="AI88" s="31" t="str">
        <f>IF(HLOOKUP(AI$13,'MP (nominal)'!$D$12:$AM$244,ROW()-12,FALSE)="","",HLOOKUP(AI$13,'MP (nominal)'!$D$12:$AM$244,ROW()-12,FALSE))</f>
        <v/>
      </c>
      <c r="AJ88" s="31" t="str">
        <f>IF(HLOOKUP(AJ$13,'MP (nominal)'!$D$12:$AM$244,ROW()-12,FALSE)="","",HLOOKUP(AJ$13,'MP (nominal)'!$D$12:$AM$244,ROW()-12,FALSE))</f>
        <v/>
      </c>
      <c r="AK88" s="281"/>
      <c r="AL88" s="281" t="str">
        <f>IF(HLOOKUP(AL$13,'MP (nominal)'!$D$12:$AM$244,ROW()-12,FALSE)="","",HLOOKUP(AL$13,'MP (nominal)'!$D$12:$AM$244,ROW()-12,FALSE)*VLOOKUP($C88,CPI!$B$9:$I$63,8))</f>
        <v/>
      </c>
      <c r="AM88" s="31" t="str">
        <f>IF(HLOOKUP(AM$13,'MP (nominal)'!$D$12:$AM$244,ROW()-12,FALSE)="","",HLOOKUP(AM$13,'MP (nominal)'!$D$12:$AM$244,ROW()-12,FALSE))</f>
        <v/>
      </c>
      <c r="AN88" s="31" t="str">
        <f>IF(HLOOKUP(AN$13,'MP (nominal)'!$D$12:$AM$244,ROW()-12,FALSE)="","",HLOOKUP(AN$13,'MP (nominal)'!$D$12:$AM$244,ROW()-12,FALSE))</f>
        <v/>
      </c>
      <c r="AO88" s="281"/>
      <c r="AP88" s="281" t="str">
        <f>IF(HLOOKUP(AP$13,'MP (nominal)'!$D$12:$AM$244,ROW()-12,FALSE)="","",HLOOKUP(AP$13,'MP (nominal)'!$D$12:$AM$244,ROW()-12,FALSE)*VLOOKUP($C88,CPI!$B$9:$I$63,8))</f>
        <v/>
      </c>
      <c r="AQ88" s="31" t="str">
        <f>IF(HLOOKUP(AQ$13,'MP (nominal)'!$D$12:$AM$244,ROW()-12,FALSE)="","",HLOOKUP(AQ$13,'MP (nominal)'!$D$12:$AM$244,ROW()-12,FALSE))</f>
        <v/>
      </c>
      <c r="AR88" s="281" t="str">
        <f>IF(HLOOKUP(AR$13,'MP (nominal)'!$D$12:$AM$244,ROW()-12,FALSE)="","",HLOOKUP(AR$13,'MP (nominal)'!$D$12:$AM$244,ROW()-12,FALSE))</f>
        <v/>
      </c>
    </row>
    <row r="89" spans="1:44" s="278" customFormat="1" hidden="1">
      <c r="A89" s="271">
        <f>References!F267</f>
        <v>211</v>
      </c>
      <c r="B89" s="292" t="s">
        <v>38</v>
      </c>
      <c r="C89" s="284">
        <v>2007</v>
      </c>
      <c r="D89" s="27" t="str">
        <f>IF(HLOOKUP(D$13,'MP (nominal)'!$D$12:$AM$244,ROW()-12,FALSE)="","",HLOOKUP(D$13,'MP (nominal)'!$D$12:$AM$244,ROW()-12,FALSE))</f>
        <v/>
      </c>
      <c r="E89" s="281" t="str">
        <f>IF(HLOOKUP(E$13,'MP (nominal)'!$D$12:$AM$244,ROW()-12,FALSE)="","",HLOOKUP(E$13,'MP (nominal)'!$D$12:$AM$244,ROW()-12,FALSE))</f>
        <v/>
      </c>
      <c r="F89" s="27">
        <f>IF(HLOOKUP(F$13,'MP (nominal)'!$D$12:$AM$244,ROW()-12,FALSE)="","",HLOOKUP(F$13,'MP (nominal)'!$D$12:$AM$244,ROW()-12,FALSE))</f>
        <v>442</v>
      </c>
      <c r="G89" s="281" t="str">
        <f>IF(HLOOKUP(G$13,'MP (nominal)'!$D$12:$AM$244,ROW()-12,FALSE)="","",HLOOKUP(G$13,'MP (nominal)'!$D$12:$AM$244,ROW()-12,FALSE))</f>
        <v/>
      </c>
      <c r="H89" s="27">
        <f>IF(HLOOKUP(H$13,'MP (nominal)'!$D$12:$AM$244,ROW()-12,FALSE)="","",HLOOKUP(H$13,'MP (nominal)'!$D$12:$AM$244,ROW()-12,FALSE))</f>
        <v>2408</v>
      </c>
      <c r="I89" s="31" t="str">
        <f>IF(HLOOKUP(I$13,'MP (nominal)'!$D$12:$AM$244,ROW()-12,FALSE)="","",HLOOKUP(I$13,'MP (nominal)'!$D$12:$AM$244,ROW()-12,FALSE))</f>
        <v/>
      </c>
      <c r="J89" s="31">
        <f>IF(HLOOKUP(J$13,'MP (nominal)'!$D$12:$AM$244,ROW()-12,FALSE)="","",HLOOKUP(J$13,'MP (nominal)'!$D$12:$AM$244,ROW()-12,FALSE))</f>
        <v>1966</v>
      </c>
      <c r="K89" s="281"/>
      <c r="L89" s="27">
        <f>IF(HLOOKUP(L$13,'MP (nominal)'!$D$12:$AM$244,ROW()-12,FALSE)="","",HLOOKUP(L$13,'MP (nominal)'!$D$12:$AM$244,ROW()-12,FALSE))</f>
        <v>94.147000000000006</v>
      </c>
      <c r="M89" s="293">
        <f>IF(HLOOKUP(M$13,'MP (nominal)'!$D$12:$AM$244,ROW()-12,FALSE)="","",HLOOKUP(M$13,'MP (nominal)'!$D$12:$AM$244,ROW()-12,FALSE))</f>
        <v>587.09864200000004</v>
      </c>
      <c r="N89" s="35"/>
      <c r="O89" s="27">
        <f>IF(HLOOKUP(O$13,'MP (nominal)'!$D$12:$AM$244,ROW()-12,FALSE)="","",HLOOKUP(O$13,'MP (nominal)'!$D$12:$AM$244,ROW()-12,FALSE))</f>
        <v>23972</v>
      </c>
      <c r="P89" s="31"/>
      <c r="Q89" s="281"/>
      <c r="R89" s="281">
        <f>IF(HLOOKUP(R$13,'MP (nominal)'!$D$12:$AM$244,ROW()-12,FALSE)="","",HLOOKUP(R$13,'MP (nominal)'!$D$12:$AM$244,ROW()-12,FALSE))</f>
        <v>315</v>
      </c>
      <c r="S89" s="281" t="str">
        <f>IF(HLOOKUP(S$13,'MP (nominal)'!$D$12:$AM$244,ROW()-12,FALSE)="","",HLOOKUP(S$13,'MP (nominal)'!$D$12:$AM$244,ROW()-12,FALSE))</f>
        <v/>
      </c>
      <c r="T89" s="281" t="str">
        <f>IF(HLOOKUP(T$13,'MP (nominal)'!$D$12:$AM$244,ROW()-12,FALSE)="","",HLOOKUP(T$13,'MP (nominal)'!$D$12:$AM$244,ROW()-12,FALSE))</f>
        <v/>
      </c>
      <c r="U89" s="281"/>
      <c r="V89" s="281">
        <f>IF(HLOOKUP(V$13,'MP (nominal)'!$D$12:$AM$244,ROW()-12,FALSE)="","",HLOOKUP(V$13,'MP (nominal)'!$D$12:$AM$244,ROW()-12,FALSE))</f>
        <v>3.09</v>
      </c>
      <c r="W89" s="281" t="str">
        <f>IF(HLOOKUP(W$13,'MP (nominal)'!$D$12:$AM$244,ROW()-12,FALSE)="","",HLOOKUP(W$13,'MP (nominal)'!$D$12:$AM$244,ROW()-12,FALSE))</f>
        <v/>
      </c>
      <c r="X89" s="281" t="str">
        <f>IF(HLOOKUP(X$13,'MP (nominal)'!$D$12:$AM$244,ROW()-12,FALSE)="","",HLOOKUP(X$13,'MP (nominal)'!$D$12:$AM$244,ROW()-12,FALSE))</f>
        <v/>
      </c>
      <c r="Y89" s="281"/>
      <c r="Z89" s="281" t="str">
        <f>IF(HLOOKUP(Z$13,'MP (nominal)'!$D$12:$AM$244,ROW()-12,FALSE)="","",HLOOKUP(Z$13,'MP (nominal)'!$D$12:$AM$244,ROW()-12,FALSE)*VLOOKUP($C89,CPI!$B$9:$I$63,8))</f>
        <v/>
      </c>
      <c r="AA89" s="281" t="str">
        <f>IF(HLOOKUP(AA$13,'MP (nominal)'!$D$12:$AM$244,ROW()-12,FALSE)="","",HLOOKUP(AA$13,'MP (nominal)'!$D$12:$AM$244,ROW()-12,FALSE))</f>
        <v/>
      </c>
      <c r="AB89" s="281" t="str">
        <f>IF(HLOOKUP(AB$13,'MP (nominal)'!$D$12:$AM$244,ROW()-12,FALSE)="","",HLOOKUP(AB$13,'MP (nominal)'!$D$12:$AM$244,ROW()-12,FALSE))</f>
        <v/>
      </c>
      <c r="AC89" s="281"/>
      <c r="AD89" s="281" t="str">
        <f>IF(HLOOKUP(AD$13,'MP (nominal)'!$D$12:$AM$244,ROW()-12,FALSE)="","",HLOOKUP(AD$13,'MP (nominal)'!$D$12:$AM$244,ROW()-12,FALSE)*VLOOKUP($C89,CPI!$B$9:$I$63,8))</f>
        <v/>
      </c>
      <c r="AE89" s="31" t="str">
        <f>IF(HLOOKUP(AE$13,'MP (nominal)'!$D$12:$AM$244,ROW()-12,FALSE)="","",HLOOKUP(AE$13,'MP (nominal)'!$D$12:$AM$244,ROW()-12,FALSE))</f>
        <v/>
      </c>
      <c r="AF89" s="31" t="str">
        <f>IF(HLOOKUP(AF$13,'MP (nominal)'!$D$12:$AM$244,ROW()-12,FALSE)="","",HLOOKUP(AF$13,'MP (nominal)'!$D$12:$AM$244,ROW()-12,FALSE))</f>
        <v/>
      </c>
      <c r="AG89" s="281"/>
      <c r="AH89" s="281" t="str">
        <f>IF(HLOOKUP(AH$13,'MP (nominal)'!$D$12:$AM$244,ROW()-12,FALSE)="","",HLOOKUP(AH$13,'MP (nominal)'!$D$12:$AM$244,ROW()-12,FALSE)*VLOOKUP($C89,CPI!$B$9:$I$63,8))</f>
        <v/>
      </c>
      <c r="AI89" s="31" t="str">
        <f>IF(HLOOKUP(AI$13,'MP (nominal)'!$D$12:$AM$244,ROW()-12,FALSE)="","",HLOOKUP(AI$13,'MP (nominal)'!$D$12:$AM$244,ROW()-12,FALSE))</f>
        <v/>
      </c>
      <c r="AJ89" s="31" t="str">
        <f>IF(HLOOKUP(AJ$13,'MP (nominal)'!$D$12:$AM$244,ROW()-12,FALSE)="","",HLOOKUP(AJ$13,'MP (nominal)'!$D$12:$AM$244,ROW()-12,FALSE))</f>
        <v/>
      </c>
      <c r="AK89" s="281"/>
      <c r="AL89" s="281" t="str">
        <f>IF(HLOOKUP(AL$13,'MP (nominal)'!$D$12:$AM$244,ROW()-12,FALSE)="","",HLOOKUP(AL$13,'MP (nominal)'!$D$12:$AM$244,ROW()-12,FALSE)*VLOOKUP($C89,CPI!$B$9:$I$63,8))</f>
        <v/>
      </c>
      <c r="AM89" s="31" t="str">
        <f>IF(HLOOKUP(AM$13,'MP (nominal)'!$D$12:$AM$244,ROW()-12,FALSE)="","",HLOOKUP(AM$13,'MP (nominal)'!$D$12:$AM$244,ROW()-12,FALSE))</f>
        <v/>
      </c>
      <c r="AN89" s="31" t="str">
        <f>IF(HLOOKUP(AN$13,'MP (nominal)'!$D$12:$AM$244,ROW()-12,FALSE)="","",HLOOKUP(AN$13,'MP (nominal)'!$D$12:$AM$244,ROW()-12,FALSE))</f>
        <v/>
      </c>
      <c r="AO89" s="281"/>
      <c r="AP89" s="281" t="str">
        <f>IF(HLOOKUP(AP$13,'MP (nominal)'!$D$12:$AM$244,ROW()-12,FALSE)="","",HLOOKUP(AP$13,'MP (nominal)'!$D$12:$AM$244,ROW()-12,FALSE)*VLOOKUP($C89,CPI!$B$9:$I$63,8))</f>
        <v/>
      </c>
      <c r="AQ89" s="31" t="str">
        <f>IF(HLOOKUP(AQ$13,'MP (nominal)'!$D$12:$AM$244,ROW()-12,FALSE)="","",HLOOKUP(AQ$13,'MP (nominal)'!$D$12:$AM$244,ROW()-12,FALSE))</f>
        <v/>
      </c>
      <c r="AR89" s="281" t="str">
        <f>IF(HLOOKUP(AR$13,'MP (nominal)'!$D$12:$AM$244,ROW()-12,FALSE)="","",HLOOKUP(AR$13,'MP (nominal)'!$D$12:$AM$244,ROW()-12,FALSE))</f>
        <v/>
      </c>
    </row>
    <row r="90" spans="1:44" s="278" customFormat="1">
      <c r="A90" s="271">
        <f>References!G267</f>
        <v>212</v>
      </c>
      <c r="B90" s="292" t="s">
        <v>38</v>
      </c>
      <c r="C90" s="284">
        <v>2008</v>
      </c>
      <c r="D90" s="27">
        <f>IF(HLOOKUP(D$13,'MP (nominal)'!$D$12:$AM$244,ROW()-12,FALSE)="","",HLOOKUP(D$13,'MP (nominal)'!$D$12:$AM$244,ROW()-12,FALSE))</f>
        <v>1918</v>
      </c>
      <c r="E90" s="281">
        <f>IF(HLOOKUP(E$13,'MP (nominal)'!$D$12:$AM$244,ROW()-12,FALSE)="","",HLOOKUP(E$13,'MP (nominal)'!$D$12:$AM$244,ROW()-12,FALSE))</f>
        <v>0</v>
      </c>
      <c r="F90" s="27">
        <f>IF(HLOOKUP(F$13,'MP (nominal)'!$D$12:$AM$244,ROW()-12,FALSE)="","",HLOOKUP(F$13,'MP (nominal)'!$D$12:$AM$244,ROW()-12,FALSE))</f>
        <v>424.4</v>
      </c>
      <c r="G90" s="281">
        <f>IF(HLOOKUP(G$13,'MP (nominal)'!$D$12:$AM$244,ROW()-12,FALSE)="","",HLOOKUP(G$13,'MP (nominal)'!$D$12:$AM$244,ROW()-12,FALSE))</f>
        <v>0</v>
      </c>
      <c r="H90" s="27">
        <f>IF(HLOOKUP(H$13,'MP (nominal)'!$D$12:$AM$244,ROW()-12,FALSE)="","",HLOOKUP(H$13,'MP (nominal)'!$D$12:$AM$244,ROW()-12,FALSE))</f>
        <v>2342.4</v>
      </c>
      <c r="I90" s="31">
        <f>IF(HLOOKUP(I$13,'MP (nominal)'!$D$12:$AM$244,ROW()-12,FALSE)="","",HLOOKUP(I$13,'MP (nominal)'!$D$12:$AM$244,ROW()-12,FALSE))</f>
        <v>0</v>
      </c>
      <c r="J90" s="31">
        <f>IF(HLOOKUP(J$13,'MP (nominal)'!$D$12:$AM$244,ROW()-12,FALSE)="","",HLOOKUP(J$13,'MP (nominal)'!$D$12:$AM$244,ROW()-12,FALSE))</f>
        <v>1918.1</v>
      </c>
      <c r="K90" s="281"/>
      <c r="L90" s="27">
        <f>IF(HLOOKUP(L$13,'MP (nominal)'!$D$12:$AM$244,ROW()-12,FALSE)="","",HLOOKUP(L$13,'MP (nominal)'!$D$12:$AM$244,ROW()-12,FALSE))</f>
        <v>96.052319999999995</v>
      </c>
      <c r="M90" s="283">
        <f>IF(HLOOKUP(M$13,'MP (nominal)'!$D$12:$AM$244,ROW()-12,FALSE)="","",HLOOKUP(M$13,'MP (nominal)'!$D$12:$AM$244,ROW()-12,FALSE))</f>
        <v>540.53475000000003</v>
      </c>
      <c r="N90" s="35"/>
      <c r="O90" s="27">
        <f>IF(HLOOKUP(O$13,'MP (nominal)'!$D$12:$AM$244,ROW()-12,FALSE)="","",HLOOKUP(O$13,'MP (nominal)'!$D$12:$AM$244,ROW()-12,FALSE))</f>
        <v>24220</v>
      </c>
      <c r="P90" s="31"/>
      <c r="Q90" s="281"/>
      <c r="R90" s="281">
        <f>IF(HLOOKUP(R$13,'MP (nominal)'!$D$12:$AM$244,ROW()-12,FALSE)="","",HLOOKUP(R$13,'MP (nominal)'!$D$12:$AM$244,ROW()-12,FALSE))</f>
        <v>345.51927999999998</v>
      </c>
      <c r="S90" s="281">
        <f>IF(HLOOKUP(S$13,'MP (nominal)'!$D$12:$AM$244,ROW()-12,FALSE)="","",HLOOKUP(S$13,'MP (nominal)'!$D$12:$AM$244,ROW()-12,FALSE))</f>
        <v>26.516552000000001</v>
      </c>
      <c r="T90" s="281">
        <f>IF(HLOOKUP(T$13,'MP (nominal)'!$D$12:$AM$244,ROW()-12,FALSE)="","",HLOOKUP(T$13,'MP (nominal)'!$D$12:$AM$244,ROW()-12,FALSE))</f>
        <v>116.56098</v>
      </c>
      <c r="U90" s="281"/>
      <c r="V90" s="281">
        <f>IF(HLOOKUP(V$13,'MP (nominal)'!$D$12:$AM$244,ROW()-12,FALSE)="","",HLOOKUP(V$13,'MP (nominal)'!$D$12:$AM$244,ROW()-12,FALSE))</f>
        <v>2.4533619999999998</v>
      </c>
      <c r="W90" s="281">
        <f>IF(HLOOKUP(W$13,'MP (nominal)'!$D$12:$AM$244,ROW()-12,FALSE)="","",HLOOKUP(W$13,'MP (nominal)'!$D$12:$AM$244,ROW()-12,FALSE))</f>
        <v>0.14534859999999999</v>
      </c>
      <c r="X90" s="281">
        <f>IF(HLOOKUP(X$13,'MP (nominal)'!$D$12:$AM$244,ROW()-12,FALSE)="","",HLOOKUP(X$13,'MP (nominal)'!$D$12:$AM$244,ROW()-12,FALSE))</f>
        <v>1.4201347</v>
      </c>
      <c r="Y90" s="281"/>
      <c r="Z90" s="281">
        <f>IF(HLOOKUP(Z$13,'MP (nominal)'!$D$12:$AM$244,ROW()-12,FALSE)="","",HLOOKUP(Z$13,'MP (nominal)'!$D$12:$AM$244,ROW()-12,FALSE)*VLOOKUP($C90,CPI!$B$9:$I$63,8))</f>
        <v>13098.338764221149</v>
      </c>
      <c r="AA90" s="281">
        <f>IF(HLOOKUP(AA$13,'MP (nominal)'!$D$12:$AM$244,ROW()-12,FALSE)="","",HLOOKUP(AA$13,'MP (nominal)'!$D$12:$AM$244,ROW()-12,FALSE))</f>
        <v>127932.51</v>
      </c>
      <c r="AB90" s="281">
        <f>IF(HLOOKUP(AB$13,'MP (nominal)'!$D$12:$AM$244,ROW()-12,FALSE)="","",HLOOKUP(AB$13,'MP (nominal)'!$D$12:$AM$244,ROW()-12,FALSE))</f>
        <v>20636</v>
      </c>
      <c r="AC90" s="281"/>
      <c r="AD90" s="281">
        <f>IF(HLOOKUP(AD$13,'MP (nominal)'!$D$12:$AM$244,ROW()-12,FALSE)="","",HLOOKUP(AD$13,'MP (nominal)'!$D$12:$AM$244,ROW()-12,FALSE)*VLOOKUP($C90,CPI!$B$9:$I$63,8))</f>
        <v>5456.2860535485152</v>
      </c>
      <c r="AE90" s="31">
        <f>IF(HLOOKUP(AE$13,'MP (nominal)'!$D$12:$AM$244,ROW()-12,FALSE)="","",HLOOKUP(AE$13,'MP (nominal)'!$D$12:$AM$244,ROW()-12,FALSE))</f>
        <v>58142.292000000001</v>
      </c>
      <c r="AF90" s="31">
        <f>IF(HLOOKUP(AF$13,'MP (nominal)'!$D$12:$AM$244,ROW()-12,FALSE)="","",HLOOKUP(AF$13,'MP (nominal)'!$D$12:$AM$244,ROW()-12,FALSE))</f>
        <v>3260</v>
      </c>
      <c r="AG90" s="281"/>
      <c r="AH90" s="281">
        <f>IF(HLOOKUP(AH$13,'MP (nominal)'!$D$12:$AM$244,ROW()-12,FALSE)="","",HLOOKUP(AH$13,'MP (nominal)'!$D$12:$AM$244,ROW()-12,FALSE)*VLOOKUP($C90,CPI!$B$9:$I$63,8))</f>
        <v>4642.9478998032555</v>
      </c>
      <c r="AI90" s="31">
        <f>IF(HLOOKUP(AI$13,'MP (nominal)'!$D$12:$AM$244,ROW()-12,FALSE)="","",HLOOKUP(AI$13,'MP (nominal)'!$D$12:$AM$244,ROW()-12,FALSE))</f>
        <v>59510.419000000002</v>
      </c>
      <c r="AJ90" s="31">
        <f>IF(HLOOKUP(AJ$13,'MP (nominal)'!$D$12:$AM$244,ROW()-12,FALSE)="","",HLOOKUP(AJ$13,'MP (nominal)'!$D$12:$AM$244,ROW()-12,FALSE))</f>
        <v>319</v>
      </c>
      <c r="AK90" s="281"/>
      <c r="AL90" s="281">
        <f>IF(HLOOKUP(AL$13,'MP (nominal)'!$D$12:$AM$244,ROW()-12,FALSE)="","",HLOOKUP(AL$13,'MP (nominal)'!$D$12:$AM$244,ROW()-12,FALSE)*VLOOKUP($C90,CPI!$B$9:$I$63,8))</f>
        <v>3973.1631178466537</v>
      </c>
      <c r="AM90" s="31">
        <f>IF(HLOOKUP(AM$13,'MP (nominal)'!$D$12:$AM$244,ROW()-12,FALSE)="","",HLOOKUP(AM$13,'MP (nominal)'!$D$12:$AM$244,ROW()-12,FALSE))</f>
        <v>294949.78000000003</v>
      </c>
      <c r="AN90" s="31">
        <f>IF(HLOOKUP(AN$13,'MP (nominal)'!$D$12:$AM$244,ROW()-12,FALSE)="","",HLOOKUP(AN$13,'MP (nominal)'!$D$12:$AM$244,ROW()-12,FALSE))</f>
        <v>5</v>
      </c>
      <c r="AO90" s="281"/>
      <c r="AP90" s="281">
        <f>IF(HLOOKUP(AP$13,'MP (nominal)'!$D$12:$AM$244,ROW()-12,FALSE)="","",HLOOKUP(AP$13,'MP (nominal)'!$D$12:$AM$244,ROW()-12,FALSE)*VLOOKUP($C90,CPI!$B$9:$I$63,8))</f>
        <v>27170.735404180086</v>
      </c>
      <c r="AQ90" s="31">
        <f>IF(HLOOKUP(AQ$13,'MP (nominal)'!$D$12:$AM$244,ROW()-12,FALSE)="","",HLOOKUP(AQ$13,'MP (nominal)'!$D$12:$AM$244,ROW()-12,FALSE))</f>
        <v>540535</v>
      </c>
      <c r="AR90" s="281">
        <f>IF(HLOOKUP(AR$13,'MP (nominal)'!$D$12:$AM$244,ROW()-12,FALSE)="","",HLOOKUP(AR$13,'MP (nominal)'!$D$12:$AM$244,ROW()-12,FALSE))</f>
        <v>24220</v>
      </c>
    </row>
    <row r="91" spans="1:44" s="278" customFormat="1">
      <c r="A91" s="271">
        <f>References!H267</f>
        <v>213</v>
      </c>
      <c r="B91" s="292" t="s">
        <v>38</v>
      </c>
      <c r="C91" s="284">
        <v>2009</v>
      </c>
      <c r="D91" s="27">
        <f>IF(HLOOKUP(D$13,'MP (nominal)'!$D$12:$AM$244,ROW()-12,FALSE)="","",HLOOKUP(D$13,'MP (nominal)'!$D$12:$AM$244,ROW()-12,FALSE))</f>
        <v>1908.3</v>
      </c>
      <c r="E91" s="281">
        <f>IF(HLOOKUP(E$13,'MP (nominal)'!$D$12:$AM$244,ROW()-12,FALSE)="","",HLOOKUP(E$13,'MP (nominal)'!$D$12:$AM$244,ROW()-12,FALSE))</f>
        <v>0</v>
      </c>
      <c r="F91" s="27">
        <f>IF(HLOOKUP(F$13,'MP (nominal)'!$D$12:$AM$244,ROW()-12,FALSE)="","",HLOOKUP(F$13,'MP (nominal)'!$D$12:$AM$244,ROW()-12,FALSE))</f>
        <v>433.1</v>
      </c>
      <c r="G91" s="281">
        <f>IF(HLOOKUP(G$13,'MP (nominal)'!$D$12:$AM$244,ROW()-12,FALSE)="","",HLOOKUP(G$13,'MP (nominal)'!$D$12:$AM$244,ROW()-12,FALSE))</f>
        <v>0</v>
      </c>
      <c r="H91" s="27">
        <f>IF(HLOOKUP(H$13,'MP (nominal)'!$D$12:$AM$244,ROW()-12,FALSE)="","",HLOOKUP(H$13,'MP (nominal)'!$D$12:$AM$244,ROW()-12,FALSE))</f>
        <v>2341.4</v>
      </c>
      <c r="I91" s="31">
        <f>IF(HLOOKUP(I$13,'MP (nominal)'!$D$12:$AM$244,ROW()-12,FALSE)="","",HLOOKUP(I$13,'MP (nominal)'!$D$12:$AM$244,ROW()-12,FALSE))</f>
        <v>0</v>
      </c>
      <c r="J91" s="31">
        <f>IF(HLOOKUP(J$13,'MP (nominal)'!$D$12:$AM$244,ROW()-12,FALSE)="","",HLOOKUP(J$13,'MP (nominal)'!$D$12:$AM$244,ROW()-12,FALSE))</f>
        <v>1908.3</v>
      </c>
      <c r="K91" s="281"/>
      <c r="L91" s="27">
        <f>IF(HLOOKUP(L$13,'MP (nominal)'!$D$12:$AM$244,ROW()-12,FALSE)="","",HLOOKUP(L$13,'MP (nominal)'!$D$12:$AM$244,ROW()-12,FALSE))</f>
        <v>84.7804</v>
      </c>
      <c r="M91" s="283">
        <f>IF(HLOOKUP(M$13,'MP (nominal)'!$D$12:$AM$244,ROW()-12,FALSE)="","",HLOOKUP(M$13,'MP (nominal)'!$D$12:$AM$244,ROW()-12,FALSE))</f>
        <v>512.08753000000002</v>
      </c>
      <c r="N91" s="35"/>
      <c r="O91" s="27">
        <f>IF(HLOOKUP(O$13,'MP (nominal)'!$D$12:$AM$244,ROW()-12,FALSE)="","",HLOOKUP(O$13,'MP (nominal)'!$D$12:$AM$244,ROW()-12,FALSE))</f>
        <v>24254.063999999998</v>
      </c>
      <c r="P91" s="31"/>
      <c r="Q91" s="281"/>
      <c r="R91" s="281">
        <f>IF(HLOOKUP(R$13,'MP (nominal)'!$D$12:$AM$244,ROW()-12,FALSE)="","",HLOOKUP(R$13,'MP (nominal)'!$D$12:$AM$244,ROW()-12,FALSE))</f>
        <v>201.97585000000001</v>
      </c>
      <c r="S91" s="281">
        <f>IF(HLOOKUP(S$13,'MP (nominal)'!$D$12:$AM$244,ROW()-12,FALSE)="","",HLOOKUP(S$13,'MP (nominal)'!$D$12:$AM$244,ROW()-12,FALSE))</f>
        <v>11.027537000000001</v>
      </c>
      <c r="T91" s="281">
        <f>IF(HLOOKUP(T$13,'MP (nominal)'!$D$12:$AM$244,ROW()-12,FALSE)="","",HLOOKUP(T$13,'MP (nominal)'!$D$12:$AM$244,ROW()-12,FALSE))</f>
        <v>122.23547000000001</v>
      </c>
      <c r="U91" s="281"/>
      <c r="V91" s="281">
        <f>IF(HLOOKUP(V$13,'MP (nominal)'!$D$12:$AM$244,ROW()-12,FALSE)="","",HLOOKUP(V$13,'MP (nominal)'!$D$12:$AM$244,ROW()-12,FALSE))</f>
        <v>3.1200098000000001</v>
      </c>
      <c r="W91" s="281">
        <f>IF(HLOOKUP(W$13,'MP (nominal)'!$D$12:$AM$244,ROW()-12,FALSE)="","",HLOOKUP(W$13,'MP (nominal)'!$D$12:$AM$244,ROW()-12,FALSE))</f>
        <v>5.8846450000000002E-2</v>
      </c>
      <c r="X91" s="281">
        <f>IF(HLOOKUP(X$13,'MP (nominal)'!$D$12:$AM$244,ROW()-12,FALSE)="","",HLOOKUP(X$13,'MP (nominal)'!$D$12:$AM$244,ROW()-12,FALSE))</f>
        <v>2.1603821999999999</v>
      </c>
      <c r="Y91" s="281"/>
      <c r="Z91" s="281">
        <f>IF(HLOOKUP(Z$13,'MP (nominal)'!$D$12:$AM$244,ROW()-12,FALSE)="","",HLOOKUP(Z$13,'MP (nominal)'!$D$12:$AM$244,ROW()-12,FALSE)*VLOOKUP($C91,CPI!$B$9:$I$63,8))</f>
        <v>13719.919979408329</v>
      </c>
      <c r="AA91" s="281">
        <f>IF(HLOOKUP(AA$13,'MP (nominal)'!$D$12:$AM$244,ROW()-12,FALSE)="","",HLOOKUP(AA$13,'MP (nominal)'!$D$12:$AM$244,ROW()-12,FALSE))</f>
        <v>129391.81</v>
      </c>
      <c r="AB91" s="281">
        <f>IF(HLOOKUP(AB$13,'MP (nominal)'!$D$12:$AM$244,ROW()-12,FALSE)="","",HLOOKUP(AB$13,'MP (nominal)'!$D$12:$AM$244,ROW()-12,FALSE))</f>
        <v>20673</v>
      </c>
      <c r="AC91" s="281"/>
      <c r="AD91" s="281">
        <f>IF(HLOOKUP(AD$13,'MP (nominal)'!$D$12:$AM$244,ROW()-12,FALSE)="","",HLOOKUP(AD$13,'MP (nominal)'!$D$12:$AM$244,ROW()-12,FALSE)*VLOOKUP($C91,CPI!$B$9:$I$63,8))</f>
        <v>5705.8779554945413</v>
      </c>
      <c r="AE91" s="31">
        <f>IF(HLOOKUP(AE$13,'MP (nominal)'!$D$12:$AM$244,ROW()-12,FALSE)="","",HLOOKUP(AE$13,'MP (nominal)'!$D$12:$AM$244,ROW()-12,FALSE))</f>
        <v>59785.707999999999</v>
      </c>
      <c r="AF91" s="31">
        <f>IF(HLOOKUP(AF$13,'MP (nominal)'!$D$12:$AM$244,ROW()-12,FALSE)="","",HLOOKUP(AF$13,'MP (nominal)'!$D$12:$AM$244,ROW()-12,FALSE))</f>
        <v>3269.0645</v>
      </c>
      <c r="AG91" s="281"/>
      <c r="AH91" s="281">
        <f>IF(HLOOKUP(AH$13,'MP (nominal)'!$D$12:$AM$244,ROW()-12,FALSE)="","",HLOOKUP(AH$13,'MP (nominal)'!$D$12:$AM$244,ROW()-12,FALSE)*VLOOKUP($C91,CPI!$B$9:$I$63,8))</f>
        <v>4634.6029615210364</v>
      </c>
      <c r="AI91" s="31">
        <f>IF(HLOOKUP(AI$13,'MP (nominal)'!$D$12:$AM$244,ROW()-12,FALSE)="","",HLOOKUP(AI$13,'MP (nominal)'!$D$12:$AM$244,ROW()-12,FALSE))</f>
        <v>59789.190999999999</v>
      </c>
      <c r="AJ91" s="31">
        <f>IF(HLOOKUP(AJ$13,'MP (nominal)'!$D$12:$AM$244,ROW()-12,FALSE)="","",HLOOKUP(AJ$13,'MP (nominal)'!$D$12:$AM$244,ROW()-12,FALSE))</f>
        <v>307</v>
      </c>
      <c r="AK91" s="281"/>
      <c r="AL91" s="281">
        <f>IF(HLOOKUP(AL$13,'MP (nominal)'!$D$12:$AM$244,ROW()-12,FALSE)="","",HLOOKUP(AL$13,'MP (nominal)'!$D$12:$AM$244,ROW()-12,FALSE)*VLOOKUP($C91,CPI!$B$9:$I$63,8))</f>
        <v>3238.9554870478405</v>
      </c>
      <c r="AM91" s="31">
        <f>IF(HLOOKUP(AM$13,'MP (nominal)'!$D$12:$AM$244,ROW()-12,FALSE)="","",HLOOKUP(AM$13,'MP (nominal)'!$D$12:$AM$244,ROW()-12,FALSE))</f>
        <v>263120.83</v>
      </c>
      <c r="AN91" s="31">
        <f>IF(HLOOKUP(AN$13,'MP (nominal)'!$D$12:$AM$244,ROW()-12,FALSE)="","",HLOOKUP(AN$13,'MP (nominal)'!$D$12:$AM$244,ROW()-12,FALSE))</f>
        <v>5</v>
      </c>
      <c r="AO91" s="281"/>
      <c r="AP91" s="281">
        <f>IF(HLOOKUP(AP$13,'MP (nominal)'!$D$12:$AM$244,ROW()-12,FALSE)="","",HLOOKUP(AP$13,'MP (nominal)'!$D$12:$AM$244,ROW()-12,FALSE)*VLOOKUP($C91,CPI!$B$9:$I$63,8))</f>
        <v>27299.356694900125</v>
      </c>
      <c r="AQ91" s="31">
        <f>IF(HLOOKUP(AQ$13,'MP (nominal)'!$D$12:$AM$244,ROW()-12,FALSE)="","",HLOOKUP(AQ$13,'MP (nominal)'!$D$12:$AM$244,ROW()-12,FALSE))</f>
        <v>512087.53</v>
      </c>
      <c r="AR91" s="281">
        <f>IF(HLOOKUP(AR$13,'MP (nominal)'!$D$12:$AM$244,ROW()-12,FALSE)="","",HLOOKUP(AR$13,'MP (nominal)'!$D$12:$AM$244,ROW()-12,FALSE))</f>
        <v>24254.063999999998</v>
      </c>
    </row>
    <row r="92" spans="1:44" s="278" customFormat="1">
      <c r="A92" s="271">
        <f>References!I267</f>
        <v>214</v>
      </c>
      <c r="B92" s="292" t="s">
        <v>38</v>
      </c>
      <c r="C92" s="284">
        <v>2010</v>
      </c>
      <c r="D92" s="27">
        <f>IF(HLOOKUP(D$13,'MP (nominal)'!$D$12:$AM$244,ROW()-12,FALSE)="","",HLOOKUP(D$13,'MP (nominal)'!$D$12:$AM$244,ROW()-12,FALSE))</f>
        <v>1921</v>
      </c>
      <c r="E92" s="281">
        <f>IF(HLOOKUP(E$13,'MP (nominal)'!$D$12:$AM$244,ROW()-12,FALSE)="","",HLOOKUP(E$13,'MP (nominal)'!$D$12:$AM$244,ROW()-12,FALSE))</f>
        <v>0</v>
      </c>
      <c r="F92" s="27">
        <f>IF(HLOOKUP(F$13,'MP (nominal)'!$D$12:$AM$244,ROW()-12,FALSE)="","",HLOOKUP(F$13,'MP (nominal)'!$D$12:$AM$244,ROW()-12,FALSE))</f>
        <v>438.1</v>
      </c>
      <c r="G92" s="281">
        <f>IF(HLOOKUP(G$13,'MP (nominal)'!$D$12:$AM$244,ROW()-12,FALSE)="","",HLOOKUP(G$13,'MP (nominal)'!$D$12:$AM$244,ROW()-12,FALSE))</f>
        <v>0</v>
      </c>
      <c r="H92" s="27">
        <f>IF(HLOOKUP(H$13,'MP (nominal)'!$D$12:$AM$244,ROW()-12,FALSE)="","",HLOOKUP(H$13,'MP (nominal)'!$D$12:$AM$244,ROW()-12,FALSE))</f>
        <v>2359.1</v>
      </c>
      <c r="I92" s="31">
        <f>IF(HLOOKUP(I$13,'MP (nominal)'!$D$12:$AM$244,ROW()-12,FALSE)="","",HLOOKUP(I$13,'MP (nominal)'!$D$12:$AM$244,ROW()-12,FALSE))</f>
        <v>0</v>
      </c>
      <c r="J92" s="31">
        <f>IF(HLOOKUP(J$13,'MP (nominal)'!$D$12:$AM$244,ROW()-12,FALSE)="","",HLOOKUP(J$13,'MP (nominal)'!$D$12:$AM$244,ROW()-12,FALSE))</f>
        <v>1921</v>
      </c>
      <c r="K92" s="281"/>
      <c r="L92" s="27">
        <f>IF(HLOOKUP(L$13,'MP (nominal)'!$D$12:$AM$244,ROW()-12,FALSE)="","",HLOOKUP(L$13,'MP (nominal)'!$D$12:$AM$244,ROW()-12,FALSE))</f>
        <v>88.068439999999995</v>
      </c>
      <c r="M92" s="283">
        <f>IF(HLOOKUP(M$13,'MP (nominal)'!$D$12:$AM$244,ROW()-12,FALSE)="","",HLOOKUP(M$13,'MP (nominal)'!$D$12:$AM$244,ROW()-12,FALSE))</f>
        <v>541.16733999999997</v>
      </c>
      <c r="N92" s="35"/>
      <c r="O92" s="27">
        <f>IF(HLOOKUP(O$13,'MP (nominal)'!$D$12:$AM$244,ROW()-12,FALSE)="","",HLOOKUP(O$13,'MP (nominal)'!$D$12:$AM$244,ROW()-12,FALSE))</f>
        <v>24504</v>
      </c>
      <c r="P92" s="31"/>
      <c r="Q92" s="281"/>
      <c r="R92" s="281">
        <f>IF(HLOOKUP(R$13,'MP (nominal)'!$D$12:$AM$244,ROW()-12,FALSE)="","",HLOOKUP(R$13,'MP (nominal)'!$D$12:$AM$244,ROW()-12,FALSE))</f>
        <v>139.89975000000001</v>
      </c>
      <c r="S92" s="281">
        <f>IF(HLOOKUP(S$13,'MP (nominal)'!$D$12:$AM$244,ROW()-12,FALSE)="","",HLOOKUP(S$13,'MP (nominal)'!$D$12:$AM$244,ROW()-12,FALSE))</f>
        <v>16.883322</v>
      </c>
      <c r="T92" s="281">
        <f>IF(HLOOKUP(T$13,'MP (nominal)'!$D$12:$AM$244,ROW()-12,FALSE)="","",HLOOKUP(T$13,'MP (nominal)'!$D$12:$AM$244,ROW()-12,FALSE))</f>
        <v>123.01643</v>
      </c>
      <c r="U92" s="281"/>
      <c r="V92" s="281">
        <f>IF(HLOOKUP(V$13,'MP (nominal)'!$D$12:$AM$244,ROW()-12,FALSE)="","",HLOOKUP(V$13,'MP (nominal)'!$D$12:$AM$244,ROW()-12,FALSE))</f>
        <v>2.3630308000000002</v>
      </c>
      <c r="W92" s="281">
        <f>IF(HLOOKUP(W$13,'MP (nominal)'!$D$12:$AM$244,ROW()-12,FALSE)="","",HLOOKUP(W$13,'MP (nominal)'!$D$12:$AM$244,ROW()-12,FALSE))</f>
        <v>9.8941520000000005E-2</v>
      </c>
      <c r="X92" s="281">
        <f>IF(HLOOKUP(X$13,'MP (nominal)'!$D$12:$AM$244,ROW()-12,FALSE)="","",HLOOKUP(X$13,'MP (nominal)'!$D$12:$AM$244,ROW()-12,FALSE))</f>
        <v>2.2640893000000002</v>
      </c>
      <c r="Y92" s="281"/>
      <c r="Z92" s="281">
        <f>IF(HLOOKUP(Z$13,'MP (nominal)'!$D$12:$AM$244,ROW()-12,FALSE)="","",HLOOKUP(Z$13,'MP (nominal)'!$D$12:$AM$244,ROW()-12,FALSE)*VLOOKUP($C92,CPI!$B$9:$I$63,8))</f>
        <v>13813.370159790895</v>
      </c>
      <c r="AA92" s="281">
        <f>IF(HLOOKUP(AA$13,'MP (nominal)'!$D$12:$AM$244,ROW()-12,FALSE)="","",HLOOKUP(AA$13,'MP (nominal)'!$D$12:$AM$244,ROW()-12,FALSE))</f>
        <v>132396.4</v>
      </c>
      <c r="AB92" s="281">
        <f>IF(HLOOKUP(AB$13,'MP (nominal)'!$D$12:$AM$244,ROW()-12,FALSE)="","",HLOOKUP(AB$13,'MP (nominal)'!$D$12:$AM$244,ROW()-12,FALSE))</f>
        <v>20867</v>
      </c>
      <c r="AC92" s="281"/>
      <c r="AD92" s="281">
        <f>IF(HLOOKUP(AD$13,'MP (nominal)'!$D$12:$AM$244,ROW()-12,FALSE)="","",HLOOKUP(AD$13,'MP (nominal)'!$D$12:$AM$244,ROW()-12,FALSE)*VLOOKUP($C92,CPI!$B$9:$I$63,8))</f>
        <v>5548.5775107111094</v>
      </c>
      <c r="AE92" s="31">
        <f>IF(HLOOKUP(AE$13,'MP (nominal)'!$D$12:$AM$244,ROW()-12,FALSE)="","",HLOOKUP(AE$13,'MP (nominal)'!$D$12:$AM$244,ROW()-12,FALSE))</f>
        <v>60034.014999999999</v>
      </c>
      <c r="AF92" s="31">
        <f>IF(HLOOKUP(AF$13,'MP (nominal)'!$D$12:$AM$244,ROW()-12,FALSE)="","",HLOOKUP(AF$13,'MP (nominal)'!$D$12:$AM$244,ROW()-12,FALSE))</f>
        <v>3302</v>
      </c>
      <c r="AG92" s="281"/>
      <c r="AH92" s="281">
        <f>IF(HLOOKUP(AH$13,'MP (nominal)'!$D$12:$AM$244,ROW()-12,FALSE)="","",HLOOKUP(AH$13,'MP (nominal)'!$D$12:$AM$244,ROW()-12,FALSE)*VLOOKUP($C92,CPI!$B$9:$I$63,8))</f>
        <v>4700.1012841745032</v>
      </c>
      <c r="AI92" s="31">
        <f>IF(HLOOKUP(AI$13,'MP (nominal)'!$D$12:$AM$244,ROW()-12,FALSE)="","",HLOOKUP(AI$13,'MP (nominal)'!$D$12:$AM$244,ROW()-12,FALSE))</f>
        <v>75159.649000000005</v>
      </c>
      <c r="AJ92" s="31">
        <f>IF(HLOOKUP(AJ$13,'MP (nominal)'!$D$12:$AM$244,ROW()-12,FALSE)="","",HLOOKUP(AJ$13,'MP (nominal)'!$D$12:$AM$244,ROW()-12,FALSE))</f>
        <v>330</v>
      </c>
      <c r="AK92" s="281"/>
      <c r="AL92" s="281">
        <f>IF(HLOOKUP(AL$13,'MP (nominal)'!$D$12:$AM$244,ROW()-12,FALSE)="","",HLOOKUP(AL$13,'MP (nominal)'!$D$12:$AM$244,ROW()-12,FALSE)*VLOOKUP($C92,CPI!$B$9:$I$63,8))</f>
        <v>3436.4827501010477</v>
      </c>
      <c r="AM92" s="31">
        <f>IF(HLOOKUP(AM$13,'MP (nominal)'!$D$12:$AM$244,ROW()-12,FALSE)="","",HLOOKUP(AM$13,'MP (nominal)'!$D$12:$AM$244,ROW()-12,FALSE))</f>
        <v>273577.28000000003</v>
      </c>
      <c r="AN92" s="31">
        <f>IF(HLOOKUP(AN$13,'MP (nominal)'!$D$12:$AM$244,ROW()-12,FALSE)="","",HLOOKUP(AN$13,'MP (nominal)'!$D$12:$AM$244,ROW()-12,FALSE))</f>
        <v>5</v>
      </c>
      <c r="AO92" s="281"/>
      <c r="AP92" s="281">
        <f>IF(HLOOKUP(AP$13,'MP (nominal)'!$D$12:$AM$244,ROW()-12,FALSE)="","",HLOOKUP(AP$13,'MP (nominal)'!$D$12:$AM$244,ROW()-12,FALSE)*VLOOKUP($C92,CPI!$B$9:$I$63,8))</f>
        <v>27498.53211231171</v>
      </c>
      <c r="AQ92" s="31">
        <f>IF(HLOOKUP(AQ$13,'MP (nominal)'!$D$12:$AM$244,ROW()-12,FALSE)="","",HLOOKUP(AQ$13,'MP (nominal)'!$D$12:$AM$244,ROW()-12,FALSE))</f>
        <v>541167.34</v>
      </c>
      <c r="AR92" s="281">
        <f>IF(HLOOKUP(AR$13,'MP (nominal)'!$D$12:$AM$244,ROW()-12,FALSE)="","",HLOOKUP(AR$13,'MP (nominal)'!$D$12:$AM$244,ROW()-12,FALSE))</f>
        <v>24504</v>
      </c>
    </row>
    <row r="93" spans="1:44" s="278" customFormat="1">
      <c r="A93" s="271">
        <f>References!J267</f>
        <v>215</v>
      </c>
      <c r="B93" s="292" t="s">
        <v>38</v>
      </c>
      <c r="C93" s="284">
        <v>2011</v>
      </c>
      <c r="D93" s="27">
        <f>IF(HLOOKUP(D$13,'MP (nominal)'!$D$12:$AM$244,ROW()-12,FALSE)="","",HLOOKUP(D$13,'MP (nominal)'!$D$12:$AM$244,ROW()-12,FALSE))</f>
        <v>1918.8620000000001</v>
      </c>
      <c r="E93" s="281">
        <f>IF(HLOOKUP(E$13,'MP (nominal)'!$D$12:$AM$244,ROW()-12,FALSE)="","",HLOOKUP(E$13,'MP (nominal)'!$D$12:$AM$244,ROW()-12,FALSE))</f>
        <v>0</v>
      </c>
      <c r="F93" s="27">
        <f>IF(HLOOKUP(F$13,'MP (nominal)'!$D$12:$AM$244,ROW()-12,FALSE)="","",HLOOKUP(F$13,'MP (nominal)'!$D$12:$AM$244,ROW()-12,FALSE))</f>
        <v>444.95100000000002</v>
      </c>
      <c r="G93" s="281">
        <f>IF(HLOOKUP(G$13,'MP (nominal)'!$D$12:$AM$244,ROW()-12,FALSE)="","",HLOOKUP(G$13,'MP (nominal)'!$D$12:$AM$244,ROW()-12,FALSE))</f>
        <v>0</v>
      </c>
      <c r="H93" s="27">
        <f>IF(HLOOKUP(H$13,'MP (nominal)'!$D$12:$AM$244,ROW()-12,FALSE)="","",HLOOKUP(H$13,'MP (nominal)'!$D$12:$AM$244,ROW()-12,FALSE))</f>
        <v>2363.8130000000001</v>
      </c>
      <c r="I93" s="31">
        <f>IF(HLOOKUP(I$13,'MP (nominal)'!$D$12:$AM$244,ROW()-12,FALSE)="","",HLOOKUP(I$13,'MP (nominal)'!$D$12:$AM$244,ROW()-12,FALSE))</f>
        <v>0</v>
      </c>
      <c r="J93" s="31">
        <f>IF(HLOOKUP(J$13,'MP (nominal)'!$D$12:$AM$244,ROW()-12,FALSE)="","",HLOOKUP(J$13,'MP (nominal)'!$D$12:$AM$244,ROW()-12,FALSE))</f>
        <v>1918.8620000000001</v>
      </c>
      <c r="K93" s="281"/>
      <c r="L93" s="27">
        <f>IF(HLOOKUP(L$13,'MP (nominal)'!$D$12:$AM$244,ROW()-12,FALSE)="","",HLOOKUP(L$13,'MP (nominal)'!$D$12:$AM$244,ROW()-12,FALSE))</f>
        <v>90</v>
      </c>
      <c r="M93" s="283">
        <f>IF(HLOOKUP(M$13,'MP (nominal)'!$D$12:$AM$244,ROW()-12,FALSE)="","",HLOOKUP(M$13,'MP (nominal)'!$D$12:$AM$244,ROW()-12,FALSE))</f>
        <v>540.56871000000001</v>
      </c>
      <c r="N93" s="35"/>
      <c r="O93" s="27">
        <f>IF(HLOOKUP(O$13,'MP (nominal)'!$D$12:$AM$244,ROW()-12,FALSE)="","",HLOOKUP(O$13,'MP (nominal)'!$D$12:$AM$244,ROW()-12,FALSE))</f>
        <v>24593</v>
      </c>
      <c r="P93" s="31"/>
      <c r="Q93" s="281"/>
      <c r="R93" s="281">
        <f>IF(HLOOKUP(R$13,'MP (nominal)'!$D$12:$AM$244,ROW()-12,FALSE)="","",HLOOKUP(R$13,'MP (nominal)'!$D$12:$AM$244,ROW()-12,FALSE))</f>
        <v>177.40687</v>
      </c>
      <c r="S93" s="281">
        <f>IF(HLOOKUP(S$13,'MP (nominal)'!$D$12:$AM$244,ROW()-12,FALSE)="","",HLOOKUP(S$13,'MP (nominal)'!$D$12:$AM$244,ROW()-12,FALSE))</f>
        <v>14.740845999999999</v>
      </c>
      <c r="T93" s="281">
        <f>IF(HLOOKUP(T$13,'MP (nominal)'!$D$12:$AM$244,ROW()-12,FALSE)="","",HLOOKUP(T$13,'MP (nominal)'!$D$12:$AM$244,ROW()-12,FALSE))</f>
        <v>162.66603000000001</v>
      </c>
      <c r="U93" s="281"/>
      <c r="V93" s="281">
        <f>IF(HLOOKUP(V$13,'MP (nominal)'!$D$12:$AM$244,ROW()-12,FALSE)="","",HLOOKUP(V$13,'MP (nominal)'!$D$12:$AM$244,ROW()-12,FALSE))</f>
        <v>2.3926607999999998</v>
      </c>
      <c r="W93" s="281">
        <f>IF(HLOOKUP(W$13,'MP (nominal)'!$D$12:$AM$244,ROW()-12,FALSE)="","",HLOOKUP(W$13,'MP (nominal)'!$D$12:$AM$244,ROW()-12,FALSE))</f>
        <v>0.11880422</v>
      </c>
      <c r="X93" s="281">
        <f>IF(HLOOKUP(X$13,'MP (nominal)'!$D$12:$AM$244,ROW()-12,FALSE)="","",HLOOKUP(X$13,'MP (nominal)'!$D$12:$AM$244,ROW()-12,FALSE))</f>
        <v>2.2738565999999998</v>
      </c>
      <c r="Y93" s="281"/>
      <c r="Z93" s="281">
        <f>IF(HLOOKUP(Z$13,'MP (nominal)'!$D$12:$AM$244,ROW()-12,FALSE)="","",HLOOKUP(Z$13,'MP (nominal)'!$D$12:$AM$244,ROW()-12,FALSE)*VLOOKUP($C93,CPI!$B$9:$I$63,8))</f>
        <v>13889.957</v>
      </c>
      <c r="AA93" s="281">
        <f>IF(HLOOKUP(AA$13,'MP (nominal)'!$D$12:$AM$244,ROW()-12,FALSE)="","",HLOOKUP(AA$13,'MP (nominal)'!$D$12:$AM$244,ROW()-12,FALSE))</f>
        <v>129521.01</v>
      </c>
      <c r="AB93" s="281">
        <f>IF(HLOOKUP(AB$13,'MP (nominal)'!$D$12:$AM$244,ROW()-12,FALSE)="","",HLOOKUP(AB$13,'MP (nominal)'!$D$12:$AM$244,ROW()-12,FALSE))</f>
        <v>20929</v>
      </c>
      <c r="AC93" s="281"/>
      <c r="AD93" s="281">
        <f>IF(HLOOKUP(AD$13,'MP (nominal)'!$D$12:$AM$244,ROW()-12,FALSE)="","",HLOOKUP(AD$13,'MP (nominal)'!$D$12:$AM$244,ROW()-12,FALSE)*VLOOKUP($C93,CPI!$B$9:$I$63,8))</f>
        <v>5563.13</v>
      </c>
      <c r="AE93" s="31">
        <f>IF(HLOOKUP(AE$13,'MP (nominal)'!$D$12:$AM$244,ROW()-12,FALSE)="","",HLOOKUP(AE$13,'MP (nominal)'!$D$12:$AM$244,ROW()-12,FALSE))</f>
        <v>59520.995999999999</v>
      </c>
      <c r="AF93" s="31">
        <f>IF(HLOOKUP(AF$13,'MP (nominal)'!$D$12:$AM$244,ROW()-12,FALSE)="","",HLOOKUP(AF$13,'MP (nominal)'!$D$12:$AM$244,ROW()-12,FALSE))</f>
        <v>3313</v>
      </c>
      <c r="AG93" s="281"/>
      <c r="AH93" s="281">
        <f>IF(HLOOKUP(AH$13,'MP (nominal)'!$D$12:$AM$244,ROW()-12,FALSE)="","",HLOOKUP(AH$13,'MP (nominal)'!$D$12:$AM$244,ROW()-12,FALSE)*VLOOKUP($C93,CPI!$B$9:$I$63,8))</f>
        <v>5257.4161999999997</v>
      </c>
      <c r="AI93" s="31">
        <f>IF(HLOOKUP(AI$13,'MP (nominal)'!$D$12:$AM$244,ROW()-12,FALSE)="","",HLOOKUP(AI$13,'MP (nominal)'!$D$12:$AM$244,ROW()-12,FALSE))</f>
        <v>63967.974999999999</v>
      </c>
      <c r="AJ93" s="31">
        <f>IF(HLOOKUP(AJ$13,'MP (nominal)'!$D$12:$AM$244,ROW()-12,FALSE)="","",HLOOKUP(AJ$13,'MP (nominal)'!$D$12:$AM$244,ROW()-12,FALSE))</f>
        <v>346</v>
      </c>
      <c r="AK93" s="281"/>
      <c r="AL93" s="281">
        <f>IF(HLOOKUP(AL$13,'MP (nominal)'!$D$12:$AM$244,ROW()-12,FALSE)="","",HLOOKUP(AL$13,'MP (nominal)'!$D$12:$AM$244,ROW()-12,FALSE)*VLOOKUP($C93,CPI!$B$9:$I$63,8))</f>
        <v>2752.0284000000001</v>
      </c>
      <c r="AM93" s="31">
        <f>IF(HLOOKUP(AM$13,'MP (nominal)'!$D$12:$AM$244,ROW()-12,FALSE)="","",HLOOKUP(AM$13,'MP (nominal)'!$D$12:$AM$244,ROW()-12,FALSE))</f>
        <v>287558.73</v>
      </c>
      <c r="AN93" s="31">
        <f>IF(HLOOKUP(AN$13,'MP (nominal)'!$D$12:$AM$244,ROW()-12,FALSE)="","",HLOOKUP(AN$13,'MP (nominal)'!$D$12:$AM$244,ROW()-12,FALSE))</f>
        <v>5</v>
      </c>
      <c r="AO93" s="281"/>
      <c r="AP93" s="281">
        <f>IF(HLOOKUP(AP$13,'MP (nominal)'!$D$12:$AM$244,ROW()-12,FALSE)="","",HLOOKUP(AP$13,'MP (nominal)'!$D$12:$AM$244,ROW()-12,FALSE)*VLOOKUP($C93,CPI!$B$9:$I$63,8))</f>
        <v>27462.531999999999</v>
      </c>
      <c r="AQ93" s="31">
        <f>IF(HLOOKUP(AQ$13,'MP (nominal)'!$D$12:$AM$244,ROW()-12,FALSE)="","",HLOOKUP(AQ$13,'MP (nominal)'!$D$12:$AM$244,ROW()-12,FALSE))</f>
        <v>540568.71</v>
      </c>
      <c r="AR93" s="281">
        <f>IF(HLOOKUP(AR$13,'MP (nominal)'!$D$12:$AM$244,ROW()-12,FALSE)="","",HLOOKUP(AR$13,'MP (nominal)'!$D$12:$AM$244,ROW()-12,FALSE))</f>
        <v>24593</v>
      </c>
    </row>
    <row r="94" spans="1:44" s="278" customFormat="1" hidden="1">
      <c r="A94" s="271">
        <f>References!C268</f>
        <v>231</v>
      </c>
      <c r="B94" s="292" t="s">
        <v>39</v>
      </c>
      <c r="C94" s="284">
        <v>2004</v>
      </c>
      <c r="D94" s="27" t="str">
        <f>IF(HLOOKUP(D$13,'MP (nominal)'!$D$12:$AM$244,ROW()-12,FALSE)="","",HLOOKUP(D$13,'MP (nominal)'!$D$12:$AM$244,ROW()-12,FALSE))</f>
        <v/>
      </c>
      <c r="E94" s="281" t="str">
        <f>IF(HLOOKUP(E$13,'MP (nominal)'!$D$12:$AM$244,ROW()-12,FALSE)="","",HLOOKUP(E$13,'MP (nominal)'!$D$12:$AM$244,ROW()-12,FALSE))</f>
        <v/>
      </c>
      <c r="F94" s="27">
        <f>IF(HLOOKUP(F$13,'MP (nominal)'!$D$12:$AM$244,ROW()-12,FALSE)="","",HLOOKUP(F$13,'MP (nominal)'!$D$12:$AM$244,ROW()-12,FALSE))</f>
        <v>500</v>
      </c>
      <c r="G94" s="281" t="str">
        <f>IF(HLOOKUP(G$13,'MP (nominal)'!$D$12:$AM$244,ROW()-12,FALSE)="","",HLOOKUP(G$13,'MP (nominal)'!$D$12:$AM$244,ROW()-12,FALSE))</f>
        <v/>
      </c>
      <c r="H94" s="27">
        <f>IF(HLOOKUP(H$13,'MP (nominal)'!$D$12:$AM$244,ROW()-12,FALSE)="","",HLOOKUP(H$13,'MP (nominal)'!$D$12:$AM$244,ROW()-12,FALSE))</f>
        <v>4180</v>
      </c>
      <c r="I94" s="31" t="str">
        <f>IF(HLOOKUP(I$13,'MP (nominal)'!$D$12:$AM$244,ROW()-12,FALSE)="","",HLOOKUP(I$13,'MP (nominal)'!$D$12:$AM$244,ROW()-12,FALSE))</f>
        <v/>
      </c>
      <c r="J94" s="31">
        <f>IF(HLOOKUP(J$13,'MP (nominal)'!$D$12:$AM$244,ROW()-12,FALSE)="","",HLOOKUP(J$13,'MP (nominal)'!$D$12:$AM$244,ROW()-12,FALSE))</f>
        <v>3680</v>
      </c>
      <c r="K94" s="281"/>
      <c r="L94" s="27">
        <f>IF(HLOOKUP(L$13,'MP (nominal)'!$D$12:$AM$244,ROW()-12,FALSE)="","",HLOOKUP(L$13,'MP (nominal)'!$D$12:$AM$244,ROW()-12,FALSE))</f>
        <v>74.430000000000007</v>
      </c>
      <c r="M94" s="293">
        <f>IF(HLOOKUP(M$13,'MP (nominal)'!$D$12:$AM$244,ROW()-12,FALSE)="","",HLOOKUP(M$13,'MP (nominal)'!$D$12:$AM$244,ROW()-12,FALSE))</f>
        <v>433.651882</v>
      </c>
      <c r="N94" s="35"/>
      <c r="O94" s="27">
        <f>IF(HLOOKUP(O$13,'MP (nominal)'!$D$12:$AM$244,ROW()-12,FALSE)="","",HLOOKUP(O$13,'MP (nominal)'!$D$12:$AM$244,ROW()-12,FALSE))</f>
        <v>29082</v>
      </c>
      <c r="P94" s="31"/>
      <c r="Q94" s="281"/>
      <c r="R94" s="281">
        <f>IF(HLOOKUP(R$13,'MP (nominal)'!$D$12:$AM$244,ROW()-12,FALSE)="","",HLOOKUP(R$13,'MP (nominal)'!$D$12:$AM$244,ROW()-12,FALSE))</f>
        <v>99.64</v>
      </c>
      <c r="S94" s="281" t="str">
        <f>IF(HLOOKUP(S$13,'MP (nominal)'!$D$12:$AM$244,ROW()-12,FALSE)="","",HLOOKUP(S$13,'MP (nominal)'!$D$12:$AM$244,ROW()-12,FALSE))</f>
        <v/>
      </c>
      <c r="T94" s="281" t="str">
        <f>IF(HLOOKUP(T$13,'MP (nominal)'!$D$12:$AM$244,ROW()-12,FALSE)="","",HLOOKUP(T$13,'MP (nominal)'!$D$12:$AM$244,ROW()-12,FALSE))</f>
        <v/>
      </c>
      <c r="U94" s="281"/>
      <c r="V94" s="281">
        <f>IF(HLOOKUP(V$13,'MP (nominal)'!$D$12:$AM$244,ROW()-12,FALSE)="","",HLOOKUP(V$13,'MP (nominal)'!$D$12:$AM$244,ROW()-12,FALSE))</f>
        <v>1.21</v>
      </c>
      <c r="W94" s="281" t="str">
        <f>IF(HLOOKUP(W$13,'MP (nominal)'!$D$12:$AM$244,ROW()-12,FALSE)="","",HLOOKUP(W$13,'MP (nominal)'!$D$12:$AM$244,ROW()-12,FALSE))</f>
        <v/>
      </c>
      <c r="X94" s="281" t="str">
        <f>IF(HLOOKUP(X$13,'MP (nominal)'!$D$12:$AM$244,ROW()-12,FALSE)="","",HLOOKUP(X$13,'MP (nominal)'!$D$12:$AM$244,ROW()-12,FALSE))</f>
        <v/>
      </c>
      <c r="Y94" s="281"/>
      <c r="Z94" s="281" t="str">
        <f>IF(HLOOKUP(Z$13,'MP (nominal)'!$D$12:$AM$244,ROW()-12,FALSE)="","",HLOOKUP(Z$13,'MP (nominal)'!$D$12:$AM$244,ROW()-12,FALSE)*VLOOKUP($C94,CPI!$B$9:$I$63,8))</f>
        <v/>
      </c>
      <c r="AA94" s="281" t="str">
        <f>IF(HLOOKUP(AA$13,'MP (nominal)'!$D$12:$AM$244,ROW()-12,FALSE)="","",HLOOKUP(AA$13,'MP (nominal)'!$D$12:$AM$244,ROW()-12,FALSE))</f>
        <v/>
      </c>
      <c r="AB94" s="281" t="str">
        <f>IF(HLOOKUP(AB$13,'MP (nominal)'!$D$12:$AM$244,ROW()-12,FALSE)="","",HLOOKUP(AB$13,'MP (nominal)'!$D$12:$AM$244,ROW()-12,FALSE))</f>
        <v/>
      </c>
      <c r="AC94" s="281"/>
      <c r="AD94" s="281" t="str">
        <f>IF(HLOOKUP(AD$13,'MP (nominal)'!$D$12:$AM$244,ROW()-12,FALSE)="","",HLOOKUP(AD$13,'MP (nominal)'!$D$12:$AM$244,ROW()-12,FALSE)*VLOOKUP($C94,CPI!$B$9:$I$63,8))</f>
        <v/>
      </c>
      <c r="AE94" s="31" t="str">
        <f>IF(HLOOKUP(AE$13,'MP (nominal)'!$D$12:$AM$244,ROW()-12,FALSE)="","",HLOOKUP(AE$13,'MP (nominal)'!$D$12:$AM$244,ROW()-12,FALSE))</f>
        <v/>
      </c>
      <c r="AF94" s="31" t="str">
        <f>IF(HLOOKUP(AF$13,'MP (nominal)'!$D$12:$AM$244,ROW()-12,FALSE)="","",HLOOKUP(AF$13,'MP (nominal)'!$D$12:$AM$244,ROW()-12,FALSE))</f>
        <v/>
      </c>
      <c r="AG94" s="281"/>
      <c r="AH94" s="281" t="str">
        <f>IF(HLOOKUP(AH$13,'MP (nominal)'!$D$12:$AM$244,ROW()-12,FALSE)="","",HLOOKUP(AH$13,'MP (nominal)'!$D$12:$AM$244,ROW()-12,FALSE)*VLOOKUP($C94,CPI!$B$9:$I$63,8))</f>
        <v/>
      </c>
      <c r="AI94" s="31" t="str">
        <f>IF(HLOOKUP(AI$13,'MP (nominal)'!$D$12:$AM$244,ROW()-12,FALSE)="","",HLOOKUP(AI$13,'MP (nominal)'!$D$12:$AM$244,ROW()-12,FALSE))</f>
        <v/>
      </c>
      <c r="AJ94" s="31" t="str">
        <f>IF(HLOOKUP(AJ$13,'MP (nominal)'!$D$12:$AM$244,ROW()-12,FALSE)="","",HLOOKUP(AJ$13,'MP (nominal)'!$D$12:$AM$244,ROW()-12,FALSE))</f>
        <v/>
      </c>
      <c r="AK94" s="281"/>
      <c r="AL94" s="281" t="str">
        <f>IF(HLOOKUP(AL$13,'MP (nominal)'!$D$12:$AM$244,ROW()-12,FALSE)="","",HLOOKUP(AL$13,'MP (nominal)'!$D$12:$AM$244,ROW()-12,FALSE)*VLOOKUP($C94,CPI!$B$9:$I$63,8))</f>
        <v/>
      </c>
      <c r="AM94" s="31" t="str">
        <f>IF(HLOOKUP(AM$13,'MP (nominal)'!$D$12:$AM$244,ROW()-12,FALSE)="","",HLOOKUP(AM$13,'MP (nominal)'!$D$12:$AM$244,ROW()-12,FALSE))</f>
        <v/>
      </c>
      <c r="AN94" s="31" t="str">
        <f>IF(HLOOKUP(AN$13,'MP (nominal)'!$D$12:$AM$244,ROW()-12,FALSE)="","",HLOOKUP(AN$13,'MP (nominal)'!$D$12:$AM$244,ROW()-12,FALSE))</f>
        <v/>
      </c>
      <c r="AO94" s="281"/>
      <c r="AP94" s="281" t="str">
        <f>IF(HLOOKUP(AP$13,'MP (nominal)'!$D$12:$AM$244,ROW()-12,FALSE)="","",HLOOKUP(AP$13,'MP (nominal)'!$D$12:$AM$244,ROW()-12,FALSE)*VLOOKUP($C94,CPI!$B$9:$I$63,8))</f>
        <v/>
      </c>
      <c r="AQ94" s="31" t="str">
        <f>IF(HLOOKUP(AQ$13,'MP (nominal)'!$D$12:$AM$244,ROW()-12,FALSE)="","",HLOOKUP(AQ$13,'MP (nominal)'!$D$12:$AM$244,ROW()-12,FALSE))</f>
        <v/>
      </c>
      <c r="AR94" s="281" t="str">
        <f>IF(HLOOKUP(AR$13,'MP (nominal)'!$D$12:$AM$244,ROW()-12,FALSE)="","",HLOOKUP(AR$13,'MP (nominal)'!$D$12:$AM$244,ROW()-12,FALSE))</f>
        <v/>
      </c>
    </row>
    <row r="95" spans="1:44" s="278" customFormat="1" hidden="1">
      <c r="A95" s="271">
        <f>References!D268</f>
        <v>232</v>
      </c>
      <c r="B95" s="292" t="s">
        <v>39</v>
      </c>
      <c r="C95" s="284">
        <v>2005</v>
      </c>
      <c r="D95" s="27" t="str">
        <f>IF(HLOOKUP(D$13,'MP (nominal)'!$D$12:$AM$244,ROW()-12,FALSE)="","",HLOOKUP(D$13,'MP (nominal)'!$D$12:$AM$244,ROW()-12,FALSE))</f>
        <v/>
      </c>
      <c r="E95" s="281" t="str">
        <f>IF(HLOOKUP(E$13,'MP (nominal)'!$D$12:$AM$244,ROW()-12,FALSE)="","",HLOOKUP(E$13,'MP (nominal)'!$D$12:$AM$244,ROW()-12,FALSE))</f>
        <v/>
      </c>
      <c r="F95" s="27">
        <f>IF(HLOOKUP(F$13,'MP (nominal)'!$D$12:$AM$244,ROW()-12,FALSE)="","",HLOOKUP(F$13,'MP (nominal)'!$D$12:$AM$244,ROW()-12,FALSE))</f>
        <v>540</v>
      </c>
      <c r="G95" s="281" t="str">
        <f>IF(HLOOKUP(G$13,'MP (nominal)'!$D$12:$AM$244,ROW()-12,FALSE)="","",HLOOKUP(G$13,'MP (nominal)'!$D$12:$AM$244,ROW()-12,FALSE))</f>
        <v/>
      </c>
      <c r="H95" s="27">
        <f>IF(HLOOKUP(H$13,'MP (nominal)'!$D$12:$AM$244,ROW()-12,FALSE)="","",HLOOKUP(H$13,'MP (nominal)'!$D$12:$AM$244,ROW()-12,FALSE))</f>
        <v>4178</v>
      </c>
      <c r="I95" s="31" t="str">
        <f>IF(HLOOKUP(I$13,'MP (nominal)'!$D$12:$AM$244,ROW()-12,FALSE)="","",HLOOKUP(I$13,'MP (nominal)'!$D$12:$AM$244,ROW()-12,FALSE))</f>
        <v/>
      </c>
      <c r="J95" s="31">
        <f>IF(HLOOKUP(J$13,'MP (nominal)'!$D$12:$AM$244,ROW()-12,FALSE)="","",HLOOKUP(J$13,'MP (nominal)'!$D$12:$AM$244,ROW()-12,FALSE))</f>
        <v>3638</v>
      </c>
      <c r="K95" s="281"/>
      <c r="L95" s="27">
        <f>IF(HLOOKUP(L$13,'MP (nominal)'!$D$12:$AM$244,ROW()-12,FALSE)="","",HLOOKUP(L$13,'MP (nominal)'!$D$12:$AM$244,ROW()-12,FALSE))</f>
        <v>76.62</v>
      </c>
      <c r="M95" s="293">
        <f>IF(HLOOKUP(M$13,'MP (nominal)'!$D$12:$AM$244,ROW()-12,FALSE)="","",HLOOKUP(M$13,'MP (nominal)'!$D$12:$AM$244,ROW()-12,FALSE))</f>
        <v>449.598118</v>
      </c>
      <c r="N95" s="35"/>
      <c r="O95" s="27">
        <f>IF(HLOOKUP(O$13,'MP (nominal)'!$D$12:$AM$244,ROW()-12,FALSE)="","",HLOOKUP(O$13,'MP (nominal)'!$D$12:$AM$244,ROW()-12,FALSE))</f>
        <v>30283</v>
      </c>
      <c r="P95" s="31"/>
      <c r="Q95" s="281"/>
      <c r="R95" s="281">
        <f>IF(HLOOKUP(R$13,'MP (nominal)'!$D$12:$AM$244,ROW()-12,FALSE)="","",HLOOKUP(R$13,'MP (nominal)'!$D$12:$AM$244,ROW()-12,FALSE))</f>
        <v>115.5685</v>
      </c>
      <c r="S95" s="281" t="str">
        <f>IF(HLOOKUP(S$13,'MP (nominal)'!$D$12:$AM$244,ROW()-12,FALSE)="","",HLOOKUP(S$13,'MP (nominal)'!$D$12:$AM$244,ROW()-12,FALSE))</f>
        <v/>
      </c>
      <c r="T95" s="281" t="str">
        <f>IF(HLOOKUP(T$13,'MP (nominal)'!$D$12:$AM$244,ROW()-12,FALSE)="","",HLOOKUP(T$13,'MP (nominal)'!$D$12:$AM$244,ROW()-12,FALSE))</f>
        <v/>
      </c>
      <c r="U95" s="281"/>
      <c r="V95" s="281">
        <f>IF(HLOOKUP(V$13,'MP (nominal)'!$D$12:$AM$244,ROW()-12,FALSE)="","",HLOOKUP(V$13,'MP (nominal)'!$D$12:$AM$244,ROW()-12,FALSE))</f>
        <v>1.1657</v>
      </c>
      <c r="W95" s="281" t="str">
        <f>IF(HLOOKUP(W$13,'MP (nominal)'!$D$12:$AM$244,ROW()-12,FALSE)="","",HLOOKUP(W$13,'MP (nominal)'!$D$12:$AM$244,ROW()-12,FALSE))</f>
        <v/>
      </c>
      <c r="X95" s="281" t="str">
        <f>IF(HLOOKUP(X$13,'MP (nominal)'!$D$12:$AM$244,ROW()-12,FALSE)="","",HLOOKUP(X$13,'MP (nominal)'!$D$12:$AM$244,ROW()-12,FALSE))</f>
        <v/>
      </c>
      <c r="Y95" s="281"/>
      <c r="Z95" s="281" t="str">
        <f>IF(HLOOKUP(Z$13,'MP (nominal)'!$D$12:$AM$244,ROW()-12,FALSE)="","",HLOOKUP(Z$13,'MP (nominal)'!$D$12:$AM$244,ROW()-12,FALSE)*VLOOKUP($C95,CPI!$B$9:$I$63,8))</f>
        <v/>
      </c>
      <c r="AA95" s="281" t="str">
        <f>IF(HLOOKUP(AA$13,'MP (nominal)'!$D$12:$AM$244,ROW()-12,FALSE)="","",HLOOKUP(AA$13,'MP (nominal)'!$D$12:$AM$244,ROW()-12,FALSE))</f>
        <v/>
      </c>
      <c r="AB95" s="281" t="str">
        <f>IF(HLOOKUP(AB$13,'MP (nominal)'!$D$12:$AM$244,ROW()-12,FALSE)="","",HLOOKUP(AB$13,'MP (nominal)'!$D$12:$AM$244,ROW()-12,FALSE))</f>
        <v/>
      </c>
      <c r="AC95" s="281"/>
      <c r="AD95" s="281" t="str">
        <f>IF(HLOOKUP(AD$13,'MP (nominal)'!$D$12:$AM$244,ROW()-12,FALSE)="","",HLOOKUP(AD$13,'MP (nominal)'!$D$12:$AM$244,ROW()-12,FALSE)*VLOOKUP($C95,CPI!$B$9:$I$63,8))</f>
        <v/>
      </c>
      <c r="AE95" s="31" t="str">
        <f>IF(HLOOKUP(AE$13,'MP (nominal)'!$D$12:$AM$244,ROW()-12,FALSE)="","",HLOOKUP(AE$13,'MP (nominal)'!$D$12:$AM$244,ROW()-12,FALSE))</f>
        <v/>
      </c>
      <c r="AF95" s="31" t="str">
        <f>IF(HLOOKUP(AF$13,'MP (nominal)'!$D$12:$AM$244,ROW()-12,FALSE)="","",HLOOKUP(AF$13,'MP (nominal)'!$D$12:$AM$244,ROW()-12,FALSE))</f>
        <v/>
      </c>
      <c r="AG95" s="281"/>
      <c r="AH95" s="281" t="str">
        <f>IF(HLOOKUP(AH$13,'MP (nominal)'!$D$12:$AM$244,ROW()-12,FALSE)="","",HLOOKUP(AH$13,'MP (nominal)'!$D$12:$AM$244,ROW()-12,FALSE)*VLOOKUP($C95,CPI!$B$9:$I$63,8))</f>
        <v/>
      </c>
      <c r="AI95" s="31" t="str">
        <f>IF(HLOOKUP(AI$13,'MP (nominal)'!$D$12:$AM$244,ROW()-12,FALSE)="","",HLOOKUP(AI$13,'MP (nominal)'!$D$12:$AM$244,ROW()-12,FALSE))</f>
        <v/>
      </c>
      <c r="AJ95" s="31" t="str">
        <f>IF(HLOOKUP(AJ$13,'MP (nominal)'!$D$12:$AM$244,ROW()-12,FALSE)="","",HLOOKUP(AJ$13,'MP (nominal)'!$D$12:$AM$244,ROW()-12,FALSE))</f>
        <v/>
      </c>
      <c r="AK95" s="281"/>
      <c r="AL95" s="281" t="str">
        <f>IF(HLOOKUP(AL$13,'MP (nominal)'!$D$12:$AM$244,ROW()-12,FALSE)="","",HLOOKUP(AL$13,'MP (nominal)'!$D$12:$AM$244,ROW()-12,FALSE)*VLOOKUP($C95,CPI!$B$9:$I$63,8))</f>
        <v/>
      </c>
      <c r="AM95" s="31" t="str">
        <f>IF(HLOOKUP(AM$13,'MP (nominal)'!$D$12:$AM$244,ROW()-12,FALSE)="","",HLOOKUP(AM$13,'MP (nominal)'!$D$12:$AM$244,ROW()-12,FALSE))</f>
        <v/>
      </c>
      <c r="AN95" s="31" t="str">
        <f>IF(HLOOKUP(AN$13,'MP (nominal)'!$D$12:$AM$244,ROW()-12,FALSE)="","",HLOOKUP(AN$13,'MP (nominal)'!$D$12:$AM$244,ROW()-12,FALSE))</f>
        <v/>
      </c>
      <c r="AO95" s="281"/>
      <c r="AP95" s="281" t="str">
        <f>IF(HLOOKUP(AP$13,'MP (nominal)'!$D$12:$AM$244,ROW()-12,FALSE)="","",HLOOKUP(AP$13,'MP (nominal)'!$D$12:$AM$244,ROW()-12,FALSE)*VLOOKUP($C95,CPI!$B$9:$I$63,8))</f>
        <v/>
      </c>
      <c r="AQ95" s="31" t="str">
        <f>IF(HLOOKUP(AQ$13,'MP (nominal)'!$D$12:$AM$244,ROW()-12,FALSE)="","",HLOOKUP(AQ$13,'MP (nominal)'!$D$12:$AM$244,ROW()-12,FALSE))</f>
        <v/>
      </c>
      <c r="AR95" s="281" t="str">
        <f>IF(HLOOKUP(AR$13,'MP (nominal)'!$D$12:$AM$244,ROW()-12,FALSE)="","",HLOOKUP(AR$13,'MP (nominal)'!$D$12:$AM$244,ROW()-12,FALSE))</f>
        <v/>
      </c>
    </row>
    <row r="96" spans="1:44" s="278" customFormat="1" hidden="1">
      <c r="A96" s="271">
        <f>References!E268</f>
        <v>233</v>
      </c>
      <c r="B96" s="292" t="s">
        <v>39</v>
      </c>
      <c r="C96" s="284">
        <v>2006</v>
      </c>
      <c r="D96" s="27" t="str">
        <f>IF(HLOOKUP(D$13,'MP (nominal)'!$D$12:$AM$244,ROW()-12,FALSE)="","",HLOOKUP(D$13,'MP (nominal)'!$D$12:$AM$244,ROW()-12,FALSE))</f>
        <v/>
      </c>
      <c r="E96" s="281" t="str">
        <f>IF(HLOOKUP(E$13,'MP (nominal)'!$D$12:$AM$244,ROW()-12,FALSE)="","",HLOOKUP(E$13,'MP (nominal)'!$D$12:$AM$244,ROW()-12,FALSE))</f>
        <v/>
      </c>
      <c r="F96" s="27">
        <f>IF(HLOOKUP(F$13,'MP (nominal)'!$D$12:$AM$244,ROW()-12,FALSE)="","",HLOOKUP(F$13,'MP (nominal)'!$D$12:$AM$244,ROW()-12,FALSE))</f>
        <v>756</v>
      </c>
      <c r="G96" s="281" t="str">
        <f>IF(HLOOKUP(G$13,'MP (nominal)'!$D$12:$AM$244,ROW()-12,FALSE)="","",HLOOKUP(G$13,'MP (nominal)'!$D$12:$AM$244,ROW()-12,FALSE))</f>
        <v/>
      </c>
      <c r="H96" s="27">
        <f>IF(HLOOKUP(H$13,'MP (nominal)'!$D$12:$AM$244,ROW()-12,FALSE)="","",HLOOKUP(H$13,'MP (nominal)'!$D$12:$AM$244,ROW()-12,FALSE))</f>
        <v>4420</v>
      </c>
      <c r="I96" s="31" t="str">
        <f>IF(HLOOKUP(I$13,'MP (nominal)'!$D$12:$AM$244,ROW()-12,FALSE)="","",HLOOKUP(I$13,'MP (nominal)'!$D$12:$AM$244,ROW()-12,FALSE))</f>
        <v/>
      </c>
      <c r="J96" s="31">
        <f>IF(HLOOKUP(J$13,'MP (nominal)'!$D$12:$AM$244,ROW()-12,FALSE)="","",HLOOKUP(J$13,'MP (nominal)'!$D$12:$AM$244,ROW()-12,FALSE))</f>
        <v>3664</v>
      </c>
      <c r="K96" s="281"/>
      <c r="L96" s="27">
        <f>IF(HLOOKUP(L$13,'MP (nominal)'!$D$12:$AM$244,ROW()-12,FALSE)="","",HLOOKUP(L$13,'MP (nominal)'!$D$12:$AM$244,ROW()-12,FALSE))</f>
        <v>79.566999999999993</v>
      </c>
      <c r="M96" s="293">
        <f>IF(HLOOKUP(M$13,'MP (nominal)'!$D$12:$AM$244,ROW()-12,FALSE)="","",HLOOKUP(M$13,'MP (nominal)'!$D$12:$AM$244,ROW()-12,FALSE))</f>
        <v>460.72894100000002</v>
      </c>
      <c r="N96" s="35"/>
      <c r="O96" s="27">
        <f>IF(HLOOKUP(O$13,'MP (nominal)'!$D$12:$AM$244,ROW()-12,FALSE)="","",HLOOKUP(O$13,'MP (nominal)'!$D$12:$AM$244,ROW()-12,FALSE))</f>
        <v>30671</v>
      </c>
      <c r="P96" s="31"/>
      <c r="Q96" s="281"/>
      <c r="R96" s="281">
        <f>IF(HLOOKUP(R$13,'MP (nominal)'!$D$12:$AM$244,ROW()-12,FALSE)="","",HLOOKUP(R$13,'MP (nominal)'!$D$12:$AM$244,ROW()-12,FALSE))</f>
        <v>109.17</v>
      </c>
      <c r="S96" s="281" t="str">
        <f>IF(HLOOKUP(S$13,'MP (nominal)'!$D$12:$AM$244,ROW()-12,FALSE)="","",HLOOKUP(S$13,'MP (nominal)'!$D$12:$AM$244,ROW()-12,FALSE))</f>
        <v/>
      </c>
      <c r="T96" s="281" t="str">
        <f>IF(HLOOKUP(T$13,'MP (nominal)'!$D$12:$AM$244,ROW()-12,FALSE)="","",HLOOKUP(T$13,'MP (nominal)'!$D$12:$AM$244,ROW()-12,FALSE))</f>
        <v/>
      </c>
      <c r="U96" s="281"/>
      <c r="V96" s="281">
        <f>IF(HLOOKUP(V$13,'MP (nominal)'!$D$12:$AM$244,ROW()-12,FALSE)="","",HLOOKUP(V$13,'MP (nominal)'!$D$12:$AM$244,ROW()-12,FALSE))</f>
        <v>1.84</v>
      </c>
      <c r="W96" s="281" t="str">
        <f>IF(HLOOKUP(W$13,'MP (nominal)'!$D$12:$AM$244,ROW()-12,FALSE)="","",HLOOKUP(W$13,'MP (nominal)'!$D$12:$AM$244,ROW()-12,FALSE))</f>
        <v/>
      </c>
      <c r="X96" s="281" t="str">
        <f>IF(HLOOKUP(X$13,'MP (nominal)'!$D$12:$AM$244,ROW()-12,FALSE)="","",HLOOKUP(X$13,'MP (nominal)'!$D$12:$AM$244,ROW()-12,FALSE))</f>
        <v/>
      </c>
      <c r="Y96" s="281"/>
      <c r="Z96" s="281" t="str">
        <f>IF(HLOOKUP(Z$13,'MP (nominal)'!$D$12:$AM$244,ROW()-12,FALSE)="","",HLOOKUP(Z$13,'MP (nominal)'!$D$12:$AM$244,ROW()-12,FALSE)*VLOOKUP($C96,CPI!$B$9:$I$63,8))</f>
        <v/>
      </c>
      <c r="AA96" s="281" t="str">
        <f>IF(HLOOKUP(AA$13,'MP (nominal)'!$D$12:$AM$244,ROW()-12,FALSE)="","",HLOOKUP(AA$13,'MP (nominal)'!$D$12:$AM$244,ROW()-12,FALSE))</f>
        <v/>
      </c>
      <c r="AB96" s="281" t="str">
        <f>IF(HLOOKUP(AB$13,'MP (nominal)'!$D$12:$AM$244,ROW()-12,FALSE)="","",HLOOKUP(AB$13,'MP (nominal)'!$D$12:$AM$244,ROW()-12,FALSE))</f>
        <v/>
      </c>
      <c r="AC96" s="281"/>
      <c r="AD96" s="281" t="str">
        <f>IF(HLOOKUP(AD$13,'MP (nominal)'!$D$12:$AM$244,ROW()-12,FALSE)="","",HLOOKUP(AD$13,'MP (nominal)'!$D$12:$AM$244,ROW()-12,FALSE)*VLOOKUP($C96,CPI!$B$9:$I$63,8))</f>
        <v/>
      </c>
      <c r="AE96" s="31" t="str">
        <f>IF(HLOOKUP(AE$13,'MP (nominal)'!$D$12:$AM$244,ROW()-12,FALSE)="","",HLOOKUP(AE$13,'MP (nominal)'!$D$12:$AM$244,ROW()-12,FALSE))</f>
        <v/>
      </c>
      <c r="AF96" s="31" t="str">
        <f>IF(HLOOKUP(AF$13,'MP (nominal)'!$D$12:$AM$244,ROW()-12,FALSE)="","",HLOOKUP(AF$13,'MP (nominal)'!$D$12:$AM$244,ROW()-12,FALSE))</f>
        <v/>
      </c>
      <c r="AG96" s="281"/>
      <c r="AH96" s="281" t="str">
        <f>IF(HLOOKUP(AH$13,'MP (nominal)'!$D$12:$AM$244,ROW()-12,FALSE)="","",HLOOKUP(AH$13,'MP (nominal)'!$D$12:$AM$244,ROW()-12,FALSE)*VLOOKUP($C96,CPI!$B$9:$I$63,8))</f>
        <v/>
      </c>
      <c r="AI96" s="31" t="str">
        <f>IF(HLOOKUP(AI$13,'MP (nominal)'!$D$12:$AM$244,ROW()-12,FALSE)="","",HLOOKUP(AI$13,'MP (nominal)'!$D$12:$AM$244,ROW()-12,FALSE))</f>
        <v/>
      </c>
      <c r="AJ96" s="31" t="str">
        <f>IF(HLOOKUP(AJ$13,'MP (nominal)'!$D$12:$AM$244,ROW()-12,FALSE)="","",HLOOKUP(AJ$13,'MP (nominal)'!$D$12:$AM$244,ROW()-12,FALSE))</f>
        <v/>
      </c>
      <c r="AK96" s="281"/>
      <c r="AL96" s="281" t="str">
        <f>IF(HLOOKUP(AL$13,'MP (nominal)'!$D$12:$AM$244,ROW()-12,FALSE)="","",HLOOKUP(AL$13,'MP (nominal)'!$D$12:$AM$244,ROW()-12,FALSE)*VLOOKUP($C96,CPI!$B$9:$I$63,8))</f>
        <v/>
      </c>
      <c r="AM96" s="31" t="str">
        <f>IF(HLOOKUP(AM$13,'MP (nominal)'!$D$12:$AM$244,ROW()-12,FALSE)="","",HLOOKUP(AM$13,'MP (nominal)'!$D$12:$AM$244,ROW()-12,FALSE))</f>
        <v/>
      </c>
      <c r="AN96" s="31" t="str">
        <f>IF(HLOOKUP(AN$13,'MP (nominal)'!$D$12:$AM$244,ROW()-12,FALSE)="","",HLOOKUP(AN$13,'MP (nominal)'!$D$12:$AM$244,ROW()-12,FALSE))</f>
        <v/>
      </c>
      <c r="AO96" s="281"/>
      <c r="AP96" s="281" t="str">
        <f>IF(HLOOKUP(AP$13,'MP (nominal)'!$D$12:$AM$244,ROW()-12,FALSE)="","",HLOOKUP(AP$13,'MP (nominal)'!$D$12:$AM$244,ROW()-12,FALSE)*VLOOKUP($C96,CPI!$B$9:$I$63,8))</f>
        <v/>
      </c>
      <c r="AQ96" s="31" t="str">
        <f>IF(HLOOKUP(AQ$13,'MP (nominal)'!$D$12:$AM$244,ROW()-12,FALSE)="","",HLOOKUP(AQ$13,'MP (nominal)'!$D$12:$AM$244,ROW()-12,FALSE))</f>
        <v/>
      </c>
      <c r="AR96" s="281" t="str">
        <f>IF(HLOOKUP(AR$13,'MP (nominal)'!$D$12:$AM$244,ROW()-12,FALSE)="","",HLOOKUP(AR$13,'MP (nominal)'!$D$12:$AM$244,ROW()-12,FALSE))</f>
        <v/>
      </c>
    </row>
    <row r="97" spans="1:44" s="278" customFormat="1" hidden="1">
      <c r="A97" s="271">
        <f>References!F268</f>
        <v>234</v>
      </c>
      <c r="B97" s="292" t="s">
        <v>39</v>
      </c>
      <c r="C97" s="284">
        <v>2007</v>
      </c>
      <c r="D97" s="27" t="str">
        <f>IF(HLOOKUP(D$13,'MP (nominal)'!$D$12:$AM$244,ROW()-12,FALSE)="","",HLOOKUP(D$13,'MP (nominal)'!$D$12:$AM$244,ROW()-12,FALSE))</f>
        <v/>
      </c>
      <c r="E97" s="281" t="str">
        <f>IF(HLOOKUP(E$13,'MP (nominal)'!$D$12:$AM$244,ROW()-12,FALSE)="","",HLOOKUP(E$13,'MP (nominal)'!$D$12:$AM$244,ROW()-12,FALSE))</f>
        <v/>
      </c>
      <c r="F97" s="27">
        <f>IF(HLOOKUP(F$13,'MP (nominal)'!$D$12:$AM$244,ROW()-12,FALSE)="","",HLOOKUP(F$13,'MP (nominal)'!$D$12:$AM$244,ROW()-12,FALSE))</f>
        <v>785</v>
      </c>
      <c r="G97" s="281" t="str">
        <f>IF(HLOOKUP(G$13,'MP (nominal)'!$D$12:$AM$244,ROW()-12,FALSE)="","",HLOOKUP(G$13,'MP (nominal)'!$D$12:$AM$244,ROW()-12,FALSE))</f>
        <v/>
      </c>
      <c r="H97" s="27">
        <f>IF(HLOOKUP(H$13,'MP (nominal)'!$D$12:$AM$244,ROW()-12,FALSE)="","",HLOOKUP(H$13,'MP (nominal)'!$D$12:$AM$244,ROW()-12,FALSE))</f>
        <v>4477</v>
      </c>
      <c r="I97" s="31" t="str">
        <f>IF(HLOOKUP(I$13,'MP (nominal)'!$D$12:$AM$244,ROW()-12,FALSE)="","",HLOOKUP(I$13,'MP (nominal)'!$D$12:$AM$244,ROW()-12,FALSE))</f>
        <v/>
      </c>
      <c r="J97" s="31">
        <f>IF(HLOOKUP(J$13,'MP (nominal)'!$D$12:$AM$244,ROW()-12,FALSE)="","",HLOOKUP(J$13,'MP (nominal)'!$D$12:$AM$244,ROW()-12,FALSE))</f>
        <v>3692</v>
      </c>
      <c r="K97" s="281"/>
      <c r="L97" s="27">
        <f>IF(HLOOKUP(L$13,'MP (nominal)'!$D$12:$AM$244,ROW()-12,FALSE)="","",HLOOKUP(L$13,'MP (nominal)'!$D$12:$AM$244,ROW()-12,FALSE))</f>
        <v>84.74</v>
      </c>
      <c r="M97" s="293">
        <f>IF(HLOOKUP(M$13,'MP (nominal)'!$D$12:$AM$244,ROW()-12,FALSE)="","",HLOOKUP(M$13,'MP (nominal)'!$D$12:$AM$244,ROW()-12,FALSE))</f>
        <v>466.51799499999998</v>
      </c>
      <c r="N97" s="35"/>
      <c r="O97" s="27">
        <f>IF(HLOOKUP(O$13,'MP (nominal)'!$D$12:$AM$244,ROW()-12,FALSE)="","",HLOOKUP(O$13,'MP (nominal)'!$D$12:$AM$244,ROW()-12,FALSE))</f>
        <v>31666</v>
      </c>
      <c r="P97" s="31"/>
      <c r="Q97" s="281"/>
      <c r="R97" s="281">
        <f>IF(HLOOKUP(R$13,'MP (nominal)'!$D$12:$AM$244,ROW()-12,FALSE)="","",HLOOKUP(R$13,'MP (nominal)'!$D$12:$AM$244,ROW()-12,FALSE))</f>
        <v>236.53</v>
      </c>
      <c r="S97" s="281" t="str">
        <f>IF(HLOOKUP(S$13,'MP (nominal)'!$D$12:$AM$244,ROW()-12,FALSE)="","",HLOOKUP(S$13,'MP (nominal)'!$D$12:$AM$244,ROW()-12,FALSE))</f>
        <v/>
      </c>
      <c r="T97" s="281" t="str">
        <f>IF(HLOOKUP(T$13,'MP (nominal)'!$D$12:$AM$244,ROW()-12,FALSE)="","",HLOOKUP(T$13,'MP (nominal)'!$D$12:$AM$244,ROW()-12,FALSE))</f>
        <v/>
      </c>
      <c r="U97" s="281"/>
      <c r="V97" s="281">
        <f>IF(HLOOKUP(V$13,'MP (nominal)'!$D$12:$AM$244,ROW()-12,FALSE)="","",HLOOKUP(V$13,'MP (nominal)'!$D$12:$AM$244,ROW()-12,FALSE))</f>
        <v>2.27</v>
      </c>
      <c r="W97" s="281" t="str">
        <f>IF(HLOOKUP(W$13,'MP (nominal)'!$D$12:$AM$244,ROW()-12,FALSE)="","",HLOOKUP(W$13,'MP (nominal)'!$D$12:$AM$244,ROW()-12,FALSE))</f>
        <v/>
      </c>
      <c r="X97" s="281" t="str">
        <f>IF(HLOOKUP(X$13,'MP (nominal)'!$D$12:$AM$244,ROW()-12,FALSE)="","",HLOOKUP(X$13,'MP (nominal)'!$D$12:$AM$244,ROW()-12,FALSE))</f>
        <v/>
      </c>
      <c r="Y97" s="281"/>
      <c r="Z97" s="281" t="str">
        <f>IF(HLOOKUP(Z$13,'MP (nominal)'!$D$12:$AM$244,ROW()-12,FALSE)="","",HLOOKUP(Z$13,'MP (nominal)'!$D$12:$AM$244,ROW()-12,FALSE)*VLOOKUP($C97,CPI!$B$9:$I$63,8))</f>
        <v/>
      </c>
      <c r="AA97" s="281" t="str">
        <f>IF(HLOOKUP(AA$13,'MP (nominal)'!$D$12:$AM$244,ROW()-12,FALSE)="","",HLOOKUP(AA$13,'MP (nominal)'!$D$12:$AM$244,ROW()-12,FALSE))</f>
        <v/>
      </c>
      <c r="AB97" s="281" t="str">
        <f>IF(HLOOKUP(AB$13,'MP (nominal)'!$D$12:$AM$244,ROW()-12,FALSE)="","",HLOOKUP(AB$13,'MP (nominal)'!$D$12:$AM$244,ROW()-12,FALSE))</f>
        <v/>
      </c>
      <c r="AC97" s="281"/>
      <c r="AD97" s="281" t="str">
        <f>IF(HLOOKUP(AD$13,'MP (nominal)'!$D$12:$AM$244,ROW()-12,FALSE)="","",HLOOKUP(AD$13,'MP (nominal)'!$D$12:$AM$244,ROW()-12,FALSE)*VLOOKUP($C97,CPI!$B$9:$I$63,8))</f>
        <v/>
      </c>
      <c r="AE97" s="31" t="str">
        <f>IF(HLOOKUP(AE$13,'MP (nominal)'!$D$12:$AM$244,ROW()-12,FALSE)="","",HLOOKUP(AE$13,'MP (nominal)'!$D$12:$AM$244,ROW()-12,FALSE))</f>
        <v/>
      </c>
      <c r="AF97" s="31" t="str">
        <f>IF(HLOOKUP(AF$13,'MP (nominal)'!$D$12:$AM$244,ROW()-12,FALSE)="","",HLOOKUP(AF$13,'MP (nominal)'!$D$12:$AM$244,ROW()-12,FALSE))</f>
        <v/>
      </c>
      <c r="AG97" s="281"/>
      <c r="AH97" s="281" t="str">
        <f>IF(HLOOKUP(AH$13,'MP (nominal)'!$D$12:$AM$244,ROW()-12,FALSE)="","",HLOOKUP(AH$13,'MP (nominal)'!$D$12:$AM$244,ROW()-12,FALSE)*VLOOKUP($C97,CPI!$B$9:$I$63,8))</f>
        <v/>
      </c>
      <c r="AI97" s="31" t="str">
        <f>IF(HLOOKUP(AI$13,'MP (nominal)'!$D$12:$AM$244,ROW()-12,FALSE)="","",HLOOKUP(AI$13,'MP (nominal)'!$D$12:$AM$244,ROW()-12,FALSE))</f>
        <v/>
      </c>
      <c r="AJ97" s="31" t="str">
        <f>IF(HLOOKUP(AJ$13,'MP (nominal)'!$D$12:$AM$244,ROW()-12,FALSE)="","",HLOOKUP(AJ$13,'MP (nominal)'!$D$12:$AM$244,ROW()-12,FALSE))</f>
        <v/>
      </c>
      <c r="AK97" s="281"/>
      <c r="AL97" s="281" t="str">
        <f>IF(HLOOKUP(AL$13,'MP (nominal)'!$D$12:$AM$244,ROW()-12,FALSE)="","",HLOOKUP(AL$13,'MP (nominal)'!$D$12:$AM$244,ROW()-12,FALSE)*VLOOKUP($C97,CPI!$B$9:$I$63,8))</f>
        <v/>
      </c>
      <c r="AM97" s="31" t="str">
        <f>IF(HLOOKUP(AM$13,'MP (nominal)'!$D$12:$AM$244,ROW()-12,FALSE)="","",HLOOKUP(AM$13,'MP (nominal)'!$D$12:$AM$244,ROW()-12,FALSE))</f>
        <v/>
      </c>
      <c r="AN97" s="31" t="str">
        <f>IF(HLOOKUP(AN$13,'MP (nominal)'!$D$12:$AM$244,ROW()-12,FALSE)="","",HLOOKUP(AN$13,'MP (nominal)'!$D$12:$AM$244,ROW()-12,FALSE))</f>
        <v/>
      </c>
      <c r="AO97" s="281"/>
      <c r="AP97" s="281" t="str">
        <f>IF(HLOOKUP(AP$13,'MP (nominal)'!$D$12:$AM$244,ROW()-12,FALSE)="","",HLOOKUP(AP$13,'MP (nominal)'!$D$12:$AM$244,ROW()-12,FALSE)*VLOOKUP($C97,CPI!$B$9:$I$63,8))</f>
        <v/>
      </c>
      <c r="AQ97" s="31" t="str">
        <f>IF(HLOOKUP(AQ$13,'MP (nominal)'!$D$12:$AM$244,ROW()-12,FALSE)="","",HLOOKUP(AQ$13,'MP (nominal)'!$D$12:$AM$244,ROW()-12,FALSE))</f>
        <v/>
      </c>
      <c r="AR97" s="281" t="str">
        <f>IF(HLOOKUP(AR$13,'MP (nominal)'!$D$12:$AM$244,ROW()-12,FALSE)="","",HLOOKUP(AR$13,'MP (nominal)'!$D$12:$AM$244,ROW()-12,FALSE))</f>
        <v/>
      </c>
    </row>
    <row r="98" spans="1:44" s="278" customFormat="1">
      <c r="A98" s="271">
        <f>References!G268</f>
        <v>235</v>
      </c>
      <c r="B98" s="292" t="s">
        <v>39</v>
      </c>
      <c r="C98" s="284">
        <v>2008</v>
      </c>
      <c r="D98" s="27">
        <f>IF(HLOOKUP(D$13,'MP (nominal)'!$D$12:$AM$244,ROW()-12,FALSE)="","",HLOOKUP(D$13,'MP (nominal)'!$D$12:$AM$244,ROW()-12,FALSE))</f>
        <v>3696</v>
      </c>
      <c r="E98" s="281">
        <f>IF(HLOOKUP(E$13,'MP (nominal)'!$D$12:$AM$244,ROW()-12,FALSE)="","",HLOOKUP(E$13,'MP (nominal)'!$D$12:$AM$244,ROW()-12,FALSE))</f>
        <v>0</v>
      </c>
      <c r="F98" s="27">
        <f>IF(HLOOKUP(F$13,'MP (nominal)'!$D$12:$AM$244,ROW()-12,FALSE)="","",HLOOKUP(F$13,'MP (nominal)'!$D$12:$AM$244,ROW()-12,FALSE))</f>
        <v>629.70799999999997</v>
      </c>
      <c r="G98" s="281">
        <f>IF(HLOOKUP(G$13,'MP (nominal)'!$D$12:$AM$244,ROW()-12,FALSE)="","",HLOOKUP(G$13,'MP (nominal)'!$D$12:$AM$244,ROW()-12,FALSE))</f>
        <v>223.13</v>
      </c>
      <c r="H98" s="27">
        <f>IF(HLOOKUP(H$13,'MP (nominal)'!$D$12:$AM$244,ROW()-12,FALSE)="","",HLOOKUP(H$13,'MP (nominal)'!$D$12:$AM$244,ROW()-12,FALSE))</f>
        <v>4325.7079999999996</v>
      </c>
      <c r="I98" s="31">
        <f>IF(HLOOKUP(I$13,'MP (nominal)'!$D$12:$AM$244,ROW()-12,FALSE)="","",HLOOKUP(I$13,'MP (nominal)'!$D$12:$AM$244,ROW()-12,FALSE))</f>
        <v>223.13</v>
      </c>
      <c r="J98" s="31">
        <f>IF(HLOOKUP(J$13,'MP (nominal)'!$D$12:$AM$244,ROW()-12,FALSE)="","",HLOOKUP(J$13,'MP (nominal)'!$D$12:$AM$244,ROW()-12,FALSE))</f>
        <v>3696</v>
      </c>
      <c r="K98" s="281"/>
      <c r="L98" s="27">
        <f>IF(HLOOKUP(L$13,'MP (nominal)'!$D$12:$AM$244,ROW()-12,FALSE)="","",HLOOKUP(L$13,'MP (nominal)'!$D$12:$AM$244,ROW()-12,FALSE))</f>
        <v>86</v>
      </c>
      <c r="M98" s="283">
        <f>IF(HLOOKUP(M$13,'MP (nominal)'!$D$12:$AM$244,ROW()-12,FALSE)="","",HLOOKUP(M$13,'MP (nominal)'!$D$12:$AM$244,ROW()-12,FALSE))</f>
        <v>492</v>
      </c>
      <c r="N98" s="35"/>
      <c r="O98" s="27">
        <f>IF(HLOOKUP(O$13,'MP (nominal)'!$D$12:$AM$244,ROW()-12,FALSE)="","",HLOOKUP(O$13,'MP (nominal)'!$D$12:$AM$244,ROW()-12,FALSE))</f>
        <v>32545</v>
      </c>
      <c r="P98" s="31"/>
      <c r="Q98" s="281"/>
      <c r="R98" s="281">
        <f>IF(HLOOKUP(R$13,'MP (nominal)'!$D$12:$AM$244,ROW()-12,FALSE)="","",HLOOKUP(R$13,'MP (nominal)'!$D$12:$AM$244,ROW()-12,FALSE))</f>
        <v>110.67</v>
      </c>
      <c r="S98" s="281">
        <f>IF(HLOOKUP(S$13,'MP (nominal)'!$D$12:$AM$244,ROW()-12,FALSE)="","",HLOOKUP(S$13,'MP (nominal)'!$D$12:$AM$244,ROW()-12,FALSE))</f>
        <v>61.11</v>
      </c>
      <c r="T98" s="281">
        <f>IF(HLOOKUP(T$13,'MP (nominal)'!$D$12:$AM$244,ROW()-12,FALSE)="","",HLOOKUP(T$13,'MP (nominal)'!$D$12:$AM$244,ROW()-12,FALSE))</f>
        <v>49</v>
      </c>
      <c r="U98" s="281"/>
      <c r="V98" s="281">
        <f>IF(HLOOKUP(V$13,'MP (nominal)'!$D$12:$AM$244,ROW()-12,FALSE)="","",HLOOKUP(V$13,'MP (nominal)'!$D$12:$AM$244,ROW()-12,FALSE))</f>
        <v>1.2627999999999999</v>
      </c>
      <c r="W98" s="281">
        <f>IF(HLOOKUP(W$13,'MP (nominal)'!$D$12:$AM$244,ROW()-12,FALSE)="","",HLOOKUP(W$13,'MP (nominal)'!$D$12:$AM$244,ROW()-12,FALSE))</f>
        <v>0.28000000000000003</v>
      </c>
      <c r="X98" s="281">
        <f>IF(HLOOKUP(X$13,'MP (nominal)'!$D$12:$AM$244,ROW()-12,FALSE)="","",HLOOKUP(X$13,'MP (nominal)'!$D$12:$AM$244,ROW()-12,FALSE))</f>
        <v>0.96899999999999997</v>
      </c>
      <c r="Y98" s="281"/>
      <c r="Z98" s="281">
        <f>IF(HLOOKUP(Z$13,'MP (nominal)'!$D$12:$AM$244,ROW()-12,FALSE)="","",HLOOKUP(Z$13,'MP (nominal)'!$D$12:$AM$244,ROW()-12,FALSE)*VLOOKUP($C98,CPI!$B$9:$I$63,8))</f>
        <v>17251.735622023894</v>
      </c>
      <c r="AA98" s="281">
        <f>IF(HLOOKUP(AA$13,'MP (nominal)'!$D$12:$AM$244,ROW()-12,FALSE)="","",HLOOKUP(AA$13,'MP (nominal)'!$D$12:$AM$244,ROW()-12,FALSE))</f>
        <v>216283</v>
      </c>
      <c r="AB98" s="281">
        <f>IF(HLOOKUP(AB$13,'MP (nominal)'!$D$12:$AM$244,ROW()-12,FALSE)="","",HLOOKUP(AB$13,'MP (nominal)'!$D$12:$AM$244,ROW()-12,FALSE))</f>
        <v>27600</v>
      </c>
      <c r="AC98" s="281"/>
      <c r="AD98" s="281">
        <f>IF(HLOOKUP(AD$13,'MP (nominal)'!$D$12:$AM$244,ROW()-12,FALSE)="","",HLOOKUP(AD$13,'MP (nominal)'!$D$12:$AM$244,ROW()-12,FALSE)*VLOOKUP($C98,CPI!$B$9:$I$63,8))</f>
        <v>8190.3159305409026</v>
      </c>
      <c r="AE98" s="31">
        <f>IF(HLOOKUP(AE$13,'MP (nominal)'!$D$12:$AM$244,ROW()-12,FALSE)="","",HLOOKUP(AE$13,'MP (nominal)'!$D$12:$AM$244,ROW()-12,FALSE))</f>
        <v>104811</v>
      </c>
      <c r="AF98" s="31">
        <f>IF(HLOOKUP(AF$13,'MP (nominal)'!$D$12:$AM$244,ROW()-12,FALSE)="","",HLOOKUP(AF$13,'MP (nominal)'!$D$12:$AM$244,ROW()-12,FALSE))</f>
        <v>4481</v>
      </c>
      <c r="AG98" s="281"/>
      <c r="AH98" s="281">
        <f>IF(HLOOKUP(AH$13,'MP (nominal)'!$D$12:$AM$244,ROW()-12,FALSE)="","",HLOOKUP(AH$13,'MP (nominal)'!$D$12:$AM$244,ROW()-12,FALSE)*VLOOKUP($C98,CPI!$B$9:$I$63,8))</f>
        <v>6273.4564169826917</v>
      </c>
      <c r="AI98" s="31">
        <f>IF(HLOOKUP(AI$13,'MP (nominal)'!$D$12:$AM$244,ROW()-12,FALSE)="","",HLOOKUP(AI$13,'MP (nominal)'!$D$12:$AM$244,ROW()-12,FALSE))</f>
        <v>88379</v>
      </c>
      <c r="AJ98" s="31">
        <f>IF(HLOOKUP(AJ$13,'MP (nominal)'!$D$12:$AM$244,ROW()-12,FALSE)="","",HLOOKUP(AJ$13,'MP (nominal)'!$D$12:$AM$244,ROW()-12,FALSE))</f>
        <v>459</v>
      </c>
      <c r="AK98" s="281"/>
      <c r="AL98" s="281">
        <f>IF(HLOOKUP(AL$13,'MP (nominal)'!$D$12:$AM$244,ROW()-12,FALSE)="","",HLOOKUP(AL$13,'MP (nominal)'!$D$12:$AM$244,ROW()-12,FALSE)*VLOOKUP($C98,CPI!$B$9:$I$63,8))</f>
        <v>1926.5624019845454</v>
      </c>
      <c r="AM98" s="31">
        <f>IF(HLOOKUP(AM$13,'MP (nominal)'!$D$12:$AM$244,ROW()-12,FALSE)="","",HLOOKUP(AM$13,'MP (nominal)'!$D$12:$AM$244,ROW()-12,FALSE))</f>
        <v>82527</v>
      </c>
      <c r="AN98" s="31">
        <f>IF(HLOOKUP(AN$13,'MP (nominal)'!$D$12:$AM$244,ROW()-12,FALSE)="","",HLOOKUP(AN$13,'MP (nominal)'!$D$12:$AM$244,ROW()-12,FALSE))</f>
        <v>5</v>
      </c>
      <c r="AO98" s="281"/>
      <c r="AP98" s="281">
        <f>IF(HLOOKUP(AP$13,'MP (nominal)'!$D$12:$AM$244,ROW()-12,FALSE)="","",HLOOKUP(AP$13,'MP (nominal)'!$D$12:$AM$244,ROW()-12,FALSE)*VLOOKUP($C98,CPI!$B$9:$I$63,8))</f>
        <v>33642.070371532034</v>
      </c>
      <c r="AQ98" s="31">
        <f>IF(HLOOKUP(AQ$13,'MP (nominal)'!$D$12:$AM$244,ROW()-12,FALSE)="","",HLOOKUP(AQ$13,'MP (nominal)'!$D$12:$AM$244,ROW()-12,FALSE))</f>
        <v>492000</v>
      </c>
      <c r="AR98" s="281">
        <f>IF(HLOOKUP(AR$13,'MP (nominal)'!$D$12:$AM$244,ROW()-12,FALSE)="","",HLOOKUP(AR$13,'MP (nominal)'!$D$12:$AM$244,ROW()-12,FALSE))</f>
        <v>32545</v>
      </c>
    </row>
    <row r="99" spans="1:44" s="278" customFormat="1">
      <c r="A99" s="271">
        <f>References!H268</f>
        <v>236</v>
      </c>
      <c r="B99" s="292" t="s">
        <v>39</v>
      </c>
      <c r="C99" s="284">
        <v>2009</v>
      </c>
      <c r="D99" s="27">
        <f>IF(HLOOKUP(D$13,'MP (nominal)'!$D$12:$AM$244,ROW()-12,FALSE)="","",HLOOKUP(D$13,'MP (nominal)'!$D$12:$AM$244,ROW()-12,FALSE))</f>
        <v>3740</v>
      </c>
      <c r="E99" s="281">
        <f>IF(HLOOKUP(E$13,'MP (nominal)'!$D$12:$AM$244,ROW()-12,FALSE)="","",HLOOKUP(E$13,'MP (nominal)'!$D$12:$AM$244,ROW()-12,FALSE))</f>
        <v>0</v>
      </c>
      <c r="F99" s="27">
        <f>IF(HLOOKUP(F$13,'MP (nominal)'!$D$12:$AM$244,ROW()-12,FALSE)="","",HLOOKUP(F$13,'MP (nominal)'!$D$12:$AM$244,ROW()-12,FALSE))</f>
        <v>663</v>
      </c>
      <c r="G99" s="281">
        <f>IF(HLOOKUP(G$13,'MP (nominal)'!$D$12:$AM$244,ROW()-12,FALSE)="","",HLOOKUP(G$13,'MP (nominal)'!$D$12:$AM$244,ROW()-12,FALSE))</f>
        <v>223</v>
      </c>
      <c r="H99" s="27">
        <f>IF(HLOOKUP(H$13,'MP (nominal)'!$D$12:$AM$244,ROW()-12,FALSE)="","",HLOOKUP(H$13,'MP (nominal)'!$D$12:$AM$244,ROW()-12,FALSE))</f>
        <v>4403</v>
      </c>
      <c r="I99" s="31">
        <f>IF(HLOOKUP(I$13,'MP (nominal)'!$D$12:$AM$244,ROW()-12,FALSE)="","",HLOOKUP(I$13,'MP (nominal)'!$D$12:$AM$244,ROW()-12,FALSE))</f>
        <v>223</v>
      </c>
      <c r="J99" s="31">
        <f>IF(HLOOKUP(J$13,'MP (nominal)'!$D$12:$AM$244,ROW()-12,FALSE)="","",HLOOKUP(J$13,'MP (nominal)'!$D$12:$AM$244,ROW()-12,FALSE))</f>
        <v>3740</v>
      </c>
      <c r="K99" s="281"/>
      <c r="L99" s="27">
        <f>IF(HLOOKUP(L$13,'MP (nominal)'!$D$12:$AM$244,ROW()-12,FALSE)="","",HLOOKUP(L$13,'MP (nominal)'!$D$12:$AM$244,ROW()-12,FALSE))</f>
        <v>89</v>
      </c>
      <c r="M99" s="283">
        <f>IF(HLOOKUP(M$13,'MP (nominal)'!$D$12:$AM$244,ROW()-12,FALSE)="","",HLOOKUP(M$13,'MP (nominal)'!$D$12:$AM$244,ROW()-12,FALSE))</f>
        <v>509.15</v>
      </c>
      <c r="N99" s="35"/>
      <c r="O99" s="27">
        <f>IF(HLOOKUP(O$13,'MP (nominal)'!$D$12:$AM$244,ROW()-12,FALSE)="","",HLOOKUP(O$13,'MP (nominal)'!$D$12:$AM$244,ROW()-12,FALSE))</f>
        <v>33248</v>
      </c>
      <c r="P99" s="31"/>
      <c r="Q99" s="281"/>
      <c r="R99" s="281">
        <f>IF(HLOOKUP(R$13,'MP (nominal)'!$D$12:$AM$244,ROW()-12,FALSE)="","",HLOOKUP(R$13,'MP (nominal)'!$D$12:$AM$244,ROW()-12,FALSE))</f>
        <v>146.16</v>
      </c>
      <c r="S99" s="281">
        <f>IF(HLOOKUP(S$13,'MP (nominal)'!$D$12:$AM$244,ROW()-12,FALSE)="","",HLOOKUP(S$13,'MP (nominal)'!$D$12:$AM$244,ROW()-12,FALSE))</f>
        <v>65.87</v>
      </c>
      <c r="T99" s="281">
        <f>IF(HLOOKUP(T$13,'MP (nominal)'!$D$12:$AM$244,ROW()-12,FALSE)="","",HLOOKUP(T$13,'MP (nominal)'!$D$12:$AM$244,ROW()-12,FALSE))</f>
        <v>80.290000000000006</v>
      </c>
      <c r="U99" s="281"/>
      <c r="V99" s="281">
        <f>IF(HLOOKUP(V$13,'MP (nominal)'!$D$12:$AM$244,ROW()-12,FALSE)="","",HLOOKUP(V$13,'MP (nominal)'!$D$12:$AM$244,ROW()-12,FALSE))</f>
        <v>1.33</v>
      </c>
      <c r="W99" s="281">
        <f>IF(HLOOKUP(W$13,'MP (nominal)'!$D$12:$AM$244,ROW()-12,FALSE)="","",HLOOKUP(W$13,'MP (nominal)'!$D$12:$AM$244,ROW()-12,FALSE))</f>
        <v>0.27</v>
      </c>
      <c r="X99" s="281">
        <f>IF(HLOOKUP(X$13,'MP (nominal)'!$D$12:$AM$244,ROW()-12,FALSE)="","",HLOOKUP(X$13,'MP (nominal)'!$D$12:$AM$244,ROW()-12,FALSE))</f>
        <v>1.06</v>
      </c>
      <c r="Y99" s="281"/>
      <c r="Z99" s="281">
        <f>IF(HLOOKUP(Z$13,'MP (nominal)'!$D$12:$AM$244,ROW()-12,FALSE)="","",HLOOKUP(Z$13,'MP (nominal)'!$D$12:$AM$244,ROW()-12,FALSE)*VLOOKUP($C99,CPI!$B$9:$I$63,8))</f>
        <v>17252.093898002604</v>
      </c>
      <c r="AA99" s="281">
        <f>IF(HLOOKUP(AA$13,'MP (nominal)'!$D$12:$AM$244,ROW()-12,FALSE)="","",HLOOKUP(AA$13,'MP (nominal)'!$D$12:$AM$244,ROW()-12,FALSE))</f>
        <v>213883</v>
      </c>
      <c r="AB99" s="281">
        <f>IF(HLOOKUP(AB$13,'MP (nominal)'!$D$12:$AM$244,ROW()-12,FALSE)="","",HLOOKUP(AB$13,'MP (nominal)'!$D$12:$AM$244,ROW()-12,FALSE))</f>
        <v>27607</v>
      </c>
      <c r="AC99" s="281"/>
      <c r="AD99" s="281">
        <f>IF(HLOOKUP(AD$13,'MP (nominal)'!$D$12:$AM$244,ROW()-12,FALSE)="","",HLOOKUP(AD$13,'MP (nominal)'!$D$12:$AM$244,ROW()-12,FALSE)*VLOOKUP($C99,CPI!$B$9:$I$63,8))</f>
        <v>9992.698469352732</v>
      </c>
      <c r="AE99" s="31">
        <f>IF(HLOOKUP(AE$13,'MP (nominal)'!$D$12:$AM$244,ROW()-12,FALSE)="","",HLOOKUP(AE$13,'MP (nominal)'!$D$12:$AM$244,ROW()-12,FALSE))</f>
        <v>125462</v>
      </c>
      <c r="AF99" s="31">
        <f>IF(HLOOKUP(AF$13,'MP (nominal)'!$D$12:$AM$244,ROW()-12,FALSE)="","",HLOOKUP(AF$13,'MP (nominal)'!$D$12:$AM$244,ROW()-12,FALSE))</f>
        <v>5110</v>
      </c>
      <c r="AG99" s="281"/>
      <c r="AH99" s="281">
        <f>IF(HLOOKUP(AH$13,'MP (nominal)'!$D$12:$AM$244,ROW()-12,FALSE)="","",HLOOKUP(AH$13,'MP (nominal)'!$D$12:$AM$244,ROW()-12,FALSE)*VLOOKUP($C99,CPI!$B$9:$I$63,8))</f>
        <v>6606.4339350676073</v>
      </c>
      <c r="AI99" s="31">
        <f>IF(HLOOKUP(AI$13,'MP (nominal)'!$D$12:$AM$244,ROW()-12,FALSE)="","",HLOOKUP(AI$13,'MP (nominal)'!$D$12:$AM$244,ROW()-12,FALSE))</f>
        <v>91092</v>
      </c>
      <c r="AJ99" s="31">
        <f>IF(HLOOKUP(AJ$13,'MP (nominal)'!$D$12:$AM$244,ROW()-12,FALSE)="","",HLOOKUP(AJ$13,'MP (nominal)'!$D$12:$AM$244,ROW()-12,FALSE))</f>
        <v>526</v>
      </c>
      <c r="AK99" s="281"/>
      <c r="AL99" s="281">
        <f>IF(HLOOKUP(AL$13,'MP (nominal)'!$D$12:$AM$244,ROW()-12,FALSE)="","",HLOOKUP(AL$13,'MP (nominal)'!$D$12:$AM$244,ROW()-12,FALSE)*VLOOKUP($C99,CPI!$B$9:$I$63,8))</f>
        <v>1785.5226851534073</v>
      </c>
      <c r="AM99" s="31">
        <f>IF(HLOOKUP(AM$13,'MP (nominal)'!$D$12:$AM$244,ROW()-12,FALSE)="","",HLOOKUP(AM$13,'MP (nominal)'!$D$12:$AM$244,ROW()-12,FALSE))</f>
        <v>78713</v>
      </c>
      <c r="AN99" s="31">
        <f>IF(HLOOKUP(AN$13,'MP (nominal)'!$D$12:$AM$244,ROW()-12,FALSE)="","",HLOOKUP(AN$13,'MP (nominal)'!$D$12:$AM$244,ROW()-12,FALSE))</f>
        <v>5</v>
      </c>
      <c r="AO99" s="281"/>
      <c r="AP99" s="281">
        <f>IF(HLOOKUP(AP$13,'MP (nominal)'!$D$12:$AM$244,ROW()-12,FALSE)="","",HLOOKUP(AP$13,'MP (nominal)'!$D$12:$AM$244,ROW()-12,FALSE)*VLOOKUP($C99,CPI!$B$9:$I$63,8))</f>
        <v>35636.748987576349</v>
      </c>
      <c r="AQ99" s="31">
        <f>IF(HLOOKUP(AQ$13,'MP (nominal)'!$D$12:$AM$244,ROW()-12,FALSE)="","",HLOOKUP(AQ$13,'MP (nominal)'!$D$12:$AM$244,ROW()-12,FALSE))</f>
        <v>509150</v>
      </c>
      <c r="AR99" s="281">
        <f>IF(HLOOKUP(AR$13,'MP (nominal)'!$D$12:$AM$244,ROW()-12,FALSE)="","",HLOOKUP(AR$13,'MP (nominal)'!$D$12:$AM$244,ROW()-12,FALSE))</f>
        <v>33248</v>
      </c>
    </row>
    <row r="100" spans="1:44" s="278" customFormat="1">
      <c r="A100" s="271">
        <f>References!I268</f>
        <v>237</v>
      </c>
      <c r="B100" s="292" t="s">
        <v>39</v>
      </c>
      <c r="C100" s="284">
        <v>2010</v>
      </c>
      <c r="D100" s="27">
        <f>IF(HLOOKUP(D$13,'MP (nominal)'!$D$12:$AM$244,ROW()-12,FALSE)="","",HLOOKUP(D$13,'MP (nominal)'!$D$12:$AM$244,ROW()-12,FALSE))</f>
        <v>3811</v>
      </c>
      <c r="E100" s="281">
        <f>IF(HLOOKUP(E$13,'MP (nominal)'!$D$12:$AM$244,ROW()-12,FALSE)="","",HLOOKUP(E$13,'MP (nominal)'!$D$12:$AM$244,ROW()-12,FALSE))</f>
        <v>0</v>
      </c>
      <c r="F100" s="27">
        <f>IF(HLOOKUP(F$13,'MP (nominal)'!$D$12:$AM$244,ROW()-12,FALSE)="","",HLOOKUP(F$13,'MP (nominal)'!$D$12:$AM$244,ROW()-12,FALSE))</f>
        <v>707</v>
      </c>
      <c r="G100" s="281">
        <f>IF(HLOOKUP(G$13,'MP (nominal)'!$D$12:$AM$244,ROW()-12,FALSE)="","",HLOOKUP(G$13,'MP (nominal)'!$D$12:$AM$244,ROW()-12,FALSE))</f>
        <v>223</v>
      </c>
      <c r="H100" s="27">
        <f>IF(HLOOKUP(H$13,'MP (nominal)'!$D$12:$AM$244,ROW()-12,FALSE)="","",HLOOKUP(H$13,'MP (nominal)'!$D$12:$AM$244,ROW()-12,FALSE))</f>
        <v>4518</v>
      </c>
      <c r="I100" s="31">
        <f>IF(HLOOKUP(I$13,'MP (nominal)'!$D$12:$AM$244,ROW()-12,FALSE)="","",HLOOKUP(I$13,'MP (nominal)'!$D$12:$AM$244,ROW()-12,FALSE))</f>
        <v>223</v>
      </c>
      <c r="J100" s="31">
        <f>IF(HLOOKUP(J$13,'MP (nominal)'!$D$12:$AM$244,ROW()-12,FALSE)="","",HLOOKUP(J$13,'MP (nominal)'!$D$12:$AM$244,ROW()-12,FALSE))</f>
        <v>3811</v>
      </c>
      <c r="K100" s="281"/>
      <c r="L100" s="27">
        <f>IF(HLOOKUP(L$13,'MP (nominal)'!$D$12:$AM$244,ROW()-12,FALSE)="","",HLOOKUP(L$13,'MP (nominal)'!$D$12:$AM$244,ROW()-12,FALSE))</f>
        <v>89</v>
      </c>
      <c r="M100" s="283">
        <f>IF(HLOOKUP(M$13,'MP (nominal)'!$D$12:$AM$244,ROW()-12,FALSE)="","",HLOOKUP(M$13,'MP (nominal)'!$D$12:$AM$244,ROW()-12,FALSE))</f>
        <v>516</v>
      </c>
      <c r="N100" s="35"/>
      <c r="O100" s="27">
        <f>IF(HLOOKUP(O$13,'MP (nominal)'!$D$12:$AM$244,ROW()-12,FALSE)="","",HLOOKUP(O$13,'MP (nominal)'!$D$12:$AM$244,ROW()-12,FALSE))</f>
        <v>33793</v>
      </c>
      <c r="P100" s="31"/>
      <c r="Q100" s="281"/>
      <c r="R100" s="281">
        <f>IF(HLOOKUP(R$13,'MP (nominal)'!$D$12:$AM$244,ROW()-12,FALSE)="","",HLOOKUP(R$13,'MP (nominal)'!$D$12:$AM$244,ROW()-12,FALSE))</f>
        <v>143.08000000000001</v>
      </c>
      <c r="S100" s="281">
        <f>IF(HLOOKUP(S$13,'MP (nominal)'!$D$12:$AM$244,ROW()-12,FALSE)="","",HLOOKUP(S$13,'MP (nominal)'!$D$12:$AM$244,ROW()-12,FALSE))</f>
        <v>75.180000000000007</v>
      </c>
      <c r="T100" s="281">
        <f>IF(HLOOKUP(T$13,'MP (nominal)'!$D$12:$AM$244,ROW()-12,FALSE)="","",HLOOKUP(T$13,'MP (nominal)'!$D$12:$AM$244,ROW()-12,FALSE))</f>
        <v>64.930000000000007</v>
      </c>
      <c r="U100" s="281"/>
      <c r="V100" s="281">
        <f>IF(HLOOKUP(V$13,'MP (nominal)'!$D$12:$AM$244,ROW()-12,FALSE)="","",HLOOKUP(V$13,'MP (nominal)'!$D$12:$AM$244,ROW()-12,FALSE))</f>
        <v>2.02</v>
      </c>
      <c r="W100" s="281">
        <f>IF(HLOOKUP(W$13,'MP (nominal)'!$D$12:$AM$244,ROW()-12,FALSE)="","",HLOOKUP(W$13,'MP (nominal)'!$D$12:$AM$244,ROW()-12,FALSE))</f>
        <v>0.52</v>
      </c>
      <c r="X100" s="281">
        <f>IF(HLOOKUP(X$13,'MP (nominal)'!$D$12:$AM$244,ROW()-12,FALSE)="","",HLOOKUP(X$13,'MP (nominal)'!$D$12:$AM$244,ROW()-12,FALSE))</f>
        <v>1.31</v>
      </c>
      <c r="Y100" s="281"/>
      <c r="Z100" s="281">
        <f>IF(HLOOKUP(Z$13,'MP (nominal)'!$D$12:$AM$244,ROW()-12,FALSE)="","",HLOOKUP(Z$13,'MP (nominal)'!$D$12:$AM$244,ROW()-12,FALSE)*VLOOKUP($C100,CPI!$B$9:$I$63,8))</f>
        <v>18585.595106572171</v>
      </c>
      <c r="AA100" s="281">
        <f>IF(HLOOKUP(AA$13,'MP (nominal)'!$D$12:$AM$244,ROW()-12,FALSE)="","",HLOOKUP(AA$13,'MP (nominal)'!$D$12:$AM$244,ROW()-12,FALSE))</f>
        <v>233921</v>
      </c>
      <c r="AB100" s="281">
        <f>IF(HLOOKUP(AB$13,'MP (nominal)'!$D$12:$AM$244,ROW()-12,FALSE)="","",HLOOKUP(AB$13,'MP (nominal)'!$D$12:$AM$244,ROW()-12,FALSE))</f>
        <v>28009</v>
      </c>
      <c r="AC100" s="281"/>
      <c r="AD100" s="281">
        <f>IF(HLOOKUP(AD$13,'MP (nominal)'!$D$12:$AM$244,ROW()-12,FALSE)="","",HLOOKUP(AD$13,'MP (nominal)'!$D$12:$AM$244,ROW()-12,FALSE)*VLOOKUP($C100,CPI!$B$9:$I$63,8))</f>
        <v>8787.4552019616804</v>
      </c>
      <c r="AE100" s="31">
        <f>IF(HLOOKUP(AE$13,'MP (nominal)'!$D$12:$AM$244,ROW()-12,FALSE)="","",HLOOKUP(AE$13,'MP (nominal)'!$D$12:$AM$244,ROW()-12,FALSE))</f>
        <v>110359</v>
      </c>
      <c r="AF100" s="31">
        <f>IF(HLOOKUP(AF$13,'MP (nominal)'!$D$12:$AM$244,ROW()-12,FALSE)="","",HLOOKUP(AF$13,'MP (nominal)'!$D$12:$AM$244,ROW()-12,FALSE))</f>
        <v>5287</v>
      </c>
      <c r="AG100" s="281"/>
      <c r="AH100" s="281">
        <f>IF(HLOOKUP(AH$13,'MP (nominal)'!$D$12:$AM$244,ROW()-12,FALSE)="","",HLOOKUP(AH$13,'MP (nominal)'!$D$12:$AM$244,ROW()-12,FALSE)*VLOOKUP($C100,CPI!$B$9:$I$63,8))</f>
        <v>6604.0909703322459</v>
      </c>
      <c r="AI100" s="31">
        <f>IF(HLOOKUP(AI$13,'MP (nominal)'!$D$12:$AM$244,ROW()-12,FALSE)="","",HLOOKUP(AI$13,'MP (nominal)'!$D$12:$AM$244,ROW()-12,FALSE))</f>
        <v>92194</v>
      </c>
      <c r="AJ100" s="31">
        <f>IF(HLOOKUP(AJ$13,'MP (nominal)'!$D$12:$AM$244,ROW()-12,FALSE)="","",HLOOKUP(AJ$13,'MP (nominal)'!$D$12:$AM$244,ROW()-12,FALSE))</f>
        <v>492</v>
      </c>
      <c r="AK100" s="281"/>
      <c r="AL100" s="281">
        <f>IF(HLOOKUP(AL$13,'MP (nominal)'!$D$12:$AM$244,ROW()-12,FALSE)="","",HLOOKUP(AL$13,'MP (nominal)'!$D$12:$AM$244,ROW()-12,FALSE)*VLOOKUP($C100,CPI!$B$9:$I$63,8))</f>
        <v>1881.7889574519681</v>
      </c>
      <c r="AM100" s="31">
        <f>IF(HLOOKUP(AM$13,'MP (nominal)'!$D$12:$AM$244,ROW()-12,FALSE)="","",HLOOKUP(AM$13,'MP (nominal)'!$D$12:$AM$244,ROW()-12,FALSE))</f>
        <v>79526</v>
      </c>
      <c r="AN100" s="31">
        <f>IF(HLOOKUP(AN$13,'MP (nominal)'!$D$12:$AM$244,ROW()-12,FALSE)="","",HLOOKUP(AN$13,'MP (nominal)'!$D$12:$AM$244,ROW()-12,FALSE))</f>
        <v>5</v>
      </c>
      <c r="AO100" s="281"/>
      <c r="AP100" s="281">
        <f>IF(HLOOKUP(AP$13,'MP (nominal)'!$D$12:$AM$244,ROW()-12,FALSE)="","",HLOOKUP(AP$13,'MP (nominal)'!$D$12:$AM$244,ROW()-12,FALSE)*VLOOKUP($C100,CPI!$B$9:$I$63,8))</f>
        <v>35858.930236318069</v>
      </c>
      <c r="AQ100" s="31">
        <f>IF(HLOOKUP(AQ$13,'MP (nominal)'!$D$12:$AM$244,ROW()-12,FALSE)="","",HLOOKUP(AQ$13,'MP (nominal)'!$D$12:$AM$244,ROW()-12,FALSE))</f>
        <v>516000</v>
      </c>
      <c r="AR100" s="281">
        <f>IF(HLOOKUP(AR$13,'MP (nominal)'!$D$12:$AM$244,ROW()-12,FALSE)="","",HLOOKUP(AR$13,'MP (nominal)'!$D$12:$AM$244,ROW()-12,FALSE))</f>
        <v>33793</v>
      </c>
    </row>
    <row r="101" spans="1:44" s="278" customFormat="1">
      <c r="A101" s="271">
        <f>References!J268</f>
        <v>238</v>
      </c>
      <c r="B101" s="292" t="s">
        <v>39</v>
      </c>
      <c r="C101" s="284">
        <v>2011</v>
      </c>
      <c r="D101" s="27">
        <f>IF(HLOOKUP(D$13,'MP (nominal)'!$D$12:$AM$244,ROW()-12,FALSE)="","",HLOOKUP(D$13,'MP (nominal)'!$D$12:$AM$244,ROW()-12,FALSE))</f>
        <v>3836</v>
      </c>
      <c r="E101" s="281">
        <f>IF(HLOOKUP(E$13,'MP (nominal)'!$D$12:$AM$244,ROW()-12,FALSE)="","",HLOOKUP(E$13,'MP (nominal)'!$D$12:$AM$244,ROW()-12,FALSE))</f>
        <v>0</v>
      </c>
      <c r="F101" s="27">
        <f>IF(HLOOKUP(F$13,'MP (nominal)'!$D$12:$AM$244,ROW()-12,FALSE)="","",HLOOKUP(F$13,'MP (nominal)'!$D$12:$AM$244,ROW()-12,FALSE))</f>
        <v>747</v>
      </c>
      <c r="G101" s="281">
        <f>IF(HLOOKUP(G$13,'MP (nominal)'!$D$12:$AM$244,ROW()-12,FALSE)="","",HLOOKUP(G$13,'MP (nominal)'!$D$12:$AM$244,ROW()-12,FALSE))</f>
        <v>322</v>
      </c>
      <c r="H101" s="27">
        <f>IF(HLOOKUP(H$13,'MP (nominal)'!$D$12:$AM$244,ROW()-12,FALSE)="","",HLOOKUP(H$13,'MP (nominal)'!$D$12:$AM$244,ROW()-12,FALSE))</f>
        <v>4583</v>
      </c>
      <c r="I101" s="31">
        <f>IF(HLOOKUP(I$13,'MP (nominal)'!$D$12:$AM$244,ROW()-12,FALSE)="","",HLOOKUP(I$13,'MP (nominal)'!$D$12:$AM$244,ROW()-12,FALSE))</f>
        <v>322</v>
      </c>
      <c r="J101" s="31">
        <f>IF(HLOOKUP(J$13,'MP (nominal)'!$D$12:$AM$244,ROW()-12,FALSE)="","",HLOOKUP(J$13,'MP (nominal)'!$D$12:$AM$244,ROW()-12,FALSE))</f>
        <v>3836</v>
      </c>
      <c r="K101" s="281"/>
      <c r="L101" s="27">
        <f>IF(HLOOKUP(L$13,'MP (nominal)'!$D$12:$AM$244,ROW()-12,FALSE)="","",HLOOKUP(L$13,'MP (nominal)'!$D$12:$AM$244,ROW()-12,FALSE))</f>
        <v>92</v>
      </c>
      <c r="M101" s="283">
        <f>IF(HLOOKUP(M$13,'MP (nominal)'!$D$12:$AM$244,ROW()-12,FALSE)="","",HLOOKUP(M$13,'MP (nominal)'!$D$12:$AM$244,ROW()-12,FALSE))</f>
        <v>540</v>
      </c>
      <c r="N101" s="35"/>
      <c r="O101" s="27">
        <f>IF(HLOOKUP(O$13,'MP (nominal)'!$D$12:$AM$244,ROW()-12,FALSE)="","",HLOOKUP(O$13,'MP (nominal)'!$D$12:$AM$244,ROW()-12,FALSE))</f>
        <v>34247</v>
      </c>
      <c r="P101" s="31"/>
      <c r="Q101" s="281"/>
      <c r="R101" s="281">
        <f>IF(HLOOKUP(R$13,'MP (nominal)'!$D$12:$AM$244,ROW()-12,FALSE)="","",HLOOKUP(R$13,'MP (nominal)'!$D$12:$AM$244,ROW()-12,FALSE))</f>
        <v>337.8</v>
      </c>
      <c r="S101" s="281">
        <f>IF(HLOOKUP(S$13,'MP (nominal)'!$D$12:$AM$244,ROW()-12,FALSE)="","",HLOOKUP(S$13,'MP (nominal)'!$D$12:$AM$244,ROW()-12,FALSE))</f>
        <v>65</v>
      </c>
      <c r="T101" s="281">
        <f>IF(HLOOKUP(T$13,'MP (nominal)'!$D$12:$AM$244,ROW()-12,FALSE)="","",HLOOKUP(T$13,'MP (nominal)'!$D$12:$AM$244,ROW()-12,FALSE))</f>
        <v>272.10000000000002</v>
      </c>
      <c r="U101" s="281"/>
      <c r="V101" s="281">
        <f>IF(HLOOKUP(V$13,'MP (nominal)'!$D$12:$AM$244,ROW()-12,FALSE)="","",HLOOKUP(V$13,'MP (nominal)'!$D$12:$AM$244,ROW()-12,FALSE))</f>
        <v>2.9</v>
      </c>
      <c r="W101" s="281">
        <f>IF(HLOOKUP(W$13,'MP (nominal)'!$D$12:$AM$244,ROW()-12,FALSE)="","",HLOOKUP(W$13,'MP (nominal)'!$D$12:$AM$244,ROW()-12,FALSE))</f>
        <v>0.27200000000000002</v>
      </c>
      <c r="X101" s="281">
        <f>IF(HLOOKUP(X$13,'MP (nominal)'!$D$12:$AM$244,ROW()-12,FALSE)="","",HLOOKUP(X$13,'MP (nominal)'!$D$12:$AM$244,ROW()-12,FALSE))</f>
        <v>2.6280000000000001</v>
      </c>
      <c r="Y101" s="281"/>
      <c r="Z101" s="281">
        <f>IF(HLOOKUP(Z$13,'MP (nominal)'!$D$12:$AM$244,ROW()-12,FALSE)="","",HLOOKUP(Z$13,'MP (nominal)'!$D$12:$AM$244,ROW()-12,FALSE)*VLOOKUP($C101,CPI!$B$9:$I$63,8))</f>
        <v>19067</v>
      </c>
      <c r="AA101" s="281">
        <f>IF(HLOOKUP(AA$13,'MP (nominal)'!$D$12:$AM$244,ROW()-12,FALSE)="","",HLOOKUP(AA$13,'MP (nominal)'!$D$12:$AM$244,ROW()-12,FALSE))</f>
        <v>228829</v>
      </c>
      <c r="AB101" s="281">
        <f>IF(HLOOKUP(AB$13,'MP (nominal)'!$D$12:$AM$244,ROW()-12,FALSE)="","",HLOOKUP(AB$13,'MP (nominal)'!$D$12:$AM$244,ROW()-12,FALSE))</f>
        <v>28280</v>
      </c>
      <c r="AC101" s="281"/>
      <c r="AD101" s="281">
        <f>IF(HLOOKUP(AD$13,'MP (nominal)'!$D$12:$AM$244,ROW()-12,FALSE)="","",HLOOKUP(AD$13,'MP (nominal)'!$D$12:$AM$244,ROW()-12,FALSE)*VLOOKUP($C101,CPI!$B$9:$I$63,8))</f>
        <v>9938</v>
      </c>
      <c r="AE101" s="31">
        <f>IF(HLOOKUP(AE$13,'MP (nominal)'!$D$12:$AM$244,ROW()-12,FALSE)="","",HLOOKUP(AE$13,'MP (nominal)'!$D$12:$AM$244,ROW()-12,FALSE))</f>
        <v>120523</v>
      </c>
      <c r="AF101" s="31">
        <f>IF(HLOOKUP(AF$13,'MP (nominal)'!$D$12:$AM$244,ROW()-12,FALSE)="","",HLOOKUP(AF$13,'MP (nominal)'!$D$12:$AM$244,ROW()-12,FALSE))</f>
        <v>5409</v>
      </c>
      <c r="AG101" s="281"/>
      <c r="AH101" s="281">
        <f>IF(HLOOKUP(AH$13,'MP (nominal)'!$D$12:$AM$244,ROW()-12,FALSE)="","",HLOOKUP(AH$13,'MP (nominal)'!$D$12:$AM$244,ROW()-12,FALSE)*VLOOKUP($C101,CPI!$B$9:$I$63,8))</f>
        <v>8156</v>
      </c>
      <c r="AI101" s="31">
        <f>IF(HLOOKUP(AI$13,'MP (nominal)'!$D$12:$AM$244,ROW()-12,FALSE)="","",HLOOKUP(AI$13,'MP (nominal)'!$D$12:$AM$244,ROW()-12,FALSE))</f>
        <v>109614</v>
      </c>
      <c r="AJ101" s="31">
        <f>IF(HLOOKUP(AJ$13,'MP (nominal)'!$D$12:$AM$244,ROW()-12,FALSE)="","",HLOOKUP(AJ$13,'MP (nominal)'!$D$12:$AM$244,ROW()-12,FALSE))</f>
        <v>553</v>
      </c>
      <c r="AK101" s="281"/>
      <c r="AL101" s="281">
        <f>IF(HLOOKUP(AL$13,'MP (nominal)'!$D$12:$AM$244,ROW()-12,FALSE)="","",HLOOKUP(AL$13,'MP (nominal)'!$D$12:$AM$244,ROW()-12,FALSE)*VLOOKUP($C101,CPI!$B$9:$I$63,8))</f>
        <v>1920</v>
      </c>
      <c r="AM101" s="31">
        <f>IF(HLOOKUP(AM$13,'MP (nominal)'!$D$12:$AM$244,ROW()-12,FALSE)="","",HLOOKUP(AM$13,'MP (nominal)'!$D$12:$AM$244,ROW()-12,FALSE))</f>
        <v>81034</v>
      </c>
      <c r="AN101" s="31">
        <f>IF(HLOOKUP(AN$13,'MP (nominal)'!$D$12:$AM$244,ROW()-12,FALSE)="","",HLOOKUP(AN$13,'MP (nominal)'!$D$12:$AM$244,ROW()-12,FALSE))</f>
        <v>5</v>
      </c>
      <c r="AO101" s="281"/>
      <c r="AP101" s="281">
        <f>IF(HLOOKUP(AP$13,'MP (nominal)'!$D$12:$AM$244,ROW()-12,FALSE)="","",HLOOKUP(AP$13,'MP (nominal)'!$D$12:$AM$244,ROW()-12,FALSE)*VLOOKUP($C101,CPI!$B$9:$I$63,8))</f>
        <v>39081</v>
      </c>
      <c r="AQ101" s="31">
        <f>IF(HLOOKUP(AQ$13,'MP (nominal)'!$D$12:$AM$244,ROW()-12,FALSE)="","",HLOOKUP(AQ$13,'MP (nominal)'!$D$12:$AM$244,ROW()-12,FALSE))</f>
        <v>540000</v>
      </c>
      <c r="AR101" s="281">
        <f>IF(HLOOKUP(AR$13,'MP (nominal)'!$D$12:$AM$244,ROW()-12,FALSE)="","",HLOOKUP(AR$13,'MP (nominal)'!$D$12:$AM$244,ROW()-12,FALSE))</f>
        <v>34247</v>
      </c>
    </row>
    <row r="102" spans="1:44" s="278" customFormat="1" hidden="1">
      <c r="A102" s="271">
        <f>References!C269</f>
        <v>254</v>
      </c>
      <c r="B102" s="292" t="s">
        <v>40</v>
      </c>
      <c r="C102" s="284">
        <v>2004</v>
      </c>
      <c r="D102" s="27" t="str">
        <f>IF(HLOOKUP(D$13,'MP (nominal)'!$D$12:$AM$244,ROW()-12,FALSE)="","",HLOOKUP(D$13,'MP (nominal)'!$D$12:$AM$244,ROW()-12,FALSE))</f>
        <v/>
      </c>
      <c r="E102" s="281" t="str">
        <f>IF(HLOOKUP(E$13,'MP (nominal)'!$D$12:$AM$244,ROW()-12,FALSE)="","",HLOOKUP(E$13,'MP (nominal)'!$D$12:$AM$244,ROW()-12,FALSE))</f>
        <v/>
      </c>
      <c r="F102" s="27">
        <f>IF(HLOOKUP(F$13,'MP (nominal)'!$D$12:$AM$244,ROW()-12,FALSE)="","",HLOOKUP(F$13,'MP (nominal)'!$D$12:$AM$244,ROW()-12,FALSE))</f>
        <v>260</v>
      </c>
      <c r="G102" s="281" t="str">
        <f>IF(HLOOKUP(G$13,'MP (nominal)'!$D$12:$AM$244,ROW()-12,FALSE)="","",HLOOKUP(G$13,'MP (nominal)'!$D$12:$AM$244,ROW()-12,FALSE))</f>
        <v/>
      </c>
      <c r="H102" s="27">
        <f>IF(HLOOKUP(H$13,'MP (nominal)'!$D$12:$AM$244,ROW()-12,FALSE)="","",HLOOKUP(H$13,'MP (nominal)'!$D$12:$AM$244,ROW()-12,FALSE))</f>
        <v>3141</v>
      </c>
      <c r="I102" s="31" t="str">
        <f>IF(HLOOKUP(I$13,'MP (nominal)'!$D$12:$AM$244,ROW()-12,FALSE)="","",HLOOKUP(I$13,'MP (nominal)'!$D$12:$AM$244,ROW()-12,FALSE))</f>
        <v/>
      </c>
      <c r="J102" s="31">
        <f>IF(HLOOKUP(J$13,'MP (nominal)'!$D$12:$AM$244,ROW()-12,FALSE)="","",HLOOKUP(J$13,'MP (nominal)'!$D$12:$AM$244,ROW()-12,FALSE))</f>
        <v>2881</v>
      </c>
      <c r="K102" s="281"/>
      <c r="L102" s="27">
        <f>IF(HLOOKUP(L$13,'MP (nominal)'!$D$12:$AM$244,ROW()-12,FALSE)="","",HLOOKUP(L$13,'MP (nominal)'!$D$12:$AM$244,ROW()-12,FALSE))</f>
        <v>54.814</v>
      </c>
      <c r="M102" s="293">
        <f>IF(HLOOKUP(M$13,'MP (nominal)'!$D$12:$AM$244,ROW()-12,FALSE)="","",HLOOKUP(M$13,'MP (nominal)'!$D$12:$AM$244,ROW()-12,FALSE))</f>
        <v>306.42173300000002</v>
      </c>
      <c r="N102" s="35"/>
      <c r="O102" s="27">
        <f>IF(HLOOKUP(O$13,'MP (nominal)'!$D$12:$AM$244,ROW()-12,FALSE)="","",HLOOKUP(O$13,'MP (nominal)'!$D$12:$AM$244,ROW()-12,FALSE))</f>
        <v>22251</v>
      </c>
      <c r="P102" s="31"/>
      <c r="Q102" s="281"/>
      <c r="R102" s="281">
        <f>IF(HLOOKUP(R$13,'MP (nominal)'!$D$12:$AM$244,ROW()-12,FALSE)="","",HLOOKUP(R$13,'MP (nominal)'!$D$12:$AM$244,ROW()-12,FALSE))</f>
        <v>222.4</v>
      </c>
      <c r="S102" s="281" t="str">
        <f>IF(HLOOKUP(S$13,'MP (nominal)'!$D$12:$AM$244,ROW()-12,FALSE)="","",HLOOKUP(S$13,'MP (nominal)'!$D$12:$AM$244,ROW()-12,FALSE))</f>
        <v/>
      </c>
      <c r="T102" s="281" t="str">
        <f>IF(HLOOKUP(T$13,'MP (nominal)'!$D$12:$AM$244,ROW()-12,FALSE)="","",HLOOKUP(T$13,'MP (nominal)'!$D$12:$AM$244,ROW()-12,FALSE))</f>
        <v/>
      </c>
      <c r="U102" s="281"/>
      <c r="V102" s="281">
        <f>IF(HLOOKUP(V$13,'MP (nominal)'!$D$12:$AM$244,ROW()-12,FALSE)="","",HLOOKUP(V$13,'MP (nominal)'!$D$12:$AM$244,ROW()-12,FALSE))</f>
        <v>3.4</v>
      </c>
      <c r="W102" s="281" t="str">
        <f>IF(HLOOKUP(W$13,'MP (nominal)'!$D$12:$AM$244,ROW()-12,FALSE)="","",HLOOKUP(W$13,'MP (nominal)'!$D$12:$AM$244,ROW()-12,FALSE))</f>
        <v/>
      </c>
      <c r="X102" s="281" t="str">
        <f>IF(HLOOKUP(X$13,'MP (nominal)'!$D$12:$AM$244,ROW()-12,FALSE)="","",HLOOKUP(X$13,'MP (nominal)'!$D$12:$AM$244,ROW()-12,FALSE))</f>
        <v/>
      </c>
      <c r="Y102" s="281"/>
      <c r="Z102" s="281" t="str">
        <f>IF(HLOOKUP(Z$13,'MP (nominal)'!$D$12:$AM$244,ROW()-12,FALSE)="","",HLOOKUP(Z$13,'MP (nominal)'!$D$12:$AM$244,ROW()-12,FALSE)*VLOOKUP($C102,CPI!$B$9:$I$63,8))</f>
        <v/>
      </c>
      <c r="AA102" s="281" t="str">
        <f>IF(HLOOKUP(AA$13,'MP (nominal)'!$D$12:$AM$244,ROW()-12,FALSE)="","",HLOOKUP(AA$13,'MP (nominal)'!$D$12:$AM$244,ROW()-12,FALSE))</f>
        <v/>
      </c>
      <c r="AB102" s="281" t="str">
        <f>IF(HLOOKUP(AB$13,'MP (nominal)'!$D$12:$AM$244,ROW()-12,FALSE)="","",HLOOKUP(AB$13,'MP (nominal)'!$D$12:$AM$244,ROW()-12,FALSE))</f>
        <v/>
      </c>
      <c r="AC102" s="281"/>
      <c r="AD102" s="281" t="str">
        <f>IF(HLOOKUP(AD$13,'MP (nominal)'!$D$12:$AM$244,ROW()-12,FALSE)="","",HLOOKUP(AD$13,'MP (nominal)'!$D$12:$AM$244,ROW()-12,FALSE)*VLOOKUP($C102,CPI!$B$9:$I$63,8))</f>
        <v/>
      </c>
      <c r="AE102" s="31" t="str">
        <f>IF(HLOOKUP(AE$13,'MP (nominal)'!$D$12:$AM$244,ROW()-12,FALSE)="","",HLOOKUP(AE$13,'MP (nominal)'!$D$12:$AM$244,ROW()-12,FALSE))</f>
        <v/>
      </c>
      <c r="AF102" s="31" t="str">
        <f>IF(HLOOKUP(AF$13,'MP (nominal)'!$D$12:$AM$244,ROW()-12,FALSE)="","",HLOOKUP(AF$13,'MP (nominal)'!$D$12:$AM$244,ROW()-12,FALSE))</f>
        <v/>
      </c>
      <c r="AG102" s="281"/>
      <c r="AH102" s="281" t="str">
        <f>IF(HLOOKUP(AH$13,'MP (nominal)'!$D$12:$AM$244,ROW()-12,FALSE)="","",HLOOKUP(AH$13,'MP (nominal)'!$D$12:$AM$244,ROW()-12,FALSE)*VLOOKUP($C102,CPI!$B$9:$I$63,8))</f>
        <v/>
      </c>
      <c r="AI102" s="31" t="str">
        <f>IF(HLOOKUP(AI$13,'MP (nominal)'!$D$12:$AM$244,ROW()-12,FALSE)="","",HLOOKUP(AI$13,'MP (nominal)'!$D$12:$AM$244,ROW()-12,FALSE))</f>
        <v/>
      </c>
      <c r="AJ102" s="31" t="str">
        <f>IF(HLOOKUP(AJ$13,'MP (nominal)'!$D$12:$AM$244,ROW()-12,FALSE)="","",HLOOKUP(AJ$13,'MP (nominal)'!$D$12:$AM$244,ROW()-12,FALSE))</f>
        <v/>
      </c>
      <c r="AK102" s="281"/>
      <c r="AL102" s="281" t="str">
        <f>IF(HLOOKUP(AL$13,'MP (nominal)'!$D$12:$AM$244,ROW()-12,FALSE)="","",HLOOKUP(AL$13,'MP (nominal)'!$D$12:$AM$244,ROW()-12,FALSE)*VLOOKUP($C102,CPI!$B$9:$I$63,8))</f>
        <v/>
      </c>
      <c r="AM102" s="31" t="str">
        <f>IF(HLOOKUP(AM$13,'MP (nominal)'!$D$12:$AM$244,ROW()-12,FALSE)="","",HLOOKUP(AM$13,'MP (nominal)'!$D$12:$AM$244,ROW()-12,FALSE))</f>
        <v/>
      </c>
      <c r="AN102" s="31" t="str">
        <f>IF(HLOOKUP(AN$13,'MP (nominal)'!$D$12:$AM$244,ROW()-12,FALSE)="","",HLOOKUP(AN$13,'MP (nominal)'!$D$12:$AM$244,ROW()-12,FALSE))</f>
        <v/>
      </c>
      <c r="AO102" s="281"/>
      <c r="AP102" s="281" t="str">
        <f>IF(HLOOKUP(AP$13,'MP (nominal)'!$D$12:$AM$244,ROW()-12,FALSE)="","",HLOOKUP(AP$13,'MP (nominal)'!$D$12:$AM$244,ROW()-12,FALSE)*VLOOKUP($C102,CPI!$B$9:$I$63,8))</f>
        <v/>
      </c>
      <c r="AQ102" s="31" t="str">
        <f>IF(HLOOKUP(AQ$13,'MP (nominal)'!$D$12:$AM$244,ROW()-12,FALSE)="","",HLOOKUP(AQ$13,'MP (nominal)'!$D$12:$AM$244,ROW()-12,FALSE))</f>
        <v/>
      </c>
      <c r="AR102" s="281" t="str">
        <f>IF(HLOOKUP(AR$13,'MP (nominal)'!$D$12:$AM$244,ROW()-12,FALSE)="","",HLOOKUP(AR$13,'MP (nominal)'!$D$12:$AM$244,ROW()-12,FALSE))</f>
        <v/>
      </c>
    </row>
    <row r="103" spans="1:44" s="278" customFormat="1" hidden="1">
      <c r="A103" s="271">
        <f>References!D269</f>
        <v>255</v>
      </c>
      <c r="B103" s="292" t="s">
        <v>40</v>
      </c>
      <c r="C103" s="284">
        <v>2005</v>
      </c>
      <c r="D103" s="27" t="str">
        <f>IF(HLOOKUP(D$13,'MP (nominal)'!$D$12:$AM$244,ROW()-12,FALSE)="","",HLOOKUP(D$13,'MP (nominal)'!$D$12:$AM$244,ROW()-12,FALSE))</f>
        <v/>
      </c>
      <c r="E103" s="281" t="str">
        <f>IF(HLOOKUP(E$13,'MP (nominal)'!$D$12:$AM$244,ROW()-12,FALSE)="","",HLOOKUP(E$13,'MP (nominal)'!$D$12:$AM$244,ROW()-12,FALSE))</f>
        <v/>
      </c>
      <c r="F103" s="27">
        <f>IF(HLOOKUP(F$13,'MP (nominal)'!$D$12:$AM$244,ROW()-12,FALSE)="","",HLOOKUP(F$13,'MP (nominal)'!$D$12:$AM$244,ROW()-12,FALSE))</f>
        <v>279</v>
      </c>
      <c r="G103" s="281" t="str">
        <f>IF(HLOOKUP(G$13,'MP (nominal)'!$D$12:$AM$244,ROW()-12,FALSE)="","",HLOOKUP(G$13,'MP (nominal)'!$D$12:$AM$244,ROW()-12,FALSE))</f>
        <v/>
      </c>
      <c r="H103" s="27">
        <f>IF(HLOOKUP(H$13,'MP (nominal)'!$D$12:$AM$244,ROW()-12,FALSE)="","",HLOOKUP(H$13,'MP (nominal)'!$D$12:$AM$244,ROW()-12,FALSE))</f>
        <v>3169</v>
      </c>
      <c r="I103" s="31" t="str">
        <f>IF(HLOOKUP(I$13,'MP (nominal)'!$D$12:$AM$244,ROW()-12,FALSE)="","",HLOOKUP(I$13,'MP (nominal)'!$D$12:$AM$244,ROW()-12,FALSE))</f>
        <v/>
      </c>
      <c r="J103" s="31">
        <f>IF(HLOOKUP(J$13,'MP (nominal)'!$D$12:$AM$244,ROW()-12,FALSE)="","",HLOOKUP(J$13,'MP (nominal)'!$D$12:$AM$244,ROW()-12,FALSE))</f>
        <v>2890</v>
      </c>
      <c r="K103" s="281"/>
      <c r="L103" s="27">
        <f>IF(HLOOKUP(L$13,'MP (nominal)'!$D$12:$AM$244,ROW()-12,FALSE)="","",HLOOKUP(L$13,'MP (nominal)'!$D$12:$AM$244,ROW()-12,FALSE))</f>
        <v>57.59</v>
      </c>
      <c r="M103" s="293">
        <f>IF(HLOOKUP(M$13,'MP (nominal)'!$D$12:$AM$244,ROW()-12,FALSE)="","",HLOOKUP(M$13,'MP (nominal)'!$D$12:$AM$244,ROW()-12,FALSE))</f>
        <v>320.27976999999998</v>
      </c>
      <c r="N103" s="35"/>
      <c r="O103" s="27">
        <f>IF(HLOOKUP(O$13,'MP (nominal)'!$D$12:$AM$244,ROW()-12,FALSE)="","",HLOOKUP(O$13,'MP (nominal)'!$D$12:$AM$244,ROW()-12,FALSE))</f>
        <v>22547</v>
      </c>
      <c r="P103" s="31"/>
      <c r="Q103" s="281"/>
      <c r="R103" s="281">
        <f>IF(HLOOKUP(R$13,'MP (nominal)'!$D$12:$AM$244,ROW()-12,FALSE)="","",HLOOKUP(R$13,'MP (nominal)'!$D$12:$AM$244,ROW()-12,FALSE))</f>
        <v>224.9</v>
      </c>
      <c r="S103" s="281" t="str">
        <f>IF(HLOOKUP(S$13,'MP (nominal)'!$D$12:$AM$244,ROW()-12,FALSE)="","",HLOOKUP(S$13,'MP (nominal)'!$D$12:$AM$244,ROW()-12,FALSE))</f>
        <v/>
      </c>
      <c r="T103" s="281" t="str">
        <f>IF(HLOOKUP(T$13,'MP (nominal)'!$D$12:$AM$244,ROW()-12,FALSE)="","",HLOOKUP(T$13,'MP (nominal)'!$D$12:$AM$244,ROW()-12,FALSE))</f>
        <v/>
      </c>
      <c r="U103" s="281"/>
      <c r="V103" s="281">
        <f>IF(HLOOKUP(V$13,'MP (nominal)'!$D$12:$AM$244,ROW()-12,FALSE)="","",HLOOKUP(V$13,'MP (nominal)'!$D$12:$AM$244,ROW()-12,FALSE))</f>
        <v>2.5</v>
      </c>
      <c r="W103" s="281" t="str">
        <f>IF(HLOOKUP(W$13,'MP (nominal)'!$D$12:$AM$244,ROW()-12,FALSE)="","",HLOOKUP(W$13,'MP (nominal)'!$D$12:$AM$244,ROW()-12,FALSE))</f>
        <v/>
      </c>
      <c r="X103" s="281" t="str">
        <f>IF(HLOOKUP(X$13,'MP (nominal)'!$D$12:$AM$244,ROW()-12,FALSE)="","",HLOOKUP(X$13,'MP (nominal)'!$D$12:$AM$244,ROW()-12,FALSE))</f>
        <v/>
      </c>
      <c r="Y103" s="281"/>
      <c r="Z103" s="281" t="str">
        <f>IF(HLOOKUP(Z$13,'MP (nominal)'!$D$12:$AM$244,ROW()-12,FALSE)="","",HLOOKUP(Z$13,'MP (nominal)'!$D$12:$AM$244,ROW()-12,FALSE)*VLOOKUP($C103,CPI!$B$9:$I$63,8))</f>
        <v/>
      </c>
      <c r="AA103" s="281" t="str">
        <f>IF(HLOOKUP(AA$13,'MP (nominal)'!$D$12:$AM$244,ROW()-12,FALSE)="","",HLOOKUP(AA$13,'MP (nominal)'!$D$12:$AM$244,ROW()-12,FALSE))</f>
        <v/>
      </c>
      <c r="AB103" s="281" t="str">
        <f>IF(HLOOKUP(AB$13,'MP (nominal)'!$D$12:$AM$244,ROW()-12,FALSE)="","",HLOOKUP(AB$13,'MP (nominal)'!$D$12:$AM$244,ROW()-12,FALSE))</f>
        <v/>
      </c>
      <c r="AC103" s="281"/>
      <c r="AD103" s="281" t="str">
        <f>IF(HLOOKUP(AD$13,'MP (nominal)'!$D$12:$AM$244,ROW()-12,FALSE)="","",HLOOKUP(AD$13,'MP (nominal)'!$D$12:$AM$244,ROW()-12,FALSE)*VLOOKUP($C103,CPI!$B$9:$I$63,8))</f>
        <v/>
      </c>
      <c r="AE103" s="31" t="str">
        <f>IF(HLOOKUP(AE$13,'MP (nominal)'!$D$12:$AM$244,ROW()-12,FALSE)="","",HLOOKUP(AE$13,'MP (nominal)'!$D$12:$AM$244,ROW()-12,FALSE))</f>
        <v/>
      </c>
      <c r="AF103" s="31" t="str">
        <f>IF(HLOOKUP(AF$13,'MP (nominal)'!$D$12:$AM$244,ROW()-12,FALSE)="","",HLOOKUP(AF$13,'MP (nominal)'!$D$12:$AM$244,ROW()-12,FALSE))</f>
        <v/>
      </c>
      <c r="AG103" s="281"/>
      <c r="AH103" s="281" t="str">
        <f>IF(HLOOKUP(AH$13,'MP (nominal)'!$D$12:$AM$244,ROW()-12,FALSE)="","",HLOOKUP(AH$13,'MP (nominal)'!$D$12:$AM$244,ROW()-12,FALSE)*VLOOKUP($C103,CPI!$B$9:$I$63,8))</f>
        <v/>
      </c>
      <c r="AI103" s="31" t="str">
        <f>IF(HLOOKUP(AI$13,'MP (nominal)'!$D$12:$AM$244,ROW()-12,FALSE)="","",HLOOKUP(AI$13,'MP (nominal)'!$D$12:$AM$244,ROW()-12,FALSE))</f>
        <v/>
      </c>
      <c r="AJ103" s="31" t="str">
        <f>IF(HLOOKUP(AJ$13,'MP (nominal)'!$D$12:$AM$244,ROW()-12,FALSE)="","",HLOOKUP(AJ$13,'MP (nominal)'!$D$12:$AM$244,ROW()-12,FALSE))</f>
        <v/>
      </c>
      <c r="AK103" s="281"/>
      <c r="AL103" s="281" t="str">
        <f>IF(HLOOKUP(AL$13,'MP (nominal)'!$D$12:$AM$244,ROW()-12,FALSE)="","",HLOOKUP(AL$13,'MP (nominal)'!$D$12:$AM$244,ROW()-12,FALSE)*VLOOKUP($C103,CPI!$B$9:$I$63,8))</f>
        <v/>
      </c>
      <c r="AM103" s="31" t="str">
        <f>IF(HLOOKUP(AM$13,'MP (nominal)'!$D$12:$AM$244,ROW()-12,FALSE)="","",HLOOKUP(AM$13,'MP (nominal)'!$D$12:$AM$244,ROW()-12,FALSE))</f>
        <v/>
      </c>
      <c r="AN103" s="31" t="str">
        <f>IF(HLOOKUP(AN$13,'MP (nominal)'!$D$12:$AM$244,ROW()-12,FALSE)="","",HLOOKUP(AN$13,'MP (nominal)'!$D$12:$AM$244,ROW()-12,FALSE))</f>
        <v/>
      </c>
      <c r="AO103" s="281"/>
      <c r="AP103" s="281" t="str">
        <f>IF(HLOOKUP(AP$13,'MP (nominal)'!$D$12:$AM$244,ROW()-12,FALSE)="","",HLOOKUP(AP$13,'MP (nominal)'!$D$12:$AM$244,ROW()-12,FALSE)*VLOOKUP($C103,CPI!$B$9:$I$63,8))</f>
        <v/>
      </c>
      <c r="AQ103" s="31" t="str">
        <f>IF(HLOOKUP(AQ$13,'MP (nominal)'!$D$12:$AM$244,ROW()-12,FALSE)="","",HLOOKUP(AQ$13,'MP (nominal)'!$D$12:$AM$244,ROW()-12,FALSE))</f>
        <v/>
      </c>
      <c r="AR103" s="281" t="str">
        <f>IF(HLOOKUP(AR$13,'MP (nominal)'!$D$12:$AM$244,ROW()-12,FALSE)="","",HLOOKUP(AR$13,'MP (nominal)'!$D$12:$AM$244,ROW()-12,FALSE))</f>
        <v/>
      </c>
    </row>
    <row r="104" spans="1:44" s="278" customFormat="1" hidden="1">
      <c r="A104" s="271">
        <f>References!E269</f>
        <v>256</v>
      </c>
      <c r="B104" s="292" t="s">
        <v>40</v>
      </c>
      <c r="C104" s="284">
        <v>2006</v>
      </c>
      <c r="D104" s="27" t="str">
        <f>IF(HLOOKUP(D$13,'MP (nominal)'!$D$12:$AM$244,ROW()-12,FALSE)="","",HLOOKUP(D$13,'MP (nominal)'!$D$12:$AM$244,ROW()-12,FALSE))</f>
        <v/>
      </c>
      <c r="E104" s="281" t="str">
        <f>IF(HLOOKUP(E$13,'MP (nominal)'!$D$12:$AM$244,ROW()-12,FALSE)="","",HLOOKUP(E$13,'MP (nominal)'!$D$12:$AM$244,ROW()-12,FALSE))</f>
        <v/>
      </c>
      <c r="F104" s="27">
        <f>IF(HLOOKUP(F$13,'MP (nominal)'!$D$12:$AM$244,ROW()-12,FALSE)="","",HLOOKUP(F$13,'MP (nominal)'!$D$12:$AM$244,ROW()-12,FALSE))</f>
        <v>340</v>
      </c>
      <c r="G104" s="281" t="str">
        <f>IF(HLOOKUP(G$13,'MP (nominal)'!$D$12:$AM$244,ROW()-12,FALSE)="","",HLOOKUP(G$13,'MP (nominal)'!$D$12:$AM$244,ROW()-12,FALSE))</f>
        <v/>
      </c>
      <c r="H104" s="27">
        <f>IF(HLOOKUP(H$13,'MP (nominal)'!$D$12:$AM$244,ROW()-12,FALSE)="","",HLOOKUP(H$13,'MP (nominal)'!$D$12:$AM$244,ROW()-12,FALSE))</f>
        <v>3213</v>
      </c>
      <c r="I104" s="31" t="str">
        <f>IF(HLOOKUP(I$13,'MP (nominal)'!$D$12:$AM$244,ROW()-12,FALSE)="","",HLOOKUP(I$13,'MP (nominal)'!$D$12:$AM$244,ROW()-12,FALSE))</f>
        <v/>
      </c>
      <c r="J104" s="31">
        <f>IF(HLOOKUP(J$13,'MP (nominal)'!$D$12:$AM$244,ROW()-12,FALSE)="","",HLOOKUP(J$13,'MP (nominal)'!$D$12:$AM$244,ROW()-12,FALSE))</f>
        <v>2873</v>
      </c>
      <c r="K104" s="281"/>
      <c r="L104" s="27">
        <f>IF(HLOOKUP(L$13,'MP (nominal)'!$D$12:$AM$244,ROW()-12,FALSE)="","",HLOOKUP(L$13,'MP (nominal)'!$D$12:$AM$244,ROW()-12,FALSE))</f>
        <v>58.225999999999999</v>
      </c>
      <c r="M104" s="293">
        <f>IF(HLOOKUP(M$13,'MP (nominal)'!$D$12:$AM$244,ROW()-12,FALSE)="","",HLOOKUP(M$13,'MP (nominal)'!$D$12:$AM$244,ROW()-12,FALSE))</f>
        <v>331.24026900000001</v>
      </c>
      <c r="N104" s="35"/>
      <c r="O104" s="27">
        <f>IF(HLOOKUP(O$13,'MP (nominal)'!$D$12:$AM$244,ROW()-12,FALSE)="","",HLOOKUP(O$13,'MP (nominal)'!$D$12:$AM$244,ROW()-12,FALSE))</f>
        <v>22932</v>
      </c>
      <c r="P104" s="31"/>
      <c r="Q104" s="281"/>
      <c r="R104" s="281">
        <f>IF(HLOOKUP(R$13,'MP (nominal)'!$D$12:$AM$244,ROW()-12,FALSE)="","",HLOOKUP(R$13,'MP (nominal)'!$D$12:$AM$244,ROW()-12,FALSE))</f>
        <v>260.2</v>
      </c>
      <c r="S104" s="281" t="str">
        <f>IF(HLOOKUP(S$13,'MP (nominal)'!$D$12:$AM$244,ROW()-12,FALSE)="","",HLOOKUP(S$13,'MP (nominal)'!$D$12:$AM$244,ROW()-12,FALSE))</f>
        <v/>
      </c>
      <c r="T104" s="281" t="str">
        <f>IF(HLOOKUP(T$13,'MP (nominal)'!$D$12:$AM$244,ROW()-12,FALSE)="","",HLOOKUP(T$13,'MP (nominal)'!$D$12:$AM$244,ROW()-12,FALSE))</f>
        <v/>
      </c>
      <c r="U104" s="281"/>
      <c r="V104" s="281">
        <f>IF(HLOOKUP(V$13,'MP (nominal)'!$D$12:$AM$244,ROW()-12,FALSE)="","",HLOOKUP(V$13,'MP (nominal)'!$D$12:$AM$244,ROW()-12,FALSE))</f>
        <v>2.9</v>
      </c>
      <c r="W104" s="281" t="str">
        <f>IF(HLOOKUP(W$13,'MP (nominal)'!$D$12:$AM$244,ROW()-12,FALSE)="","",HLOOKUP(W$13,'MP (nominal)'!$D$12:$AM$244,ROW()-12,FALSE))</f>
        <v/>
      </c>
      <c r="X104" s="281" t="str">
        <f>IF(HLOOKUP(X$13,'MP (nominal)'!$D$12:$AM$244,ROW()-12,FALSE)="","",HLOOKUP(X$13,'MP (nominal)'!$D$12:$AM$244,ROW()-12,FALSE))</f>
        <v/>
      </c>
      <c r="Y104" s="281"/>
      <c r="Z104" s="281" t="str">
        <f>IF(HLOOKUP(Z$13,'MP (nominal)'!$D$12:$AM$244,ROW()-12,FALSE)="","",HLOOKUP(Z$13,'MP (nominal)'!$D$12:$AM$244,ROW()-12,FALSE)*VLOOKUP($C104,CPI!$B$9:$I$63,8))</f>
        <v/>
      </c>
      <c r="AA104" s="281" t="str">
        <f>IF(HLOOKUP(AA$13,'MP (nominal)'!$D$12:$AM$244,ROW()-12,FALSE)="","",HLOOKUP(AA$13,'MP (nominal)'!$D$12:$AM$244,ROW()-12,FALSE))</f>
        <v/>
      </c>
      <c r="AB104" s="281" t="str">
        <f>IF(HLOOKUP(AB$13,'MP (nominal)'!$D$12:$AM$244,ROW()-12,FALSE)="","",HLOOKUP(AB$13,'MP (nominal)'!$D$12:$AM$244,ROW()-12,FALSE))</f>
        <v/>
      </c>
      <c r="AC104" s="281"/>
      <c r="AD104" s="281" t="str">
        <f>IF(HLOOKUP(AD$13,'MP (nominal)'!$D$12:$AM$244,ROW()-12,FALSE)="","",HLOOKUP(AD$13,'MP (nominal)'!$D$12:$AM$244,ROW()-12,FALSE)*VLOOKUP($C104,CPI!$B$9:$I$63,8))</f>
        <v/>
      </c>
      <c r="AE104" s="31" t="str">
        <f>IF(HLOOKUP(AE$13,'MP (nominal)'!$D$12:$AM$244,ROW()-12,FALSE)="","",HLOOKUP(AE$13,'MP (nominal)'!$D$12:$AM$244,ROW()-12,FALSE))</f>
        <v/>
      </c>
      <c r="AF104" s="31" t="str">
        <f>IF(HLOOKUP(AF$13,'MP (nominal)'!$D$12:$AM$244,ROW()-12,FALSE)="","",HLOOKUP(AF$13,'MP (nominal)'!$D$12:$AM$244,ROW()-12,FALSE))</f>
        <v/>
      </c>
      <c r="AG104" s="281"/>
      <c r="AH104" s="281" t="str">
        <f>IF(HLOOKUP(AH$13,'MP (nominal)'!$D$12:$AM$244,ROW()-12,FALSE)="","",HLOOKUP(AH$13,'MP (nominal)'!$D$12:$AM$244,ROW()-12,FALSE)*VLOOKUP($C104,CPI!$B$9:$I$63,8))</f>
        <v/>
      </c>
      <c r="AI104" s="31" t="str">
        <f>IF(HLOOKUP(AI$13,'MP (nominal)'!$D$12:$AM$244,ROW()-12,FALSE)="","",HLOOKUP(AI$13,'MP (nominal)'!$D$12:$AM$244,ROW()-12,FALSE))</f>
        <v/>
      </c>
      <c r="AJ104" s="31" t="str">
        <f>IF(HLOOKUP(AJ$13,'MP (nominal)'!$D$12:$AM$244,ROW()-12,FALSE)="","",HLOOKUP(AJ$13,'MP (nominal)'!$D$12:$AM$244,ROW()-12,FALSE))</f>
        <v/>
      </c>
      <c r="AK104" s="281"/>
      <c r="AL104" s="281" t="str">
        <f>IF(HLOOKUP(AL$13,'MP (nominal)'!$D$12:$AM$244,ROW()-12,FALSE)="","",HLOOKUP(AL$13,'MP (nominal)'!$D$12:$AM$244,ROW()-12,FALSE)*VLOOKUP($C104,CPI!$B$9:$I$63,8))</f>
        <v/>
      </c>
      <c r="AM104" s="31" t="str">
        <f>IF(HLOOKUP(AM$13,'MP (nominal)'!$D$12:$AM$244,ROW()-12,FALSE)="","",HLOOKUP(AM$13,'MP (nominal)'!$D$12:$AM$244,ROW()-12,FALSE))</f>
        <v/>
      </c>
      <c r="AN104" s="31" t="str">
        <f>IF(HLOOKUP(AN$13,'MP (nominal)'!$D$12:$AM$244,ROW()-12,FALSE)="","",HLOOKUP(AN$13,'MP (nominal)'!$D$12:$AM$244,ROW()-12,FALSE))</f>
        <v/>
      </c>
      <c r="AO104" s="281"/>
      <c r="AP104" s="281" t="str">
        <f>IF(HLOOKUP(AP$13,'MP (nominal)'!$D$12:$AM$244,ROW()-12,FALSE)="","",HLOOKUP(AP$13,'MP (nominal)'!$D$12:$AM$244,ROW()-12,FALSE)*VLOOKUP($C104,CPI!$B$9:$I$63,8))</f>
        <v/>
      </c>
      <c r="AQ104" s="31" t="str">
        <f>IF(HLOOKUP(AQ$13,'MP (nominal)'!$D$12:$AM$244,ROW()-12,FALSE)="","",HLOOKUP(AQ$13,'MP (nominal)'!$D$12:$AM$244,ROW()-12,FALSE))</f>
        <v/>
      </c>
      <c r="AR104" s="281" t="str">
        <f>IF(HLOOKUP(AR$13,'MP (nominal)'!$D$12:$AM$244,ROW()-12,FALSE)="","",HLOOKUP(AR$13,'MP (nominal)'!$D$12:$AM$244,ROW()-12,FALSE))</f>
        <v/>
      </c>
    </row>
    <row r="105" spans="1:44" s="278" customFormat="1" hidden="1">
      <c r="A105" s="271">
        <f>References!F269</f>
        <v>257</v>
      </c>
      <c r="B105" s="292" t="s">
        <v>40</v>
      </c>
      <c r="C105" s="284">
        <v>2007</v>
      </c>
      <c r="D105" s="27" t="str">
        <f>IF(HLOOKUP(D$13,'MP (nominal)'!$D$12:$AM$244,ROW()-12,FALSE)="","",HLOOKUP(D$13,'MP (nominal)'!$D$12:$AM$244,ROW()-12,FALSE))</f>
        <v/>
      </c>
      <c r="E105" s="281" t="str">
        <f>IF(HLOOKUP(E$13,'MP (nominal)'!$D$12:$AM$244,ROW()-12,FALSE)="","",HLOOKUP(E$13,'MP (nominal)'!$D$12:$AM$244,ROW()-12,FALSE))</f>
        <v/>
      </c>
      <c r="F105" s="27">
        <f>IF(HLOOKUP(F$13,'MP (nominal)'!$D$12:$AM$244,ROW()-12,FALSE)="","",HLOOKUP(F$13,'MP (nominal)'!$D$12:$AM$244,ROW()-12,FALSE))</f>
        <v>372</v>
      </c>
      <c r="G105" s="281" t="str">
        <f>IF(HLOOKUP(G$13,'MP (nominal)'!$D$12:$AM$244,ROW()-12,FALSE)="","",HLOOKUP(G$13,'MP (nominal)'!$D$12:$AM$244,ROW()-12,FALSE))</f>
        <v/>
      </c>
      <c r="H105" s="27">
        <f>IF(HLOOKUP(H$13,'MP (nominal)'!$D$12:$AM$244,ROW()-12,FALSE)="","",HLOOKUP(H$13,'MP (nominal)'!$D$12:$AM$244,ROW()-12,FALSE))</f>
        <v>3263</v>
      </c>
      <c r="I105" s="31" t="str">
        <f>IF(HLOOKUP(I$13,'MP (nominal)'!$D$12:$AM$244,ROW()-12,FALSE)="","",HLOOKUP(I$13,'MP (nominal)'!$D$12:$AM$244,ROW()-12,FALSE))</f>
        <v/>
      </c>
      <c r="J105" s="31">
        <f>IF(HLOOKUP(J$13,'MP (nominal)'!$D$12:$AM$244,ROW()-12,FALSE)="","",HLOOKUP(J$13,'MP (nominal)'!$D$12:$AM$244,ROW()-12,FALSE))</f>
        <v>2890</v>
      </c>
      <c r="K105" s="281"/>
      <c r="L105" s="27">
        <f>IF(HLOOKUP(L$13,'MP (nominal)'!$D$12:$AM$244,ROW()-12,FALSE)="","",HLOOKUP(L$13,'MP (nominal)'!$D$12:$AM$244,ROW()-12,FALSE))</f>
        <v>63.186</v>
      </c>
      <c r="M105" s="293">
        <f>IF(HLOOKUP(M$13,'MP (nominal)'!$D$12:$AM$244,ROW()-12,FALSE)="","",HLOOKUP(M$13,'MP (nominal)'!$D$12:$AM$244,ROW()-12,FALSE))</f>
        <v>332.68494299999998</v>
      </c>
      <c r="N105" s="35"/>
      <c r="O105" s="27">
        <f>IF(HLOOKUP(O$13,'MP (nominal)'!$D$12:$AM$244,ROW()-12,FALSE)="","",HLOOKUP(O$13,'MP (nominal)'!$D$12:$AM$244,ROW()-12,FALSE))</f>
        <v>23135</v>
      </c>
      <c r="P105" s="31"/>
      <c r="Q105" s="281"/>
      <c r="R105" s="281">
        <f>IF(HLOOKUP(R$13,'MP (nominal)'!$D$12:$AM$244,ROW()-12,FALSE)="","",HLOOKUP(R$13,'MP (nominal)'!$D$12:$AM$244,ROW()-12,FALSE))</f>
        <v>353.1</v>
      </c>
      <c r="S105" s="281" t="str">
        <f>IF(HLOOKUP(S$13,'MP (nominal)'!$D$12:$AM$244,ROW()-12,FALSE)="","",HLOOKUP(S$13,'MP (nominal)'!$D$12:$AM$244,ROW()-12,FALSE))</f>
        <v/>
      </c>
      <c r="T105" s="281" t="str">
        <f>IF(HLOOKUP(T$13,'MP (nominal)'!$D$12:$AM$244,ROW()-12,FALSE)="","",HLOOKUP(T$13,'MP (nominal)'!$D$12:$AM$244,ROW()-12,FALSE))</f>
        <v/>
      </c>
      <c r="U105" s="281"/>
      <c r="V105" s="281">
        <f>IF(HLOOKUP(V$13,'MP (nominal)'!$D$12:$AM$244,ROW()-12,FALSE)="","",HLOOKUP(V$13,'MP (nominal)'!$D$12:$AM$244,ROW()-12,FALSE))</f>
        <v>4.2</v>
      </c>
      <c r="W105" s="281" t="str">
        <f>IF(HLOOKUP(W$13,'MP (nominal)'!$D$12:$AM$244,ROW()-12,FALSE)="","",HLOOKUP(W$13,'MP (nominal)'!$D$12:$AM$244,ROW()-12,FALSE))</f>
        <v/>
      </c>
      <c r="X105" s="281" t="str">
        <f>IF(HLOOKUP(X$13,'MP (nominal)'!$D$12:$AM$244,ROW()-12,FALSE)="","",HLOOKUP(X$13,'MP (nominal)'!$D$12:$AM$244,ROW()-12,FALSE))</f>
        <v/>
      </c>
      <c r="Y105" s="281"/>
      <c r="Z105" s="281" t="str">
        <f>IF(HLOOKUP(Z$13,'MP (nominal)'!$D$12:$AM$244,ROW()-12,FALSE)="","",HLOOKUP(Z$13,'MP (nominal)'!$D$12:$AM$244,ROW()-12,FALSE)*VLOOKUP($C105,CPI!$B$9:$I$63,8))</f>
        <v/>
      </c>
      <c r="AA105" s="281" t="str">
        <f>IF(HLOOKUP(AA$13,'MP (nominal)'!$D$12:$AM$244,ROW()-12,FALSE)="","",HLOOKUP(AA$13,'MP (nominal)'!$D$12:$AM$244,ROW()-12,FALSE))</f>
        <v/>
      </c>
      <c r="AB105" s="281" t="str">
        <f>IF(HLOOKUP(AB$13,'MP (nominal)'!$D$12:$AM$244,ROW()-12,FALSE)="","",HLOOKUP(AB$13,'MP (nominal)'!$D$12:$AM$244,ROW()-12,FALSE))</f>
        <v/>
      </c>
      <c r="AC105" s="281"/>
      <c r="AD105" s="281" t="str">
        <f>IF(HLOOKUP(AD$13,'MP (nominal)'!$D$12:$AM$244,ROW()-12,FALSE)="","",HLOOKUP(AD$13,'MP (nominal)'!$D$12:$AM$244,ROW()-12,FALSE)*VLOOKUP($C105,CPI!$B$9:$I$63,8))</f>
        <v/>
      </c>
      <c r="AE105" s="31" t="str">
        <f>IF(HLOOKUP(AE$13,'MP (nominal)'!$D$12:$AM$244,ROW()-12,FALSE)="","",HLOOKUP(AE$13,'MP (nominal)'!$D$12:$AM$244,ROW()-12,FALSE))</f>
        <v/>
      </c>
      <c r="AF105" s="31" t="str">
        <f>IF(HLOOKUP(AF$13,'MP (nominal)'!$D$12:$AM$244,ROW()-12,FALSE)="","",HLOOKUP(AF$13,'MP (nominal)'!$D$12:$AM$244,ROW()-12,FALSE))</f>
        <v/>
      </c>
      <c r="AG105" s="281"/>
      <c r="AH105" s="281" t="str">
        <f>IF(HLOOKUP(AH$13,'MP (nominal)'!$D$12:$AM$244,ROW()-12,FALSE)="","",HLOOKUP(AH$13,'MP (nominal)'!$D$12:$AM$244,ROW()-12,FALSE)*VLOOKUP($C105,CPI!$B$9:$I$63,8))</f>
        <v/>
      </c>
      <c r="AI105" s="31" t="str">
        <f>IF(HLOOKUP(AI$13,'MP (nominal)'!$D$12:$AM$244,ROW()-12,FALSE)="","",HLOOKUP(AI$13,'MP (nominal)'!$D$12:$AM$244,ROW()-12,FALSE))</f>
        <v/>
      </c>
      <c r="AJ105" s="31" t="str">
        <f>IF(HLOOKUP(AJ$13,'MP (nominal)'!$D$12:$AM$244,ROW()-12,FALSE)="","",HLOOKUP(AJ$13,'MP (nominal)'!$D$12:$AM$244,ROW()-12,FALSE))</f>
        <v/>
      </c>
      <c r="AK105" s="281"/>
      <c r="AL105" s="281" t="str">
        <f>IF(HLOOKUP(AL$13,'MP (nominal)'!$D$12:$AM$244,ROW()-12,FALSE)="","",HLOOKUP(AL$13,'MP (nominal)'!$D$12:$AM$244,ROW()-12,FALSE)*VLOOKUP($C105,CPI!$B$9:$I$63,8))</f>
        <v/>
      </c>
      <c r="AM105" s="31" t="str">
        <f>IF(HLOOKUP(AM$13,'MP (nominal)'!$D$12:$AM$244,ROW()-12,FALSE)="","",HLOOKUP(AM$13,'MP (nominal)'!$D$12:$AM$244,ROW()-12,FALSE))</f>
        <v/>
      </c>
      <c r="AN105" s="31" t="str">
        <f>IF(HLOOKUP(AN$13,'MP (nominal)'!$D$12:$AM$244,ROW()-12,FALSE)="","",HLOOKUP(AN$13,'MP (nominal)'!$D$12:$AM$244,ROW()-12,FALSE))</f>
        <v/>
      </c>
      <c r="AO105" s="281"/>
      <c r="AP105" s="281" t="str">
        <f>IF(HLOOKUP(AP$13,'MP (nominal)'!$D$12:$AM$244,ROW()-12,FALSE)="","",HLOOKUP(AP$13,'MP (nominal)'!$D$12:$AM$244,ROW()-12,FALSE)*VLOOKUP($C105,CPI!$B$9:$I$63,8))</f>
        <v/>
      </c>
      <c r="AQ105" s="31" t="str">
        <f>IF(HLOOKUP(AQ$13,'MP (nominal)'!$D$12:$AM$244,ROW()-12,FALSE)="","",HLOOKUP(AQ$13,'MP (nominal)'!$D$12:$AM$244,ROW()-12,FALSE))</f>
        <v/>
      </c>
      <c r="AR105" s="281" t="str">
        <f>IF(HLOOKUP(AR$13,'MP (nominal)'!$D$12:$AM$244,ROW()-12,FALSE)="","",HLOOKUP(AR$13,'MP (nominal)'!$D$12:$AM$244,ROW()-12,FALSE))</f>
        <v/>
      </c>
    </row>
    <row r="106" spans="1:44" s="278" customFormat="1">
      <c r="A106" s="271">
        <f>References!G269</f>
        <v>258</v>
      </c>
      <c r="B106" s="292" t="s">
        <v>40</v>
      </c>
      <c r="C106" s="284">
        <v>2008</v>
      </c>
      <c r="D106" s="27">
        <f>IF(HLOOKUP(D$13,'MP (nominal)'!$D$12:$AM$244,ROW()-12,FALSE)="","",HLOOKUP(D$13,'MP (nominal)'!$D$12:$AM$244,ROW()-12,FALSE))</f>
        <v>3003.7539999999999</v>
      </c>
      <c r="E106" s="281">
        <f>IF(HLOOKUP(E$13,'MP (nominal)'!$D$12:$AM$244,ROW()-12,FALSE)="","",HLOOKUP(E$13,'MP (nominal)'!$D$12:$AM$244,ROW()-12,FALSE))</f>
        <v>0</v>
      </c>
      <c r="F106" s="27">
        <f>IF(HLOOKUP(F$13,'MP (nominal)'!$D$12:$AM$244,ROW()-12,FALSE)="","",HLOOKUP(F$13,'MP (nominal)'!$D$12:$AM$244,ROW()-12,FALSE))</f>
        <v>459.9</v>
      </c>
      <c r="G106" s="281">
        <f>IF(HLOOKUP(G$13,'MP (nominal)'!$D$12:$AM$244,ROW()-12,FALSE)="","",HLOOKUP(G$13,'MP (nominal)'!$D$12:$AM$244,ROW()-12,FALSE))</f>
        <v>43</v>
      </c>
      <c r="H106" s="27">
        <f>IF(HLOOKUP(H$13,'MP (nominal)'!$D$12:$AM$244,ROW()-12,FALSE)="","",HLOOKUP(H$13,'MP (nominal)'!$D$12:$AM$244,ROW()-12,FALSE))</f>
        <v>3463.654</v>
      </c>
      <c r="I106" s="31">
        <f>IF(HLOOKUP(I$13,'MP (nominal)'!$D$12:$AM$244,ROW()-12,FALSE)="","",HLOOKUP(I$13,'MP (nominal)'!$D$12:$AM$244,ROW()-12,FALSE))</f>
        <v>43</v>
      </c>
      <c r="J106" s="31">
        <f>IF(HLOOKUP(J$13,'MP (nominal)'!$D$12:$AM$244,ROW()-12,FALSE)="","",HLOOKUP(J$13,'MP (nominal)'!$D$12:$AM$244,ROW()-12,FALSE))</f>
        <v>3003.7539999999999</v>
      </c>
      <c r="K106" s="281"/>
      <c r="L106" s="27">
        <f>IF(HLOOKUP(L$13,'MP (nominal)'!$D$12:$AM$244,ROW()-12,FALSE)="","",HLOOKUP(L$13,'MP (nominal)'!$D$12:$AM$244,ROW()-12,FALSE))</f>
        <v>70</v>
      </c>
      <c r="M106" s="283">
        <f>IF(HLOOKUP(M$13,'MP (nominal)'!$D$12:$AM$244,ROW()-12,FALSE)="","",HLOOKUP(M$13,'MP (nominal)'!$D$12:$AM$244,ROW()-12,FALSE))</f>
        <v>348.15204</v>
      </c>
      <c r="N106" s="35"/>
      <c r="O106" s="27">
        <f>IF(HLOOKUP(O$13,'MP (nominal)'!$D$12:$AM$244,ROW()-12,FALSE)="","",HLOOKUP(O$13,'MP (nominal)'!$D$12:$AM$244,ROW()-12,FALSE))</f>
        <v>23584</v>
      </c>
      <c r="P106" s="31"/>
      <c r="Q106" s="281"/>
      <c r="R106" s="281">
        <f>IF(HLOOKUP(R$13,'MP (nominal)'!$D$12:$AM$244,ROW()-12,FALSE)="","",HLOOKUP(R$13,'MP (nominal)'!$D$12:$AM$244,ROW()-12,FALSE))</f>
        <v>265.3</v>
      </c>
      <c r="S106" s="281">
        <f>IF(HLOOKUP(S$13,'MP (nominal)'!$D$12:$AM$244,ROW()-12,FALSE)="","",HLOOKUP(S$13,'MP (nominal)'!$D$12:$AM$244,ROW()-12,FALSE))</f>
        <v>100.8</v>
      </c>
      <c r="T106" s="281">
        <f>IF(HLOOKUP(T$13,'MP (nominal)'!$D$12:$AM$244,ROW()-12,FALSE)="","",HLOOKUP(T$13,'MP (nominal)'!$D$12:$AM$244,ROW()-12,FALSE))</f>
        <v>164.5</v>
      </c>
      <c r="U106" s="281"/>
      <c r="V106" s="281">
        <f>IF(HLOOKUP(V$13,'MP (nominal)'!$D$12:$AM$244,ROW()-12,FALSE)="","",HLOOKUP(V$13,'MP (nominal)'!$D$12:$AM$244,ROW()-12,FALSE))</f>
        <v>2.94</v>
      </c>
      <c r="W106" s="281">
        <f>IF(HLOOKUP(W$13,'MP (nominal)'!$D$12:$AM$244,ROW()-12,FALSE)="","",HLOOKUP(W$13,'MP (nominal)'!$D$12:$AM$244,ROW()-12,FALSE))</f>
        <v>0.53</v>
      </c>
      <c r="X106" s="281">
        <f>IF(HLOOKUP(X$13,'MP (nominal)'!$D$12:$AM$244,ROW()-12,FALSE)="","",HLOOKUP(X$13,'MP (nominal)'!$D$12:$AM$244,ROW()-12,FALSE))</f>
        <v>2.42</v>
      </c>
      <c r="Y106" s="281"/>
      <c r="Z106" s="281">
        <f>IF(HLOOKUP(Z$13,'MP (nominal)'!$D$12:$AM$244,ROW()-12,FALSE)="","",HLOOKUP(Z$13,'MP (nominal)'!$D$12:$AM$244,ROW()-12,FALSE)*VLOOKUP($C106,CPI!$B$9:$I$63,8))</f>
        <v>8000.9295637421219</v>
      </c>
      <c r="AA106" s="281">
        <f>IF(HLOOKUP(AA$13,'MP (nominal)'!$D$12:$AM$244,ROW()-12,FALSE)="","",HLOOKUP(AA$13,'MP (nominal)'!$D$12:$AM$244,ROW()-12,FALSE))</f>
        <v>109034.24000000001</v>
      </c>
      <c r="AB106" s="281">
        <f>IF(HLOOKUP(AB$13,'MP (nominal)'!$D$12:$AM$244,ROW()-12,FALSE)="","",HLOOKUP(AB$13,'MP (nominal)'!$D$12:$AM$244,ROW()-12,FALSE))</f>
        <v>16429</v>
      </c>
      <c r="AC106" s="281"/>
      <c r="AD106" s="281">
        <f>IF(HLOOKUP(AD$13,'MP (nominal)'!$D$12:$AM$244,ROW()-12,FALSE)="","",HLOOKUP(AD$13,'MP (nominal)'!$D$12:$AM$244,ROW()-12,FALSE)*VLOOKUP($C106,CPI!$B$9:$I$63,8))</f>
        <v>7069.1266890023089</v>
      </c>
      <c r="AE106" s="31">
        <f>IF(HLOOKUP(AE$13,'MP (nominal)'!$D$12:$AM$244,ROW()-12,FALSE)="","",HLOOKUP(AE$13,'MP (nominal)'!$D$12:$AM$244,ROW()-12,FALSE))</f>
        <v>100581.92</v>
      </c>
      <c r="AF106" s="31">
        <f>IF(HLOOKUP(AF$13,'MP (nominal)'!$D$12:$AM$244,ROW()-12,FALSE)="","",HLOOKUP(AF$13,'MP (nominal)'!$D$12:$AM$244,ROW()-12,FALSE))</f>
        <v>6852</v>
      </c>
      <c r="AG106" s="281"/>
      <c r="AH106" s="281">
        <f>IF(HLOOKUP(AH$13,'MP (nominal)'!$D$12:$AM$244,ROW()-12,FALSE)="","",HLOOKUP(AH$13,'MP (nominal)'!$D$12:$AM$244,ROW()-12,FALSE)*VLOOKUP($C106,CPI!$B$9:$I$63,8))</f>
        <v>6490.5315930540901</v>
      </c>
      <c r="AI106" s="31">
        <f>IF(HLOOKUP(AI$13,'MP (nominal)'!$D$12:$AM$244,ROW()-12,FALSE)="","",HLOOKUP(AI$13,'MP (nominal)'!$D$12:$AM$244,ROW()-12,FALSE))</f>
        <v>113498.88</v>
      </c>
      <c r="AJ106" s="31">
        <f>IF(HLOOKUP(AJ$13,'MP (nominal)'!$D$12:$AM$244,ROW()-12,FALSE)="","",HLOOKUP(AJ$13,'MP (nominal)'!$D$12:$AM$244,ROW()-12,FALSE))</f>
        <v>298</v>
      </c>
      <c r="AK106" s="281"/>
      <c r="AL106" s="281">
        <f>IF(HLOOKUP(AL$13,'MP (nominal)'!$D$12:$AM$244,ROW()-12,FALSE)="","",HLOOKUP(AL$13,'MP (nominal)'!$D$12:$AM$244,ROW()-12,FALSE)*VLOOKUP($C106,CPI!$B$9:$I$63,8))</f>
        <v>1021.2678184254796</v>
      </c>
      <c r="AM106" s="31">
        <f>IF(HLOOKUP(AM$13,'MP (nominal)'!$D$12:$AM$244,ROW()-12,FALSE)="","",HLOOKUP(AM$13,'MP (nominal)'!$D$12:$AM$244,ROW()-12,FALSE))</f>
        <v>25037</v>
      </c>
      <c r="AN106" s="31">
        <f>IF(HLOOKUP(AN$13,'MP (nominal)'!$D$12:$AM$244,ROW()-12,FALSE)="","",HLOOKUP(AN$13,'MP (nominal)'!$D$12:$AM$244,ROW()-12,FALSE))</f>
        <v>5</v>
      </c>
      <c r="AO106" s="281"/>
      <c r="AP106" s="281">
        <f>IF(HLOOKUP(AP$13,'MP (nominal)'!$D$12:$AM$244,ROW()-12,FALSE)="","",HLOOKUP(AP$13,'MP (nominal)'!$D$12:$AM$244,ROW()-12,FALSE)*VLOOKUP($C106,CPI!$B$9:$I$63,8))</f>
        <v>22581.855664224</v>
      </c>
      <c r="AQ106" s="31">
        <f>IF(HLOOKUP(AQ$13,'MP (nominal)'!$D$12:$AM$244,ROW()-12,FALSE)="","",HLOOKUP(AQ$13,'MP (nominal)'!$D$12:$AM$244,ROW()-12,FALSE))</f>
        <v>348152.04</v>
      </c>
      <c r="AR106" s="281">
        <f>IF(HLOOKUP(AR$13,'MP (nominal)'!$D$12:$AM$244,ROW()-12,FALSE)="","",HLOOKUP(AR$13,'MP (nominal)'!$D$12:$AM$244,ROW()-12,FALSE))</f>
        <v>23584</v>
      </c>
    </row>
    <row r="107" spans="1:44" s="278" customFormat="1">
      <c r="A107" s="271">
        <f>References!H269</f>
        <v>259</v>
      </c>
      <c r="B107" s="292" t="s">
        <v>40</v>
      </c>
      <c r="C107" s="284">
        <v>2009</v>
      </c>
      <c r="D107" s="27">
        <f>IF(HLOOKUP(D$13,'MP (nominal)'!$D$12:$AM$244,ROW()-12,FALSE)="","",HLOOKUP(D$13,'MP (nominal)'!$D$12:$AM$244,ROW()-12,FALSE))</f>
        <v>2881</v>
      </c>
      <c r="E107" s="281">
        <f>IF(HLOOKUP(E$13,'MP (nominal)'!$D$12:$AM$244,ROW()-12,FALSE)="","",HLOOKUP(E$13,'MP (nominal)'!$D$12:$AM$244,ROW()-12,FALSE))</f>
        <v>0</v>
      </c>
      <c r="F107" s="27">
        <f>IF(HLOOKUP(F$13,'MP (nominal)'!$D$12:$AM$244,ROW()-12,FALSE)="","",HLOOKUP(F$13,'MP (nominal)'!$D$12:$AM$244,ROW()-12,FALSE))</f>
        <v>439</v>
      </c>
      <c r="G107" s="281">
        <f>IF(HLOOKUP(G$13,'MP (nominal)'!$D$12:$AM$244,ROW()-12,FALSE)="","",HLOOKUP(G$13,'MP (nominal)'!$D$12:$AM$244,ROW()-12,FALSE))</f>
        <v>44</v>
      </c>
      <c r="H107" s="27">
        <f>IF(HLOOKUP(H$13,'MP (nominal)'!$D$12:$AM$244,ROW()-12,FALSE)="","",HLOOKUP(H$13,'MP (nominal)'!$D$12:$AM$244,ROW()-12,FALSE))</f>
        <v>3320</v>
      </c>
      <c r="I107" s="31">
        <f>IF(HLOOKUP(I$13,'MP (nominal)'!$D$12:$AM$244,ROW()-12,FALSE)="","",HLOOKUP(I$13,'MP (nominal)'!$D$12:$AM$244,ROW()-12,FALSE))</f>
        <v>44</v>
      </c>
      <c r="J107" s="31">
        <f>IF(HLOOKUP(J$13,'MP (nominal)'!$D$12:$AM$244,ROW()-12,FALSE)="","",HLOOKUP(J$13,'MP (nominal)'!$D$12:$AM$244,ROW()-12,FALSE))</f>
        <v>2881</v>
      </c>
      <c r="K107" s="281"/>
      <c r="L107" s="27">
        <f>IF(HLOOKUP(L$13,'MP (nominal)'!$D$12:$AM$244,ROW()-12,FALSE)="","",HLOOKUP(L$13,'MP (nominal)'!$D$12:$AM$244,ROW()-12,FALSE))</f>
        <v>70</v>
      </c>
      <c r="M107" s="283">
        <f>IF(HLOOKUP(M$13,'MP (nominal)'!$D$12:$AM$244,ROW()-12,FALSE)="","",HLOOKUP(M$13,'MP (nominal)'!$D$12:$AM$244,ROW()-12,FALSE))</f>
        <v>353.07544000000001</v>
      </c>
      <c r="N107" s="35"/>
      <c r="O107" s="27">
        <f>IF(HLOOKUP(O$13,'MP (nominal)'!$D$12:$AM$244,ROW()-12,FALSE)="","",HLOOKUP(O$13,'MP (nominal)'!$D$12:$AM$244,ROW()-12,FALSE))</f>
        <v>23870</v>
      </c>
      <c r="P107" s="31"/>
      <c r="Q107" s="281"/>
      <c r="R107" s="281">
        <f>IF(HLOOKUP(R$13,'MP (nominal)'!$D$12:$AM$244,ROW()-12,FALSE)="","",HLOOKUP(R$13,'MP (nominal)'!$D$12:$AM$244,ROW()-12,FALSE))</f>
        <v>249.88</v>
      </c>
      <c r="S107" s="281">
        <f>IF(HLOOKUP(S$13,'MP (nominal)'!$D$12:$AM$244,ROW()-12,FALSE)="","",HLOOKUP(S$13,'MP (nominal)'!$D$12:$AM$244,ROW()-12,FALSE))</f>
        <v>96.32</v>
      </c>
      <c r="T107" s="281">
        <f>IF(HLOOKUP(T$13,'MP (nominal)'!$D$12:$AM$244,ROW()-12,FALSE)="","",HLOOKUP(T$13,'MP (nominal)'!$D$12:$AM$244,ROW()-12,FALSE))</f>
        <v>153.56</v>
      </c>
      <c r="U107" s="281"/>
      <c r="V107" s="281">
        <f>IF(HLOOKUP(V$13,'MP (nominal)'!$D$12:$AM$244,ROW()-12,FALSE)="","",HLOOKUP(V$13,'MP (nominal)'!$D$12:$AM$244,ROW()-12,FALSE))</f>
        <v>1.98</v>
      </c>
      <c r="W107" s="281">
        <f>IF(HLOOKUP(W$13,'MP (nominal)'!$D$12:$AM$244,ROW()-12,FALSE)="","",HLOOKUP(W$13,'MP (nominal)'!$D$12:$AM$244,ROW()-12,FALSE))</f>
        <v>0.34</v>
      </c>
      <c r="X107" s="281">
        <f>IF(HLOOKUP(X$13,'MP (nominal)'!$D$12:$AM$244,ROW()-12,FALSE)="","",HLOOKUP(X$13,'MP (nominal)'!$D$12:$AM$244,ROW()-12,FALSE))</f>
        <v>1.64</v>
      </c>
      <c r="Y107" s="281"/>
      <c r="Z107" s="281">
        <f>IF(HLOOKUP(Z$13,'MP (nominal)'!$D$12:$AM$244,ROW()-12,FALSE)="","",HLOOKUP(Z$13,'MP (nominal)'!$D$12:$AM$244,ROW()-12,FALSE)*VLOOKUP($C107,CPI!$B$9:$I$63,8))</f>
        <v>9655.9509671219694</v>
      </c>
      <c r="AA107" s="281">
        <f>IF(HLOOKUP(AA$13,'MP (nominal)'!$D$12:$AM$244,ROW()-12,FALSE)="","",HLOOKUP(AA$13,'MP (nominal)'!$D$12:$AM$244,ROW()-12,FALSE))</f>
        <v>113363</v>
      </c>
      <c r="AB107" s="281">
        <f>IF(HLOOKUP(AB$13,'MP (nominal)'!$D$12:$AM$244,ROW()-12,FALSE)="","",HLOOKUP(AB$13,'MP (nominal)'!$D$12:$AM$244,ROW()-12,FALSE))</f>
        <v>16674</v>
      </c>
      <c r="AC107" s="281"/>
      <c r="AD107" s="281">
        <f>IF(HLOOKUP(AD$13,'MP (nominal)'!$D$12:$AM$244,ROW()-12,FALSE)="","",HLOOKUP(AD$13,'MP (nominal)'!$D$12:$AM$244,ROW()-12,FALSE)*VLOOKUP($C107,CPI!$B$9:$I$63,8))</f>
        <v>7885.8958912759945</v>
      </c>
      <c r="AE107" s="31">
        <f>IF(HLOOKUP(AE$13,'MP (nominal)'!$D$12:$AM$244,ROW()-12,FALSE)="","",HLOOKUP(AE$13,'MP (nominal)'!$D$12:$AM$244,ROW()-12,FALSE))</f>
        <v>99061.053</v>
      </c>
      <c r="AF107" s="31">
        <f>IF(HLOOKUP(AF$13,'MP (nominal)'!$D$12:$AM$244,ROW()-12,FALSE)="","",HLOOKUP(AF$13,'MP (nominal)'!$D$12:$AM$244,ROW()-12,FALSE))</f>
        <v>6887</v>
      </c>
      <c r="AG107" s="281"/>
      <c r="AH107" s="281">
        <f>IF(HLOOKUP(AH$13,'MP (nominal)'!$D$12:$AM$244,ROW()-12,FALSE)="","",HLOOKUP(AH$13,'MP (nominal)'!$D$12:$AM$244,ROW()-12,FALSE)*VLOOKUP($C107,CPI!$B$9:$I$63,8))</f>
        <v>7220.3526913309061</v>
      </c>
      <c r="AI107" s="31">
        <f>IF(HLOOKUP(AI$13,'MP (nominal)'!$D$12:$AM$244,ROW()-12,FALSE)="","",HLOOKUP(AI$13,'MP (nominal)'!$D$12:$AM$244,ROW()-12,FALSE))</f>
        <v>116086.96</v>
      </c>
      <c r="AJ107" s="31">
        <f>IF(HLOOKUP(AJ$13,'MP (nominal)'!$D$12:$AM$244,ROW()-12,FALSE)="","",HLOOKUP(AJ$13,'MP (nominal)'!$D$12:$AM$244,ROW()-12,FALSE))</f>
        <v>304</v>
      </c>
      <c r="AK107" s="281"/>
      <c r="AL107" s="281">
        <f>IF(HLOOKUP(AL$13,'MP (nominal)'!$D$12:$AM$244,ROW()-12,FALSE)="","",HLOOKUP(AL$13,'MP (nominal)'!$D$12:$AM$244,ROW()-12,FALSE)*VLOOKUP($C107,CPI!$B$9:$I$63,8))</f>
        <v>1088.7016953806024</v>
      </c>
      <c r="AM107" s="31">
        <f>IF(HLOOKUP(AM$13,'MP (nominal)'!$D$12:$AM$244,ROW()-12,FALSE)="","",HLOOKUP(AM$13,'MP (nominal)'!$D$12:$AM$244,ROW()-12,FALSE))</f>
        <v>24564.428</v>
      </c>
      <c r="AN107" s="31">
        <f>IF(HLOOKUP(AN$13,'MP (nominal)'!$D$12:$AM$244,ROW()-12,FALSE)="","",HLOOKUP(AN$13,'MP (nominal)'!$D$12:$AM$244,ROW()-12,FALSE))</f>
        <v>5</v>
      </c>
      <c r="AO107" s="281"/>
      <c r="AP107" s="281">
        <f>IF(HLOOKUP(AP$13,'MP (nominal)'!$D$12:$AM$244,ROW()-12,FALSE)="","",HLOOKUP(AP$13,'MP (nominal)'!$D$12:$AM$244,ROW()-12,FALSE)*VLOOKUP($C107,CPI!$B$9:$I$63,8))</f>
        <v>25850.901245109468</v>
      </c>
      <c r="AQ107" s="31">
        <f>IF(HLOOKUP(AQ$13,'MP (nominal)'!$D$12:$AM$244,ROW()-12,FALSE)="","",HLOOKUP(AQ$13,'MP (nominal)'!$D$12:$AM$244,ROW()-12,FALSE))</f>
        <v>353075.44</v>
      </c>
      <c r="AR107" s="281">
        <f>IF(HLOOKUP(AR$13,'MP (nominal)'!$D$12:$AM$244,ROW()-12,FALSE)="","",HLOOKUP(AR$13,'MP (nominal)'!$D$12:$AM$244,ROW()-12,FALSE))</f>
        <v>23870</v>
      </c>
    </row>
    <row r="108" spans="1:44" s="278" customFormat="1">
      <c r="A108" s="271">
        <f>References!I269</f>
        <v>260</v>
      </c>
      <c r="B108" s="292" t="s">
        <v>40</v>
      </c>
      <c r="C108" s="284">
        <v>2010</v>
      </c>
      <c r="D108" s="27">
        <f>IF(HLOOKUP(D$13,'MP (nominal)'!$D$12:$AM$244,ROW()-12,FALSE)="","",HLOOKUP(D$13,'MP (nominal)'!$D$12:$AM$244,ROW()-12,FALSE))</f>
        <v>2880</v>
      </c>
      <c r="E108" s="281">
        <f>IF(HLOOKUP(E$13,'MP (nominal)'!$D$12:$AM$244,ROW()-12,FALSE)="","",HLOOKUP(E$13,'MP (nominal)'!$D$12:$AM$244,ROW()-12,FALSE))</f>
        <v>0</v>
      </c>
      <c r="F108" s="27">
        <f>IF(HLOOKUP(F$13,'MP (nominal)'!$D$12:$AM$244,ROW()-12,FALSE)="","",HLOOKUP(F$13,'MP (nominal)'!$D$12:$AM$244,ROW()-12,FALSE))</f>
        <v>454</v>
      </c>
      <c r="G108" s="281">
        <f>IF(HLOOKUP(G$13,'MP (nominal)'!$D$12:$AM$244,ROW()-12,FALSE)="","",HLOOKUP(G$13,'MP (nominal)'!$D$12:$AM$244,ROW()-12,FALSE))</f>
        <v>45</v>
      </c>
      <c r="H108" s="27">
        <f>IF(HLOOKUP(H$13,'MP (nominal)'!$D$12:$AM$244,ROW()-12,FALSE)="","",HLOOKUP(H$13,'MP (nominal)'!$D$12:$AM$244,ROW()-12,FALSE))</f>
        <v>3334</v>
      </c>
      <c r="I108" s="31">
        <f>IF(HLOOKUP(I$13,'MP (nominal)'!$D$12:$AM$244,ROW()-12,FALSE)="","",HLOOKUP(I$13,'MP (nominal)'!$D$12:$AM$244,ROW()-12,FALSE))</f>
        <v>45</v>
      </c>
      <c r="J108" s="31">
        <f>IF(HLOOKUP(J$13,'MP (nominal)'!$D$12:$AM$244,ROW()-12,FALSE)="","",HLOOKUP(J$13,'MP (nominal)'!$D$12:$AM$244,ROW()-12,FALSE))</f>
        <v>2880</v>
      </c>
      <c r="K108" s="281"/>
      <c r="L108" s="27">
        <f>IF(HLOOKUP(L$13,'MP (nominal)'!$D$12:$AM$244,ROW()-12,FALSE)="","",HLOOKUP(L$13,'MP (nominal)'!$D$12:$AM$244,ROW()-12,FALSE))</f>
        <v>72</v>
      </c>
      <c r="M108" s="283">
        <f>IF(HLOOKUP(M$13,'MP (nominal)'!$D$12:$AM$244,ROW()-12,FALSE)="","",HLOOKUP(M$13,'MP (nominal)'!$D$12:$AM$244,ROW()-12,FALSE))</f>
        <v>368.476</v>
      </c>
      <c r="N108" s="35"/>
      <c r="O108" s="27">
        <f>IF(HLOOKUP(O$13,'MP (nominal)'!$D$12:$AM$244,ROW()-12,FALSE)="","",HLOOKUP(O$13,'MP (nominal)'!$D$12:$AM$244,ROW()-12,FALSE))</f>
        <v>24073</v>
      </c>
      <c r="P108" s="31"/>
      <c r="Q108" s="281"/>
      <c r="R108" s="281">
        <f>IF(HLOOKUP(R$13,'MP (nominal)'!$D$12:$AM$244,ROW()-12,FALSE)="","",HLOOKUP(R$13,'MP (nominal)'!$D$12:$AM$244,ROW()-12,FALSE))</f>
        <v>283.79000000000002</v>
      </c>
      <c r="S108" s="281">
        <f>IF(HLOOKUP(S$13,'MP (nominal)'!$D$12:$AM$244,ROW()-12,FALSE)="","",HLOOKUP(S$13,'MP (nominal)'!$D$12:$AM$244,ROW()-12,FALSE))</f>
        <v>103.56</v>
      </c>
      <c r="T108" s="281">
        <f>IF(HLOOKUP(T$13,'MP (nominal)'!$D$12:$AM$244,ROW()-12,FALSE)="","",HLOOKUP(T$13,'MP (nominal)'!$D$12:$AM$244,ROW()-12,FALSE))</f>
        <v>180.23</v>
      </c>
      <c r="U108" s="281"/>
      <c r="V108" s="281">
        <f>IF(HLOOKUP(V$13,'MP (nominal)'!$D$12:$AM$244,ROW()-12,FALSE)="","",HLOOKUP(V$13,'MP (nominal)'!$D$12:$AM$244,ROW()-12,FALSE))</f>
        <v>2.83</v>
      </c>
      <c r="W108" s="281">
        <f>IF(HLOOKUP(W$13,'MP (nominal)'!$D$12:$AM$244,ROW()-12,FALSE)="","",HLOOKUP(W$13,'MP (nominal)'!$D$12:$AM$244,ROW()-12,FALSE))</f>
        <v>0.41</v>
      </c>
      <c r="X108" s="281">
        <f>IF(HLOOKUP(X$13,'MP (nominal)'!$D$12:$AM$244,ROW()-12,FALSE)="","",HLOOKUP(X$13,'MP (nominal)'!$D$12:$AM$244,ROW()-12,FALSE))</f>
        <v>2.42</v>
      </c>
      <c r="Y108" s="281"/>
      <c r="Z108" s="281">
        <f>IF(HLOOKUP(Z$13,'MP (nominal)'!$D$12:$AM$244,ROW()-12,FALSE)="","",HLOOKUP(Z$13,'MP (nominal)'!$D$12:$AM$244,ROW()-12,FALSE)*VLOOKUP($C108,CPI!$B$9:$I$63,8))</f>
        <v>10857.616633882135</v>
      </c>
      <c r="AA108" s="281">
        <f>IF(HLOOKUP(AA$13,'MP (nominal)'!$D$12:$AM$244,ROW()-12,FALSE)="","",HLOOKUP(AA$13,'MP (nominal)'!$D$12:$AM$244,ROW()-12,FALSE))</f>
        <v>131001</v>
      </c>
      <c r="AB108" s="281">
        <f>IF(HLOOKUP(AB$13,'MP (nominal)'!$D$12:$AM$244,ROW()-12,FALSE)="","",HLOOKUP(AB$13,'MP (nominal)'!$D$12:$AM$244,ROW()-12,FALSE))</f>
        <v>18629</v>
      </c>
      <c r="AC108" s="281"/>
      <c r="AD108" s="281">
        <f>IF(HLOOKUP(AD$13,'MP (nominal)'!$D$12:$AM$244,ROW()-12,FALSE)="","",HLOOKUP(AD$13,'MP (nominal)'!$D$12:$AM$244,ROW()-12,FALSE)*VLOOKUP($C108,CPI!$B$9:$I$63,8))</f>
        <v>6674.4415537172263</v>
      </c>
      <c r="AE108" s="31">
        <f>IF(HLOOKUP(AE$13,'MP (nominal)'!$D$12:$AM$244,ROW()-12,FALSE)="","",HLOOKUP(AE$13,'MP (nominal)'!$D$12:$AM$244,ROW()-12,FALSE))</f>
        <v>87554</v>
      </c>
      <c r="AF108" s="31">
        <f>IF(HLOOKUP(AF$13,'MP (nominal)'!$D$12:$AM$244,ROW()-12,FALSE)="","",HLOOKUP(AF$13,'MP (nominal)'!$D$12:$AM$244,ROW()-12,FALSE))</f>
        <v>5132</v>
      </c>
      <c r="AG108" s="281"/>
      <c r="AH108" s="281">
        <f>IF(HLOOKUP(AH$13,'MP (nominal)'!$D$12:$AM$244,ROW()-12,FALSE)="","",HLOOKUP(AH$13,'MP (nominal)'!$D$12:$AM$244,ROW()-12,FALSE)*VLOOKUP($C108,CPI!$B$9:$I$63,8))</f>
        <v>7718.8598959877108</v>
      </c>
      <c r="AI108" s="31">
        <f>IF(HLOOKUP(AI$13,'MP (nominal)'!$D$12:$AM$244,ROW()-12,FALSE)="","",HLOOKUP(AI$13,'MP (nominal)'!$D$12:$AM$244,ROW()-12,FALSE))</f>
        <v>123771</v>
      </c>
      <c r="AJ108" s="31">
        <f>IF(HLOOKUP(AJ$13,'MP (nominal)'!$D$12:$AM$244,ROW()-12,FALSE)="","",HLOOKUP(AJ$13,'MP (nominal)'!$D$12:$AM$244,ROW()-12,FALSE))</f>
        <v>307</v>
      </c>
      <c r="AK108" s="281"/>
      <c r="AL108" s="281">
        <f>IF(HLOOKUP(AL$13,'MP (nominal)'!$D$12:$AM$244,ROW()-12,FALSE)="","",HLOOKUP(AL$13,'MP (nominal)'!$D$12:$AM$244,ROW()-12,FALSE)*VLOOKUP($C108,CPI!$B$9:$I$63,8))</f>
        <v>953.52803750909413</v>
      </c>
      <c r="AM108" s="31">
        <f>IF(HLOOKUP(AM$13,'MP (nominal)'!$D$12:$AM$244,ROW()-12,FALSE)="","",HLOOKUP(AM$13,'MP (nominal)'!$D$12:$AM$244,ROW()-12,FALSE))</f>
        <v>26150</v>
      </c>
      <c r="AN108" s="31">
        <f>IF(HLOOKUP(AN$13,'MP (nominal)'!$D$12:$AM$244,ROW()-12,FALSE)="","",HLOOKUP(AN$13,'MP (nominal)'!$D$12:$AM$244,ROW()-12,FALSE))</f>
        <v>5</v>
      </c>
      <c r="AO108" s="281"/>
      <c r="AP108" s="281">
        <f>IF(HLOOKUP(AP$13,'MP (nominal)'!$D$12:$AM$244,ROW()-12,FALSE)="","",HLOOKUP(AP$13,'MP (nominal)'!$D$12:$AM$244,ROW()-12,FALSE)*VLOOKUP($C108,CPI!$B$9:$I$63,8))</f>
        <v>26204.446121096167</v>
      </c>
      <c r="AQ108" s="31">
        <f>IF(HLOOKUP(AQ$13,'MP (nominal)'!$D$12:$AM$244,ROW()-12,FALSE)="","",HLOOKUP(AQ$13,'MP (nominal)'!$D$12:$AM$244,ROW()-12,FALSE))</f>
        <v>368476</v>
      </c>
      <c r="AR108" s="281">
        <f>IF(HLOOKUP(AR$13,'MP (nominal)'!$D$12:$AM$244,ROW()-12,FALSE)="","",HLOOKUP(AR$13,'MP (nominal)'!$D$12:$AM$244,ROW()-12,FALSE))</f>
        <v>24073</v>
      </c>
    </row>
    <row r="109" spans="1:44" s="278" customFormat="1">
      <c r="A109" s="271">
        <f>References!J269</f>
        <v>261</v>
      </c>
      <c r="B109" s="292" t="s">
        <v>40</v>
      </c>
      <c r="C109" s="284">
        <v>2011</v>
      </c>
      <c r="D109" s="27">
        <f>IF(HLOOKUP(D$13,'MP (nominal)'!$D$12:$AM$244,ROW()-12,FALSE)="","",HLOOKUP(D$13,'MP (nominal)'!$D$12:$AM$244,ROW()-12,FALSE))</f>
        <v>2877</v>
      </c>
      <c r="E109" s="281">
        <f>IF(HLOOKUP(E$13,'MP (nominal)'!$D$12:$AM$244,ROW()-12,FALSE)="","",HLOOKUP(E$13,'MP (nominal)'!$D$12:$AM$244,ROW()-12,FALSE))</f>
        <v>0</v>
      </c>
      <c r="F109" s="27">
        <f>IF(HLOOKUP(F$13,'MP (nominal)'!$D$12:$AM$244,ROW()-12,FALSE)="","",HLOOKUP(F$13,'MP (nominal)'!$D$12:$AM$244,ROW()-12,FALSE))</f>
        <v>472</v>
      </c>
      <c r="G109" s="281">
        <f>IF(HLOOKUP(G$13,'MP (nominal)'!$D$12:$AM$244,ROW()-12,FALSE)="","",HLOOKUP(G$13,'MP (nominal)'!$D$12:$AM$244,ROW()-12,FALSE))</f>
        <v>44.8</v>
      </c>
      <c r="H109" s="27">
        <f>IF(HLOOKUP(H$13,'MP (nominal)'!$D$12:$AM$244,ROW()-12,FALSE)="","",HLOOKUP(H$13,'MP (nominal)'!$D$12:$AM$244,ROW()-12,FALSE))</f>
        <v>3349</v>
      </c>
      <c r="I109" s="31">
        <f>IF(HLOOKUP(I$13,'MP (nominal)'!$D$12:$AM$244,ROW()-12,FALSE)="","",HLOOKUP(I$13,'MP (nominal)'!$D$12:$AM$244,ROW()-12,FALSE))</f>
        <v>44.8</v>
      </c>
      <c r="J109" s="31">
        <f>IF(HLOOKUP(J$13,'MP (nominal)'!$D$12:$AM$244,ROW()-12,FALSE)="","",HLOOKUP(J$13,'MP (nominal)'!$D$12:$AM$244,ROW()-12,FALSE))</f>
        <v>2877</v>
      </c>
      <c r="K109" s="281"/>
      <c r="L109" s="27">
        <f>IF(HLOOKUP(L$13,'MP (nominal)'!$D$12:$AM$244,ROW()-12,FALSE)="","",HLOOKUP(L$13,'MP (nominal)'!$D$12:$AM$244,ROW()-12,FALSE))</f>
        <v>70.247</v>
      </c>
      <c r="M109" s="283">
        <f>IF(HLOOKUP(M$13,'MP (nominal)'!$D$12:$AM$244,ROW()-12,FALSE)="","",HLOOKUP(M$13,'MP (nominal)'!$D$12:$AM$244,ROW()-12,FALSE))</f>
        <v>363.91399999999999</v>
      </c>
      <c r="N109" s="35"/>
      <c r="O109" s="27">
        <f>IF(HLOOKUP(O$13,'MP (nominal)'!$D$12:$AM$244,ROW()-12,FALSE)="","",HLOOKUP(O$13,'MP (nominal)'!$D$12:$AM$244,ROW()-12,FALSE))</f>
        <v>24270</v>
      </c>
      <c r="P109" s="31"/>
      <c r="Q109" s="281"/>
      <c r="R109" s="281">
        <f>IF(HLOOKUP(R$13,'MP (nominal)'!$D$12:$AM$244,ROW()-12,FALSE)="","",HLOOKUP(R$13,'MP (nominal)'!$D$12:$AM$244,ROW()-12,FALSE))</f>
        <v>422.91</v>
      </c>
      <c r="S109" s="281">
        <f>IF(HLOOKUP(S$13,'MP (nominal)'!$D$12:$AM$244,ROW()-12,FALSE)="","",HLOOKUP(S$13,'MP (nominal)'!$D$12:$AM$244,ROW()-12,FALSE))</f>
        <v>84</v>
      </c>
      <c r="T109" s="281">
        <f>IF(HLOOKUP(T$13,'MP (nominal)'!$D$12:$AM$244,ROW()-12,FALSE)="","",HLOOKUP(T$13,'MP (nominal)'!$D$12:$AM$244,ROW()-12,FALSE))</f>
        <v>338.92</v>
      </c>
      <c r="U109" s="281"/>
      <c r="V109" s="281">
        <f>IF(HLOOKUP(V$13,'MP (nominal)'!$D$12:$AM$244,ROW()-12,FALSE)="","",HLOOKUP(V$13,'MP (nominal)'!$D$12:$AM$244,ROW()-12,FALSE))</f>
        <v>2.83</v>
      </c>
      <c r="W109" s="281">
        <f>IF(HLOOKUP(W$13,'MP (nominal)'!$D$12:$AM$244,ROW()-12,FALSE)="","",HLOOKUP(W$13,'MP (nominal)'!$D$12:$AM$244,ROW()-12,FALSE))</f>
        <v>0.53</v>
      </c>
      <c r="X109" s="281">
        <f>IF(HLOOKUP(X$13,'MP (nominal)'!$D$12:$AM$244,ROW()-12,FALSE)="","",HLOOKUP(X$13,'MP (nominal)'!$D$12:$AM$244,ROW()-12,FALSE))</f>
        <v>2.31</v>
      </c>
      <c r="Y109" s="281"/>
      <c r="Z109" s="281">
        <f>IF(HLOOKUP(Z$13,'MP (nominal)'!$D$12:$AM$244,ROW()-12,FALSE)="","",HLOOKUP(Z$13,'MP (nominal)'!$D$12:$AM$244,ROW()-12,FALSE)*VLOOKUP($C109,CPI!$B$9:$I$63,8))</f>
        <v>11056</v>
      </c>
      <c r="AA109" s="281">
        <f>IF(HLOOKUP(AA$13,'MP (nominal)'!$D$12:$AM$244,ROW()-12,FALSE)="","",HLOOKUP(AA$13,'MP (nominal)'!$D$12:$AM$244,ROW()-12,FALSE))</f>
        <v>126805</v>
      </c>
      <c r="AB109" s="281">
        <f>IF(HLOOKUP(AB$13,'MP (nominal)'!$D$12:$AM$244,ROW()-12,FALSE)="","",HLOOKUP(AB$13,'MP (nominal)'!$D$12:$AM$244,ROW()-12,FALSE))</f>
        <v>18877</v>
      </c>
      <c r="AC109" s="281"/>
      <c r="AD109" s="281">
        <f>IF(HLOOKUP(AD$13,'MP (nominal)'!$D$12:$AM$244,ROW()-12,FALSE)="","",HLOOKUP(AD$13,'MP (nominal)'!$D$12:$AM$244,ROW()-12,FALSE)*VLOOKUP($C109,CPI!$B$9:$I$63,8))</f>
        <v>6796</v>
      </c>
      <c r="AE109" s="31">
        <f>IF(HLOOKUP(AE$13,'MP (nominal)'!$D$12:$AM$244,ROW()-12,FALSE)="","",HLOOKUP(AE$13,'MP (nominal)'!$D$12:$AM$244,ROW()-12,FALSE))</f>
        <v>85315</v>
      </c>
      <c r="AF109" s="31">
        <f>IF(HLOOKUP(AF$13,'MP (nominal)'!$D$12:$AM$244,ROW()-12,FALSE)="","",HLOOKUP(AF$13,'MP (nominal)'!$D$12:$AM$244,ROW()-12,FALSE))</f>
        <v>5075</v>
      </c>
      <c r="AG109" s="281"/>
      <c r="AH109" s="281">
        <f>IF(HLOOKUP(AH$13,'MP (nominal)'!$D$12:$AM$244,ROW()-12,FALSE)="","",HLOOKUP(AH$13,'MP (nominal)'!$D$12:$AM$244,ROW()-12,FALSE)*VLOOKUP($C109,CPI!$B$9:$I$63,8))</f>
        <v>7814</v>
      </c>
      <c r="AI109" s="31">
        <f>IF(HLOOKUP(AI$13,'MP (nominal)'!$D$12:$AM$244,ROW()-12,FALSE)="","",HLOOKUP(AI$13,'MP (nominal)'!$D$12:$AM$244,ROW()-12,FALSE))</f>
        <v>130109</v>
      </c>
      <c r="AJ109" s="31">
        <f>IF(HLOOKUP(AJ$13,'MP (nominal)'!$D$12:$AM$244,ROW()-12,FALSE)="","",HLOOKUP(AJ$13,'MP (nominal)'!$D$12:$AM$244,ROW()-12,FALSE))</f>
        <v>313</v>
      </c>
      <c r="AK109" s="281"/>
      <c r="AL109" s="281">
        <f>IF(HLOOKUP(AL$13,'MP (nominal)'!$D$12:$AM$244,ROW()-12,FALSE)="","",HLOOKUP(AL$13,'MP (nominal)'!$D$12:$AM$244,ROW()-12,FALSE)*VLOOKUP($C109,CPI!$B$9:$I$63,8))</f>
        <v>1336</v>
      </c>
      <c r="AM109" s="31">
        <f>IF(HLOOKUP(AM$13,'MP (nominal)'!$D$12:$AM$244,ROW()-12,FALSE)="","",HLOOKUP(AM$13,'MP (nominal)'!$D$12:$AM$244,ROW()-12,FALSE))</f>
        <v>21685</v>
      </c>
      <c r="AN109" s="31">
        <f>IF(HLOOKUP(AN$13,'MP (nominal)'!$D$12:$AM$244,ROW()-12,FALSE)="","",HLOOKUP(AN$13,'MP (nominal)'!$D$12:$AM$244,ROW()-12,FALSE))</f>
        <v>5</v>
      </c>
      <c r="AO109" s="281"/>
      <c r="AP109" s="281">
        <f>IF(HLOOKUP(AP$13,'MP (nominal)'!$D$12:$AM$244,ROW()-12,FALSE)="","",HLOOKUP(AP$13,'MP (nominal)'!$D$12:$AM$244,ROW()-12,FALSE)*VLOOKUP($C109,CPI!$B$9:$I$63,8))</f>
        <v>27002</v>
      </c>
      <c r="AQ109" s="31">
        <f>IF(HLOOKUP(AQ$13,'MP (nominal)'!$D$12:$AM$244,ROW()-12,FALSE)="","",HLOOKUP(AQ$13,'MP (nominal)'!$D$12:$AM$244,ROW()-12,FALSE))</f>
        <v>363914</v>
      </c>
      <c r="AR109" s="281">
        <f>IF(HLOOKUP(AR$13,'MP (nominal)'!$D$12:$AM$244,ROW()-12,FALSE)="","",HLOOKUP(AR$13,'MP (nominal)'!$D$12:$AM$244,ROW()-12,FALSE))</f>
        <v>24270</v>
      </c>
    </row>
    <row r="110" spans="1:44" s="278" customFormat="1" hidden="1">
      <c r="A110" s="271">
        <f>References!C270</f>
        <v>277</v>
      </c>
      <c r="B110" s="292" t="s">
        <v>41</v>
      </c>
      <c r="C110" s="284">
        <v>2004</v>
      </c>
      <c r="D110" s="27" t="str">
        <f>IF(HLOOKUP(D$13,'MP (nominal)'!$D$12:$AM$244,ROW()-12,FALSE)="","",HLOOKUP(D$13,'MP (nominal)'!$D$12:$AM$244,ROW()-12,FALSE))</f>
        <v/>
      </c>
      <c r="E110" s="281" t="str">
        <f>IF(HLOOKUP(E$13,'MP (nominal)'!$D$12:$AM$244,ROW()-12,FALSE)="","",HLOOKUP(E$13,'MP (nominal)'!$D$12:$AM$244,ROW()-12,FALSE))</f>
        <v/>
      </c>
      <c r="F110" s="27">
        <f>IF(HLOOKUP(F$13,'MP (nominal)'!$D$12:$AM$244,ROW()-12,FALSE)="","",HLOOKUP(F$13,'MP (nominal)'!$D$12:$AM$244,ROW()-12,FALSE))</f>
        <v>202</v>
      </c>
      <c r="G110" s="281" t="str">
        <f>IF(HLOOKUP(G$13,'MP (nominal)'!$D$12:$AM$244,ROW()-12,FALSE)="","",HLOOKUP(G$13,'MP (nominal)'!$D$12:$AM$244,ROW()-12,FALSE))</f>
        <v/>
      </c>
      <c r="H110" s="27">
        <f>IF(HLOOKUP(H$13,'MP (nominal)'!$D$12:$AM$244,ROW()-12,FALSE)="","",HLOOKUP(H$13,'MP (nominal)'!$D$12:$AM$244,ROW()-12,FALSE))</f>
        <v>240</v>
      </c>
      <c r="I110" s="31" t="str">
        <f>IF(HLOOKUP(I$13,'MP (nominal)'!$D$12:$AM$244,ROW()-12,FALSE)="","",HLOOKUP(I$13,'MP (nominal)'!$D$12:$AM$244,ROW()-12,FALSE))</f>
        <v/>
      </c>
      <c r="J110" s="31">
        <f>IF(HLOOKUP(J$13,'MP (nominal)'!$D$12:$AM$244,ROW()-12,FALSE)="","",HLOOKUP(J$13,'MP (nominal)'!$D$12:$AM$244,ROW()-12,FALSE))</f>
        <v>37</v>
      </c>
      <c r="K110" s="281"/>
      <c r="L110" s="27">
        <f>IF(HLOOKUP(L$13,'MP (nominal)'!$D$12:$AM$244,ROW()-12,FALSE)="","",HLOOKUP(L$13,'MP (nominal)'!$D$12:$AM$244,ROW()-12,FALSE))</f>
        <v>29.8</v>
      </c>
      <c r="M110" s="293">
        <f>IF(HLOOKUP(M$13,'MP (nominal)'!$D$12:$AM$244,ROW()-12,FALSE)="","",HLOOKUP(M$13,'MP (nominal)'!$D$12:$AM$244,ROW()-12,FALSE))</f>
        <v>137.67072899999999</v>
      </c>
      <c r="N110" s="35"/>
      <c r="O110" s="27">
        <f>IF(HLOOKUP(O$13,'MP (nominal)'!$D$12:$AM$244,ROW()-12,FALSE)="","",HLOOKUP(O$13,'MP (nominal)'!$D$12:$AM$244,ROW()-12,FALSE))</f>
        <v>8735</v>
      </c>
      <c r="P110" s="31"/>
      <c r="Q110" s="281"/>
      <c r="R110" s="281">
        <f>IF(HLOOKUP(R$13,'MP (nominal)'!$D$12:$AM$244,ROW()-12,FALSE)="","",HLOOKUP(R$13,'MP (nominal)'!$D$12:$AM$244,ROW()-12,FALSE))</f>
        <v>53.2</v>
      </c>
      <c r="S110" s="281" t="str">
        <f>IF(HLOOKUP(S$13,'MP (nominal)'!$D$12:$AM$244,ROW()-12,FALSE)="","",HLOOKUP(S$13,'MP (nominal)'!$D$12:$AM$244,ROW()-12,FALSE))</f>
        <v/>
      </c>
      <c r="T110" s="281" t="str">
        <f>IF(HLOOKUP(T$13,'MP (nominal)'!$D$12:$AM$244,ROW()-12,FALSE)="","",HLOOKUP(T$13,'MP (nominal)'!$D$12:$AM$244,ROW()-12,FALSE))</f>
        <v/>
      </c>
      <c r="U110" s="281"/>
      <c r="V110" s="281">
        <f>IF(HLOOKUP(V$13,'MP (nominal)'!$D$12:$AM$244,ROW()-12,FALSE)="","",HLOOKUP(V$13,'MP (nominal)'!$D$12:$AM$244,ROW()-12,FALSE))</f>
        <v>0.8</v>
      </c>
      <c r="W110" s="281" t="str">
        <f>IF(HLOOKUP(W$13,'MP (nominal)'!$D$12:$AM$244,ROW()-12,FALSE)="","",HLOOKUP(W$13,'MP (nominal)'!$D$12:$AM$244,ROW()-12,FALSE))</f>
        <v/>
      </c>
      <c r="X110" s="281" t="str">
        <f>IF(HLOOKUP(X$13,'MP (nominal)'!$D$12:$AM$244,ROW()-12,FALSE)="","",HLOOKUP(X$13,'MP (nominal)'!$D$12:$AM$244,ROW()-12,FALSE))</f>
        <v/>
      </c>
      <c r="Y110" s="281"/>
      <c r="Z110" s="281" t="str">
        <f>IF(HLOOKUP(Z$13,'MP (nominal)'!$D$12:$AM$244,ROW()-12,FALSE)="","",HLOOKUP(Z$13,'MP (nominal)'!$D$12:$AM$244,ROW()-12,FALSE)*VLOOKUP($C110,CPI!$B$9:$I$63,8))</f>
        <v/>
      </c>
      <c r="AA110" s="281" t="str">
        <f>IF(HLOOKUP(AA$13,'MP (nominal)'!$D$12:$AM$244,ROW()-12,FALSE)="","",HLOOKUP(AA$13,'MP (nominal)'!$D$12:$AM$244,ROW()-12,FALSE))</f>
        <v/>
      </c>
      <c r="AB110" s="281" t="str">
        <f>IF(HLOOKUP(AB$13,'MP (nominal)'!$D$12:$AM$244,ROW()-12,FALSE)="","",HLOOKUP(AB$13,'MP (nominal)'!$D$12:$AM$244,ROW()-12,FALSE))</f>
        <v/>
      </c>
      <c r="AC110" s="281"/>
      <c r="AD110" s="281" t="str">
        <f>IF(HLOOKUP(AD$13,'MP (nominal)'!$D$12:$AM$244,ROW()-12,FALSE)="","",HLOOKUP(AD$13,'MP (nominal)'!$D$12:$AM$244,ROW()-12,FALSE)*VLOOKUP($C110,CPI!$B$9:$I$63,8))</f>
        <v/>
      </c>
      <c r="AE110" s="31" t="str">
        <f>IF(HLOOKUP(AE$13,'MP (nominal)'!$D$12:$AM$244,ROW()-12,FALSE)="","",HLOOKUP(AE$13,'MP (nominal)'!$D$12:$AM$244,ROW()-12,FALSE))</f>
        <v/>
      </c>
      <c r="AF110" s="31" t="str">
        <f>IF(HLOOKUP(AF$13,'MP (nominal)'!$D$12:$AM$244,ROW()-12,FALSE)="","",HLOOKUP(AF$13,'MP (nominal)'!$D$12:$AM$244,ROW()-12,FALSE))</f>
        <v/>
      </c>
      <c r="AG110" s="281"/>
      <c r="AH110" s="281" t="str">
        <f>IF(HLOOKUP(AH$13,'MP (nominal)'!$D$12:$AM$244,ROW()-12,FALSE)="","",HLOOKUP(AH$13,'MP (nominal)'!$D$12:$AM$244,ROW()-12,FALSE)*VLOOKUP($C110,CPI!$B$9:$I$63,8))</f>
        <v/>
      </c>
      <c r="AI110" s="31" t="str">
        <f>IF(HLOOKUP(AI$13,'MP (nominal)'!$D$12:$AM$244,ROW()-12,FALSE)="","",HLOOKUP(AI$13,'MP (nominal)'!$D$12:$AM$244,ROW()-12,FALSE))</f>
        <v/>
      </c>
      <c r="AJ110" s="31" t="str">
        <f>IF(HLOOKUP(AJ$13,'MP (nominal)'!$D$12:$AM$244,ROW()-12,FALSE)="","",HLOOKUP(AJ$13,'MP (nominal)'!$D$12:$AM$244,ROW()-12,FALSE))</f>
        <v/>
      </c>
      <c r="AK110" s="281"/>
      <c r="AL110" s="281" t="str">
        <f>IF(HLOOKUP(AL$13,'MP (nominal)'!$D$12:$AM$244,ROW()-12,FALSE)="","",HLOOKUP(AL$13,'MP (nominal)'!$D$12:$AM$244,ROW()-12,FALSE)*VLOOKUP($C110,CPI!$B$9:$I$63,8))</f>
        <v/>
      </c>
      <c r="AM110" s="31" t="str">
        <f>IF(HLOOKUP(AM$13,'MP (nominal)'!$D$12:$AM$244,ROW()-12,FALSE)="","",HLOOKUP(AM$13,'MP (nominal)'!$D$12:$AM$244,ROW()-12,FALSE))</f>
        <v/>
      </c>
      <c r="AN110" s="31" t="str">
        <f>IF(HLOOKUP(AN$13,'MP (nominal)'!$D$12:$AM$244,ROW()-12,FALSE)="","",HLOOKUP(AN$13,'MP (nominal)'!$D$12:$AM$244,ROW()-12,FALSE))</f>
        <v/>
      </c>
      <c r="AO110" s="281"/>
      <c r="AP110" s="281" t="str">
        <f>IF(HLOOKUP(AP$13,'MP (nominal)'!$D$12:$AM$244,ROW()-12,FALSE)="","",HLOOKUP(AP$13,'MP (nominal)'!$D$12:$AM$244,ROW()-12,FALSE)*VLOOKUP($C110,CPI!$B$9:$I$63,8))</f>
        <v/>
      </c>
      <c r="AQ110" s="31" t="str">
        <f>IF(HLOOKUP(AQ$13,'MP (nominal)'!$D$12:$AM$244,ROW()-12,FALSE)="","",HLOOKUP(AQ$13,'MP (nominal)'!$D$12:$AM$244,ROW()-12,FALSE))</f>
        <v/>
      </c>
      <c r="AR110" s="281" t="str">
        <f>IF(HLOOKUP(AR$13,'MP (nominal)'!$D$12:$AM$244,ROW()-12,FALSE)="","",HLOOKUP(AR$13,'MP (nominal)'!$D$12:$AM$244,ROW()-12,FALSE))</f>
        <v/>
      </c>
    </row>
    <row r="111" spans="1:44" s="278" customFormat="1" hidden="1">
      <c r="A111" s="271">
        <f>References!D270</f>
        <v>278</v>
      </c>
      <c r="B111" s="292" t="s">
        <v>41</v>
      </c>
      <c r="C111" s="284">
        <v>2005</v>
      </c>
      <c r="D111" s="27" t="str">
        <f>IF(HLOOKUP(D$13,'MP (nominal)'!$D$12:$AM$244,ROW()-12,FALSE)="","",HLOOKUP(D$13,'MP (nominal)'!$D$12:$AM$244,ROW()-12,FALSE))</f>
        <v/>
      </c>
      <c r="E111" s="281" t="str">
        <f>IF(HLOOKUP(E$13,'MP (nominal)'!$D$12:$AM$244,ROW()-12,FALSE)="","",HLOOKUP(E$13,'MP (nominal)'!$D$12:$AM$244,ROW()-12,FALSE))</f>
        <v/>
      </c>
      <c r="F111" s="27">
        <f>IF(HLOOKUP(F$13,'MP (nominal)'!$D$12:$AM$244,ROW()-12,FALSE)="","",HLOOKUP(F$13,'MP (nominal)'!$D$12:$AM$244,ROW()-12,FALSE))</f>
        <v>206</v>
      </c>
      <c r="G111" s="281" t="str">
        <f>IF(HLOOKUP(G$13,'MP (nominal)'!$D$12:$AM$244,ROW()-12,FALSE)="","",HLOOKUP(G$13,'MP (nominal)'!$D$12:$AM$244,ROW()-12,FALSE))</f>
        <v/>
      </c>
      <c r="H111" s="27">
        <f>IF(HLOOKUP(H$13,'MP (nominal)'!$D$12:$AM$244,ROW()-12,FALSE)="","",HLOOKUP(H$13,'MP (nominal)'!$D$12:$AM$244,ROW()-12,FALSE))</f>
        <v>242</v>
      </c>
      <c r="I111" s="31" t="str">
        <f>IF(HLOOKUP(I$13,'MP (nominal)'!$D$12:$AM$244,ROW()-12,FALSE)="","",HLOOKUP(I$13,'MP (nominal)'!$D$12:$AM$244,ROW()-12,FALSE))</f>
        <v/>
      </c>
      <c r="J111" s="31">
        <f>IF(HLOOKUP(J$13,'MP (nominal)'!$D$12:$AM$244,ROW()-12,FALSE)="","",HLOOKUP(J$13,'MP (nominal)'!$D$12:$AM$244,ROW()-12,FALSE))</f>
        <v>36</v>
      </c>
      <c r="K111" s="281"/>
      <c r="L111" s="27">
        <f>IF(HLOOKUP(L$13,'MP (nominal)'!$D$12:$AM$244,ROW()-12,FALSE)="","",HLOOKUP(L$13,'MP (nominal)'!$D$12:$AM$244,ROW()-12,FALSE))</f>
        <v>30.12</v>
      </c>
      <c r="M111" s="293">
        <f>IF(HLOOKUP(M$13,'MP (nominal)'!$D$12:$AM$244,ROW()-12,FALSE)="","",HLOOKUP(M$13,'MP (nominal)'!$D$12:$AM$244,ROW()-12,FALSE))</f>
        <v>146.63485700000001</v>
      </c>
      <c r="N111" s="35"/>
      <c r="O111" s="27">
        <f>IF(HLOOKUP(O$13,'MP (nominal)'!$D$12:$AM$244,ROW()-12,FALSE)="","",HLOOKUP(O$13,'MP (nominal)'!$D$12:$AM$244,ROW()-12,FALSE))</f>
        <v>8876</v>
      </c>
      <c r="P111" s="31"/>
      <c r="Q111" s="281"/>
      <c r="R111" s="281">
        <f>IF(HLOOKUP(R$13,'MP (nominal)'!$D$12:$AM$244,ROW()-12,FALSE)="","",HLOOKUP(R$13,'MP (nominal)'!$D$12:$AM$244,ROW()-12,FALSE))</f>
        <v>51</v>
      </c>
      <c r="S111" s="281" t="str">
        <f>IF(HLOOKUP(S$13,'MP (nominal)'!$D$12:$AM$244,ROW()-12,FALSE)="","",HLOOKUP(S$13,'MP (nominal)'!$D$12:$AM$244,ROW()-12,FALSE))</f>
        <v/>
      </c>
      <c r="T111" s="281" t="str">
        <f>IF(HLOOKUP(T$13,'MP (nominal)'!$D$12:$AM$244,ROW()-12,FALSE)="","",HLOOKUP(T$13,'MP (nominal)'!$D$12:$AM$244,ROW()-12,FALSE))</f>
        <v/>
      </c>
      <c r="U111" s="281"/>
      <c r="V111" s="281">
        <f>IF(HLOOKUP(V$13,'MP (nominal)'!$D$12:$AM$244,ROW()-12,FALSE)="","",HLOOKUP(V$13,'MP (nominal)'!$D$12:$AM$244,ROW()-12,FALSE))</f>
        <v>0.8</v>
      </c>
      <c r="W111" s="281" t="str">
        <f>IF(HLOOKUP(W$13,'MP (nominal)'!$D$12:$AM$244,ROW()-12,FALSE)="","",HLOOKUP(W$13,'MP (nominal)'!$D$12:$AM$244,ROW()-12,FALSE))</f>
        <v/>
      </c>
      <c r="X111" s="281" t="str">
        <f>IF(HLOOKUP(X$13,'MP (nominal)'!$D$12:$AM$244,ROW()-12,FALSE)="","",HLOOKUP(X$13,'MP (nominal)'!$D$12:$AM$244,ROW()-12,FALSE))</f>
        <v/>
      </c>
      <c r="Y111" s="281"/>
      <c r="Z111" s="281" t="str">
        <f>IF(HLOOKUP(Z$13,'MP (nominal)'!$D$12:$AM$244,ROW()-12,FALSE)="","",HLOOKUP(Z$13,'MP (nominal)'!$D$12:$AM$244,ROW()-12,FALSE)*VLOOKUP($C111,CPI!$B$9:$I$63,8))</f>
        <v/>
      </c>
      <c r="AA111" s="281" t="str">
        <f>IF(HLOOKUP(AA$13,'MP (nominal)'!$D$12:$AM$244,ROW()-12,FALSE)="","",HLOOKUP(AA$13,'MP (nominal)'!$D$12:$AM$244,ROW()-12,FALSE))</f>
        <v/>
      </c>
      <c r="AB111" s="281" t="str">
        <f>IF(HLOOKUP(AB$13,'MP (nominal)'!$D$12:$AM$244,ROW()-12,FALSE)="","",HLOOKUP(AB$13,'MP (nominal)'!$D$12:$AM$244,ROW()-12,FALSE))</f>
        <v/>
      </c>
      <c r="AC111" s="281"/>
      <c r="AD111" s="281" t="str">
        <f>IF(HLOOKUP(AD$13,'MP (nominal)'!$D$12:$AM$244,ROW()-12,FALSE)="","",HLOOKUP(AD$13,'MP (nominal)'!$D$12:$AM$244,ROW()-12,FALSE)*VLOOKUP($C111,CPI!$B$9:$I$63,8))</f>
        <v/>
      </c>
      <c r="AE111" s="31" t="str">
        <f>IF(HLOOKUP(AE$13,'MP (nominal)'!$D$12:$AM$244,ROW()-12,FALSE)="","",HLOOKUP(AE$13,'MP (nominal)'!$D$12:$AM$244,ROW()-12,FALSE))</f>
        <v/>
      </c>
      <c r="AF111" s="31" t="str">
        <f>IF(HLOOKUP(AF$13,'MP (nominal)'!$D$12:$AM$244,ROW()-12,FALSE)="","",HLOOKUP(AF$13,'MP (nominal)'!$D$12:$AM$244,ROW()-12,FALSE))</f>
        <v/>
      </c>
      <c r="AG111" s="281"/>
      <c r="AH111" s="281" t="str">
        <f>IF(HLOOKUP(AH$13,'MP (nominal)'!$D$12:$AM$244,ROW()-12,FALSE)="","",HLOOKUP(AH$13,'MP (nominal)'!$D$12:$AM$244,ROW()-12,FALSE)*VLOOKUP($C111,CPI!$B$9:$I$63,8))</f>
        <v/>
      </c>
      <c r="AI111" s="31" t="str">
        <f>IF(HLOOKUP(AI$13,'MP (nominal)'!$D$12:$AM$244,ROW()-12,FALSE)="","",HLOOKUP(AI$13,'MP (nominal)'!$D$12:$AM$244,ROW()-12,FALSE))</f>
        <v/>
      </c>
      <c r="AJ111" s="31" t="str">
        <f>IF(HLOOKUP(AJ$13,'MP (nominal)'!$D$12:$AM$244,ROW()-12,FALSE)="","",HLOOKUP(AJ$13,'MP (nominal)'!$D$12:$AM$244,ROW()-12,FALSE))</f>
        <v/>
      </c>
      <c r="AK111" s="281"/>
      <c r="AL111" s="281" t="str">
        <f>IF(HLOOKUP(AL$13,'MP (nominal)'!$D$12:$AM$244,ROW()-12,FALSE)="","",HLOOKUP(AL$13,'MP (nominal)'!$D$12:$AM$244,ROW()-12,FALSE)*VLOOKUP($C111,CPI!$B$9:$I$63,8))</f>
        <v/>
      </c>
      <c r="AM111" s="31" t="str">
        <f>IF(HLOOKUP(AM$13,'MP (nominal)'!$D$12:$AM$244,ROW()-12,FALSE)="","",HLOOKUP(AM$13,'MP (nominal)'!$D$12:$AM$244,ROW()-12,FALSE))</f>
        <v/>
      </c>
      <c r="AN111" s="31" t="str">
        <f>IF(HLOOKUP(AN$13,'MP (nominal)'!$D$12:$AM$244,ROW()-12,FALSE)="","",HLOOKUP(AN$13,'MP (nominal)'!$D$12:$AM$244,ROW()-12,FALSE))</f>
        <v/>
      </c>
      <c r="AO111" s="281"/>
      <c r="AP111" s="281" t="str">
        <f>IF(HLOOKUP(AP$13,'MP (nominal)'!$D$12:$AM$244,ROW()-12,FALSE)="","",HLOOKUP(AP$13,'MP (nominal)'!$D$12:$AM$244,ROW()-12,FALSE)*VLOOKUP($C111,CPI!$B$9:$I$63,8))</f>
        <v/>
      </c>
      <c r="AQ111" s="31" t="str">
        <f>IF(HLOOKUP(AQ$13,'MP (nominal)'!$D$12:$AM$244,ROW()-12,FALSE)="","",HLOOKUP(AQ$13,'MP (nominal)'!$D$12:$AM$244,ROW()-12,FALSE))</f>
        <v/>
      </c>
      <c r="AR111" s="281" t="str">
        <f>IF(HLOOKUP(AR$13,'MP (nominal)'!$D$12:$AM$244,ROW()-12,FALSE)="","",HLOOKUP(AR$13,'MP (nominal)'!$D$12:$AM$244,ROW()-12,FALSE))</f>
        <v/>
      </c>
    </row>
    <row r="112" spans="1:44" s="278" customFormat="1" hidden="1">
      <c r="A112" s="271">
        <f>References!E270</f>
        <v>279</v>
      </c>
      <c r="B112" s="292" t="s">
        <v>41</v>
      </c>
      <c r="C112" s="284">
        <v>2006</v>
      </c>
      <c r="D112" s="27" t="str">
        <f>IF(HLOOKUP(D$13,'MP (nominal)'!$D$12:$AM$244,ROW()-12,FALSE)="","",HLOOKUP(D$13,'MP (nominal)'!$D$12:$AM$244,ROW()-12,FALSE))</f>
        <v/>
      </c>
      <c r="E112" s="281" t="str">
        <f>IF(HLOOKUP(E$13,'MP (nominal)'!$D$12:$AM$244,ROW()-12,FALSE)="","",HLOOKUP(E$13,'MP (nominal)'!$D$12:$AM$244,ROW()-12,FALSE))</f>
        <v/>
      </c>
      <c r="F112" s="27">
        <f>IF(HLOOKUP(F$13,'MP (nominal)'!$D$12:$AM$244,ROW()-12,FALSE)="","",HLOOKUP(F$13,'MP (nominal)'!$D$12:$AM$244,ROW()-12,FALSE))</f>
        <v>209</v>
      </c>
      <c r="G112" s="281" t="str">
        <f>IF(HLOOKUP(G$13,'MP (nominal)'!$D$12:$AM$244,ROW()-12,FALSE)="","",HLOOKUP(G$13,'MP (nominal)'!$D$12:$AM$244,ROW()-12,FALSE))</f>
        <v/>
      </c>
      <c r="H112" s="27">
        <f>IF(HLOOKUP(H$13,'MP (nominal)'!$D$12:$AM$244,ROW()-12,FALSE)="","",HLOOKUP(H$13,'MP (nominal)'!$D$12:$AM$244,ROW()-12,FALSE))</f>
        <v>244</v>
      </c>
      <c r="I112" s="31" t="str">
        <f>IF(HLOOKUP(I$13,'MP (nominal)'!$D$12:$AM$244,ROW()-12,FALSE)="","",HLOOKUP(I$13,'MP (nominal)'!$D$12:$AM$244,ROW()-12,FALSE))</f>
        <v/>
      </c>
      <c r="J112" s="31">
        <f>IF(HLOOKUP(J$13,'MP (nominal)'!$D$12:$AM$244,ROW()-12,FALSE)="","",HLOOKUP(J$13,'MP (nominal)'!$D$12:$AM$244,ROW()-12,FALSE))</f>
        <v>35</v>
      </c>
      <c r="K112" s="281"/>
      <c r="L112" s="27">
        <f>IF(HLOOKUP(L$13,'MP (nominal)'!$D$12:$AM$244,ROW()-12,FALSE)="","",HLOOKUP(L$13,'MP (nominal)'!$D$12:$AM$244,ROW()-12,FALSE))</f>
        <v>31.065999999999999</v>
      </c>
      <c r="M112" s="293">
        <f>IF(HLOOKUP(M$13,'MP (nominal)'!$D$12:$AM$244,ROW()-12,FALSE)="","",HLOOKUP(M$13,'MP (nominal)'!$D$12:$AM$244,ROW()-12,FALSE))</f>
        <v>145.43299500000001</v>
      </c>
      <c r="N112" s="35"/>
      <c r="O112" s="27">
        <f>IF(HLOOKUP(O$13,'MP (nominal)'!$D$12:$AM$244,ROW()-12,FALSE)="","",HLOOKUP(O$13,'MP (nominal)'!$D$12:$AM$244,ROW()-12,FALSE))</f>
        <v>8915</v>
      </c>
      <c r="P112" s="31"/>
      <c r="Q112" s="281"/>
      <c r="R112" s="281">
        <f>IF(HLOOKUP(R$13,'MP (nominal)'!$D$12:$AM$244,ROW()-12,FALSE)="","",HLOOKUP(R$13,'MP (nominal)'!$D$12:$AM$244,ROW()-12,FALSE))</f>
        <v>122</v>
      </c>
      <c r="S112" s="281" t="str">
        <f>IF(HLOOKUP(S$13,'MP (nominal)'!$D$12:$AM$244,ROW()-12,FALSE)="","",HLOOKUP(S$13,'MP (nominal)'!$D$12:$AM$244,ROW()-12,FALSE))</f>
        <v/>
      </c>
      <c r="T112" s="281" t="str">
        <f>IF(HLOOKUP(T$13,'MP (nominal)'!$D$12:$AM$244,ROW()-12,FALSE)="","",HLOOKUP(T$13,'MP (nominal)'!$D$12:$AM$244,ROW()-12,FALSE))</f>
        <v/>
      </c>
      <c r="U112" s="281"/>
      <c r="V112" s="281">
        <f>IF(HLOOKUP(V$13,'MP (nominal)'!$D$12:$AM$244,ROW()-12,FALSE)="","",HLOOKUP(V$13,'MP (nominal)'!$D$12:$AM$244,ROW()-12,FALSE))</f>
        <v>2.2000000000000002</v>
      </c>
      <c r="W112" s="281" t="str">
        <f>IF(HLOOKUP(W$13,'MP (nominal)'!$D$12:$AM$244,ROW()-12,FALSE)="","",HLOOKUP(W$13,'MP (nominal)'!$D$12:$AM$244,ROW()-12,FALSE))</f>
        <v/>
      </c>
      <c r="X112" s="281" t="str">
        <f>IF(HLOOKUP(X$13,'MP (nominal)'!$D$12:$AM$244,ROW()-12,FALSE)="","",HLOOKUP(X$13,'MP (nominal)'!$D$12:$AM$244,ROW()-12,FALSE))</f>
        <v/>
      </c>
      <c r="Y112" s="281"/>
      <c r="Z112" s="281" t="str">
        <f>IF(HLOOKUP(Z$13,'MP (nominal)'!$D$12:$AM$244,ROW()-12,FALSE)="","",HLOOKUP(Z$13,'MP (nominal)'!$D$12:$AM$244,ROW()-12,FALSE)*VLOOKUP($C112,CPI!$B$9:$I$63,8))</f>
        <v/>
      </c>
      <c r="AA112" s="281" t="str">
        <f>IF(HLOOKUP(AA$13,'MP (nominal)'!$D$12:$AM$244,ROW()-12,FALSE)="","",HLOOKUP(AA$13,'MP (nominal)'!$D$12:$AM$244,ROW()-12,FALSE))</f>
        <v/>
      </c>
      <c r="AB112" s="281" t="str">
        <f>IF(HLOOKUP(AB$13,'MP (nominal)'!$D$12:$AM$244,ROW()-12,FALSE)="","",HLOOKUP(AB$13,'MP (nominal)'!$D$12:$AM$244,ROW()-12,FALSE))</f>
        <v/>
      </c>
      <c r="AC112" s="281"/>
      <c r="AD112" s="281" t="str">
        <f>IF(HLOOKUP(AD$13,'MP (nominal)'!$D$12:$AM$244,ROW()-12,FALSE)="","",HLOOKUP(AD$13,'MP (nominal)'!$D$12:$AM$244,ROW()-12,FALSE)*VLOOKUP($C112,CPI!$B$9:$I$63,8))</f>
        <v/>
      </c>
      <c r="AE112" s="31" t="str">
        <f>IF(HLOOKUP(AE$13,'MP (nominal)'!$D$12:$AM$244,ROW()-12,FALSE)="","",HLOOKUP(AE$13,'MP (nominal)'!$D$12:$AM$244,ROW()-12,FALSE))</f>
        <v/>
      </c>
      <c r="AF112" s="31" t="str">
        <f>IF(HLOOKUP(AF$13,'MP (nominal)'!$D$12:$AM$244,ROW()-12,FALSE)="","",HLOOKUP(AF$13,'MP (nominal)'!$D$12:$AM$244,ROW()-12,FALSE))</f>
        <v/>
      </c>
      <c r="AG112" s="281"/>
      <c r="AH112" s="281" t="str">
        <f>IF(HLOOKUP(AH$13,'MP (nominal)'!$D$12:$AM$244,ROW()-12,FALSE)="","",HLOOKUP(AH$13,'MP (nominal)'!$D$12:$AM$244,ROW()-12,FALSE)*VLOOKUP($C112,CPI!$B$9:$I$63,8))</f>
        <v/>
      </c>
      <c r="AI112" s="31" t="str">
        <f>IF(HLOOKUP(AI$13,'MP (nominal)'!$D$12:$AM$244,ROW()-12,FALSE)="","",HLOOKUP(AI$13,'MP (nominal)'!$D$12:$AM$244,ROW()-12,FALSE))</f>
        <v/>
      </c>
      <c r="AJ112" s="31" t="str">
        <f>IF(HLOOKUP(AJ$13,'MP (nominal)'!$D$12:$AM$244,ROW()-12,FALSE)="","",HLOOKUP(AJ$13,'MP (nominal)'!$D$12:$AM$244,ROW()-12,FALSE))</f>
        <v/>
      </c>
      <c r="AK112" s="281"/>
      <c r="AL112" s="281" t="str">
        <f>IF(HLOOKUP(AL$13,'MP (nominal)'!$D$12:$AM$244,ROW()-12,FALSE)="","",HLOOKUP(AL$13,'MP (nominal)'!$D$12:$AM$244,ROW()-12,FALSE)*VLOOKUP($C112,CPI!$B$9:$I$63,8))</f>
        <v/>
      </c>
      <c r="AM112" s="31" t="str">
        <f>IF(HLOOKUP(AM$13,'MP (nominal)'!$D$12:$AM$244,ROW()-12,FALSE)="","",HLOOKUP(AM$13,'MP (nominal)'!$D$12:$AM$244,ROW()-12,FALSE))</f>
        <v/>
      </c>
      <c r="AN112" s="31" t="str">
        <f>IF(HLOOKUP(AN$13,'MP (nominal)'!$D$12:$AM$244,ROW()-12,FALSE)="","",HLOOKUP(AN$13,'MP (nominal)'!$D$12:$AM$244,ROW()-12,FALSE))</f>
        <v/>
      </c>
      <c r="AO112" s="281"/>
      <c r="AP112" s="281" t="str">
        <f>IF(HLOOKUP(AP$13,'MP (nominal)'!$D$12:$AM$244,ROW()-12,FALSE)="","",HLOOKUP(AP$13,'MP (nominal)'!$D$12:$AM$244,ROW()-12,FALSE)*VLOOKUP($C112,CPI!$B$9:$I$63,8))</f>
        <v/>
      </c>
      <c r="AQ112" s="31" t="str">
        <f>IF(HLOOKUP(AQ$13,'MP (nominal)'!$D$12:$AM$244,ROW()-12,FALSE)="","",HLOOKUP(AQ$13,'MP (nominal)'!$D$12:$AM$244,ROW()-12,FALSE))</f>
        <v/>
      </c>
      <c r="AR112" s="281" t="str">
        <f>IF(HLOOKUP(AR$13,'MP (nominal)'!$D$12:$AM$244,ROW()-12,FALSE)="","",HLOOKUP(AR$13,'MP (nominal)'!$D$12:$AM$244,ROW()-12,FALSE))</f>
        <v/>
      </c>
    </row>
    <row r="113" spans="1:44" s="278" customFormat="1" hidden="1">
      <c r="A113" s="271">
        <f>References!F270</f>
        <v>280</v>
      </c>
      <c r="B113" s="292" t="s">
        <v>41</v>
      </c>
      <c r="C113" s="284">
        <v>2007</v>
      </c>
      <c r="D113" s="27" t="str">
        <f>IF(HLOOKUP(D$13,'MP (nominal)'!$D$12:$AM$244,ROW()-12,FALSE)="","",HLOOKUP(D$13,'MP (nominal)'!$D$12:$AM$244,ROW()-12,FALSE))</f>
        <v/>
      </c>
      <c r="E113" s="281" t="str">
        <f>IF(HLOOKUP(E$13,'MP (nominal)'!$D$12:$AM$244,ROW()-12,FALSE)="","",HLOOKUP(E$13,'MP (nominal)'!$D$12:$AM$244,ROW()-12,FALSE))</f>
        <v/>
      </c>
      <c r="F113" s="27">
        <f>IF(HLOOKUP(F$13,'MP (nominal)'!$D$12:$AM$244,ROW()-12,FALSE)="","",HLOOKUP(F$13,'MP (nominal)'!$D$12:$AM$244,ROW()-12,FALSE))</f>
        <v>210</v>
      </c>
      <c r="G113" s="281" t="str">
        <f>IF(HLOOKUP(G$13,'MP (nominal)'!$D$12:$AM$244,ROW()-12,FALSE)="","",HLOOKUP(G$13,'MP (nominal)'!$D$12:$AM$244,ROW()-12,FALSE))</f>
        <v/>
      </c>
      <c r="H113" s="27">
        <f>IF(HLOOKUP(H$13,'MP (nominal)'!$D$12:$AM$244,ROW()-12,FALSE)="","",HLOOKUP(H$13,'MP (nominal)'!$D$12:$AM$244,ROW()-12,FALSE))</f>
        <v>245</v>
      </c>
      <c r="I113" s="31" t="str">
        <f>IF(HLOOKUP(I$13,'MP (nominal)'!$D$12:$AM$244,ROW()-12,FALSE)="","",HLOOKUP(I$13,'MP (nominal)'!$D$12:$AM$244,ROW()-12,FALSE))</f>
        <v/>
      </c>
      <c r="J113" s="31">
        <f>IF(HLOOKUP(J$13,'MP (nominal)'!$D$12:$AM$244,ROW()-12,FALSE)="","",HLOOKUP(J$13,'MP (nominal)'!$D$12:$AM$244,ROW()-12,FALSE))</f>
        <v>35</v>
      </c>
      <c r="K113" s="281"/>
      <c r="L113" s="27">
        <f>IF(HLOOKUP(L$13,'MP (nominal)'!$D$12:$AM$244,ROW()-12,FALSE)="","",HLOOKUP(L$13,'MP (nominal)'!$D$12:$AM$244,ROW()-12,FALSE))</f>
        <v>31.669</v>
      </c>
      <c r="M113" s="293">
        <f>IF(HLOOKUP(M$13,'MP (nominal)'!$D$12:$AM$244,ROW()-12,FALSE)="","",HLOOKUP(M$13,'MP (nominal)'!$D$12:$AM$244,ROW()-12,FALSE))</f>
        <v>149.979232</v>
      </c>
      <c r="N113" s="35"/>
      <c r="O113" s="27">
        <f>IF(HLOOKUP(O$13,'MP (nominal)'!$D$12:$AM$244,ROW()-12,FALSE)="","",HLOOKUP(O$13,'MP (nominal)'!$D$12:$AM$244,ROW()-12,FALSE))</f>
        <v>8900</v>
      </c>
      <c r="P113" s="31"/>
      <c r="Q113" s="281"/>
      <c r="R113" s="281">
        <f>IF(HLOOKUP(R$13,'MP (nominal)'!$D$12:$AM$244,ROW()-12,FALSE)="","",HLOOKUP(R$13,'MP (nominal)'!$D$12:$AM$244,ROW()-12,FALSE))</f>
        <v>249.9</v>
      </c>
      <c r="S113" s="281" t="str">
        <f>IF(HLOOKUP(S$13,'MP (nominal)'!$D$12:$AM$244,ROW()-12,FALSE)="","",HLOOKUP(S$13,'MP (nominal)'!$D$12:$AM$244,ROW()-12,FALSE))</f>
        <v/>
      </c>
      <c r="T113" s="281" t="str">
        <f>IF(HLOOKUP(T$13,'MP (nominal)'!$D$12:$AM$244,ROW()-12,FALSE)="","",HLOOKUP(T$13,'MP (nominal)'!$D$12:$AM$244,ROW()-12,FALSE))</f>
        <v/>
      </c>
      <c r="U113" s="281"/>
      <c r="V113" s="281">
        <f>IF(HLOOKUP(V$13,'MP (nominal)'!$D$12:$AM$244,ROW()-12,FALSE)="","",HLOOKUP(V$13,'MP (nominal)'!$D$12:$AM$244,ROW()-12,FALSE))</f>
        <v>2.5</v>
      </c>
      <c r="W113" s="281" t="str">
        <f>IF(HLOOKUP(W$13,'MP (nominal)'!$D$12:$AM$244,ROW()-12,FALSE)="","",HLOOKUP(W$13,'MP (nominal)'!$D$12:$AM$244,ROW()-12,FALSE))</f>
        <v/>
      </c>
      <c r="X113" s="281" t="str">
        <f>IF(HLOOKUP(X$13,'MP (nominal)'!$D$12:$AM$244,ROW()-12,FALSE)="","",HLOOKUP(X$13,'MP (nominal)'!$D$12:$AM$244,ROW()-12,FALSE))</f>
        <v/>
      </c>
      <c r="Y113" s="281"/>
      <c r="Z113" s="281" t="str">
        <f>IF(HLOOKUP(Z$13,'MP (nominal)'!$D$12:$AM$244,ROW()-12,FALSE)="","",HLOOKUP(Z$13,'MP (nominal)'!$D$12:$AM$244,ROW()-12,FALSE)*VLOOKUP($C113,CPI!$B$9:$I$63,8))</f>
        <v/>
      </c>
      <c r="AA113" s="281" t="str">
        <f>IF(HLOOKUP(AA$13,'MP (nominal)'!$D$12:$AM$244,ROW()-12,FALSE)="","",HLOOKUP(AA$13,'MP (nominal)'!$D$12:$AM$244,ROW()-12,FALSE))</f>
        <v/>
      </c>
      <c r="AB113" s="281" t="str">
        <f>IF(HLOOKUP(AB$13,'MP (nominal)'!$D$12:$AM$244,ROW()-12,FALSE)="","",HLOOKUP(AB$13,'MP (nominal)'!$D$12:$AM$244,ROW()-12,FALSE))</f>
        <v/>
      </c>
      <c r="AC113" s="281"/>
      <c r="AD113" s="281" t="str">
        <f>IF(HLOOKUP(AD$13,'MP (nominal)'!$D$12:$AM$244,ROW()-12,FALSE)="","",HLOOKUP(AD$13,'MP (nominal)'!$D$12:$AM$244,ROW()-12,FALSE)*VLOOKUP($C113,CPI!$B$9:$I$63,8))</f>
        <v/>
      </c>
      <c r="AE113" s="31" t="str">
        <f>IF(HLOOKUP(AE$13,'MP (nominal)'!$D$12:$AM$244,ROW()-12,FALSE)="","",HLOOKUP(AE$13,'MP (nominal)'!$D$12:$AM$244,ROW()-12,FALSE))</f>
        <v/>
      </c>
      <c r="AF113" s="31" t="str">
        <f>IF(HLOOKUP(AF$13,'MP (nominal)'!$D$12:$AM$244,ROW()-12,FALSE)="","",HLOOKUP(AF$13,'MP (nominal)'!$D$12:$AM$244,ROW()-12,FALSE))</f>
        <v/>
      </c>
      <c r="AG113" s="281"/>
      <c r="AH113" s="281" t="str">
        <f>IF(HLOOKUP(AH$13,'MP (nominal)'!$D$12:$AM$244,ROW()-12,FALSE)="","",HLOOKUP(AH$13,'MP (nominal)'!$D$12:$AM$244,ROW()-12,FALSE)*VLOOKUP($C113,CPI!$B$9:$I$63,8))</f>
        <v/>
      </c>
      <c r="AI113" s="31" t="str">
        <f>IF(HLOOKUP(AI$13,'MP (nominal)'!$D$12:$AM$244,ROW()-12,FALSE)="","",HLOOKUP(AI$13,'MP (nominal)'!$D$12:$AM$244,ROW()-12,FALSE))</f>
        <v/>
      </c>
      <c r="AJ113" s="31" t="str">
        <f>IF(HLOOKUP(AJ$13,'MP (nominal)'!$D$12:$AM$244,ROW()-12,FALSE)="","",HLOOKUP(AJ$13,'MP (nominal)'!$D$12:$AM$244,ROW()-12,FALSE))</f>
        <v/>
      </c>
      <c r="AK113" s="281"/>
      <c r="AL113" s="281" t="str">
        <f>IF(HLOOKUP(AL$13,'MP (nominal)'!$D$12:$AM$244,ROW()-12,FALSE)="","",HLOOKUP(AL$13,'MP (nominal)'!$D$12:$AM$244,ROW()-12,FALSE)*VLOOKUP($C113,CPI!$B$9:$I$63,8))</f>
        <v/>
      </c>
      <c r="AM113" s="31" t="str">
        <f>IF(HLOOKUP(AM$13,'MP (nominal)'!$D$12:$AM$244,ROW()-12,FALSE)="","",HLOOKUP(AM$13,'MP (nominal)'!$D$12:$AM$244,ROW()-12,FALSE))</f>
        <v/>
      </c>
      <c r="AN113" s="31" t="str">
        <f>IF(HLOOKUP(AN$13,'MP (nominal)'!$D$12:$AM$244,ROW()-12,FALSE)="","",HLOOKUP(AN$13,'MP (nominal)'!$D$12:$AM$244,ROW()-12,FALSE))</f>
        <v/>
      </c>
      <c r="AO113" s="281"/>
      <c r="AP113" s="281" t="str">
        <f>IF(HLOOKUP(AP$13,'MP (nominal)'!$D$12:$AM$244,ROW()-12,FALSE)="","",HLOOKUP(AP$13,'MP (nominal)'!$D$12:$AM$244,ROW()-12,FALSE)*VLOOKUP($C113,CPI!$B$9:$I$63,8))</f>
        <v/>
      </c>
      <c r="AQ113" s="31" t="str">
        <f>IF(HLOOKUP(AQ$13,'MP (nominal)'!$D$12:$AM$244,ROW()-12,FALSE)="","",HLOOKUP(AQ$13,'MP (nominal)'!$D$12:$AM$244,ROW()-12,FALSE))</f>
        <v/>
      </c>
      <c r="AR113" s="281" t="str">
        <f>IF(HLOOKUP(AR$13,'MP (nominal)'!$D$12:$AM$244,ROW()-12,FALSE)="","",HLOOKUP(AR$13,'MP (nominal)'!$D$12:$AM$244,ROW()-12,FALSE))</f>
        <v/>
      </c>
    </row>
    <row r="114" spans="1:44" s="278" customFormat="1">
      <c r="A114" s="271">
        <f>References!G270</f>
        <v>281</v>
      </c>
      <c r="B114" s="292" t="s">
        <v>41</v>
      </c>
      <c r="C114" s="284">
        <v>2008</v>
      </c>
      <c r="D114" s="27">
        <f>IF(HLOOKUP(D$13,'MP (nominal)'!$D$12:$AM$244,ROW()-12,FALSE)="","",HLOOKUP(D$13,'MP (nominal)'!$D$12:$AM$244,ROW()-12,FALSE))</f>
        <v>35</v>
      </c>
      <c r="E114" s="281">
        <f>IF(HLOOKUP(E$13,'MP (nominal)'!$D$12:$AM$244,ROW()-12,FALSE)="","",HLOOKUP(E$13,'MP (nominal)'!$D$12:$AM$244,ROW()-12,FALSE))</f>
        <v>0</v>
      </c>
      <c r="F114" s="27">
        <f>IF(HLOOKUP(F$13,'MP (nominal)'!$D$12:$AM$244,ROW()-12,FALSE)="","",HLOOKUP(F$13,'MP (nominal)'!$D$12:$AM$244,ROW()-12,FALSE))</f>
        <v>211.43</v>
      </c>
      <c r="G114" s="281">
        <f>IF(HLOOKUP(G$13,'MP (nominal)'!$D$12:$AM$244,ROW()-12,FALSE)="","",HLOOKUP(G$13,'MP (nominal)'!$D$12:$AM$244,ROW()-12,FALSE))</f>
        <v>43</v>
      </c>
      <c r="H114" s="27">
        <f>IF(HLOOKUP(H$13,'MP (nominal)'!$D$12:$AM$244,ROW()-12,FALSE)="","",HLOOKUP(H$13,'MP (nominal)'!$D$12:$AM$244,ROW()-12,FALSE))</f>
        <v>246.43</v>
      </c>
      <c r="I114" s="31">
        <f>IF(HLOOKUP(I$13,'MP (nominal)'!$D$12:$AM$244,ROW()-12,FALSE)="","",HLOOKUP(I$13,'MP (nominal)'!$D$12:$AM$244,ROW()-12,FALSE))</f>
        <v>43</v>
      </c>
      <c r="J114" s="31">
        <f>IF(HLOOKUP(J$13,'MP (nominal)'!$D$12:$AM$244,ROW()-12,FALSE)="","",HLOOKUP(J$13,'MP (nominal)'!$D$12:$AM$244,ROW()-12,FALSE))</f>
        <v>35</v>
      </c>
      <c r="K114" s="281"/>
      <c r="L114" s="27">
        <f>IF(HLOOKUP(L$13,'MP (nominal)'!$D$12:$AM$244,ROW()-12,FALSE)="","",HLOOKUP(L$13,'MP (nominal)'!$D$12:$AM$244,ROW()-12,FALSE))</f>
        <v>34.231999999999999</v>
      </c>
      <c r="M114" s="283">
        <f>IF(HLOOKUP(M$13,'MP (nominal)'!$D$12:$AM$244,ROW()-12,FALSE)="","",HLOOKUP(M$13,'MP (nominal)'!$D$12:$AM$244,ROW()-12,FALSE))</f>
        <v>150.10590999999999</v>
      </c>
      <c r="N114" s="35"/>
      <c r="O114" s="27">
        <f>IF(HLOOKUP(O$13,'MP (nominal)'!$D$12:$AM$244,ROW()-12,FALSE)="","",HLOOKUP(O$13,'MP (nominal)'!$D$12:$AM$244,ROW()-12,FALSE))</f>
        <v>8881</v>
      </c>
      <c r="P114" s="31"/>
      <c r="Q114" s="281"/>
      <c r="R114" s="281">
        <f>IF(HLOOKUP(R$13,'MP (nominal)'!$D$12:$AM$244,ROW()-12,FALSE)="","",HLOOKUP(R$13,'MP (nominal)'!$D$12:$AM$244,ROW()-12,FALSE))</f>
        <v>16.934999999999999</v>
      </c>
      <c r="S114" s="281">
        <f>IF(HLOOKUP(S$13,'MP (nominal)'!$D$12:$AM$244,ROW()-12,FALSE)="","",HLOOKUP(S$13,'MP (nominal)'!$D$12:$AM$244,ROW()-12,FALSE))</f>
        <v>4.6669999999999998</v>
      </c>
      <c r="T114" s="281">
        <f>IF(HLOOKUP(T$13,'MP (nominal)'!$D$12:$AM$244,ROW()-12,FALSE)="","",HLOOKUP(T$13,'MP (nominal)'!$D$12:$AM$244,ROW()-12,FALSE))</f>
        <v>12.268000000000001</v>
      </c>
      <c r="U114" s="281"/>
      <c r="V114" s="281">
        <f>IF(HLOOKUP(V$13,'MP (nominal)'!$D$12:$AM$244,ROW()-12,FALSE)="","",HLOOKUP(V$13,'MP (nominal)'!$D$12:$AM$244,ROW()-12,FALSE))</f>
        <v>0.184</v>
      </c>
      <c r="W114" s="281">
        <f>IF(HLOOKUP(W$13,'MP (nominal)'!$D$12:$AM$244,ROW()-12,FALSE)="","",HLOOKUP(W$13,'MP (nominal)'!$D$12:$AM$244,ROW()-12,FALSE))</f>
        <v>2.9000000000000001E-2</v>
      </c>
      <c r="X114" s="281">
        <f>IF(HLOOKUP(X$13,'MP (nominal)'!$D$12:$AM$244,ROW()-12,FALSE)="","",HLOOKUP(X$13,'MP (nominal)'!$D$12:$AM$244,ROW()-12,FALSE))</f>
        <v>0.155</v>
      </c>
      <c r="Y114" s="281"/>
      <c r="Z114" s="281">
        <f>IF(HLOOKUP(Z$13,'MP (nominal)'!$D$12:$AM$244,ROW()-12,FALSE)="","",HLOOKUP(Z$13,'MP (nominal)'!$D$12:$AM$244,ROW()-12,FALSE)*VLOOKUP($C114,CPI!$B$9:$I$63,8))</f>
        <v>3786.822811154515</v>
      </c>
      <c r="AA114" s="281">
        <f>IF(HLOOKUP(AA$13,'MP (nominal)'!$D$12:$AM$244,ROW()-12,FALSE)="","",HLOOKUP(AA$13,'MP (nominal)'!$D$12:$AM$244,ROW()-12,FALSE))</f>
        <v>55443.531999999999</v>
      </c>
      <c r="AB114" s="281">
        <f>IF(HLOOKUP(AB$13,'MP (nominal)'!$D$12:$AM$244,ROW()-12,FALSE)="","",HLOOKUP(AB$13,'MP (nominal)'!$D$12:$AM$244,ROW()-12,FALSE))</f>
        <v>7437</v>
      </c>
      <c r="AC114" s="281"/>
      <c r="AD114" s="281">
        <f>IF(HLOOKUP(AD$13,'MP (nominal)'!$D$12:$AM$244,ROW()-12,FALSE)="","",HLOOKUP(AD$13,'MP (nominal)'!$D$12:$AM$244,ROW()-12,FALSE)*VLOOKUP($C114,CPI!$B$9:$I$63,8))</f>
        <v>1744.3637193122522</v>
      </c>
      <c r="AE114" s="31">
        <f>IF(HLOOKUP(AE$13,'MP (nominal)'!$D$12:$AM$244,ROW()-12,FALSE)="","",HLOOKUP(AE$13,'MP (nominal)'!$D$12:$AM$244,ROW()-12,FALSE))</f>
        <v>29771.062000000002</v>
      </c>
      <c r="AF114" s="31">
        <f>IF(HLOOKUP(AF$13,'MP (nominal)'!$D$12:$AM$244,ROW()-12,FALSE)="","",HLOOKUP(AF$13,'MP (nominal)'!$D$12:$AM$244,ROW()-12,FALSE))</f>
        <v>1349</v>
      </c>
      <c r="AG114" s="281"/>
      <c r="AH114" s="281">
        <f>IF(HLOOKUP(AH$13,'MP (nominal)'!$D$12:$AM$244,ROW()-12,FALSE)="","",HLOOKUP(AH$13,'MP (nominal)'!$D$12:$AM$244,ROW()-12,FALSE)*VLOOKUP($C114,CPI!$B$9:$I$63,8))</f>
        <v>1812.2839382965983</v>
      </c>
      <c r="AI114" s="31">
        <f>IF(HLOOKUP(AI$13,'MP (nominal)'!$D$12:$AM$244,ROW()-12,FALSE)="","",HLOOKUP(AI$13,'MP (nominal)'!$D$12:$AM$244,ROW()-12,FALSE))</f>
        <v>37892.311999999998</v>
      </c>
      <c r="AJ114" s="31">
        <f>IF(HLOOKUP(AJ$13,'MP (nominal)'!$D$12:$AM$244,ROW()-12,FALSE)="","",HLOOKUP(AJ$13,'MP (nominal)'!$D$12:$AM$244,ROW()-12,FALSE))</f>
        <v>90</v>
      </c>
      <c r="AK114" s="281"/>
      <c r="AL114" s="281">
        <f>IF(HLOOKUP(AL$13,'MP (nominal)'!$D$12:$AM$244,ROW()-12,FALSE)="","",HLOOKUP(AL$13,'MP (nominal)'!$D$12:$AM$244,ROW()-12,FALSE)*VLOOKUP($C114,CPI!$B$9:$I$63,8))</f>
        <v>720.16994097687541</v>
      </c>
      <c r="AM114" s="31">
        <f>IF(HLOOKUP(AM$13,'MP (nominal)'!$D$12:$AM$244,ROW()-12,FALSE)="","",HLOOKUP(AM$13,'MP (nominal)'!$D$12:$AM$244,ROW()-12,FALSE))</f>
        <v>26999</v>
      </c>
      <c r="AN114" s="31">
        <f>IF(HLOOKUP(AN$13,'MP (nominal)'!$D$12:$AM$244,ROW()-12,FALSE)="","",HLOOKUP(AN$13,'MP (nominal)'!$D$12:$AM$244,ROW()-12,FALSE))</f>
        <v>5</v>
      </c>
      <c r="AO114" s="281"/>
      <c r="AP114" s="281">
        <f>IF(HLOOKUP(AP$13,'MP (nominal)'!$D$12:$AM$244,ROW()-12,FALSE)="","",HLOOKUP(AP$13,'MP (nominal)'!$D$12:$AM$244,ROW()-12,FALSE)*VLOOKUP($C114,CPI!$B$9:$I$63,8))</f>
        <v>8063.640409740241</v>
      </c>
      <c r="AQ114" s="31">
        <f>IF(HLOOKUP(AQ$13,'MP (nominal)'!$D$12:$AM$244,ROW()-12,FALSE)="","",HLOOKUP(AQ$13,'MP (nominal)'!$D$12:$AM$244,ROW()-12,FALSE))</f>
        <v>150105.91</v>
      </c>
      <c r="AR114" s="281">
        <f>IF(HLOOKUP(AR$13,'MP (nominal)'!$D$12:$AM$244,ROW()-12,FALSE)="","",HLOOKUP(AR$13,'MP (nominal)'!$D$12:$AM$244,ROW()-12,FALSE))</f>
        <v>8881</v>
      </c>
    </row>
    <row r="115" spans="1:44" s="278" customFormat="1">
      <c r="A115" s="271">
        <f>References!H270</f>
        <v>282</v>
      </c>
      <c r="B115" s="292" t="s">
        <v>41</v>
      </c>
      <c r="C115" s="284">
        <v>2009</v>
      </c>
      <c r="D115" s="27">
        <f>IF(HLOOKUP(D$13,'MP (nominal)'!$D$12:$AM$244,ROW()-12,FALSE)="","",HLOOKUP(D$13,'MP (nominal)'!$D$12:$AM$244,ROW()-12,FALSE))</f>
        <v>33</v>
      </c>
      <c r="E115" s="281">
        <f>IF(HLOOKUP(E$13,'MP (nominal)'!$D$12:$AM$244,ROW()-12,FALSE)="","",HLOOKUP(E$13,'MP (nominal)'!$D$12:$AM$244,ROW()-12,FALSE))</f>
        <v>0</v>
      </c>
      <c r="F115" s="27">
        <f>IF(HLOOKUP(F$13,'MP (nominal)'!$D$12:$AM$244,ROW()-12,FALSE)="","",HLOOKUP(F$13,'MP (nominal)'!$D$12:$AM$244,ROW()-12,FALSE))</f>
        <v>214</v>
      </c>
      <c r="G115" s="281">
        <f>IF(HLOOKUP(G$13,'MP (nominal)'!$D$12:$AM$244,ROW()-12,FALSE)="","",HLOOKUP(G$13,'MP (nominal)'!$D$12:$AM$244,ROW()-12,FALSE))</f>
        <v>43</v>
      </c>
      <c r="H115" s="27">
        <f>IF(HLOOKUP(H$13,'MP (nominal)'!$D$12:$AM$244,ROW()-12,FALSE)="","",HLOOKUP(H$13,'MP (nominal)'!$D$12:$AM$244,ROW()-12,FALSE))</f>
        <v>247</v>
      </c>
      <c r="I115" s="31">
        <f>IF(HLOOKUP(I$13,'MP (nominal)'!$D$12:$AM$244,ROW()-12,FALSE)="","",HLOOKUP(I$13,'MP (nominal)'!$D$12:$AM$244,ROW()-12,FALSE))</f>
        <v>43</v>
      </c>
      <c r="J115" s="31">
        <f>IF(HLOOKUP(J$13,'MP (nominal)'!$D$12:$AM$244,ROW()-12,FALSE)="","",HLOOKUP(J$13,'MP (nominal)'!$D$12:$AM$244,ROW()-12,FALSE))</f>
        <v>33</v>
      </c>
      <c r="K115" s="281"/>
      <c r="L115" s="27">
        <f>IF(HLOOKUP(L$13,'MP (nominal)'!$D$12:$AM$244,ROW()-12,FALSE)="","",HLOOKUP(L$13,'MP (nominal)'!$D$12:$AM$244,ROW()-12,FALSE))</f>
        <v>32.813000000000002</v>
      </c>
      <c r="M115" s="283">
        <f>IF(HLOOKUP(M$13,'MP (nominal)'!$D$12:$AM$244,ROW()-12,FALSE)="","",HLOOKUP(M$13,'MP (nominal)'!$D$12:$AM$244,ROW()-12,FALSE))</f>
        <v>148.41614999999999</v>
      </c>
      <c r="N115" s="35"/>
      <c r="O115" s="27">
        <f>IF(HLOOKUP(O$13,'MP (nominal)'!$D$12:$AM$244,ROW()-12,FALSE)="","",HLOOKUP(O$13,'MP (nominal)'!$D$12:$AM$244,ROW()-12,FALSE))</f>
        <v>8943</v>
      </c>
      <c r="P115" s="31"/>
      <c r="Q115" s="281"/>
      <c r="R115" s="281">
        <f>IF(HLOOKUP(R$13,'MP (nominal)'!$D$12:$AM$244,ROW()-12,FALSE)="","",HLOOKUP(R$13,'MP (nominal)'!$D$12:$AM$244,ROW()-12,FALSE))</f>
        <v>185.4</v>
      </c>
      <c r="S115" s="281">
        <f>IF(HLOOKUP(S$13,'MP (nominal)'!$D$12:$AM$244,ROW()-12,FALSE)="","",HLOOKUP(S$13,'MP (nominal)'!$D$12:$AM$244,ROW()-12,FALSE))</f>
        <v>28.63</v>
      </c>
      <c r="T115" s="281">
        <f>IF(HLOOKUP(T$13,'MP (nominal)'!$D$12:$AM$244,ROW()-12,FALSE)="","",HLOOKUP(T$13,'MP (nominal)'!$D$12:$AM$244,ROW()-12,FALSE))</f>
        <v>87.18</v>
      </c>
      <c r="U115" s="281"/>
      <c r="V115" s="281">
        <f>IF(HLOOKUP(V$13,'MP (nominal)'!$D$12:$AM$244,ROW()-12,FALSE)="","",HLOOKUP(V$13,'MP (nominal)'!$D$12:$AM$244,ROW()-12,FALSE))</f>
        <v>2.9</v>
      </c>
      <c r="W115" s="281">
        <f>IF(HLOOKUP(W$13,'MP (nominal)'!$D$12:$AM$244,ROW()-12,FALSE)="","",HLOOKUP(W$13,'MP (nominal)'!$D$12:$AM$244,ROW()-12,FALSE))</f>
        <v>0.21</v>
      </c>
      <c r="X115" s="281">
        <f>IF(HLOOKUP(X$13,'MP (nominal)'!$D$12:$AM$244,ROW()-12,FALSE)="","",HLOOKUP(X$13,'MP (nominal)'!$D$12:$AM$244,ROW()-12,FALSE))</f>
        <v>1.68</v>
      </c>
      <c r="Y115" s="281"/>
      <c r="Z115" s="281">
        <f>IF(HLOOKUP(Z$13,'MP (nominal)'!$D$12:$AM$244,ROW()-12,FALSE)="","",HLOOKUP(Z$13,'MP (nominal)'!$D$12:$AM$244,ROW()-12,FALSE)*VLOOKUP($C115,CPI!$B$9:$I$63,8))</f>
        <v>4004.3148031848436</v>
      </c>
      <c r="AA115" s="281">
        <f>IF(HLOOKUP(AA$13,'MP (nominal)'!$D$12:$AM$244,ROW()-12,FALSE)="","",HLOOKUP(AA$13,'MP (nominal)'!$D$12:$AM$244,ROW()-12,FALSE))</f>
        <v>55762.953000000001</v>
      </c>
      <c r="AB115" s="281">
        <f>IF(HLOOKUP(AB$13,'MP (nominal)'!$D$12:$AM$244,ROW()-12,FALSE)="","",HLOOKUP(AB$13,'MP (nominal)'!$D$12:$AM$244,ROW()-12,FALSE))</f>
        <v>7475</v>
      </c>
      <c r="AC115" s="281"/>
      <c r="AD115" s="281">
        <f>IF(HLOOKUP(AD$13,'MP (nominal)'!$D$12:$AM$244,ROW()-12,FALSE)="","",HLOOKUP(AD$13,'MP (nominal)'!$D$12:$AM$244,ROW()-12,FALSE)*VLOOKUP($C115,CPI!$B$9:$I$63,8))</f>
        <v>1889.5328072757218</v>
      </c>
      <c r="AE115" s="31">
        <f>IF(HLOOKUP(AE$13,'MP (nominal)'!$D$12:$AM$244,ROW()-12,FALSE)="","",HLOOKUP(AE$13,'MP (nominal)'!$D$12:$AM$244,ROW()-12,FALSE))</f>
        <v>30168.944</v>
      </c>
      <c r="AF115" s="31">
        <f>IF(HLOOKUP(AF$13,'MP (nominal)'!$D$12:$AM$244,ROW()-12,FALSE)="","",HLOOKUP(AF$13,'MP (nominal)'!$D$12:$AM$244,ROW()-12,FALSE))</f>
        <v>1371</v>
      </c>
      <c r="AG115" s="281"/>
      <c r="AH115" s="281">
        <f>IF(HLOOKUP(AH$13,'MP (nominal)'!$D$12:$AM$244,ROW()-12,FALSE)="","",HLOOKUP(AH$13,'MP (nominal)'!$D$12:$AM$244,ROW()-12,FALSE)*VLOOKUP($C115,CPI!$B$9:$I$63,8))</f>
        <v>1936.0644627359457</v>
      </c>
      <c r="AI115" s="31">
        <f>IF(HLOOKUP(AI$13,'MP (nominal)'!$D$12:$AM$244,ROW()-12,FALSE)="","",HLOOKUP(AI$13,'MP (nominal)'!$D$12:$AM$244,ROW()-12,FALSE))</f>
        <v>37411.525000000001</v>
      </c>
      <c r="AJ115" s="31">
        <f>IF(HLOOKUP(AJ$13,'MP (nominal)'!$D$12:$AM$244,ROW()-12,FALSE)="","",HLOOKUP(AJ$13,'MP (nominal)'!$D$12:$AM$244,ROW()-12,FALSE))</f>
        <v>92</v>
      </c>
      <c r="AK115" s="281"/>
      <c r="AL115" s="281">
        <f>IF(HLOOKUP(AL$13,'MP (nominal)'!$D$12:$AM$244,ROW()-12,FALSE)="","",HLOOKUP(AL$13,'MP (nominal)'!$D$12:$AM$244,ROW()-12,FALSE)*VLOOKUP($C115,CPI!$B$9:$I$63,8))</f>
        <v>776.21298949275831</v>
      </c>
      <c r="AM115" s="31">
        <f>IF(HLOOKUP(AM$13,'MP (nominal)'!$D$12:$AM$244,ROW()-12,FALSE)="","",HLOOKUP(AM$13,'MP (nominal)'!$D$12:$AM$244,ROW()-12,FALSE))</f>
        <v>25072.727999999999</v>
      </c>
      <c r="AN115" s="31">
        <f>IF(HLOOKUP(AN$13,'MP (nominal)'!$D$12:$AM$244,ROW()-12,FALSE)="","",HLOOKUP(AN$13,'MP (nominal)'!$D$12:$AM$244,ROW()-12,FALSE))</f>
        <v>5</v>
      </c>
      <c r="AO115" s="281"/>
      <c r="AP115" s="281">
        <f>IF(HLOOKUP(AP$13,'MP (nominal)'!$D$12:$AM$244,ROW()-12,FALSE)="","",HLOOKUP(AP$13,'MP (nominal)'!$D$12:$AM$244,ROW()-12,FALSE)*VLOOKUP($C115,CPI!$B$9:$I$63,8))</f>
        <v>8606.1249796417032</v>
      </c>
      <c r="AQ115" s="31">
        <f>IF(HLOOKUP(AQ$13,'MP (nominal)'!$D$12:$AM$244,ROW()-12,FALSE)="","",HLOOKUP(AQ$13,'MP (nominal)'!$D$12:$AM$244,ROW()-12,FALSE))</f>
        <v>148416.15</v>
      </c>
      <c r="AR115" s="281">
        <f>IF(HLOOKUP(AR$13,'MP (nominal)'!$D$12:$AM$244,ROW()-12,FALSE)="","",HLOOKUP(AR$13,'MP (nominal)'!$D$12:$AM$244,ROW()-12,FALSE))</f>
        <v>8943</v>
      </c>
    </row>
    <row r="116" spans="1:44" s="278" customFormat="1">
      <c r="A116" s="271">
        <f>References!I270</f>
        <v>283</v>
      </c>
      <c r="B116" s="292" t="s">
        <v>41</v>
      </c>
      <c r="C116" s="284">
        <v>2010</v>
      </c>
      <c r="D116" s="27">
        <f>IF(HLOOKUP(D$13,'MP (nominal)'!$D$12:$AM$244,ROW()-12,FALSE)="","",HLOOKUP(D$13,'MP (nominal)'!$D$12:$AM$244,ROW()-12,FALSE))</f>
        <v>32.4</v>
      </c>
      <c r="E116" s="281">
        <f>IF(HLOOKUP(E$13,'MP (nominal)'!$D$12:$AM$244,ROW()-12,FALSE)="","",HLOOKUP(E$13,'MP (nominal)'!$D$12:$AM$244,ROW()-12,FALSE))</f>
        <v>0</v>
      </c>
      <c r="F116" s="27">
        <f>IF(HLOOKUP(F$13,'MP (nominal)'!$D$12:$AM$244,ROW()-12,FALSE)="","",HLOOKUP(F$13,'MP (nominal)'!$D$12:$AM$244,ROW()-12,FALSE))</f>
        <v>215.97</v>
      </c>
      <c r="G116" s="281">
        <f>IF(HLOOKUP(G$13,'MP (nominal)'!$D$12:$AM$244,ROW()-12,FALSE)="","",HLOOKUP(G$13,'MP (nominal)'!$D$12:$AM$244,ROW()-12,FALSE))</f>
        <v>43</v>
      </c>
      <c r="H116" s="27">
        <f>IF(HLOOKUP(H$13,'MP (nominal)'!$D$12:$AM$244,ROW()-12,FALSE)="","",HLOOKUP(H$13,'MP (nominal)'!$D$12:$AM$244,ROW()-12,FALSE))</f>
        <v>248.37</v>
      </c>
      <c r="I116" s="31">
        <f>IF(HLOOKUP(I$13,'MP (nominal)'!$D$12:$AM$244,ROW()-12,FALSE)="","",HLOOKUP(I$13,'MP (nominal)'!$D$12:$AM$244,ROW()-12,FALSE))</f>
        <v>43</v>
      </c>
      <c r="J116" s="31">
        <f>IF(HLOOKUP(J$13,'MP (nominal)'!$D$12:$AM$244,ROW()-12,FALSE)="","",HLOOKUP(J$13,'MP (nominal)'!$D$12:$AM$244,ROW()-12,FALSE))</f>
        <v>32.4</v>
      </c>
      <c r="K116" s="281"/>
      <c r="L116" s="27">
        <f>IF(HLOOKUP(L$13,'MP (nominal)'!$D$12:$AM$244,ROW()-12,FALSE)="","",HLOOKUP(L$13,'MP (nominal)'!$D$12:$AM$244,ROW()-12,FALSE))</f>
        <v>33.53</v>
      </c>
      <c r="M116" s="283">
        <f>IF(HLOOKUP(M$13,'MP (nominal)'!$D$12:$AM$244,ROW()-12,FALSE)="","",HLOOKUP(M$13,'MP (nominal)'!$D$12:$AM$244,ROW()-12,FALSE))</f>
        <v>147.4984</v>
      </c>
      <c r="N116" s="35"/>
      <c r="O116" s="27">
        <f>IF(HLOOKUP(O$13,'MP (nominal)'!$D$12:$AM$244,ROW()-12,FALSE)="","",HLOOKUP(O$13,'MP (nominal)'!$D$12:$AM$244,ROW()-12,FALSE))</f>
        <v>9008</v>
      </c>
      <c r="P116" s="31"/>
      <c r="Q116" s="281"/>
      <c r="R116" s="281">
        <f>IF(HLOOKUP(R$13,'MP (nominal)'!$D$12:$AM$244,ROW()-12,FALSE)="","",HLOOKUP(R$13,'MP (nominal)'!$D$12:$AM$244,ROW()-12,FALSE))</f>
        <v>169.41900000000001</v>
      </c>
      <c r="S116" s="281">
        <f>IF(HLOOKUP(S$13,'MP (nominal)'!$D$12:$AM$244,ROW()-12,FALSE)="","",HLOOKUP(S$13,'MP (nominal)'!$D$12:$AM$244,ROW()-12,FALSE))</f>
        <v>54.38</v>
      </c>
      <c r="T116" s="281">
        <f>IF(HLOOKUP(T$13,'MP (nominal)'!$D$12:$AM$244,ROW()-12,FALSE)="","",HLOOKUP(T$13,'MP (nominal)'!$D$12:$AM$244,ROW()-12,FALSE))</f>
        <v>24.916</v>
      </c>
      <c r="U116" s="281"/>
      <c r="V116" s="281">
        <f>IF(HLOOKUP(V$13,'MP (nominal)'!$D$12:$AM$244,ROW()-12,FALSE)="","",HLOOKUP(V$13,'MP (nominal)'!$D$12:$AM$244,ROW()-12,FALSE))</f>
        <v>1.756</v>
      </c>
      <c r="W116" s="281">
        <f>IF(HLOOKUP(W$13,'MP (nominal)'!$D$12:$AM$244,ROW()-12,FALSE)="","",HLOOKUP(W$13,'MP (nominal)'!$D$12:$AM$244,ROW()-12,FALSE))</f>
        <v>0.182</v>
      </c>
      <c r="X116" s="281">
        <f>IF(HLOOKUP(X$13,'MP (nominal)'!$D$12:$AM$244,ROW()-12,FALSE)="","",HLOOKUP(X$13,'MP (nominal)'!$D$12:$AM$244,ROW()-12,FALSE))</f>
        <v>0.57499999999999996</v>
      </c>
      <c r="Y116" s="281"/>
      <c r="Z116" s="281">
        <f>IF(HLOOKUP(Z$13,'MP (nominal)'!$D$12:$AM$244,ROW()-12,FALSE)="","",HLOOKUP(Z$13,'MP (nominal)'!$D$12:$AM$244,ROW()-12,FALSE)*VLOOKUP($C116,CPI!$B$9:$I$63,8))</f>
        <v>695.86456845679163</v>
      </c>
      <c r="AA116" s="281">
        <f>IF(HLOOKUP(AA$13,'MP (nominal)'!$D$12:$AM$244,ROW()-12,FALSE)="","",HLOOKUP(AA$13,'MP (nominal)'!$D$12:$AM$244,ROW()-12,FALSE))</f>
        <v>10194.529</v>
      </c>
      <c r="AB116" s="281">
        <f>IF(HLOOKUP(AB$13,'MP (nominal)'!$D$12:$AM$244,ROW()-12,FALSE)="","",HLOOKUP(AB$13,'MP (nominal)'!$D$12:$AM$244,ROW()-12,FALSE))</f>
        <v>1745</v>
      </c>
      <c r="AC116" s="281"/>
      <c r="AD116" s="281">
        <f>IF(HLOOKUP(AD$13,'MP (nominal)'!$D$12:$AM$244,ROW()-12,FALSE)="","",HLOOKUP(AD$13,'MP (nominal)'!$D$12:$AM$244,ROW()-12,FALSE)*VLOOKUP($C116,CPI!$B$9:$I$63,8))</f>
        <v>5195.0416318611724</v>
      </c>
      <c r="AE116" s="31">
        <f>IF(HLOOKUP(AE$13,'MP (nominal)'!$D$12:$AM$244,ROW()-12,FALSE)="","",HLOOKUP(AE$13,'MP (nominal)'!$D$12:$AM$244,ROW()-12,FALSE))</f>
        <v>76620.73</v>
      </c>
      <c r="AF116" s="31">
        <f>IF(HLOOKUP(AF$13,'MP (nominal)'!$D$12:$AM$244,ROW()-12,FALSE)="","",HLOOKUP(AF$13,'MP (nominal)'!$D$12:$AM$244,ROW()-12,FALSE))</f>
        <v>7164</v>
      </c>
      <c r="AG116" s="281"/>
      <c r="AH116" s="281">
        <f>IF(HLOOKUP(AH$13,'MP (nominal)'!$D$12:$AM$244,ROW()-12,FALSE)="","",HLOOKUP(AH$13,'MP (nominal)'!$D$12:$AM$244,ROW()-12,FALSE)*VLOOKUP($C116,CPI!$B$9:$I$63,8))</f>
        <v>1864.4687558944784</v>
      </c>
      <c r="AI116" s="31">
        <f>IF(HLOOKUP(AI$13,'MP (nominal)'!$D$12:$AM$244,ROW()-12,FALSE)="","",HLOOKUP(AI$13,'MP (nominal)'!$D$12:$AM$244,ROW()-12,FALSE))</f>
        <v>38114.828000000001</v>
      </c>
      <c r="AJ116" s="31">
        <f>IF(HLOOKUP(AJ$13,'MP (nominal)'!$D$12:$AM$244,ROW()-12,FALSE)="","",HLOOKUP(AJ$13,'MP (nominal)'!$D$12:$AM$244,ROW()-12,FALSE))</f>
        <v>94</v>
      </c>
      <c r="AK116" s="281"/>
      <c r="AL116" s="281">
        <f>IF(HLOOKUP(AL$13,'MP (nominal)'!$D$12:$AM$244,ROW()-12,FALSE)="","",HLOOKUP(AL$13,'MP (nominal)'!$D$12:$AM$244,ROW()-12,FALSE)*VLOOKUP($C116,CPI!$B$9:$I$63,8))</f>
        <v>727.44846541456695</v>
      </c>
      <c r="AM116" s="31">
        <f>IF(HLOOKUP(AM$13,'MP (nominal)'!$D$12:$AM$244,ROW()-12,FALSE)="","",HLOOKUP(AM$13,'MP (nominal)'!$D$12:$AM$244,ROW()-12,FALSE))</f>
        <v>22568.313999999998</v>
      </c>
      <c r="AN116" s="31">
        <f>IF(HLOOKUP(AN$13,'MP (nominal)'!$D$12:$AM$244,ROW()-12,FALSE)="","",HLOOKUP(AN$13,'MP (nominal)'!$D$12:$AM$244,ROW()-12,FALSE))</f>
        <v>5</v>
      </c>
      <c r="AO116" s="281"/>
      <c r="AP116" s="281">
        <f>IF(HLOOKUP(AP$13,'MP (nominal)'!$D$12:$AM$244,ROW()-12,FALSE)="","",HLOOKUP(AP$13,'MP (nominal)'!$D$12:$AM$244,ROW()-12,FALSE)*VLOOKUP($C116,CPI!$B$9:$I$63,8))</f>
        <v>8482.8234216270102</v>
      </c>
      <c r="AQ116" s="31">
        <f>IF(HLOOKUP(AQ$13,'MP (nominal)'!$D$12:$AM$244,ROW()-12,FALSE)="","",HLOOKUP(AQ$13,'MP (nominal)'!$D$12:$AM$244,ROW()-12,FALSE))</f>
        <v>147498.4</v>
      </c>
      <c r="AR116" s="281">
        <f>IF(HLOOKUP(AR$13,'MP (nominal)'!$D$12:$AM$244,ROW()-12,FALSE)="","",HLOOKUP(AR$13,'MP (nominal)'!$D$12:$AM$244,ROW()-12,FALSE))</f>
        <v>9008</v>
      </c>
    </row>
    <row r="117" spans="1:44" s="278" customFormat="1">
      <c r="A117" s="271">
        <f>References!J270</f>
        <v>284</v>
      </c>
      <c r="B117" s="292" t="s">
        <v>41</v>
      </c>
      <c r="C117" s="284">
        <v>2011</v>
      </c>
      <c r="D117" s="27">
        <f>IF(HLOOKUP(D$13,'MP (nominal)'!$D$12:$AM$244,ROW()-12,FALSE)="","",HLOOKUP(D$13,'MP (nominal)'!$D$12:$AM$244,ROW()-12,FALSE))</f>
        <v>39</v>
      </c>
      <c r="E117" s="281">
        <f>IF(HLOOKUP(E$13,'MP (nominal)'!$D$12:$AM$244,ROW()-12,FALSE)="","",HLOOKUP(E$13,'MP (nominal)'!$D$12:$AM$244,ROW()-12,FALSE))</f>
        <v>1.02</v>
      </c>
      <c r="F117" s="27">
        <f>IF(HLOOKUP(F$13,'MP (nominal)'!$D$12:$AM$244,ROW()-12,FALSE)="","",HLOOKUP(F$13,'MP (nominal)'!$D$12:$AM$244,ROW()-12,FALSE))</f>
        <v>215.721</v>
      </c>
      <c r="G117" s="281">
        <f>IF(HLOOKUP(G$13,'MP (nominal)'!$D$12:$AM$244,ROW()-12,FALSE)="","",HLOOKUP(G$13,'MP (nominal)'!$D$12:$AM$244,ROW()-12,FALSE))</f>
        <v>63.43</v>
      </c>
      <c r="H117" s="27">
        <f>IF(HLOOKUP(H$13,'MP (nominal)'!$D$12:$AM$244,ROW()-12,FALSE)="","",HLOOKUP(H$13,'MP (nominal)'!$D$12:$AM$244,ROW()-12,FALSE))</f>
        <v>254.721</v>
      </c>
      <c r="I117" s="31">
        <f>IF(HLOOKUP(I$13,'MP (nominal)'!$D$12:$AM$244,ROW()-12,FALSE)="","",HLOOKUP(I$13,'MP (nominal)'!$D$12:$AM$244,ROW()-12,FALSE))</f>
        <v>64.45</v>
      </c>
      <c r="J117" s="31">
        <f>IF(HLOOKUP(J$13,'MP (nominal)'!$D$12:$AM$244,ROW()-12,FALSE)="","",HLOOKUP(J$13,'MP (nominal)'!$D$12:$AM$244,ROW()-12,FALSE))</f>
        <v>39</v>
      </c>
      <c r="K117" s="281"/>
      <c r="L117" s="27">
        <f>IF(HLOOKUP(L$13,'MP (nominal)'!$D$12:$AM$244,ROW()-12,FALSE)="","",HLOOKUP(L$13,'MP (nominal)'!$D$12:$AM$244,ROW()-12,FALSE))</f>
        <v>32.75</v>
      </c>
      <c r="M117" s="283">
        <f>IF(HLOOKUP(M$13,'MP (nominal)'!$D$12:$AM$244,ROW()-12,FALSE)="","",HLOOKUP(M$13,'MP (nominal)'!$D$12:$AM$244,ROW()-12,FALSE))</f>
        <v>145.751</v>
      </c>
      <c r="N117" s="35"/>
      <c r="O117" s="27">
        <f>IF(HLOOKUP(O$13,'MP (nominal)'!$D$12:$AM$244,ROW()-12,FALSE)="","",HLOOKUP(O$13,'MP (nominal)'!$D$12:$AM$244,ROW()-12,FALSE))</f>
        <v>9048</v>
      </c>
      <c r="P117" s="31"/>
      <c r="Q117" s="281"/>
      <c r="R117" s="281">
        <f>IF(HLOOKUP(R$13,'MP (nominal)'!$D$12:$AM$244,ROW()-12,FALSE)="","",HLOOKUP(R$13,'MP (nominal)'!$D$12:$AM$244,ROW()-12,FALSE))</f>
        <v>114.66</v>
      </c>
      <c r="S117" s="281">
        <f>IF(HLOOKUP(S$13,'MP (nominal)'!$D$12:$AM$244,ROW()-12,FALSE)="","",HLOOKUP(S$13,'MP (nominal)'!$D$12:$AM$244,ROW()-12,FALSE))</f>
        <v>8.9499999999999993</v>
      </c>
      <c r="T117" s="281">
        <f>IF(HLOOKUP(T$13,'MP (nominal)'!$D$12:$AM$244,ROW()-12,FALSE)="","",HLOOKUP(T$13,'MP (nominal)'!$D$12:$AM$244,ROW()-12,FALSE))</f>
        <v>105.71</v>
      </c>
      <c r="U117" s="281"/>
      <c r="V117" s="281">
        <f>IF(HLOOKUP(V$13,'MP (nominal)'!$D$12:$AM$244,ROW()-12,FALSE)="","",HLOOKUP(V$13,'MP (nominal)'!$D$12:$AM$244,ROW()-12,FALSE))</f>
        <v>0.57999999999999996</v>
      </c>
      <c r="W117" s="281">
        <f>IF(HLOOKUP(W$13,'MP (nominal)'!$D$12:$AM$244,ROW()-12,FALSE)="","",HLOOKUP(W$13,'MP (nominal)'!$D$12:$AM$244,ROW()-12,FALSE))</f>
        <v>0.04</v>
      </c>
      <c r="X117" s="281">
        <f>IF(HLOOKUP(X$13,'MP (nominal)'!$D$12:$AM$244,ROW()-12,FALSE)="","",HLOOKUP(X$13,'MP (nominal)'!$D$12:$AM$244,ROW()-12,FALSE))</f>
        <v>0.54</v>
      </c>
      <c r="Y117" s="281"/>
      <c r="Z117" s="281">
        <f>IF(HLOOKUP(Z$13,'MP (nominal)'!$D$12:$AM$244,ROW()-12,FALSE)="","",HLOOKUP(Z$13,'MP (nominal)'!$D$12:$AM$244,ROW()-12,FALSE)*VLOOKUP($C117,CPI!$B$9:$I$63,8))</f>
        <v>767</v>
      </c>
      <c r="AA117" s="281">
        <f>IF(HLOOKUP(AA$13,'MP (nominal)'!$D$12:$AM$244,ROW()-12,FALSE)="","",HLOOKUP(AA$13,'MP (nominal)'!$D$12:$AM$244,ROW()-12,FALSE))</f>
        <v>10613</v>
      </c>
      <c r="AB117" s="281">
        <f>IF(HLOOKUP(AB$13,'MP (nominal)'!$D$12:$AM$244,ROW()-12,FALSE)="","",HLOOKUP(AB$13,'MP (nominal)'!$D$12:$AM$244,ROW()-12,FALSE))</f>
        <v>2011</v>
      </c>
      <c r="AC117" s="281"/>
      <c r="AD117" s="281">
        <f>IF(HLOOKUP(AD$13,'MP (nominal)'!$D$12:$AM$244,ROW()-12,FALSE)="","",HLOOKUP(AD$13,'MP (nominal)'!$D$12:$AM$244,ROW()-12,FALSE)*VLOOKUP($C117,CPI!$B$9:$I$63,8))</f>
        <v>5325</v>
      </c>
      <c r="AE117" s="31">
        <f>IF(HLOOKUP(AE$13,'MP (nominal)'!$D$12:$AM$244,ROW()-12,FALSE)="","",HLOOKUP(AE$13,'MP (nominal)'!$D$12:$AM$244,ROW()-12,FALSE))</f>
        <v>73114</v>
      </c>
      <c r="AF117" s="31">
        <f>IF(HLOOKUP(AF$13,'MP (nominal)'!$D$12:$AM$244,ROW()-12,FALSE)="","",HLOOKUP(AF$13,'MP (nominal)'!$D$12:$AM$244,ROW()-12,FALSE))</f>
        <v>6942</v>
      </c>
      <c r="AG117" s="281"/>
      <c r="AH117" s="281">
        <f>IF(HLOOKUP(AH$13,'MP (nominal)'!$D$12:$AM$244,ROW()-12,FALSE)="","",HLOOKUP(AH$13,'MP (nominal)'!$D$12:$AM$244,ROW()-12,FALSE)*VLOOKUP($C117,CPI!$B$9:$I$63,8))</f>
        <v>1769</v>
      </c>
      <c r="AI117" s="31">
        <f>IF(HLOOKUP(AI$13,'MP (nominal)'!$D$12:$AM$244,ROW()-12,FALSE)="","",HLOOKUP(AI$13,'MP (nominal)'!$D$12:$AM$244,ROW()-12,FALSE))</f>
        <v>34584</v>
      </c>
      <c r="AJ117" s="31">
        <f>IF(HLOOKUP(AJ$13,'MP (nominal)'!$D$12:$AM$244,ROW()-12,FALSE)="","",HLOOKUP(AJ$13,'MP (nominal)'!$D$12:$AM$244,ROW()-12,FALSE))</f>
        <v>90</v>
      </c>
      <c r="AK117" s="281"/>
      <c r="AL117" s="281">
        <f>IF(HLOOKUP(AL$13,'MP (nominal)'!$D$12:$AM$244,ROW()-12,FALSE)="","",HLOOKUP(AL$13,'MP (nominal)'!$D$12:$AM$244,ROW()-12,FALSE)*VLOOKUP($C117,CPI!$B$9:$I$63,8))</f>
        <v>972</v>
      </c>
      <c r="AM117" s="31">
        <f>IF(HLOOKUP(AM$13,'MP (nominal)'!$D$12:$AM$244,ROW()-12,FALSE)="","",HLOOKUP(AM$13,'MP (nominal)'!$D$12:$AM$244,ROW()-12,FALSE))</f>
        <v>27440</v>
      </c>
      <c r="AN117" s="31">
        <f>IF(HLOOKUP(AN$13,'MP (nominal)'!$D$12:$AM$244,ROW()-12,FALSE)="","",HLOOKUP(AN$13,'MP (nominal)'!$D$12:$AM$244,ROW()-12,FALSE))</f>
        <v>5</v>
      </c>
      <c r="AO117" s="281"/>
      <c r="AP117" s="281">
        <f>IF(HLOOKUP(AP$13,'MP (nominal)'!$D$12:$AM$244,ROW()-12,FALSE)="","",HLOOKUP(AP$13,'MP (nominal)'!$D$12:$AM$244,ROW()-12,FALSE)*VLOOKUP($C117,CPI!$B$9:$I$63,8))</f>
        <v>8833</v>
      </c>
      <c r="AQ117" s="31">
        <f>IF(HLOOKUP(AQ$13,'MP (nominal)'!$D$12:$AM$244,ROW()-12,FALSE)="","",HLOOKUP(AQ$13,'MP (nominal)'!$D$12:$AM$244,ROW()-12,FALSE))</f>
        <v>145751</v>
      </c>
      <c r="AR117" s="281">
        <f>IF(HLOOKUP(AR$13,'MP (nominal)'!$D$12:$AM$244,ROW()-12,FALSE)="","",HLOOKUP(AR$13,'MP (nominal)'!$D$12:$AM$244,ROW()-12,FALSE))</f>
        <v>9048</v>
      </c>
    </row>
    <row r="118" spans="1:44" s="278" customFormat="1" hidden="1">
      <c r="A118" s="271">
        <f>References!C271</f>
        <v>300</v>
      </c>
      <c r="B118" s="292" t="s">
        <v>42</v>
      </c>
      <c r="C118" s="284">
        <v>2004</v>
      </c>
      <c r="D118" s="27" t="str">
        <f>IF(HLOOKUP(D$13,'MP (nominal)'!$D$12:$AM$244,ROW()-12,FALSE)="","",HLOOKUP(D$13,'MP (nominal)'!$D$12:$AM$244,ROW()-12,FALSE))</f>
        <v/>
      </c>
      <c r="E118" s="281" t="str">
        <f>IF(HLOOKUP(E$13,'MP (nominal)'!$D$12:$AM$244,ROW()-12,FALSE)="","",HLOOKUP(E$13,'MP (nominal)'!$D$12:$AM$244,ROW()-12,FALSE))</f>
        <v/>
      </c>
      <c r="F118" s="27">
        <f>IF(HLOOKUP(F$13,'MP (nominal)'!$D$12:$AM$244,ROW()-12,FALSE)="","",HLOOKUP(F$13,'MP (nominal)'!$D$12:$AM$244,ROW()-12,FALSE))</f>
        <v>600.25</v>
      </c>
      <c r="G118" s="281" t="str">
        <f>IF(HLOOKUP(G$13,'MP (nominal)'!$D$12:$AM$244,ROW()-12,FALSE)="","",HLOOKUP(G$13,'MP (nominal)'!$D$12:$AM$244,ROW()-12,FALSE))</f>
        <v/>
      </c>
      <c r="H118" s="27">
        <f>IF(HLOOKUP(H$13,'MP (nominal)'!$D$12:$AM$244,ROW()-12,FALSE)="","",HLOOKUP(H$13,'MP (nominal)'!$D$12:$AM$244,ROW()-12,FALSE))</f>
        <v>3244.28</v>
      </c>
      <c r="I118" s="31" t="str">
        <f>IF(HLOOKUP(I$13,'MP (nominal)'!$D$12:$AM$244,ROW()-12,FALSE)="","",HLOOKUP(I$13,'MP (nominal)'!$D$12:$AM$244,ROW()-12,FALSE))</f>
        <v/>
      </c>
      <c r="J118" s="31">
        <f>IF(HLOOKUP(J$13,'MP (nominal)'!$D$12:$AM$244,ROW()-12,FALSE)="","",HLOOKUP(J$13,'MP (nominal)'!$D$12:$AM$244,ROW()-12,FALSE))</f>
        <v>2644.03</v>
      </c>
      <c r="K118" s="281"/>
      <c r="L118" s="27">
        <f>IF(HLOOKUP(L$13,'MP (nominal)'!$D$12:$AM$244,ROW()-12,FALSE)="","",HLOOKUP(L$13,'MP (nominal)'!$D$12:$AM$244,ROW()-12,FALSE))</f>
        <v>129.29</v>
      </c>
      <c r="M118" s="293">
        <f>IF(HLOOKUP(M$13,'MP (nominal)'!$D$12:$AM$244,ROW()-12,FALSE)="","",HLOOKUP(M$13,'MP (nominal)'!$D$12:$AM$244,ROW()-12,FALSE))</f>
        <v>703.73145199999999</v>
      </c>
      <c r="N118" s="35"/>
      <c r="O118" s="27">
        <f>IF(HLOOKUP(O$13,'MP (nominal)'!$D$12:$AM$244,ROW()-12,FALSE)="","",HLOOKUP(O$13,'MP (nominal)'!$D$12:$AM$244,ROW()-12,FALSE))</f>
        <v>33335</v>
      </c>
      <c r="P118" s="31"/>
      <c r="Q118" s="281"/>
      <c r="R118" s="281">
        <f>IF(HLOOKUP(R$13,'MP (nominal)'!$D$12:$AM$244,ROW()-12,FALSE)="","",HLOOKUP(R$13,'MP (nominal)'!$D$12:$AM$244,ROW()-12,FALSE))</f>
        <v>164.1</v>
      </c>
      <c r="S118" s="281" t="str">
        <f>IF(HLOOKUP(S$13,'MP (nominal)'!$D$12:$AM$244,ROW()-12,FALSE)="","",HLOOKUP(S$13,'MP (nominal)'!$D$12:$AM$244,ROW()-12,FALSE))</f>
        <v/>
      </c>
      <c r="T118" s="281" t="str">
        <f>IF(HLOOKUP(T$13,'MP (nominal)'!$D$12:$AM$244,ROW()-12,FALSE)="","",HLOOKUP(T$13,'MP (nominal)'!$D$12:$AM$244,ROW()-12,FALSE))</f>
        <v/>
      </c>
      <c r="U118" s="281"/>
      <c r="V118" s="281">
        <f>IF(HLOOKUP(V$13,'MP (nominal)'!$D$12:$AM$244,ROW()-12,FALSE)="","",HLOOKUP(V$13,'MP (nominal)'!$D$12:$AM$244,ROW()-12,FALSE))</f>
        <v>1.73</v>
      </c>
      <c r="W118" s="281" t="str">
        <f>IF(HLOOKUP(W$13,'MP (nominal)'!$D$12:$AM$244,ROW()-12,FALSE)="","",HLOOKUP(W$13,'MP (nominal)'!$D$12:$AM$244,ROW()-12,FALSE))</f>
        <v/>
      </c>
      <c r="X118" s="281" t="str">
        <f>IF(HLOOKUP(X$13,'MP (nominal)'!$D$12:$AM$244,ROW()-12,FALSE)="","",HLOOKUP(X$13,'MP (nominal)'!$D$12:$AM$244,ROW()-12,FALSE))</f>
        <v/>
      </c>
      <c r="Y118" s="281"/>
      <c r="Z118" s="281" t="str">
        <f>IF(HLOOKUP(Z$13,'MP (nominal)'!$D$12:$AM$244,ROW()-12,FALSE)="","",HLOOKUP(Z$13,'MP (nominal)'!$D$12:$AM$244,ROW()-12,FALSE)*VLOOKUP($C118,CPI!$B$9:$I$63,8))</f>
        <v/>
      </c>
      <c r="AA118" s="281" t="str">
        <f>IF(HLOOKUP(AA$13,'MP (nominal)'!$D$12:$AM$244,ROW()-12,FALSE)="","",HLOOKUP(AA$13,'MP (nominal)'!$D$12:$AM$244,ROW()-12,FALSE))</f>
        <v/>
      </c>
      <c r="AB118" s="281" t="str">
        <f>IF(HLOOKUP(AB$13,'MP (nominal)'!$D$12:$AM$244,ROW()-12,FALSE)="","",HLOOKUP(AB$13,'MP (nominal)'!$D$12:$AM$244,ROW()-12,FALSE))</f>
        <v/>
      </c>
      <c r="AC118" s="281"/>
      <c r="AD118" s="281" t="str">
        <f>IF(HLOOKUP(AD$13,'MP (nominal)'!$D$12:$AM$244,ROW()-12,FALSE)="","",HLOOKUP(AD$13,'MP (nominal)'!$D$12:$AM$244,ROW()-12,FALSE)*VLOOKUP($C118,CPI!$B$9:$I$63,8))</f>
        <v/>
      </c>
      <c r="AE118" s="31" t="str">
        <f>IF(HLOOKUP(AE$13,'MP (nominal)'!$D$12:$AM$244,ROW()-12,FALSE)="","",HLOOKUP(AE$13,'MP (nominal)'!$D$12:$AM$244,ROW()-12,FALSE))</f>
        <v/>
      </c>
      <c r="AF118" s="31" t="str">
        <f>IF(HLOOKUP(AF$13,'MP (nominal)'!$D$12:$AM$244,ROW()-12,FALSE)="","",HLOOKUP(AF$13,'MP (nominal)'!$D$12:$AM$244,ROW()-12,FALSE))</f>
        <v/>
      </c>
      <c r="AG118" s="281"/>
      <c r="AH118" s="281" t="str">
        <f>IF(HLOOKUP(AH$13,'MP (nominal)'!$D$12:$AM$244,ROW()-12,FALSE)="","",HLOOKUP(AH$13,'MP (nominal)'!$D$12:$AM$244,ROW()-12,FALSE)*VLOOKUP($C118,CPI!$B$9:$I$63,8))</f>
        <v/>
      </c>
      <c r="AI118" s="31" t="str">
        <f>IF(HLOOKUP(AI$13,'MP (nominal)'!$D$12:$AM$244,ROW()-12,FALSE)="","",HLOOKUP(AI$13,'MP (nominal)'!$D$12:$AM$244,ROW()-12,FALSE))</f>
        <v/>
      </c>
      <c r="AJ118" s="31" t="str">
        <f>IF(HLOOKUP(AJ$13,'MP (nominal)'!$D$12:$AM$244,ROW()-12,FALSE)="","",HLOOKUP(AJ$13,'MP (nominal)'!$D$12:$AM$244,ROW()-12,FALSE))</f>
        <v/>
      </c>
      <c r="AK118" s="281"/>
      <c r="AL118" s="281" t="str">
        <f>IF(HLOOKUP(AL$13,'MP (nominal)'!$D$12:$AM$244,ROW()-12,FALSE)="","",HLOOKUP(AL$13,'MP (nominal)'!$D$12:$AM$244,ROW()-12,FALSE)*VLOOKUP($C118,CPI!$B$9:$I$63,8))</f>
        <v/>
      </c>
      <c r="AM118" s="31" t="str">
        <f>IF(HLOOKUP(AM$13,'MP (nominal)'!$D$12:$AM$244,ROW()-12,FALSE)="","",HLOOKUP(AM$13,'MP (nominal)'!$D$12:$AM$244,ROW()-12,FALSE))</f>
        <v/>
      </c>
      <c r="AN118" s="31" t="str">
        <f>IF(HLOOKUP(AN$13,'MP (nominal)'!$D$12:$AM$244,ROW()-12,FALSE)="","",HLOOKUP(AN$13,'MP (nominal)'!$D$12:$AM$244,ROW()-12,FALSE))</f>
        <v/>
      </c>
      <c r="AO118" s="281"/>
      <c r="AP118" s="281" t="str">
        <f>IF(HLOOKUP(AP$13,'MP (nominal)'!$D$12:$AM$244,ROW()-12,FALSE)="","",HLOOKUP(AP$13,'MP (nominal)'!$D$12:$AM$244,ROW()-12,FALSE)*VLOOKUP($C118,CPI!$B$9:$I$63,8))</f>
        <v/>
      </c>
      <c r="AQ118" s="31" t="str">
        <f>IF(HLOOKUP(AQ$13,'MP (nominal)'!$D$12:$AM$244,ROW()-12,FALSE)="","",HLOOKUP(AQ$13,'MP (nominal)'!$D$12:$AM$244,ROW()-12,FALSE))</f>
        <v/>
      </c>
      <c r="AR118" s="281" t="str">
        <f>IF(HLOOKUP(AR$13,'MP (nominal)'!$D$12:$AM$244,ROW()-12,FALSE)="","",HLOOKUP(AR$13,'MP (nominal)'!$D$12:$AM$244,ROW()-12,FALSE))</f>
        <v/>
      </c>
    </row>
    <row r="119" spans="1:44" s="278" customFormat="1" hidden="1">
      <c r="A119" s="271">
        <f>References!D271</f>
        <v>301</v>
      </c>
      <c r="B119" s="292" t="s">
        <v>42</v>
      </c>
      <c r="C119" s="284">
        <v>2005</v>
      </c>
      <c r="D119" s="27" t="str">
        <f>IF(HLOOKUP(D$13,'MP (nominal)'!$D$12:$AM$244,ROW()-12,FALSE)="","",HLOOKUP(D$13,'MP (nominal)'!$D$12:$AM$244,ROW()-12,FALSE))</f>
        <v/>
      </c>
      <c r="E119" s="281" t="str">
        <f>IF(HLOOKUP(E$13,'MP (nominal)'!$D$12:$AM$244,ROW()-12,FALSE)="","",HLOOKUP(E$13,'MP (nominal)'!$D$12:$AM$244,ROW()-12,FALSE))</f>
        <v/>
      </c>
      <c r="F119" s="27">
        <f>IF(HLOOKUP(F$13,'MP (nominal)'!$D$12:$AM$244,ROW()-12,FALSE)="","",HLOOKUP(F$13,'MP (nominal)'!$D$12:$AM$244,ROW()-12,FALSE))</f>
        <v>637.32000000000005</v>
      </c>
      <c r="G119" s="281" t="str">
        <f>IF(HLOOKUP(G$13,'MP (nominal)'!$D$12:$AM$244,ROW()-12,FALSE)="","",HLOOKUP(G$13,'MP (nominal)'!$D$12:$AM$244,ROW()-12,FALSE))</f>
        <v/>
      </c>
      <c r="H119" s="27">
        <f>IF(HLOOKUP(H$13,'MP (nominal)'!$D$12:$AM$244,ROW()-12,FALSE)="","",HLOOKUP(H$13,'MP (nominal)'!$D$12:$AM$244,ROW()-12,FALSE))</f>
        <v>3246.85</v>
      </c>
      <c r="I119" s="31" t="str">
        <f>IF(HLOOKUP(I$13,'MP (nominal)'!$D$12:$AM$244,ROW()-12,FALSE)="","",HLOOKUP(I$13,'MP (nominal)'!$D$12:$AM$244,ROW()-12,FALSE))</f>
        <v/>
      </c>
      <c r="J119" s="31">
        <f>IF(HLOOKUP(J$13,'MP (nominal)'!$D$12:$AM$244,ROW()-12,FALSE)="","",HLOOKUP(J$13,'MP (nominal)'!$D$12:$AM$244,ROW()-12,FALSE))</f>
        <v>2609.5300000000002</v>
      </c>
      <c r="K119" s="281"/>
      <c r="L119" s="27">
        <f>IF(HLOOKUP(L$13,'MP (nominal)'!$D$12:$AM$244,ROW()-12,FALSE)="","",HLOOKUP(L$13,'MP (nominal)'!$D$12:$AM$244,ROW()-12,FALSE))</f>
        <v>134.977</v>
      </c>
      <c r="M119" s="293">
        <f>IF(HLOOKUP(M$13,'MP (nominal)'!$D$12:$AM$244,ROW()-12,FALSE)="","",HLOOKUP(M$13,'MP (nominal)'!$D$12:$AM$244,ROW()-12,FALSE))</f>
        <v>742.56739200000004</v>
      </c>
      <c r="N119" s="35"/>
      <c r="O119" s="27">
        <f>IF(HLOOKUP(O$13,'MP (nominal)'!$D$12:$AM$244,ROW()-12,FALSE)="","",HLOOKUP(O$13,'MP (nominal)'!$D$12:$AM$244,ROW()-12,FALSE))</f>
        <v>33830</v>
      </c>
      <c r="P119" s="31"/>
      <c r="Q119" s="281"/>
      <c r="R119" s="281">
        <f>IF(HLOOKUP(R$13,'MP (nominal)'!$D$12:$AM$244,ROW()-12,FALSE)="","",HLOOKUP(R$13,'MP (nominal)'!$D$12:$AM$244,ROW()-12,FALSE))</f>
        <v>210.15</v>
      </c>
      <c r="S119" s="281" t="str">
        <f>IF(HLOOKUP(S$13,'MP (nominal)'!$D$12:$AM$244,ROW()-12,FALSE)="","",HLOOKUP(S$13,'MP (nominal)'!$D$12:$AM$244,ROW()-12,FALSE))</f>
        <v/>
      </c>
      <c r="T119" s="281" t="str">
        <f>IF(HLOOKUP(T$13,'MP (nominal)'!$D$12:$AM$244,ROW()-12,FALSE)="","",HLOOKUP(T$13,'MP (nominal)'!$D$12:$AM$244,ROW()-12,FALSE))</f>
        <v/>
      </c>
      <c r="U119" s="281"/>
      <c r="V119" s="281">
        <f>IF(HLOOKUP(V$13,'MP (nominal)'!$D$12:$AM$244,ROW()-12,FALSE)="","",HLOOKUP(V$13,'MP (nominal)'!$D$12:$AM$244,ROW()-12,FALSE))</f>
        <v>2.4700000000000002</v>
      </c>
      <c r="W119" s="281" t="str">
        <f>IF(HLOOKUP(W$13,'MP (nominal)'!$D$12:$AM$244,ROW()-12,FALSE)="","",HLOOKUP(W$13,'MP (nominal)'!$D$12:$AM$244,ROW()-12,FALSE))</f>
        <v/>
      </c>
      <c r="X119" s="281" t="str">
        <f>IF(HLOOKUP(X$13,'MP (nominal)'!$D$12:$AM$244,ROW()-12,FALSE)="","",HLOOKUP(X$13,'MP (nominal)'!$D$12:$AM$244,ROW()-12,FALSE))</f>
        <v/>
      </c>
      <c r="Y119" s="281"/>
      <c r="Z119" s="281" t="str">
        <f>IF(HLOOKUP(Z$13,'MP (nominal)'!$D$12:$AM$244,ROW()-12,FALSE)="","",HLOOKUP(Z$13,'MP (nominal)'!$D$12:$AM$244,ROW()-12,FALSE)*VLOOKUP($C119,CPI!$B$9:$I$63,8))</f>
        <v/>
      </c>
      <c r="AA119" s="281" t="str">
        <f>IF(HLOOKUP(AA$13,'MP (nominal)'!$D$12:$AM$244,ROW()-12,FALSE)="","",HLOOKUP(AA$13,'MP (nominal)'!$D$12:$AM$244,ROW()-12,FALSE))</f>
        <v/>
      </c>
      <c r="AB119" s="281" t="str">
        <f>IF(HLOOKUP(AB$13,'MP (nominal)'!$D$12:$AM$244,ROW()-12,FALSE)="","",HLOOKUP(AB$13,'MP (nominal)'!$D$12:$AM$244,ROW()-12,FALSE))</f>
        <v/>
      </c>
      <c r="AC119" s="281"/>
      <c r="AD119" s="281" t="str">
        <f>IF(HLOOKUP(AD$13,'MP (nominal)'!$D$12:$AM$244,ROW()-12,FALSE)="","",HLOOKUP(AD$13,'MP (nominal)'!$D$12:$AM$244,ROW()-12,FALSE)*VLOOKUP($C119,CPI!$B$9:$I$63,8))</f>
        <v/>
      </c>
      <c r="AE119" s="31" t="str">
        <f>IF(HLOOKUP(AE$13,'MP (nominal)'!$D$12:$AM$244,ROW()-12,FALSE)="","",HLOOKUP(AE$13,'MP (nominal)'!$D$12:$AM$244,ROW()-12,FALSE))</f>
        <v/>
      </c>
      <c r="AF119" s="31" t="str">
        <f>IF(HLOOKUP(AF$13,'MP (nominal)'!$D$12:$AM$244,ROW()-12,FALSE)="","",HLOOKUP(AF$13,'MP (nominal)'!$D$12:$AM$244,ROW()-12,FALSE))</f>
        <v/>
      </c>
      <c r="AG119" s="281"/>
      <c r="AH119" s="281" t="str">
        <f>IF(HLOOKUP(AH$13,'MP (nominal)'!$D$12:$AM$244,ROW()-12,FALSE)="","",HLOOKUP(AH$13,'MP (nominal)'!$D$12:$AM$244,ROW()-12,FALSE)*VLOOKUP($C119,CPI!$B$9:$I$63,8))</f>
        <v/>
      </c>
      <c r="AI119" s="31" t="str">
        <f>IF(HLOOKUP(AI$13,'MP (nominal)'!$D$12:$AM$244,ROW()-12,FALSE)="","",HLOOKUP(AI$13,'MP (nominal)'!$D$12:$AM$244,ROW()-12,FALSE))</f>
        <v/>
      </c>
      <c r="AJ119" s="31" t="str">
        <f>IF(HLOOKUP(AJ$13,'MP (nominal)'!$D$12:$AM$244,ROW()-12,FALSE)="","",HLOOKUP(AJ$13,'MP (nominal)'!$D$12:$AM$244,ROW()-12,FALSE))</f>
        <v/>
      </c>
      <c r="AK119" s="281"/>
      <c r="AL119" s="281" t="str">
        <f>IF(HLOOKUP(AL$13,'MP (nominal)'!$D$12:$AM$244,ROW()-12,FALSE)="","",HLOOKUP(AL$13,'MP (nominal)'!$D$12:$AM$244,ROW()-12,FALSE)*VLOOKUP($C119,CPI!$B$9:$I$63,8))</f>
        <v/>
      </c>
      <c r="AM119" s="31" t="str">
        <f>IF(HLOOKUP(AM$13,'MP (nominal)'!$D$12:$AM$244,ROW()-12,FALSE)="","",HLOOKUP(AM$13,'MP (nominal)'!$D$12:$AM$244,ROW()-12,FALSE))</f>
        <v/>
      </c>
      <c r="AN119" s="31" t="str">
        <f>IF(HLOOKUP(AN$13,'MP (nominal)'!$D$12:$AM$244,ROW()-12,FALSE)="","",HLOOKUP(AN$13,'MP (nominal)'!$D$12:$AM$244,ROW()-12,FALSE))</f>
        <v/>
      </c>
      <c r="AO119" s="281"/>
      <c r="AP119" s="281" t="str">
        <f>IF(HLOOKUP(AP$13,'MP (nominal)'!$D$12:$AM$244,ROW()-12,FALSE)="","",HLOOKUP(AP$13,'MP (nominal)'!$D$12:$AM$244,ROW()-12,FALSE)*VLOOKUP($C119,CPI!$B$9:$I$63,8))</f>
        <v/>
      </c>
      <c r="AQ119" s="31" t="str">
        <f>IF(HLOOKUP(AQ$13,'MP (nominal)'!$D$12:$AM$244,ROW()-12,FALSE)="","",HLOOKUP(AQ$13,'MP (nominal)'!$D$12:$AM$244,ROW()-12,FALSE))</f>
        <v/>
      </c>
      <c r="AR119" s="281" t="str">
        <f>IF(HLOOKUP(AR$13,'MP (nominal)'!$D$12:$AM$244,ROW()-12,FALSE)="","",HLOOKUP(AR$13,'MP (nominal)'!$D$12:$AM$244,ROW()-12,FALSE))</f>
        <v/>
      </c>
    </row>
    <row r="120" spans="1:44" s="278" customFormat="1" hidden="1">
      <c r="A120" s="271">
        <f>References!E271</f>
        <v>302</v>
      </c>
      <c r="B120" s="292" t="s">
        <v>42</v>
      </c>
      <c r="C120" s="284">
        <v>2006</v>
      </c>
      <c r="D120" s="27" t="str">
        <f>IF(HLOOKUP(D$13,'MP (nominal)'!$D$12:$AM$244,ROW()-12,FALSE)="","",HLOOKUP(D$13,'MP (nominal)'!$D$12:$AM$244,ROW()-12,FALSE))</f>
        <v/>
      </c>
      <c r="E120" s="281" t="str">
        <f>IF(HLOOKUP(E$13,'MP (nominal)'!$D$12:$AM$244,ROW()-12,FALSE)="","",HLOOKUP(E$13,'MP (nominal)'!$D$12:$AM$244,ROW()-12,FALSE))</f>
        <v/>
      </c>
      <c r="F120" s="27">
        <f>IF(HLOOKUP(F$13,'MP (nominal)'!$D$12:$AM$244,ROW()-12,FALSE)="","",HLOOKUP(F$13,'MP (nominal)'!$D$12:$AM$244,ROW()-12,FALSE))</f>
        <v>664.59</v>
      </c>
      <c r="G120" s="281" t="str">
        <f>IF(HLOOKUP(G$13,'MP (nominal)'!$D$12:$AM$244,ROW()-12,FALSE)="","",HLOOKUP(G$13,'MP (nominal)'!$D$12:$AM$244,ROW()-12,FALSE))</f>
        <v/>
      </c>
      <c r="H120" s="27">
        <f>IF(HLOOKUP(H$13,'MP (nominal)'!$D$12:$AM$244,ROW()-12,FALSE)="","",HLOOKUP(H$13,'MP (nominal)'!$D$12:$AM$244,ROW()-12,FALSE))</f>
        <v>3265.09</v>
      </c>
      <c r="I120" s="31" t="str">
        <f>IF(HLOOKUP(I$13,'MP (nominal)'!$D$12:$AM$244,ROW()-12,FALSE)="","",HLOOKUP(I$13,'MP (nominal)'!$D$12:$AM$244,ROW()-12,FALSE))</f>
        <v/>
      </c>
      <c r="J120" s="31">
        <f>IF(HLOOKUP(J$13,'MP (nominal)'!$D$12:$AM$244,ROW()-12,FALSE)="","",HLOOKUP(J$13,'MP (nominal)'!$D$12:$AM$244,ROW()-12,FALSE))</f>
        <v>2600.5</v>
      </c>
      <c r="K120" s="281"/>
      <c r="L120" s="27">
        <f>IF(HLOOKUP(L$13,'MP (nominal)'!$D$12:$AM$244,ROW()-12,FALSE)="","",HLOOKUP(L$13,'MP (nominal)'!$D$12:$AM$244,ROW()-12,FALSE))</f>
        <v>138.74600000000001</v>
      </c>
      <c r="M120" s="293">
        <f>IF(HLOOKUP(M$13,'MP (nominal)'!$D$12:$AM$244,ROW()-12,FALSE)="","",HLOOKUP(M$13,'MP (nominal)'!$D$12:$AM$244,ROW()-12,FALSE))</f>
        <v>739.97688400000004</v>
      </c>
      <c r="N120" s="35"/>
      <c r="O120" s="27">
        <f>IF(HLOOKUP(O$13,'MP (nominal)'!$D$12:$AM$244,ROW()-12,FALSE)="","",HLOOKUP(O$13,'MP (nominal)'!$D$12:$AM$244,ROW()-12,FALSE))</f>
        <v>34400</v>
      </c>
      <c r="P120" s="31"/>
      <c r="Q120" s="281"/>
      <c r="R120" s="281">
        <f>IF(HLOOKUP(R$13,'MP (nominal)'!$D$12:$AM$244,ROW()-12,FALSE)="","",HLOOKUP(R$13,'MP (nominal)'!$D$12:$AM$244,ROW()-12,FALSE))</f>
        <v>224.66</v>
      </c>
      <c r="S120" s="281" t="str">
        <f>IF(HLOOKUP(S$13,'MP (nominal)'!$D$12:$AM$244,ROW()-12,FALSE)="","",HLOOKUP(S$13,'MP (nominal)'!$D$12:$AM$244,ROW()-12,FALSE))</f>
        <v/>
      </c>
      <c r="T120" s="281" t="str">
        <f>IF(HLOOKUP(T$13,'MP (nominal)'!$D$12:$AM$244,ROW()-12,FALSE)="","",HLOOKUP(T$13,'MP (nominal)'!$D$12:$AM$244,ROW()-12,FALSE))</f>
        <v/>
      </c>
      <c r="U120" s="281"/>
      <c r="V120" s="281">
        <f>IF(HLOOKUP(V$13,'MP (nominal)'!$D$12:$AM$244,ROW()-12,FALSE)="","",HLOOKUP(V$13,'MP (nominal)'!$D$12:$AM$244,ROW()-12,FALSE))</f>
        <v>2.5299999999999998</v>
      </c>
      <c r="W120" s="281" t="str">
        <f>IF(HLOOKUP(W$13,'MP (nominal)'!$D$12:$AM$244,ROW()-12,FALSE)="","",HLOOKUP(W$13,'MP (nominal)'!$D$12:$AM$244,ROW()-12,FALSE))</f>
        <v/>
      </c>
      <c r="X120" s="281" t="str">
        <f>IF(HLOOKUP(X$13,'MP (nominal)'!$D$12:$AM$244,ROW()-12,FALSE)="","",HLOOKUP(X$13,'MP (nominal)'!$D$12:$AM$244,ROW()-12,FALSE))</f>
        <v/>
      </c>
      <c r="Y120" s="281"/>
      <c r="Z120" s="281" t="str">
        <f>IF(HLOOKUP(Z$13,'MP (nominal)'!$D$12:$AM$244,ROW()-12,FALSE)="","",HLOOKUP(Z$13,'MP (nominal)'!$D$12:$AM$244,ROW()-12,FALSE)*VLOOKUP($C120,CPI!$B$9:$I$63,8))</f>
        <v/>
      </c>
      <c r="AA120" s="281" t="str">
        <f>IF(HLOOKUP(AA$13,'MP (nominal)'!$D$12:$AM$244,ROW()-12,FALSE)="","",HLOOKUP(AA$13,'MP (nominal)'!$D$12:$AM$244,ROW()-12,FALSE))</f>
        <v/>
      </c>
      <c r="AB120" s="281" t="str">
        <f>IF(HLOOKUP(AB$13,'MP (nominal)'!$D$12:$AM$244,ROW()-12,FALSE)="","",HLOOKUP(AB$13,'MP (nominal)'!$D$12:$AM$244,ROW()-12,FALSE))</f>
        <v/>
      </c>
      <c r="AC120" s="281"/>
      <c r="AD120" s="281" t="str">
        <f>IF(HLOOKUP(AD$13,'MP (nominal)'!$D$12:$AM$244,ROW()-12,FALSE)="","",HLOOKUP(AD$13,'MP (nominal)'!$D$12:$AM$244,ROW()-12,FALSE)*VLOOKUP($C120,CPI!$B$9:$I$63,8))</f>
        <v/>
      </c>
      <c r="AE120" s="31" t="str">
        <f>IF(HLOOKUP(AE$13,'MP (nominal)'!$D$12:$AM$244,ROW()-12,FALSE)="","",HLOOKUP(AE$13,'MP (nominal)'!$D$12:$AM$244,ROW()-12,FALSE))</f>
        <v/>
      </c>
      <c r="AF120" s="31" t="str">
        <f>IF(HLOOKUP(AF$13,'MP (nominal)'!$D$12:$AM$244,ROW()-12,FALSE)="","",HLOOKUP(AF$13,'MP (nominal)'!$D$12:$AM$244,ROW()-12,FALSE))</f>
        <v/>
      </c>
      <c r="AG120" s="281"/>
      <c r="AH120" s="281" t="str">
        <f>IF(HLOOKUP(AH$13,'MP (nominal)'!$D$12:$AM$244,ROW()-12,FALSE)="","",HLOOKUP(AH$13,'MP (nominal)'!$D$12:$AM$244,ROW()-12,FALSE)*VLOOKUP($C120,CPI!$B$9:$I$63,8))</f>
        <v/>
      </c>
      <c r="AI120" s="31" t="str">
        <f>IF(HLOOKUP(AI$13,'MP (nominal)'!$D$12:$AM$244,ROW()-12,FALSE)="","",HLOOKUP(AI$13,'MP (nominal)'!$D$12:$AM$244,ROW()-12,FALSE))</f>
        <v/>
      </c>
      <c r="AJ120" s="31" t="str">
        <f>IF(HLOOKUP(AJ$13,'MP (nominal)'!$D$12:$AM$244,ROW()-12,FALSE)="","",HLOOKUP(AJ$13,'MP (nominal)'!$D$12:$AM$244,ROW()-12,FALSE))</f>
        <v/>
      </c>
      <c r="AK120" s="281"/>
      <c r="AL120" s="281" t="str">
        <f>IF(HLOOKUP(AL$13,'MP (nominal)'!$D$12:$AM$244,ROW()-12,FALSE)="","",HLOOKUP(AL$13,'MP (nominal)'!$D$12:$AM$244,ROW()-12,FALSE)*VLOOKUP($C120,CPI!$B$9:$I$63,8))</f>
        <v/>
      </c>
      <c r="AM120" s="31" t="str">
        <f>IF(HLOOKUP(AM$13,'MP (nominal)'!$D$12:$AM$244,ROW()-12,FALSE)="","",HLOOKUP(AM$13,'MP (nominal)'!$D$12:$AM$244,ROW()-12,FALSE))</f>
        <v/>
      </c>
      <c r="AN120" s="31" t="str">
        <f>IF(HLOOKUP(AN$13,'MP (nominal)'!$D$12:$AM$244,ROW()-12,FALSE)="","",HLOOKUP(AN$13,'MP (nominal)'!$D$12:$AM$244,ROW()-12,FALSE))</f>
        <v/>
      </c>
      <c r="AO120" s="281"/>
      <c r="AP120" s="281" t="str">
        <f>IF(HLOOKUP(AP$13,'MP (nominal)'!$D$12:$AM$244,ROW()-12,FALSE)="","",HLOOKUP(AP$13,'MP (nominal)'!$D$12:$AM$244,ROW()-12,FALSE)*VLOOKUP($C120,CPI!$B$9:$I$63,8))</f>
        <v/>
      </c>
      <c r="AQ120" s="31" t="str">
        <f>IF(HLOOKUP(AQ$13,'MP (nominal)'!$D$12:$AM$244,ROW()-12,FALSE)="","",HLOOKUP(AQ$13,'MP (nominal)'!$D$12:$AM$244,ROW()-12,FALSE))</f>
        <v/>
      </c>
      <c r="AR120" s="281" t="str">
        <f>IF(HLOOKUP(AR$13,'MP (nominal)'!$D$12:$AM$244,ROW()-12,FALSE)="","",HLOOKUP(AR$13,'MP (nominal)'!$D$12:$AM$244,ROW()-12,FALSE))</f>
        <v/>
      </c>
    </row>
    <row r="121" spans="1:44" s="278" customFormat="1" hidden="1">
      <c r="A121" s="271">
        <f>References!F271</f>
        <v>303</v>
      </c>
      <c r="B121" s="292" t="s">
        <v>42</v>
      </c>
      <c r="C121" s="284">
        <v>2007</v>
      </c>
      <c r="D121" s="27" t="str">
        <f>IF(HLOOKUP(D$13,'MP (nominal)'!$D$12:$AM$244,ROW()-12,FALSE)="","",HLOOKUP(D$13,'MP (nominal)'!$D$12:$AM$244,ROW()-12,FALSE))</f>
        <v/>
      </c>
      <c r="E121" s="281" t="str">
        <f>IF(HLOOKUP(E$13,'MP (nominal)'!$D$12:$AM$244,ROW()-12,FALSE)="","",HLOOKUP(E$13,'MP (nominal)'!$D$12:$AM$244,ROW()-12,FALSE))</f>
        <v/>
      </c>
      <c r="F121" s="27">
        <f>IF(HLOOKUP(F$13,'MP (nominal)'!$D$12:$AM$244,ROW()-12,FALSE)="","",HLOOKUP(F$13,'MP (nominal)'!$D$12:$AM$244,ROW()-12,FALSE))</f>
        <v>712.71</v>
      </c>
      <c r="G121" s="281" t="str">
        <f>IF(HLOOKUP(G$13,'MP (nominal)'!$D$12:$AM$244,ROW()-12,FALSE)="","",HLOOKUP(G$13,'MP (nominal)'!$D$12:$AM$244,ROW()-12,FALSE))</f>
        <v/>
      </c>
      <c r="H121" s="27">
        <f>IF(HLOOKUP(H$13,'MP (nominal)'!$D$12:$AM$244,ROW()-12,FALSE)="","",HLOOKUP(H$13,'MP (nominal)'!$D$12:$AM$244,ROW()-12,FALSE))</f>
        <v>3299.41</v>
      </c>
      <c r="I121" s="31" t="str">
        <f>IF(HLOOKUP(I$13,'MP (nominal)'!$D$12:$AM$244,ROW()-12,FALSE)="","",HLOOKUP(I$13,'MP (nominal)'!$D$12:$AM$244,ROW()-12,FALSE))</f>
        <v/>
      </c>
      <c r="J121" s="31">
        <f>IF(HLOOKUP(J$13,'MP (nominal)'!$D$12:$AM$244,ROW()-12,FALSE)="","",HLOOKUP(J$13,'MP (nominal)'!$D$12:$AM$244,ROW()-12,FALSE))</f>
        <v>2586.7399999999998</v>
      </c>
      <c r="K121" s="281"/>
      <c r="L121" s="27">
        <f>IF(HLOOKUP(L$13,'MP (nominal)'!$D$12:$AM$244,ROW()-12,FALSE)="","",HLOOKUP(L$13,'MP (nominal)'!$D$12:$AM$244,ROW()-12,FALSE))</f>
        <v>140.017</v>
      </c>
      <c r="M121" s="293">
        <f>IF(HLOOKUP(M$13,'MP (nominal)'!$D$12:$AM$244,ROW()-12,FALSE)="","",HLOOKUP(M$13,'MP (nominal)'!$D$12:$AM$244,ROW()-12,FALSE))</f>
        <v>740.43544599999996</v>
      </c>
      <c r="N121" s="35"/>
      <c r="O121" s="27">
        <f>IF(HLOOKUP(O$13,'MP (nominal)'!$D$12:$AM$244,ROW()-12,FALSE)="","",HLOOKUP(O$13,'MP (nominal)'!$D$12:$AM$244,ROW()-12,FALSE))</f>
        <v>34910</v>
      </c>
      <c r="P121" s="31"/>
      <c r="Q121" s="281"/>
      <c r="R121" s="281">
        <f>IF(HLOOKUP(R$13,'MP (nominal)'!$D$12:$AM$244,ROW()-12,FALSE)="","",HLOOKUP(R$13,'MP (nominal)'!$D$12:$AM$244,ROW()-12,FALSE))</f>
        <v>285.41000000000003</v>
      </c>
      <c r="S121" s="281" t="str">
        <f>IF(HLOOKUP(S$13,'MP (nominal)'!$D$12:$AM$244,ROW()-12,FALSE)="","",HLOOKUP(S$13,'MP (nominal)'!$D$12:$AM$244,ROW()-12,FALSE))</f>
        <v/>
      </c>
      <c r="T121" s="281" t="str">
        <f>IF(HLOOKUP(T$13,'MP (nominal)'!$D$12:$AM$244,ROW()-12,FALSE)="","",HLOOKUP(T$13,'MP (nominal)'!$D$12:$AM$244,ROW()-12,FALSE))</f>
        <v/>
      </c>
      <c r="U121" s="281"/>
      <c r="V121" s="281">
        <f>IF(HLOOKUP(V$13,'MP (nominal)'!$D$12:$AM$244,ROW()-12,FALSE)="","",HLOOKUP(V$13,'MP (nominal)'!$D$12:$AM$244,ROW()-12,FALSE))</f>
        <v>3.29</v>
      </c>
      <c r="W121" s="281" t="str">
        <f>IF(HLOOKUP(W$13,'MP (nominal)'!$D$12:$AM$244,ROW()-12,FALSE)="","",HLOOKUP(W$13,'MP (nominal)'!$D$12:$AM$244,ROW()-12,FALSE))</f>
        <v/>
      </c>
      <c r="X121" s="281" t="str">
        <f>IF(HLOOKUP(X$13,'MP (nominal)'!$D$12:$AM$244,ROW()-12,FALSE)="","",HLOOKUP(X$13,'MP (nominal)'!$D$12:$AM$244,ROW()-12,FALSE))</f>
        <v/>
      </c>
      <c r="Y121" s="281"/>
      <c r="Z121" s="281" t="str">
        <f>IF(HLOOKUP(Z$13,'MP (nominal)'!$D$12:$AM$244,ROW()-12,FALSE)="","",HLOOKUP(Z$13,'MP (nominal)'!$D$12:$AM$244,ROW()-12,FALSE)*VLOOKUP($C121,CPI!$B$9:$I$63,8))</f>
        <v/>
      </c>
      <c r="AA121" s="281" t="str">
        <f>IF(HLOOKUP(AA$13,'MP (nominal)'!$D$12:$AM$244,ROW()-12,FALSE)="","",HLOOKUP(AA$13,'MP (nominal)'!$D$12:$AM$244,ROW()-12,FALSE))</f>
        <v/>
      </c>
      <c r="AB121" s="281" t="str">
        <f>IF(HLOOKUP(AB$13,'MP (nominal)'!$D$12:$AM$244,ROW()-12,FALSE)="","",HLOOKUP(AB$13,'MP (nominal)'!$D$12:$AM$244,ROW()-12,FALSE))</f>
        <v/>
      </c>
      <c r="AC121" s="281"/>
      <c r="AD121" s="281" t="str">
        <f>IF(HLOOKUP(AD$13,'MP (nominal)'!$D$12:$AM$244,ROW()-12,FALSE)="","",HLOOKUP(AD$13,'MP (nominal)'!$D$12:$AM$244,ROW()-12,FALSE)*VLOOKUP($C121,CPI!$B$9:$I$63,8))</f>
        <v/>
      </c>
      <c r="AE121" s="31" t="str">
        <f>IF(HLOOKUP(AE$13,'MP (nominal)'!$D$12:$AM$244,ROW()-12,FALSE)="","",HLOOKUP(AE$13,'MP (nominal)'!$D$12:$AM$244,ROW()-12,FALSE))</f>
        <v/>
      </c>
      <c r="AF121" s="31" t="str">
        <f>IF(HLOOKUP(AF$13,'MP (nominal)'!$D$12:$AM$244,ROW()-12,FALSE)="","",HLOOKUP(AF$13,'MP (nominal)'!$D$12:$AM$244,ROW()-12,FALSE))</f>
        <v/>
      </c>
      <c r="AG121" s="281"/>
      <c r="AH121" s="281" t="str">
        <f>IF(HLOOKUP(AH$13,'MP (nominal)'!$D$12:$AM$244,ROW()-12,FALSE)="","",HLOOKUP(AH$13,'MP (nominal)'!$D$12:$AM$244,ROW()-12,FALSE)*VLOOKUP($C121,CPI!$B$9:$I$63,8))</f>
        <v/>
      </c>
      <c r="AI121" s="31" t="str">
        <f>IF(HLOOKUP(AI$13,'MP (nominal)'!$D$12:$AM$244,ROW()-12,FALSE)="","",HLOOKUP(AI$13,'MP (nominal)'!$D$12:$AM$244,ROW()-12,FALSE))</f>
        <v/>
      </c>
      <c r="AJ121" s="31" t="str">
        <f>IF(HLOOKUP(AJ$13,'MP (nominal)'!$D$12:$AM$244,ROW()-12,FALSE)="","",HLOOKUP(AJ$13,'MP (nominal)'!$D$12:$AM$244,ROW()-12,FALSE))</f>
        <v/>
      </c>
      <c r="AK121" s="281"/>
      <c r="AL121" s="281" t="str">
        <f>IF(HLOOKUP(AL$13,'MP (nominal)'!$D$12:$AM$244,ROW()-12,FALSE)="","",HLOOKUP(AL$13,'MP (nominal)'!$D$12:$AM$244,ROW()-12,FALSE)*VLOOKUP($C121,CPI!$B$9:$I$63,8))</f>
        <v/>
      </c>
      <c r="AM121" s="31" t="str">
        <f>IF(HLOOKUP(AM$13,'MP (nominal)'!$D$12:$AM$244,ROW()-12,FALSE)="","",HLOOKUP(AM$13,'MP (nominal)'!$D$12:$AM$244,ROW()-12,FALSE))</f>
        <v/>
      </c>
      <c r="AN121" s="31" t="str">
        <f>IF(HLOOKUP(AN$13,'MP (nominal)'!$D$12:$AM$244,ROW()-12,FALSE)="","",HLOOKUP(AN$13,'MP (nominal)'!$D$12:$AM$244,ROW()-12,FALSE))</f>
        <v/>
      </c>
      <c r="AO121" s="281"/>
      <c r="AP121" s="281" t="str">
        <f>IF(HLOOKUP(AP$13,'MP (nominal)'!$D$12:$AM$244,ROW()-12,FALSE)="","",HLOOKUP(AP$13,'MP (nominal)'!$D$12:$AM$244,ROW()-12,FALSE)*VLOOKUP($C121,CPI!$B$9:$I$63,8))</f>
        <v/>
      </c>
      <c r="AQ121" s="31" t="str">
        <f>IF(HLOOKUP(AQ$13,'MP (nominal)'!$D$12:$AM$244,ROW()-12,FALSE)="","",HLOOKUP(AQ$13,'MP (nominal)'!$D$12:$AM$244,ROW()-12,FALSE))</f>
        <v/>
      </c>
      <c r="AR121" s="281" t="str">
        <f>IF(HLOOKUP(AR$13,'MP (nominal)'!$D$12:$AM$244,ROW()-12,FALSE)="","",HLOOKUP(AR$13,'MP (nominal)'!$D$12:$AM$244,ROW()-12,FALSE))</f>
        <v/>
      </c>
    </row>
    <row r="122" spans="1:44" s="278" customFormat="1">
      <c r="A122" s="271">
        <f>References!G271</f>
        <v>304</v>
      </c>
      <c r="B122" s="292" t="s">
        <v>42</v>
      </c>
      <c r="C122" s="284">
        <v>2008</v>
      </c>
      <c r="D122" s="27">
        <f>IF(HLOOKUP(D$13,'MP (nominal)'!$D$12:$AM$244,ROW()-12,FALSE)="","",HLOOKUP(D$13,'MP (nominal)'!$D$12:$AM$244,ROW()-12,FALSE))</f>
        <v>2572.6</v>
      </c>
      <c r="E122" s="281">
        <f>IF(HLOOKUP(E$13,'MP (nominal)'!$D$12:$AM$244,ROW()-12,FALSE)="","",HLOOKUP(E$13,'MP (nominal)'!$D$12:$AM$244,ROW()-12,FALSE))</f>
        <v>0</v>
      </c>
      <c r="F122" s="27">
        <f>IF(HLOOKUP(F$13,'MP (nominal)'!$D$12:$AM$244,ROW()-12,FALSE)="","",HLOOKUP(F$13,'MP (nominal)'!$D$12:$AM$244,ROW()-12,FALSE))</f>
        <v>739.6</v>
      </c>
      <c r="G122" s="281">
        <f>IF(HLOOKUP(G$13,'MP (nominal)'!$D$12:$AM$244,ROW()-12,FALSE)="","",HLOOKUP(G$13,'MP (nominal)'!$D$12:$AM$244,ROW()-12,FALSE))</f>
        <v>0</v>
      </c>
      <c r="H122" s="27">
        <f>IF(HLOOKUP(H$13,'MP (nominal)'!$D$12:$AM$244,ROW()-12,FALSE)="","",HLOOKUP(H$13,'MP (nominal)'!$D$12:$AM$244,ROW()-12,FALSE))</f>
        <v>3312.2</v>
      </c>
      <c r="I122" s="31">
        <f>IF(HLOOKUP(I$13,'MP (nominal)'!$D$12:$AM$244,ROW()-12,FALSE)="","",HLOOKUP(I$13,'MP (nominal)'!$D$12:$AM$244,ROW()-12,FALSE))</f>
        <v>0</v>
      </c>
      <c r="J122" s="31">
        <f>IF(HLOOKUP(J$13,'MP (nominal)'!$D$12:$AM$244,ROW()-12,FALSE)="","",HLOOKUP(J$13,'MP (nominal)'!$D$12:$AM$244,ROW()-12,FALSE))</f>
        <v>2573.0819999999999</v>
      </c>
      <c r="K122" s="281"/>
      <c r="L122" s="27">
        <f>IF(HLOOKUP(L$13,'MP (nominal)'!$D$12:$AM$244,ROW()-12,FALSE)="","",HLOOKUP(L$13,'MP (nominal)'!$D$12:$AM$244,ROW()-12,FALSE))</f>
        <v>147.952</v>
      </c>
      <c r="M122" s="283">
        <f>IF(HLOOKUP(M$13,'MP (nominal)'!$D$12:$AM$244,ROW()-12,FALSE)="","",HLOOKUP(M$13,'MP (nominal)'!$D$12:$AM$244,ROW()-12,FALSE))</f>
        <v>594.24832000000004</v>
      </c>
      <c r="N122" s="35"/>
      <c r="O122" s="27">
        <f>IF(HLOOKUP(O$13,'MP (nominal)'!$D$12:$AM$244,ROW()-12,FALSE)="","",HLOOKUP(O$13,'MP (nominal)'!$D$12:$AM$244,ROW()-12,FALSE))</f>
        <v>35416</v>
      </c>
      <c r="P122" s="31"/>
      <c r="Q122" s="281"/>
      <c r="R122" s="281">
        <f>IF(HLOOKUP(R$13,'MP (nominal)'!$D$12:$AM$244,ROW()-12,FALSE)="","",HLOOKUP(R$13,'MP (nominal)'!$D$12:$AM$244,ROW()-12,FALSE))</f>
        <v>172</v>
      </c>
      <c r="S122" s="281">
        <f>IF(HLOOKUP(S$13,'MP (nominal)'!$D$12:$AM$244,ROW()-12,FALSE)="","",HLOOKUP(S$13,'MP (nominal)'!$D$12:$AM$244,ROW()-12,FALSE))</f>
        <v>45.85</v>
      </c>
      <c r="T122" s="281">
        <f>IF(HLOOKUP(T$13,'MP (nominal)'!$D$12:$AM$244,ROW()-12,FALSE)="","",HLOOKUP(T$13,'MP (nominal)'!$D$12:$AM$244,ROW()-12,FALSE))</f>
        <v>111.69</v>
      </c>
      <c r="U122" s="281"/>
      <c r="V122" s="281">
        <f>IF(HLOOKUP(V$13,'MP (nominal)'!$D$12:$AM$244,ROW()-12,FALSE)="","",HLOOKUP(V$13,'MP (nominal)'!$D$12:$AM$244,ROW()-12,FALSE))</f>
        <v>1.63</v>
      </c>
      <c r="W122" s="281">
        <f>IF(HLOOKUP(W$13,'MP (nominal)'!$D$12:$AM$244,ROW()-12,FALSE)="","",HLOOKUP(W$13,'MP (nominal)'!$D$12:$AM$244,ROW()-12,FALSE))</f>
        <v>0.2</v>
      </c>
      <c r="X122" s="281">
        <f>IF(HLOOKUP(X$13,'MP (nominal)'!$D$12:$AM$244,ROW()-12,FALSE)="","",HLOOKUP(X$13,'MP (nominal)'!$D$12:$AM$244,ROW()-12,FALSE))</f>
        <v>1.33</v>
      </c>
      <c r="Y122" s="281"/>
      <c r="Z122" s="281">
        <f>IF(HLOOKUP(Z$13,'MP (nominal)'!$D$12:$AM$244,ROW()-12,FALSE)="","",HLOOKUP(Z$13,'MP (nominal)'!$D$12:$AM$244,ROW()-12,FALSE)*VLOOKUP($C122,CPI!$B$9:$I$63,8))</f>
        <v>17045.197782783496</v>
      </c>
      <c r="AA122" s="281">
        <f>IF(HLOOKUP(AA$13,'MP (nominal)'!$D$12:$AM$244,ROW()-12,FALSE)="","",HLOOKUP(AA$13,'MP (nominal)'!$D$12:$AM$244,ROW()-12,FALSE))</f>
        <v>243717.6</v>
      </c>
      <c r="AB122" s="281">
        <f>IF(HLOOKUP(AB$13,'MP (nominal)'!$D$12:$AM$244,ROW()-12,FALSE)="","",HLOOKUP(AB$13,'MP (nominal)'!$D$12:$AM$244,ROW()-12,FALSE))</f>
        <v>33524</v>
      </c>
      <c r="AC122" s="281"/>
      <c r="AD122" s="281">
        <f>IF(HLOOKUP(AD$13,'MP (nominal)'!$D$12:$AM$244,ROW()-12,FALSE)="","",HLOOKUP(AD$13,'MP (nominal)'!$D$12:$AM$244,ROW()-12,FALSE)*VLOOKUP($C122,CPI!$B$9:$I$63,8))</f>
        <v>4616.4058641327583</v>
      </c>
      <c r="AE122" s="31">
        <f>IF(HLOOKUP(AE$13,'MP (nominal)'!$D$12:$AM$244,ROW()-12,FALSE)="","",HLOOKUP(AE$13,'MP (nominal)'!$D$12:$AM$244,ROW()-12,FALSE))</f>
        <v>53223.398000000001</v>
      </c>
      <c r="AF122" s="31">
        <f>IF(HLOOKUP(AF$13,'MP (nominal)'!$D$12:$AM$244,ROW()-12,FALSE)="","",HLOOKUP(AF$13,'MP (nominal)'!$D$12:$AM$244,ROW()-12,FALSE))</f>
        <v>1505</v>
      </c>
      <c r="AG122" s="281"/>
      <c r="AH122" s="281">
        <f>IF(HLOOKUP(AH$13,'MP (nominal)'!$D$12:$AM$244,ROW()-12,FALSE)="","",HLOOKUP(AH$13,'MP (nominal)'!$D$12:$AM$244,ROW()-12,FALSE)*VLOOKUP($C122,CPI!$B$9:$I$63,8))</f>
        <v>7022.3432421658918</v>
      </c>
      <c r="AI122" s="31">
        <f>IF(HLOOKUP(AI$13,'MP (nominal)'!$D$12:$AM$244,ROW()-12,FALSE)="","",HLOOKUP(AI$13,'MP (nominal)'!$D$12:$AM$244,ROW()-12,FALSE))</f>
        <v>129099.42</v>
      </c>
      <c r="AJ122" s="31">
        <f>IF(HLOOKUP(AJ$13,'MP (nominal)'!$D$12:$AM$244,ROW()-12,FALSE)="","",HLOOKUP(AJ$13,'MP (nominal)'!$D$12:$AM$244,ROW()-12,FALSE))</f>
        <v>382</v>
      </c>
      <c r="AK122" s="281"/>
      <c r="AL122" s="281">
        <f>IF(HLOOKUP(AL$13,'MP (nominal)'!$D$12:$AM$244,ROW()-12,FALSE)="","",HLOOKUP(AL$13,'MP (nominal)'!$D$12:$AM$244,ROW()-12,FALSE)*VLOOKUP($C122,CPI!$B$9:$I$63,8))</f>
        <v>2494.3951619001455</v>
      </c>
      <c r="AM122" s="31">
        <f>IF(HLOOKUP(AM$13,'MP (nominal)'!$D$12:$AM$244,ROW()-12,FALSE)="","",HLOOKUP(AM$13,'MP (nominal)'!$D$12:$AM$244,ROW()-12,FALSE))</f>
        <v>168207.9</v>
      </c>
      <c r="AN122" s="31">
        <f>IF(HLOOKUP(AN$13,'MP (nominal)'!$D$12:$AM$244,ROW()-12,FALSE)="","",HLOOKUP(AN$13,'MP (nominal)'!$D$12:$AM$244,ROW()-12,FALSE))</f>
        <v>5</v>
      </c>
      <c r="AO122" s="281"/>
      <c r="AP122" s="281">
        <f>IF(HLOOKUP(AP$13,'MP (nominal)'!$D$12:$AM$244,ROW()-12,FALSE)="","",HLOOKUP(AP$13,'MP (nominal)'!$D$12:$AM$244,ROW()-12,FALSE)*VLOOKUP($C122,CPI!$B$9:$I$63,8))</f>
        <v>31178.34205098229</v>
      </c>
      <c r="AQ122" s="31">
        <f>IF(HLOOKUP(AQ$13,'MP (nominal)'!$D$12:$AM$244,ROW()-12,FALSE)="","",HLOOKUP(AQ$13,'MP (nominal)'!$D$12:$AM$244,ROW()-12,FALSE))</f>
        <v>594248.31999999995</v>
      </c>
      <c r="AR122" s="281">
        <f>IF(HLOOKUP(AR$13,'MP (nominal)'!$D$12:$AM$244,ROW()-12,FALSE)="","",HLOOKUP(AR$13,'MP (nominal)'!$D$12:$AM$244,ROW()-12,FALSE))</f>
        <v>35416</v>
      </c>
    </row>
    <row r="123" spans="1:44" s="278" customFormat="1">
      <c r="A123" s="271">
        <f>References!H271</f>
        <v>305</v>
      </c>
      <c r="B123" s="292" t="s">
        <v>42</v>
      </c>
      <c r="C123" s="284">
        <v>2009</v>
      </c>
      <c r="D123" s="27">
        <f>IF(HLOOKUP(D$13,'MP (nominal)'!$D$12:$AM$244,ROW()-12,FALSE)="","",HLOOKUP(D$13,'MP (nominal)'!$D$12:$AM$244,ROW()-12,FALSE))</f>
        <v>2568.1</v>
      </c>
      <c r="E123" s="281">
        <f>IF(HLOOKUP(E$13,'MP (nominal)'!$D$12:$AM$244,ROW()-12,FALSE)="","",HLOOKUP(E$13,'MP (nominal)'!$D$12:$AM$244,ROW()-12,FALSE))</f>
        <v>0</v>
      </c>
      <c r="F123" s="27">
        <f>IF(HLOOKUP(F$13,'MP (nominal)'!$D$12:$AM$244,ROW()-12,FALSE)="","",HLOOKUP(F$13,'MP (nominal)'!$D$12:$AM$244,ROW()-12,FALSE))</f>
        <v>762</v>
      </c>
      <c r="G123" s="281">
        <f>IF(HLOOKUP(G$13,'MP (nominal)'!$D$12:$AM$244,ROW()-12,FALSE)="","",HLOOKUP(G$13,'MP (nominal)'!$D$12:$AM$244,ROW()-12,FALSE))</f>
        <v>0</v>
      </c>
      <c r="H123" s="27">
        <f>IF(HLOOKUP(H$13,'MP (nominal)'!$D$12:$AM$244,ROW()-12,FALSE)="","",HLOOKUP(H$13,'MP (nominal)'!$D$12:$AM$244,ROW()-12,FALSE))</f>
        <v>3330.1</v>
      </c>
      <c r="I123" s="31">
        <f>IF(HLOOKUP(I$13,'MP (nominal)'!$D$12:$AM$244,ROW()-12,FALSE)="","",HLOOKUP(I$13,'MP (nominal)'!$D$12:$AM$244,ROW()-12,FALSE))</f>
        <v>0</v>
      </c>
      <c r="J123" s="31">
        <f>IF(HLOOKUP(J$13,'MP (nominal)'!$D$12:$AM$244,ROW()-12,FALSE)="","",HLOOKUP(J$13,'MP (nominal)'!$D$12:$AM$244,ROW()-12,FALSE))</f>
        <v>2569</v>
      </c>
      <c r="K123" s="281"/>
      <c r="L123" s="27">
        <f>IF(HLOOKUP(L$13,'MP (nominal)'!$D$12:$AM$244,ROW()-12,FALSE)="","",HLOOKUP(L$13,'MP (nominal)'!$D$12:$AM$244,ROW()-12,FALSE))</f>
        <v>148.4</v>
      </c>
      <c r="M123" s="283">
        <f>IF(HLOOKUP(M$13,'MP (nominal)'!$D$12:$AM$244,ROW()-12,FALSE)="","",HLOOKUP(M$13,'MP (nominal)'!$D$12:$AM$244,ROW()-12,FALSE))</f>
        <v>575.23339999999996</v>
      </c>
      <c r="N123" s="35"/>
      <c r="O123" s="27">
        <f>IF(HLOOKUP(O$13,'MP (nominal)'!$D$12:$AM$244,ROW()-12,FALSE)="","",HLOOKUP(O$13,'MP (nominal)'!$D$12:$AM$244,ROW()-12,FALSE))</f>
        <v>35829</v>
      </c>
      <c r="P123" s="31"/>
      <c r="Q123" s="281"/>
      <c r="R123" s="281">
        <f>IF(HLOOKUP(R$13,'MP (nominal)'!$D$12:$AM$244,ROW()-12,FALSE)="","",HLOOKUP(R$13,'MP (nominal)'!$D$12:$AM$244,ROW()-12,FALSE))</f>
        <v>342.31</v>
      </c>
      <c r="S123" s="281">
        <f>IF(HLOOKUP(S$13,'MP (nominal)'!$D$12:$AM$244,ROW()-12,FALSE)="","",HLOOKUP(S$13,'MP (nominal)'!$D$12:$AM$244,ROW()-12,FALSE))</f>
        <v>30.41</v>
      </c>
      <c r="T123" s="281">
        <f>IF(HLOOKUP(T$13,'MP (nominal)'!$D$12:$AM$244,ROW()-12,FALSE)="","",HLOOKUP(T$13,'MP (nominal)'!$D$12:$AM$244,ROW()-12,FALSE))</f>
        <v>214.62</v>
      </c>
      <c r="U123" s="281"/>
      <c r="V123" s="281">
        <f>IF(HLOOKUP(V$13,'MP (nominal)'!$D$12:$AM$244,ROW()-12,FALSE)="","",HLOOKUP(V$13,'MP (nominal)'!$D$12:$AM$244,ROW()-12,FALSE))</f>
        <v>2.33</v>
      </c>
      <c r="W123" s="281">
        <f>IF(HLOOKUP(W$13,'MP (nominal)'!$D$12:$AM$244,ROW()-12,FALSE)="","",HLOOKUP(W$13,'MP (nominal)'!$D$12:$AM$244,ROW()-12,FALSE))</f>
        <v>0.13</v>
      </c>
      <c r="X123" s="281">
        <f>IF(HLOOKUP(X$13,'MP (nominal)'!$D$12:$AM$244,ROW()-12,FALSE)="","",HLOOKUP(X$13,'MP (nominal)'!$D$12:$AM$244,ROW()-12,FALSE))</f>
        <v>1.53</v>
      </c>
      <c r="Y123" s="281"/>
      <c r="Z123" s="281">
        <f>IF(HLOOKUP(Z$13,'MP (nominal)'!$D$12:$AM$244,ROW()-12,FALSE)="","",HLOOKUP(Z$13,'MP (nominal)'!$D$12:$AM$244,ROW()-12,FALSE)*VLOOKUP($C123,CPI!$B$9:$I$63,8))</f>
        <v>17934.859087102745</v>
      </c>
      <c r="AA123" s="281">
        <f>IF(HLOOKUP(AA$13,'MP (nominal)'!$D$12:$AM$244,ROW()-12,FALSE)="","",HLOOKUP(AA$13,'MP (nominal)'!$D$12:$AM$244,ROW()-12,FALSE))</f>
        <v>245311.35999999999</v>
      </c>
      <c r="AB123" s="281">
        <f>IF(HLOOKUP(AB$13,'MP (nominal)'!$D$12:$AM$244,ROW()-12,FALSE)="","",HLOOKUP(AB$13,'MP (nominal)'!$D$12:$AM$244,ROW()-12,FALSE))</f>
        <v>33913</v>
      </c>
      <c r="AC123" s="281"/>
      <c r="AD123" s="281">
        <f>IF(HLOOKUP(AD$13,'MP (nominal)'!$D$12:$AM$244,ROW()-12,FALSE)="","",HLOOKUP(AD$13,'MP (nominal)'!$D$12:$AM$244,ROW()-12,FALSE)*VLOOKUP($C123,CPI!$B$9:$I$63,8))</f>
        <v>4662.7714504495834</v>
      </c>
      <c r="AE123" s="31">
        <f>IF(HLOOKUP(AE$13,'MP (nominal)'!$D$12:$AM$244,ROW()-12,FALSE)="","",HLOOKUP(AE$13,'MP (nominal)'!$D$12:$AM$244,ROW()-12,FALSE))</f>
        <v>52196.281999999999</v>
      </c>
      <c r="AF123" s="31">
        <f>IF(HLOOKUP(AF$13,'MP (nominal)'!$D$12:$AM$244,ROW()-12,FALSE)="","",HLOOKUP(AF$13,'MP (nominal)'!$D$12:$AM$244,ROW()-12,FALSE))</f>
        <v>1520</v>
      </c>
      <c r="AG123" s="281"/>
      <c r="AH123" s="281">
        <f>IF(HLOOKUP(AH$13,'MP (nominal)'!$D$12:$AM$244,ROW()-12,FALSE)="","",HLOOKUP(AH$13,'MP (nominal)'!$D$12:$AM$244,ROW()-12,FALSE)*VLOOKUP($C123,CPI!$B$9:$I$63,8))</f>
        <v>7260.1189805751919</v>
      </c>
      <c r="AI123" s="31">
        <f>IF(HLOOKUP(AI$13,'MP (nominal)'!$D$12:$AM$244,ROW()-12,FALSE)="","",HLOOKUP(AI$13,'MP (nominal)'!$D$12:$AM$244,ROW()-12,FALSE))</f>
        <v>125517.27</v>
      </c>
      <c r="AJ123" s="31">
        <f>IF(HLOOKUP(AJ$13,'MP (nominal)'!$D$12:$AM$244,ROW()-12,FALSE)="","",HLOOKUP(AJ$13,'MP (nominal)'!$D$12:$AM$244,ROW()-12,FALSE))</f>
        <v>391</v>
      </c>
      <c r="AK123" s="281"/>
      <c r="AL123" s="281">
        <f>IF(HLOOKUP(AL$13,'MP (nominal)'!$D$12:$AM$244,ROW()-12,FALSE)="","",HLOOKUP(AL$13,'MP (nominal)'!$D$12:$AM$244,ROW()-12,FALSE)*VLOOKUP($C123,CPI!$B$9:$I$63,8))</f>
        <v>2396.8977982565711</v>
      </c>
      <c r="AM123" s="31">
        <f>IF(HLOOKUP(AM$13,'MP (nominal)'!$D$12:$AM$244,ROW()-12,FALSE)="","",HLOOKUP(AM$13,'MP (nominal)'!$D$12:$AM$244,ROW()-12,FALSE))</f>
        <v>152208.49</v>
      </c>
      <c r="AN123" s="31">
        <f>IF(HLOOKUP(AN$13,'MP (nominal)'!$D$12:$AM$244,ROW()-12,FALSE)="","",HLOOKUP(AN$13,'MP (nominal)'!$D$12:$AM$244,ROW()-12,FALSE))</f>
        <v>5</v>
      </c>
      <c r="AO123" s="281"/>
      <c r="AP123" s="281">
        <f>IF(HLOOKUP(AP$13,'MP (nominal)'!$D$12:$AM$244,ROW()-12,FALSE)="","",HLOOKUP(AP$13,'MP (nominal)'!$D$12:$AM$244,ROW()-12,FALSE)*VLOOKUP($C123,CPI!$B$9:$I$63,8))</f>
        <v>32254.648250669219</v>
      </c>
      <c r="AQ123" s="31">
        <f>IF(HLOOKUP(AQ$13,'MP (nominal)'!$D$12:$AM$244,ROW()-12,FALSE)="","",HLOOKUP(AQ$13,'MP (nominal)'!$D$12:$AM$244,ROW()-12,FALSE))</f>
        <v>575233.4</v>
      </c>
      <c r="AR123" s="281">
        <f>IF(HLOOKUP(AR$13,'MP (nominal)'!$D$12:$AM$244,ROW()-12,FALSE)="","",HLOOKUP(AR$13,'MP (nominal)'!$D$12:$AM$244,ROW()-12,FALSE))</f>
        <v>35829</v>
      </c>
    </row>
    <row r="124" spans="1:44" s="278" customFormat="1">
      <c r="A124" s="271">
        <f>References!I271</f>
        <v>306</v>
      </c>
      <c r="B124" s="292" t="s">
        <v>42</v>
      </c>
      <c r="C124" s="284">
        <v>2010</v>
      </c>
      <c r="D124" s="27">
        <f>IF(HLOOKUP(D$13,'MP (nominal)'!$D$12:$AM$244,ROW()-12,FALSE)="","",HLOOKUP(D$13,'MP (nominal)'!$D$12:$AM$244,ROW()-12,FALSE))</f>
        <v>2563.1999999999998</v>
      </c>
      <c r="E124" s="281">
        <f>IF(HLOOKUP(E$13,'MP (nominal)'!$D$12:$AM$244,ROW()-12,FALSE)="","",HLOOKUP(E$13,'MP (nominal)'!$D$12:$AM$244,ROW()-12,FALSE))</f>
        <v>0</v>
      </c>
      <c r="F124" s="27">
        <f>IF(HLOOKUP(F$13,'MP (nominal)'!$D$12:$AM$244,ROW()-12,FALSE)="","",HLOOKUP(F$13,'MP (nominal)'!$D$12:$AM$244,ROW()-12,FALSE))</f>
        <v>784.52</v>
      </c>
      <c r="G124" s="281">
        <f>IF(HLOOKUP(G$13,'MP (nominal)'!$D$12:$AM$244,ROW()-12,FALSE)="","",HLOOKUP(G$13,'MP (nominal)'!$D$12:$AM$244,ROW()-12,FALSE))</f>
        <v>0</v>
      </c>
      <c r="H124" s="27">
        <f>IF(HLOOKUP(H$13,'MP (nominal)'!$D$12:$AM$244,ROW()-12,FALSE)="","",HLOOKUP(H$13,'MP (nominal)'!$D$12:$AM$244,ROW()-12,FALSE))</f>
        <v>3347.72</v>
      </c>
      <c r="I124" s="31">
        <f>IF(HLOOKUP(I$13,'MP (nominal)'!$D$12:$AM$244,ROW()-12,FALSE)="","",HLOOKUP(I$13,'MP (nominal)'!$D$12:$AM$244,ROW()-12,FALSE))</f>
        <v>0</v>
      </c>
      <c r="J124" s="31">
        <f>IF(HLOOKUP(J$13,'MP (nominal)'!$D$12:$AM$244,ROW()-12,FALSE)="","",HLOOKUP(J$13,'MP (nominal)'!$D$12:$AM$244,ROW()-12,FALSE))</f>
        <v>2562.6</v>
      </c>
      <c r="K124" s="281"/>
      <c r="L124" s="27">
        <f>IF(HLOOKUP(L$13,'MP (nominal)'!$D$12:$AM$244,ROW()-12,FALSE)="","",HLOOKUP(L$13,'MP (nominal)'!$D$12:$AM$244,ROW()-12,FALSE))</f>
        <v>146.197</v>
      </c>
      <c r="M124" s="283">
        <f>IF(HLOOKUP(M$13,'MP (nominal)'!$D$12:$AM$244,ROW()-12,FALSE)="","",HLOOKUP(M$13,'MP (nominal)'!$D$12:$AM$244,ROW()-12,FALSE))</f>
        <v>579</v>
      </c>
      <c r="N124" s="35"/>
      <c r="O124" s="27">
        <f>IF(HLOOKUP(O$13,'MP (nominal)'!$D$12:$AM$244,ROW()-12,FALSE)="","",HLOOKUP(O$13,'MP (nominal)'!$D$12:$AM$244,ROW()-12,FALSE))</f>
        <v>36219</v>
      </c>
      <c r="P124" s="31"/>
      <c r="Q124" s="281"/>
      <c r="R124" s="281">
        <f>IF(HLOOKUP(R$13,'MP (nominal)'!$D$12:$AM$244,ROW()-12,FALSE)="","",HLOOKUP(R$13,'MP (nominal)'!$D$12:$AM$244,ROW()-12,FALSE))</f>
        <v>226.39</v>
      </c>
      <c r="S124" s="281">
        <f>IF(HLOOKUP(S$13,'MP (nominal)'!$D$12:$AM$244,ROW()-12,FALSE)="","",HLOOKUP(S$13,'MP (nominal)'!$D$12:$AM$244,ROW()-12,FALSE))</f>
        <v>61.88</v>
      </c>
      <c r="T124" s="281">
        <f>IF(HLOOKUP(T$13,'MP (nominal)'!$D$12:$AM$244,ROW()-12,FALSE)="","",HLOOKUP(T$13,'MP (nominal)'!$D$12:$AM$244,ROW()-12,FALSE))</f>
        <v>86.42</v>
      </c>
      <c r="U124" s="281"/>
      <c r="V124" s="281">
        <f>IF(HLOOKUP(V$13,'MP (nominal)'!$D$12:$AM$244,ROW()-12,FALSE)="","",HLOOKUP(V$13,'MP (nominal)'!$D$12:$AM$244,ROW()-12,FALSE))</f>
        <v>2.5939999999999999</v>
      </c>
      <c r="W124" s="281">
        <f>IF(HLOOKUP(W$13,'MP (nominal)'!$D$12:$AM$244,ROW()-12,FALSE)="","",HLOOKUP(W$13,'MP (nominal)'!$D$12:$AM$244,ROW()-12,FALSE))</f>
        <v>0.28000000000000003</v>
      </c>
      <c r="X124" s="281">
        <f>IF(HLOOKUP(X$13,'MP (nominal)'!$D$12:$AM$244,ROW()-12,FALSE)="","",HLOOKUP(X$13,'MP (nominal)'!$D$12:$AM$244,ROW()-12,FALSE))</f>
        <v>1.48</v>
      </c>
      <c r="Y124" s="281"/>
      <c r="Z124" s="281">
        <f>IF(HLOOKUP(Z$13,'MP (nominal)'!$D$12:$AM$244,ROW()-12,FALSE)="","",HLOOKUP(Z$13,'MP (nominal)'!$D$12:$AM$244,ROW()-12,FALSE)*VLOOKUP($C124,CPI!$B$9:$I$63,8))</f>
        <v>18771.763840101314</v>
      </c>
      <c r="AA124" s="281">
        <f>IF(HLOOKUP(AA$13,'MP (nominal)'!$D$12:$AM$244,ROW()-12,FALSE)="","",HLOOKUP(AA$13,'MP (nominal)'!$D$12:$AM$244,ROW()-12,FALSE))</f>
        <v>254095</v>
      </c>
      <c r="AB124" s="281">
        <f>IF(HLOOKUP(AB$13,'MP (nominal)'!$D$12:$AM$244,ROW()-12,FALSE)="","",HLOOKUP(AB$13,'MP (nominal)'!$D$12:$AM$244,ROW()-12,FALSE))</f>
        <v>34278</v>
      </c>
      <c r="AC124" s="281"/>
      <c r="AD124" s="281">
        <f>IF(HLOOKUP(AD$13,'MP (nominal)'!$D$12:$AM$244,ROW()-12,FALSE)="","",HLOOKUP(AD$13,'MP (nominal)'!$D$12:$AM$244,ROW()-12,FALSE)*VLOOKUP($C124,CPI!$B$9:$I$63,8))</f>
        <v>4857.479869257093</v>
      </c>
      <c r="AE124" s="31">
        <f>IF(HLOOKUP(AE$13,'MP (nominal)'!$D$12:$AM$244,ROW()-12,FALSE)="","",HLOOKUP(AE$13,'MP (nominal)'!$D$12:$AM$244,ROW()-12,FALSE))</f>
        <v>53926</v>
      </c>
      <c r="AF124" s="31">
        <f>IF(HLOOKUP(AF$13,'MP (nominal)'!$D$12:$AM$244,ROW()-12,FALSE)="","",HLOOKUP(AF$13,'MP (nominal)'!$D$12:$AM$244,ROW()-12,FALSE))</f>
        <v>1542</v>
      </c>
      <c r="AG124" s="281"/>
      <c r="AH124" s="281">
        <f>IF(HLOOKUP(AH$13,'MP (nominal)'!$D$12:$AM$244,ROW()-12,FALSE)="","",HLOOKUP(AH$13,'MP (nominal)'!$D$12:$AM$244,ROW()-12,FALSE)*VLOOKUP($C124,CPI!$B$9:$I$63,8))</f>
        <v>7518.6794250491757</v>
      </c>
      <c r="AI124" s="31">
        <f>IF(HLOOKUP(AI$13,'MP (nominal)'!$D$12:$AM$244,ROW()-12,FALSE)="","",HLOOKUP(AI$13,'MP (nominal)'!$D$12:$AM$244,ROW()-12,FALSE))</f>
        <v>128237</v>
      </c>
      <c r="AJ124" s="31">
        <f>IF(HLOOKUP(AJ$13,'MP (nominal)'!$D$12:$AM$244,ROW()-12,FALSE)="","",HLOOKUP(AJ$13,'MP (nominal)'!$D$12:$AM$244,ROW()-12,FALSE))</f>
        <v>394</v>
      </c>
      <c r="AK124" s="281"/>
      <c r="AL124" s="281">
        <f>IF(HLOOKUP(AL$13,'MP (nominal)'!$D$12:$AM$244,ROW()-12,FALSE)="","",HLOOKUP(AL$13,'MP (nominal)'!$D$12:$AM$244,ROW()-12,FALSE)*VLOOKUP($C124,CPI!$B$9:$I$63,8))</f>
        <v>2466.6317471100206</v>
      </c>
      <c r="AM124" s="31">
        <f>IF(HLOOKUP(AM$13,'MP (nominal)'!$D$12:$AM$244,ROW()-12,FALSE)="","",HLOOKUP(AM$13,'MP (nominal)'!$D$12:$AM$244,ROW()-12,FALSE))</f>
        <v>142477</v>
      </c>
      <c r="AN124" s="31">
        <f>IF(HLOOKUP(AN$13,'MP (nominal)'!$D$12:$AM$244,ROW()-12,FALSE)="","",HLOOKUP(AN$13,'MP (nominal)'!$D$12:$AM$244,ROW()-12,FALSE))</f>
        <v>5</v>
      </c>
      <c r="AO124" s="281"/>
      <c r="AP124" s="281">
        <f>IF(HLOOKUP(AP$13,'MP (nominal)'!$D$12:$AM$244,ROW()-12,FALSE)="","",HLOOKUP(AP$13,'MP (nominal)'!$D$12:$AM$244,ROW()-12,FALSE)*VLOOKUP($C124,CPI!$B$9:$I$63,8))</f>
        <v>33614.555085284679</v>
      </c>
      <c r="AQ124" s="31">
        <f>IF(HLOOKUP(AQ$13,'MP (nominal)'!$D$12:$AM$244,ROW()-12,FALSE)="","",HLOOKUP(AQ$13,'MP (nominal)'!$D$12:$AM$244,ROW()-12,FALSE))</f>
        <v>578735</v>
      </c>
      <c r="AR124" s="281">
        <f>IF(HLOOKUP(AR$13,'MP (nominal)'!$D$12:$AM$244,ROW()-12,FALSE)="","",HLOOKUP(AR$13,'MP (nominal)'!$D$12:$AM$244,ROW()-12,FALSE))</f>
        <v>36219</v>
      </c>
    </row>
    <row r="125" spans="1:44" s="278" customFormat="1">
      <c r="A125" s="271">
        <f>References!J271</f>
        <v>307</v>
      </c>
      <c r="B125" s="292" t="s">
        <v>42</v>
      </c>
      <c r="C125" s="284">
        <v>2011</v>
      </c>
      <c r="D125" s="27">
        <f>IF(HLOOKUP(D$13,'MP (nominal)'!$D$12:$AM$244,ROW()-12,FALSE)="","",HLOOKUP(D$13,'MP (nominal)'!$D$12:$AM$244,ROW()-12,FALSE))</f>
        <v>2549</v>
      </c>
      <c r="E125" s="281">
        <f>IF(HLOOKUP(E$13,'MP (nominal)'!$D$12:$AM$244,ROW()-12,FALSE)="","",HLOOKUP(E$13,'MP (nominal)'!$D$12:$AM$244,ROW()-12,FALSE))</f>
        <v>0</v>
      </c>
      <c r="F125" s="27">
        <f>IF(HLOOKUP(F$13,'MP (nominal)'!$D$12:$AM$244,ROW()-12,FALSE)="","",HLOOKUP(F$13,'MP (nominal)'!$D$12:$AM$244,ROW()-12,FALSE))</f>
        <v>807</v>
      </c>
      <c r="G125" s="281">
        <f>IF(HLOOKUP(G$13,'MP (nominal)'!$D$12:$AM$244,ROW()-12,FALSE)="","",HLOOKUP(G$13,'MP (nominal)'!$D$12:$AM$244,ROW()-12,FALSE))</f>
        <v>0</v>
      </c>
      <c r="H125" s="27">
        <f>IF(HLOOKUP(H$13,'MP (nominal)'!$D$12:$AM$244,ROW()-12,FALSE)="","",HLOOKUP(H$13,'MP (nominal)'!$D$12:$AM$244,ROW()-12,FALSE))</f>
        <v>3356</v>
      </c>
      <c r="I125" s="31">
        <f>IF(HLOOKUP(I$13,'MP (nominal)'!$D$12:$AM$244,ROW()-12,FALSE)="","",HLOOKUP(I$13,'MP (nominal)'!$D$12:$AM$244,ROW()-12,FALSE))</f>
        <v>0</v>
      </c>
      <c r="J125" s="31">
        <f>IF(HLOOKUP(J$13,'MP (nominal)'!$D$12:$AM$244,ROW()-12,FALSE)="","",HLOOKUP(J$13,'MP (nominal)'!$D$12:$AM$244,ROW()-12,FALSE))</f>
        <v>2549.4</v>
      </c>
      <c r="K125" s="281"/>
      <c r="L125" s="27">
        <f>IF(HLOOKUP(L$13,'MP (nominal)'!$D$12:$AM$244,ROW()-12,FALSE)="","",HLOOKUP(L$13,'MP (nominal)'!$D$12:$AM$244,ROW()-12,FALSE))</f>
        <v>146.07594</v>
      </c>
      <c r="M125" s="283">
        <f>IF(HLOOKUP(M$13,'MP (nominal)'!$D$12:$AM$244,ROW()-12,FALSE)="","",HLOOKUP(M$13,'MP (nominal)'!$D$12:$AM$244,ROW()-12,FALSE))</f>
        <v>579.91179999999997</v>
      </c>
      <c r="N125" s="35"/>
      <c r="O125" s="27">
        <f>IF(HLOOKUP(O$13,'MP (nominal)'!$D$12:$AM$244,ROW()-12,FALSE)="","",HLOOKUP(O$13,'MP (nominal)'!$D$12:$AM$244,ROW()-12,FALSE))</f>
        <v>36679</v>
      </c>
      <c r="P125" s="31"/>
      <c r="Q125" s="281"/>
      <c r="R125" s="281">
        <f>IF(HLOOKUP(R$13,'MP (nominal)'!$D$12:$AM$244,ROW()-12,FALSE)="","",HLOOKUP(R$13,'MP (nominal)'!$D$12:$AM$244,ROW()-12,FALSE))</f>
        <v>236.57</v>
      </c>
      <c r="S125" s="281">
        <f>IF(HLOOKUP(S$13,'MP (nominal)'!$D$12:$AM$244,ROW()-12,FALSE)="","",HLOOKUP(S$13,'MP (nominal)'!$D$12:$AM$244,ROW()-12,FALSE))</f>
        <v>48.17</v>
      </c>
      <c r="T125" s="281">
        <f>IF(HLOOKUP(T$13,'MP (nominal)'!$D$12:$AM$244,ROW()-12,FALSE)="","",HLOOKUP(T$13,'MP (nominal)'!$D$12:$AM$244,ROW()-12,FALSE))</f>
        <v>129.87</v>
      </c>
      <c r="U125" s="281"/>
      <c r="V125" s="281">
        <f>IF(HLOOKUP(V$13,'MP (nominal)'!$D$12:$AM$244,ROW()-12,FALSE)="","",HLOOKUP(V$13,'MP (nominal)'!$D$12:$AM$244,ROW()-12,FALSE))</f>
        <v>1.91</v>
      </c>
      <c r="W125" s="281">
        <f>IF(HLOOKUP(W$13,'MP (nominal)'!$D$12:$AM$244,ROW()-12,FALSE)="","",HLOOKUP(W$13,'MP (nominal)'!$D$12:$AM$244,ROW()-12,FALSE))</f>
        <v>0.27</v>
      </c>
      <c r="X125" s="281">
        <f>IF(HLOOKUP(X$13,'MP (nominal)'!$D$12:$AM$244,ROW()-12,FALSE)="","",HLOOKUP(X$13,'MP (nominal)'!$D$12:$AM$244,ROW()-12,FALSE))</f>
        <v>1.37</v>
      </c>
      <c r="Y125" s="281"/>
      <c r="Z125" s="281">
        <f>IF(HLOOKUP(Z$13,'MP (nominal)'!$D$12:$AM$244,ROW()-12,FALSE)="","",HLOOKUP(Z$13,'MP (nominal)'!$D$12:$AM$244,ROW()-12,FALSE)*VLOOKUP($C125,CPI!$B$9:$I$63,8))</f>
        <v>18508.471000000001</v>
      </c>
      <c r="AA125" s="281">
        <f>IF(HLOOKUP(AA$13,'MP (nominal)'!$D$12:$AM$244,ROW()-12,FALSE)="","",HLOOKUP(AA$13,'MP (nominal)'!$D$12:$AM$244,ROW()-12,FALSE))</f>
        <v>245800.27</v>
      </c>
      <c r="AB125" s="281">
        <f>IF(HLOOKUP(AB$13,'MP (nominal)'!$D$12:$AM$244,ROW()-12,FALSE)="","",HLOOKUP(AB$13,'MP (nominal)'!$D$12:$AM$244,ROW()-12,FALSE))</f>
        <v>34700</v>
      </c>
      <c r="AC125" s="281"/>
      <c r="AD125" s="281">
        <f>IF(HLOOKUP(AD$13,'MP (nominal)'!$D$12:$AM$244,ROW()-12,FALSE)="","",HLOOKUP(AD$13,'MP (nominal)'!$D$12:$AM$244,ROW()-12,FALSE)*VLOOKUP($C125,CPI!$B$9:$I$63,8))</f>
        <v>5047.0137999999997</v>
      </c>
      <c r="AE125" s="31">
        <f>IF(HLOOKUP(AE$13,'MP (nominal)'!$D$12:$AM$244,ROW()-12,FALSE)="","",HLOOKUP(AE$13,'MP (nominal)'!$D$12:$AM$244,ROW()-12,FALSE))</f>
        <v>55517.898999999998</v>
      </c>
      <c r="AF125" s="31">
        <f>IF(HLOOKUP(AF$13,'MP (nominal)'!$D$12:$AM$244,ROW()-12,FALSE)="","",HLOOKUP(AF$13,'MP (nominal)'!$D$12:$AM$244,ROW()-12,FALSE))</f>
        <v>1571</v>
      </c>
      <c r="AG125" s="281"/>
      <c r="AH125" s="281">
        <f>IF(HLOOKUP(AH$13,'MP (nominal)'!$D$12:$AM$244,ROW()-12,FALSE)="","",HLOOKUP(AH$13,'MP (nominal)'!$D$12:$AM$244,ROW()-12,FALSE)*VLOOKUP($C125,CPI!$B$9:$I$63,8))</f>
        <v>7566.6130000000003</v>
      </c>
      <c r="AI125" s="31">
        <f>IF(HLOOKUP(AI$13,'MP (nominal)'!$D$12:$AM$244,ROW()-12,FALSE)="","",HLOOKUP(AI$13,'MP (nominal)'!$D$12:$AM$244,ROW()-12,FALSE))</f>
        <v>132804.24</v>
      </c>
      <c r="AJ125" s="31">
        <f>IF(HLOOKUP(AJ$13,'MP (nominal)'!$D$12:$AM$244,ROW()-12,FALSE)="","",HLOOKUP(AJ$13,'MP (nominal)'!$D$12:$AM$244,ROW()-12,FALSE))</f>
        <v>403</v>
      </c>
      <c r="AK125" s="281"/>
      <c r="AL125" s="281">
        <f>IF(HLOOKUP(AL$13,'MP (nominal)'!$D$12:$AM$244,ROW()-12,FALSE)="","",HLOOKUP(AL$13,'MP (nominal)'!$D$12:$AM$244,ROW()-12,FALSE)*VLOOKUP($C125,CPI!$B$9:$I$63,8))</f>
        <v>2441.4474</v>
      </c>
      <c r="AM125" s="31">
        <f>IF(HLOOKUP(AM$13,'MP (nominal)'!$D$12:$AM$244,ROW()-12,FALSE)="","",HLOOKUP(AM$13,'MP (nominal)'!$D$12:$AM$244,ROW()-12,FALSE))</f>
        <v>145789.31</v>
      </c>
      <c r="AN125" s="31">
        <f>IF(HLOOKUP(AN$13,'MP (nominal)'!$D$12:$AM$244,ROW()-12,FALSE)="","",HLOOKUP(AN$13,'MP (nominal)'!$D$12:$AM$244,ROW()-12,FALSE))</f>
        <v>5</v>
      </c>
      <c r="AO125" s="281"/>
      <c r="AP125" s="281">
        <f>IF(HLOOKUP(AP$13,'MP (nominal)'!$D$12:$AM$244,ROW()-12,FALSE)="","",HLOOKUP(AP$13,'MP (nominal)'!$D$12:$AM$244,ROW()-12,FALSE)*VLOOKUP($C125,CPI!$B$9:$I$63,8))</f>
        <v>33563.544999999998</v>
      </c>
      <c r="AQ125" s="31">
        <f>IF(HLOOKUP(AQ$13,'MP (nominal)'!$D$12:$AM$244,ROW()-12,FALSE)="","",HLOOKUP(AQ$13,'MP (nominal)'!$D$12:$AM$244,ROW()-12,FALSE))</f>
        <v>579911.72</v>
      </c>
      <c r="AR125" s="281">
        <f>IF(HLOOKUP(AR$13,'MP (nominal)'!$D$12:$AM$244,ROW()-12,FALSE)="","",HLOOKUP(AR$13,'MP (nominal)'!$D$12:$AM$244,ROW()-12,FALSE))</f>
        <v>36679</v>
      </c>
    </row>
    <row r="126" spans="1:44" s="278" customFormat="1" hidden="1">
      <c r="A126" s="271">
        <f>References!C272</f>
        <v>323</v>
      </c>
      <c r="B126" s="292" t="s">
        <v>43</v>
      </c>
      <c r="C126" s="284">
        <v>2004</v>
      </c>
      <c r="D126" s="27" t="str">
        <f>IF(HLOOKUP(D$13,'MP (nominal)'!$D$12:$AM$244,ROW()-12,FALSE)="","",HLOOKUP(D$13,'MP (nominal)'!$D$12:$AM$244,ROW()-12,FALSE))</f>
        <v/>
      </c>
      <c r="E126" s="281" t="str">
        <f>IF(HLOOKUP(E$13,'MP (nominal)'!$D$12:$AM$244,ROW()-12,FALSE)="","",HLOOKUP(E$13,'MP (nominal)'!$D$12:$AM$244,ROW()-12,FALSE))</f>
        <v/>
      </c>
      <c r="F126" s="27">
        <f>IF(HLOOKUP(F$13,'MP (nominal)'!$D$12:$AM$244,ROW()-12,FALSE)="","",HLOOKUP(F$13,'MP (nominal)'!$D$12:$AM$244,ROW()-12,FALSE))</f>
        <v>64.61</v>
      </c>
      <c r="G126" s="281" t="str">
        <f>IF(HLOOKUP(G$13,'MP (nominal)'!$D$12:$AM$244,ROW()-12,FALSE)="","",HLOOKUP(G$13,'MP (nominal)'!$D$12:$AM$244,ROW()-12,FALSE))</f>
        <v/>
      </c>
      <c r="H126" s="27">
        <f>IF(HLOOKUP(H$13,'MP (nominal)'!$D$12:$AM$244,ROW()-12,FALSE)="","",HLOOKUP(H$13,'MP (nominal)'!$D$12:$AM$244,ROW()-12,FALSE))</f>
        <v>1933.33</v>
      </c>
      <c r="I126" s="31" t="str">
        <f>IF(HLOOKUP(I$13,'MP (nominal)'!$D$12:$AM$244,ROW()-12,FALSE)="","",HLOOKUP(I$13,'MP (nominal)'!$D$12:$AM$244,ROW()-12,FALSE))</f>
        <v/>
      </c>
      <c r="J126" s="31">
        <f>IF(HLOOKUP(J$13,'MP (nominal)'!$D$12:$AM$244,ROW()-12,FALSE)="","",HLOOKUP(J$13,'MP (nominal)'!$D$12:$AM$244,ROW()-12,FALSE))</f>
        <v>1868.71</v>
      </c>
      <c r="K126" s="281"/>
      <c r="L126" s="27">
        <f>IF(HLOOKUP(L$13,'MP (nominal)'!$D$12:$AM$244,ROW()-12,FALSE)="","",HLOOKUP(L$13,'MP (nominal)'!$D$12:$AM$244,ROW()-12,FALSE))</f>
        <v>36.21</v>
      </c>
      <c r="M126" s="293">
        <f>IF(HLOOKUP(M$13,'MP (nominal)'!$D$12:$AM$244,ROW()-12,FALSE)="","",HLOOKUP(M$13,'MP (nominal)'!$D$12:$AM$244,ROW()-12,FALSE))</f>
        <v>183.27153300000001</v>
      </c>
      <c r="N126" s="35"/>
      <c r="O126" s="27">
        <f>IF(HLOOKUP(O$13,'MP (nominal)'!$D$12:$AM$244,ROW()-12,FALSE)="","",HLOOKUP(O$13,'MP (nominal)'!$D$12:$AM$244,ROW()-12,FALSE))</f>
        <v>11491</v>
      </c>
      <c r="P126" s="31"/>
      <c r="Q126" s="281"/>
      <c r="R126" s="281">
        <f>IF(HLOOKUP(R$13,'MP (nominal)'!$D$12:$AM$244,ROW()-12,FALSE)="","",HLOOKUP(R$13,'MP (nominal)'!$D$12:$AM$244,ROW()-12,FALSE))</f>
        <v>187</v>
      </c>
      <c r="S126" s="281" t="str">
        <f>IF(HLOOKUP(S$13,'MP (nominal)'!$D$12:$AM$244,ROW()-12,FALSE)="","",HLOOKUP(S$13,'MP (nominal)'!$D$12:$AM$244,ROW()-12,FALSE))</f>
        <v/>
      </c>
      <c r="T126" s="281" t="str">
        <f>IF(HLOOKUP(T$13,'MP (nominal)'!$D$12:$AM$244,ROW()-12,FALSE)="","",HLOOKUP(T$13,'MP (nominal)'!$D$12:$AM$244,ROW()-12,FALSE))</f>
        <v/>
      </c>
      <c r="U126" s="281"/>
      <c r="V126" s="281">
        <f>IF(HLOOKUP(V$13,'MP (nominal)'!$D$12:$AM$244,ROW()-12,FALSE)="","",HLOOKUP(V$13,'MP (nominal)'!$D$12:$AM$244,ROW()-12,FALSE))</f>
        <v>1.65</v>
      </c>
      <c r="W126" s="281" t="str">
        <f>IF(HLOOKUP(W$13,'MP (nominal)'!$D$12:$AM$244,ROW()-12,FALSE)="","",HLOOKUP(W$13,'MP (nominal)'!$D$12:$AM$244,ROW()-12,FALSE))</f>
        <v/>
      </c>
      <c r="X126" s="281" t="str">
        <f>IF(HLOOKUP(X$13,'MP (nominal)'!$D$12:$AM$244,ROW()-12,FALSE)="","",HLOOKUP(X$13,'MP (nominal)'!$D$12:$AM$244,ROW()-12,FALSE))</f>
        <v/>
      </c>
      <c r="Y126" s="281"/>
      <c r="Z126" s="281" t="str">
        <f>IF(HLOOKUP(Z$13,'MP (nominal)'!$D$12:$AM$244,ROW()-12,FALSE)="","",HLOOKUP(Z$13,'MP (nominal)'!$D$12:$AM$244,ROW()-12,FALSE)*VLOOKUP($C126,CPI!$B$9:$I$63,8))</f>
        <v/>
      </c>
      <c r="AA126" s="281" t="str">
        <f>IF(HLOOKUP(AA$13,'MP (nominal)'!$D$12:$AM$244,ROW()-12,FALSE)="","",HLOOKUP(AA$13,'MP (nominal)'!$D$12:$AM$244,ROW()-12,FALSE))</f>
        <v/>
      </c>
      <c r="AB126" s="281" t="str">
        <f>IF(HLOOKUP(AB$13,'MP (nominal)'!$D$12:$AM$244,ROW()-12,FALSE)="","",HLOOKUP(AB$13,'MP (nominal)'!$D$12:$AM$244,ROW()-12,FALSE))</f>
        <v/>
      </c>
      <c r="AC126" s="281"/>
      <c r="AD126" s="281" t="str">
        <f>IF(HLOOKUP(AD$13,'MP (nominal)'!$D$12:$AM$244,ROW()-12,FALSE)="","",HLOOKUP(AD$13,'MP (nominal)'!$D$12:$AM$244,ROW()-12,FALSE)*VLOOKUP($C126,CPI!$B$9:$I$63,8))</f>
        <v/>
      </c>
      <c r="AE126" s="31" t="str">
        <f>IF(HLOOKUP(AE$13,'MP (nominal)'!$D$12:$AM$244,ROW()-12,FALSE)="","",HLOOKUP(AE$13,'MP (nominal)'!$D$12:$AM$244,ROW()-12,FALSE))</f>
        <v/>
      </c>
      <c r="AF126" s="31" t="str">
        <f>IF(HLOOKUP(AF$13,'MP (nominal)'!$D$12:$AM$244,ROW()-12,FALSE)="","",HLOOKUP(AF$13,'MP (nominal)'!$D$12:$AM$244,ROW()-12,FALSE))</f>
        <v/>
      </c>
      <c r="AG126" s="281"/>
      <c r="AH126" s="281" t="str">
        <f>IF(HLOOKUP(AH$13,'MP (nominal)'!$D$12:$AM$244,ROW()-12,FALSE)="","",HLOOKUP(AH$13,'MP (nominal)'!$D$12:$AM$244,ROW()-12,FALSE)*VLOOKUP($C126,CPI!$B$9:$I$63,8))</f>
        <v/>
      </c>
      <c r="AI126" s="31" t="str">
        <f>IF(HLOOKUP(AI$13,'MP (nominal)'!$D$12:$AM$244,ROW()-12,FALSE)="","",HLOOKUP(AI$13,'MP (nominal)'!$D$12:$AM$244,ROW()-12,FALSE))</f>
        <v/>
      </c>
      <c r="AJ126" s="31" t="str">
        <f>IF(HLOOKUP(AJ$13,'MP (nominal)'!$D$12:$AM$244,ROW()-12,FALSE)="","",HLOOKUP(AJ$13,'MP (nominal)'!$D$12:$AM$244,ROW()-12,FALSE))</f>
        <v/>
      </c>
      <c r="AK126" s="281"/>
      <c r="AL126" s="281" t="str">
        <f>IF(HLOOKUP(AL$13,'MP (nominal)'!$D$12:$AM$244,ROW()-12,FALSE)="","",HLOOKUP(AL$13,'MP (nominal)'!$D$12:$AM$244,ROW()-12,FALSE)*VLOOKUP($C126,CPI!$B$9:$I$63,8))</f>
        <v/>
      </c>
      <c r="AM126" s="31" t="str">
        <f>IF(HLOOKUP(AM$13,'MP (nominal)'!$D$12:$AM$244,ROW()-12,FALSE)="","",HLOOKUP(AM$13,'MP (nominal)'!$D$12:$AM$244,ROW()-12,FALSE))</f>
        <v/>
      </c>
      <c r="AN126" s="31" t="str">
        <f>IF(HLOOKUP(AN$13,'MP (nominal)'!$D$12:$AM$244,ROW()-12,FALSE)="","",HLOOKUP(AN$13,'MP (nominal)'!$D$12:$AM$244,ROW()-12,FALSE))</f>
        <v/>
      </c>
      <c r="AO126" s="281"/>
      <c r="AP126" s="281" t="str">
        <f>IF(HLOOKUP(AP$13,'MP (nominal)'!$D$12:$AM$244,ROW()-12,FALSE)="","",HLOOKUP(AP$13,'MP (nominal)'!$D$12:$AM$244,ROW()-12,FALSE)*VLOOKUP($C126,CPI!$B$9:$I$63,8))</f>
        <v/>
      </c>
      <c r="AQ126" s="31" t="str">
        <f>IF(HLOOKUP(AQ$13,'MP (nominal)'!$D$12:$AM$244,ROW()-12,FALSE)="","",HLOOKUP(AQ$13,'MP (nominal)'!$D$12:$AM$244,ROW()-12,FALSE))</f>
        <v/>
      </c>
      <c r="AR126" s="281" t="str">
        <f>IF(HLOOKUP(AR$13,'MP (nominal)'!$D$12:$AM$244,ROW()-12,FALSE)="","",HLOOKUP(AR$13,'MP (nominal)'!$D$12:$AM$244,ROW()-12,FALSE))</f>
        <v/>
      </c>
    </row>
    <row r="127" spans="1:44" s="278" customFormat="1" hidden="1">
      <c r="A127" s="271">
        <f>References!D272</f>
        <v>324</v>
      </c>
      <c r="B127" s="292" t="s">
        <v>43</v>
      </c>
      <c r="C127" s="284">
        <v>2005</v>
      </c>
      <c r="D127" s="27" t="str">
        <f>IF(HLOOKUP(D$13,'MP (nominal)'!$D$12:$AM$244,ROW()-12,FALSE)="","",HLOOKUP(D$13,'MP (nominal)'!$D$12:$AM$244,ROW()-12,FALSE))</f>
        <v/>
      </c>
      <c r="E127" s="281" t="str">
        <f>IF(HLOOKUP(E$13,'MP (nominal)'!$D$12:$AM$244,ROW()-12,FALSE)="","",HLOOKUP(E$13,'MP (nominal)'!$D$12:$AM$244,ROW()-12,FALSE))</f>
        <v/>
      </c>
      <c r="F127" s="27">
        <f>IF(HLOOKUP(F$13,'MP (nominal)'!$D$12:$AM$244,ROW()-12,FALSE)="","",HLOOKUP(F$13,'MP (nominal)'!$D$12:$AM$244,ROW()-12,FALSE))</f>
        <v>67.14</v>
      </c>
      <c r="G127" s="281" t="str">
        <f>IF(HLOOKUP(G$13,'MP (nominal)'!$D$12:$AM$244,ROW()-12,FALSE)="","",HLOOKUP(G$13,'MP (nominal)'!$D$12:$AM$244,ROW()-12,FALSE))</f>
        <v/>
      </c>
      <c r="H127" s="27">
        <f>IF(HLOOKUP(H$13,'MP (nominal)'!$D$12:$AM$244,ROW()-12,FALSE)="","",HLOOKUP(H$13,'MP (nominal)'!$D$12:$AM$244,ROW()-12,FALSE))</f>
        <v>1940.57</v>
      </c>
      <c r="I127" s="31" t="str">
        <f>IF(HLOOKUP(I$13,'MP (nominal)'!$D$12:$AM$244,ROW()-12,FALSE)="","",HLOOKUP(I$13,'MP (nominal)'!$D$12:$AM$244,ROW()-12,FALSE))</f>
        <v/>
      </c>
      <c r="J127" s="31">
        <f>IF(HLOOKUP(J$13,'MP (nominal)'!$D$12:$AM$244,ROW()-12,FALSE)="","",HLOOKUP(J$13,'MP (nominal)'!$D$12:$AM$244,ROW()-12,FALSE))</f>
        <v>1873.42</v>
      </c>
      <c r="K127" s="281"/>
      <c r="L127" s="27">
        <f>IF(HLOOKUP(L$13,'MP (nominal)'!$D$12:$AM$244,ROW()-12,FALSE)="","",HLOOKUP(L$13,'MP (nominal)'!$D$12:$AM$244,ROW()-12,FALSE))</f>
        <v>33.555999999999997</v>
      </c>
      <c r="M127" s="293">
        <f>IF(HLOOKUP(M$13,'MP (nominal)'!$D$12:$AM$244,ROW()-12,FALSE)="","",HLOOKUP(M$13,'MP (nominal)'!$D$12:$AM$244,ROW()-12,FALSE))</f>
        <v>183.36752300000001</v>
      </c>
      <c r="N127" s="35"/>
      <c r="O127" s="27">
        <f>IF(HLOOKUP(O$13,'MP (nominal)'!$D$12:$AM$244,ROW()-12,FALSE)="","",HLOOKUP(O$13,'MP (nominal)'!$D$12:$AM$244,ROW()-12,FALSE))</f>
        <v>11975</v>
      </c>
      <c r="P127" s="31"/>
      <c r="Q127" s="281"/>
      <c r="R127" s="281">
        <f>IF(HLOOKUP(R$13,'MP (nominal)'!$D$12:$AM$244,ROW()-12,FALSE)="","",HLOOKUP(R$13,'MP (nominal)'!$D$12:$AM$244,ROW()-12,FALSE))</f>
        <v>104.85</v>
      </c>
      <c r="S127" s="281" t="str">
        <f>IF(HLOOKUP(S$13,'MP (nominal)'!$D$12:$AM$244,ROW()-12,FALSE)="","",HLOOKUP(S$13,'MP (nominal)'!$D$12:$AM$244,ROW()-12,FALSE))</f>
        <v/>
      </c>
      <c r="T127" s="281" t="str">
        <f>IF(HLOOKUP(T$13,'MP (nominal)'!$D$12:$AM$244,ROW()-12,FALSE)="","",HLOOKUP(T$13,'MP (nominal)'!$D$12:$AM$244,ROW()-12,FALSE))</f>
        <v/>
      </c>
      <c r="U127" s="281"/>
      <c r="V127" s="281">
        <f>IF(HLOOKUP(V$13,'MP (nominal)'!$D$12:$AM$244,ROW()-12,FALSE)="","",HLOOKUP(V$13,'MP (nominal)'!$D$12:$AM$244,ROW()-12,FALSE))</f>
        <v>1.38</v>
      </c>
      <c r="W127" s="281" t="str">
        <f>IF(HLOOKUP(W$13,'MP (nominal)'!$D$12:$AM$244,ROW()-12,FALSE)="","",HLOOKUP(W$13,'MP (nominal)'!$D$12:$AM$244,ROW()-12,FALSE))</f>
        <v/>
      </c>
      <c r="X127" s="281" t="str">
        <f>IF(HLOOKUP(X$13,'MP (nominal)'!$D$12:$AM$244,ROW()-12,FALSE)="","",HLOOKUP(X$13,'MP (nominal)'!$D$12:$AM$244,ROW()-12,FALSE))</f>
        <v/>
      </c>
      <c r="Y127" s="281"/>
      <c r="Z127" s="281" t="str">
        <f>IF(HLOOKUP(Z$13,'MP (nominal)'!$D$12:$AM$244,ROW()-12,FALSE)="","",HLOOKUP(Z$13,'MP (nominal)'!$D$12:$AM$244,ROW()-12,FALSE)*VLOOKUP($C127,CPI!$B$9:$I$63,8))</f>
        <v/>
      </c>
      <c r="AA127" s="281" t="str">
        <f>IF(HLOOKUP(AA$13,'MP (nominal)'!$D$12:$AM$244,ROW()-12,FALSE)="","",HLOOKUP(AA$13,'MP (nominal)'!$D$12:$AM$244,ROW()-12,FALSE))</f>
        <v/>
      </c>
      <c r="AB127" s="281" t="str">
        <f>IF(HLOOKUP(AB$13,'MP (nominal)'!$D$12:$AM$244,ROW()-12,FALSE)="","",HLOOKUP(AB$13,'MP (nominal)'!$D$12:$AM$244,ROW()-12,FALSE))</f>
        <v/>
      </c>
      <c r="AC127" s="281"/>
      <c r="AD127" s="281" t="str">
        <f>IF(HLOOKUP(AD$13,'MP (nominal)'!$D$12:$AM$244,ROW()-12,FALSE)="","",HLOOKUP(AD$13,'MP (nominal)'!$D$12:$AM$244,ROW()-12,FALSE)*VLOOKUP($C127,CPI!$B$9:$I$63,8))</f>
        <v/>
      </c>
      <c r="AE127" s="31" t="str">
        <f>IF(HLOOKUP(AE$13,'MP (nominal)'!$D$12:$AM$244,ROW()-12,FALSE)="","",HLOOKUP(AE$13,'MP (nominal)'!$D$12:$AM$244,ROW()-12,FALSE))</f>
        <v/>
      </c>
      <c r="AF127" s="31" t="str">
        <f>IF(HLOOKUP(AF$13,'MP (nominal)'!$D$12:$AM$244,ROW()-12,FALSE)="","",HLOOKUP(AF$13,'MP (nominal)'!$D$12:$AM$244,ROW()-12,FALSE))</f>
        <v/>
      </c>
      <c r="AG127" s="281"/>
      <c r="AH127" s="281" t="str">
        <f>IF(HLOOKUP(AH$13,'MP (nominal)'!$D$12:$AM$244,ROW()-12,FALSE)="","",HLOOKUP(AH$13,'MP (nominal)'!$D$12:$AM$244,ROW()-12,FALSE)*VLOOKUP($C127,CPI!$B$9:$I$63,8))</f>
        <v/>
      </c>
      <c r="AI127" s="31" t="str">
        <f>IF(HLOOKUP(AI$13,'MP (nominal)'!$D$12:$AM$244,ROW()-12,FALSE)="","",HLOOKUP(AI$13,'MP (nominal)'!$D$12:$AM$244,ROW()-12,FALSE))</f>
        <v/>
      </c>
      <c r="AJ127" s="31" t="str">
        <f>IF(HLOOKUP(AJ$13,'MP (nominal)'!$D$12:$AM$244,ROW()-12,FALSE)="","",HLOOKUP(AJ$13,'MP (nominal)'!$D$12:$AM$244,ROW()-12,FALSE))</f>
        <v/>
      </c>
      <c r="AK127" s="281"/>
      <c r="AL127" s="281" t="str">
        <f>IF(HLOOKUP(AL$13,'MP (nominal)'!$D$12:$AM$244,ROW()-12,FALSE)="","",HLOOKUP(AL$13,'MP (nominal)'!$D$12:$AM$244,ROW()-12,FALSE)*VLOOKUP($C127,CPI!$B$9:$I$63,8))</f>
        <v/>
      </c>
      <c r="AM127" s="31" t="str">
        <f>IF(HLOOKUP(AM$13,'MP (nominal)'!$D$12:$AM$244,ROW()-12,FALSE)="","",HLOOKUP(AM$13,'MP (nominal)'!$D$12:$AM$244,ROW()-12,FALSE))</f>
        <v/>
      </c>
      <c r="AN127" s="31" t="str">
        <f>IF(HLOOKUP(AN$13,'MP (nominal)'!$D$12:$AM$244,ROW()-12,FALSE)="","",HLOOKUP(AN$13,'MP (nominal)'!$D$12:$AM$244,ROW()-12,FALSE))</f>
        <v/>
      </c>
      <c r="AO127" s="281"/>
      <c r="AP127" s="281" t="str">
        <f>IF(HLOOKUP(AP$13,'MP (nominal)'!$D$12:$AM$244,ROW()-12,FALSE)="","",HLOOKUP(AP$13,'MP (nominal)'!$D$12:$AM$244,ROW()-12,FALSE)*VLOOKUP($C127,CPI!$B$9:$I$63,8))</f>
        <v/>
      </c>
      <c r="AQ127" s="31" t="str">
        <f>IF(HLOOKUP(AQ$13,'MP (nominal)'!$D$12:$AM$244,ROW()-12,FALSE)="","",HLOOKUP(AQ$13,'MP (nominal)'!$D$12:$AM$244,ROW()-12,FALSE))</f>
        <v/>
      </c>
      <c r="AR127" s="281" t="str">
        <f>IF(HLOOKUP(AR$13,'MP (nominal)'!$D$12:$AM$244,ROW()-12,FALSE)="","",HLOOKUP(AR$13,'MP (nominal)'!$D$12:$AM$244,ROW()-12,FALSE))</f>
        <v/>
      </c>
    </row>
    <row r="128" spans="1:44" s="278" customFormat="1" hidden="1">
      <c r="A128" s="271">
        <f>References!E272</f>
        <v>325</v>
      </c>
      <c r="B128" s="292" t="s">
        <v>43</v>
      </c>
      <c r="C128" s="284">
        <v>2006</v>
      </c>
      <c r="D128" s="27" t="str">
        <f>IF(HLOOKUP(D$13,'MP (nominal)'!$D$12:$AM$244,ROW()-12,FALSE)="","",HLOOKUP(D$13,'MP (nominal)'!$D$12:$AM$244,ROW()-12,FALSE))</f>
        <v/>
      </c>
      <c r="E128" s="281" t="str">
        <f>IF(HLOOKUP(E$13,'MP (nominal)'!$D$12:$AM$244,ROW()-12,FALSE)="","",HLOOKUP(E$13,'MP (nominal)'!$D$12:$AM$244,ROW()-12,FALSE))</f>
        <v/>
      </c>
      <c r="F128" s="27">
        <f>IF(HLOOKUP(F$13,'MP (nominal)'!$D$12:$AM$244,ROW()-12,FALSE)="","",HLOOKUP(F$13,'MP (nominal)'!$D$12:$AM$244,ROW()-12,FALSE))</f>
        <v>72.819999999999993</v>
      </c>
      <c r="G128" s="281" t="str">
        <f>IF(HLOOKUP(G$13,'MP (nominal)'!$D$12:$AM$244,ROW()-12,FALSE)="","",HLOOKUP(G$13,'MP (nominal)'!$D$12:$AM$244,ROW()-12,FALSE))</f>
        <v/>
      </c>
      <c r="H128" s="27">
        <f>IF(HLOOKUP(H$13,'MP (nominal)'!$D$12:$AM$244,ROW()-12,FALSE)="","",HLOOKUP(H$13,'MP (nominal)'!$D$12:$AM$244,ROW()-12,FALSE))</f>
        <v>1993.56</v>
      </c>
      <c r="I128" s="31" t="str">
        <f>IF(HLOOKUP(I$13,'MP (nominal)'!$D$12:$AM$244,ROW()-12,FALSE)="","",HLOOKUP(I$13,'MP (nominal)'!$D$12:$AM$244,ROW()-12,FALSE))</f>
        <v/>
      </c>
      <c r="J128" s="31">
        <f>IF(HLOOKUP(J$13,'MP (nominal)'!$D$12:$AM$244,ROW()-12,FALSE)="","",HLOOKUP(J$13,'MP (nominal)'!$D$12:$AM$244,ROW()-12,FALSE))</f>
        <v>1920.74</v>
      </c>
      <c r="K128" s="281"/>
      <c r="L128" s="27">
        <f>IF(HLOOKUP(L$13,'MP (nominal)'!$D$12:$AM$244,ROW()-12,FALSE)="","",HLOOKUP(L$13,'MP (nominal)'!$D$12:$AM$244,ROW()-12,FALSE))</f>
        <v>33.99</v>
      </c>
      <c r="M128" s="293">
        <f>IF(HLOOKUP(M$13,'MP (nominal)'!$D$12:$AM$244,ROW()-12,FALSE)="","",HLOOKUP(M$13,'MP (nominal)'!$D$12:$AM$244,ROW()-12,FALSE))</f>
        <v>190.44625400000001</v>
      </c>
      <c r="N128" s="35"/>
      <c r="O128" s="27">
        <f>IF(HLOOKUP(O$13,'MP (nominal)'!$D$12:$AM$244,ROW()-12,FALSE)="","",HLOOKUP(O$13,'MP (nominal)'!$D$12:$AM$244,ROW()-12,FALSE))</f>
        <v>12006</v>
      </c>
      <c r="P128" s="31"/>
      <c r="Q128" s="281"/>
      <c r="R128" s="281">
        <f>IF(HLOOKUP(R$13,'MP (nominal)'!$D$12:$AM$244,ROW()-12,FALSE)="","",HLOOKUP(R$13,'MP (nominal)'!$D$12:$AM$244,ROW()-12,FALSE))</f>
        <v>102.31</v>
      </c>
      <c r="S128" s="281" t="str">
        <f>IF(HLOOKUP(S$13,'MP (nominal)'!$D$12:$AM$244,ROW()-12,FALSE)="","",HLOOKUP(S$13,'MP (nominal)'!$D$12:$AM$244,ROW()-12,FALSE))</f>
        <v/>
      </c>
      <c r="T128" s="281" t="str">
        <f>IF(HLOOKUP(T$13,'MP (nominal)'!$D$12:$AM$244,ROW()-12,FALSE)="","",HLOOKUP(T$13,'MP (nominal)'!$D$12:$AM$244,ROW()-12,FALSE))</f>
        <v/>
      </c>
      <c r="U128" s="281"/>
      <c r="V128" s="281">
        <f>IF(HLOOKUP(V$13,'MP (nominal)'!$D$12:$AM$244,ROW()-12,FALSE)="","",HLOOKUP(V$13,'MP (nominal)'!$D$12:$AM$244,ROW()-12,FALSE))</f>
        <v>1.91</v>
      </c>
      <c r="W128" s="281" t="str">
        <f>IF(HLOOKUP(W$13,'MP (nominal)'!$D$12:$AM$244,ROW()-12,FALSE)="","",HLOOKUP(W$13,'MP (nominal)'!$D$12:$AM$244,ROW()-12,FALSE))</f>
        <v/>
      </c>
      <c r="X128" s="281" t="str">
        <f>IF(HLOOKUP(X$13,'MP (nominal)'!$D$12:$AM$244,ROW()-12,FALSE)="","",HLOOKUP(X$13,'MP (nominal)'!$D$12:$AM$244,ROW()-12,FALSE))</f>
        <v/>
      </c>
      <c r="Y128" s="281"/>
      <c r="Z128" s="281" t="str">
        <f>IF(HLOOKUP(Z$13,'MP (nominal)'!$D$12:$AM$244,ROW()-12,FALSE)="","",HLOOKUP(Z$13,'MP (nominal)'!$D$12:$AM$244,ROW()-12,FALSE)*VLOOKUP($C128,CPI!$B$9:$I$63,8))</f>
        <v/>
      </c>
      <c r="AA128" s="281" t="str">
        <f>IF(HLOOKUP(AA$13,'MP (nominal)'!$D$12:$AM$244,ROW()-12,FALSE)="","",HLOOKUP(AA$13,'MP (nominal)'!$D$12:$AM$244,ROW()-12,FALSE))</f>
        <v/>
      </c>
      <c r="AB128" s="281" t="str">
        <f>IF(HLOOKUP(AB$13,'MP (nominal)'!$D$12:$AM$244,ROW()-12,FALSE)="","",HLOOKUP(AB$13,'MP (nominal)'!$D$12:$AM$244,ROW()-12,FALSE))</f>
        <v/>
      </c>
      <c r="AC128" s="281"/>
      <c r="AD128" s="281" t="str">
        <f>IF(HLOOKUP(AD$13,'MP (nominal)'!$D$12:$AM$244,ROW()-12,FALSE)="","",HLOOKUP(AD$13,'MP (nominal)'!$D$12:$AM$244,ROW()-12,FALSE)*VLOOKUP($C128,CPI!$B$9:$I$63,8))</f>
        <v/>
      </c>
      <c r="AE128" s="31" t="str">
        <f>IF(HLOOKUP(AE$13,'MP (nominal)'!$D$12:$AM$244,ROW()-12,FALSE)="","",HLOOKUP(AE$13,'MP (nominal)'!$D$12:$AM$244,ROW()-12,FALSE))</f>
        <v/>
      </c>
      <c r="AF128" s="31" t="str">
        <f>IF(HLOOKUP(AF$13,'MP (nominal)'!$D$12:$AM$244,ROW()-12,FALSE)="","",HLOOKUP(AF$13,'MP (nominal)'!$D$12:$AM$244,ROW()-12,FALSE))</f>
        <v/>
      </c>
      <c r="AG128" s="281"/>
      <c r="AH128" s="281" t="str">
        <f>IF(HLOOKUP(AH$13,'MP (nominal)'!$D$12:$AM$244,ROW()-12,FALSE)="","",HLOOKUP(AH$13,'MP (nominal)'!$D$12:$AM$244,ROW()-12,FALSE)*VLOOKUP($C128,CPI!$B$9:$I$63,8))</f>
        <v/>
      </c>
      <c r="AI128" s="31" t="str">
        <f>IF(HLOOKUP(AI$13,'MP (nominal)'!$D$12:$AM$244,ROW()-12,FALSE)="","",HLOOKUP(AI$13,'MP (nominal)'!$D$12:$AM$244,ROW()-12,FALSE))</f>
        <v/>
      </c>
      <c r="AJ128" s="31" t="str">
        <f>IF(HLOOKUP(AJ$13,'MP (nominal)'!$D$12:$AM$244,ROW()-12,FALSE)="","",HLOOKUP(AJ$13,'MP (nominal)'!$D$12:$AM$244,ROW()-12,FALSE))</f>
        <v/>
      </c>
      <c r="AK128" s="281"/>
      <c r="AL128" s="281" t="str">
        <f>IF(HLOOKUP(AL$13,'MP (nominal)'!$D$12:$AM$244,ROW()-12,FALSE)="","",HLOOKUP(AL$13,'MP (nominal)'!$D$12:$AM$244,ROW()-12,FALSE)*VLOOKUP($C128,CPI!$B$9:$I$63,8))</f>
        <v/>
      </c>
      <c r="AM128" s="31" t="str">
        <f>IF(HLOOKUP(AM$13,'MP (nominal)'!$D$12:$AM$244,ROW()-12,FALSE)="","",HLOOKUP(AM$13,'MP (nominal)'!$D$12:$AM$244,ROW()-12,FALSE))</f>
        <v/>
      </c>
      <c r="AN128" s="31" t="str">
        <f>IF(HLOOKUP(AN$13,'MP (nominal)'!$D$12:$AM$244,ROW()-12,FALSE)="","",HLOOKUP(AN$13,'MP (nominal)'!$D$12:$AM$244,ROW()-12,FALSE))</f>
        <v/>
      </c>
      <c r="AO128" s="281"/>
      <c r="AP128" s="281" t="str">
        <f>IF(HLOOKUP(AP$13,'MP (nominal)'!$D$12:$AM$244,ROW()-12,FALSE)="","",HLOOKUP(AP$13,'MP (nominal)'!$D$12:$AM$244,ROW()-12,FALSE)*VLOOKUP($C128,CPI!$B$9:$I$63,8))</f>
        <v/>
      </c>
      <c r="AQ128" s="31" t="str">
        <f>IF(HLOOKUP(AQ$13,'MP (nominal)'!$D$12:$AM$244,ROW()-12,FALSE)="","",HLOOKUP(AQ$13,'MP (nominal)'!$D$12:$AM$244,ROW()-12,FALSE))</f>
        <v/>
      </c>
      <c r="AR128" s="281" t="str">
        <f>IF(HLOOKUP(AR$13,'MP (nominal)'!$D$12:$AM$244,ROW()-12,FALSE)="","",HLOOKUP(AR$13,'MP (nominal)'!$D$12:$AM$244,ROW()-12,FALSE))</f>
        <v/>
      </c>
    </row>
    <row r="129" spans="1:44" s="278" customFormat="1" hidden="1">
      <c r="A129" s="271">
        <f>References!F272</f>
        <v>326</v>
      </c>
      <c r="B129" s="292" t="s">
        <v>43</v>
      </c>
      <c r="C129" s="284">
        <v>2007</v>
      </c>
      <c r="D129" s="27" t="str">
        <f>IF(HLOOKUP(D$13,'MP (nominal)'!$D$12:$AM$244,ROW()-12,FALSE)="","",HLOOKUP(D$13,'MP (nominal)'!$D$12:$AM$244,ROW()-12,FALSE))</f>
        <v/>
      </c>
      <c r="E129" s="281" t="str">
        <f>IF(HLOOKUP(E$13,'MP (nominal)'!$D$12:$AM$244,ROW()-12,FALSE)="","",HLOOKUP(E$13,'MP (nominal)'!$D$12:$AM$244,ROW()-12,FALSE))</f>
        <v/>
      </c>
      <c r="F129" s="27">
        <f>IF(HLOOKUP(F$13,'MP (nominal)'!$D$12:$AM$244,ROW()-12,FALSE)="","",HLOOKUP(F$13,'MP (nominal)'!$D$12:$AM$244,ROW()-12,FALSE))</f>
        <v>74.986000000000004</v>
      </c>
      <c r="G129" s="281" t="str">
        <f>IF(HLOOKUP(G$13,'MP (nominal)'!$D$12:$AM$244,ROW()-12,FALSE)="","",HLOOKUP(G$13,'MP (nominal)'!$D$12:$AM$244,ROW()-12,FALSE))</f>
        <v/>
      </c>
      <c r="H129" s="27">
        <f>IF(HLOOKUP(H$13,'MP (nominal)'!$D$12:$AM$244,ROW()-12,FALSE)="","",HLOOKUP(H$13,'MP (nominal)'!$D$12:$AM$244,ROW()-12,FALSE))</f>
        <v>2004.625</v>
      </c>
      <c r="I129" s="31" t="str">
        <f>IF(HLOOKUP(I$13,'MP (nominal)'!$D$12:$AM$244,ROW()-12,FALSE)="","",HLOOKUP(I$13,'MP (nominal)'!$D$12:$AM$244,ROW()-12,FALSE))</f>
        <v/>
      </c>
      <c r="J129" s="31">
        <f>IF(HLOOKUP(J$13,'MP (nominal)'!$D$12:$AM$244,ROW()-12,FALSE)="","",HLOOKUP(J$13,'MP (nominal)'!$D$12:$AM$244,ROW()-12,FALSE))</f>
        <v>1929.65</v>
      </c>
      <c r="K129" s="281"/>
      <c r="L129" s="27">
        <f>IF(HLOOKUP(L$13,'MP (nominal)'!$D$12:$AM$244,ROW()-12,FALSE)="","",HLOOKUP(L$13,'MP (nominal)'!$D$12:$AM$244,ROW()-12,FALSE))</f>
        <v>42.566000000000003</v>
      </c>
      <c r="M129" s="293">
        <f>IF(HLOOKUP(M$13,'MP (nominal)'!$D$12:$AM$244,ROW()-12,FALSE)="","",HLOOKUP(M$13,'MP (nominal)'!$D$12:$AM$244,ROW()-12,FALSE))</f>
        <v>201.99730700000001</v>
      </c>
      <c r="N129" s="35"/>
      <c r="O129" s="27">
        <f>IF(HLOOKUP(O$13,'MP (nominal)'!$D$12:$AM$244,ROW()-12,FALSE)="","",HLOOKUP(O$13,'MP (nominal)'!$D$12:$AM$244,ROW()-12,FALSE))</f>
        <v>11944</v>
      </c>
      <c r="P129" s="31"/>
      <c r="Q129" s="281"/>
      <c r="R129" s="281">
        <f>IF(HLOOKUP(R$13,'MP (nominal)'!$D$12:$AM$244,ROW()-12,FALSE)="","",HLOOKUP(R$13,'MP (nominal)'!$D$12:$AM$244,ROW()-12,FALSE))</f>
        <v>505.55</v>
      </c>
      <c r="S129" s="281" t="str">
        <f>IF(HLOOKUP(S$13,'MP (nominal)'!$D$12:$AM$244,ROW()-12,FALSE)="","",HLOOKUP(S$13,'MP (nominal)'!$D$12:$AM$244,ROW()-12,FALSE))</f>
        <v/>
      </c>
      <c r="T129" s="281" t="str">
        <f>IF(HLOOKUP(T$13,'MP (nominal)'!$D$12:$AM$244,ROW()-12,FALSE)="","",HLOOKUP(T$13,'MP (nominal)'!$D$12:$AM$244,ROW()-12,FALSE))</f>
        <v/>
      </c>
      <c r="U129" s="281"/>
      <c r="V129" s="281">
        <f>IF(HLOOKUP(V$13,'MP (nominal)'!$D$12:$AM$244,ROW()-12,FALSE)="","",HLOOKUP(V$13,'MP (nominal)'!$D$12:$AM$244,ROW()-12,FALSE))</f>
        <v>3.32</v>
      </c>
      <c r="W129" s="281" t="str">
        <f>IF(HLOOKUP(W$13,'MP (nominal)'!$D$12:$AM$244,ROW()-12,FALSE)="","",HLOOKUP(W$13,'MP (nominal)'!$D$12:$AM$244,ROW()-12,FALSE))</f>
        <v/>
      </c>
      <c r="X129" s="281" t="str">
        <f>IF(HLOOKUP(X$13,'MP (nominal)'!$D$12:$AM$244,ROW()-12,FALSE)="","",HLOOKUP(X$13,'MP (nominal)'!$D$12:$AM$244,ROW()-12,FALSE))</f>
        <v/>
      </c>
      <c r="Y129" s="281"/>
      <c r="Z129" s="281" t="str">
        <f>IF(HLOOKUP(Z$13,'MP (nominal)'!$D$12:$AM$244,ROW()-12,FALSE)="","",HLOOKUP(Z$13,'MP (nominal)'!$D$12:$AM$244,ROW()-12,FALSE)*VLOOKUP($C129,CPI!$B$9:$I$63,8))</f>
        <v/>
      </c>
      <c r="AA129" s="281" t="str">
        <f>IF(HLOOKUP(AA$13,'MP (nominal)'!$D$12:$AM$244,ROW()-12,FALSE)="","",HLOOKUP(AA$13,'MP (nominal)'!$D$12:$AM$244,ROW()-12,FALSE))</f>
        <v/>
      </c>
      <c r="AB129" s="281" t="str">
        <f>IF(HLOOKUP(AB$13,'MP (nominal)'!$D$12:$AM$244,ROW()-12,FALSE)="","",HLOOKUP(AB$13,'MP (nominal)'!$D$12:$AM$244,ROW()-12,FALSE))</f>
        <v/>
      </c>
      <c r="AC129" s="281"/>
      <c r="AD129" s="281" t="str">
        <f>IF(HLOOKUP(AD$13,'MP (nominal)'!$D$12:$AM$244,ROW()-12,FALSE)="","",HLOOKUP(AD$13,'MP (nominal)'!$D$12:$AM$244,ROW()-12,FALSE)*VLOOKUP($C129,CPI!$B$9:$I$63,8))</f>
        <v/>
      </c>
      <c r="AE129" s="31" t="str">
        <f>IF(HLOOKUP(AE$13,'MP (nominal)'!$D$12:$AM$244,ROW()-12,FALSE)="","",HLOOKUP(AE$13,'MP (nominal)'!$D$12:$AM$244,ROW()-12,FALSE))</f>
        <v/>
      </c>
      <c r="AF129" s="31" t="str">
        <f>IF(HLOOKUP(AF$13,'MP (nominal)'!$D$12:$AM$244,ROW()-12,FALSE)="","",HLOOKUP(AF$13,'MP (nominal)'!$D$12:$AM$244,ROW()-12,FALSE))</f>
        <v/>
      </c>
      <c r="AG129" s="281"/>
      <c r="AH129" s="281" t="str">
        <f>IF(HLOOKUP(AH$13,'MP (nominal)'!$D$12:$AM$244,ROW()-12,FALSE)="","",HLOOKUP(AH$13,'MP (nominal)'!$D$12:$AM$244,ROW()-12,FALSE)*VLOOKUP($C129,CPI!$B$9:$I$63,8))</f>
        <v/>
      </c>
      <c r="AI129" s="31" t="str">
        <f>IF(HLOOKUP(AI$13,'MP (nominal)'!$D$12:$AM$244,ROW()-12,FALSE)="","",HLOOKUP(AI$13,'MP (nominal)'!$D$12:$AM$244,ROW()-12,FALSE))</f>
        <v/>
      </c>
      <c r="AJ129" s="31" t="str">
        <f>IF(HLOOKUP(AJ$13,'MP (nominal)'!$D$12:$AM$244,ROW()-12,FALSE)="","",HLOOKUP(AJ$13,'MP (nominal)'!$D$12:$AM$244,ROW()-12,FALSE))</f>
        <v/>
      </c>
      <c r="AK129" s="281"/>
      <c r="AL129" s="281" t="str">
        <f>IF(HLOOKUP(AL$13,'MP (nominal)'!$D$12:$AM$244,ROW()-12,FALSE)="","",HLOOKUP(AL$13,'MP (nominal)'!$D$12:$AM$244,ROW()-12,FALSE)*VLOOKUP($C129,CPI!$B$9:$I$63,8))</f>
        <v/>
      </c>
      <c r="AM129" s="31" t="str">
        <f>IF(HLOOKUP(AM$13,'MP (nominal)'!$D$12:$AM$244,ROW()-12,FALSE)="","",HLOOKUP(AM$13,'MP (nominal)'!$D$12:$AM$244,ROW()-12,FALSE))</f>
        <v/>
      </c>
      <c r="AN129" s="31" t="str">
        <f>IF(HLOOKUP(AN$13,'MP (nominal)'!$D$12:$AM$244,ROW()-12,FALSE)="","",HLOOKUP(AN$13,'MP (nominal)'!$D$12:$AM$244,ROW()-12,FALSE))</f>
        <v/>
      </c>
      <c r="AO129" s="281"/>
      <c r="AP129" s="281" t="str">
        <f>IF(HLOOKUP(AP$13,'MP (nominal)'!$D$12:$AM$244,ROW()-12,FALSE)="","",HLOOKUP(AP$13,'MP (nominal)'!$D$12:$AM$244,ROW()-12,FALSE)*VLOOKUP($C129,CPI!$B$9:$I$63,8))</f>
        <v/>
      </c>
      <c r="AQ129" s="31" t="str">
        <f>IF(HLOOKUP(AQ$13,'MP (nominal)'!$D$12:$AM$244,ROW()-12,FALSE)="","",HLOOKUP(AQ$13,'MP (nominal)'!$D$12:$AM$244,ROW()-12,FALSE))</f>
        <v/>
      </c>
      <c r="AR129" s="281" t="str">
        <f>IF(HLOOKUP(AR$13,'MP (nominal)'!$D$12:$AM$244,ROW()-12,FALSE)="","",HLOOKUP(AR$13,'MP (nominal)'!$D$12:$AM$244,ROW()-12,FALSE))</f>
        <v/>
      </c>
    </row>
    <row r="130" spans="1:44" s="278" customFormat="1">
      <c r="A130" s="271">
        <f>References!G272</f>
        <v>327</v>
      </c>
      <c r="B130" s="292" t="s">
        <v>43</v>
      </c>
      <c r="C130" s="284">
        <v>2008</v>
      </c>
      <c r="D130" s="27">
        <f>IF(HLOOKUP(D$13,'MP (nominal)'!$D$12:$AM$244,ROW()-12,FALSE)="","",HLOOKUP(D$13,'MP (nominal)'!$D$12:$AM$244,ROW()-12,FALSE))</f>
        <v>1872</v>
      </c>
      <c r="E130" s="281">
        <f>IF(HLOOKUP(E$13,'MP (nominal)'!$D$12:$AM$244,ROW()-12,FALSE)="","",HLOOKUP(E$13,'MP (nominal)'!$D$12:$AM$244,ROW()-12,FALSE))</f>
        <v>0</v>
      </c>
      <c r="F130" s="27">
        <f>IF(HLOOKUP(F$13,'MP (nominal)'!$D$12:$AM$244,ROW()-12,FALSE)="","",HLOOKUP(F$13,'MP (nominal)'!$D$12:$AM$244,ROW()-12,FALSE))</f>
        <v>89.557000000000002</v>
      </c>
      <c r="G130" s="281">
        <f>IF(HLOOKUP(G$13,'MP (nominal)'!$D$12:$AM$244,ROW()-12,FALSE)="","",HLOOKUP(G$13,'MP (nominal)'!$D$12:$AM$244,ROW()-12,FALSE))</f>
        <v>0</v>
      </c>
      <c r="H130" s="27">
        <f>IF(HLOOKUP(H$13,'MP (nominal)'!$D$12:$AM$244,ROW()-12,FALSE)="","",HLOOKUP(H$13,'MP (nominal)'!$D$12:$AM$244,ROW()-12,FALSE))</f>
        <v>1961.557</v>
      </c>
      <c r="I130" s="31">
        <f>IF(HLOOKUP(I$13,'MP (nominal)'!$D$12:$AM$244,ROW()-12,FALSE)="","",HLOOKUP(I$13,'MP (nominal)'!$D$12:$AM$244,ROW()-12,FALSE))</f>
        <v>0</v>
      </c>
      <c r="J130" s="31">
        <f>IF(HLOOKUP(J$13,'MP (nominal)'!$D$12:$AM$244,ROW()-12,FALSE)="","",HLOOKUP(J$13,'MP (nominal)'!$D$12:$AM$244,ROW()-12,FALSE))</f>
        <v>1872</v>
      </c>
      <c r="K130" s="281"/>
      <c r="L130" s="27">
        <f>IF(HLOOKUP(L$13,'MP (nominal)'!$D$12:$AM$244,ROW()-12,FALSE)="","",HLOOKUP(L$13,'MP (nominal)'!$D$12:$AM$244,ROW()-12,FALSE))</f>
        <v>46.421999999999997</v>
      </c>
      <c r="M130" s="283">
        <f>IF(HLOOKUP(M$13,'MP (nominal)'!$D$12:$AM$244,ROW()-12,FALSE)="","",HLOOKUP(M$13,'MP (nominal)'!$D$12:$AM$244,ROW()-12,FALSE))</f>
        <v>230</v>
      </c>
      <c r="N130" s="35"/>
      <c r="O130" s="27">
        <f>IF(HLOOKUP(O$13,'MP (nominal)'!$D$12:$AM$244,ROW()-12,FALSE)="","",HLOOKUP(O$13,'MP (nominal)'!$D$12:$AM$244,ROW()-12,FALSE))</f>
        <v>11970</v>
      </c>
      <c r="P130" s="31"/>
      <c r="Q130" s="281"/>
      <c r="R130" s="281">
        <f>IF(HLOOKUP(R$13,'MP (nominal)'!$D$12:$AM$244,ROW()-12,FALSE)="","",HLOOKUP(R$13,'MP (nominal)'!$D$12:$AM$244,ROW()-12,FALSE))</f>
        <v>94.67</v>
      </c>
      <c r="S130" s="281">
        <f>IF(HLOOKUP(S$13,'MP (nominal)'!$D$12:$AM$244,ROW()-12,FALSE)="","",HLOOKUP(S$13,'MP (nominal)'!$D$12:$AM$244,ROW()-12,FALSE))</f>
        <v>24.14</v>
      </c>
      <c r="T130" s="281">
        <f>IF(HLOOKUP(T$13,'MP (nominal)'!$D$12:$AM$244,ROW()-12,FALSE)="","",HLOOKUP(T$13,'MP (nominal)'!$D$12:$AM$244,ROW()-12,FALSE))</f>
        <v>70.540000000000006</v>
      </c>
      <c r="U130" s="281"/>
      <c r="V130" s="281">
        <f>IF(HLOOKUP(V$13,'MP (nominal)'!$D$12:$AM$244,ROW()-12,FALSE)="","",HLOOKUP(V$13,'MP (nominal)'!$D$12:$AM$244,ROW()-12,FALSE))</f>
        <v>2.1</v>
      </c>
      <c r="W130" s="281">
        <f>IF(HLOOKUP(W$13,'MP (nominal)'!$D$12:$AM$244,ROW()-12,FALSE)="","",HLOOKUP(W$13,'MP (nominal)'!$D$12:$AM$244,ROW()-12,FALSE))</f>
        <v>0.13</v>
      </c>
      <c r="X130" s="281">
        <f>IF(HLOOKUP(X$13,'MP (nominal)'!$D$12:$AM$244,ROW()-12,FALSE)="","",HLOOKUP(X$13,'MP (nominal)'!$D$12:$AM$244,ROW()-12,FALSE))</f>
        <v>1.97</v>
      </c>
      <c r="Y130" s="281"/>
      <c r="Z130" s="281">
        <f>IF(HLOOKUP(Z$13,'MP (nominal)'!$D$12:$AM$244,ROW()-12,FALSE)="","",HLOOKUP(Z$13,'MP (nominal)'!$D$12:$AM$244,ROW()-12,FALSE)*VLOOKUP($C130,CPI!$B$9:$I$63,8))</f>
        <v>4313.4729548629921</v>
      </c>
      <c r="AA130" s="281">
        <f>IF(HLOOKUP(AA$13,'MP (nominal)'!$D$12:$AM$244,ROW()-12,FALSE)="","",HLOOKUP(AA$13,'MP (nominal)'!$D$12:$AM$244,ROW()-12,FALSE))</f>
        <v>72394</v>
      </c>
      <c r="AB130" s="281">
        <f>IF(HLOOKUP(AB$13,'MP (nominal)'!$D$12:$AM$244,ROW()-12,FALSE)="","",HLOOKUP(AB$13,'MP (nominal)'!$D$12:$AM$244,ROW()-12,FALSE))</f>
        <v>10137</v>
      </c>
      <c r="AC130" s="281"/>
      <c r="AD130" s="281">
        <f>IF(HLOOKUP(AD$13,'MP (nominal)'!$D$12:$AM$244,ROW()-12,FALSE)="","",HLOOKUP(AD$13,'MP (nominal)'!$D$12:$AM$244,ROW()-12,FALSE)*VLOOKUP($C130,CPI!$B$9:$I$63,8))</f>
        <v>4182.7240536910831</v>
      </c>
      <c r="AE130" s="31">
        <f>IF(HLOOKUP(AE$13,'MP (nominal)'!$D$12:$AM$244,ROW()-12,FALSE)="","",HLOOKUP(AE$13,'MP (nominal)'!$D$12:$AM$244,ROW()-12,FALSE))</f>
        <v>70565</v>
      </c>
      <c r="AF130" s="31">
        <f>IF(HLOOKUP(AF$13,'MP (nominal)'!$D$12:$AM$244,ROW()-12,FALSE)="","",HLOOKUP(AF$13,'MP (nominal)'!$D$12:$AM$244,ROW()-12,FALSE))</f>
        <v>1777</v>
      </c>
      <c r="AG130" s="281"/>
      <c r="AH130" s="281">
        <f>IF(HLOOKUP(AH$13,'MP (nominal)'!$D$12:$AM$244,ROW()-12,FALSE)="","",HLOOKUP(AH$13,'MP (nominal)'!$D$12:$AM$244,ROW()-12,FALSE)*VLOOKUP($C130,CPI!$B$9:$I$63,8))</f>
        <v>1137.0873164152717</v>
      </c>
      <c r="AI130" s="31">
        <f>IF(HLOOKUP(AI$13,'MP (nominal)'!$D$12:$AM$244,ROW()-12,FALSE)="","",HLOOKUP(AI$13,'MP (nominal)'!$D$12:$AM$244,ROW()-12,FALSE))</f>
        <v>28213</v>
      </c>
      <c r="AJ130" s="31">
        <f>IF(HLOOKUP(AJ$13,'MP (nominal)'!$D$12:$AM$244,ROW()-12,FALSE)="","",HLOOKUP(AJ$13,'MP (nominal)'!$D$12:$AM$244,ROW()-12,FALSE))</f>
        <v>51</v>
      </c>
      <c r="AK130" s="281"/>
      <c r="AL130" s="281">
        <f>IF(HLOOKUP(AL$13,'MP (nominal)'!$D$12:$AM$244,ROW()-12,FALSE)="","",HLOOKUP(AL$13,'MP (nominal)'!$D$12:$AM$244,ROW()-12,FALSE)*VLOOKUP($C130,CPI!$B$9:$I$63,8))</f>
        <v>1207.4705597217073</v>
      </c>
      <c r="AM130" s="31">
        <f>IF(HLOOKUP(AM$13,'MP (nominal)'!$D$12:$AM$244,ROW()-12,FALSE)="","",HLOOKUP(AM$13,'MP (nominal)'!$D$12:$AM$244,ROW()-12,FALSE))</f>
        <v>58828</v>
      </c>
      <c r="AN130" s="31">
        <f>IF(HLOOKUP(AN$13,'MP (nominal)'!$D$12:$AM$244,ROW()-12,FALSE)="","",HLOOKUP(AN$13,'MP (nominal)'!$D$12:$AM$244,ROW()-12,FALSE))</f>
        <v>5</v>
      </c>
      <c r="AO130" s="281"/>
      <c r="AP130" s="281">
        <f>IF(HLOOKUP(AP$13,'MP (nominal)'!$D$12:$AM$244,ROW()-12,FALSE)="","",HLOOKUP(AP$13,'MP (nominal)'!$D$12:$AM$244,ROW()-12,FALSE)*VLOOKUP($C130,CPI!$B$9:$I$63,8))</f>
        <v>10840.754776881184</v>
      </c>
      <c r="AQ130" s="31">
        <f>IF(HLOOKUP(AQ$13,'MP (nominal)'!$D$12:$AM$244,ROW()-12,FALSE)="","",HLOOKUP(AQ$13,'MP (nominal)'!$D$12:$AM$244,ROW()-12,FALSE))</f>
        <v>230000</v>
      </c>
      <c r="AR130" s="281">
        <f>IF(HLOOKUP(AR$13,'MP (nominal)'!$D$12:$AM$244,ROW()-12,FALSE)="","",HLOOKUP(AR$13,'MP (nominal)'!$D$12:$AM$244,ROW()-12,FALSE))</f>
        <v>11970</v>
      </c>
    </row>
    <row r="131" spans="1:44" s="278" customFormat="1">
      <c r="A131" s="271">
        <f>References!H272</f>
        <v>328</v>
      </c>
      <c r="B131" s="292" t="s">
        <v>43</v>
      </c>
      <c r="C131" s="284">
        <v>2009</v>
      </c>
      <c r="D131" s="27">
        <f>IF(HLOOKUP(D$13,'MP (nominal)'!$D$12:$AM$244,ROW()-12,FALSE)="","",HLOOKUP(D$13,'MP (nominal)'!$D$12:$AM$244,ROW()-12,FALSE))</f>
        <v>1794</v>
      </c>
      <c r="E131" s="281">
        <f>IF(HLOOKUP(E$13,'MP (nominal)'!$D$12:$AM$244,ROW()-12,FALSE)="","",HLOOKUP(E$13,'MP (nominal)'!$D$12:$AM$244,ROW()-12,FALSE))</f>
        <v>0</v>
      </c>
      <c r="F131" s="27">
        <f>IF(HLOOKUP(F$13,'MP (nominal)'!$D$12:$AM$244,ROW()-12,FALSE)="","",HLOOKUP(F$13,'MP (nominal)'!$D$12:$AM$244,ROW()-12,FALSE))</f>
        <v>74</v>
      </c>
      <c r="G131" s="281">
        <f>IF(HLOOKUP(G$13,'MP (nominal)'!$D$12:$AM$244,ROW()-12,FALSE)="","",HLOOKUP(G$13,'MP (nominal)'!$D$12:$AM$244,ROW()-12,FALSE))</f>
        <v>0</v>
      </c>
      <c r="H131" s="27">
        <f>IF(HLOOKUP(H$13,'MP (nominal)'!$D$12:$AM$244,ROW()-12,FALSE)="","",HLOOKUP(H$13,'MP (nominal)'!$D$12:$AM$244,ROW()-12,FALSE))</f>
        <v>1868</v>
      </c>
      <c r="I131" s="31">
        <f>IF(HLOOKUP(I$13,'MP (nominal)'!$D$12:$AM$244,ROW()-12,FALSE)="","",HLOOKUP(I$13,'MP (nominal)'!$D$12:$AM$244,ROW()-12,FALSE))</f>
        <v>0</v>
      </c>
      <c r="J131" s="31">
        <f>IF(HLOOKUP(J$13,'MP (nominal)'!$D$12:$AM$244,ROW()-12,FALSE)="","",HLOOKUP(J$13,'MP (nominal)'!$D$12:$AM$244,ROW()-12,FALSE))</f>
        <v>1794</v>
      </c>
      <c r="K131" s="281"/>
      <c r="L131" s="27">
        <f>IF(HLOOKUP(L$13,'MP (nominal)'!$D$12:$AM$244,ROW()-12,FALSE)="","",HLOOKUP(L$13,'MP (nominal)'!$D$12:$AM$244,ROW()-12,FALSE))</f>
        <v>47.276000000000003</v>
      </c>
      <c r="M131" s="283">
        <f>IF(HLOOKUP(M$13,'MP (nominal)'!$D$12:$AM$244,ROW()-12,FALSE)="","",HLOOKUP(M$13,'MP (nominal)'!$D$12:$AM$244,ROW()-12,FALSE))</f>
        <v>233.73</v>
      </c>
      <c r="N131" s="35"/>
      <c r="O131" s="27">
        <f>IF(HLOOKUP(O$13,'MP (nominal)'!$D$12:$AM$244,ROW()-12,FALSE)="","",HLOOKUP(O$13,'MP (nominal)'!$D$12:$AM$244,ROW()-12,FALSE))</f>
        <v>12256</v>
      </c>
      <c r="P131" s="31"/>
      <c r="Q131" s="281"/>
      <c r="R131" s="281">
        <f>IF(HLOOKUP(R$13,'MP (nominal)'!$D$12:$AM$244,ROW()-12,FALSE)="","",HLOOKUP(R$13,'MP (nominal)'!$D$12:$AM$244,ROW()-12,FALSE))</f>
        <v>69.36</v>
      </c>
      <c r="S131" s="281">
        <f>IF(HLOOKUP(S$13,'MP (nominal)'!$D$12:$AM$244,ROW()-12,FALSE)="","",HLOOKUP(S$13,'MP (nominal)'!$D$12:$AM$244,ROW()-12,FALSE))</f>
        <v>10.76</v>
      </c>
      <c r="T131" s="281">
        <f>IF(HLOOKUP(T$13,'MP (nominal)'!$D$12:$AM$244,ROW()-12,FALSE)="","",HLOOKUP(T$13,'MP (nominal)'!$D$12:$AM$244,ROW()-12,FALSE))</f>
        <v>58.6</v>
      </c>
      <c r="U131" s="281"/>
      <c r="V131" s="281">
        <f>IF(HLOOKUP(V$13,'MP (nominal)'!$D$12:$AM$244,ROW()-12,FALSE)="","",HLOOKUP(V$13,'MP (nominal)'!$D$12:$AM$244,ROW()-12,FALSE))</f>
        <v>1.07</v>
      </c>
      <c r="W131" s="281">
        <f>IF(HLOOKUP(W$13,'MP (nominal)'!$D$12:$AM$244,ROW()-12,FALSE)="","",HLOOKUP(W$13,'MP (nominal)'!$D$12:$AM$244,ROW()-12,FALSE))</f>
        <v>7.0000000000000007E-2</v>
      </c>
      <c r="X131" s="281">
        <f>IF(HLOOKUP(X$13,'MP (nominal)'!$D$12:$AM$244,ROW()-12,FALSE)="","",HLOOKUP(X$13,'MP (nominal)'!$D$12:$AM$244,ROW()-12,FALSE))</f>
        <v>1</v>
      </c>
      <c r="Y131" s="281"/>
      <c r="Z131" s="281">
        <f>IF(HLOOKUP(Z$13,'MP (nominal)'!$D$12:$AM$244,ROW()-12,FALSE)="","",HLOOKUP(Z$13,'MP (nominal)'!$D$12:$AM$244,ROW()-12,FALSE)*VLOOKUP($C131,CPI!$B$9:$I$63,8))</f>
        <v>3274.1503191708412</v>
      </c>
      <c r="AA131" s="281">
        <f>IF(HLOOKUP(AA$13,'MP (nominal)'!$D$12:$AM$244,ROW()-12,FALSE)="","",HLOOKUP(AA$13,'MP (nominal)'!$D$12:$AM$244,ROW()-12,FALSE))</f>
        <v>75049.195000000007</v>
      </c>
      <c r="AB131" s="281">
        <f>IF(HLOOKUP(AB$13,'MP (nominal)'!$D$12:$AM$244,ROW()-12,FALSE)="","",HLOOKUP(AB$13,'MP (nominal)'!$D$12:$AM$244,ROW()-12,FALSE))</f>
        <v>10022</v>
      </c>
      <c r="AC131" s="281"/>
      <c r="AD131" s="281">
        <f>IF(HLOOKUP(AD$13,'MP (nominal)'!$D$12:$AM$244,ROW()-12,FALSE)="","",HLOOKUP(AD$13,'MP (nominal)'!$D$12:$AM$244,ROW()-12,FALSE)*VLOOKUP($C131,CPI!$B$9:$I$63,8))</f>
        <v>5694.9868899718567</v>
      </c>
      <c r="AE131" s="31">
        <f>IF(HLOOKUP(AE$13,'MP (nominal)'!$D$12:$AM$244,ROW()-12,FALSE)="","",HLOOKUP(AE$13,'MP (nominal)'!$D$12:$AM$244,ROW()-12,FALSE))</f>
        <v>71752.918999999994</v>
      </c>
      <c r="AF131" s="31">
        <f>IF(HLOOKUP(AF$13,'MP (nominal)'!$D$12:$AM$244,ROW()-12,FALSE)="","",HLOOKUP(AF$13,'MP (nominal)'!$D$12:$AM$244,ROW()-12,FALSE))</f>
        <v>2175</v>
      </c>
      <c r="AG131" s="281"/>
      <c r="AH131" s="281">
        <f>IF(HLOOKUP(AH$13,'MP (nominal)'!$D$12:$AM$244,ROW()-12,FALSE)="","",HLOOKUP(AH$13,'MP (nominal)'!$D$12:$AM$244,ROW()-12,FALSE)*VLOOKUP($C131,CPI!$B$9:$I$63,8))</f>
        <v>1282.0468117235221</v>
      </c>
      <c r="AI131" s="31">
        <f>IF(HLOOKUP(AI$13,'MP (nominal)'!$D$12:$AM$244,ROW()-12,FALSE)="","",HLOOKUP(AI$13,'MP (nominal)'!$D$12:$AM$244,ROW()-12,FALSE))</f>
        <v>29376.544999999998</v>
      </c>
      <c r="AJ131" s="31">
        <f>IF(HLOOKUP(AJ$13,'MP (nominal)'!$D$12:$AM$244,ROW()-12,FALSE)="","",HLOOKUP(AJ$13,'MP (nominal)'!$D$12:$AM$244,ROW()-12,FALSE))</f>
        <v>54</v>
      </c>
      <c r="AK131" s="281"/>
      <c r="AL131" s="281">
        <f>IF(HLOOKUP(AL$13,'MP (nominal)'!$D$12:$AM$244,ROW()-12,FALSE)="","",HLOOKUP(AL$13,'MP (nominal)'!$D$12:$AM$244,ROW()-12,FALSE)*VLOOKUP($C131,CPI!$B$9:$I$63,8))</f>
        <v>1200.0373395565923</v>
      </c>
      <c r="AM131" s="31">
        <f>IF(HLOOKUP(AM$13,'MP (nominal)'!$D$12:$AM$244,ROW()-12,FALSE)="","",HLOOKUP(AM$13,'MP (nominal)'!$D$12:$AM$244,ROW()-12,FALSE))</f>
        <v>57551.341999999997</v>
      </c>
      <c r="AN131" s="31">
        <f>IF(HLOOKUP(AN$13,'MP (nominal)'!$D$12:$AM$244,ROW()-12,FALSE)="","",HLOOKUP(AN$13,'MP (nominal)'!$D$12:$AM$244,ROW()-12,FALSE))</f>
        <v>5</v>
      </c>
      <c r="AO131" s="281"/>
      <c r="AP131" s="281">
        <f>IF(HLOOKUP(AP$13,'MP (nominal)'!$D$12:$AM$244,ROW()-12,FALSE)="","",HLOOKUP(AP$13,'MP (nominal)'!$D$12:$AM$244,ROW()-12,FALSE)*VLOOKUP($C131,CPI!$B$9:$I$63,8))</f>
        <v>11451.221360422813</v>
      </c>
      <c r="AQ131" s="31">
        <f>IF(HLOOKUP(AQ$13,'MP (nominal)'!$D$12:$AM$244,ROW()-12,FALSE)="","",HLOOKUP(AQ$13,'MP (nominal)'!$D$12:$AM$244,ROW()-12,FALSE))</f>
        <v>233730</v>
      </c>
      <c r="AR131" s="281">
        <f>IF(HLOOKUP(AR$13,'MP (nominal)'!$D$12:$AM$244,ROW()-12,FALSE)="","",HLOOKUP(AR$13,'MP (nominal)'!$D$12:$AM$244,ROW()-12,FALSE))</f>
        <v>12256</v>
      </c>
    </row>
    <row r="132" spans="1:44" s="278" customFormat="1">
      <c r="A132" s="271">
        <f>References!I272</f>
        <v>329</v>
      </c>
      <c r="B132" s="292" t="s">
        <v>43</v>
      </c>
      <c r="C132" s="284">
        <v>2010</v>
      </c>
      <c r="D132" s="27">
        <f>IF(HLOOKUP(D$13,'MP (nominal)'!$D$12:$AM$244,ROW()-12,FALSE)="","",HLOOKUP(D$13,'MP (nominal)'!$D$12:$AM$244,ROW()-12,FALSE))</f>
        <v>1631</v>
      </c>
      <c r="E132" s="281">
        <f>IF(HLOOKUP(E$13,'MP (nominal)'!$D$12:$AM$244,ROW()-12,FALSE)="","",HLOOKUP(E$13,'MP (nominal)'!$D$12:$AM$244,ROW()-12,FALSE))</f>
        <v>0</v>
      </c>
      <c r="F132" s="27">
        <f>IF(HLOOKUP(F$13,'MP (nominal)'!$D$12:$AM$244,ROW()-12,FALSE)="","",HLOOKUP(F$13,'MP (nominal)'!$D$12:$AM$244,ROW()-12,FALSE))</f>
        <v>83</v>
      </c>
      <c r="G132" s="281">
        <f>IF(HLOOKUP(G$13,'MP (nominal)'!$D$12:$AM$244,ROW()-12,FALSE)="","",HLOOKUP(G$13,'MP (nominal)'!$D$12:$AM$244,ROW()-12,FALSE))</f>
        <v>0</v>
      </c>
      <c r="H132" s="27">
        <f>IF(HLOOKUP(H$13,'MP (nominal)'!$D$12:$AM$244,ROW()-12,FALSE)="","",HLOOKUP(H$13,'MP (nominal)'!$D$12:$AM$244,ROW()-12,FALSE))</f>
        <v>1714</v>
      </c>
      <c r="I132" s="31">
        <f>IF(HLOOKUP(I$13,'MP (nominal)'!$D$12:$AM$244,ROW()-12,FALSE)="","",HLOOKUP(I$13,'MP (nominal)'!$D$12:$AM$244,ROW()-12,FALSE))</f>
        <v>0</v>
      </c>
      <c r="J132" s="31">
        <f>IF(HLOOKUP(J$13,'MP (nominal)'!$D$12:$AM$244,ROW()-12,FALSE)="","",HLOOKUP(J$13,'MP (nominal)'!$D$12:$AM$244,ROW()-12,FALSE))</f>
        <v>1631</v>
      </c>
      <c r="K132" s="281"/>
      <c r="L132" s="27">
        <f>IF(HLOOKUP(L$13,'MP (nominal)'!$D$12:$AM$244,ROW()-12,FALSE)="","",HLOOKUP(L$13,'MP (nominal)'!$D$12:$AM$244,ROW()-12,FALSE))</f>
        <v>51</v>
      </c>
      <c r="M132" s="283">
        <f>IF(HLOOKUP(M$13,'MP (nominal)'!$D$12:$AM$244,ROW()-12,FALSE)="","",HLOOKUP(M$13,'MP (nominal)'!$D$12:$AM$244,ROW()-12,FALSE))</f>
        <v>241</v>
      </c>
      <c r="N132" s="35"/>
      <c r="O132" s="27">
        <f>IF(HLOOKUP(O$13,'MP (nominal)'!$D$12:$AM$244,ROW()-12,FALSE)="","",HLOOKUP(O$13,'MP (nominal)'!$D$12:$AM$244,ROW()-12,FALSE))</f>
        <v>12257</v>
      </c>
      <c r="P132" s="31"/>
      <c r="Q132" s="281"/>
      <c r="R132" s="281">
        <f>IF(HLOOKUP(R$13,'MP (nominal)'!$D$12:$AM$244,ROW()-12,FALSE)="","",HLOOKUP(R$13,'MP (nominal)'!$D$12:$AM$244,ROW()-12,FALSE))</f>
        <v>64.290000000000006</v>
      </c>
      <c r="S132" s="281">
        <f>IF(HLOOKUP(S$13,'MP (nominal)'!$D$12:$AM$244,ROW()-12,FALSE)="","",HLOOKUP(S$13,'MP (nominal)'!$D$12:$AM$244,ROW()-12,FALSE))</f>
        <v>14.68</v>
      </c>
      <c r="T132" s="281">
        <f>IF(HLOOKUP(T$13,'MP (nominal)'!$D$12:$AM$244,ROW()-12,FALSE)="","",HLOOKUP(T$13,'MP (nominal)'!$D$12:$AM$244,ROW()-12,FALSE))</f>
        <v>49.61</v>
      </c>
      <c r="U132" s="281"/>
      <c r="V132" s="281">
        <f>IF(HLOOKUP(V$13,'MP (nominal)'!$D$12:$AM$244,ROW()-12,FALSE)="","",HLOOKUP(V$13,'MP (nominal)'!$D$12:$AM$244,ROW()-12,FALSE))</f>
        <v>1.46</v>
      </c>
      <c r="W132" s="281">
        <f>IF(HLOOKUP(W$13,'MP (nominal)'!$D$12:$AM$244,ROW()-12,FALSE)="","",HLOOKUP(W$13,'MP (nominal)'!$D$12:$AM$244,ROW()-12,FALSE))</f>
        <v>7.0000000000000007E-2</v>
      </c>
      <c r="X132" s="281">
        <f>IF(HLOOKUP(X$13,'MP (nominal)'!$D$12:$AM$244,ROW()-12,FALSE)="","",HLOOKUP(X$13,'MP (nominal)'!$D$12:$AM$244,ROW()-12,FALSE))</f>
        <v>1.39</v>
      </c>
      <c r="Y132" s="281"/>
      <c r="Z132" s="281">
        <f>IF(HLOOKUP(Z$13,'MP (nominal)'!$D$12:$AM$244,ROW()-12,FALSE)="","",HLOOKUP(Z$13,'MP (nominal)'!$D$12:$AM$244,ROW()-12,FALSE)*VLOOKUP($C132,CPI!$B$9:$I$63,8))</f>
        <v>4832.3362345396235</v>
      </c>
      <c r="AA132" s="281">
        <f>IF(HLOOKUP(AA$13,'MP (nominal)'!$D$12:$AM$244,ROW()-12,FALSE)="","",HLOOKUP(AA$13,'MP (nominal)'!$D$12:$AM$244,ROW()-12,FALSE))</f>
        <v>76903</v>
      </c>
      <c r="AB132" s="281">
        <f>IF(HLOOKUP(AB$13,'MP (nominal)'!$D$12:$AM$244,ROW()-12,FALSE)="","",HLOOKUP(AB$13,'MP (nominal)'!$D$12:$AM$244,ROW()-12,FALSE))</f>
        <v>10279</v>
      </c>
      <c r="AC132" s="281"/>
      <c r="AD132" s="281">
        <f>IF(HLOOKUP(AD$13,'MP (nominal)'!$D$12:$AM$244,ROW()-12,FALSE)="","",HLOOKUP(AD$13,'MP (nominal)'!$D$12:$AM$244,ROW()-12,FALSE)*VLOOKUP($C132,CPI!$B$9:$I$63,8))</f>
        <v>4927.0879254129495</v>
      </c>
      <c r="AE132" s="31">
        <f>IF(HLOOKUP(AE$13,'MP (nominal)'!$D$12:$AM$244,ROW()-12,FALSE)="","",HLOOKUP(AE$13,'MP (nominal)'!$D$12:$AM$244,ROW()-12,FALSE))</f>
        <v>73141</v>
      </c>
      <c r="AF132" s="31">
        <f>IF(HLOOKUP(AF$13,'MP (nominal)'!$D$12:$AM$244,ROW()-12,FALSE)="","",HLOOKUP(AF$13,'MP (nominal)'!$D$12:$AM$244,ROW()-12,FALSE))</f>
        <v>1914</v>
      </c>
      <c r="AG132" s="281"/>
      <c r="AH132" s="281">
        <f>IF(HLOOKUP(AH$13,'MP (nominal)'!$D$12:$AM$244,ROW()-12,FALSE)="","",HLOOKUP(AH$13,'MP (nominal)'!$D$12:$AM$244,ROW()-12,FALSE)*VLOOKUP($C132,CPI!$B$9:$I$63,8))</f>
        <v>1612.8164156180105</v>
      </c>
      <c r="AI132" s="31">
        <f>IF(HLOOKUP(AI$13,'MP (nominal)'!$D$12:$AM$244,ROW()-12,FALSE)="","",HLOOKUP(AI$13,'MP (nominal)'!$D$12:$AM$244,ROW()-12,FALSE))</f>
        <v>33095</v>
      </c>
      <c r="AJ132" s="31">
        <f>IF(HLOOKUP(AJ$13,'MP (nominal)'!$D$12:$AM$244,ROW()-12,FALSE)="","",HLOOKUP(AJ$13,'MP (nominal)'!$D$12:$AM$244,ROW()-12,FALSE))</f>
        <v>59</v>
      </c>
      <c r="AK132" s="281"/>
      <c r="AL132" s="281">
        <f>IF(HLOOKUP(AL$13,'MP (nominal)'!$D$12:$AM$244,ROW()-12,FALSE)="","",HLOOKUP(AL$13,'MP (nominal)'!$D$12:$AM$244,ROW()-12,FALSE)*VLOOKUP($C132,CPI!$B$9:$I$63,8))</f>
        <v>1284.7514214114412</v>
      </c>
      <c r="AM132" s="31">
        <f>IF(HLOOKUP(AM$13,'MP (nominal)'!$D$12:$AM$244,ROW()-12,FALSE)="","",HLOOKUP(AM$13,'MP (nominal)'!$D$12:$AM$244,ROW()-12,FALSE))</f>
        <v>57861</v>
      </c>
      <c r="AN132" s="31">
        <f>IF(HLOOKUP(AN$13,'MP (nominal)'!$D$12:$AM$244,ROW()-12,FALSE)="","",HLOOKUP(AN$13,'MP (nominal)'!$D$12:$AM$244,ROW()-12,FALSE))</f>
        <v>5</v>
      </c>
      <c r="AO132" s="281"/>
      <c r="AP132" s="281">
        <f>IF(HLOOKUP(AP$13,'MP (nominal)'!$D$12:$AM$244,ROW()-12,FALSE)="","",HLOOKUP(AP$13,'MP (nominal)'!$D$12:$AM$244,ROW()-12,FALSE)*VLOOKUP($C132,CPI!$B$9:$I$63,8))</f>
        <v>12656.991996982026</v>
      </c>
      <c r="AQ132" s="31">
        <f>IF(HLOOKUP(AQ$13,'MP (nominal)'!$D$12:$AM$244,ROW()-12,FALSE)="","",HLOOKUP(AQ$13,'MP (nominal)'!$D$12:$AM$244,ROW()-12,FALSE))</f>
        <v>241000</v>
      </c>
      <c r="AR132" s="281">
        <f>IF(HLOOKUP(AR$13,'MP (nominal)'!$D$12:$AM$244,ROW()-12,FALSE)="","",HLOOKUP(AR$13,'MP (nominal)'!$D$12:$AM$244,ROW()-12,FALSE))</f>
        <v>12257</v>
      </c>
    </row>
    <row r="133" spans="1:44" s="278" customFormat="1">
      <c r="A133" s="271">
        <f>References!J272</f>
        <v>330</v>
      </c>
      <c r="B133" s="292" t="s">
        <v>43</v>
      </c>
      <c r="C133" s="284">
        <v>2011</v>
      </c>
      <c r="D133" s="27">
        <f>IF(HLOOKUP(D$13,'MP (nominal)'!$D$12:$AM$244,ROW()-12,FALSE)="","",HLOOKUP(D$13,'MP (nominal)'!$D$12:$AM$244,ROW()-12,FALSE))</f>
        <v>1645</v>
      </c>
      <c r="E133" s="281">
        <f>IF(HLOOKUP(E$13,'MP (nominal)'!$D$12:$AM$244,ROW()-12,FALSE)="","",HLOOKUP(E$13,'MP (nominal)'!$D$12:$AM$244,ROW()-12,FALSE))</f>
        <v>0</v>
      </c>
      <c r="F133" s="27">
        <f>IF(HLOOKUP(F$13,'MP (nominal)'!$D$12:$AM$244,ROW()-12,FALSE)="","",HLOOKUP(F$13,'MP (nominal)'!$D$12:$AM$244,ROW()-12,FALSE))</f>
        <v>85</v>
      </c>
      <c r="G133" s="281">
        <f>IF(HLOOKUP(G$13,'MP (nominal)'!$D$12:$AM$244,ROW()-12,FALSE)="","",HLOOKUP(G$13,'MP (nominal)'!$D$12:$AM$244,ROW()-12,FALSE))</f>
        <v>0</v>
      </c>
      <c r="H133" s="27">
        <f>IF(HLOOKUP(H$13,'MP (nominal)'!$D$12:$AM$244,ROW()-12,FALSE)="","",HLOOKUP(H$13,'MP (nominal)'!$D$12:$AM$244,ROW()-12,FALSE))</f>
        <v>1730</v>
      </c>
      <c r="I133" s="31">
        <f>IF(HLOOKUP(I$13,'MP (nominal)'!$D$12:$AM$244,ROW()-12,FALSE)="","",HLOOKUP(I$13,'MP (nominal)'!$D$12:$AM$244,ROW()-12,FALSE))</f>
        <v>0</v>
      </c>
      <c r="J133" s="31">
        <f>IF(HLOOKUP(J$13,'MP (nominal)'!$D$12:$AM$244,ROW()-12,FALSE)="","",HLOOKUP(J$13,'MP (nominal)'!$D$12:$AM$244,ROW()-12,FALSE))</f>
        <v>1645</v>
      </c>
      <c r="K133" s="281"/>
      <c r="L133" s="27">
        <f>IF(HLOOKUP(L$13,'MP (nominal)'!$D$12:$AM$244,ROW()-12,FALSE)="","",HLOOKUP(L$13,'MP (nominal)'!$D$12:$AM$244,ROW()-12,FALSE))</f>
        <v>48</v>
      </c>
      <c r="M133" s="283">
        <f>IF(HLOOKUP(M$13,'MP (nominal)'!$D$12:$AM$244,ROW()-12,FALSE)="","",HLOOKUP(M$13,'MP (nominal)'!$D$12:$AM$244,ROW()-12,FALSE))</f>
        <v>222.94704999999999</v>
      </c>
      <c r="N133" s="35"/>
      <c r="O133" s="27">
        <f>IF(HLOOKUP(O$13,'MP (nominal)'!$D$12:$AM$244,ROW()-12,FALSE)="","",HLOOKUP(O$13,'MP (nominal)'!$D$12:$AM$244,ROW()-12,FALSE))</f>
        <v>12318</v>
      </c>
      <c r="P133" s="31"/>
      <c r="Q133" s="281"/>
      <c r="R133" s="281">
        <f>IF(HLOOKUP(R$13,'MP (nominal)'!$D$12:$AM$244,ROW()-12,FALSE)="","",HLOOKUP(R$13,'MP (nominal)'!$D$12:$AM$244,ROW()-12,FALSE))</f>
        <v>61.33</v>
      </c>
      <c r="S133" s="281">
        <f>IF(HLOOKUP(S$13,'MP (nominal)'!$D$12:$AM$244,ROW()-12,FALSE)="","",HLOOKUP(S$13,'MP (nominal)'!$D$12:$AM$244,ROW()-12,FALSE))</f>
        <v>11.35</v>
      </c>
      <c r="T133" s="281">
        <f>IF(HLOOKUP(T$13,'MP (nominal)'!$D$12:$AM$244,ROW()-12,FALSE)="","",HLOOKUP(T$13,'MP (nominal)'!$D$12:$AM$244,ROW()-12,FALSE))</f>
        <v>49.96</v>
      </c>
      <c r="U133" s="281"/>
      <c r="V133" s="281">
        <f>IF(HLOOKUP(V$13,'MP (nominal)'!$D$12:$AM$244,ROW()-12,FALSE)="","",HLOOKUP(V$13,'MP (nominal)'!$D$12:$AM$244,ROW()-12,FALSE))</f>
        <v>0.82</v>
      </c>
      <c r="W133" s="281">
        <f>IF(HLOOKUP(W$13,'MP (nominal)'!$D$12:$AM$244,ROW()-12,FALSE)="","",HLOOKUP(W$13,'MP (nominal)'!$D$12:$AM$244,ROW()-12,FALSE))</f>
        <v>0.05</v>
      </c>
      <c r="X133" s="281">
        <f>IF(HLOOKUP(X$13,'MP (nominal)'!$D$12:$AM$244,ROW()-12,FALSE)="","",HLOOKUP(X$13,'MP (nominal)'!$D$12:$AM$244,ROW()-12,FALSE))</f>
        <v>0.76</v>
      </c>
      <c r="Y133" s="281"/>
      <c r="Z133" s="281">
        <f>IF(HLOOKUP(Z$13,'MP (nominal)'!$D$12:$AM$244,ROW()-12,FALSE)="","",HLOOKUP(Z$13,'MP (nominal)'!$D$12:$AM$244,ROW()-12,FALSE)*VLOOKUP($C133,CPI!$B$9:$I$63,8))</f>
        <v>4236</v>
      </c>
      <c r="AA133" s="281">
        <f>IF(HLOOKUP(AA$13,'MP (nominal)'!$D$12:$AM$244,ROW()-12,FALSE)="","",HLOOKUP(AA$13,'MP (nominal)'!$D$12:$AM$244,ROW()-12,FALSE))</f>
        <v>73240.301000000007</v>
      </c>
      <c r="AB133" s="281">
        <f>IF(HLOOKUP(AB$13,'MP (nominal)'!$D$12:$AM$244,ROW()-12,FALSE)="","",HLOOKUP(AB$13,'MP (nominal)'!$D$12:$AM$244,ROW()-12,FALSE))</f>
        <v>10510</v>
      </c>
      <c r="AC133" s="281"/>
      <c r="AD133" s="281">
        <f>IF(HLOOKUP(AD$13,'MP (nominal)'!$D$12:$AM$244,ROW()-12,FALSE)="","",HLOOKUP(AD$13,'MP (nominal)'!$D$12:$AM$244,ROW()-12,FALSE)*VLOOKUP($C133,CPI!$B$9:$I$63,8))</f>
        <v>5270</v>
      </c>
      <c r="AE133" s="31">
        <f>IF(HLOOKUP(AE$13,'MP (nominal)'!$D$12:$AM$244,ROW()-12,FALSE)="","",HLOOKUP(AE$13,'MP (nominal)'!$D$12:$AM$244,ROW()-12,FALSE))</f>
        <v>69881.53</v>
      </c>
      <c r="AF133" s="31">
        <f>IF(HLOOKUP(AF$13,'MP (nominal)'!$D$12:$AM$244,ROW()-12,FALSE)="","",HLOOKUP(AF$13,'MP (nominal)'!$D$12:$AM$244,ROW()-12,FALSE))</f>
        <v>1742</v>
      </c>
      <c r="AG133" s="281"/>
      <c r="AH133" s="281">
        <f>IF(HLOOKUP(AH$13,'MP (nominal)'!$D$12:$AM$244,ROW()-12,FALSE)="","",HLOOKUP(AH$13,'MP (nominal)'!$D$12:$AM$244,ROW()-12,FALSE)*VLOOKUP($C133,CPI!$B$9:$I$63,8))</f>
        <v>1711</v>
      </c>
      <c r="AI133" s="31">
        <f>IF(HLOOKUP(AI$13,'MP (nominal)'!$D$12:$AM$244,ROW()-12,FALSE)="","",HLOOKUP(AI$13,'MP (nominal)'!$D$12:$AM$244,ROW()-12,FALSE))</f>
        <v>29965.454000000002</v>
      </c>
      <c r="AJ133" s="31">
        <f>IF(HLOOKUP(AJ$13,'MP (nominal)'!$D$12:$AM$244,ROW()-12,FALSE)="","",HLOOKUP(AJ$13,'MP (nominal)'!$D$12:$AM$244,ROW()-12,FALSE))</f>
        <v>61</v>
      </c>
      <c r="AK133" s="281"/>
      <c r="AL133" s="281">
        <f>IF(HLOOKUP(AL$13,'MP (nominal)'!$D$12:$AM$244,ROW()-12,FALSE)="","",HLOOKUP(AL$13,'MP (nominal)'!$D$12:$AM$244,ROW()-12,FALSE)*VLOOKUP($C133,CPI!$B$9:$I$63,8))</f>
        <v>1284</v>
      </c>
      <c r="AM133" s="31">
        <f>IF(HLOOKUP(AM$13,'MP (nominal)'!$D$12:$AM$244,ROW()-12,FALSE)="","",HLOOKUP(AM$13,'MP (nominal)'!$D$12:$AM$244,ROW()-12,FALSE))</f>
        <v>49859.762000000002</v>
      </c>
      <c r="AN133" s="31">
        <f>IF(HLOOKUP(AN$13,'MP (nominal)'!$D$12:$AM$244,ROW()-12,FALSE)="","",HLOOKUP(AN$13,'MP (nominal)'!$D$12:$AM$244,ROW()-12,FALSE))</f>
        <v>5</v>
      </c>
      <c r="AO133" s="281"/>
      <c r="AP133" s="281">
        <f>IF(HLOOKUP(AP$13,'MP (nominal)'!$D$12:$AM$244,ROW()-12,FALSE)="","",HLOOKUP(AP$13,'MP (nominal)'!$D$12:$AM$244,ROW()-12,FALSE)*VLOOKUP($C133,CPI!$B$9:$I$63,8))</f>
        <v>12501</v>
      </c>
      <c r="AQ133" s="31">
        <f>IF(HLOOKUP(AQ$13,'MP (nominal)'!$D$12:$AM$244,ROW()-12,FALSE)="","",HLOOKUP(AQ$13,'MP (nominal)'!$D$12:$AM$244,ROW()-12,FALSE))</f>
        <v>222947.05</v>
      </c>
      <c r="AR133" s="281">
        <f>IF(HLOOKUP(AR$13,'MP (nominal)'!$D$12:$AM$244,ROW()-12,FALSE)="","",HLOOKUP(AR$13,'MP (nominal)'!$D$12:$AM$244,ROW()-12,FALSE))</f>
        <v>12318</v>
      </c>
    </row>
    <row r="134" spans="1:44" s="278" customFormat="1" hidden="1">
      <c r="A134" s="271">
        <f>References!C273</f>
        <v>346</v>
      </c>
      <c r="B134" s="292" t="s">
        <v>44</v>
      </c>
      <c r="C134" s="284">
        <v>2004</v>
      </c>
      <c r="D134" s="27" t="str">
        <f>IF(HLOOKUP(D$13,'MP (nominal)'!$D$12:$AM$244,ROW()-12,FALSE)="","",HLOOKUP(D$13,'MP (nominal)'!$D$12:$AM$244,ROW()-12,FALSE))</f>
        <v/>
      </c>
      <c r="E134" s="281" t="str">
        <f>IF(HLOOKUP(E$13,'MP (nominal)'!$D$12:$AM$244,ROW()-12,FALSE)="","",HLOOKUP(E$13,'MP (nominal)'!$D$12:$AM$244,ROW()-12,FALSE))</f>
        <v/>
      </c>
      <c r="F134" s="27">
        <f>IF(HLOOKUP(F$13,'MP (nominal)'!$D$12:$AM$244,ROW()-12,FALSE)="","",HLOOKUP(F$13,'MP (nominal)'!$D$12:$AM$244,ROW()-12,FALSE))</f>
        <v>436</v>
      </c>
      <c r="G134" s="281" t="str">
        <f>IF(HLOOKUP(G$13,'MP (nominal)'!$D$12:$AM$244,ROW()-12,FALSE)="","",HLOOKUP(G$13,'MP (nominal)'!$D$12:$AM$244,ROW()-12,FALSE))</f>
        <v/>
      </c>
      <c r="H134" s="27">
        <f>IF(HLOOKUP(H$13,'MP (nominal)'!$D$12:$AM$244,ROW()-12,FALSE)="","",HLOOKUP(H$13,'MP (nominal)'!$D$12:$AM$244,ROW()-12,FALSE))</f>
        <v>5305</v>
      </c>
      <c r="I134" s="31" t="str">
        <f>IF(HLOOKUP(I$13,'MP (nominal)'!$D$12:$AM$244,ROW()-12,FALSE)="","",HLOOKUP(I$13,'MP (nominal)'!$D$12:$AM$244,ROW()-12,FALSE))</f>
        <v/>
      </c>
      <c r="J134" s="31">
        <f>IF(HLOOKUP(J$13,'MP (nominal)'!$D$12:$AM$244,ROW()-12,FALSE)="","",HLOOKUP(J$13,'MP (nominal)'!$D$12:$AM$244,ROW()-12,FALSE))</f>
        <v>4869</v>
      </c>
      <c r="K134" s="281"/>
      <c r="L134" s="27">
        <f>IF(HLOOKUP(L$13,'MP (nominal)'!$D$12:$AM$244,ROW()-12,FALSE)="","",HLOOKUP(L$13,'MP (nominal)'!$D$12:$AM$244,ROW()-12,FALSE))</f>
        <v>131.88</v>
      </c>
      <c r="M134" s="293">
        <f>IF(HLOOKUP(M$13,'MP (nominal)'!$D$12:$AM$244,ROW()-12,FALSE)="","",HLOOKUP(M$13,'MP (nominal)'!$D$12:$AM$244,ROW()-12,FALSE))</f>
        <v>867.72043699999995</v>
      </c>
      <c r="N134" s="35"/>
      <c r="O134" s="27">
        <f>IF(HLOOKUP(O$13,'MP (nominal)'!$D$12:$AM$244,ROW()-12,FALSE)="","",HLOOKUP(O$13,'MP (nominal)'!$D$12:$AM$244,ROW()-12,FALSE))</f>
        <v>48852</v>
      </c>
      <c r="P134" s="31"/>
      <c r="Q134" s="281"/>
      <c r="R134" s="281">
        <f>IF(HLOOKUP(R$13,'MP (nominal)'!$D$12:$AM$244,ROW()-12,FALSE)="","",HLOOKUP(R$13,'MP (nominal)'!$D$12:$AM$244,ROW()-12,FALSE))</f>
        <v>145.32</v>
      </c>
      <c r="S134" s="281" t="str">
        <f>IF(HLOOKUP(S$13,'MP (nominal)'!$D$12:$AM$244,ROW()-12,FALSE)="","",HLOOKUP(S$13,'MP (nominal)'!$D$12:$AM$244,ROW()-12,FALSE))</f>
        <v/>
      </c>
      <c r="T134" s="281" t="str">
        <f>IF(HLOOKUP(T$13,'MP (nominal)'!$D$12:$AM$244,ROW()-12,FALSE)="","",HLOOKUP(T$13,'MP (nominal)'!$D$12:$AM$244,ROW()-12,FALSE))</f>
        <v/>
      </c>
      <c r="U134" s="281"/>
      <c r="V134" s="281">
        <f>IF(HLOOKUP(V$13,'MP (nominal)'!$D$12:$AM$244,ROW()-12,FALSE)="","",HLOOKUP(V$13,'MP (nominal)'!$D$12:$AM$244,ROW()-12,FALSE))</f>
        <v>2.71</v>
      </c>
      <c r="W134" s="281" t="str">
        <f>IF(HLOOKUP(W$13,'MP (nominal)'!$D$12:$AM$244,ROW()-12,FALSE)="","",HLOOKUP(W$13,'MP (nominal)'!$D$12:$AM$244,ROW()-12,FALSE))</f>
        <v/>
      </c>
      <c r="X134" s="281" t="str">
        <f>IF(HLOOKUP(X$13,'MP (nominal)'!$D$12:$AM$244,ROW()-12,FALSE)="","",HLOOKUP(X$13,'MP (nominal)'!$D$12:$AM$244,ROW()-12,FALSE))</f>
        <v/>
      </c>
      <c r="Y134" s="281"/>
      <c r="Z134" s="281" t="str">
        <f>IF(HLOOKUP(Z$13,'MP (nominal)'!$D$12:$AM$244,ROW()-12,FALSE)="","",HLOOKUP(Z$13,'MP (nominal)'!$D$12:$AM$244,ROW()-12,FALSE)*VLOOKUP($C134,CPI!$B$9:$I$63,8))</f>
        <v/>
      </c>
      <c r="AA134" s="281" t="str">
        <f>IF(HLOOKUP(AA$13,'MP (nominal)'!$D$12:$AM$244,ROW()-12,FALSE)="","",HLOOKUP(AA$13,'MP (nominal)'!$D$12:$AM$244,ROW()-12,FALSE))</f>
        <v/>
      </c>
      <c r="AB134" s="281" t="str">
        <f>IF(HLOOKUP(AB$13,'MP (nominal)'!$D$12:$AM$244,ROW()-12,FALSE)="","",HLOOKUP(AB$13,'MP (nominal)'!$D$12:$AM$244,ROW()-12,FALSE))</f>
        <v/>
      </c>
      <c r="AC134" s="281"/>
      <c r="AD134" s="281" t="str">
        <f>IF(HLOOKUP(AD$13,'MP (nominal)'!$D$12:$AM$244,ROW()-12,FALSE)="","",HLOOKUP(AD$13,'MP (nominal)'!$D$12:$AM$244,ROW()-12,FALSE)*VLOOKUP($C134,CPI!$B$9:$I$63,8))</f>
        <v/>
      </c>
      <c r="AE134" s="31" t="str">
        <f>IF(HLOOKUP(AE$13,'MP (nominal)'!$D$12:$AM$244,ROW()-12,FALSE)="","",HLOOKUP(AE$13,'MP (nominal)'!$D$12:$AM$244,ROW()-12,FALSE))</f>
        <v/>
      </c>
      <c r="AF134" s="31" t="str">
        <f>IF(HLOOKUP(AF$13,'MP (nominal)'!$D$12:$AM$244,ROW()-12,FALSE)="","",HLOOKUP(AF$13,'MP (nominal)'!$D$12:$AM$244,ROW()-12,FALSE))</f>
        <v/>
      </c>
      <c r="AG134" s="281"/>
      <c r="AH134" s="281" t="str">
        <f>IF(HLOOKUP(AH$13,'MP (nominal)'!$D$12:$AM$244,ROW()-12,FALSE)="","",HLOOKUP(AH$13,'MP (nominal)'!$D$12:$AM$244,ROW()-12,FALSE)*VLOOKUP($C134,CPI!$B$9:$I$63,8))</f>
        <v/>
      </c>
      <c r="AI134" s="31" t="str">
        <f>IF(HLOOKUP(AI$13,'MP (nominal)'!$D$12:$AM$244,ROW()-12,FALSE)="","",HLOOKUP(AI$13,'MP (nominal)'!$D$12:$AM$244,ROW()-12,FALSE))</f>
        <v/>
      </c>
      <c r="AJ134" s="31" t="str">
        <f>IF(HLOOKUP(AJ$13,'MP (nominal)'!$D$12:$AM$244,ROW()-12,FALSE)="","",HLOOKUP(AJ$13,'MP (nominal)'!$D$12:$AM$244,ROW()-12,FALSE))</f>
        <v/>
      </c>
      <c r="AK134" s="281"/>
      <c r="AL134" s="281" t="str">
        <f>IF(HLOOKUP(AL$13,'MP (nominal)'!$D$12:$AM$244,ROW()-12,FALSE)="","",HLOOKUP(AL$13,'MP (nominal)'!$D$12:$AM$244,ROW()-12,FALSE)*VLOOKUP($C134,CPI!$B$9:$I$63,8))</f>
        <v/>
      </c>
      <c r="AM134" s="31" t="str">
        <f>IF(HLOOKUP(AM$13,'MP (nominal)'!$D$12:$AM$244,ROW()-12,FALSE)="","",HLOOKUP(AM$13,'MP (nominal)'!$D$12:$AM$244,ROW()-12,FALSE))</f>
        <v/>
      </c>
      <c r="AN134" s="31" t="str">
        <f>IF(HLOOKUP(AN$13,'MP (nominal)'!$D$12:$AM$244,ROW()-12,FALSE)="","",HLOOKUP(AN$13,'MP (nominal)'!$D$12:$AM$244,ROW()-12,FALSE))</f>
        <v/>
      </c>
      <c r="AO134" s="281"/>
      <c r="AP134" s="281" t="str">
        <f>IF(HLOOKUP(AP$13,'MP (nominal)'!$D$12:$AM$244,ROW()-12,FALSE)="","",HLOOKUP(AP$13,'MP (nominal)'!$D$12:$AM$244,ROW()-12,FALSE)*VLOOKUP($C134,CPI!$B$9:$I$63,8))</f>
        <v/>
      </c>
      <c r="AQ134" s="31" t="str">
        <f>IF(HLOOKUP(AQ$13,'MP (nominal)'!$D$12:$AM$244,ROW()-12,FALSE)="","",HLOOKUP(AQ$13,'MP (nominal)'!$D$12:$AM$244,ROW()-12,FALSE))</f>
        <v/>
      </c>
      <c r="AR134" s="281" t="str">
        <f>IF(HLOOKUP(AR$13,'MP (nominal)'!$D$12:$AM$244,ROW()-12,FALSE)="","",HLOOKUP(AR$13,'MP (nominal)'!$D$12:$AM$244,ROW()-12,FALSE))</f>
        <v/>
      </c>
    </row>
    <row r="135" spans="1:44" s="278" customFormat="1" hidden="1">
      <c r="A135" s="271">
        <f>References!D273</f>
        <v>347</v>
      </c>
      <c r="B135" s="292" t="s">
        <v>44</v>
      </c>
      <c r="C135" s="284">
        <v>2005</v>
      </c>
      <c r="D135" s="27" t="str">
        <f>IF(HLOOKUP(D$13,'MP (nominal)'!$D$12:$AM$244,ROW()-12,FALSE)="","",HLOOKUP(D$13,'MP (nominal)'!$D$12:$AM$244,ROW()-12,FALSE))</f>
        <v/>
      </c>
      <c r="E135" s="281" t="str">
        <f>IF(HLOOKUP(E$13,'MP (nominal)'!$D$12:$AM$244,ROW()-12,FALSE)="","",HLOOKUP(E$13,'MP (nominal)'!$D$12:$AM$244,ROW()-12,FALSE))</f>
        <v/>
      </c>
      <c r="F135" s="27">
        <f>IF(HLOOKUP(F$13,'MP (nominal)'!$D$12:$AM$244,ROW()-12,FALSE)="","",HLOOKUP(F$13,'MP (nominal)'!$D$12:$AM$244,ROW()-12,FALSE))</f>
        <v>513</v>
      </c>
      <c r="G135" s="281" t="str">
        <f>IF(HLOOKUP(G$13,'MP (nominal)'!$D$12:$AM$244,ROW()-12,FALSE)="","",HLOOKUP(G$13,'MP (nominal)'!$D$12:$AM$244,ROW()-12,FALSE))</f>
        <v/>
      </c>
      <c r="H135" s="27">
        <f>IF(HLOOKUP(H$13,'MP (nominal)'!$D$12:$AM$244,ROW()-12,FALSE)="","",HLOOKUP(H$13,'MP (nominal)'!$D$12:$AM$244,ROW()-12,FALSE))</f>
        <v>5419</v>
      </c>
      <c r="I135" s="31" t="str">
        <f>IF(HLOOKUP(I$13,'MP (nominal)'!$D$12:$AM$244,ROW()-12,FALSE)="","",HLOOKUP(I$13,'MP (nominal)'!$D$12:$AM$244,ROW()-12,FALSE))</f>
        <v/>
      </c>
      <c r="J135" s="31">
        <f>IF(HLOOKUP(J$13,'MP (nominal)'!$D$12:$AM$244,ROW()-12,FALSE)="","",HLOOKUP(J$13,'MP (nominal)'!$D$12:$AM$244,ROW()-12,FALSE))</f>
        <v>4906</v>
      </c>
      <c r="K135" s="281"/>
      <c r="L135" s="27">
        <f>IF(HLOOKUP(L$13,'MP (nominal)'!$D$12:$AM$244,ROW()-12,FALSE)="","",HLOOKUP(L$13,'MP (nominal)'!$D$12:$AM$244,ROW()-12,FALSE))</f>
        <v>135.34399999999999</v>
      </c>
      <c r="M135" s="293">
        <f>IF(HLOOKUP(M$13,'MP (nominal)'!$D$12:$AM$244,ROW()-12,FALSE)="","",HLOOKUP(M$13,'MP (nominal)'!$D$12:$AM$244,ROW()-12,FALSE))</f>
        <v>876.31043299999999</v>
      </c>
      <c r="N135" s="35"/>
      <c r="O135" s="27">
        <f>IF(HLOOKUP(O$13,'MP (nominal)'!$D$12:$AM$244,ROW()-12,FALSE)="","",HLOOKUP(O$13,'MP (nominal)'!$D$12:$AM$244,ROW()-12,FALSE))</f>
        <v>49820</v>
      </c>
      <c r="P135" s="31"/>
      <c r="Q135" s="281"/>
      <c r="R135" s="281">
        <f>IF(HLOOKUP(R$13,'MP (nominal)'!$D$12:$AM$244,ROW()-12,FALSE)="","",HLOOKUP(R$13,'MP (nominal)'!$D$12:$AM$244,ROW()-12,FALSE))</f>
        <v>113.24</v>
      </c>
      <c r="S135" s="281" t="str">
        <f>IF(HLOOKUP(S$13,'MP (nominal)'!$D$12:$AM$244,ROW()-12,FALSE)="","",HLOOKUP(S$13,'MP (nominal)'!$D$12:$AM$244,ROW()-12,FALSE))</f>
        <v/>
      </c>
      <c r="T135" s="281" t="str">
        <f>IF(HLOOKUP(T$13,'MP (nominal)'!$D$12:$AM$244,ROW()-12,FALSE)="","",HLOOKUP(T$13,'MP (nominal)'!$D$12:$AM$244,ROW()-12,FALSE))</f>
        <v/>
      </c>
      <c r="U135" s="281"/>
      <c r="V135" s="281">
        <f>IF(HLOOKUP(V$13,'MP (nominal)'!$D$12:$AM$244,ROW()-12,FALSE)="","",HLOOKUP(V$13,'MP (nominal)'!$D$12:$AM$244,ROW()-12,FALSE))</f>
        <v>2.6</v>
      </c>
      <c r="W135" s="281" t="str">
        <f>IF(HLOOKUP(W$13,'MP (nominal)'!$D$12:$AM$244,ROW()-12,FALSE)="","",HLOOKUP(W$13,'MP (nominal)'!$D$12:$AM$244,ROW()-12,FALSE))</f>
        <v/>
      </c>
      <c r="X135" s="281" t="str">
        <f>IF(HLOOKUP(X$13,'MP (nominal)'!$D$12:$AM$244,ROW()-12,FALSE)="","",HLOOKUP(X$13,'MP (nominal)'!$D$12:$AM$244,ROW()-12,FALSE))</f>
        <v/>
      </c>
      <c r="Y135" s="281"/>
      <c r="Z135" s="281" t="str">
        <f>IF(HLOOKUP(Z$13,'MP (nominal)'!$D$12:$AM$244,ROW()-12,FALSE)="","",HLOOKUP(Z$13,'MP (nominal)'!$D$12:$AM$244,ROW()-12,FALSE)*VLOOKUP($C135,CPI!$B$9:$I$63,8))</f>
        <v/>
      </c>
      <c r="AA135" s="281" t="str">
        <f>IF(HLOOKUP(AA$13,'MP (nominal)'!$D$12:$AM$244,ROW()-12,FALSE)="","",HLOOKUP(AA$13,'MP (nominal)'!$D$12:$AM$244,ROW()-12,FALSE))</f>
        <v/>
      </c>
      <c r="AB135" s="281" t="str">
        <f>IF(HLOOKUP(AB$13,'MP (nominal)'!$D$12:$AM$244,ROW()-12,FALSE)="","",HLOOKUP(AB$13,'MP (nominal)'!$D$12:$AM$244,ROW()-12,FALSE))</f>
        <v/>
      </c>
      <c r="AC135" s="281"/>
      <c r="AD135" s="281" t="str">
        <f>IF(HLOOKUP(AD$13,'MP (nominal)'!$D$12:$AM$244,ROW()-12,FALSE)="","",HLOOKUP(AD$13,'MP (nominal)'!$D$12:$AM$244,ROW()-12,FALSE)*VLOOKUP($C135,CPI!$B$9:$I$63,8))</f>
        <v/>
      </c>
      <c r="AE135" s="31" t="str">
        <f>IF(HLOOKUP(AE$13,'MP (nominal)'!$D$12:$AM$244,ROW()-12,FALSE)="","",HLOOKUP(AE$13,'MP (nominal)'!$D$12:$AM$244,ROW()-12,FALSE))</f>
        <v/>
      </c>
      <c r="AF135" s="31" t="str">
        <f>IF(HLOOKUP(AF$13,'MP (nominal)'!$D$12:$AM$244,ROW()-12,FALSE)="","",HLOOKUP(AF$13,'MP (nominal)'!$D$12:$AM$244,ROW()-12,FALSE))</f>
        <v/>
      </c>
      <c r="AG135" s="281"/>
      <c r="AH135" s="281" t="str">
        <f>IF(HLOOKUP(AH$13,'MP (nominal)'!$D$12:$AM$244,ROW()-12,FALSE)="","",HLOOKUP(AH$13,'MP (nominal)'!$D$12:$AM$244,ROW()-12,FALSE)*VLOOKUP($C135,CPI!$B$9:$I$63,8))</f>
        <v/>
      </c>
      <c r="AI135" s="31" t="str">
        <f>IF(HLOOKUP(AI$13,'MP (nominal)'!$D$12:$AM$244,ROW()-12,FALSE)="","",HLOOKUP(AI$13,'MP (nominal)'!$D$12:$AM$244,ROW()-12,FALSE))</f>
        <v/>
      </c>
      <c r="AJ135" s="31" t="str">
        <f>IF(HLOOKUP(AJ$13,'MP (nominal)'!$D$12:$AM$244,ROW()-12,FALSE)="","",HLOOKUP(AJ$13,'MP (nominal)'!$D$12:$AM$244,ROW()-12,FALSE))</f>
        <v/>
      </c>
      <c r="AK135" s="281"/>
      <c r="AL135" s="281" t="str">
        <f>IF(HLOOKUP(AL$13,'MP (nominal)'!$D$12:$AM$244,ROW()-12,FALSE)="","",HLOOKUP(AL$13,'MP (nominal)'!$D$12:$AM$244,ROW()-12,FALSE)*VLOOKUP($C135,CPI!$B$9:$I$63,8))</f>
        <v/>
      </c>
      <c r="AM135" s="31" t="str">
        <f>IF(HLOOKUP(AM$13,'MP (nominal)'!$D$12:$AM$244,ROW()-12,FALSE)="","",HLOOKUP(AM$13,'MP (nominal)'!$D$12:$AM$244,ROW()-12,FALSE))</f>
        <v/>
      </c>
      <c r="AN135" s="31" t="str">
        <f>IF(HLOOKUP(AN$13,'MP (nominal)'!$D$12:$AM$244,ROW()-12,FALSE)="","",HLOOKUP(AN$13,'MP (nominal)'!$D$12:$AM$244,ROW()-12,FALSE))</f>
        <v/>
      </c>
      <c r="AO135" s="281"/>
      <c r="AP135" s="281" t="str">
        <f>IF(HLOOKUP(AP$13,'MP (nominal)'!$D$12:$AM$244,ROW()-12,FALSE)="","",HLOOKUP(AP$13,'MP (nominal)'!$D$12:$AM$244,ROW()-12,FALSE)*VLOOKUP($C135,CPI!$B$9:$I$63,8))</f>
        <v/>
      </c>
      <c r="AQ135" s="31" t="str">
        <f>IF(HLOOKUP(AQ$13,'MP (nominal)'!$D$12:$AM$244,ROW()-12,FALSE)="","",HLOOKUP(AQ$13,'MP (nominal)'!$D$12:$AM$244,ROW()-12,FALSE))</f>
        <v/>
      </c>
      <c r="AR135" s="281" t="str">
        <f>IF(HLOOKUP(AR$13,'MP (nominal)'!$D$12:$AM$244,ROW()-12,FALSE)="","",HLOOKUP(AR$13,'MP (nominal)'!$D$12:$AM$244,ROW()-12,FALSE))</f>
        <v/>
      </c>
    </row>
    <row r="136" spans="1:44" s="278" customFormat="1" hidden="1">
      <c r="A136" s="271">
        <f>References!E273</f>
        <v>348</v>
      </c>
      <c r="B136" s="292" t="s">
        <v>44</v>
      </c>
      <c r="C136" s="284">
        <v>2006</v>
      </c>
      <c r="D136" s="27" t="str">
        <f>IF(HLOOKUP(D$13,'MP (nominal)'!$D$12:$AM$244,ROW()-12,FALSE)="","",HLOOKUP(D$13,'MP (nominal)'!$D$12:$AM$244,ROW()-12,FALSE))</f>
        <v/>
      </c>
      <c r="E136" s="281" t="str">
        <f>IF(HLOOKUP(E$13,'MP (nominal)'!$D$12:$AM$244,ROW()-12,FALSE)="","",HLOOKUP(E$13,'MP (nominal)'!$D$12:$AM$244,ROW()-12,FALSE))</f>
        <v/>
      </c>
      <c r="F136" s="27">
        <f>IF(HLOOKUP(F$13,'MP (nominal)'!$D$12:$AM$244,ROW()-12,FALSE)="","",HLOOKUP(F$13,'MP (nominal)'!$D$12:$AM$244,ROW()-12,FALSE))</f>
        <v>640</v>
      </c>
      <c r="G136" s="281" t="str">
        <f>IF(HLOOKUP(G$13,'MP (nominal)'!$D$12:$AM$244,ROW()-12,FALSE)="","",HLOOKUP(G$13,'MP (nominal)'!$D$12:$AM$244,ROW()-12,FALSE))</f>
        <v/>
      </c>
      <c r="H136" s="27">
        <f>IF(HLOOKUP(H$13,'MP (nominal)'!$D$12:$AM$244,ROW()-12,FALSE)="","",HLOOKUP(H$13,'MP (nominal)'!$D$12:$AM$244,ROW()-12,FALSE))</f>
        <v>5586</v>
      </c>
      <c r="I136" s="31" t="str">
        <f>IF(HLOOKUP(I$13,'MP (nominal)'!$D$12:$AM$244,ROW()-12,FALSE)="","",HLOOKUP(I$13,'MP (nominal)'!$D$12:$AM$244,ROW()-12,FALSE))</f>
        <v/>
      </c>
      <c r="J136" s="31">
        <f>IF(HLOOKUP(J$13,'MP (nominal)'!$D$12:$AM$244,ROW()-12,FALSE)="","",HLOOKUP(J$13,'MP (nominal)'!$D$12:$AM$244,ROW()-12,FALSE))</f>
        <v>4946</v>
      </c>
      <c r="K136" s="281"/>
      <c r="L136" s="27">
        <f>IF(HLOOKUP(L$13,'MP (nominal)'!$D$12:$AM$244,ROW()-12,FALSE)="","",HLOOKUP(L$13,'MP (nominal)'!$D$12:$AM$244,ROW()-12,FALSE))</f>
        <v>143.80000000000001</v>
      </c>
      <c r="M136" s="293">
        <f>IF(HLOOKUP(M$13,'MP (nominal)'!$D$12:$AM$244,ROW()-12,FALSE)="","",HLOOKUP(M$13,'MP (nominal)'!$D$12:$AM$244,ROW()-12,FALSE))</f>
        <v>929.93555200000003</v>
      </c>
      <c r="N136" s="35"/>
      <c r="O136" s="27">
        <f>IF(HLOOKUP(O$13,'MP (nominal)'!$D$12:$AM$244,ROW()-12,FALSE)="","",HLOOKUP(O$13,'MP (nominal)'!$D$12:$AM$244,ROW()-12,FALSE))</f>
        <v>50753</v>
      </c>
      <c r="P136" s="31"/>
      <c r="Q136" s="281"/>
      <c r="R136" s="281">
        <f>IF(HLOOKUP(R$13,'MP (nominal)'!$D$12:$AM$244,ROW()-12,FALSE)="","",HLOOKUP(R$13,'MP (nominal)'!$D$12:$AM$244,ROW()-12,FALSE))</f>
        <v>119.23</v>
      </c>
      <c r="S136" s="281" t="str">
        <f>IF(HLOOKUP(S$13,'MP (nominal)'!$D$12:$AM$244,ROW()-12,FALSE)="","",HLOOKUP(S$13,'MP (nominal)'!$D$12:$AM$244,ROW()-12,FALSE))</f>
        <v/>
      </c>
      <c r="T136" s="281" t="str">
        <f>IF(HLOOKUP(T$13,'MP (nominal)'!$D$12:$AM$244,ROW()-12,FALSE)="","",HLOOKUP(T$13,'MP (nominal)'!$D$12:$AM$244,ROW()-12,FALSE))</f>
        <v/>
      </c>
      <c r="U136" s="281"/>
      <c r="V136" s="281">
        <f>IF(HLOOKUP(V$13,'MP (nominal)'!$D$12:$AM$244,ROW()-12,FALSE)="","",HLOOKUP(V$13,'MP (nominal)'!$D$12:$AM$244,ROW()-12,FALSE))</f>
        <v>2.4700000000000002</v>
      </c>
      <c r="W136" s="281" t="str">
        <f>IF(HLOOKUP(W$13,'MP (nominal)'!$D$12:$AM$244,ROW()-12,FALSE)="","",HLOOKUP(W$13,'MP (nominal)'!$D$12:$AM$244,ROW()-12,FALSE))</f>
        <v/>
      </c>
      <c r="X136" s="281" t="str">
        <f>IF(HLOOKUP(X$13,'MP (nominal)'!$D$12:$AM$244,ROW()-12,FALSE)="","",HLOOKUP(X$13,'MP (nominal)'!$D$12:$AM$244,ROW()-12,FALSE))</f>
        <v/>
      </c>
      <c r="Y136" s="281"/>
      <c r="Z136" s="281" t="str">
        <f>IF(HLOOKUP(Z$13,'MP (nominal)'!$D$12:$AM$244,ROW()-12,FALSE)="","",HLOOKUP(Z$13,'MP (nominal)'!$D$12:$AM$244,ROW()-12,FALSE)*VLOOKUP($C136,CPI!$B$9:$I$63,8))</f>
        <v/>
      </c>
      <c r="AA136" s="281" t="str">
        <f>IF(HLOOKUP(AA$13,'MP (nominal)'!$D$12:$AM$244,ROW()-12,FALSE)="","",HLOOKUP(AA$13,'MP (nominal)'!$D$12:$AM$244,ROW()-12,FALSE))</f>
        <v/>
      </c>
      <c r="AB136" s="281" t="str">
        <f>IF(HLOOKUP(AB$13,'MP (nominal)'!$D$12:$AM$244,ROW()-12,FALSE)="","",HLOOKUP(AB$13,'MP (nominal)'!$D$12:$AM$244,ROW()-12,FALSE))</f>
        <v/>
      </c>
      <c r="AC136" s="281"/>
      <c r="AD136" s="281" t="str">
        <f>IF(HLOOKUP(AD$13,'MP (nominal)'!$D$12:$AM$244,ROW()-12,FALSE)="","",HLOOKUP(AD$13,'MP (nominal)'!$D$12:$AM$244,ROW()-12,FALSE)*VLOOKUP($C136,CPI!$B$9:$I$63,8))</f>
        <v/>
      </c>
      <c r="AE136" s="31" t="str">
        <f>IF(HLOOKUP(AE$13,'MP (nominal)'!$D$12:$AM$244,ROW()-12,FALSE)="","",HLOOKUP(AE$13,'MP (nominal)'!$D$12:$AM$244,ROW()-12,FALSE))</f>
        <v/>
      </c>
      <c r="AF136" s="31" t="str">
        <f>IF(HLOOKUP(AF$13,'MP (nominal)'!$D$12:$AM$244,ROW()-12,FALSE)="","",HLOOKUP(AF$13,'MP (nominal)'!$D$12:$AM$244,ROW()-12,FALSE))</f>
        <v/>
      </c>
      <c r="AG136" s="281"/>
      <c r="AH136" s="281" t="str">
        <f>IF(HLOOKUP(AH$13,'MP (nominal)'!$D$12:$AM$244,ROW()-12,FALSE)="","",HLOOKUP(AH$13,'MP (nominal)'!$D$12:$AM$244,ROW()-12,FALSE)*VLOOKUP($C136,CPI!$B$9:$I$63,8))</f>
        <v/>
      </c>
      <c r="AI136" s="31" t="str">
        <f>IF(HLOOKUP(AI$13,'MP (nominal)'!$D$12:$AM$244,ROW()-12,FALSE)="","",HLOOKUP(AI$13,'MP (nominal)'!$D$12:$AM$244,ROW()-12,FALSE))</f>
        <v/>
      </c>
      <c r="AJ136" s="31" t="str">
        <f>IF(HLOOKUP(AJ$13,'MP (nominal)'!$D$12:$AM$244,ROW()-12,FALSE)="","",HLOOKUP(AJ$13,'MP (nominal)'!$D$12:$AM$244,ROW()-12,FALSE))</f>
        <v/>
      </c>
      <c r="AK136" s="281"/>
      <c r="AL136" s="281" t="str">
        <f>IF(HLOOKUP(AL$13,'MP (nominal)'!$D$12:$AM$244,ROW()-12,FALSE)="","",HLOOKUP(AL$13,'MP (nominal)'!$D$12:$AM$244,ROW()-12,FALSE)*VLOOKUP($C136,CPI!$B$9:$I$63,8))</f>
        <v/>
      </c>
      <c r="AM136" s="31" t="str">
        <f>IF(HLOOKUP(AM$13,'MP (nominal)'!$D$12:$AM$244,ROW()-12,FALSE)="","",HLOOKUP(AM$13,'MP (nominal)'!$D$12:$AM$244,ROW()-12,FALSE))</f>
        <v/>
      </c>
      <c r="AN136" s="31" t="str">
        <f>IF(HLOOKUP(AN$13,'MP (nominal)'!$D$12:$AM$244,ROW()-12,FALSE)="","",HLOOKUP(AN$13,'MP (nominal)'!$D$12:$AM$244,ROW()-12,FALSE))</f>
        <v/>
      </c>
      <c r="AO136" s="281"/>
      <c r="AP136" s="281" t="str">
        <f>IF(HLOOKUP(AP$13,'MP (nominal)'!$D$12:$AM$244,ROW()-12,FALSE)="","",HLOOKUP(AP$13,'MP (nominal)'!$D$12:$AM$244,ROW()-12,FALSE)*VLOOKUP($C136,CPI!$B$9:$I$63,8))</f>
        <v/>
      </c>
      <c r="AQ136" s="31" t="str">
        <f>IF(HLOOKUP(AQ$13,'MP (nominal)'!$D$12:$AM$244,ROW()-12,FALSE)="","",HLOOKUP(AQ$13,'MP (nominal)'!$D$12:$AM$244,ROW()-12,FALSE))</f>
        <v/>
      </c>
      <c r="AR136" s="281" t="str">
        <f>IF(HLOOKUP(AR$13,'MP (nominal)'!$D$12:$AM$244,ROW()-12,FALSE)="","",HLOOKUP(AR$13,'MP (nominal)'!$D$12:$AM$244,ROW()-12,FALSE))</f>
        <v/>
      </c>
    </row>
    <row r="137" spans="1:44" s="278" customFormat="1" hidden="1">
      <c r="A137" s="271">
        <f>References!F273</f>
        <v>349</v>
      </c>
      <c r="B137" s="292" t="s">
        <v>44</v>
      </c>
      <c r="C137" s="284">
        <v>2007</v>
      </c>
      <c r="D137" s="27" t="str">
        <f>IF(HLOOKUP(D$13,'MP (nominal)'!$D$12:$AM$244,ROW()-12,FALSE)="","",HLOOKUP(D$13,'MP (nominal)'!$D$12:$AM$244,ROW()-12,FALSE))</f>
        <v/>
      </c>
      <c r="E137" s="281" t="str">
        <f>IF(HLOOKUP(E$13,'MP (nominal)'!$D$12:$AM$244,ROW()-12,FALSE)="","",HLOOKUP(E$13,'MP (nominal)'!$D$12:$AM$244,ROW()-12,FALSE))</f>
        <v/>
      </c>
      <c r="F137" s="27">
        <f>IF(HLOOKUP(F$13,'MP (nominal)'!$D$12:$AM$244,ROW()-12,FALSE)="","",HLOOKUP(F$13,'MP (nominal)'!$D$12:$AM$244,ROW()-12,FALSE))</f>
        <v>751</v>
      </c>
      <c r="G137" s="281" t="str">
        <f>IF(HLOOKUP(G$13,'MP (nominal)'!$D$12:$AM$244,ROW()-12,FALSE)="","",HLOOKUP(G$13,'MP (nominal)'!$D$12:$AM$244,ROW()-12,FALSE))</f>
        <v/>
      </c>
      <c r="H137" s="27">
        <f>IF(HLOOKUP(H$13,'MP (nominal)'!$D$12:$AM$244,ROW()-12,FALSE)="","",HLOOKUP(H$13,'MP (nominal)'!$D$12:$AM$244,ROW()-12,FALSE))</f>
        <v>5646</v>
      </c>
      <c r="I137" s="31" t="str">
        <f>IF(HLOOKUP(I$13,'MP (nominal)'!$D$12:$AM$244,ROW()-12,FALSE)="","",HLOOKUP(I$13,'MP (nominal)'!$D$12:$AM$244,ROW()-12,FALSE))</f>
        <v/>
      </c>
      <c r="J137" s="31">
        <f>IF(HLOOKUP(J$13,'MP (nominal)'!$D$12:$AM$244,ROW()-12,FALSE)="","",HLOOKUP(J$13,'MP (nominal)'!$D$12:$AM$244,ROW()-12,FALSE))</f>
        <v>4895</v>
      </c>
      <c r="K137" s="281"/>
      <c r="L137" s="27">
        <f>IF(HLOOKUP(L$13,'MP (nominal)'!$D$12:$AM$244,ROW()-12,FALSE)="","",HLOOKUP(L$13,'MP (nominal)'!$D$12:$AM$244,ROW()-12,FALSE))</f>
        <v>144.01400000000001</v>
      </c>
      <c r="M137" s="293">
        <f>IF(HLOOKUP(M$13,'MP (nominal)'!$D$12:$AM$244,ROW()-12,FALSE)="","",HLOOKUP(M$13,'MP (nominal)'!$D$12:$AM$244,ROW()-12,FALSE))</f>
        <v>939.04750899999999</v>
      </c>
      <c r="N137" s="35"/>
      <c r="O137" s="27">
        <f>IF(HLOOKUP(O$13,'MP (nominal)'!$D$12:$AM$244,ROW()-12,FALSE)="","",HLOOKUP(O$13,'MP (nominal)'!$D$12:$AM$244,ROW()-12,FALSE))</f>
        <v>51669</v>
      </c>
      <c r="P137" s="31"/>
      <c r="Q137" s="281"/>
      <c r="R137" s="281">
        <f>IF(HLOOKUP(R$13,'MP (nominal)'!$D$12:$AM$244,ROW()-12,FALSE)="","",HLOOKUP(R$13,'MP (nominal)'!$D$12:$AM$244,ROW()-12,FALSE))</f>
        <v>151.33000000000001</v>
      </c>
      <c r="S137" s="281" t="str">
        <f>IF(HLOOKUP(S$13,'MP (nominal)'!$D$12:$AM$244,ROW()-12,FALSE)="","",HLOOKUP(S$13,'MP (nominal)'!$D$12:$AM$244,ROW()-12,FALSE))</f>
        <v/>
      </c>
      <c r="T137" s="281" t="str">
        <f>IF(HLOOKUP(T$13,'MP (nominal)'!$D$12:$AM$244,ROW()-12,FALSE)="","",HLOOKUP(T$13,'MP (nominal)'!$D$12:$AM$244,ROW()-12,FALSE))</f>
        <v/>
      </c>
      <c r="U137" s="281"/>
      <c r="V137" s="281">
        <f>IF(HLOOKUP(V$13,'MP (nominal)'!$D$12:$AM$244,ROW()-12,FALSE)="","",HLOOKUP(V$13,'MP (nominal)'!$D$12:$AM$244,ROW()-12,FALSE))</f>
        <v>2.73</v>
      </c>
      <c r="W137" s="281" t="str">
        <f>IF(HLOOKUP(W$13,'MP (nominal)'!$D$12:$AM$244,ROW()-12,FALSE)="","",HLOOKUP(W$13,'MP (nominal)'!$D$12:$AM$244,ROW()-12,FALSE))</f>
        <v/>
      </c>
      <c r="X137" s="281" t="str">
        <f>IF(HLOOKUP(X$13,'MP (nominal)'!$D$12:$AM$244,ROW()-12,FALSE)="","",HLOOKUP(X$13,'MP (nominal)'!$D$12:$AM$244,ROW()-12,FALSE))</f>
        <v/>
      </c>
      <c r="Y137" s="281"/>
      <c r="Z137" s="281" t="str">
        <f>IF(HLOOKUP(Z$13,'MP (nominal)'!$D$12:$AM$244,ROW()-12,FALSE)="","",HLOOKUP(Z$13,'MP (nominal)'!$D$12:$AM$244,ROW()-12,FALSE)*VLOOKUP($C137,CPI!$B$9:$I$63,8))</f>
        <v/>
      </c>
      <c r="AA137" s="281" t="str">
        <f>IF(HLOOKUP(AA$13,'MP (nominal)'!$D$12:$AM$244,ROW()-12,FALSE)="","",HLOOKUP(AA$13,'MP (nominal)'!$D$12:$AM$244,ROW()-12,FALSE))</f>
        <v/>
      </c>
      <c r="AB137" s="281" t="str">
        <f>IF(HLOOKUP(AB$13,'MP (nominal)'!$D$12:$AM$244,ROW()-12,FALSE)="","",HLOOKUP(AB$13,'MP (nominal)'!$D$12:$AM$244,ROW()-12,FALSE))</f>
        <v/>
      </c>
      <c r="AC137" s="281"/>
      <c r="AD137" s="281" t="str">
        <f>IF(HLOOKUP(AD$13,'MP (nominal)'!$D$12:$AM$244,ROW()-12,FALSE)="","",HLOOKUP(AD$13,'MP (nominal)'!$D$12:$AM$244,ROW()-12,FALSE)*VLOOKUP($C137,CPI!$B$9:$I$63,8))</f>
        <v/>
      </c>
      <c r="AE137" s="31" t="str">
        <f>IF(HLOOKUP(AE$13,'MP (nominal)'!$D$12:$AM$244,ROW()-12,FALSE)="","",HLOOKUP(AE$13,'MP (nominal)'!$D$12:$AM$244,ROW()-12,FALSE))</f>
        <v/>
      </c>
      <c r="AF137" s="31" t="str">
        <f>IF(HLOOKUP(AF$13,'MP (nominal)'!$D$12:$AM$244,ROW()-12,FALSE)="","",HLOOKUP(AF$13,'MP (nominal)'!$D$12:$AM$244,ROW()-12,FALSE))</f>
        <v/>
      </c>
      <c r="AG137" s="281"/>
      <c r="AH137" s="281" t="str">
        <f>IF(HLOOKUP(AH$13,'MP (nominal)'!$D$12:$AM$244,ROW()-12,FALSE)="","",HLOOKUP(AH$13,'MP (nominal)'!$D$12:$AM$244,ROW()-12,FALSE)*VLOOKUP($C137,CPI!$B$9:$I$63,8))</f>
        <v/>
      </c>
      <c r="AI137" s="31" t="str">
        <f>IF(HLOOKUP(AI$13,'MP (nominal)'!$D$12:$AM$244,ROW()-12,FALSE)="","",HLOOKUP(AI$13,'MP (nominal)'!$D$12:$AM$244,ROW()-12,FALSE))</f>
        <v/>
      </c>
      <c r="AJ137" s="31" t="str">
        <f>IF(HLOOKUP(AJ$13,'MP (nominal)'!$D$12:$AM$244,ROW()-12,FALSE)="","",HLOOKUP(AJ$13,'MP (nominal)'!$D$12:$AM$244,ROW()-12,FALSE))</f>
        <v/>
      </c>
      <c r="AK137" s="281"/>
      <c r="AL137" s="281" t="str">
        <f>IF(HLOOKUP(AL$13,'MP (nominal)'!$D$12:$AM$244,ROW()-12,FALSE)="","",HLOOKUP(AL$13,'MP (nominal)'!$D$12:$AM$244,ROW()-12,FALSE)*VLOOKUP($C137,CPI!$B$9:$I$63,8))</f>
        <v/>
      </c>
      <c r="AM137" s="31" t="str">
        <f>IF(HLOOKUP(AM$13,'MP (nominal)'!$D$12:$AM$244,ROW()-12,FALSE)="","",HLOOKUP(AM$13,'MP (nominal)'!$D$12:$AM$244,ROW()-12,FALSE))</f>
        <v/>
      </c>
      <c r="AN137" s="31" t="str">
        <f>IF(HLOOKUP(AN$13,'MP (nominal)'!$D$12:$AM$244,ROW()-12,FALSE)="","",HLOOKUP(AN$13,'MP (nominal)'!$D$12:$AM$244,ROW()-12,FALSE))</f>
        <v/>
      </c>
      <c r="AO137" s="281"/>
      <c r="AP137" s="281" t="str">
        <f>IF(HLOOKUP(AP$13,'MP (nominal)'!$D$12:$AM$244,ROW()-12,FALSE)="","",HLOOKUP(AP$13,'MP (nominal)'!$D$12:$AM$244,ROW()-12,FALSE)*VLOOKUP($C137,CPI!$B$9:$I$63,8))</f>
        <v/>
      </c>
      <c r="AQ137" s="31" t="str">
        <f>IF(HLOOKUP(AQ$13,'MP (nominal)'!$D$12:$AM$244,ROW()-12,FALSE)="","",HLOOKUP(AQ$13,'MP (nominal)'!$D$12:$AM$244,ROW()-12,FALSE))</f>
        <v/>
      </c>
      <c r="AR137" s="281" t="str">
        <f>IF(HLOOKUP(AR$13,'MP (nominal)'!$D$12:$AM$244,ROW()-12,FALSE)="","",HLOOKUP(AR$13,'MP (nominal)'!$D$12:$AM$244,ROW()-12,FALSE))</f>
        <v/>
      </c>
    </row>
    <row r="138" spans="1:44" s="278" customFormat="1">
      <c r="A138" s="271">
        <f>References!G273</f>
        <v>350</v>
      </c>
      <c r="B138" s="292" t="s">
        <v>44</v>
      </c>
      <c r="C138" s="284">
        <v>2008</v>
      </c>
      <c r="D138" s="27">
        <f>IF(HLOOKUP(D$13,'MP (nominal)'!$D$12:$AM$244,ROW()-12,FALSE)="","",HLOOKUP(D$13,'MP (nominal)'!$D$12:$AM$244,ROW()-12,FALSE))</f>
        <v>4998</v>
      </c>
      <c r="E138" s="281">
        <f>IF(HLOOKUP(E$13,'MP (nominal)'!$D$12:$AM$244,ROW()-12,FALSE)="","",HLOOKUP(E$13,'MP (nominal)'!$D$12:$AM$244,ROW()-12,FALSE))</f>
        <v>175</v>
      </c>
      <c r="F138" s="27">
        <f>IF(HLOOKUP(F$13,'MP (nominal)'!$D$12:$AM$244,ROW()-12,FALSE)="","",HLOOKUP(F$13,'MP (nominal)'!$D$12:$AM$244,ROW()-12,FALSE))</f>
        <v>758</v>
      </c>
      <c r="G138" s="281">
        <f>IF(HLOOKUP(G$13,'MP (nominal)'!$D$12:$AM$244,ROW()-12,FALSE)="","",HLOOKUP(G$13,'MP (nominal)'!$D$12:$AM$244,ROW()-12,FALSE))</f>
        <v>178</v>
      </c>
      <c r="H138" s="27">
        <f>IF(HLOOKUP(H$13,'MP (nominal)'!$D$12:$AM$244,ROW()-12,FALSE)="","",HLOOKUP(H$13,'MP (nominal)'!$D$12:$AM$244,ROW()-12,FALSE))</f>
        <v>5756</v>
      </c>
      <c r="I138" s="31">
        <f>IF(HLOOKUP(I$13,'MP (nominal)'!$D$12:$AM$244,ROW()-12,FALSE)="","",HLOOKUP(I$13,'MP (nominal)'!$D$12:$AM$244,ROW()-12,FALSE))</f>
        <v>353</v>
      </c>
      <c r="J138" s="31">
        <f>IF(HLOOKUP(J$13,'MP (nominal)'!$D$12:$AM$244,ROW()-12,FALSE)="","",HLOOKUP(J$13,'MP (nominal)'!$D$12:$AM$244,ROW()-12,FALSE))</f>
        <v>4998</v>
      </c>
      <c r="K138" s="281"/>
      <c r="L138" s="27">
        <f>IF(HLOOKUP(L$13,'MP (nominal)'!$D$12:$AM$244,ROW()-12,FALSE)="","",HLOOKUP(L$13,'MP (nominal)'!$D$12:$AM$244,ROW()-12,FALSE))</f>
        <v>154</v>
      </c>
      <c r="M138" s="283">
        <f>IF(HLOOKUP(M$13,'MP (nominal)'!$D$12:$AM$244,ROW()-12,FALSE)="","",HLOOKUP(M$13,'MP (nominal)'!$D$12:$AM$244,ROW()-12,FALSE))</f>
        <v>970</v>
      </c>
      <c r="N138" s="35"/>
      <c r="O138" s="27">
        <f>IF(HLOOKUP(O$13,'MP (nominal)'!$D$12:$AM$244,ROW()-12,FALSE)="","",HLOOKUP(O$13,'MP (nominal)'!$D$12:$AM$244,ROW()-12,FALSE))</f>
        <v>52876</v>
      </c>
      <c r="P138" s="31"/>
      <c r="Q138" s="281"/>
      <c r="R138" s="281">
        <f>IF(HLOOKUP(R$13,'MP (nominal)'!$D$12:$AM$244,ROW()-12,FALSE)="","",HLOOKUP(R$13,'MP (nominal)'!$D$12:$AM$244,ROW()-12,FALSE))</f>
        <v>783.08</v>
      </c>
      <c r="S138" s="281">
        <f>IF(HLOOKUP(S$13,'MP (nominal)'!$D$12:$AM$244,ROW()-12,FALSE)="","",HLOOKUP(S$13,'MP (nominal)'!$D$12:$AM$244,ROW()-12,FALSE))</f>
        <v>22.1</v>
      </c>
      <c r="T138" s="281">
        <f>IF(HLOOKUP(T$13,'MP (nominal)'!$D$12:$AM$244,ROW()-12,FALSE)="","",HLOOKUP(T$13,'MP (nominal)'!$D$12:$AM$244,ROW()-12,FALSE))</f>
        <v>760.98</v>
      </c>
      <c r="U138" s="281"/>
      <c r="V138" s="281">
        <f>IF(HLOOKUP(V$13,'MP (nominal)'!$D$12:$AM$244,ROW()-12,FALSE)="","",HLOOKUP(V$13,'MP (nominal)'!$D$12:$AM$244,ROW()-12,FALSE))</f>
        <v>4.63</v>
      </c>
      <c r="W138" s="281">
        <f>IF(HLOOKUP(W$13,'MP (nominal)'!$D$12:$AM$244,ROW()-12,FALSE)="","",HLOOKUP(W$13,'MP (nominal)'!$D$12:$AM$244,ROW()-12,FALSE))</f>
        <v>0.16</v>
      </c>
      <c r="X138" s="281">
        <f>IF(HLOOKUP(X$13,'MP (nominal)'!$D$12:$AM$244,ROW()-12,FALSE)="","",HLOOKUP(X$13,'MP (nominal)'!$D$12:$AM$244,ROW()-12,FALSE))</f>
        <v>4.47</v>
      </c>
      <c r="Y138" s="281"/>
      <c r="Z138" s="281">
        <f>IF(HLOOKUP(Z$13,'MP (nominal)'!$D$12:$AM$244,ROW()-12,FALSE)="","",HLOOKUP(Z$13,'MP (nominal)'!$D$12:$AM$244,ROW()-12,FALSE)*VLOOKUP($C138,CPI!$B$9:$I$63,8))</f>
        <v>21267.653331812606</v>
      </c>
      <c r="AA138" s="281">
        <f>IF(HLOOKUP(AA$13,'MP (nominal)'!$D$12:$AM$244,ROW()-12,FALSE)="","",HLOOKUP(AA$13,'MP (nominal)'!$D$12:$AM$244,ROW()-12,FALSE))</f>
        <v>273541</v>
      </c>
      <c r="AB138" s="281">
        <f>IF(HLOOKUP(AB$13,'MP (nominal)'!$D$12:$AM$244,ROW()-12,FALSE)="","",HLOOKUP(AB$13,'MP (nominal)'!$D$12:$AM$244,ROW()-12,FALSE))</f>
        <v>42184</v>
      </c>
      <c r="AC138" s="281"/>
      <c r="AD138" s="281">
        <f>IF(HLOOKUP(AD$13,'MP (nominal)'!$D$12:$AM$244,ROW()-12,FALSE)="","",HLOOKUP(AD$13,'MP (nominal)'!$D$12:$AM$244,ROW()-12,FALSE)*VLOOKUP($C138,CPI!$B$9:$I$63,8))</f>
        <v>10486.666191440221</v>
      </c>
      <c r="AE138" s="31">
        <f>IF(HLOOKUP(AE$13,'MP (nominal)'!$D$12:$AM$244,ROW()-12,FALSE)="","",HLOOKUP(AE$13,'MP (nominal)'!$D$12:$AM$244,ROW()-12,FALSE))</f>
        <v>121367</v>
      </c>
      <c r="AF138" s="31">
        <f>IF(HLOOKUP(AF$13,'MP (nominal)'!$D$12:$AM$244,ROW()-12,FALSE)="","",HLOOKUP(AF$13,'MP (nominal)'!$D$12:$AM$244,ROW()-12,FALSE))</f>
        <v>10220</v>
      </c>
      <c r="AG138" s="281"/>
      <c r="AH138" s="281">
        <f>IF(HLOOKUP(AH$13,'MP (nominal)'!$D$12:$AM$244,ROW()-12,FALSE)="","",HLOOKUP(AH$13,'MP (nominal)'!$D$12:$AM$244,ROW()-12,FALSE)*VLOOKUP($C138,CPI!$B$9:$I$63,8))</f>
        <v>6776.9285164380826</v>
      </c>
      <c r="AI138" s="31">
        <f>IF(HLOOKUP(AI$13,'MP (nominal)'!$D$12:$AM$244,ROW()-12,FALSE)="","",HLOOKUP(AI$13,'MP (nominal)'!$D$12:$AM$244,ROW()-12,FALSE))</f>
        <v>121566</v>
      </c>
      <c r="AJ138" s="31">
        <f>IF(HLOOKUP(AJ$13,'MP (nominal)'!$D$12:$AM$244,ROW()-12,FALSE)="","",HLOOKUP(AJ$13,'MP (nominal)'!$D$12:$AM$244,ROW()-12,FALSE))</f>
        <v>467</v>
      </c>
      <c r="AK138" s="281"/>
      <c r="AL138" s="281">
        <f>IF(HLOOKUP(AL$13,'MP (nominal)'!$D$12:$AM$244,ROW()-12,FALSE)="","",HLOOKUP(AL$13,'MP (nominal)'!$D$12:$AM$244,ROW()-12,FALSE)*VLOOKUP($C138,CPI!$B$9:$I$63,8))</f>
        <v>6051.3680818910207</v>
      </c>
      <c r="AM138" s="31">
        <f>IF(HLOOKUP(AM$13,'MP (nominal)'!$D$12:$AM$244,ROW()-12,FALSE)="","",HLOOKUP(AM$13,'MP (nominal)'!$D$12:$AM$244,ROW()-12,FALSE))</f>
        <v>453611</v>
      </c>
      <c r="AN138" s="31">
        <f>IF(HLOOKUP(AN$13,'MP (nominal)'!$D$12:$AM$244,ROW()-12,FALSE)="","",HLOOKUP(AN$13,'MP (nominal)'!$D$12:$AM$244,ROW()-12,FALSE))</f>
        <v>5</v>
      </c>
      <c r="AO138" s="281"/>
      <c r="AP138" s="281">
        <f>IF(HLOOKUP(AP$13,'MP (nominal)'!$D$12:$AM$244,ROW()-12,FALSE)="","",HLOOKUP(AP$13,'MP (nominal)'!$D$12:$AM$244,ROW()-12,FALSE)*VLOOKUP($C138,CPI!$B$9:$I$63,8))</f>
        <v>44582.61612158193</v>
      </c>
      <c r="AQ138" s="31">
        <f>IF(HLOOKUP(AQ$13,'MP (nominal)'!$D$12:$AM$244,ROW()-12,FALSE)="","",HLOOKUP(AQ$13,'MP (nominal)'!$D$12:$AM$244,ROW()-12,FALSE))</f>
        <v>970085</v>
      </c>
      <c r="AR138" s="281">
        <f>IF(HLOOKUP(AR$13,'MP (nominal)'!$D$12:$AM$244,ROW()-12,FALSE)="","",HLOOKUP(AR$13,'MP (nominal)'!$D$12:$AM$244,ROW()-12,FALSE))</f>
        <v>52876</v>
      </c>
    </row>
    <row r="139" spans="1:44" s="278" customFormat="1">
      <c r="A139" s="271">
        <f>References!H273</f>
        <v>351</v>
      </c>
      <c r="B139" s="292" t="s">
        <v>44</v>
      </c>
      <c r="C139" s="284">
        <v>2009</v>
      </c>
      <c r="D139" s="27">
        <f>IF(HLOOKUP(D$13,'MP (nominal)'!$D$12:$AM$244,ROW()-12,FALSE)="","",HLOOKUP(D$13,'MP (nominal)'!$D$12:$AM$244,ROW()-12,FALSE))</f>
        <v>4894</v>
      </c>
      <c r="E139" s="281">
        <f>IF(HLOOKUP(E$13,'MP (nominal)'!$D$12:$AM$244,ROW()-12,FALSE)="","",HLOOKUP(E$13,'MP (nominal)'!$D$12:$AM$244,ROW()-12,FALSE))</f>
        <v>176</v>
      </c>
      <c r="F139" s="27">
        <f>IF(HLOOKUP(F$13,'MP (nominal)'!$D$12:$AM$244,ROW()-12,FALSE)="","",HLOOKUP(F$13,'MP (nominal)'!$D$12:$AM$244,ROW()-12,FALSE))</f>
        <v>733</v>
      </c>
      <c r="G139" s="281">
        <f>IF(HLOOKUP(G$13,'MP (nominal)'!$D$12:$AM$244,ROW()-12,FALSE)="","",HLOOKUP(G$13,'MP (nominal)'!$D$12:$AM$244,ROW()-12,FALSE))</f>
        <v>182</v>
      </c>
      <c r="H139" s="27">
        <f>IF(HLOOKUP(H$13,'MP (nominal)'!$D$12:$AM$244,ROW()-12,FALSE)="","",HLOOKUP(H$13,'MP (nominal)'!$D$12:$AM$244,ROW()-12,FALSE))</f>
        <v>5627</v>
      </c>
      <c r="I139" s="31">
        <f>IF(HLOOKUP(I$13,'MP (nominal)'!$D$12:$AM$244,ROW()-12,FALSE)="","",HLOOKUP(I$13,'MP (nominal)'!$D$12:$AM$244,ROW()-12,FALSE))</f>
        <v>358</v>
      </c>
      <c r="J139" s="31">
        <f>IF(HLOOKUP(J$13,'MP (nominal)'!$D$12:$AM$244,ROW()-12,FALSE)="","",HLOOKUP(J$13,'MP (nominal)'!$D$12:$AM$244,ROW()-12,FALSE))</f>
        <v>4894</v>
      </c>
      <c r="K139" s="281"/>
      <c r="L139" s="27">
        <f>IF(HLOOKUP(L$13,'MP (nominal)'!$D$12:$AM$244,ROW()-12,FALSE)="","",HLOOKUP(L$13,'MP (nominal)'!$D$12:$AM$244,ROW()-12,FALSE))</f>
        <v>151</v>
      </c>
      <c r="M139" s="283">
        <f>IF(HLOOKUP(M$13,'MP (nominal)'!$D$12:$AM$244,ROW()-12,FALSE)="","",HLOOKUP(M$13,'MP (nominal)'!$D$12:$AM$244,ROW()-12,FALSE))</f>
        <v>965.35199999999998</v>
      </c>
      <c r="N139" s="35"/>
      <c r="O139" s="27">
        <f>IF(HLOOKUP(O$13,'MP (nominal)'!$D$12:$AM$244,ROW()-12,FALSE)="","",HLOOKUP(O$13,'MP (nominal)'!$D$12:$AM$244,ROW()-12,FALSE))</f>
        <v>53331</v>
      </c>
      <c r="P139" s="31"/>
      <c r="Q139" s="281"/>
      <c r="R139" s="281">
        <f>IF(HLOOKUP(R$13,'MP (nominal)'!$D$12:$AM$244,ROW()-12,FALSE)="","",HLOOKUP(R$13,'MP (nominal)'!$D$12:$AM$244,ROW()-12,FALSE))</f>
        <v>254.34</v>
      </c>
      <c r="S139" s="281">
        <f>IF(HLOOKUP(S$13,'MP (nominal)'!$D$12:$AM$244,ROW()-12,FALSE)="","",HLOOKUP(S$13,'MP (nominal)'!$D$12:$AM$244,ROW()-12,FALSE))</f>
        <v>27.6</v>
      </c>
      <c r="T139" s="281">
        <f>IF(HLOOKUP(T$13,'MP (nominal)'!$D$12:$AM$244,ROW()-12,FALSE)="","",HLOOKUP(T$13,'MP (nominal)'!$D$12:$AM$244,ROW()-12,FALSE))</f>
        <v>226.74</v>
      </c>
      <c r="U139" s="281"/>
      <c r="V139" s="281">
        <f>IF(HLOOKUP(V$13,'MP (nominal)'!$D$12:$AM$244,ROW()-12,FALSE)="","",HLOOKUP(V$13,'MP (nominal)'!$D$12:$AM$244,ROW()-12,FALSE))</f>
        <v>3.2530000000000001</v>
      </c>
      <c r="W139" s="281">
        <f>IF(HLOOKUP(W$13,'MP (nominal)'!$D$12:$AM$244,ROW()-12,FALSE)="","",HLOOKUP(W$13,'MP (nominal)'!$D$12:$AM$244,ROW()-12,FALSE))</f>
        <v>0.185</v>
      </c>
      <c r="X139" s="281">
        <f>IF(HLOOKUP(X$13,'MP (nominal)'!$D$12:$AM$244,ROW()-12,FALSE)="","",HLOOKUP(X$13,'MP (nominal)'!$D$12:$AM$244,ROW()-12,FALSE))</f>
        <v>3.0680000000000001</v>
      </c>
      <c r="Y139" s="281"/>
      <c r="Z139" s="281">
        <f>IF(HLOOKUP(Z$13,'MP (nominal)'!$D$12:$AM$244,ROW()-12,FALSE)="","",HLOOKUP(Z$13,'MP (nominal)'!$D$12:$AM$244,ROW()-12,FALSE)*VLOOKUP($C139,CPI!$B$9:$I$63,8))</f>
        <v>22666.795250188748</v>
      </c>
      <c r="AA139" s="281">
        <f>IF(HLOOKUP(AA$13,'MP (nominal)'!$D$12:$AM$244,ROW()-12,FALSE)="","",HLOOKUP(AA$13,'MP (nominal)'!$D$12:$AM$244,ROW()-12,FALSE))</f>
        <v>273369</v>
      </c>
      <c r="AB139" s="281">
        <f>IF(HLOOKUP(AB$13,'MP (nominal)'!$D$12:$AM$244,ROW()-12,FALSE)="","",HLOOKUP(AB$13,'MP (nominal)'!$D$12:$AM$244,ROW()-12,FALSE))</f>
        <v>42722</v>
      </c>
      <c r="AC139" s="281"/>
      <c r="AD139" s="281">
        <f>IF(HLOOKUP(AD$13,'MP (nominal)'!$D$12:$AM$244,ROW()-12,FALSE)="","",HLOOKUP(AD$13,'MP (nominal)'!$D$12:$AM$244,ROW()-12,FALSE)*VLOOKUP($C139,CPI!$B$9:$I$63,8))</f>
        <v>10716.25039467362</v>
      </c>
      <c r="AE139" s="31">
        <f>IF(HLOOKUP(AE$13,'MP (nominal)'!$D$12:$AM$244,ROW()-12,FALSE)="","",HLOOKUP(AE$13,'MP (nominal)'!$D$12:$AM$244,ROW()-12,FALSE))</f>
        <v>124018</v>
      </c>
      <c r="AF139" s="31">
        <f>IF(HLOOKUP(AF$13,'MP (nominal)'!$D$12:$AM$244,ROW()-12,FALSE)="","",HLOOKUP(AF$13,'MP (nominal)'!$D$12:$AM$244,ROW()-12,FALSE))</f>
        <v>10134</v>
      </c>
      <c r="AG139" s="281"/>
      <c r="AH139" s="281">
        <f>IF(HLOOKUP(AH$13,'MP (nominal)'!$D$12:$AM$244,ROW()-12,FALSE)="","",HLOOKUP(AH$13,'MP (nominal)'!$D$12:$AM$244,ROW()-12,FALSE)*VLOOKUP($C139,CPI!$B$9:$I$63,8))</f>
        <v>7249.4297206397123</v>
      </c>
      <c r="AI139" s="31">
        <f>IF(HLOOKUP(AI$13,'MP (nominal)'!$D$12:$AM$244,ROW()-12,FALSE)="","",HLOOKUP(AI$13,'MP (nominal)'!$D$12:$AM$244,ROW()-12,FALSE))</f>
        <v>122774</v>
      </c>
      <c r="AJ139" s="31">
        <f>IF(HLOOKUP(AJ$13,'MP (nominal)'!$D$12:$AM$244,ROW()-12,FALSE)="","",HLOOKUP(AJ$13,'MP (nominal)'!$D$12:$AM$244,ROW()-12,FALSE))</f>
        <v>470</v>
      </c>
      <c r="AK139" s="281"/>
      <c r="AL139" s="281">
        <f>IF(HLOOKUP(AL$13,'MP (nominal)'!$D$12:$AM$244,ROW()-12,FALSE)="","",HLOOKUP(AL$13,'MP (nominal)'!$D$12:$AM$244,ROW()-12,FALSE)*VLOOKUP($C139,CPI!$B$9:$I$63,8))</f>
        <v>6836.8909328025238</v>
      </c>
      <c r="AM139" s="31">
        <f>IF(HLOOKUP(AM$13,'MP (nominal)'!$D$12:$AM$244,ROW()-12,FALSE)="","",HLOOKUP(AM$13,'MP (nominal)'!$D$12:$AM$244,ROW()-12,FALSE))</f>
        <v>445191</v>
      </c>
      <c r="AN139" s="31">
        <f>IF(HLOOKUP(AN$13,'MP (nominal)'!$D$12:$AM$244,ROW()-12,FALSE)="","",HLOOKUP(AN$13,'MP (nominal)'!$D$12:$AM$244,ROW()-12,FALSE))</f>
        <v>5</v>
      </c>
      <c r="AO139" s="281"/>
      <c r="AP139" s="281">
        <f>IF(HLOOKUP(AP$13,'MP (nominal)'!$D$12:$AM$244,ROW()-12,FALSE)="","",HLOOKUP(AP$13,'MP (nominal)'!$D$12:$AM$244,ROW()-12,FALSE)*VLOOKUP($C139,CPI!$B$9:$I$63,8))</f>
        <v>47469.366298304609</v>
      </c>
      <c r="AQ139" s="31">
        <f>IF(HLOOKUP(AQ$13,'MP (nominal)'!$D$12:$AM$244,ROW()-12,FALSE)="","",HLOOKUP(AQ$13,'MP (nominal)'!$D$12:$AM$244,ROW()-12,FALSE))</f>
        <v>965352</v>
      </c>
      <c r="AR139" s="281">
        <f>IF(HLOOKUP(AR$13,'MP (nominal)'!$D$12:$AM$244,ROW()-12,FALSE)="","",HLOOKUP(AR$13,'MP (nominal)'!$D$12:$AM$244,ROW()-12,FALSE))</f>
        <v>53331</v>
      </c>
    </row>
    <row r="140" spans="1:44" s="278" customFormat="1">
      <c r="A140" s="271">
        <f>References!I273</f>
        <v>352</v>
      </c>
      <c r="B140" s="292" t="s">
        <v>44</v>
      </c>
      <c r="C140" s="284">
        <v>2010</v>
      </c>
      <c r="D140" s="27">
        <f>IF(HLOOKUP(D$13,'MP (nominal)'!$D$12:$AM$244,ROW()-12,FALSE)="","",HLOOKUP(D$13,'MP (nominal)'!$D$12:$AM$244,ROW()-12,FALSE))</f>
        <v>5004</v>
      </c>
      <c r="E140" s="281">
        <f>IF(HLOOKUP(E$13,'MP (nominal)'!$D$12:$AM$244,ROW()-12,FALSE)="","",HLOOKUP(E$13,'MP (nominal)'!$D$12:$AM$244,ROW()-12,FALSE))</f>
        <v>179</v>
      </c>
      <c r="F140" s="27">
        <f>IF(HLOOKUP(F$13,'MP (nominal)'!$D$12:$AM$244,ROW()-12,FALSE)="","",HLOOKUP(F$13,'MP (nominal)'!$D$12:$AM$244,ROW()-12,FALSE))</f>
        <v>825</v>
      </c>
      <c r="G140" s="281">
        <f>IF(HLOOKUP(G$13,'MP (nominal)'!$D$12:$AM$244,ROW()-12,FALSE)="","",HLOOKUP(G$13,'MP (nominal)'!$D$12:$AM$244,ROW()-12,FALSE))</f>
        <v>191</v>
      </c>
      <c r="H140" s="27">
        <f>IF(HLOOKUP(H$13,'MP (nominal)'!$D$12:$AM$244,ROW()-12,FALSE)="","",HLOOKUP(H$13,'MP (nominal)'!$D$12:$AM$244,ROW()-12,FALSE))</f>
        <v>5829</v>
      </c>
      <c r="I140" s="31">
        <f>IF(HLOOKUP(I$13,'MP (nominal)'!$D$12:$AM$244,ROW()-12,FALSE)="","",HLOOKUP(I$13,'MP (nominal)'!$D$12:$AM$244,ROW()-12,FALSE))</f>
        <v>370</v>
      </c>
      <c r="J140" s="31">
        <f>IF(HLOOKUP(J$13,'MP (nominal)'!$D$12:$AM$244,ROW()-12,FALSE)="","",HLOOKUP(J$13,'MP (nominal)'!$D$12:$AM$244,ROW()-12,FALSE))</f>
        <v>5004</v>
      </c>
      <c r="K140" s="281"/>
      <c r="L140" s="27">
        <f>IF(HLOOKUP(L$13,'MP (nominal)'!$D$12:$AM$244,ROW()-12,FALSE)="","",HLOOKUP(L$13,'MP (nominal)'!$D$12:$AM$244,ROW()-12,FALSE))</f>
        <v>150</v>
      </c>
      <c r="M140" s="283">
        <f>IF(HLOOKUP(M$13,'MP (nominal)'!$D$12:$AM$244,ROW()-12,FALSE)="","",HLOOKUP(M$13,'MP (nominal)'!$D$12:$AM$244,ROW()-12,FALSE))</f>
        <v>950.39300000000003</v>
      </c>
      <c r="N140" s="35"/>
      <c r="O140" s="27">
        <f>IF(HLOOKUP(O$13,'MP (nominal)'!$D$12:$AM$244,ROW()-12,FALSE)="","",HLOOKUP(O$13,'MP (nominal)'!$D$12:$AM$244,ROW()-12,FALSE))</f>
        <v>53706</v>
      </c>
      <c r="P140" s="31"/>
      <c r="Q140" s="281"/>
      <c r="R140" s="281">
        <f>IF(HLOOKUP(R$13,'MP (nominal)'!$D$12:$AM$244,ROW()-12,FALSE)="","",HLOOKUP(R$13,'MP (nominal)'!$D$12:$AM$244,ROW()-12,FALSE))</f>
        <v>132.29</v>
      </c>
      <c r="S140" s="281">
        <f>IF(HLOOKUP(S$13,'MP (nominal)'!$D$12:$AM$244,ROW()-12,FALSE)="","",HLOOKUP(S$13,'MP (nominal)'!$D$12:$AM$244,ROW()-12,FALSE))</f>
        <v>27.03</v>
      </c>
      <c r="T140" s="281">
        <f>IF(HLOOKUP(T$13,'MP (nominal)'!$D$12:$AM$244,ROW()-12,FALSE)="","",HLOOKUP(T$13,'MP (nominal)'!$D$12:$AM$244,ROW()-12,FALSE))</f>
        <v>105.27</v>
      </c>
      <c r="U140" s="281"/>
      <c r="V140" s="281">
        <f>IF(HLOOKUP(V$13,'MP (nominal)'!$D$12:$AM$244,ROW()-12,FALSE)="","",HLOOKUP(V$13,'MP (nominal)'!$D$12:$AM$244,ROW()-12,FALSE))</f>
        <v>2.37</v>
      </c>
      <c r="W140" s="281">
        <f>IF(HLOOKUP(W$13,'MP (nominal)'!$D$12:$AM$244,ROW()-12,FALSE)="","",HLOOKUP(W$13,'MP (nominal)'!$D$12:$AM$244,ROW()-12,FALSE))</f>
        <v>0.18</v>
      </c>
      <c r="X140" s="281">
        <f>IF(HLOOKUP(X$13,'MP (nominal)'!$D$12:$AM$244,ROW()-12,FALSE)="","",HLOOKUP(X$13,'MP (nominal)'!$D$12:$AM$244,ROW()-12,FALSE))</f>
        <v>2.19</v>
      </c>
      <c r="Y140" s="281"/>
      <c r="Z140" s="281">
        <f>IF(HLOOKUP(Z$13,'MP (nominal)'!$D$12:$AM$244,ROW()-12,FALSE)="","",HLOOKUP(Z$13,'MP (nominal)'!$D$12:$AM$244,ROW()-12,FALSE)*VLOOKUP($C140,CPI!$B$9:$I$63,8))</f>
        <v>24830.037185740075</v>
      </c>
      <c r="AA140" s="281">
        <f>IF(HLOOKUP(AA$13,'MP (nominal)'!$D$12:$AM$244,ROW()-12,FALSE)="","",HLOOKUP(AA$13,'MP (nominal)'!$D$12:$AM$244,ROW()-12,FALSE))</f>
        <v>283757</v>
      </c>
      <c r="AB140" s="281">
        <f>IF(HLOOKUP(AB$13,'MP (nominal)'!$D$12:$AM$244,ROW()-12,FALSE)="","",HLOOKUP(AB$13,'MP (nominal)'!$D$12:$AM$244,ROW()-12,FALSE))</f>
        <v>43244</v>
      </c>
      <c r="AC140" s="281"/>
      <c r="AD140" s="281">
        <f>IF(HLOOKUP(AD$13,'MP (nominal)'!$D$12:$AM$244,ROW()-12,FALSE)="","",HLOOKUP(AD$13,'MP (nominal)'!$D$12:$AM$244,ROW()-12,FALSE)*VLOOKUP($C140,CPI!$B$9:$I$63,8))</f>
        <v>11427.257686400257</v>
      </c>
      <c r="AE140" s="31">
        <f>IF(HLOOKUP(AE$13,'MP (nominal)'!$D$12:$AM$244,ROW()-12,FALSE)="","",HLOOKUP(AE$13,'MP (nominal)'!$D$12:$AM$244,ROW()-12,FALSE))</f>
        <v>123049</v>
      </c>
      <c r="AF140" s="31">
        <f>IF(HLOOKUP(AF$13,'MP (nominal)'!$D$12:$AM$244,ROW()-12,FALSE)="","",HLOOKUP(AF$13,'MP (nominal)'!$D$12:$AM$244,ROW()-12,FALSE))</f>
        <v>9967</v>
      </c>
      <c r="AG140" s="281"/>
      <c r="AH140" s="281">
        <f>IF(HLOOKUP(AH$13,'MP (nominal)'!$D$12:$AM$244,ROW()-12,FALSE)="","",HLOOKUP(AH$13,'MP (nominal)'!$D$12:$AM$244,ROW()-12,FALSE)*VLOOKUP($C140,CPI!$B$9:$I$63,8))</f>
        <v>7608.6626606666478</v>
      </c>
      <c r="AI140" s="31">
        <f>IF(HLOOKUP(AI$13,'MP (nominal)'!$D$12:$AM$244,ROW()-12,FALSE)="","",HLOOKUP(AI$13,'MP (nominal)'!$D$12:$AM$244,ROW()-12,FALSE))</f>
        <v>125409</v>
      </c>
      <c r="AJ140" s="31">
        <f>IF(HLOOKUP(AJ$13,'MP (nominal)'!$D$12:$AM$244,ROW()-12,FALSE)="","",HLOOKUP(AJ$13,'MP (nominal)'!$D$12:$AM$244,ROW()-12,FALSE))</f>
        <v>490</v>
      </c>
      <c r="AK140" s="281"/>
      <c r="AL140" s="281">
        <f>IF(HLOOKUP(AL$13,'MP (nominal)'!$D$12:$AM$244,ROW()-12,FALSE)="","",HLOOKUP(AL$13,'MP (nominal)'!$D$12:$AM$244,ROW()-12,FALSE)*VLOOKUP($C140,CPI!$B$9:$I$63,8))</f>
        <v>7225.5805556304049</v>
      </c>
      <c r="AM140" s="31">
        <f>IF(HLOOKUP(AM$13,'MP (nominal)'!$D$12:$AM$244,ROW()-12,FALSE)="","",HLOOKUP(AM$13,'MP (nominal)'!$D$12:$AM$244,ROW()-12,FALSE))</f>
        <v>418178</v>
      </c>
      <c r="AN140" s="31">
        <f>IF(HLOOKUP(AN$13,'MP (nominal)'!$D$12:$AM$244,ROW()-12,FALSE)="","",HLOOKUP(AN$13,'MP (nominal)'!$D$12:$AM$244,ROW()-12,FALSE))</f>
        <v>5</v>
      </c>
      <c r="AO140" s="281"/>
      <c r="AP140" s="281">
        <f>IF(HLOOKUP(AP$13,'MP (nominal)'!$D$12:$AM$244,ROW()-12,FALSE)="","",HLOOKUP(AP$13,'MP (nominal)'!$D$12:$AM$244,ROW()-12,FALSE)*VLOOKUP($C140,CPI!$B$9:$I$63,8))</f>
        <v>51091.538088437381</v>
      </c>
      <c r="AQ140" s="31">
        <f>IF(HLOOKUP(AQ$13,'MP (nominal)'!$D$12:$AM$244,ROW()-12,FALSE)="","",HLOOKUP(AQ$13,'MP (nominal)'!$D$12:$AM$244,ROW()-12,FALSE))</f>
        <v>950393</v>
      </c>
      <c r="AR140" s="281">
        <f>IF(HLOOKUP(AR$13,'MP (nominal)'!$D$12:$AM$244,ROW()-12,FALSE)="","",HLOOKUP(AR$13,'MP (nominal)'!$D$12:$AM$244,ROW()-12,FALSE))</f>
        <v>53706</v>
      </c>
    </row>
    <row r="141" spans="1:44" s="278" customFormat="1">
      <c r="A141" s="271">
        <f>References!J273</f>
        <v>353</v>
      </c>
      <c r="B141" s="292" t="s">
        <v>44</v>
      </c>
      <c r="C141" s="284">
        <v>2011</v>
      </c>
      <c r="D141" s="27">
        <f>IF(HLOOKUP(D$13,'MP (nominal)'!$D$12:$AM$244,ROW()-12,FALSE)="","",HLOOKUP(D$13,'MP (nominal)'!$D$12:$AM$244,ROW()-12,FALSE))</f>
        <v>4970</v>
      </c>
      <c r="E141" s="281">
        <f>IF(HLOOKUP(E$13,'MP (nominal)'!$D$12:$AM$244,ROW()-12,FALSE)="","",HLOOKUP(E$13,'MP (nominal)'!$D$12:$AM$244,ROW()-12,FALSE))</f>
        <v>175</v>
      </c>
      <c r="F141" s="27">
        <f>IF(HLOOKUP(F$13,'MP (nominal)'!$D$12:$AM$244,ROW()-12,FALSE)="","",HLOOKUP(F$13,'MP (nominal)'!$D$12:$AM$244,ROW()-12,FALSE))</f>
        <v>856</v>
      </c>
      <c r="G141" s="281">
        <f>IF(HLOOKUP(G$13,'MP (nominal)'!$D$12:$AM$244,ROW()-12,FALSE)="","",HLOOKUP(G$13,'MP (nominal)'!$D$12:$AM$244,ROW()-12,FALSE))</f>
        <v>213.50881999999999</v>
      </c>
      <c r="H141" s="27">
        <f>IF(HLOOKUP(H$13,'MP (nominal)'!$D$12:$AM$244,ROW()-12,FALSE)="","",HLOOKUP(H$13,'MP (nominal)'!$D$12:$AM$244,ROW()-12,FALSE))</f>
        <v>5826</v>
      </c>
      <c r="I141" s="31">
        <f>IF(HLOOKUP(I$13,'MP (nominal)'!$D$12:$AM$244,ROW()-12,FALSE)="","",HLOOKUP(I$13,'MP (nominal)'!$D$12:$AM$244,ROW()-12,FALSE))</f>
        <v>388.50882000000001</v>
      </c>
      <c r="J141" s="31">
        <f>IF(HLOOKUP(J$13,'MP (nominal)'!$D$12:$AM$244,ROW()-12,FALSE)="","",HLOOKUP(J$13,'MP (nominal)'!$D$12:$AM$244,ROW()-12,FALSE))</f>
        <v>4970</v>
      </c>
      <c r="K141" s="281"/>
      <c r="L141" s="27">
        <f>IF(HLOOKUP(L$13,'MP (nominal)'!$D$12:$AM$244,ROW()-12,FALSE)="","",HLOOKUP(L$13,'MP (nominal)'!$D$12:$AM$244,ROW()-12,FALSE))</f>
        <v>153</v>
      </c>
      <c r="M141" s="283">
        <f>IF(HLOOKUP(M$13,'MP (nominal)'!$D$12:$AM$244,ROW()-12,FALSE)="","",HLOOKUP(M$13,'MP (nominal)'!$D$12:$AM$244,ROW()-12,FALSE))</f>
        <v>956.81200000000001</v>
      </c>
      <c r="N141" s="35"/>
      <c r="O141" s="27">
        <f>IF(HLOOKUP(O$13,'MP (nominal)'!$D$12:$AM$244,ROW()-12,FALSE)="","",HLOOKUP(O$13,'MP (nominal)'!$D$12:$AM$244,ROW()-12,FALSE))</f>
        <v>54416</v>
      </c>
      <c r="P141" s="31"/>
      <c r="Q141" s="281"/>
      <c r="R141" s="281">
        <f>IF(HLOOKUP(R$13,'MP (nominal)'!$D$12:$AM$244,ROW()-12,FALSE)="","",HLOOKUP(R$13,'MP (nominal)'!$D$12:$AM$244,ROW()-12,FALSE))</f>
        <v>134.81</v>
      </c>
      <c r="S141" s="281">
        <f>IF(HLOOKUP(S$13,'MP (nominal)'!$D$12:$AM$244,ROW()-12,FALSE)="","",HLOOKUP(S$13,'MP (nominal)'!$D$12:$AM$244,ROW()-12,FALSE))</f>
        <v>30.73</v>
      </c>
      <c r="T141" s="281">
        <f>IF(HLOOKUP(T$13,'MP (nominal)'!$D$12:$AM$244,ROW()-12,FALSE)="","",HLOOKUP(T$13,'MP (nominal)'!$D$12:$AM$244,ROW()-12,FALSE))</f>
        <v>104.08</v>
      </c>
      <c r="U141" s="281"/>
      <c r="V141" s="281">
        <f>IF(HLOOKUP(V$13,'MP (nominal)'!$D$12:$AM$244,ROW()-12,FALSE)="","",HLOOKUP(V$13,'MP (nominal)'!$D$12:$AM$244,ROW()-12,FALSE))</f>
        <v>2.3239999999999998</v>
      </c>
      <c r="W141" s="281">
        <f>IF(HLOOKUP(W$13,'MP (nominal)'!$D$12:$AM$244,ROW()-12,FALSE)="","",HLOOKUP(W$13,'MP (nominal)'!$D$12:$AM$244,ROW()-12,FALSE))</f>
        <v>0.23200000000000001</v>
      </c>
      <c r="X141" s="281">
        <f>IF(HLOOKUP(X$13,'MP (nominal)'!$D$12:$AM$244,ROW()-12,FALSE)="","",HLOOKUP(X$13,'MP (nominal)'!$D$12:$AM$244,ROW()-12,FALSE))</f>
        <v>2.0920000000000001</v>
      </c>
      <c r="Y141" s="281"/>
      <c r="Z141" s="281">
        <f>IF(HLOOKUP(Z$13,'MP (nominal)'!$D$12:$AM$244,ROW()-12,FALSE)="","",HLOOKUP(Z$13,'MP (nominal)'!$D$12:$AM$244,ROW()-12,FALSE)*VLOOKUP($C141,CPI!$B$9:$I$63,8))</f>
        <v>24786</v>
      </c>
      <c r="AA141" s="281">
        <f>IF(HLOOKUP(AA$13,'MP (nominal)'!$D$12:$AM$244,ROW()-12,FALSE)="","",HLOOKUP(AA$13,'MP (nominal)'!$D$12:$AM$244,ROW()-12,FALSE))</f>
        <v>276656</v>
      </c>
      <c r="AB141" s="281">
        <f>IF(HLOOKUP(AB$13,'MP (nominal)'!$D$12:$AM$244,ROW()-12,FALSE)="","",HLOOKUP(AB$13,'MP (nominal)'!$D$12:$AM$244,ROW()-12,FALSE))</f>
        <v>43793</v>
      </c>
      <c r="AC141" s="281"/>
      <c r="AD141" s="281">
        <f>IF(HLOOKUP(AD$13,'MP (nominal)'!$D$12:$AM$244,ROW()-12,FALSE)="","",HLOOKUP(AD$13,'MP (nominal)'!$D$12:$AM$244,ROW()-12,FALSE)*VLOOKUP($C141,CPI!$B$9:$I$63,8))</f>
        <v>11094</v>
      </c>
      <c r="AE141" s="31">
        <f>IF(HLOOKUP(AE$13,'MP (nominal)'!$D$12:$AM$244,ROW()-12,FALSE)="","",HLOOKUP(AE$13,'MP (nominal)'!$D$12:$AM$244,ROW()-12,FALSE))</f>
        <v>116548</v>
      </c>
      <c r="AF141" s="31">
        <f>IF(HLOOKUP(AF$13,'MP (nominal)'!$D$12:$AM$244,ROW()-12,FALSE)="","",HLOOKUP(AF$13,'MP (nominal)'!$D$12:$AM$244,ROW()-12,FALSE))</f>
        <v>10124</v>
      </c>
      <c r="AG141" s="281"/>
      <c r="AH141" s="281">
        <f>IF(HLOOKUP(AH$13,'MP (nominal)'!$D$12:$AM$244,ROW()-12,FALSE)="","",HLOOKUP(AH$13,'MP (nominal)'!$D$12:$AM$244,ROW()-12,FALSE)*VLOOKUP($C141,CPI!$B$9:$I$63,8))</f>
        <v>7948</v>
      </c>
      <c r="AI141" s="31">
        <f>IF(HLOOKUP(AI$13,'MP (nominal)'!$D$12:$AM$244,ROW()-12,FALSE)="","",HLOOKUP(AI$13,'MP (nominal)'!$D$12:$AM$244,ROW()-12,FALSE))</f>
        <v>134330</v>
      </c>
      <c r="AJ141" s="31">
        <f>IF(HLOOKUP(AJ$13,'MP (nominal)'!$D$12:$AM$244,ROW()-12,FALSE)="","",HLOOKUP(AJ$13,'MP (nominal)'!$D$12:$AM$244,ROW()-12,FALSE))</f>
        <v>494</v>
      </c>
      <c r="AK141" s="281"/>
      <c r="AL141" s="281">
        <f>IF(HLOOKUP(AL$13,'MP (nominal)'!$D$12:$AM$244,ROW()-12,FALSE)="","",HLOOKUP(AL$13,'MP (nominal)'!$D$12:$AM$244,ROW()-12,FALSE)*VLOOKUP($C141,CPI!$B$9:$I$63,8))</f>
        <v>6197</v>
      </c>
      <c r="AM141" s="31">
        <f>IF(HLOOKUP(AM$13,'MP (nominal)'!$D$12:$AM$244,ROW()-12,FALSE)="","",HLOOKUP(AM$13,'MP (nominal)'!$D$12:$AM$244,ROW()-12,FALSE))</f>
        <v>429278</v>
      </c>
      <c r="AN141" s="31">
        <f>IF(HLOOKUP(AN$13,'MP (nominal)'!$D$12:$AM$244,ROW()-12,FALSE)="","",HLOOKUP(AN$13,'MP (nominal)'!$D$12:$AM$244,ROW()-12,FALSE))</f>
        <v>5</v>
      </c>
      <c r="AO141" s="281"/>
      <c r="AP141" s="281">
        <f>IF(HLOOKUP(AP$13,'MP (nominal)'!$D$12:$AM$244,ROW()-12,FALSE)="","",HLOOKUP(AP$13,'MP (nominal)'!$D$12:$AM$244,ROW()-12,FALSE)*VLOOKUP($C141,CPI!$B$9:$I$63,8))</f>
        <v>50025</v>
      </c>
      <c r="AQ141" s="31">
        <f>IF(HLOOKUP(AQ$13,'MP (nominal)'!$D$12:$AM$244,ROW()-12,FALSE)="","",HLOOKUP(AQ$13,'MP (nominal)'!$D$12:$AM$244,ROW()-12,FALSE))</f>
        <v>956812</v>
      </c>
      <c r="AR141" s="281">
        <f>IF(HLOOKUP(AR$13,'MP (nominal)'!$D$12:$AM$244,ROW()-12,FALSE)="","",HLOOKUP(AR$13,'MP (nominal)'!$D$12:$AM$244,ROW()-12,FALSE))</f>
        <v>54416</v>
      </c>
    </row>
    <row r="142" spans="1:44" s="278" customFormat="1" hidden="1">
      <c r="A142" s="271">
        <f>References!C274</f>
        <v>369</v>
      </c>
      <c r="B142" s="292" t="s">
        <v>45</v>
      </c>
      <c r="C142" s="284">
        <v>2004</v>
      </c>
      <c r="D142" s="27" t="str">
        <f>IF(HLOOKUP(D$13,'MP (nominal)'!$D$12:$AM$244,ROW()-12,FALSE)="","",HLOOKUP(D$13,'MP (nominal)'!$D$12:$AM$244,ROW()-12,FALSE))</f>
        <v/>
      </c>
      <c r="E142" s="281" t="str">
        <f>IF(HLOOKUP(E$13,'MP (nominal)'!$D$12:$AM$244,ROW()-12,FALSE)="","",HLOOKUP(E$13,'MP (nominal)'!$D$12:$AM$244,ROW()-12,FALSE))</f>
        <v/>
      </c>
      <c r="F142" s="27">
        <f>IF(HLOOKUP(F$13,'MP (nominal)'!$D$12:$AM$244,ROW()-12,FALSE)="","",HLOOKUP(F$13,'MP (nominal)'!$D$12:$AM$244,ROW()-12,FALSE))</f>
        <v>6715</v>
      </c>
      <c r="G142" s="281" t="str">
        <f>IF(HLOOKUP(G$13,'MP (nominal)'!$D$12:$AM$244,ROW()-12,FALSE)="","",HLOOKUP(G$13,'MP (nominal)'!$D$12:$AM$244,ROW()-12,FALSE))</f>
        <v/>
      </c>
      <c r="H142" s="27">
        <f>IF(HLOOKUP(H$13,'MP (nominal)'!$D$12:$AM$244,ROW()-12,FALSE)="","",HLOOKUP(H$13,'MP (nominal)'!$D$12:$AM$244,ROW()-12,FALSE))</f>
        <v>13028</v>
      </c>
      <c r="I142" s="31" t="str">
        <f>IF(HLOOKUP(I$13,'MP (nominal)'!$D$12:$AM$244,ROW()-12,FALSE)="","",HLOOKUP(I$13,'MP (nominal)'!$D$12:$AM$244,ROW()-12,FALSE))</f>
        <v/>
      </c>
      <c r="J142" s="31">
        <f>IF(HLOOKUP(J$13,'MP (nominal)'!$D$12:$AM$244,ROW()-12,FALSE)="","",HLOOKUP(J$13,'MP (nominal)'!$D$12:$AM$244,ROW()-12,FALSE))</f>
        <v>6312</v>
      </c>
      <c r="K142" s="281"/>
      <c r="L142" s="27">
        <f>IF(HLOOKUP(L$13,'MP (nominal)'!$D$12:$AM$244,ROW()-12,FALSE)="","",HLOOKUP(L$13,'MP (nominal)'!$D$12:$AM$244,ROW()-12,FALSE))</f>
        <v>563.12400000000002</v>
      </c>
      <c r="M142" s="293">
        <f>IF(HLOOKUP(M$13,'MP (nominal)'!$D$12:$AM$244,ROW()-12,FALSE)="","",HLOOKUP(M$13,'MP (nominal)'!$D$12:$AM$244,ROW()-12,FALSE))</f>
        <v>2928.9076930000001</v>
      </c>
      <c r="N142" s="35"/>
      <c r="O142" s="27">
        <f>IF(HLOOKUP(O$13,'MP (nominal)'!$D$12:$AM$244,ROW()-12,FALSE)="","",HLOOKUP(O$13,'MP (nominal)'!$D$12:$AM$244,ROW()-12,FALSE))</f>
        <v>174450</v>
      </c>
      <c r="P142" s="31"/>
      <c r="Q142" s="281"/>
      <c r="R142" s="281">
        <f>IF(HLOOKUP(R$13,'MP (nominal)'!$D$12:$AM$244,ROW()-12,FALSE)="","",HLOOKUP(R$13,'MP (nominal)'!$D$12:$AM$244,ROW()-12,FALSE))</f>
        <v>43.4</v>
      </c>
      <c r="S142" s="281" t="str">
        <f>IF(HLOOKUP(S$13,'MP (nominal)'!$D$12:$AM$244,ROW()-12,FALSE)="","",HLOOKUP(S$13,'MP (nominal)'!$D$12:$AM$244,ROW()-12,FALSE))</f>
        <v/>
      </c>
      <c r="T142" s="281" t="str">
        <f>IF(HLOOKUP(T$13,'MP (nominal)'!$D$12:$AM$244,ROW()-12,FALSE)="","",HLOOKUP(T$13,'MP (nominal)'!$D$12:$AM$244,ROW()-12,FALSE))</f>
        <v/>
      </c>
      <c r="U142" s="281"/>
      <c r="V142" s="281">
        <f>IF(HLOOKUP(V$13,'MP (nominal)'!$D$12:$AM$244,ROW()-12,FALSE)="","",HLOOKUP(V$13,'MP (nominal)'!$D$12:$AM$244,ROW()-12,FALSE))</f>
        <v>0.63</v>
      </c>
      <c r="W142" s="281" t="str">
        <f>IF(HLOOKUP(W$13,'MP (nominal)'!$D$12:$AM$244,ROW()-12,FALSE)="","",HLOOKUP(W$13,'MP (nominal)'!$D$12:$AM$244,ROW()-12,FALSE))</f>
        <v/>
      </c>
      <c r="X142" s="281" t="str">
        <f>IF(HLOOKUP(X$13,'MP (nominal)'!$D$12:$AM$244,ROW()-12,FALSE)="","",HLOOKUP(X$13,'MP (nominal)'!$D$12:$AM$244,ROW()-12,FALSE))</f>
        <v/>
      </c>
      <c r="Y142" s="281"/>
      <c r="Z142" s="281" t="str">
        <f>IF(HLOOKUP(Z$13,'MP (nominal)'!$D$12:$AM$244,ROW()-12,FALSE)="","",HLOOKUP(Z$13,'MP (nominal)'!$D$12:$AM$244,ROW()-12,FALSE)*VLOOKUP($C142,CPI!$B$9:$I$63,8))</f>
        <v/>
      </c>
      <c r="AA142" s="281" t="str">
        <f>IF(HLOOKUP(AA$13,'MP (nominal)'!$D$12:$AM$244,ROW()-12,FALSE)="","",HLOOKUP(AA$13,'MP (nominal)'!$D$12:$AM$244,ROW()-12,FALSE))</f>
        <v/>
      </c>
      <c r="AB142" s="281" t="str">
        <f>IF(HLOOKUP(AB$13,'MP (nominal)'!$D$12:$AM$244,ROW()-12,FALSE)="","",HLOOKUP(AB$13,'MP (nominal)'!$D$12:$AM$244,ROW()-12,FALSE))</f>
        <v/>
      </c>
      <c r="AC142" s="281"/>
      <c r="AD142" s="281" t="str">
        <f>IF(HLOOKUP(AD$13,'MP (nominal)'!$D$12:$AM$244,ROW()-12,FALSE)="","",HLOOKUP(AD$13,'MP (nominal)'!$D$12:$AM$244,ROW()-12,FALSE)*VLOOKUP($C142,CPI!$B$9:$I$63,8))</f>
        <v/>
      </c>
      <c r="AE142" s="31" t="str">
        <f>IF(HLOOKUP(AE$13,'MP (nominal)'!$D$12:$AM$244,ROW()-12,FALSE)="","",HLOOKUP(AE$13,'MP (nominal)'!$D$12:$AM$244,ROW()-12,FALSE))</f>
        <v/>
      </c>
      <c r="AF142" s="31" t="str">
        <f>IF(HLOOKUP(AF$13,'MP (nominal)'!$D$12:$AM$244,ROW()-12,FALSE)="","",HLOOKUP(AF$13,'MP (nominal)'!$D$12:$AM$244,ROW()-12,FALSE))</f>
        <v/>
      </c>
      <c r="AG142" s="281"/>
      <c r="AH142" s="281" t="str">
        <f>IF(HLOOKUP(AH$13,'MP (nominal)'!$D$12:$AM$244,ROW()-12,FALSE)="","",HLOOKUP(AH$13,'MP (nominal)'!$D$12:$AM$244,ROW()-12,FALSE)*VLOOKUP($C142,CPI!$B$9:$I$63,8))</f>
        <v/>
      </c>
      <c r="AI142" s="31" t="str">
        <f>IF(HLOOKUP(AI$13,'MP (nominal)'!$D$12:$AM$244,ROW()-12,FALSE)="","",HLOOKUP(AI$13,'MP (nominal)'!$D$12:$AM$244,ROW()-12,FALSE))</f>
        <v/>
      </c>
      <c r="AJ142" s="31" t="str">
        <f>IF(HLOOKUP(AJ$13,'MP (nominal)'!$D$12:$AM$244,ROW()-12,FALSE)="","",HLOOKUP(AJ$13,'MP (nominal)'!$D$12:$AM$244,ROW()-12,FALSE))</f>
        <v/>
      </c>
      <c r="AK142" s="281"/>
      <c r="AL142" s="281" t="str">
        <f>IF(HLOOKUP(AL$13,'MP (nominal)'!$D$12:$AM$244,ROW()-12,FALSE)="","",HLOOKUP(AL$13,'MP (nominal)'!$D$12:$AM$244,ROW()-12,FALSE)*VLOOKUP($C142,CPI!$B$9:$I$63,8))</f>
        <v/>
      </c>
      <c r="AM142" s="31" t="str">
        <f>IF(HLOOKUP(AM$13,'MP (nominal)'!$D$12:$AM$244,ROW()-12,FALSE)="","",HLOOKUP(AM$13,'MP (nominal)'!$D$12:$AM$244,ROW()-12,FALSE))</f>
        <v/>
      </c>
      <c r="AN142" s="31" t="str">
        <f>IF(HLOOKUP(AN$13,'MP (nominal)'!$D$12:$AM$244,ROW()-12,FALSE)="","",HLOOKUP(AN$13,'MP (nominal)'!$D$12:$AM$244,ROW()-12,FALSE))</f>
        <v/>
      </c>
      <c r="AO142" s="281"/>
      <c r="AP142" s="281" t="str">
        <f>IF(HLOOKUP(AP$13,'MP (nominal)'!$D$12:$AM$244,ROW()-12,FALSE)="","",HLOOKUP(AP$13,'MP (nominal)'!$D$12:$AM$244,ROW()-12,FALSE)*VLOOKUP($C142,CPI!$B$9:$I$63,8))</f>
        <v/>
      </c>
      <c r="AQ142" s="31" t="str">
        <f>IF(HLOOKUP(AQ$13,'MP (nominal)'!$D$12:$AM$244,ROW()-12,FALSE)="","",HLOOKUP(AQ$13,'MP (nominal)'!$D$12:$AM$244,ROW()-12,FALSE))</f>
        <v/>
      </c>
      <c r="AR142" s="281" t="str">
        <f>IF(HLOOKUP(AR$13,'MP (nominal)'!$D$12:$AM$244,ROW()-12,FALSE)="","",HLOOKUP(AR$13,'MP (nominal)'!$D$12:$AM$244,ROW()-12,FALSE))</f>
        <v/>
      </c>
    </row>
    <row r="143" spans="1:44" s="278" customFormat="1" hidden="1">
      <c r="A143" s="271">
        <f>References!D274</f>
        <v>370</v>
      </c>
      <c r="B143" s="292" t="s">
        <v>45</v>
      </c>
      <c r="C143" s="284">
        <v>2005</v>
      </c>
      <c r="D143" s="27" t="str">
        <f>IF(HLOOKUP(D$13,'MP (nominal)'!$D$12:$AM$244,ROW()-12,FALSE)="","",HLOOKUP(D$13,'MP (nominal)'!$D$12:$AM$244,ROW()-12,FALSE))</f>
        <v/>
      </c>
      <c r="E143" s="281" t="str">
        <f>IF(HLOOKUP(E$13,'MP (nominal)'!$D$12:$AM$244,ROW()-12,FALSE)="","",HLOOKUP(E$13,'MP (nominal)'!$D$12:$AM$244,ROW()-12,FALSE))</f>
        <v/>
      </c>
      <c r="F143" s="27">
        <f>IF(HLOOKUP(F$13,'MP (nominal)'!$D$12:$AM$244,ROW()-12,FALSE)="","",HLOOKUP(F$13,'MP (nominal)'!$D$12:$AM$244,ROW()-12,FALSE))</f>
        <v>6899</v>
      </c>
      <c r="G143" s="281" t="str">
        <f>IF(HLOOKUP(G$13,'MP (nominal)'!$D$12:$AM$244,ROW()-12,FALSE)="","",HLOOKUP(G$13,'MP (nominal)'!$D$12:$AM$244,ROW()-12,FALSE))</f>
        <v/>
      </c>
      <c r="H143" s="27">
        <f>IF(HLOOKUP(H$13,'MP (nominal)'!$D$12:$AM$244,ROW()-12,FALSE)="","",HLOOKUP(H$13,'MP (nominal)'!$D$12:$AM$244,ROW()-12,FALSE))</f>
        <v>13304</v>
      </c>
      <c r="I143" s="31" t="str">
        <f>IF(HLOOKUP(I$13,'MP (nominal)'!$D$12:$AM$244,ROW()-12,FALSE)="","",HLOOKUP(I$13,'MP (nominal)'!$D$12:$AM$244,ROW()-12,FALSE))</f>
        <v/>
      </c>
      <c r="J143" s="31">
        <f>IF(HLOOKUP(J$13,'MP (nominal)'!$D$12:$AM$244,ROW()-12,FALSE)="","",HLOOKUP(J$13,'MP (nominal)'!$D$12:$AM$244,ROW()-12,FALSE))</f>
        <v>6405</v>
      </c>
      <c r="K143" s="281"/>
      <c r="L143" s="27">
        <f>IF(HLOOKUP(L$13,'MP (nominal)'!$D$12:$AM$244,ROW()-12,FALSE)="","",HLOOKUP(L$13,'MP (nominal)'!$D$12:$AM$244,ROW()-12,FALSE))</f>
        <v>577.36599999999999</v>
      </c>
      <c r="M143" s="293">
        <f>IF(HLOOKUP(M$13,'MP (nominal)'!$D$12:$AM$244,ROW()-12,FALSE)="","",HLOOKUP(M$13,'MP (nominal)'!$D$12:$AM$244,ROW()-12,FALSE))</f>
        <v>3036.9886900000001</v>
      </c>
      <c r="N143" s="35"/>
      <c r="O143" s="27">
        <f>IF(HLOOKUP(O$13,'MP (nominal)'!$D$12:$AM$244,ROW()-12,FALSE)="","",HLOOKUP(O$13,'MP (nominal)'!$D$12:$AM$244,ROW()-12,FALSE))</f>
        <v>177718</v>
      </c>
      <c r="P143" s="31"/>
      <c r="Q143" s="281"/>
      <c r="R143" s="281">
        <f>IF(HLOOKUP(R$13,'MP (nominal)'!$D$12:$AM$244,ROW()-12,FALSE)="","",HLOOKUP(R$13,'MP (nominal)'!$D$12:$AM$244,ROW()-12,FALSE))</f>
        <v>52.9</v>
      </c>
      <c r="S143" s="281" t="str">
        <f>IF(HLOOKUP(S$13,'MP (nominal)'!$D$12:$AM$244,ROW()-12,FALSE)="","",HLOOKUP(S$13,'MP (nominal)'!$D$12:$AM$244,ROW()-12,FALSE))</f>
        <v/>
      </c>
      <c r="T143" s="281" t="str">
        <f>IF(HLOOKUP(T$13,'MP (nominal)'!$D$12:$AM$244,ROW()-12,FALSE)="","",HLOOKUP(T$13,'MP (nominal)'!$D$12:$AM$244,ROW()-12,FALSE))</f>
        <v/>
      </c>
      <c r="U143" s="281"/>
      <c r="V143" s="281">
        <f>IF(HLOOKUP(V$13,'MP (nominal)'!$D$12:$AM$244,ROW()-12,FALSE)="","",HLOOKUP(V$13,'MP (nominal)'!$D$12:$AM$244,ROW()-12,FALSE))</f>
        <v>0.76</v>
      </c>
      <c r="W143" s="281" t="str">
        <f>IF(HLOOKUP(W$13,'MP (nominal)'!$D$12:$AM$244,ROW()-12,FALSE)="","",HLOOKUP(W$13,'MP (nominal)'!$D$12:$AM$244,ROW()-12,FALSE))</f>
        <v/>
      </c>
      <c r="X143" s="281" t="str">
        <f>IF(HLOOKUP(X$13,'MP (nominal)'!$D$12:$AM$244,ROW()-12,FALSE)="","",HLOOKUP(X$13,'MP (nominal)'!$D$12:$AM$244,ROW()-12,FALSE))</f>
        <v/>
      </c>
      <c r="Y143" s="281"/>
      <c r="Z143" s="281" t="str">
        <f>IF(HLOOKUP(Z$13,'MP (nominal)'!$D$12:$AM$244,ROW()-12,FALSE)="","",HLOOKUP(Z$13,'MP (nominal)'!$D$12:$AM$244,ROW()-12,FALSE)*VLOOKUP($C143,CPI!$B$9:$I$63,8))</f>
        <v/>
      </c>
      <c r="AA143" s="281" t="str">
        <f>IF(HLOOKUP(AA$13,'MP (nominal)'!$D$12:$AM$244,ROW()-12,FALSE)="","",HLOOKUP(AA$13,'MP (nominal)'!$D$12:$AM$244,ROW()-12,FALSE))</f>
        <v/>
      </c>
      <c r="AB143" s="281" t="str">
        <f>IF(HLOOKUP(AB$13,'MP (nominal)'!$D$12:$AM$244,ROW()-12,FALSE)="","",HLOOKUP(AB$13,'MP (nominal)'!$D$12:$AM$244,ROW()-12,FALSE))</f>
        <v/>
      </c>
      <c r="AC143" s="281"/>
      <c r="AD143" s="281" t="str">
        <f>IF(HLOOKUP(AD$13,'MP (nominal)'!$D$12:$AM$244,ROW()-12,FALSE)="","",HLOOKUP(AD$13,'MP (nominal)'!$D$12:$AM$244,ROW()-12,FALSE)*VLOOKUP($C143,CPI!$B$9:$I$63,8))</f>
        <v/>
      </c>
      <c r="AE143" s="31" t="str">
        <f>IF(HLOOKUP(AE$13,'MP (nominal)'!$D$12:$AM$244,ROW()-12,FALSE)="","",HLOOKUP(AE$13,'MP (nominal)'!$D$12:$AM$244,ROW()-12,FALSE))</f>
        <v/>
      </c>
      <c r="AF143" s="31" t="str">
        <f>IF(HLOOKUP(AF$13,'MP (nominal)'!$D$12:$AM$244,ROW()-12,FALSE)="","",HLOOKUP(AF$13,'MP (nominal)'!$D$12:$AM$244,ROW()-12,FALSE))</f>
        <v/>
      </c>
      <c r="AG143" s="281"/>
      <c r="AH143" s="281" t="str">
        <f>IF(HLOOKUP(AH$13,'MP (nominal)'!$D$12:$AM$244,ROW()-12,FALSE)="","",HLOOKUP(AH$13,'MP (nominal)'!$D$12:$AM$244,ROW()-12,FALSE)*VLOOKUP($C143,CPI!$B$9:$I$63,8))</f>
        <v/>
      </c>
      <c r="AI143" s="31" t="str">
        <f>IF(HLOOKUP(AI$13,'MP (nominal)'!$D$12:$AM$244,ROW()-12,FALSE)="","",HLOOKUP(AI$13,'MP (nominal)'!$D$12:$AM$244,ROW()-12,FALSE))</f>
        <v/>
      </c>
      <c r="AJ143" s="31" t="str">
        <f>IF(HLOOKUP(AJ$13,'MP (nominal)'!$D$12:$AM$244,ROW()-12,FALSE)="","",HLOOKUP(AJ$13,'MP (nominal)'!$D$12:$AM$244,ROW()-12,FALSE))</f>
        <v/>
      </c>
      <c r="AK143" s="281"/>
      <c r="AL143" s="281" t="str">
        <f>IF(HLOOKUP(AL$13,'MP (nominal)'!$D$12:$AM$244,ROW()-12,FALSE)="","",HLOOKUP(AL$13,'MP (nominal)'!$D$12:$AM$244,ROW()-12,FALSE)*VLOOKUP($C143,CPI!$B$9:$I$63,8))</f>
        <v/>
      </c>
      <c r="AM143" s="31" t="str">
        <f>IF(HLOOKUP(AM$13,'MP (nominal)'!$D$12:$AM$244,ROW()-12,FALSE)="","",HLOOKUP(AM$13,'MP (nominal)'!$D$12:$AM$244,ROW()-12,FALSE))</f>
        <v/>
      </c>
      <c r="AN143" s="31" t="str">
        <f>IF(HLOOKUP(AN$13,'MP (nominal)'!$D$12:$AM$244,ROW()-12,FALSE)="","",HLOOKUP(AN$13,'MP (nominal)'!$D$12:$AM$244,ROW()-12,FALSE))</f>
        <v/>
      </c>
      <c r="AO143" s="281"/>
      <c r="AP143" s="281" t="str">
        <f>IF(HLOOKUP(AP$13,'MP (nominal)'!$D$12:$AM$244,ROW()-12,FALSE)="","",HLOOKUP(AP$13,'MP (nominal)'!$D$12:$AM$244,ROW()-12,FALSE)*VLOOKUP($C143,CPI!$B$9:$I$63,8))</f>
        <v/>
      </c>
      <c r="AQ143" s="31" t="str">
        <f>IF(HLOOKUP(AQ$13,'MP (nominal)'!$D$12:$AM$244,ROW()-12,FALSE)="","",HLOOKUP(AQ$13,'MP (nominal)'!$D$12:$AM$244,ROW()-12,FALSE))</f>
        <v/>
      </c>
      <c r="AR143" s="281" t="str">
        <f>IF(HLOOKUP(AR$13,'MP (nominal)'!$D$12:$AM$244,ROW()-12,FALSE)="","",HLOOKUP(AR$13,'MP (nominal)'!$D$12:$AM$244,ROW()-12,FALSE))</f>
        <v/>
      </c>
    </row>
    <row r="144" spans="1:44" s="278" customFormat="1" hidden="1">
      <c r="A144" s="271">
        <f>References!E274</f>
        <v>371</v>
      </c>
      <c r="B144" s="292" t="s">
        <v>45</v>
      </c>
      <c r="C144" s="284">
        <v>2006</v>
      </c>
      <c r="D144" s="27" t="str">
        <f>IF(HLOOKUP(D$13,'MP (nominal)'!$D$12:$AM$244,ROW()-12,FALSE)="","",HLOOKUP(D$13,'MP (nominal)'!$D$12:$AM$244,ROW()-12,FALSE))</f>
        <v/>
      </c>
      <c r="E144" s="281" t="str">
        <f>IF(HLOOKUP(E$13,'MP (nominal)'!$D$12:$AM$244,ROW()-12,FALSE)="","",HLOOKUP(E$13,'MP (nominal)'!$D$12:$AM$244,ROW()-12,FALSE))</f>
        <v/>
      </c>
      <c r="F144" s="27">
        <f>IF(HLOOKUP(F$13,'MP (nominal)'!$D$12:$AM$244,ROW()-12,FALSE)="","",HLOOKUP(F$13,'MP (nominal)'!$D$12:$AM$244,ROW()-12,FALSE))</f>
        <v>7265</v>
      </c>
      <c r="G144" s="281" t="str">
        <f>IF(HLOOKUP(G$13,'MP (nominal)'!$D$12:$AM$244,ROW()-12,FALSE)="","",HLOOKUP(G$13,'MP (nominal)'!$D$12:$AM$244,ROW()-12,FALSE))</f>
        <v/>
      </c>
      <c r="H144" s="27">
        <f>IF(HLOOKUP(H$13,'MP (nominal)'!$D$12:$AM$244,ROW()-12,FALSE)="","",HLOOKUP(H$13,'MP (nominal)'!$D$12:$AM$244,ROW()-12,FALSE))</f>
        <v>13748</v>
      </c>
      <c r="I144" s="31" t="str">
        <f>IF(HLOOKUP(I$13,'MP (nominal)'!$D$12:$AM$244,ROW()-12,FALSE)="","",HLOOKUP(I$13,'MP (nominal)'!$D$12:$AM$244,ROW()-12,FALSE))</f>
        <v/>
      </c>
      <c r="J144" s="31">
        <f>IF(HLOOKUP(J$13,'MP (nominal)'!$D$12:$AM$244,ROW()-12,FALSE)="","",HLOOKUP(J$13,'MP (nominal)'!$D$12:$AM$244,ROW()-12,FALSE))</f>
        <v>6483</v>
      </c>
      <c r="K144" s="281"/>
      <c r="L144" s="27">
        <f>IF(HLOOKUP(L$13,'MP (nominal)'!$D$12:$AM$244,ROW()-12,FALSE)="","",HLOOKUP(L$13,'MP (nominal)'!$D$12:$AM$244,ROW()-12,FALSE))</f>
        <v>594.71</v>
      </c>
      <c r="M144" s="293">
        <f>IF(HLOOKUP(M$13,'MP (nominal)'!$D$12:$AM$244,ROW()-12,FALSE)="","",HLOOKUP(M$13,'MP (nominal)'!$D$12:$AM$244,ROW()-12,FALSE))</f>
        <v>3097.913986</v>
      </c>
      <c r="N144" s="35"/>
      <c r="O144" s="27">
        <f>IF(HLOOKUP(O$13,'MP (nominal)'!$D$12:$AM$244,ROW()-12,FALSE)="","",HLOOKUP(O$13,'MP (nominal)'!$D$12:$AM$244,ROW()-12,FALSE))</f>
        <v>180541</v>
      </c>
      <c r="P144" s="31"/>
      <c r="Q144" s="281"/>
      <c r="R144" s="281">
        <f>IF(HLOOKUP(R$13,'MP (nominal)'!$D$12:$AM$244,ROW()-12,FALSE)="","",HLOOKUP(R$13,'MP (nominal)'!$D$12:$AM$244,ROW()-12,FALSE))</f>
        <v>64</v>
      </c>
      <c r="S144" s="281" t="str">
        <f>IF(HLOOKUP(S$13,'MP (nominal)'!$D$12:$AM$244,ROW()-12,FALSE)="","",HLOOKUP(S$13,'MP (nominal)'!$D$12:$AM$244,ROW()-12,FALSE))</f>
        <v/>
      </c>
      <c r="T144" s="281" t="str">
        <f>IF(HLOOKUP(T$13,'MP (nominal)'!$D$12:$AM$244,ROW()-12,FALSE)="","",HLOOKUP(T$13,'MP (nominal)'!$D$12:$AM$244,ROW()-12,FALSE))</f>
        <v/>
      </c>
      <c r="U144" s="281"/>
      <c r="V144" s="281">
        <f>IF(HLOOKUP(V$13,'MP (nominal)'!$D$12:$AM$244,ROW()-12,FALSE)="","",HLOOKUP(V$13,'MP (nominal)'!$D$12:$AM$244,ROW()-12,FALSE))</f>
        <v>0.96</v>
      </c>
      <c r="W144" s="281" t="str">
        <f>IF(HLOOKUP(W$13,'MP (nominal)'!$D$12:$AM$244,ROW()-12,FALSE)="","",HLOOKUP(W$13,'MP (nominal)'!$D$12:$AM$244,ROW()-12,FALSE))</f>
        <v/>
      </c>
      <c r="X144" s="281" t="str">
        <f>IF(HLOOKUP(X$13,'MP (nominal)'!$D$12:$AM$244,ROW()-12,FALSE)="","",HLOOKUP(X$13,'MP (nominal)'!$D$12:$AM$244,ROW()-12,FALSE))</f>
        <v/>
      </c>
      <c r="Y144" s="281"/>
      <c r="Z144" s="281" t="str">
        <f>IF(HLOOKUP(Z$13,'MP (nominal)'!$D$12:$AM$244,ROW()-12,FALSE)="","",HLOOKUP(Z$13,'MP (nominal)'!$D$12:$AM$244,ROW()-12,FALSE)*VLOOKUP($C144,CPI!$B$9:$I$63,8))</f>
        <v/>
      </c>
      <c r="AA144" s="281" t="str">
        <f>IF(HLOOKUP(AA$13,'MP (nominal)'!$D$12:$AM$244,ROW()-12,FALSE)="","",HLOOKUP(AA$13,'MP (nominal)'!$D$12:$AM$244,ROW()-12,FALSE))</f>
        <v/>
      </c>
      <c r="AB144" s="281" t="str">
        <f>IF(HLOOKUP(AB$13,'MP (nominal)'!$D$12:$AM$244,ROW()-12,FALSE)="","",HLOOKUP(AB$13,'MP (nominal)'!$D$12:$AM$244,ROW()-12,FALSE))</f>
        <v/>
      </c>
      <c r="AC144" s="281"/>
      <c r="AD144" s="281" t="str">
        <f>IF(HLOOKUP(AD$13,'MP (nominal)'!$D$12:$AM$244,ROW()-12,FALSE)="","",HLOOKUP(AD$13,'MP (nominal)'!$D$12:$AM$244,ROW()-12,FALSE)*VLOOKUP($C144,CPI!$B$9:$I$63,8))</f>
        <v/>
      </c>
      <c r="AE144" s="31" t="str">
        <f>IF(HLOOKUP(AE$13,'MP (nominal)'!$D$12:$AM$244,ROW()-12,FALSE)="","",HLOOKUP(AE$13,'MP (nominal)'!$D$12:$AM$244,ROW()-12,FALSE))</f>
        <v/>
      </c>
      <c r="AF144" s="31" t="str">
        <f>IF(HLOOKUP(AF$13,'MP (nominal)'!$D$12:$AM$244,ROW()-12,FALSE)="","",HLOOKUP(AF$13,'MP (nominal)'!$D$12:$AM$244,ROW()-12,FALSE))</f>
        <v/>
      </c>
      <c r="AG144" s="281"/>
      <c r="AH144" s="281" t="str">
        <f>IF(HLOOKUP(AH$13,'MP (nominal)'!$D$12:$AM$244,ROW()-12,FALSE)="","",HLOOKUP(AH$13,'MP (nominal)'!$D$12:$AM$244,ROW()-12,FALSE)*VLOOKUP($C144,CPI!$B$9:$I$63,8))</f>
        <v/>
      </c>
      <c r="AI144" s="31" t="str">
        <f>IF(HLOOKUP(AI$13,'MP (nominal)'!$D$12:$AM$244,ROW()-12,FALSE)="","",HLOOKUP(AI$13,'MP (nominal)'!$D$12:$AM$244,ROW()-12,FALSE))</f>
        <v/>
      </c>
      <c r="AJ144" s="31" t="str">
        <f>IF(HLOOKUP(AJ$13,'MP (nominal)'!$D$12:$AM$244,ROW()-12,FALSE)="","",HLOOKUP(AJ$13,'MP (nominal)'!$D$12:$AM$244,ROW()-12,FALSE))</f>
        <v/>
      </c>
      <c r="AK144" s="281"/>
      <c r="AL144" s="281" t="str">
        <f>IF(HLOOKUP(AL$13,'MP (nominal)'!$D$12:$AM$244,ROW()-12,FALSE)="","",HLOOKUP(AL$13,'MP (nominal)'!$D$12:$AM$244,ROW()-12,FALSE)*VLOOKUP($C144,CPI!$B$9:$I$63,8))</f>
        <v/>
      </c>
      <c r="AM144" s="31" t="str">
        <f>IF(HLOOKUP(AM$13,'MP (nominal)'!$D$12:$AM$244,ROW()-12,FALSE)="","",HLOOKUP(AM$13,'MP (nominal)'!$D$12:$AM$244,ROW()-12,FALSE))</f>
        <v/>
      </c>
      <c r="AN144" s="31" t="str">
        <f>IF(HLOOKUP(AN$13,'MP (nominal)'!$D$12:$AM$244,ROW()-12,FALSE)="","",HLOOKUP(AN$13,'MP (nominal)'!$D$12:$AM$244,ROW()-12,FALSE))</f>
        <v/>
      </c>
      <c r="AO144" s="281"/>
      <c r="AP144" s="281" t="str">
        <f>IF(HLOOKUP(AP$13,'MP (nominal)'!$D$12:$AM$244,ROW()-12,FALSE)="","",HLOOKUP(AP$13,'MP (nominal)'!$D$12:$AM$244,ROW()-12,FALSE)*VLOOKUP($C144,CPI!$B$9:$I$63,8))</f>
        <v/>
      </c>
      <c r="AQ144" s="31" t="str">
        <f>IF(HLOOKUP(AQ$13,'MP (nominal)'!$D$12:$AM$244,ROW()-12,FALSE)="","",HLOOKUP(AQ$13,'MP (nominal)'!$D$12:$AM$244,ROW()-12,FALSE))</f>
        <v/>
      </c>
      <c r="AR144" s="281" t="str">
        <f>IF(HLOOKUP(AR$13,'MP (nominal)'!$D$12:$AM$244,ROW()-12,FALSE)="","",HLOOKUP(AR$13,'MP (nominal)'!$D$12:$AM$244,ROW()-12,FALSE))</f>
        <v/>
      </c>
    </row>
    <row r="145" spans="1:44" s="278" customFormat="1" hidden="1">
      <c r="A145" s="271">
        <f>References!F274</f>
        <v>372</v>
      </c>
      <c r="B145" s="292" t="s">
        <v>45</v>
      </c>
      <c r="C145" s="284">
        <v>2007</v>
      </c>
      <c r="D145" s="27" t="str">
        <f>IF(HLOOKUP(D$13,'MP (nominal)'!$D$12:$AM$244,ROW()-12,FALSE)="","",HLOOKUP(D$13,'MP (nominal)'!$D$12:$AM$244,ROW()-12,FALSE))</f>
        <v/>
      </c>
      <c r="E145" s="281" t="str">
        <f>IF(HLOOKUP(E$13,'MP (nominal)'!$D$12:$AM$244,ROW()-12,FALSE)="","",HLOOKUP(E$13,'MP (nominal)'!$D$12:$AM$244,ROW()-12,FALSE))</f>
        <v/>
      </c>
      <c r="F145" s="27">
        <f>IF(HLOOKUP(F$13,'MP (nominal)'!$D$12:$AM$244,ROW()-12,FALSE)="","",HLOOKUP(F$13,'MP (nominal)'!$D$12:$AM$244,ROW()-12,FALSE))</f>
        <v>7428</v>
      </c>
      <c r="G145" s="281" t="str">
        <f>IF(HLOOKUP(G$13,'MP (nominal)'!$D$12:$AM$244,ROW()-12,FALSE)="","",HLOOKUP(G$13,'MP (nominal)'!$D$12:$AM$244,ROW()-12,FALSE))</f>
        <v/>
      </c>
      <c r="H145" s="27">
        <f>IF(HLOOKUP(H$13,'MP (nominal)'!$D$12:$AM$244,ROW()-12,FALSE)="","",HLOOKUP(H$13,'MP (nominal)'!$D$12:$AM$244,ROW()-12,FALSE))</f>
        <v>14188</v>
      </c>
      <c r="I145" s="31" t="str">
        <f>IF(HLOOKUP(I$13,'MP (nominal)'!$D$12:$AM$244,ROW()-12,FALSE)="","",HLOOKUP(I$13,'MP (nominal)'!$D$12:$AM$244,ROW()-12,FALSE))</f>
        <v/>
      </c>
      <c r="J145" s="31">
        <f>IF(HLOOKUP(J$13,'MP (nominal)'!$D$12:$AM$244,ROW()-12,FALSE)="","",HLOOKUP(J$13,'MP (nominal)'!$D$12:$AM$244,ROW()-12,FALSE))</f>
        <v>6760</v>
      </c>
      <c r="K145" s="281"/>
      <c r="L145" s="27">
        <f>IF(HLOOKUP(L$13,'MP (nominal)'!$D$12:$AM$244,ROW()-12,FALSE)="","",HLOOKUP(L$13,'MP (nominal)'!$D$12:$AM$244,ROW()-12,FALSE))</f>
        <v>630.02800000000002</v>
      </c>
      <c r="M145" s="293">
        <f>IF(HLOOKUP(M$13,'MP (nominal)'!$D$12:$AM$244,ROW()-12,FALSE)="","",HLOOKUP(M$13,'MP (nominal)'!$D$12:$AM$244,ROW()-12,FALSE))</f>
        <v>3125.0201040000002</v>
      </c>
      <c r="N145" s="35"/>
      <c r="O145" s="27">
        <f>IF(HLOOKUP(O$13,'MP (nominal)'!$D$12:$AM$244,ROW()-12,FALSE)="","",HLOOKUP(O$13,'MP (nominal)'!$D$12:$AM$244,ROW()-12,FALSE))</f>
        <v>183200</v>
      </c>
      <c r="P145" s="31"/>
      <c r="Q145" s="281"/>
      <c r="R145" s="281">
        <f>IF(HLOOKUP(R$13,'MP (nominal)'!$D$12:$AM$244,ROW()-12,FALSE)="","",HLOOKUP(R$13,'MP (nominal)'!$D$12:$AM$244,ROW()-12,FALSE))</f>
        <v>154.5</v>
      </c>
      <c r="S145" s="281" t="str">
        <f>IF(HLOOKUP(S$13,'MP (nominal)'!$D$12:$AM$244,ROW()-12,FALSE)="","",HLOOKUP(S$13,'MP (nominal)'!$D$12:$AM$244,ROW()-12,FALSE))</f>
        <v/>
      </c>
      <c r="T145" s="281" t="str">
        <f>IF(HLOOKUP(T$13,'MP (nominal)'!$D$12:$AM$244,ROW()-12,FALSE)="","",HLOOKUP(T$13,'MP (nominal)'!$D$12:$AM$244,ROW()-12,FALSE))</f>
        <v/>
      </c>
      <c r="U145" s="281"/>
      <c r="V145" s="281">
        <f>IF(HLOOKUP(V$13,'MP (nominal)'!$D$12:$AM$244,ROW()-12,FALSE)="","",HLOOKUP(V$13,'MP (nominal)'!$D$12:$AM$244,ROW()-12,FALSE))</f>
        <v>0.72</v>
      </c>
      <c r="W145" s="281" t="str">
        <f>IF(HLOOKUP(W$13,'MP (nominal)'!$D$12:$AM$244,ROW()-12,FALSE)="","",HLOOKUP(W$13,'MP (nominal)'!$D$12:$AM$244,ROW()-12,FALSE))</f>
        <v/>
      </c>
      <c r="X145" s="281" t="str">
        <f>IF(HLOOKUP(X$13,'MP (nominal)'!$D$12:$AM$244,ROW()-12,FALSE)="","",HLOOKUP(X$13,'MP (nominal)'!$D$12:$AM$244,ROW()-12,FALSE))</f>
        <v/>
      </c>
      <c r="Y145" s="281"/>
      <c r="Z145" s="281" t="str">
        <f>IF(HLOOKUP(Z$13,'MP (nominal)'!$D$12:$AM$244,ROW()-12,FALSE)="","",HLOOKUP(Z$13,'MP (nominal)'!$D$12:$AM$244,ROW()-12,FALSE)*VLOOKUP($C145,CPI!$B$9:$I$63,8))</f>
        <v/>
      </c>
      <c r="AA145" s="281" t="str">
        <f>IF(HLOOKUP(AA$13,'MP (nominal)'!$D$12:$AM$244,ROW()-12,FALSE)="","",HLOOKUP(AA$13,'MP (nominal)'!$D$12:$AM$244,ROW()-12,FALSE))</f>
        <v/>
      </c>
      <c r="AB145" s="281" t="str">
        <f>IF(HLOOKUP(AB$13,'MP (nominal)'!$D$12:$AM$244,ROW()-12,FALSE)="","",HLOOKUP(AB$13,'MP (nominal)'!$D$12:$AM$244,ROW()-12,FALSE))</f>
        <v/>
      </c>
      <c r="AC145" s="281"/>
      <c r="AD145" s="281" t="str">
        <f>IF(HLOOKUP(AD$13,'MP (nominal)'!$D$12:$AM$244,ROW()-12,FALSE)="","",HLOOKUP(AD$13,'MP (nominal)'!$D$12:$AM$244,ROW()-12,FALSE)*VLOOKUP($C145,CPI!$B$9:$I$63,8))</f>
        <v/>
      </c>
      <c r="AE145" s="31" t="str">
        <f>IF(HLOOKUP(AE$13,'MP (nominal)'!$D$12:$AM$244,ROW()-12,FALSE)="","",HLOOKUP(AE$13,'MP (nominal)'!$D$12:$AM$244,ROW()-12,FALSE))</f>
        <v/>
      </c>
      <c r="AF145" s="31" t="str">
        <f>IF(HLOOKUP(AF$13,'MP (nominal)'!$D$12:$AM$244,ROW()-12,FALSE)="","",HLOOKUP(AF$13,'MP (nominal)'!$D$12:$AM$244,ROW()-12,FALSE))</f>
        <v/>
      </c>
      <c r="AG145" s="281"/>
      <c r="AH145" s="281" t="str">
        <f>IF(HLOOKUP(AH$13,'MP (nominal)'!$D$12:$AM$244,ROW()-12,FALSE)="","",HLOOKUP(AH$13,'MP (nominal)'!$D$12:$AM$244,ROW()-12,FALSE)*VLOOKUP($C145,CPI!$B$9:$I$63,8))</f>
        <v/>
      </c>
      <c r="AI145" s="31" t="str">
        <f>IF(HLOOKUP(AI$13,'MP (nominal)'!$D$12:$AM$244,ROW()-12,FALSE)="","",HLOOKUP(AI$13,'MP (nominal)'!$D$12:$AM$244,ROW()-12,FALSE))</f>
        <v/>
      </c>
      <c r="AJ145" s="31" t="str">
        <f>IF(HLOOKUP(AJ$13,'MP (nominal)'!$D$12:$AM$244,ROW()-12,FALSE)="","",HLOOKUP(AJ$13,'MP (nominal)'!$D$12:$AM$244,ROW()-12,FALSE))</f>
        <v/>
      </c>
      <c r="AK145" s="281"/>
      <c r="AL145" s="281" t="str">
        <f>IF(HLOOKUP(AL$13,'MP (nominal)'!$D$12:$AM$244,ROW()-12,FALSE)="","",HLOOKUP(AL$13,'MP (nominal)'!$D$12:$AM$244,ROW()-12,FALSE)*VLOOKUP($C145,CPI!$B$9:$I$63,8))</f>
        <v/>
      </c>
      <c r="AM145" s="31" t="str">
        <f>IF(HLOOKUP(AM$13,'MP (nominal)'!$D$12:$AM$244,ROW()-12,FALSE)="","",HLOOKUP(AM$13,'MP (nominal)'!$D$12:$AM$244,ROW()-12,FALSE))</f>
        <v/>
      </c>
      <c r="AN145" s="31" t="str">
        <f>IF(HLOOKUP(AN$13,'MP (nominal)'!$D$12:$AM$244,ROW()-12,FALSE)="","",HLOOKUP(AN$13,'MP (nominal)'!$D$12:$AM$244,ROW()-12,FALSE))</f>
        <v/>
      </c>
      <c r="AO145" s="281"/>
      <c r="AP145" s="281" t="str">
        <f>IF(HLOOKUP(AP$13,'MP (nominal)'!$D$12:$AM$244,ROW()-12,FALSE)="","",HLOOKUP(AP$13,'MP (nominal)'!$D$12:$AM$244,ROW()-12,FALSE)*VLOOKUP($C145,CPI!$B$9:$I$63,8))</f>
        <v/>
      </c>
      <c r="AQ145" s="31" t="str">
        <f>IF(HLOOKUP(AQ$13,'MP (nominal)'!$D$12:$AM$244,ROW()-12,FALSE)="","",HLOOKUP(AQ$13,'MP (nominal)'!$D$12:$AM$244,ROW()-12,FALSE))</f>
        <v/>
      </c>
      <c r="AR145" s="281" t="str">
        <f>IF(HLOOKUP(AR$13,'MP (nominal)'!$D$12:$AM$244,ROW()-12,FALSE)="","",HLOOKUP(AR$13,'MP (nominal)'!$D$12:$AM$244,ROW()-12,FALSE))</f>
        <v/>
      </c>
    </row>
    <row r="146" spans="1:44" s="278" customFormat="1">
      <c r="A146" s="271">
        <f>References!G274</f>
        <v>373</v>
      </c>
      <c r="B146" s="292" t="s">
        <v>45</v>
      </c>
      <c r="C146" s="284">
        <v>2008</v>
      </c>
      <c r="D146" s="27">
        <f>IF(HLOOKUP(D$13,'MP (nominal)'!$D$12:$AM$244,ROW()-12,FALSE)="","",HLOOKUP(D$13,'MP (nominal)'!$D$12:$AM$244,ROW()-12,FALSE))</f>
        <v>5826</v>
      </c>
      <c r="E146" s="281">
        <f>IF(HLOOKUP(E$13,'MP (nominal)'!$D$12:$AM$244,ROW()-12,FALSE)="","",HLOOKUP(E$13,'MP (nominal)'!$D$12:$AM$244,ROW()-12,FALSE))</f>
        <v>961</v>
      </c>
      <c r="F146" s="27">
        <f>IF(HLOOKUP(F$13,'MP (nominal)'!$D$12:$AM$244,ROW()-12,FALSE)="","",HLOOKUP(F$13,'MP (nominal)'!$D$12:$AM$244,ROW()-12,FALSE))</f>
        <v>4718</v>
      </c>
      <c r="G146" s="281">
        <f>IF(HLOOKUP(G$13,'MP (nominal)'!$D$12:$AM$244,ROW()-12,FALSE)="","",HLOOKUP(G$13,'MP (nominal)'!$D$12:$AM$244,ROW()-12,FALSE))</f>
        <v>1856</v>
      </c>
      <c r="H146" s="27">
        <f>IF(HLOOKUP(H$13,'MP (nominal)'!$D$12:$AM$244,ROW()-12,FALSE)="","",HLOOKUP(H$13,'MP (nominal)'!$D$12:$AM$244,ROW()-12,FALSE))</f>
        <v>10544</v>
      </c>
      <c r="I146" s="31">
        <f>IF(HLOOKUP(I$13,'MP (nominal)'!$D$12:$AM$244,ROW()-12,FALSE)="","",HLOOKUP(I$13,'MP (nominal)'!$D$12:$AM$244,ROW()-12,FALSE))</f>
        <v>2817</v>
      </c>
      <c r="J146" s="31">
        <f>IF(HLOOKUP(J$13,'MP (nominal)'!$D$12:$AM$244,ROW()-12,FALSE)="","",HLOOKUP(J$13,'MP (nominal)'!$D$12:$AM$244,ROW()-12,FALSE))</f>
        <v>5826</v>
      </c>
      <c r="K146" s="281"/>
      <c r="L146" s="27">
        <f>IF(HLOOKUP(L$13,'MP (nominal)'!$D$12:$AM$244,ROW()-12,FALSE)="","",HLOOKUP(L$13,'MP (nominal)'!$D$12:$AM$244,ROW()-12,FALSE))</f>
        <v>631.6</v>
      </c>
      <c r="M146" s="283">
        <f>IF(HLOOKUP(M$13,'MP (nominal)'!$D$12:$AM$244,ROW()-12,FALSE)="","",HLOOKUP(M$13,'MP (nominal)'!$D$12:$AM$244,ROW()-12,FALSE))</f>
        <v>3155.8</v>
      </c>
      <c r="N146" s="35"/>
      <c r="O146" s="27">
        <f>IF(HLOOKUP(O$13,'MP (nominal)'!$D$12:$AM$244,ROW()-12,FALSE)="","",HLOOKUP(O$13,'MP (nominal)'!$D$12:$AM$244,ROW()-12,FALSE))</f>
        <v>186029</v>
      </c>
      <c r="P146" s="31"/>
      <c r="Q146" s="281"/>
      <c r="R146" s="281">
        <f>IF(HLOOKUP(R$13,'MP (nominal)'!$D$12:$AM$244,ROW()-12,FALSE)="","",HLOOKUP(R$13,'MP (nominal)'!$D$12:$AM$244,ROW()-12,FALSE))</f>
        <v>53.76</v>
      </c>
      <c r="S146" s="281">
        <f>IF(HLOOKUP(S$13,'MP (nominal)'!$D$12:$AM$244,ROW()-12,FALSE)="","",HLOOKUP(S$13,'MP (nominal)'!$D$12:$AM$244,ROW()-12,FALSE))</f>
        <v>10.19</v>
      </c>
      <c r="T146" s="281">
        <f>IF(HLOOKUP(T$13,'MP (nominal)'!$D$12:$AM$244,ROW()-12,FALSE)="","",HLOOKUP(T$13,'MP (nominal)'!$D$12:$AM$244,ROW()-12,FALSE))</f>
        <v>34.659999999999997</v>
      </c>
      <c r="U146" s="281"/>
      <c r="V146" s="281">
        <f>IF(HLOOKUP(V$13,'MP (nominal)'!$D$12:$AM$244,ROW()-12,FALSE)="","",HLOOKUP(V$13,'MP (nominal)'!$D$12:$AM$244,ROW()-12,FALSE))</f>
        <v>0.74</v>
      </c>
      <c r="W146" s="281">
        <f>IF(HLOOKUP(W$13,'MP (nominal)'!$D$12:$AM$244,ROW()-12,FALSE)="","",HLOOKUP(W$13,'MP (nominal)'!$D$12:$AM$244,ROW()-12,FALSE))</f>
        <v>0.04</v>
      </c>
      <c r="X146" s="281">
        <f>IF(HLOOKUP(X$13,'MP (nominal)'!$D$12:$AM$244,ROW()-12,FALSE)="","",HLOOKUP(X$13,'MP (nominal)'!$D$12:$AM$244,ROW()-12,FALSE))</f>
        <v>0.59</v>
      </c>
      <c r="Y146" s="281"/>
      <c r="Z146" s="281">
        <f>IF(HLOOKUP(Z$13,'MP (nominal)'!$D$12:$AM$244,ROW()-12,FALSE)="","",HLOOKUP(Z$13,'MP (nominal)'!$D$12:$AM$244,ROW()-12,FALSE)*VLOOKUP($C146,CPI!$B$9:$I$63,8))</f>
        <v>156243.02489236119</v>
      </c>
      <c r="AA146" s="281">
        <f>IF(HLOOKUP(AA$13,'MP (nominal)'!$D$12:$AM$244,ROW()-12,FALSE)="","",HLOOKUP(AA$13,'MP (nominal)'!$D$12:$AM$244,ROW()-12,FALSE))</f>
        <v>2299216.6</v>
      </c>
      <c r="AB146" s="281">
        <f>IF(HLOOKUP(AB$13,'MP (nominal)'!$D$12:$AM$244,ROW()-12,FALSE)="","",HLOOKUP(AB$13,'MP (nominal)'!$D$12:$AM$244,ROW()-12,FALSE))</f>
        <v>185621</v>
      </c>
      <c r="AC146" s="281"/>
      <c r="AD146" s="281">
        <f>IF(HLOOKUP(AD$13,'MP (nominal)'!$D$12:$AM$244,ROW()-12,FALSE)="","",HLOOKUP(AD$13,'MP (nominal)'!$D$12:$AM$244,ROW()-12,FALSE)*VLOOKUP($C146,CPI!$B$9:$I$63,8))</f>
        <v>0</v>
      </c>
      <c r="AE146" s="31">
        <f>IF(HLOOKUP(AE$13,'MP (nominal)'!$D$12:$AM$244,ROW()-12,FALSE)="","",HLOOKUP(AE$13,'MP (nominal)'!$D$12:$AM$244,ROW()-12,FALSE))</f>
        <v>0</v>
      </c>
      <c r="AF146" s="31">
        <f>IF(HLOOKUP(AF$13,'MP (nominal)'!$D$12:$AM$244,ROW()-12,FALSE)="","",HLOOKUP(AF$13,'MP (nominal)'!$D$12:$AM$244,ROW()-12,FALSE))</f>
        <v>0</v>
      </c>
      <c r="AG146" s="281"/>
      <c r="AH146" s="281">
        <f>IF(HLOOKUP(AH$13,'MP (nominal)'!$D$12:$AM$244,ROW()-12,FALSE)="","",HLOOKUP(AH$13,'MP (nominal)'!$D$12:$AM$244,ROW()-12,FALSE)*VLOOKUP($C146,CPI!$B$9:$I$63,8))</f>
        <v>24012.061418265799</v>
      </c>
      <c r="AI146" s="31">
        <f>IF(HLOOKUP(AI$13,'MP (nominal)'!$D$12:$AM$244,ROW()-12,FALSE)="","",HLOOKUP(AI$13,'MP (nominal)'!$D$12:$AM$244,ROW()-12,FALSE))</f>
        <v>760065.4</v>
      </c>
      <c r="AJ146" s="31">
        <f>IF(HLOOKUP(AJ$13,'MP (nominal)'!$D$12:$AM$244,ROW()-12,FALSE)="","",HLOOKUP(AJ$13,'MP (nominal)'!$D$12:$AM$244,ROW()-12,FALSE))</f>
        <v>403</v>
      </c>
      <c r="AK146" s="281"/>
      <c r="AL146" s="281">
        <f>IF(HLOOKUP(AL$13,'MP (nominal)'!$D$12:$AM$244,ROW()-12,FALSE)="","",HLOOKUP(AL$13,'MP (nominal)'!$D$12:$AM$244,ROW()-12,FALSE)*VLOOKUP($C146,CPI!$B$9:$I$63,8))</f>
        <v>2344.6490832881868</v>
      </c>
      <c r="AM146" s="31">
        <f>IF(HLOOKUP(AM$13,'MP (nominal)'!$D$12:$AM$244,ROW()-12,FALSE)="","",HLOOKUP(AM$13,'MP (nominal)'!$D$12:$AM$244,ROW()-12,FALSE))</f>
        <v>96550.8</v>
      </c>
      <c r="AN146" s="31">
        <f>IF(HLOOKUP(AN$13,'MP (nominal)'!$D$12:$AM$244,ROW()-12,FALSE)="","",HLOOKUP(AN$13,'MP (nominal)'!$D$12:$AM$244,ROW()-12,FALSE))</f>
        <v>5</v>
      </c>
      <c r="AO146" s="281"/>
      <c r="AP146" s="281">
        <f>IF(HLOOKUP(AP$13,'MP (nominal)'!$D$12:$AM$244,ROW()-12,FALSE)="","",HLOOKUP(AP$13,'MP (nominal)'!$D$12:$AM$244,ROW()-12,FALSE)*VLOOKUP($C146,CPI!$B$9:$I$63,8))</f>
        <v>182599.73539391518</v>
      </c>
      <c r="AQ146" s="31">
        <f>IF(HLOOKUP(AQ$13,'MP (nominal)'!$D$12:$AM$244,ROW()-12,FALSE)="","",HLOOKUP(AQ$13,'MP (nominal)'!$D$12:$AM$244,ROW()-12,FALSE))</f>
        <v>3155832.8</v>
      </c>
      <c r="AR146" s="281">
        <f>IF(HLOOKUP(AR$13,'MP (nominal)'!$D$12:$AM$244,ROW()-12,FALSE)="","",HLOOKUP(AR$13,'MP (nominal)'!$D$12:$AM$244,ROW()-12,FALSE))</f>
        <v>186029</v>
      </c>
    </row>
    <row r="147" spans="1:44" s="278" customFormat="1">
      <c r="A147" s="271">
        <f>References!H274</f>
        <v>374</v>
      </c>
      <c r="B147" s="292" t="s">
        <v>45</v>
      </c>
      <c r="C147" s="284">
        <v>2009</v>
      </c>
      <c r="D147" s="27">
        <f>IF(HLOOKUP(D$13,'MP (nominal)'!$D$12:$AM$244,ROW()-12,FALSE)="","",HLOOKUP(D$13,'MP (nominal)'!$D$12:$AM$244,ROW()-12,FALSE))</f>
        <v>5833</v>
      </c>
      <c r="E147" s="281">
        <f>IF(HLOOKUP(E$13,'MP (nominal)'!$D$12:$AM$244,ROW()-12,FALSE)="","",HLOOKUP(E$13,'MP (nominal)'!$D$12:$AM$244,ROW()-12,FALSE))</f>
        <v>957</v>
      </c>
      <c r="F147" s="27">
        <f>IF(HLOOKUP(F$13,'MP (nominal)'!$D$12:$AM$244,ROW()-12,FALSE)="","",HLOOKUP(F$13,'MP (nominal)'!$D$12:$AM$244,ROW()-12,FALSE))</f>
        <v>4800</v>
      </c>
      <c r="G147" s="281">
        <f>IF(HLOOKUP(G$13,'MP (nominal)'!$D$12:$AM$244,ROW()-12,FALSE)="","",HLOOKUP(G$13,'MP (nominal)'!$D$12:$AM$244,ROW()-12,FALSE))</f>
        <v>1887</v>
      </c>
      <c r="H147" s="27">
        <f>IF(HLOOKUP(H$13,'MP (nominal)'!$D$12:$AM$244,ROW()-12,FALSE)="","",HLOOKUP(H$13,'MP (nominal)'!$D$12:$AM$244,ROW()-12,FALSE))</f>
        <v>10633</v>
      </c>
      <c r="I147" s="31">
        <f>IF(HLOOKUP(I$13,'MP (nominal)'!$D$12:$AM$244,ROW()-12,FALSE)="","",HLOOKUP(I$13,'MP (nominal)'!$D$12:$AM$244,ROW()-12,FALSE))</f>
        <v>2844</v>
      </c>
      <c r="J147" s="31">
        <f>IF(HLOOKUP(J$13,'MP (nominal)'!$D$12:$AM$244,ROW()-12,FALSE)="","",HLOOKUP(J$13,'MP (nominal)'!$D$12:$AM$244,ROW()-12,FALSE))</f>
        <v>5833</v>
      </c>
      <c r="K147" s="281"/>
      <c r="L147" s="27">
        <f>IF(HLOOKUP(L$13,'MP (nominal)'!$D$12:$AM$244,ROW()-12,FALSE)="","",HLOOKUP(L$13,'MP (nominal)'!$D$12:$AM$244,ROW()-12,FALSE))</f>
        <v>625</v>
      </c>
      <c r="M147" s="283">
        <f>IF(HLOOKUP(M$13,'MP (nominal)'!$D$12:$AM$244,ROW()-12,FALSE)="","",HLOOKUP(M$13,'MP (nominal)'!$D$12:$AM$244,ROW()-12,FALSE))</f>
        <v>3263</v>
      </c>
      <c r="N147" s="35"/>
      <c r="O147" s="27">
        <f>IF(HLOOKUP(O$13,'MP (nominal)'!$D$12:$AM$244,ROW()-12,FALSE)="","",HLOOKUP(O$13,'MP (nominal)'!$D$12:$AM$244,ROW()-12,FALSE))</f>
        <v>190286</v>
      </c>
      <c r="P147" s="31"/>
      <c r="Q147" s="281"/>
      <c r="R147" s="281">
        <f>IF(HLOOKUP(R$13,'MP (nominal)'!$D$12:$AM$244,ROW()-12,FALSE)="","",HLOOKUP(R$13,'MP (nominal)'!$D$12:$AM$244,ROW()-12,FALSE))</f>
        <v>62.85</v>
      </c>
      <c r="S147" s="281">
        <f>IF(HLOOKUP(S$13,'MP (nominal)'!$D$12:$AM$244,ROW()-12,FALSE)="","",HLOOKUP(S$13,'MP (nominal)'!$D$12:$AM$244,ROW()-12,FALSE))</f>
        <v>21.19</v>
      </c>
      <c r="T147" s="281">
        <f>IF(HLOOKUP(T$13,'MP (nominal)'!$D$12:$AM$244,ROW()-12,FALSE)="","",HLOOKUP(T$13,'MP (nominal)'!$D$12:$AM$244,ROW()-12,FALSE))</f>
        <v>40.42</v>
      </c>
      <c r="U147" s="281"/>
      <c r="V147" s="281">
        <f>IF(HLOOKUP(V$13,'MP (nominal)'!$D$12:$AM$244,ROW()-12,FALSE)="","",HLOOKUP(V$13,'MP (nominal)'!$D$12:$AM$244,ROW()-12,FALSE))</f>
        <v>0.72</v>
      </c>
      <c r="W147" s="281">
        <f>IF(HLOOKUP(W$13,'MP (nominal)'!$D$12:$AM$244,ROW()-12,FALSE)="","",HLOOKUP(W$13,'MP (nominal)'!$D$12:$AM$244,ROW()-12,FALSE))</f>
        <v>0.08</v>
      </c>
      <c r="X147" s="281">
        <f>IF(HLOOKUP(X$13,'MP (nominal)'!$D$12:$AM$244,ROW()-12,FALSE)="","",HLOOKUP(X$13,'MP (nominal)'!$D$12:$AM$244,ROW()-12,FALSE))</f>
        <v>0.52</v>
      </c>
      <c r="Y147" s="281"/>
      <c r="Z147" s="281">
        <f>IF(HLOOKUP(Z$13,'MP (nominal)'!$D$12:$AM$244,ROW()-12,FALSE)="","",HLOOKUP(Z$13,'MP (nominal)'!$D$12:$AM$244,ROW()-12,FALSE)*VLOOKUP($C147,CPI!$B$9:$I$63,8))</f>
        <v>159820.88983458022</v>
      </c>
      <c r="AA147" s="281">
        <f>IF(HLOOKUP(AA$13,'MP (nominal)'!$D$12:$AM$244,ROW()-12,FALSE)="","",HLOOKUP(AA$13,'MP (nominal)'!$D$12:$AM$244,ROW()-12,FALSE))</f>
        <v>2397462</v>
      </c>
      <c r="AB147" s="281">
        <f>IF(HLOOKUP(AB$13,'MP (nominal)'!$D$12:$AM$244,ROW()-12,FALSE)="","",HLOOKUP(AB$13,'MP (nominal)'!$D$12:$AM$244,ROW()-12,FALSE))</f>
        <v>189821</v>
      </c>
      <c r="AC147" s="281"/>
      <c r="AD147" s="281">
        <f>IF(HLOOKUP(AD$13,'MP (nominal)'!$D$12:$AM$244,ROW()-12,FALSE)="","",HLOOKUP(AD$13,'MP (nominal)'!$D$12:$AM$244,ROW()-12,FALSE)*VLOOKUP($C147,CPI!$B$9:$I$63,8))</f>
        <v>0</v>
      </c>
      <c r="AE147" s="31">
        <f>IF(HLOOKUP(AE$13,'MP (nominal)'!$D$12:$AM$244,ROW()-12,FALSE)="","",HLOOKUP(AE$13,'MP (nominal)'!$D$12:$AM$244,ROW()-12,FALSE))</f>
        <v>0</v>
      </c>
      <c r="AF147" s="31">
        <f>IF(HLOOKUP(AF$13,'MP (nominal)'!$D$12:$AM$244,ROW()-12,FALSE)="","",HLOOKUP(AF$13,'MP (nominal)'!$D$12:$AM$244,ROW()-12,FALSE))</f>
        <v>0</v>
      </c>
      <c r="AG147" s="281"/>
      <c r="AH147" s="281">
        <f>IF(HLOOKUP(AH$13,'MP (nominal)'!$D$12:$AM$244,ROW()-12,FALSE)="","",HLOOKUP(AH$13,'MP (nominal)'!$D$12:$AM$244,ROW()-12,FALSE)*VLOOKUP($C147,CPI!$B$9:$I$63,8))</f>
        <v>25088.773725032595</v>
      </c>
      <c r="AI147" s="31">
        <f>IF(HLOOKUP(AI$13,'MP (nominal)'!$D$12:$AM$244,ROW()-12,FALSE)="","",HLOOKUP(AI$13,'MP (nominal)'!$D$12:$AM$244,ROW()-12,FALSE))</f>
        <v>770327.4</v>
      </c>
      <c r="AJ147" s="31">
        <f>IF(HLOOKUP(AJ$13,'MP (nominal)'!$D$12:$AM$244,ROW()-12,FALSE)="","",HLOOKUP(AJ$13,'MP (nominal)'!$D$12:$AM$244,ROW()-12,FALSE))</f>
        <v>460</v>
      </c>
      <c r="AK147" s="281"/>
      <c r="AL147" s="281">
        <f>IF(HLOOKUP(AL$13,'MP (nominal)'!$D$12:$AM$244,ROW()-12,FALSE)="","",HLOOKUP(AL$13,'MP (nominal)'!$D$12:$AM$244,ROW()-12,FALSE)*VLOOKUP($C147,CPI!$B$9:$I$63,8))</f>
        <v>2378.1708833825237</v>
      </c>
      <c r="AM147" s="31">
        <f>IF(HLOOKUP(AM$13,'MP (nominal)'!$D$12:$AM$244,ROW()-12,FALSE)="","",HLOOKUP(AM$13,'MP (nominal)'!$D$12:$AM$244,ROW()-12,FALSE))</f>
        <v>95170.9</v>
      </c>
      <c r="AN147" s="31">
        <f>IF(HLOOKUP(AN$13,'MP (nominal)'!$D$12:$AM$244,ROW()-12,FALSE)="","",HLOOKUP(AN$13,'MP (nominal)'!$D$12:$AM$244,ROW()-12,FALSE))</f>
        <v>5</v>
      </c>
      <c r="AO147" s="281"/>
      <c r="AP147" s="281">
        <f>IF(HLOOKUP(AP$13,'MP (nominal)'!$D$12:$AM$244,ROW()-12,FALSE)="","",HLOOKUP(AP$13,'MP (nominal)'!$D$12:$AM$244,ROW()-12,FALSE)*VLOOKUP($C147,CPI!$B$9:$I$63,8))</f>
        <v>187287.83444299534</v>
      </c>
      <c r="AQ147" s="31">
        <f>IF(HLOOKUP(AQ$13,'MP (nominal)'!$D$12:$AM$244,ROW()-12,FALSE)="","",HLOOKUP(AQ$13,'MP (nominal)'!$D$12:$AM$244,ROW()-12,FALSE))</f>
        <v>3262960.3</v>
      </c>
      <c r="AR147" s="281">
        <f>IF(HLOOKUP(AR$13,'MP (nominal)'!$D$12:$AM$244,ROW()-12,FALSE)="","",HLOOKUP(AR$13,'MP (nominal)'!$D$12:$AM$244,ROW()-12,FALSE))</f>
        <v>190286</v>
      </c>
    </row>
    <row r="148" spans="1:44" s="278" customFormat="1">
      <c r="A148" s="271">
        <f>References!I274</f>
        <v>375</v>
      </c>
      <c r="B148" s="292" t="s">
        <v>45</v>
      </c>
      <c r="C148" s="284">
        <v>2010</v>
      </c>
      <c r="D148" s="27">
        <f>IF(HLOOKUP(D$13,'MP (nominal)'!$D$12:$AM$244,ROW()-12,FALSE)="","",HLOOKUP(D$13,'MP (nominal)'!$D$12:$AM$244,ROW()-12,FALSE))</f>
        <v>5822.9</v>
      </c>
      <c r="E148" s="281">
        <f>IF(HLOOKUP(E$13,'MP (nominal)'!$D$12:$AM$244,ROW()-12,FALSE)="","",HLOOKUP(E$13,'MP (nominal)'!$D$12:$AM$244,ROW()-12,FALSE))</f>
        <v>952</v>
      </c>
      <c r="F148" s="27">
        <f>IF(HLOOKUP(F$13,'MP (nominal)'!$D$12:$AM$244,ROW()-12,FALSE)="","",HLOOKUP(F$13,'MP (nominal)'!$D$12:$AM$244,ROW()-12,FALSE))</f>
        <v>4884.6000000000004</v>
      </c>
      <c r="G148" s="281">
        <f>IF(HLOOKUP(G$13,'MP (nominal)'!$D$12:$AM$244,ROW()-12,FALSE)="","",HLOOKUP(G$13,'MP (nominal)'!$D$12:$AM$244,ROW()-12,FALSE))</f>
        <v>1931</v>
      </c>
      <c r="H148" s="27">
        <f>IF(HLOOKUP(H$13,'MP (nominal)'!$D$12:$AM$244,ROW()-12,FALSE)="","",HLOOKUP(H$13,'MP (nominal)'!$D$12:$AM$244,ROW()-12,FALSE))</f>
        <v>10707.5</v>
      </c>
      <c r="I148" s="31">
        <f>IF(HLOOKUP(I$13,'MP (nominal)'!$D$12:$AM$244,ROW()-12,FALSE)="","",HLOOKUP(I$13,'MP (nominal)'!$D$12:$AM$244,ROW()-12,FALSE))</f>
        <v>2883</v>
      </c>
      <c r="J148" s="31">
        <f>IF(HLOOKUP(J$13,'MP (nominal)'!$D$12:$AM$244,ROW()-12,FALSE)="","",HLOOKUP(J$13,'MP (nominal)'!$D$12:$AM$244,ROW()-12,FALSE))</f>
        <v>5822.9</v>
      </c>
      <c r="K148" s="281"/>
      <c r="L148" s="27">
        <f>IF(HLOOKUP(L$13,'MP (nominal)'!$D$12:$AM$244,ROW()-12,FALSE)="","",HLOOKUP(L$13,'MP (nominal)'!$D$12:$AM$244,ROW()-12,FALSE))</f>
        <v>615.85</v>
      </c>
      <c r="M148" s="283">
        <f>IF(HLOOKUP(M$13,'MP (nominal)'!$D$12:$AM$244,ROW()-12,FALSE)="","",HLOOKUP(M$13,'MP (nominal)'!$D$12:$AM$244,ROW()-12,FALSE))</f>
        <v>3278.3</v>
      </c>
      <c r="N148" s="35"/>
      <c r="O148" s="27">
        <f>IF(HLOOKUP(O$13,'MP (nominal)'!$D$12:$AM$244,ROW()-12,FALSE)="","",HLOOKUP(O$13,'MP (nominal)'!$D$12:$AM$244,ROW()-12,FALSE))</f>
        <v>192179</v>
      </c>
      <c r="P148" s="31"/>
      <c r="Q148" s="281"/>
      <c r="R148" s="281">
        <f>IF(HLOOKUP(R$13,'MP (nominal)'!$D$12:$AM$244,ROW()-12,FALSE)="","",HLOOKUP(R$13,'MP (nominal)'!$D$12:$AM$244,ROW()-12,FALSE))</f>
        <v>61.16</v>
      </c>
      <c r="S148" s="281">
        <f>IF(HLOOKUP(S$13,'MP (nominal)'!$D$12:$AM$244,ROW()-12,FALSE)="","",HLOOKUP(S$13,'MP (nominal)'!$D$12:$AM$244,ROW()-12,FALSE))</f>
        <v>20.72</v>
      </c>
      <c r="T148" s="281">
        <f>IF(HLOOKUP(T$13,'MP (nominal)'!$D$12:$AM$244,ROW()-12,FALSE)="","",HLOOKUP(T$13,'MP (nominal)'!$D$12:$AM$244,ROW()-12,FALSE))</f>
        <v>40.44</v>
      </c>
      <c r="U148" s="281"/>
      <c r="V148" s="281">
        <f>IF(HLOOKUP(V$13,'MP (nominal)'!$D$12:$AM$244,ROW()-12,FALSE)="","",HLOOKUP(V$13,'MP (nominal)'!$D$12:$AM$244,ROW()-12,FALSE))</f>
        <v>0.57999999999999996</v>
      </c>
      <c r="W148" s="281">
        <f>IF(HLOOKUP(W$13,'MP (nominal)'!$D$12:$AM$244,ROW()-12,FALSE)="","",HLOOKUP(W$13,'MP (nominal)'!$D$12:$AM$244,ROW()-12,FALSE))</f>
        <v>0.08</v>
      </c>
      <c r="X148" s="281">
        <f>IF(HLOOKUP(X$13,'MP (nominal)'!$D$12:$AM$244,ROW()-12,FALSE)="","",HLOOKUP(X$13,'MP (nominal)'!$D$12:$AM$244,ROW()-12,FALSE))</f>
        <v>0.49</v>
      </c>
      <c r="Y148" s="281"/>
      <c r="Z148" s="281">
        <f>IF(HLOOKUP(Z$13,'MP (nominal)'!$D$12:$AM$244,ROW()-12,FALSE)="","",HLOOKUP(Z$13,'MP (nominal)'!$D$12:$AM$244,ROW()-12,FALSE)*VLOOKUP($C148,CPI!$B$9:$I$63,8))</f>
        <v>163178.71305003905</v>
      </c>
      <c r="AA148" s="281">
        <f>IF(HLOOKUP(AA$13,'MP (nominal)'!$D$12:$AM$244,ROW()-12,FALSE)="","",HLOOKUP(AA$13,'MP (nominal)'!$D$12:$AM$244,ROW()-12,FALSE))</f>
        <v>2427539</v>
      </c>
      <c r="AB148" s="281">
        <f>IF(HLOOKUP(AB$13,'MP (nominal)'!$D$12:$AM$244,ROW()-12,FALSE)="","",HLOOKUP(AB$13,'MP (nominal)'!$D$12:$AM$244,ROW()-12,FALSE))</f>
        <v>191707</v>
      </c>
      <c r="AC148" s="281"/>
      <c r="AD148" s="281">
        <f>IF(HLOOKUP(AD$13,'MP (nominal)'!$D$12:$AM$244,ROW()-12,FALSE)="","",HLOOKUP(AD$13,'MP (nominal)'!$D$12:$AM$244,ROW()-12,FALSE)*VLOOKUP($C148,CPI!$B$9:$I$63,8))</f>
        <v>0</v>
      </c>
      <c r="AE148" s="31">
        <f>IF(HLOOKUP(AE$13,'MP (nominal)'!$D$12:$AM$244,ROW()-12,FALSE)="","",HLOOKUP(AE$13,'MP (nominal)'!$D$12:$AM$244,ROW()-12,FALSE))</f>
        <v>0</v>
      </c>
      <c r="AF148" s="31">
        <f>IF(HLOOKUP(AF$13,'MP (nominal)'!$D$12:$AM$244,ROW()-12,FALSE)="","",HLOOKUP(AF$13,'MP (nominal)'!$D$12:$AM$244,ROW()-12,FALSE))</f>
        <v>0</v>
      </c>
      <c r="AG148" s="281"/>
      <c r="AH148" s="281">
        <f>IF(HLOOKUP(AH$13,'MP (nominal)'!$D$12:$AM$244,ROW()-12,FALSE)="","",HLOOKUP(AH$13,'MP (nominal)'!$D$12:$AM$244,ROW()-12,FALSE)*VLOOKUP($C148,CPI!$B$9:$I$63,8))</f>
        <v>27971.106679960114</v>
      </c>
      <c r="AI148" s="31">
        <f>IF(HLOOKUP(AI$13,'MP (nominal)'!$D$12:$AM$244,ROW()-12,FALSE)="","",HLOOKUP(AI$13,'MP (nominal)'!$D$12:$AM$244,ROW()-12,FALSE))</f>
        <v>754620</v>
      </c>
      <c r="AJ148" s="31">
        <f>IF(HLOOKUP(AJ$13,'MP (nominal)'!$D$12:$AM$244,ROW()-12,FALSE)="","",HLOOKUP(AJ$13,'MP (nominal)'!$D$12:$AM$244,ROW()-12,FALSE))</f>
        <v>467</v>
      </c>
      <c r="AK148" s="281"/>
      <c r="AL148" s="281">
        <f>IF(HLOOKUP(AL$13,'MP (nominal)'!$D$12:$AM$244,ROW()-12,FALSE)="","",HLOOKUP(AL$13,'MP (nominal)'!$D$12:$AM$244,ROW()-12,FALSE)*VLOOKUP($C148,CPI!$B$9:$I$63,8))</f>
        <v>2583.766538223168</v>
      </c>
      <c r="AM148" s="31">
        <f>IF(HLOOKUP(AM$13,'MP (nominal)'!$D$12:$AM$244,ROW()-12,FALSE)="","",HLOOKUP(AM$13,'MP (nominal)'!$D$12:$AM$244,ROW()-12,FALSE))</f>
        <v>96171</v>
      </c>
      <c r="AN148" s="31">
        <f>IF(HLOOKUP(AN$13,'MP (nominal)'!$D$12:$AM$244,ROW()-12,FALSE)="","",HLOOKUP(AN$13,'MP (nominal)'!$D$12:$AM$244,ROW()-12,FALSE))</f>
        <v>5</v>
      </c>
      <c r="AO148" s="281"/>
      <c r="AP148" s="281">
        <f>IF(HLOOKUP(AP$13,'MP (nominal)'!$D$12:$AM$244,ROW()-12,FALSE)="","",HLOOKUP(AP$13,'MP (nominal)'!$D$12:$AM$244,ROW()-12,FALSE)*VLOOKUP($C148,CPI!$B$9:$I$63,8))</f>
        <v>193733.58626822234</v>
      </c>
      <c r="AQ148" s="31">
        <f>IF(HLOOKUP(AQ$13,'MP (nominal)'!$D$12:$AM$244,ROW()-12,FALSE)="","",HLOOKUP(AQ$13,'MP (nominal)'!$D$12:$AM$244,ROW()-12,FALSE))</f>
        <v>3278330</v>
      </c>
      <c r="AR148" s="281">
        <f>IF(HLOOKUP(AR$13,'MP (nominal)'!$D$12:$AM$244,ROW()-12,FALSE)="","",HLOOKUP(AR$13,'MP (nominal)'!$D$12:$AM$244,ROW()-12,FALSE))</f>
        <v>192179</v>
      </c>
    </row>
    <row r="149" spans="1:44" s="278" customFormat="1">
      <c r="A149" s="271">
        <f>References!J274</f>
        <v>376</v>
      </c>
      <c r="B149" s="292" t="s">
        <v>45</v>
      </c>
      <c r="C149" s="284">
        <v>2011</v>
      </c>
      <c r="D149" s="27">
        <f>IF(HLOOKUP(D$13,'MP (nominal)'!$D$12:$AM$244,ROW()-12,FALSE)="","",HLOOKUP(D$13,'MP (nominal)'!$D$12:$AM$244,ROW()-12,FALSE))</f>
        <v>5822.9</v>
      </c>
      <c r="E149" s="281">
        <f>IF(HLOOKUP(E$13,'MP (nominal)'!$D$12:$AM$244,ROW()-12,FALSE)="","",HLOOKUP(E$13,'MP (nominal)'!$D$12:$AM$244,ROW()-12,FALSE))</f>
        <v>952</v>
      </c>
      <c r="F149" s="27">
        <f>IF(HLOOKUP(F$13,'MP (nominal)'!$D$12:$AM$244,ROW()-12,FALSE)="","",HLOOKUP(F$13,'MP (nominal)'!$D$12:$AM$244,ROW()-12,FALSE))</f>
        <v>4884.6000000000004</v>
      </c>
      <c r="G149" s="281">
        <f>IF(HLOOKUP(G$13,'MP (nominal)'!$D$12:$AM$244,ROW()-12,FALSE)="","",HLOOKUP(G$13,'MP (nominal)'!$D$12:$AM$244,ROW()-12,FALSE))</f>
        <v>1931</v>
      </c>
      <c r="H149" s="27">
        <f>IF(HLOOKUP(H$13,'MP (nominal)'!$D$12:$AM$244,ROW()-12,FALSE)="","",HLOOKUP(H$13,'MP (nominal)'!$D$12:$AM$244,ROW()-12,FALSE))</f>
        <v>10707.5</v>
      </c>
      <c r="I149" s="31">
        <f>IF(HLOOKUP(I$13,'MP (nominal)'!$D$12:$AM$244,ROW()-12,FALSE)="","",HLOOKUP(I$13,'MP (nominal)'!$D$12:$AM$244,ROW()-12,FALSE))</f>
        <v>2883</v>
      </c>
      <c r="J149" s="31">
        <f>IF(HLOOKUP(J$13,'MP (nominal)'!$D$12:$AM$244,ROW()-12,FALSE)="","",HLOOKUP(J$13,'MP (nominal)'!$D$12:$AM$244,ROW()-12,FALSE))</f>
        <v>5822.9</v>
      </c>
      <c r="K149" s="281"/>
      <c r="L149" s="27">
        <f>IF(HLOOKUP(L$13,'MP (nominal)'!$D$12:$AM$244,ROW()-12,FALSE)="","",HLOOKUP(L$13,'MP (nominal)'!$D$12:$AM$244,ROW()-12,FALSE))</f>
        <v>615.85</v>
      </c>
      <c r="M149" s="283">
        <f>IF(HLOOKUP(M$13,'MP (nominal)'!$D$12:$AM$244,ROW()-12,FALSE)="","",HLOOKUP(M$13,'MP (nominal)'!$D$12:$AM$244,ROW()-12,FALSE))</f>
        <v>3278.3</v>
      </c>
      <c r="N149" s="35"/>
      <c r="O149" s="27">
        <f>IF(HLOOKUP(O$13,'MP (nominal)'!$D$12:$AM$244,ROW()-12,FALSE)="","",HLOOKUP(O$13,'MP (nominal)'!$D$12:$AM$244,ROW()-12,FALSE))</f>
        <v>192179</v>
      </c>
      <c r="P149" s="31"/>
      <c r="Q149" s="281"/>
      <c r="R149" s="281">
        <f>IF(HLOOKUP(R$13,'MP (nominal)'!$D$12:$AM$244,ROW()-12,FALSE)="","",HLOOKUP(R$13,'MP (nominal)'!$D$12:$AM$244,ROW()-12,FALSE))</f>
        <v>61.16</v>
      </c>
      <c r="S149" s="281">
        <f>IF(HLOOKUP(S$13,'MP (nominal)'!$D$12:$AM$244,ROW()-12,FALSE)="","",HLOOKUP(S$13,'MP (nominal)'!$D$12:$AM$244,ROW()-12,FALSE))</f>
        <v>20.72</v>
      </c>
      <c r="T149" s="281">
        <f>IF(HLOOKUP(T$13,'MP (nominal)'!$D$12:$AM$244,ROW()-12,FALSE)="","",HLOOKUP(T$13,'MP (nominal)'!$D$12:$AM$244,ROW()-12,FALSE))</f>
        <v>40.44</v>
      </c>
      <c r="U149" s="281"/>
      <c r="V149" s="281">
        <f>IF(HLOOKUP(V$13,'MP (nominal)'!$D$12:$AM$244,ROW()-12,FALSE)="","",HLOOKUP(V$13,'MP (nominal)'!$D$12:$AM$244,ROW()-12,FALSE))</f>
        <v>0.57999999999999996</v>
      </c>
      <c r="W149" s="281">
        <f>IF(HLOOKUP(W$13,'MP (nominal)'!$D$12:$AM$244,ROW()-12,FALSE)="","",HLOOKUP(W$13,'MP (nominal)'!$D$12:$AM$244,ROW()-12,FALSE))</f>
        <v>0.08</v>
      </c>
      <c r="X149" s="281">
        <f>IF(HLOOKUP(X$13,'MP (nominal)'!$D$12:$AM$244,ROW()-12,FALSE)="","",HLOOKUP(X$13,'MP (nominal)'!$D$12:$AM$244,ROW()-12,FALSE))</f>
        <v>0.49</v>
      </c>
      <c r="Y149" s="281"/>
      <c r="Z149" s="281">
        <f>IF(HLOOKUP(Z$13,'MP (nominal)'!$D$12:$AM$244,ROW()-12,FALSE)="","",HLOOKUP(Z$13,'MP (nominal)'!$D$12:$AM$244,ROW()-12,FALSE)*VLOOKUP($C149,CPI!$B$9:$I$63,8))</f>
        <v>160162</v>
      </c>
      <c r="AA149" s="281">
        <f>IF(HLOOKUP(AA$13,'MP (nominal)'!$D$12:$AM$244,ROW()-12,FALSE)="","",HLOOKUP(AA$13,'MP (nominal)'!$D$12:$AM$244,ROW()-12,FALSE))</f>
        <v>2427539</v>
      </c>
      <c r="AB149" s="281">
        <f>IF(HLOOKUP(AB$13,'MP (nominal)'!$D$12:$AM$244,ROW()-12,FALSE)="","",HLOOKUP(AB$13,'MP (nominal)'!$D$12:$AM$244,ROW()-12,FALSE))</f>
        <v>191707</v>
      </c>
      <c r="AC149" s="281"/>
      <c r="AD149" s="281">
        <f>IF(HLOOKUP(AD$13,'MP (nominal)'!$D$12:$AM$244,ROW()-12,FALSE)="","",HLOOKUP(AD$13,'MP (nominal)'!$D$12:$AM$244,ROW()-12,FALSE)*VLOOKUP($C149,CPI!$B$9:$I$63,8))</f>
        <v>0</v>
      </c>
      <c r="AE149" s="31">
        <f>IF(HLOOKUP(AE$13,'MP (nominal)'!$D$12:$AM$244,ROW()-12,FALSE)="","",HLOOKUP(AE$13,'MP (nominal)'!$D$12:$AM$244,ROW()-12,FALSE))</f>
        <v>0</v>
      </c>
      <c r="AF149" s="31">
        <f>IF(HLOOKUP(AF$13,'MP (nominal)'!$D$12:$AM$244,ROW()-12,FALSE)="","",HLOOKUP(AF$13,'MP (nominal)'!$D$12:$AM$244,ROW()-12,FALSE))</f>
        <v>0</v>
      </c>
      <c r="AG149" s="281"/>
      <c r="AH149" s="281">
        <f>IF(HLOOKUP(AH$13,'MP (nominal)'!$D$12:$AM$244,ROW()-12,FALSE)="","",HLOOKUP(AH$13,'MP (nominal)'!$D$12:$AM$244,ROW()-12,FALSE)*VLOOKUP($C149,CPI!$B$9:$I$63,8))</f>
        <v>27454</v>
      </c>
      <c r="AI149" s="31">
        <f>IF(HLOOKUP(AI$13,'MP (nominal)'!$D$12:$AM$244,ROW()-12,FALSE)="","",HLOOKUP(AI$13,'MP (nominal)'!$D$12:$AM$244,ROW()-12,FALSE))</f>
        <v>754620</v>
      </c>
      <c r="AJ149" s="31">
        <f>IF(HLOOKUP(AJ$13,'MP (nominal)'!$D$12:$AM$244,ROW()-12,FALSE)="","",HLOOKUP(AJ$13,'MP (nominal)'!$D$12:$AM$244,ROW()-12,FALSE))</f>
        <v>467</v>
      </c>
      <c r="AK149" s="281"/>
      <c r="AL149" s="281">
        <f>IF(HLOOKUP(AL$13,'MP (nominal)'!$D$12:$AM$244,ROW()-12,FALSE)="","",HLOOKUP(AL$13,'MP (nominal)'!$D$12:$AM$244,ROW()-12,FALSE)*VLOOKUP($C149,CPI!$B$9:$I$63,8))</f>
        <v>2536</v>
      </c>
      <c r="AM149" s="31">
        <f>IF(HLOOKUP(AM$13,'MP (nominal)'!$D$12:$AM$244,ROW()-12,FALSE)="","",HLOOKUP(AM$13,'MP (nominal)'!$D$12:$AM$244,ROW()-12,FALSE))</f>
        <v>96171</v>
      </c>
      <c r="AN149" s="31">
        <f>IF(HLOOKUP(AN$13,'MP (nominal)'!$D$12:$AM$244,ROW()-12,FALSE)="","",HLOOKUP(AN$13,'MP (nominal)'!$D$12:$AM$244,ROW()-12,FALSE))</f>
        <v>5</v>
      </c>
      <c r="AO149" s="281"/>
      <c r="AP149" s="281">
        <f>IF(HLOOKUP(AP$13,'MP (nominal)'!$D$12:$AM$244,ROW()-12,FALSE)="","",HLOOKUP(AP$13,'MP (nominal)'!$D$12:$AM$244,ROW()-12,FALSE)*VLOOKUP($C149,CPI!$B$9:$I$63,8))</f>
        <v>190152</v>
      </c>
      <c r="AQ149" s="31">
        <f>IF(HLOOKUP(AQ$13,'MP (nominal)'!$D$12:$AM$244,ROW()-12,FALSE)="","",HLOOKUP(AQ$13,'MP (nominal)'!$D$12:$AM$244,ROW()-12,FALSE))</f>
        <v>3278330</v>
      </c>
      <c r="AR149" s="281">
        <f>IF(HLOOKUP(AR$13,'MP (nominal)'!$D$12:$AM$244,ROW()-12,FALSE)="","",HLOOKUP(AR$13,'MP (nominal)'!$D$12:$AM$244,ROW()-12,FALSE))</f>
        <v>192179</v>
      </c>
    </row>
    <row r="150" spans="1:44" s="278" customFormat="1" hidden="1">
      <c r="A150" s="271">
        <f>References!C275</f>
        <v>392</v>
      </c>
      <c r="B150" s="292" t="s">
        <v>46</v>
      </c>
      <c r="C150" s="284">
        <v>2004</v>
      </c>
      <c r="D150" s="27" t="str">
        <f>IF(HLOOKUP(D$13,'MP (nominal)'!$D$12:$AM$244,ROW()-12,FALSE)="","",HLOOKUP(D$13,'MP (nominal)'!$D$12:$AM$244,ROW()-12,FALSE))</f>
        <v/>
      </c>
      <c r="E150" s="281" t="str">
        <f>IF(HLOOKUP(E$13,'MP (nominal)'!$D$12:$AM$244,ROW()-12,FALSE)="","",HLOOKUP(E$13,'MP (nominal)'!$D$12:$AM$244,ROW()-12,FALSE))</f>
        <v/>
      </c>
      <c r="F150" s="27">
        <f>IF(HLOOKUP(F$13,'MP (nominal)'!$D$12:$AM$244,ROW()-12,FALSE)="","",HLOOKUP(F$13,'MP (nominal)'!$D$12:$AM$244,ROW()-12,FALSE))</f>
        <v>12</v>
      </c>
      <c r="G150" s="281" t="str">
        <f>IF(HLOOKUP(G$13,'MP (nominal)'!$D$12:$AM$244,ROW()-12,FALSE)="","",HLOOKUP(G$13,'MP (nominal)'!$D$12:$AM$244,ROW()-12,FALSE))</f>
        <v/>
      </c>
      <c r="H150" s="27">
        <f>IF(HLOOKUP(H$13,'MP (nominal)'!$D$12:$AM$244,ROW()-12,FALSE)="","",HLOOKUP(H$13,'MP (nominal)'!$D$12:$AM$244,ROW()-12,FALSE))</f>
        <v>4355</v>
      </c>
      <c r="I150" s="31" t="str">
        <f>IF(HLOOKUP(I$13,'MP (nominal)'!$D$12:$AM$244,ROW()-12,FALSE)="","",HLOOKUP(I$13,'MP (nominal)'!$D$12:$AM$244,ROW()-12,FALSE))</f>
        <v/>
      </c>
      <c r="J150" s="31">
        <f>IF(HLOOKUP(J$13,'MP (nominal)'!$D$12:$AM$244,ROW()-12,FALSE)="","",HLOOKUP(J$13,'MP (nominal)'!$D$12:$AM$244,ROW()-12,FALSE))</f>
        <v>4343</v>
      </c>
      <c r="K150" s="281"/>
      <c r="L150" s="27">
        <f>IF(HLOOKUP(L$13,'MP (nominal)'!$D$12:$AM$244,ROW()-12,FALSE)="","",HLOOKUP(L$13,'MP (nominal)'!$D$12:$AM$244,ROW()-12,FALSE))</f>
        <v>55.134</v>
      </c>
      <c r="M150" s="293">
        <f>IF(HLOOKUP(M$13,'MP (nominal)'!$D$12:$AM$244,ROW()-12,FALSE)="","",HLOOKUP(M$13,'MP (nominal)'!$D$12:$AM$244,ROW()-12,FALSE))</f>
        <v>339.953778</v>
      </c>
      <c r="N150" s="35"/>
      <c r="O150" s="27">
        <f>IF(HLOOKUP(O$13,'MP (nominal)'!$D$12:$AM$244,ROW()-12,FALSE)="","",HLOOKUP(O$13,'MP (nominal)'!$D$12:$AM$244,ROW()-12,FALSE))</f>
        <v>14542</v>
      </c>
      <c r="P150" s="31"/>
      <c r="Q150" s="281"/>
      <c r="R150" s="281">
        <f>IF(HLOOKUP(R$13,'MP (nominal)'!$D$12:$AM$244,ROW()-12,FALSE)="","",HLOOKUP(R$13,'MP (nominal)'!$D$12:$AM$244,ROW()-12,FALSE))</f>
        <v>503.9</v>
      </c>
      <c r="S150" s="281" t="str">
        <f>IF(HLOOKUP(S$13,'MP (nominal)'!$D$12:$AM$244,ROW()-12,FALSE)="","",HLOOKUP(S$13,'MP (nominal)'!$D$12:$AM$244,ROW()-12,FALSE))</f>
        <v/>
      </c>
      <c r="T150" s="281" t="str">
        <f>IF(HLOOKUP(T$13,'MP (nominal)'!$D$12:$AM$244,ROW()-12,FALSE)="","",HLOOKUP(T$13,'MP (nominal)'!$D$12:$AM$244,ROW()-12,FALSE))</f>
        <v/>
      </c>
      <c r="U150" s="281"/>
      <c r="V150" s="281">
        <f>IF(HLOOKUP(V$13,'MP (nominal)'!$D$12:$AM$244,ROW()-12,FALSE)="","",HLOOKUP(V$13,'MP (nominal)'!$D$12:$AM$244,ROW()-12,FALSE))</f>
        <v>3.49</v>
      </c>
      <c r="W150" s="281" t="str">
        <f>IF(HLOOKUP(W$13,'MP (nominal)'!$D$12:$AM$244,ROW()-12,FALSE)="","",HLOOKUP(W$13,'MP (nominal)'!$D$12:$AM$244,ROW()-12,FALSE))</f>
        <v/>
      </c>
      <c r="X150" s="281" t="str">
        <f>IF(HLOOKUP(X$13,'MP (nominal)'!$D$12:$AM$244,ROW()-12,FALSE)="","",HLOOKUP(X$13,'MP (nominal)'!$D$12:$AM$244,ROW()-12,FALSE))</f>
        <v/>
      </c>
      <c r="Y150" s="281"/>
      <c r="Z150" s="281" t="str">
        <f>IF(HLOOKUP(Z$13,'MP (nominal)'!$D$12:$AM$244,ROW()-12,FALSE)="","",HLOOKUP(Z$13,'MP (nominal)'!$D$12:$AM$244,ROW()-12,FALSE)*VLOOKUP($C150,CPI!$B$9:$I$63,8))</f>
        <v/>
      </c>
      <c r="AA150" s="281" t="str">
        <f>IF(HLOOKUP(AA$13,'MP (nominal)'!$D$12:$AM$244,ROW()-12,FALSE)="","",HLOOKUP(AA$13,'MP (nominal)'!$D$12:$AM$244,ROW()-12,FALSE))</f>
        <v/>
      </c>
      <c r="AB150" s="281" t="str">
        <f>IF(HLOOKUP(AB$13,'MP (nominal)'!$D$12:$AM$244,ROW()-12,FALSE)="","",HLOOKUP(AB$13,'MP (nominal)'!$D$12:$AM$244,ROW()-12,FALSE))</f>
        <v/>
      </c>
      <c r="AC150" s="281"/>
      <c r="AD150" s="281" t="str">
        <f>IF(HLOOKUP(AD$13,'MP (nominal)'!$D$12:$AM$244,ROW()-12,FALSE)="","",HLOOKUP(AD$13,'MP (nominal)'!$D$12:$AM$244,ROW()-12,FALSE)*VLOOKUP($C150,CPI!$B$9:$I$63,8))</f>
        <v/>
      </c>
      <c r="AE150" s="31" t="str">
        <f>IF(HLOOKUP(AE$13,'MP (nominal)'!$D$12:$AM$244,ROW()-12,FALSE)="","",HLOOKUP(AE$13,'MP (nominal)'!$D$12:$AM$244,ROW()-12,FALSE))</f>
        <v/>
      </c>
      <c r="AF150" s="31" t="str">
        <f>IF(HLOOKUP(AF$13,'MP (nominal)'!$D$12:$AM$244,ROW()-12,FALSE)="","",HLOOKUP(AF$13,'MP (nominal)'!$D$12:$AM$244,ROW()-12,FALSE))</f>
        <v/>
      </c>
      <c r="AG150" s="281"/>
      <c r="AH150" s="281" t="str">
        <f>IF(HLOOKUP(AH$13,'MP (nominal)'!$D$12:$AM$244,ROW()-12,FALSE)="","",HLOOKUP(AH$13,'MP (nominal)'!$D$12:$AM$244,ROW()-12,FALSE)*VLOOKUP($C150,CPI!$B$9:$I$63,8))</f>
        <v/>
      </c>
      <c r="AI150" s="31" t="str">
        <f>IF(HLOOKUP(AI$13,'MP (nominal)'!$D$12:$AM$244,ROW()-12,FALSE)="","",HLOOKUP(AI$13,'MP (nominal)'!$D$12:$AM$244,ROW()-12,FALSE))</f>
        <v/>
      </c>
      <c r="AJ150" s="31" t="str">
        <f>IF(HLOOKUP(AJ$13,'MP (nominal)'!$D$12:$AM$244,ROW()-12,FALSE)="","",HLOOKUP(AJ$13,'MP (nominal)'!$D$12:$AM$244,ROW()-12,FALSE))</f>
        <v/>
      </c>
      <c r="AK150" s="281"/>
      <c r="AL150" s="281" t="str">
        <f>IF(HLOOKUP(AL$13,'MP (nominal)'!$D$12:$AM$244,ROW()-12,FALSE)="","",HLOOKUP(AL$13,'MP (nominal)'!$D$12:$AM$244,ROW()-12,FALSE)*VLOOKUP($C150,CPI!$B$9:$I$63,8))</f>
        <v/>
      </c>
      <c r="AM150" s="31" t="str">
        <f>IF(HLOOKUP(AM$13,'MP (nominal)'!$D$12:$AM$244,ROW()-12,FALSE)="","",HLOOKUP(AM$13,'MP (nominal)'!$D$12:$AM$244,ROW()-12,FALSE))</f>
        <v/>
      </c>
      <c r="AN150" s="31" t="str">
        <f>IF(HLOOKUP(AN$13,'MP (nominal)'!$D$12:$AM$244,ROW()-12,FALSE)="","",HLOOKUP(AN$13,'MP (nominal)'!$D$12:$AM$244,ROW()-12,FALSE))</f>
        <v/>
      </c>
      <c r="AO150" s="281"/>
      <c r="AP150" s="281" t="str">
        <f>IF(HLOOKUP(AP$13,'MP (nominal)'!$D$12:$AM$244,ROW()-12,FALSE)="","",HLOOKUP(AP$13,'MP (nominal)'!$D$12:$AM$244,ROW()-12,FALSE)*VLOOKUP($C150,CPI!$B$9:$I$63,8))</f>
        <v/>
      </c>
      <c r="AQ150" s="31" t="str">
        <f>IF(HLOOKUP(AQ$13,'MP (nominal)'!$D$12:$AM$244,ROW()-12,FALSE)="","",HLOOKUP(AQ$13,'MP (nominal)'!$D$12:$AM$244,ROW()-12,FALSE))</f>
        <v/>
      </c>
      <c r="AR150" s="281" t="str">
        <f>IF(HLOOKUP(AR$13,'MP (nominal)'!$D$12:$AM$244,ROW()-12,FALSE)="","",HLOOKUP(AR$13,'MP (nominal)'!$D$12:$AM$244,ROW()-12,FALSE))</f>
        <v/>
      </c>
    </row>
    <row r="151" spans="1:44" s="278" customFormat="1" hidden="1">
      <c r="A151" s="271">
        <f>References!D275</f>
        <v>393</v>
      </c>
      <c r="B151" s="292" t="s">
        <v>46</v>
      </c>
      <c r="C151" s="284">
        <v>2005</v>
      </c>
      <c r="D151" s="27" t="str">
        <f>IF(HLOOKUP(D$13,'MP (nominal)'!$D$12:$AM$244,ROW()-12,FALSE)="","",HLOOKUP(D$13,'MP (nominal)'!$D$12:$AM$244,ROW()-12,FALSE))</f>
        <v/>
      </c>
      <c r="E151" s="281" t="str">
        <f>IF(HLOOKUP(E$13,'MP (nominal)'!$D$12:$AM$244,ROW()-12,FALSE)="","",HLOOKUP(E$13,'MP (nominal)'!$D$12:$AM$244,ROW()-12,FALSE))</f>
        <v/>
      </c>
      <c r="F151" s="27">
        <f>IF(HLOOKUP(F$13,'MP (nominal)'!$D$12:$AM$244,ROW()-12,FALSE)="","",HLOOKUP(F$13,'MP (nominal)'!$D$12:$AM$244,ROW()-12,FALSE))</f>
        <v>19</v>
      </c>
      <c r="G151" s="281" t="str">
        <f>IF(HLOOKUP(G$13,'MP (nominal)'!$D$12:$AM$244,ROW()-12,FALSE)="","",HLOOKUP(G$13,'MP (nominal)'!$D$12:$AM$244,ROW()-12,FALSE))</f>
        <v/>
      </c>
      <c r="H151" s="27">
        <f>IF(HLOOKUP(H$13,'MP (nominal)'!$D$12:$AM$244,ROW()-12,FALSE)="","",HLOOKUP(H$13,'MP (nominal)'!$D$12:$AM$244,ROW()-12,FALSE))</f>
        <v>4370</v>
      </c>
      <c r="I151" s="31" t="str">
        <f>IF(HLOOKUP(I$13,'MP (nominal)'!$D$12:$AM$244,ROW()-12,FALSE)="","",HLOOKUP(I$13,'MP (nominal)'!$D$12:$AM$244,ROW()-12,FALSE))</f>
        <v/>
      </c>
      <c r="J151" s="31">
        <f>IF(HLOOKUP(J$13,'MP (nominal)'!$D$12:$AM$244,ROW()-12,FALSE)="","",HLOOKUP(J$13,'MP (nominal)'!$D$12:$AM$244,ROW()-12,FALSE))</f>
        <v>4351</v>
      </c>
      <c r="K151" s="281"/>
      <c r="L151" s="27">
        <f>IF(HLOOKUP(L$13,'MP (nominal)'!$D$12:$AM$244,ROW()-12,FALSE)="","",HLOOKUP(L$13,'MP (nominal)'!$D$12:$AM$244,ROW()-12,FALSE))</f>
        <v>54.996000000000002</v>
      </c>
      <c r="M151" s="293">
        <f>IF(HLOOKUP(M$13,'MP (nominal)'!$D$12:$AM$244,ROW()-12,FALSE)="","",HLOOKUP(M$13,'MP (nominal)'!$D$12:$AM$244,ROW()-12,FALSE))</f>
        <v>351.73603100000003</v>
      </c>
      <c r="N151" s="35"/>
      <c r="O151" s="27">
        <f>IF(HLOOKUP(O$13,'MP (nominal)'!$D$12:$AM$244,ROW()-12,FALSE)="","",HLOOKUP(O$13,'MP (nominal)'!$D$12:$AM$244,ROW()-12,FALSE))</f>
        <v>14585</v>
      </c>
      <c r="P151" s="31"/>
      <c r="Q151" s="281"/>
      <c r="R151" s="281">
        <f>IF(HLOOKUP(R$13,'MP (nominal)'!$D$12:$AM$244,ROW()-12,FALSE)="","",HLOOKUP(R$13,'MP (nominal)'!$D$12:$AM$244,ROW()-12,FALSE))</f>
        <v>194.1</v>
      </c>
      <c r="S151" s="281" t="str">
        <f>IF(HLOOKUP(S$13,'MP (nominal)'!$D$12:$AM$244,ROW()-12,FALSE)="","",HLOOKUP(S$13,'MP (nominal)'!$D$12:$AM$244,ROW()-12,FALSE))</f>
        <v/>
      </c>
      <c r="T151" s="281" t="str">
        <f>IF(HLOOKUP(T$13,'MP (nominal)'!$D$12:$AM$244,ROW()-12,FALSE)="","",HLOOKUP(T$13,'MP (nominal)'!$D$12:$AM$244,ROW()-12,FALSE))</f>
        <v/>
      </c>
      <c r="U151" s="281"/>
      <c r="V151" s="281">
        <f>IF(HLOOKUP(V$13,'MP (nominal)'!$D$12:$AM$244,ROW()-12,FALSE)="","",HLOOKUP(V$13,'MP (nominal)'!$D$12:$AM$244,ROW()-12,FALSE))</f>
        <v>2.12</v>
      </c>
      <c r="W151" s="281" t="str">
        <f>IF(HLOOKUP(W$13,'MP (nominal)'!$D$12:$AM$244,ROW()-12,FALSE)="","",HLOOKUP(W$13,'MP (nominal)'!$D$12:$AM$244,ROW()-12,FALSE))</f>
        <v/>
      </c>
      <c r="X151" s="281" t="str">
        <f>IF(HLOOKUP(X$13,'MP (nominal)'!$D$12:$AM$244,ROW()-12,FALSE)="","",HLOOKUP(X$13,'MP (nominal)'!$D$12:$AM$244,ROW()-12,FALSE))</f>
        <v/>
      </c>
      <c r="Y151" s="281"/>
      <c r="Z151" s="281" t="str">
        <f>IF(HLOOKUP(Z$13,'MP (nominal)'!$D$12:$AM$244,ROW()-12,FALSE)="","",HLOOKUP(Z$13,'MP (nominal)'!$D$12:$AM$244,ROW()-12,FALSE)*VLOOKUP($C151,CPI!$B$9:$I$63,8))</f>
        <v/>
      </c>
      <c r="AA151" s="281" t="str">
        <f>IF(HLOOKUP(AA$13,'MP (nominal)'!$D$12:$AM$244,ROW()-12,FALSE)="","",HLOOKUP(AA$13,'MP (nominal)'!$D$12:$AM$244,ROW()-12,FALSE))</f>
        <v/>
      </c>
      <c r="AB151" s="281" t="str">
        <f>IF(HLOOKUP(AB$13,'MP (nominal)'!$D$12:$AM$244,ROW()-12,FALSE)="","",HLOOKUP(AB$13,'MP (nominal)'!$D$12:$AM$244,ROW()-12,FALSE))</f>
        <v/>
      </c>
      <c r="AC151" s="281"/>
      <c r="AD151" s="281" t="str">
        <f>IF(HLOOKUP(AD$13,'MP (nominal)'!$D$12:$AM$244,ROW()-12,FALSE)="","",HLOOKUP(AD$13,'MP (nominal)'!$D$12:$AM$244,ROW()-12,FALSE)*VLOOKUP($C151,CPI!$B$9:$I$63,8))</f>
        <v/>
      </c>
      <c r="AE151" s="31" t="str">
        <f>IF(HLOOKUP(AE$13,'MP (nominal)'!$D$12:$AM$244,ROW()-12,FALSE)="","",HLOOKUP(AE$13,'MP (nominal)'!$D$12:$AM$244,ROW()-12,FALSE))</f>
        <v/>
      </c>
      <c r="AF151" s="31" t="str">
        <f>IF(HLOOKUP(AF$13,'MP (nominal)'!$D$12:$AM$244,ROW()-12,FALSE)="","",HLOOKUP(AF$13,'MP (nominal)'!$D$12:$AM$244,ROW()-12,FALSE))</f>
        <v/>
      </c>
      <c r="AG151" s="281"/>
      <c r="AH151" s="281" t="str">
        <f>IF(HLOOKUP(AH$13,'MP (nominal)'!$D$12:$AM$244,ROW()-12,FALSE)="","",HLOOKUP(AH$13,'MP (nominal)'!$D$12:$AM$244,ROW()-12,FALSE)*VLOOKUP($C151,CPI!$B$9:$I$63,8))</f>
        <v/>
      </c>
      <c r="AI151" s="31" t="str">
        <f>IF(HLOOKUP(AI$13,'MP (nominal)'!$D$12:$AM$244,ROW()-12,FALSE)="","",HLOOKUP(AI$13,'MP (nominal)'!$D$12:$AM$244,ROW()-12,FALSE))</f>
        <v/>
      </c>
      <c r="AJ151" s="31" t="str">
        <f>IF(HLOOKUP(AJ$13,'MP (nominal)'!$D$12:$AM$244,ROW()-12,FALSE)="","",HLOOKUP(AJ$13,'MP (nominal)'!$D$12:$AM$244,ROW()-12,FALSE))</f>
        <v/>
      </c>
      <c r="AK151" s="281"/>
      <c r="AL151" s="281" t="str">
        <f>IF(HLOOKUP(AL$13,'MP (nominal)'!$D$12:$AM$244,ROW()-12,FALSE)="","",HLOOKUP(AL$13,'MP (nominal)'!$D$12:$AM$244,ROW()-12,FALSE)*VLOOKUP($C151,CPI!$B$9:$I$63,8))</f>
        <v/>
      </c>
      <c r="AM151" s="31" t="str">
        <f>IF(HLOOKUP(AM$13,'MP (nominal)'!$D$12:$AM$244,ROW()-12,FALSE)="","",HLOOKUP(AM$13,'MP (nominal)'!$D$12:$AM$244,ROW()-12,FALSE))</f>
        <v/>
      </c>
      <c r="AN151" s="31" t="str">
        <f>IF(HLOOKUP(AN$13,'MP (nominal)'!$D$12:$AM$244,ROW()-12,FALSE)="","",HLOOKUP(AN$13,'MP (nominal)'!$D$12:$AM$244,ROW()-12,FALSE))</f>
        <v/>
      </c>
      <c r="AO151" s="281"/>
      <c r="AP151" s="281" t="str">
        <f>IF(HLOOKUP(AP$13,'MP (nominal)'!$D$12:$AM$244,ROW()-12,FALSE)="","",HLOOKUP(AP$13,'MP (nominal)'!$D$12:$AM$244,ROW()-12,FALSE)*VLOOKUP($C151,CPI!$B$9:$I$63,8))</f>
        <v/>
      </c>
      <c r="AQ151" s="31" t="str">
        <f>IF(HLOOKUP(AQ$13,'MP (nominal)'!$D$12:$AM$244,ROW()-12,FALSE)="","",HLOOKUP(AQ$13,'MP (nominal)'!$D$12:$AM$244,ROW()-12,FALSE))</f>
        <v/>
      </c>
      <c r="AR151" s="281" t="str">
        <f>IF(HLOOKUP(AR$13,'MP (nominal)'!$D$12:$AM$244,ROW()-12,FALSE)="","",HLOOKUP(AR$13,'MP (nominal)'!$D$12:$AM$244,ROW()-12,FALSE))</f>
        <v/>
      </c>
    </row>
    <row r="152" spans="1:44" s="278" customFormat="1" hidden="1">
      <c r="A152" s="271">
        <f>References!E275</f>
        <v>394</v>
      </c>
      <c r="B152" s="292" t="s">
        <v>46</v>
      </c>
      <c r="C152" s="284">
        <v>2006</v>
      </c>
      <c r="D152" s="27" t="str">
        <f>IF(HLOOKUP(D$13,'MP (nominal)'!$D$12:$AM$244,ROW()-12,FALSE)="","",HLOOKUP(D$13,'MP (nominal)'!$D$12:$AM$244,ROW()-12,FALSE))</f>
        <v/>
      </c>
      <c r="E152" s="281" t="str">
        <f>IF(HLOOKUP(E$13,'MP (nominal)'!$D$12:$AM$244,ROW()-12,FALSE)="","",HLOOKUP(E$13,'MP (nominal)'!$D$12:$AM$244,ROW()-12,FALSE))</f>
        <v/>
      </c>
      <c r="F152" s="27">
        <f>IF(HLOOKUP(F$13,'MP (nominal)'!$D$12:$AM$244,ROW()-12,FALSE)="","",HLOOKUP(F$13,'MP (nominal)'!$D$12:$AM$244,ROW()-12,FALSE))</f>
        <v>24</v>
      </c>
      <c r="G152" s="281" t="str">
        <f>IF(HLOOKUP(G$13,'MP (nominal)'!$D$12:$AM$244,ROW()-12,FALSE)="","",HLOOKUP(G$13,'MP (nominal)'!$D$12:$AM$244,ROW()-12,FALSE))</f>
        <v/>
      </c>
      <c r="H152" s="27">
        <f>IF(HLOOKUP(H$13,'MP (nominal)'!$D$12:$AM$244,ROW()-12,FALSE)="","",HLOOKUP(H$13,'MP (nominal)'!$D$12:$AM$244,ROW()-12,FALSE))</f>
        <v>4344</v>
      </c>
      <c r="I152" s="31" t="str">
        <f>IF(HLOOKUP(I$13,'MP (nominal)'!$D$12:$AM$244,ROW()-12,FALSE)="","",HLOOKUP(I$13,'MP (nominal)'!$D$12:$AM$244,ROW()-12,FALSE))</f>
        <v/>
      </c>
      <c r="J152" s="31">
        <f>IF(HLOOKUP(J$13,'MP (nominal)'!$D$12:$AM$244,ROW()-12,FALSE)="","",HLOOKUP(J$13,'MP (nominal)'!$D$12:$AM$244,ROW()-12,FALSE))</f>
        <v>4320</v>
      </c>
      <c r="K152" s="281"/>
      <c r="L152" s="27">
        <f>IF(HLOOKUP(L$13,'MP (nominal)'!$D$12:$AM$244,ROW()-12,FALSE)="","",HLOOKUP(L$13,'MP (nominal)'!$D$12:$AM$244,ROW()-12,FALSE))</f>
        <v>54.494999999999997</v>
      </c>
      <c r="M152" s="293">
        <f>IF(HLOOKUP(M$13,'MP (nominal)'!$D$12:$AM$244,ROW()-12,FALSE)="","",HLOOKUP(M$13,'MP (nominal)'!$D$12:$AM$244,ROW()-12,FALSE))</f>
        <v>347.164602</v>
      </c>
      <c r="N152" s="35"/>
      <c r="O152" s="27">
        <f>IF(HLOOKUP(O$13,'MP (nominal)'!$D$12:$AM$244,ROW()-12,FALSE)="","",HLOOKUP(O$13,'MP (nominal)'!$D$12:$AM$244,ROW()-12,FALSE))</f>
        <v>14497</v>
      </c>
      <c r="P152" s="31"/>
      <c r="Q152" s="281"/>
      <c r="R152" s="281">
        <f>IF(HLOOKUP(R$13,'MP (nominal)'!$D$12:$AM$244,ROW()-12,FALSE)="","",HLOOKUP(R$13,'MP (nominal)'!$D$12:$AM$244,ROW()-12,FALSE))</f>
        <v>313.2</v>
      </c>
      <c r="S152" s="281" t="str">
        <f>IF(HLOOKUP(S$13,'MP (nominal)'!$D$12:$AM$244,ROW()-12,FALSE)="","",HLOOKUP(S$13,'MP (nominal)'!$D$12:$AM$244,ROW()-12,FALSE))</f>
        <v/>
      </c>
      <c r="T152" s="281" t="str">
        <f>IF(HLOOKUP(T$13,'MP (nominal)'!$D$12:$AM$244,ROW()-12,FALSE)="","",HLOOKUP(T$13,'MP (nominal)'!$D$12:$AM$244,ROW()-12,FALSE))</f>
        <v/>
      </c>
      <c r="U152" s="281"/>
      <c r="V152" s="281">
        <f>IF(HLOOKUP(V$13,'MP (nominal)'!$D$12:$AM$244,ROW()-12,FALSE)="","",HLOOKUP(V$13,'MP (nominal)'!$D$12:$AM$244,ROW()-12,FALSE))</f>
        <v>3.97</v>
      </c>
      <c r="W152" s="281" t="str">
        <f>IF(HLOOKUP(W$13,'MP (nominal)'!$D$12:$AM$244,ROW()-12,FALSE)="","",HLOOKUP(W$13,'MP (nominal)'!$D$12:$AM$244,ROW()-12,FALSE))</f>
        <v/>
      </c>
      <c r="X152" s="281" t="str">
        <f>IF(HLOOKUP(X$13,'MP (nominal)'!$D$12:$AM$244,ROW()-12,FALSE)="","",HLOOKUP(X$13,'MP (nominal)'!$D$12:$AM$244,ROW()-12,FALSE))</f>
        <v/>
      </c>
      <c r="Y152" s="281"/>
      <c r="Z152" s="281" t="str">
        <f>IF(HLOOKUP(Z$13,'MP (nominal)'!$D$12:$AM$244,ROW()-12,FALSE)="","",HLOOKUP(Z$13,'MP (nominal)'!$D$12:$AM$244,ROW()-12,FALSE)*VLOOKUP($C152,CPI!$B$9:$I$63,8))</f>
        <v/>
      </c>
      <c r="AA152" s="281" t="str">
        <f>IF(HLOOKUP(AA$13,'MP (nominal)'!$D$12:$AM$244,ROW()-12,FALSE)="","",HLOOKUP(AA$13,'MP (nominal)'!$D$12:$AM$244,ROW()-12,FALSE))</f>
        <v/>
      </c>
      <c r="AB152" s="281" t="str">
        <f>IF(HLOOKUP(AB$13,'MP (nominal)'!$D$12:$AM$244,ROW()-12,FALSE)="","",HLOOKUP(AB$13,'MP (nominal)'!$D$12:$AM$244,ROW()-12,FALSE))</f>
        <v/>
      </c>
      <c r="AC152" s="281"/>
      <c r="AD152" s="281" t="str">
        <f>IF(HLOOKUP(AD$13,'MP (nominal)'!$D$12:$AM$244,ROW()-12,FALSE)="","",HLOOKUP(AD$13,'MP (nominal)'!$D$12:$AM$244,ROW()-12,FALSE)*VLOOKUP($C152,CPI!$B$9:$I$63,8))</f>
        <v/>
      </c>
      <c r="AE152" s="31" t="str">
        <f>IF(HLOOKUP(AE$13,'MP (nominal)'!$D$12:$AM$244,ROW()-12,FALSE)="","",HLOOKUP(AE$13,'MP (nominal)'!$D$12:$AM$244,ROW()-12,FALSE))</f>
        <v/>
      </c>
      <c r="AF152" s="31" t="str">
        <f>IF(HLOOKUP(AF$13,'MP (nominal)'!$D$12:$AM$244,ROW()-12,FALSE)="","",HLOOKUP(AF$13,'MP (nominal)'!$D$12:$AM$244,ROW()-12,FALSE))</f>
        <v/>
      </c>
      <c r="AG152" s="281"/>
      <c r="AH152" s="281" t="str">
        <f>IF(HLOOKUP(AH$13,'MP (nominal)'!$D$12:$AM$244,ROW()-12,FALSE)="","",HLOOKUP(AH$13,'MP (nominal)'!$D$12:$AM$244,ROW()-12,FALSE)*VLOOKUP($C152,CPI!$B$9:$I$63,8))</f>
        <v/>
      </c>
      <c r="AI152" s="31" t="str">
        <f>IF(HLOOKUP(AI$13,'MP (nominal)'!$D$12:$AM$244,ROW()-12,FALSE)="","",HLOOKUP(AI$13,'MP (nominal)'!$D$12:$AM$244,ROW()-12,FALSE))</f>
        <v/>
      </c>
      <c r="AJ152" s="31" t="str">
        <f>IF(HLOOKUP(AJ$13,'MP (nominal)'!$D$12:$AM$244,ROW()-12,FALSE)="","",HLOOKUP(AJ$13,'MP (nominal)'!$D$12:$AM$244,ROW()-12,FALSE))</f>
        <v/>
      </c>
      <c r="AK152" s="281"/>
      <c r="AL152" s="281" t="str">
        <f>IF(HLOOKUP(AL$13,'MP (nominal)'!$D$12:$AM$244,ROW()-12,FALSE)="","",HLOOKUP(AL$13,'MP (nominal)'!$D$12:$AM$244,ROW()-12,FALSE)*VLOOKUP($C152,CPI!$B$9:$I$63,8))</f>
        <v/>
      </c>
      <c r="AM152" s="31" t="str">
        <f>IF(HLOOKUP(AM$13,'MP (nominal)'!$D$12:$AM$244,ROW()-12,FALSE)="","",HLOOKUP(AM$13,'MP (nominal)'!$D$12:$AM$244,ROW()-12,FALSE))</f>
        <v/>
      </c>
      <c r="AN152" s="31" t="str">
        <f>IF(HLOOKUP(AN$13,'MP (nominal)'!$D$12:$AM$244,ROW()-12,FALSE)="","",HLOOKUP(AN$13,'MP (nominal)'!$D$12:$AM$244,ROW()-12,FALSE))</f>
        <v/>
      </c>
      <c r="AO152" s="281"/>
      <c r="AP152" s="281" t="str">
        <f>IF(HLOOKUP(AP$13,'MP (nominal)'!$D$12:$AM$244,ROW()-12,FALSE)="","",HLOOKUP(AP$13,'MP (nominal)'!$D$12:$AM$244,ROW()-12,FALSE)*VLOOKUP($C152,CPI!$B$9:$I$63,8))</f>
        <v/>
      </c>
      <c r="AQ152" s="31" t="str">
        <f>IF(HLOOKUP(AQ$13,'MP (nominal)'!$D$12:$AM$244,ROW()-12,FALSE)="","",HLOOKUP(AQ$13,'MP (nominal)'!$D$12:$AM$244,ROW()-12,FALSE))</f>
        <v/>
      </c>
      <c r="AR152" s="281" t="str">
        <f>IF(HLOOKUP(AR$13,'MP (nominal)'!$D$12:$AM$244,ROW()-12,FALSE)="","",HLOOKUP(AR$13,'MP (nominal)'!$D$12:$AM$244,ROW()-12,FALSE))</f>
        <v/>
      </c>
    </row>
    <row r="153" spans="1:44" s="278" customFormat="1" hidden="1">
      <c r="A153" s="271">
        <f>References!F275</f>
        <v>395</v>
      </c>
      <c r="B153" s="292" t="s">
        <v>46</v>
      </c>
      <c r="C153" s="284">
        <v>2007</v>
      </c>
      <c r="D153" s="27" t="str">
        <f>IF(HLOOKUP(D$13,'MP (nominal)'!$D$12:$AM$244,ROW()-12,FALSE)="","",HLOOKUP(D$13,'MP (nominal)'!$D$12:$AM$244,ROW()-12,FALSE))</f>
        <v/>
      </c>
      <c r="E153" s="281" t="str">
        <f>IF(HLOOKUP(E$13,'MP (nominal)'!$D$12:$AM$244,ROW()-12,FALSE)="","",HLOOKUP(E$13,'MP (nominal)'!$D$12:$AM$244,ROW()-12,FALSE))</f>
        <v/>
      </c>
      <c r="F153" s="27">
        <f>IF(HLOOKUP(F$13,'MP (nominal)'!$D$12:$AM$244,ROW()-12,FALSE)="","",HLOOKUP(F$13,'MP (nominal)'!$D$12:$AM$244,ROW()-12,FALSE))</f>
        <v>28</v>
      </c>
      <c r="G153" s="281" t="str">
        <f>IF(HLOOKUP(G$13,'MP (nominal)'!$D$12:$AM$244,ROW()-12,FALSE)="","",HLOOKUP(G$13,'MP (nominal)'!$D$12:$AM$244,ROW()-12,FALSE))</f>
        <v/>
      </c>
      <c r="H153" s="27">
        <f>IF(HLOOKUP(H$13,'MP (nominal)'!$D$12:$AM$244,ROW()-12,FALSE)="","",HLOOKUP(H$13,'MP (nominal)'!$D$12:$AM$244,ROW()-12,FALSE))</f>
        <v>4380</v>
      </c>
      <c r="I153" s="31" t="str">
        <f>IF(HLOOKUP(I$13,'MP (nominal)'!$D$12:$AM$244,ROW()-12,FALSE)="","",HLOOKUP(I$13,'MP (nominal)'!$D$12:$AM$244,ROW()-12,FALSE))</f>
        <v/>
      </c>
      <c r="J153" s="31">
        <f>IF(HLOOKUP(J$13,'MP (nominal)'!$D$12:$AM$244,ROW()-12,FALSE)="","",HLOOKUP(J$13,'MP (nominal)'!$D$12:$AM$244,ROW()-12,FALSE))</f>
        <v>4352</v>
      </c>
      <c r="K153" s="281"/>
      <c r="L153" s="27">
        <f>IF(HLOOKUP(L$13,'MP (nominal)'!$D$12:$AM$244,ROW()-12,FALSE)="","",HLOOKUP(L$13,'MP (nominal)'!$D$12:$AM$244,ROW()-12,FALSE))</f>
        <v>54.473999999999997</v>
      </c>
      <c r="M153" s="293">
        <f>IF(HLOOKUP(M$13,'MP (nominal)'!$D$12:$AM$244,ROW()-12,FALSE)="","",HLOOKUP(M$13,'MP (nominal)'!$D$12:$AM$244,ROW()-12,FALSE))</f>
        <v>351.57110299999999</v>
      </c>
      <c r="N153" s="35"/>
      <c r="O153" s="27">
        <f>IF(HLOOKUP(O$13,'MP (nominal)'!$D$12:$AM$244,ROW()-12,FALSE)="","",HLOOKUP(O$13,'MP (nominal)'!$D$12:$AM$244,ROW()-12,FALSE))</f>
        <v>14692</v>
      </c>
      <c r="P153" s="31"/>
      <c r="Q153" s="281"/>
      <c r="R153" s="281">
        <f>IF(HLOOKUP(R$13,'MP (nominal)'!$D$12:$AM$244,ROW()-12,FALSE)="","",HLOOKUP(R$13,'MP (nominal)'!$D$12:$AM$244,ROW()-12,FALSE))</f>
        <v>484.8</v>
      </c>
      <c r="S153" s="281" t="str">
        <f>IF(HLOOKUP(S$13,'MP (nominal)'!$D$12:$AM$244,ROW()-12,FALSE)="","",HLOOKUP(S$13,'MP (nominal)'!$D$12:$AM$244,ROW()-12,FALSE))</f>
        <v/>
      </c>
      <c r="T153" s="281" t="str">
        <f>IF(HLOOKUP(T$13,'MP (nominal)'!$D$12:$AM$244,ROW()-12,FALSE)="","",HLOOKUP(T$13,'MP (nominal)'!$D$12:$AM$244,ROW()-12,FALSE))</f>
        <v/>
      </c>
      <c r="U153" s="281"/>
      <c r="V153" s="281">
        <f>IF(HLOOKUP(V$13,'MP (nominal)'!$D$12:$AM$244,ROW()-12,FALSE)="","",HLOOKUP(V$13,'MP (nominal)'!$D$12:$AM$244,ROW()-12,FALSE))</f>
        <v>4.1900000000000004</v>
      </c>
      <c r="W153" s="281" t="str">
        <f>IF(HLOOKUP(W$13,'MP (nominal)'!$D$12:$AM$244,ROW()-12,FALSE)="","",HLOOKUP(W$13,'MP (nominal)'!$D$12:$AM$244,ROW()-12,FALSE))</f>
        <v/>
      </c>
      <c r="X153" s="281" t="str">
        <f>IF(HLOOKUP(X$13,'MP (nominal)'!$D$12:$AM$244,ROW()-12,FALSE)="","",HLOOKUP(X$13,'MP (nominal)'!$D$12:$AM$244,ROW()-12,FALSE))</f>
        <v/>
      </c>
      <c r="Y153" s="281"/>
      <c r="Z153" s="281" t="str">
        <f>IF(HLOOKUP(Z$13,'MP (nominal)'!$D$12:$AM$244,ROW()-12,FALSE)="","",HLOOKUP(Z$13,'MP (nominal)'!$D$12:$AM$244,ROW()-12,FALSE)*VLOOKUP($C153,CPI!$B$9:$I$63,8))</f>
        <v/>
      </c>
      <c r="AA153" s="281" t="str">
        <f>IF(HLOOKUP(AA$13,'MP (nominal)'!$D$12:$AM$244,ROW()-12,FALSE)="","",HLOOKUP(AA$13,'MP (nominal)'!$D$12:$AM$244,ROW()-12,FALSE))</f>
        <v/>
      </c>
      <c r="AB153" s="281" t="str">
        <f>IF(HLOOKUP(AB$13,'MP (nominal)'!$D$12:$AM$244,ROW()-12,FALSE)="","",HLOOKUP(AB$13,'MP (nominal)'!$D$12:$AM$244,ROW()-12,FALSE))</f>
        <v/>
      </c>
      <c r="AC153" s="281"/>
      <c r="AD153" s="281" t="str">
        <f>IF(HLOOKUP(AD$13,'MP (nominal)'!$D$12:$AM$244,ROW()-12,FALSE)="","",HLOOKUP(AD$13,'MP (nominal)'!$D$12:$AM$244,ROW()-12,FALSE)*VLOOKUP($C153,CPI!$B$9:$I$63,8))</f>
        <v/>
      </c>
      <c r="AE153" s="31" t="str">
        <f>IF(HLOOKUP(AE$13,'MP (nominal)'!$D$12:$AM$244,ROW()-12,FALSE)="","",HLOOKUP(AE$13,'MP (nominal)'!$D$12:$AM$244,ROW()-12,FALSE))</f>
        <v/>
      </c>
      <c r="AF153" s="31" t="str">
        <f>IF(HLOOKUP(AF$13,'MP (nominal)'!$D$12:$AM$244,ROW()-12,FALSE)="","",HLOOKUP(AF$13,'MP (nominal)'!$D$12:$AM$244,ROW()-12,FALSE))</f>
        <v/>
      </c>
      <c r="AG153" s="281"/>
      <c r="AH153" s="281" t="str">
        <f>IF(HLOOKUP(AH$13,'MP (nominal)'!$D$12:$AM$244,ROW()-12,FALSE)="","",HLOOKUP(AH$13,'MP (nominal)'!$D$12:$AM$244,ROW()-12,FALSE)*VLOOKUP($C153,CPI!$B$9:$I$63,8))</f>
        <v/>
      </c>
      <c r="AI153" s="31" t="str">
        <f>IF(HLOOKUP(AI$13,'MP (nominal)'!$D$12:$AM$244,ROW()-12,FALSE)="","",HLOOKUP(AI$13,'MP (nominal)'!$D$12:$AM$244,ROW()-12,FALSE))</f>
        <v/>
      </c>
      <c r="AJ153" s="31" t="str">
        <f>IF(HLOOKUP(AJ$13,'MP (nominal)'!$D$12:$AM$244,ROW()-12,FALSE)="","",HLOOKUP(AJ$13,'MP (nominal)'!$D$12:$AM$244,ROW()-12,FALSE))</f>
        <v/>
      </c>
      <c r="AK153" s="281"/>
      <c r="AL153" s="281" t="str">
        <f>IF(HLOOKUP(AL$13,'MP (nominal)'!$D$12:$AM$244,ROW()-12,FALSE)="","",HLOOKUP(AL$13,'MP (nominal)'!$D$12:$AM$244,ROW()-12,FALSE)*VLOOKUP($C153,CPI!$B$9:$I$63,8))</f>
        <v/>
      </c>
      <c r="AM153" s="31" t="str">
        <f>IF(HLOOKUP(AM$13,'MP (nominal)'!$D$12:$AM$244,ROW()-12,FALSE)="","",HLOOKUP(AM$13,'MP (nominal)'!$D$12:$AM$244,ROW()-12,FALSE))</f>
        <v/>
      </c>
      <c r="AN153" s="31" t="str">
        <f>IF(HLOOKUP(AN$13,'MP (nominal)'!$D$12:$AM$244,ROW()-12,FALSE)="","",HLOOKUP(AN$13,'MP (nominal)'!$D$12:$AM$244,ROW()-12,FALSE))</f>
        <v/>
      </c>
      <c r="AO153" s="281"/>
      <c r="AP153" s="281" t="str">
        <f>IF(HLOOKUP(AP$13,'MP (nominal)'!$D$12:$AM$244,ROW()-12,FALSE)="","",HLOOKUP(AP$13,'MP (nominal)'!$D$12:$AM$244,ROW()-12,FALSE)*VLOOKUP($C153,CPI!$B$9:$I$63,8))</f>
        <v/>
      </c>
      <c r="AQ153" s="31" t="str">
        <f>IF(HLOOKUP(AQ$13,'MP (nominal)'!$D$12:$AM$244,ROW()-12,FALSE)="","",HLOOKUP(AQ$13,'MP (nominal)'!$D$12:$AM$244,ROW()-12,FALSE))</f>
        <v/>
      </c>
      <c r="AR153" s="281" t="str">
        <f>IF(HLOOKUP(AR$13,'MP (nominal)'!$D$12:$AM$244,ROW()-12,FALSE)="","",HLOOKUP(AR$13,'MP (nominal)'!$D$12:$AM$244,ROW()-12,FALSE))</f>
        <v/>
      </c>
    </row>
    <row r="154" spans="1:44" s="278" customFormat="1">
      <c r="A154" s="271">
        <f>References!G275</f>
        <v>396</v>
      </c>
      <c r="B154" s="292" t="s">
        <v>46</v>
      </c>
      <c r="C154" s="284">
        <v>2008</v>
      </c>
      <c r="D154" s="27">
        <f>IF(HLOOKUP(D$13,'MP (nominal)'!$D$12:$AM$244,ROW()-12,FALSE)="","",HLOOKUP(D$13,'MP (nominal)'!$D$12:$AM$244,ROW()-12,FALSE))</f>
        <v>4326.6643000000004</v>
      </c>
      <c r="E154" s="281">
        <f>IF(HLOOKUP(E$13,'MP (nominal)'!$D$12:$AM$244,ROW()-12,FALSE)="","",HLOOKUP(E$13,'MP (nominal)'!$D$12:$AM$244,ROW()-12,FALSE))</f>
        <v>0.48129</v>
      </c>
      <c r="F154" s="27">
        <f>IF(HLOOKUP(F$13,'MP (nominal)'!$D$12:$AM$244,ROW()-12,FALSE)="","",HLOOKUP(F$13,'MP (nominal)'!$D$12:$AM$244,ROW()-12,FALSE))</f>
        <v>30.907019999999999</v>
      </c>
      <c r="G154" s="281">
        <f>IF(HLOOKUP(G$13,'MP (nominal)'!$D$12:$AM$244,ROW()-12,FALSE)="","",HLOOKUP(G$13,'MP (nominal)'!$D$12:$AM$244,ROW()-12,FALSE))</f>
        <v>0.1188</v>
      </c>
      <c r="H154" s="27">
        <f>IF(HLOOKUP(H$13,'MP (nominal)'!$D$12:$AM$244,ROW()-12,FALSE)="","",HLOOKUP(H$13,'MP (nominal)'!$D$12:$AM$244,ROW()-12,FALSE))</f>
        <v>4357.5713999999998</v>
      </c>
      <c r="I154" s="31">
        <f>IF(HLOOKUP(I$13,'MP (nominal)'!$D$12:$AM$244,ROW()-12,FALSE)="","",HLOOKUP(I$13,'MP (nominal)'!$D$12:$AM$244,ROW()-12,FALSE))</f>
        <v>0.60009000000000001</v>
      </c>
      <c r="J154" s="31">
        <f>IF(HLOOKUP(J$13,'MP (nominal)'!$D$12:$AM$244,ROW()-12,FALSE)="","",HLOOKUP(J$13,'MP (nominal)'!$D$12:$AM$244,ROW()-12,FALSE))</f>
        <v>4326.6643000000004</v>
      </c>
      <c r="K154" s="281"/>
      <c r="L154" s="27">
        <f>IF(HLOOKUP(L$13,'MP (nominal)'!$D$12:$AM$244,ROW()-12,FALSE)="","",HLOOKUP(L$13,'MP (nominal)'!$D$12:$AM$244,ROW()-12,FALSE))</f>
        <v>56.28192</v>
      </c>
      <c r="M154" s="283">
        <f>IF(HLOOKUP(M$13,'MP (nominal)'!$D$12:$AM$244,ROW()-12,FALSE)="","",HLOOKUP(M$13,'MP (nominal)'!$D$12:$AM$244,ROW()-12,FALSE))</f>
        <v>359.75524000000001</v>
      </c>
      <c r="N154" s="35"/>
      <c r="O154" s="27">
        <f>IF(HLOOKUP(O$13,'MP (nominal)'!$D$12:$AM$244,ROW()-12,FALSE)="","",HLOOKUP(O$13,'MP (nominal)'!$D$12:$AM$244,ROW()-12,FALSE))</f>
        <v>14747</v>
      </c>
      <c r="P154" s="31"/>
      <c r="Q154" s="281"/>
      <c r="R154" s="281">
        <f>IF(HLOOKUP(R$13,'MP (nominal)'!$D$12:$AM$244,ROW()-12,FALSE)="","",HLOOKUP(R$13,'MP (nominal)'!$D$12:$AM$244,ROW()-12,FALSE))</f>
        <v>502.51</v>
      </c>
      <c r="S154" s="281">
        <f>IF(HLOOKUP(S$13,'MP (nominal)'!$D$12:$AM$244,ROW()-12,FALSE)="","",HLOOKUP(S$13,'MP (nominal)'!$D$12:$AM$244,ROW()-12,FALSE))</f>
        <v>187.24</v>
      </c>
      <c r="T154" s="281">
        <f>IF(HLOOKUP(T$13,'MP (nominal)'!$D$12:$AM$244,ROW()-12,FALSE)="","",HLOOKUP(T$13,'MP (nominal)'!$D$12:$AM$244,ROW()-12,FALSE))</f>
        <v>315.27</v>
      </c>
      <c r="U154" s="281"/>
      <c r="V154" s="281">
        <f>IF(HLOOKUP(V$13,'MP (nominal)'!$D$12:$AM$244,ROW()-12,FALSE)="","",HLOOKUP(V$13,'MP (nominal)'!$D$12:$AM$244,ROW()-12,FALSE))</f>
        <v>3.1</v>
      </c>
      <c r="W154" s="281">
        <f>IF(HLOOKUP(W$13,'MP (nominal)'!$D$12:$AM$244,ROW()-12,FALSE)="","",HLOOKUP(W$13,'MP (nominal)'!$D$12:$AM$244,ROW()-12,FALSE))</f>
        <v>0.81</v>
      </c>
      <c r="X154" s="281">
        <f>IF(HLOOKUP(X$13,'MP (nominal)'!$D$12:$AM$244,ROW()-12,FALSE)="","",HLOOKUP(X$13,'MP (nominal)'!$D$12:$AM$244,ROW()-12,FALSE))</f>
        <v>2.29</v>
      </c>
      <c r="Y154" s="281"/>
      <c r="Z154" s="281">
        <f>IF(HLOOKUP(Z$13,'MP (nominal)'!$D$12:$AM$244,ROW()-12,FALSE)="","",HLOOKUP(Z$13,'MP (nominal)'!$D$12:$AM$244,ROW()-12,FALSE)*VLOOKUP($C154,CPI!$B$9:$I$63,8))</f>
        <v>15532.801017079637</v>
      </c>
      <c r="AA154" s="281">
        <f>IF(HLOOKUP(AA$13,'MP (nominal)'!$D$12:$AM$244,ROW()-12,FALSE)="","",HLOOKUP(AA$13,'MP (nominal)'!$D$12:$AM$244,ROW()-12,FALSE))</f>
        <v>104069.23</v>
      </c>
      <c r="AB154" s="281">
        <f>IF(HLOOKUP(AB$13,'MP (nominal)'!$D$12:$AM$244,ROW()-12,FALSE)="","",HLOOKUP(AB$13,'MP (nominal)'!$D$12:$AM$244,ROW()-12,FALSE))</f>
        <v>14192</v>
      </c>
      <c r="AC154" s="281"/>
      <c r="AD154" s="281">
        <f>IF(HLOOKUP(AD$13,'MP (nominal)'!$D$12:$AM$244,ROW()-12,FALSE)="","",HLOOKUP(AD$13,'MP (nominal)'!$D$12:$AM$244,ROW()-12,FALSE)*VLOOKUP($C154,CPI!$B$9:$I$63,8))</f>
        <v>2971.9789847452307</v>
      </c>
      <c r="AE154" s="31">
        <f>IF(HLOOKUP(AE$13,'MP (nominal)'!$D$12:$AM$244,ROW()-12,FALSE)="","",HLOOKUP(AE$13,'MP (nominal)'!$D$12:$AM$244,ROW()-12,FALSE))</f>
        <v>21063.254000000001</v>
      </c>
      <c r="AF154" s="31">
        <f>IF(HLOOKUP(AF$13,'MP (nominal)'!$D$12:$AM$244,ROW()-12,FALSE)="","",HLOOKUP(AF$13,'MP (nominal)'!$D$12:$AM$244,ROW()-12,FALSE))</f>
        <v>452</v>
      </c>
      <c r="AG154" s="281"/>
      <c r="AH154" s="281">
        <f>IF(HLOOKUP(AH$13,'MP (nominal)'!$D$12:$AM$244,ROW()-12,FALSE)="","",HLOOKUP(AH$13,'MP (nominal)'!$D$12:$AM$244,ROW()-12,FALSE)*VLOOKUP($C154,CPI!$B$9:$I$63,8))</f>
        <v>2713.2700081548855</v>
      </c>
      <c r="AI154" s="31">
        <f>IF(HLOOKUP(AI$13,'MP (nominal)'!$D$12:$AM$244,ROW()-12,FALSE)="","",HLOOKUP(AI$13,'MP (nominal)'!$D$12:$AM$244,ROW()-12,FALSE))</f>
        <v>32905.709000000003</v>
      </c>
      <c r="AJ154" s="31">
        <f>IF(HLOOKUP(AJ$13,'MP (nominal)'!$D$12:$AM$244,ROW()-12,FALSE)="","",HLOOKUP(AJ$13,'MP (nominal)'!$D$12:$AM$244,ROW()-12,FALSE))</f>
        <v>98</v>
      </c>
      <c r="AK154" s="281"/>
      <c r="AL154" s="281">
        <f>IF(HLOOKUP(AL$13,'MP (nominal)'!$D$12:$AM$244,ROW()-12,FALSE)="","",HLOOKUP(AL$13,'MP (nominal)'!$D$12:$AM$244,ROW()-12,FALSE)*VLOOKUP($C154,CPI!$B$9:$I$63,8))</f>
        <v>2896.8625646545574</v>
      </c>
      <c r="AM154" s="31">
        <f>IF(HLOOKUP(AM$13,'MP (nominal)'!$D$12:$AM$244,ROW()-12,FALSE)="","",HLOOKUP(AM$13,'MP (nominal)'!$D$12:$AM$244,ROW()-12,FALSE))</f>
        <v>201717.04</v>
      </c>
      <c r="AN154" s="31">
        <f>IF(HLOOKUP(AN$13,'MP (nominal)'!$D$12:$AM$244,ROW()-12,FALSE)="","",HLOOKUP(AN$13,'MP (nominal)'!$D$12:$AM$244,ROW()-12,FALSE))</f>
        <v>5</v>
      </c>
      <c r="AO154" s="281"/>
      <c r="AP154" s="281">
        <f>IF(HLOOKUP(AP$13,'MP (nominal)'!$D$12:$AM$244,ROW()-12,FALSE)="","",HLOOKUP(AP$13,'MP (nominal)'!$D$12:$AM$244,ROW()-12,FALSE)*VLOOKUP($C154,CPI!$B$9:$I$63,8))</f>
        <v>24114.912035584955</v>
      </c>
      <c r="AQ154" s="31">
        <f>IF(HLOOKUP(AQ$13,'MP (nominal)'!$D$12:$AM$244,ROW()-12,FALSE)="","",HLOOKUP(AQ$13,'MP (nominal)'!$D$12:$AM$244,ROW()-12,FALSE))</f>
        <v>359755.24</v>
      </c>
      <c r="AR154" s="281">
        <f>IF(HLOOKUP(AR$13,'MP (nominal)'!$D$12:$AM$244,ROW()-12,FALSE)="","",HLOOKUP(AR$13,'MP (nominal)'!$D$12:$AM$244,ROW()-12,FALSE))</f>
        <v>14747</v>
      </c>
    </row>
    <row r="155" spans="1:44" s="278" customFormat="1">
      <c r="A155" s="271">
        <f>References!H275</f>
        <v>397</v>
      </c>
      <c r="B155" s="292" t="s">
        <v>46</v>
      </c>
      <c r="C155" s="284">
        <v>2009</v>
      </c>
      <c r="D155" s="27">
        <f>IF(HLOOKUP(D$13,'MP (nominal)'!$D$12:$AM$244,ROW()-12,FALSE)="","",HLOOKUP(D$13,'MP (nominal)'!$D$12:$AM$244,ROW()-12,FALSE))</f>
        <v>4336.0487000000003</v>
      </c>
      <c r="E155" s="281">
        <f>IF(HLOOKUP(E$13,'MP (nominal)'!$D$12:$AM$244,ROW()-12,FALSE)="","",HLOOKUP(E$13,'MP (nominal)'!$D$12:$AM$244,ROW()-12,FALSE))</f>
        <v>0.53661000000000003</v>
      </c>
      <c r="F155" s="27">
        <f>IF(HLOOKUP(F$13,'MP (nominal)'!$D$12:$AM$244,ROW()-12,FALSE)="","",HLOOKUP(F$13,'MP (nominal)'!$D$12:$AM$244,ROW()-12,FALSE))</f>
        <v>32.228319999999997</v>
      </c>
      <c r="G155" s="281">
        <f>IF(HLOOKUP(G$13,'MP (nominal)'!$D$12:$AM$244,ROW()-12,FALSE)="","",HLOOKUP(G$13,'MP (nominal)'!$D$12:$AM$244,ROW()-12,FALSE))</f>
        <v>0.1188</v>
      </c>
      <c r="H155" s="27">
        <f>IF(HLOOKUP(H$13,'MP (nominal)'!$D$12:$AM$244,ROW()-12,FALSE)="","",HLOOKUP(H$13,'MP (nominal)'!$D$12:$AM$244,ROW()-12,FALSE))</f>
        <v>4368.277</v>
      </c>
      <c r="I155" s="31">
        <f>IF(HLOOKUP(I$13,'MP (nominal)'!$D$12:$AM$244,ROW()-12,FALSE)="","",HLOOKUP(I$13,'MP (nominal)'!$D$12:$AM$244,ROW()-12,FALSE))</f>
        <v>0.65541000000000005</v>
      </c>
      <c r="J155" s="31">
        <f>IF(HLOOKUP(J$13,'MP (nominal)'!$D$12:$AM$244,ROW()-12,FALSE)="","",HLOOKUP(J$13,'MP (nominal)'!$D$12:$AM$244,ROW()-12,FALSE))</f>
        <v>4336.0487000000003</v>
      </c>
      <c r="K155" s="281"/>
      <c r="L155" s="27">
        <f>IF(HLOOKUP(L$13,'MP (nominal)'!$D$12:$AM$244,ROW()-12,FALSE)="","",HLOOKUP(L$13,'MP (nominal)'!$D$12:$AM$244,ROW()-12,FALSE))</f>
        <v>59.859780000000001</v>
      </c>
      <c r="M155" s="283">
        <f>IF(HLOOKUP(M$13,'MP (nominal)'!$D$12:$AM$244,ROW()-12,FALSE)="","",HLOOKUP(M$13,'MP (nominal)'!$D$12:$AM$244,ROW()-12,FALSE))</f>
        <v>384.11039</v>
      </c>
      <c r="N155" s="35"/>
      <c r="O155" s="27">
        <f>IF(HLOOKUP(O$13,'MP (nominal)'!$D$12:$AM$244,ROW()-12,FALSE)="","",HLOOKUP(O$13,'MP (nominal)'!$D$12:$AM$244,ROW()-12,FALSE))</f>
        <v>14761</v>
      </c>
      <c r="P155" s="31"/>
      <c r="Q155" s="281"/>
      <c r="R155" s="281">
        <f>IF(HLOOKUP(R$13,'MP (nominal)'!$D$12:$AM$244,ROW()-12,FALSE)="","",HLOOKUP(R$13,'MP (nominal)'!$D$12:$AM$244,ROW()-12,FALSE))</f>
        <v>274.25</v>
      </c>
      <c r="S155" s="281">
        <f>IF(HLOOKUP(S$13,'MP (nominal)'!$D$12:$AM$244,ROW()-12,FALSE)="","",HLOOKUP(S$13,'MP (nominal)'!$D$12:$AM$244,ROW()-12,FALSE))</f>
        <v>163.55000000000001</v>
      </c>
      <c r="T155" s="281">
        <f>IF(HLOOKUP(T$13,'MP (nominal)'!$D$12:$AM$244,ROW()-12,FALSE)="","",HLOOKUP(T$13,'MP (nominal)'!$D$12:$AM$244,ROW()-12,FALSE))</f>
        <v>106.65</v>
      </c>
      <c r="U155" s="281"/>
      <c r="V155" s="281">
        <f>IF(HLOOKUP(V$13,'MP (nominal)'!$D$12:$AM$244,ROW()-12,FALSE)="","",HLOOKUP(V$13,'MP (nominal)'!$D$12:$AM$244,ROW()-12,FALSE))</f>
        <v>3.02</v>
      </c>
      <c r="W155" s="281">
        <f>IF(HLOOKUP(W$13,'MP (nominal)'!$D$12:$AM$244,ROW()-12,FALSE)="","",HLOOKUP(W$13,'MP (nominal)'!$D$12:$AM$244,ROW()-12,FALSE))</f>
        <v>0.72</v>
      </c>
      <c r="X155" s="281">
        <f>IF(HLOOKUP(X$13,'MP (nominal)'!$D$12:$AM$244,ROW()-12,FALSE)="","",HLOOKUP(X$13,'MP (nominal)'!$D$12:$AM$244,ROW()-12,FALSE))</f>
        <v>2.08</v>
      </c>
      <c r="Y155" s="281"/>
      <c r="Z155" s="281">
        <f>IF(HLOOKUP(Z$13,'MP (nominal)'!$D$12:$AM$244,ROW()-12,FALSE)="","",HLOOKUP(Z$13,'MP (nominal)'!$D$12:$AM$244,ROW()-12,FALSE)*VLOOKUP($C155,CPI!$B$9:$I$63,8))</f>
        <v>15293.02463641979</v>
      </c>
      <c r="AA155" s="281">
        <f>IF(HLOOKUP(AA$13,'MP (nominal)'!$D$12:$AM$244,ROW()-12,FALSE)="","",HLOOKUP(AA$13,'MP (nominal)'!$D$12:$AM$244,ROW()-12,FALSE))</f>
        <v>110166.92</v>
      </c>
      <c r="AB155" s="281">
        <f>IF(HLOOKUP(AB$13,'MP (nominal)'!$D$12:$AM$244,ROW()-12,FALSE)="","",HLOOKUP(AB$13,'MP (nominal)'!$D$12:$AM$244,ROW()-12,FALSE))</f>
        <v>14187</v>
      </c>
      <c r="AC155" s="281"/>
      <c r="AD155" s="281">
        <f>IF(HLOOKUP(AD$13,'MP (nominal)'!$D$12:$AM$244,ROW()-12,FALSE)="","",HLOOKUP(AD$13,'MP (nominal)'!$D$12:$AM$244,ROW()-12,FALSE)*VLOOKUP($C155,CPI!$B$9:$I$63,8))</f>
        <v>3681.7124815704569</v>
      </c>
      <c r="AE155" s="31">
        <f>IF(HLOOKUP(AE$13,'MP (nominal)'!$D$12:$AM$244,ROW()-12,FALSE)="","",HLOOKUP(AE$13,'MP (nominal)'!$D$12:$AM$244,ROW()-12,FALSE))</f>
        <v>27984.68</v>
      </c>
      <c r="AF155" s="31">
        <f>IF(HLOOKUP(AF$13,'MP (nominal)'!$D$12:$AM$244,ROW()-12,FALSE)="","",HLOOKUP(AF$13,'MP (nominal)'!$D$12:$AM$244,ROW()-12,FALSE))</f>
        <v>468</v>
      </c>
      <c r="AG155" s="281"/>
      <c r="AH155" s="281">
        <f>IF(HLOOKUP(AH$13,'MP (nominal)'!$D$12:$AM$244,ROW()-12,FALSE)="","",HLOOKUP(AH$13,'MP (nominal)'!$D$12:$AM$244,ROW()-12,FALSE)*VLOOKUP($C155,CPI!$B$9:$I$63,8))</f>
        <v>2692.3760579037676</v>
      </c>
      <c r="AI155" s="31">
        <f>IF(HLOOKUP(AI$13,'MP (nominal)'!$D$12:$AM$244,ROW()-12,FALSE)="","",HLOOKUP(AI$13,'MP (nominal)'!$D$12:$AM$244,ROW()-12,FALSE))</f>
        <v>41622.798999999999</v>
      </c>
      <c r="AJ155" s="31">
        <f>IF(HLOOKUP(AJ$13,'MP (nominal)'!$D$12:$AM$244,ROW()-12,FALSE)="","",HLOOKUP(AJ$13,'MP (nominal)'!$D$12:$AM$244,ROW()-12,FALSE))</f>
        <v>101</v>
      </c>
      <c r="AK155" s="281"/>
      <c r="AL155" s="281">
        <f>IF(HLOOKUP(AL$13,'MP (nominal)'!$D$12:$AM$244,ROW()-12,FALSE)="","",HLOOKUP(AL$13,'MP (nominal)'!$D$12:$AM$244,ROW()-12,FALSE)*VLOOKUP($C155,CPI!$B$9:$I$63,8))</f>
        <v>3030.1849080376128</v>
      </c>
      <c r="AM155" s="31">
        <f>IF(HLOOKUP(AM$13,'MP (nominal)'!$D$12:$AM$244,ROW()-12,FALSE)="","",HLOOKUP(AM$13,'MP (nominal)'!$D$12:$AM$244,ROW()-12,FALSE))</f>
        <v>204335.99</v>
      </c>
      <c r="AN155" s="31">
        <f>IF(HLOOKUP(AN$13,'MP (nominal)'!$D$12:$AM$244,ROW()-12,FALSE)="","",HLOOKUP(AN$13,'MP (nominal)'!$D$12:$AM$244,ROW()-12,FALSE))</f>
        <v>5</v>
      </c>
      <c r="AO155" s="281"/>
      <c r="AP155" s="281">
        <f>IF(HLOOKUP(AP$13,'MP (nominal)'!$D$12:$AM$244,ROW()-12,FALSE)="","",HLOOKUP(AP$13,'MP (nominal)'!$D$12:$AM$244,ROW()-12,FALSE)*VLOOKUP($C155,CPI!$B$9:$I$63,8))</f>
        <v>24697.297876312714</v>
      </c>
      <c r="AQ155" s="31">
        <f>IF(HLOOKUP(AQ$13,'MP (nominal)'!$D$12:$AM$244,ROW()-12,FALSE)="","",HLOOKUP(AQ$13,'MP (nominal)'!$D$12:$AM$244,ROW()-12,FALSE))</f>
        <v>384110.39</v>
      </c>
      <c r="AR155" s="281">
        <f>IF(HLOOKUP(AR$13,'MP (nominal)'!$D$12:$AM$244,ROW()-12,FALSE)="","",HLOOKUP(AR$13,'MP (nominal)'!$D$12:$AM$244,ROW()-12,FALSE))</f>
        <v>14761</v>
      </c>
    </row>
    <row r="156" spans="1:44" s="278" customFormat="1">
      <c r="A156" s="271">
        <f>References!I275</f>
        <v>398</v>
      </c>
      <c r="B156" s="292" t="s">
        <v>46</v>
      </c>
      <c r="C156" s="284">
        <v>2010</v>
      </c>
      <c r="D156" s="27">
        <f>IF(HLOOKUP(D$13,'MP (nominal)'!$D$12:$AM$244,ROW()-12,FALSE)="","",HLOOKUP(D$13,'MP (nominal)'!$D$12:$AM$244,ROW()-12,FALSE))</f>
        <v>4348.1922000000004</v>
      </c>
      <c r="E156" s="281">
        <f>IF(HLOOKUP(E$13,'MP (nominal)'!$D$12:$AM$244,ROW()-12,FALSE)="","",HLOOKUP(E$13,'MP (nominal)'!$D$12:$AM$244,ROW()-12,FALSE))</f>
        <v>0.94638</v>
      </c>
      <c r="F156" s="27">
        <f>IF(HLOOKUP(F$13,'MP (nominal)'!$D$12:$AM$244,ROW()-12,FALSE)="","",HLOOKUP(F$13,'MP (nominal)'!$D$12:$AM$244,ROW()-12,FALSE))</f>
        <v>38.731659999999998</v>
      </c>
      <c r="G156" s="281">
        <f>IF(HLOOKUP(G$13,'MP (nominal)'!$D$12:$AM$244,ROW()-12,FALSE)="","",HLOOKUP(G$13,'MP (nominal)'!$D$12:$AM$244,ROW()-12,FALSE))</f>
        <v>0.25440000000000002</v>
      </c>
      <c r="H156" s="27">
        <f>IF(HLOOKUP(H$13,'MP (nominal)'!$D$12:$AM$244,ROW()-12,FALSE)="","",HLOOKUP(H$13,'MP (nominal)'!$D$12:$AM$244,ROW()-12,FALSE))</f>
        <v>4386.9237999999996</v>
      </c>
      <c r="I156" s="31">
        <f>IF(HLOOKUP(I$13,'MP (nominal)'!$D$12:$AM$244,ROW()-12,FALSE)="","",HLOOKUP(I$13,'MP (nominal)'!$D$12:$AM$244,ROW()-12,FALSE))</f>
        <v>1.20078</v>
      </c>
      <c r="J156" s="31">
        <f>IF(HLOOKUP(J$13,'MP (nominal)'!$D$12:$AM$244,ROW()-12,FALSE)="","",HLOOKUP(J$13,'MP (nominal)'!$D$12:$AM$244,ROW()-12,FALSE))</f>
        <v>4348.1922000000004</v>
      </c>
      <c r="K156" s="281"/>
      <c r="L156" s="27">
        <f>IF(HLOOKUP(L$13,'MP (nominal)'!$D$12:$AM$244,ROW()-12,FALSE)="","",HLOOKUP(L$13,'MP (nominal)'!$D$12:$AM$244,ROW()-12,FALSE))</f>
        <v>60.589359999999999</v>
      </c>
      <c r="M156" s="283">
        <f>IF(HLOOKUP(M$13,'MP (nominal)'!$D$12:$AM$244,ROW()-12,FALSE)="","",HLOOKUP(M$13,'MP (nominal)'!$D$12:$AM$244,ROW()-12,FALSE))</f>
        <v>384.54701999999997</v>
      </c>
      <c r="N156" s="35"/>
      <c r="O156" s="27">
        <f>IF(HLOOKUP(O$13,'MP (nominal)'!$D$12:$AM$244,ROW()-12,FALSE)="","",HLOOKUP(O$13,'MP (nominal)'!$D$12:$AM$244,ROW()-12,FALSE))</f>
        <v>14768</v>
      </c>
      <c r="P156" s="31"/>
      <c r="Q156" s="281"/>
      <c r="R156" s="281">
        <f>IF(HLOOKUP(R$13,'MP (nominal)'!$D$12:$AM$244,ROW()-12,FALSE)="","",HLOOKUP(R$13,'MP (nominal)'!$D$12:$AM$244,ROW()-12,FALSE))</f>
        <v>341.2</v>
      </c>
      <c r="S156" s="281">
        <f>IF(HLOOKUP(S$13,'MP (nominal)'!$D$12:$AM$244,ROW()-12,FALSE)="","",HLOOKUP(S$13,'MP (nominal)'!$D$12:$AM$244,ROW()-12,FALSE))</f>
        <v>168.90299999999999</v>
      </c>
      <c r="T156" s="281">
        <f>IF(HLOOKUP(T$13,'MP (nominal)'!$D$12:$AM$244,ROW()-12,FALSE)="","",HLOOKUP(T$13,'MP (nominal)'!$D$12:$AM$244,ROW()-12,FALSE))</f>
        <v>163.73500000000001</v>
      </c>
      <c r="U156" s="281"/>
      <c r="V156" s="281">
        <f>IF(HLOOKUP(V$13,'MP (nominal)'!$D$12:$AM$244,ROW()-12,FALSE)="","",HLOOKUP(V$13,'MP (nominal)'!$D$12:$AM$244,ROW()-12,FALSE))</f>
        <v>3.78</v>
      </c>
      <c r="W156" s="281">
        <f>IF(HLOOKUP(W$13,'MP (nominal)'!$D$12:$AM$244,ROW()-12,FALSE)="","",HLOOKUP(W$13,'MP (nominal)'!$D$12:$AM$244,ROW()-12,FALSE))</f>
        <v>0.73919999999999997</v>
      </c>
      <c r="X156" s="281">
        <f>IF(HLOOKUP(X$13,'MP (nominal)'!$D$12:$AM$244,ROW()-12,FALSE)="","",HLOOKUP(X$13,'MP (nominal)'!$D$12:$AM$244,ROW()-12,FALSE))</f>
        <v>2.5198999999999998</v>
      </c>
      <c r="Y156" s="281"/>
      <c r="Z156" s="281">
        <f>IF(HLOOKUP(Z$13,'MP (nominal)'!$D$12:$AM$244,ROW()-12,FALSE)="","",HLOOKUP(Z$13,'MP (nominal)'!$D$12:$AM$244,ROW()-12,FALSE)*VLOOKUP($C156,CPI!$B$9:$I$63,8))</f>
        <v>15884.163269650506</v>
      </c>
      <c r="AA156" s="281">
        <f>IF(HLOOKUP(AA$13,'MP (nominal)'!$D$12:$AM$244,ROW()-12,FALSE)="","",HLOOKUP(AA$13,'MP (nominal)'!$D$12:$AM$244,ROW()-12,FALSE))</f>
        <v>100695.05</v>
      </c>
      <c r="AB156" s="281">
        <f>IF(HLOOKUP(AB$13,'MP (nominal)'!$D$12:$AM$244,ROW()-12,FALSE)="","",HLOOKUP(AB$13,'MP (nominal)'!$D$12:$AM$244,ROW()-12,FALSE))</f>
        <v>14182</v>
      </c>
      <c r="AC156" s="281"/>
      <c r="AD156" s="281">
        <f>IF(HLOOKUP(AD$13,'MP (nominal)'!$D$12:$AM$244,ROW()-12,FALSE)="","",HLOOKUP(AD$13,'MP (nominal)'!$D$12:$AM$244,ROW()-12,FALSE)*VLOOKUP($C156,CPI!$B$9:$I$63,8))</f>
        <v>3706.3832472043327</v>
      </c>
      <c r="AE156" s="31">
        <f>IF(HLOOKUP(AE$13,'MP (nominal)'!$D$12:$AM$244,ROW()-12,FALSE)="","",HLOOKUP(AE$13,'MP (nominal)'!$D$12:$AM$244,ROW()-12,FALSE))</f>
        <v>29359.388999999999</v>
      </c>
      <c r="AF156" s="31">
        <f>IF(HLOOKUP(AF$13,'MP (nominal)'!$D$12:$AM$244,ROW()-12,FALSE)="","",HLOOKUP(AF$13,'MP (nominal)'!$D$12:$AM$244,ROW()-12,FALSE))</f>
        <v>480</v>
      </c>
      <c r="AG156" s="281"/>
      <c r="AH156" s="281">
        <f>IF(HLOOKUP(AH$13,'MP (nominal)'!$D$12:$AM$244,ROW()-12,FALSE)="","",HLOOKUP(AH$13,'MP (nominal)'!$D$12:$AM$244,ROW()-12,FALSE)*VLOOKUP($C156,CPI!$B$9:$I$63,8))</f>
        <v>2837.1567060170833</v>
      </c>
      <c r="AI156" s="31">
        <f>IF(HLOOKUP(AI$13,'MP (nominal)'!$D$12:$AM$244,ROW()-12,FALSE)="","",HLOOKUP(AI$13,'MP (nominal)'!$D$12:$AM$244,ROW()-12,FALSE))</f>
        <v>35541.696000000004</v>
      </c>
      <c r="AJ156" s="31">
        <f>IF(HLOOKUP(AJ$13,'MP (nominal)'!$D$12:$AM$244,ROW()-12,FALSE)="","",HLOOKUP(AJ$13,'MP (nominal)'!$D$12:$AM$244,ROW()-12,FALSE))</f>
        <v>101</v>
      </c>
      <c r="AK156" s="281"/>
      <c r="AL156" s="281">
        <f>IF(HLOOKUP(AL$13,'MP (nominal)'!$D$12:$AM$244,ROW()-12,FALSE)="","",HLOOKUP(AL$13,'MP (nominal)'!$D$12:$AM$244,ROW()-12,FALSE)*VLOOKUP($C156,CPI!$B$9:$I$63,8))</f>
        <v>3386.5289454878603</v>
      </c>
      <c r="AM156" s="31">
        <f>IF(HLOOKUP(AM$13,'MP (nominal)'!$D$12:$AM$244,ROW()-12,FALSE)="","",HLOOKUP(AM$13,'MP (nominal)'!$D$12:$AM$244,ROW()-12,FALSE))</f>
        <v>218950.89</v>
      </c>
      <c r="AN156" s="31">
        <f>IF(HLOOKUP(AN$13,'MP (nominal)'!$D$12:$AM$244,ROW()-12,FALSE)="","",HLOOKUP(AN$13,'MP (nominal)'!$D$12:$AM$244,ROW()-12,FALSE))</f>
        <v>5</v>
      </c>
      <c r="AO156" s="281"/>
      <c r="AP156" s="281">
        <f>IF(HLOOKUP(AP$13,'MP (nominal)'!$D$12:$AM$244,ROW()-12,FALSE)="","",HLOOKUP(AP$13,'MP (nominal)'!$D$12:$AM$244,ROW()-12,FALSE)*VLOOKUP($C156,CPI!$B$9:$I$63,8))</f>
        <v>25814.23216835978</v>
      </c>
      <c r="AQ156" s="31">
        <f>IF(HLOOKUP(AQ$13,'MP (nominal)'!$D$12:$AM$244,ROW()-12,FALSE)="","",HLOOKUP(AQ$13,'MP (nominal)'!$D$12:$AM$244,ROW()-12,FALSE))</f>
        <v>384547.02</v>
      </c>
      <c r="AR156" s="281">
        <f>IF(HLOOKUP(AR$13,'MP (nominal)'!$D$12:$AM$244,ROW()-12,FALSE)="","",HLOOKUP(AR$13,'MP (nominal)'!$D$12:$AM$244,ROW()-12,FALSE))</f>
        <v>14768</v>
      </c>
    </row>
    <row r="157" spans="1:44" s="278" customFormat="1">
      <c r="A157" s="271">
        <f>References!J275</f>
        <v>399</v>
      </c>
      <c r="B157" s="292" t="s">
        <v>46</v>
      </c>
      <c r="C157" s="284">
        <v>2011</v>
      </c>
      <c r="D157" s="27">
        <f>IF(HLOOKUP(D$13,'MP (nominal)'!$D$12:$AM$244,ROW()-12,FALSE)="","",HLOOKUP(D$13,'MP (nominal)'!$D$12:$AM$244,ROW()-12,FALSE))</f>
        <v>4350.2582000000002</v>
      </c>
      <c r="E157" s="281">
        <f>IF(HLOOKUP(E$13,'MP (nominal)'!$D$12:$AM$244,ROW()-12,FALSE)="","",HLOOKUP(E$13,'MP (nominal)'!$D$12:$AM$244,ROW()-12,FALSE))</f>
        <v>1.3458399999999999</v>
      </c>
      <c r="F157" s="27">
        <f>IF(HLOOKUP(F$13,'MP (nominal)'!$D$12:$AM$244,ROW()-12,FALSE)="","",HLOOKUP(F$13,'MP (nominal)'!$D$12:$AM$244,ROW()-12,FALSE))</f>
        <v>42.006210000000003</v>
      </c>
      <c r="G157" s="281">
        <f>IF(HLOOKUP(G$13,'MP (nominal)'!$D$12:$AM$244,ROW()-12,FALSE)="","",HLOOKUP(G$13,'MP (nominal)'!$D$12:$AM$244,ROW()-12,FALSE))</f>
        <v>0.28909000000000001</v>
      </c>
      <c r="H157" s="27">
        <f>IF(HLOOKUP(H$13,'MP (nominal)'!$D$12:$AM$244,ROW()-12,FALSE)="","",HLOOKUP(H$13,'MP (nominal)'!$D$12:$AM$244,ROW()-12,FALSE))</f>
        <v>4392.2645000000002</v>
      </c>
      <c r="I157" s="31">
        <f>IF(HLOOKUP(I$13,'MP (nominal)'!$D$12:$AM$244,ROW()-12,FALSE)="","",HLOOKUP(I$13,'MP (nominal)'!$D$12:$AM$244,ROW()-12,FALSE))</f>
        <v>1.63493</v>
      </c>
      <c r="J157" s="31">
        <f>IF(HLOOKUP(J$13,'MP (nominal)'!$D$12:$AM$244,ROW()-12,FALSE)="","",HLOOKUP(J$13,'MP (nominal)'!$D$12:$AM$244,ROW()-12,FALSE))</f>
        <v>4350.2582000000002</v>
      </c>
      <c r="K157" s="281"/>
      <c r="L157" s="27">
        <f>IF(HLOOKUP(L$13,'MP (nominal)'!$D$12:$AM$244,ROW()-12,FALSE)="","",HLOOKUP(L$13,'MP (nominal)'!$D$12:$AM$244,ROW()-12,FALSE))</f>
        <v>60.418900000000001</v>
      </c>
      <c r="M157" s="283">
        <f>IF(HLOOKUP(M$13,'MP (nominal)'!$D$12:$AM$244,ROW()-12,FALSE)="","",HLOOKUP(M$13,'MP (nominal)'!$D$12:$AM$244,ROW()-12,FALSE))</f>
        <v>380.82724999999999</v>
      </c>
      <c r="N157" s="35"/>
      <c r="O157" s="27">
        <f>IF(HLOOKUP(O$13,'MP (nominal)'!$D$12:$AM$244,ROW()-12,FALSE)="","",HLOOKUP(O$13,'MP (nominal)'!$D$12:$AM$244,ROW()-12,FALSE))</f>
        <v>14801</v>
      </c>
      <c r="P157" s="31"/>
      <c r="Q157" s="281"/>
      <c r="R157" s="281">
        <f>IF(HLOOKUP(R$13,'MP (nominal)'!$D$12:$AM$244,ROW()-12,FALSE)="","",HLOOKUP(R$13,'MP (nominal)'!$D$12:$AM$244,ROW()-12,FALSE))</f>
        <v>247.08</v>
      </c>
      <c r="S157" s="281">
        <f>IF(HLOOKUP(S$13,'MP (nominal)'!$D$12:$AM$244,ROW()-12,FALSE)="","",HLOOKUP(S$13,'MP (nominal)'!$D$12:$AM$244,ROW()-12,FALSE))</f>
        <v>114.59</v>
      </c>
      <c r="T157" s="281">
        <f>IF(HLOOKUP(T$13,'MP (nominal)'!$D$12:$AM$244,ROW()-12,FALSE)="","",HLOOKUP(T$13,'MP (nominal)'!$D$12:$AM$244,ROW()-12,FALSE))</f>
        <v>132.49</v>
      </c>
      <c r="U157" s="281"/>
      <c r="V157" s="281">
        <f>IF(HLOOKUP(V$13,'MP (nominal)'!$D$12:$AM$244,ROW()-12,FALSE)="","",HLOOKUP(V$13,'MP (nominal)'!$D$12:$AM$244,ROW()-12,FALSE))</f>
        <v>2.2599999999999998</v>
      </c>
      <c r="W157" s="281">
        <f>IF(HLOOKUP(W$13,'MP (nominal)'!$D$12:$AM$244,ROW()-12,FALSE)="","",HLOOKUP(W$13,'MP (nominal)'!$D$12:$AM$244,ROW()-12,FALSE))</f>
        <v>0.48</v>
      </c>
      <c r="X157" s="281">
        <f>IF(HLOOKUP(X$13,'MP (nominal)'!$D$12:$AM$244,ROW()-12,FALSE)="","",HLOOKUP(X$13,'MP (nominal)'!$D$12:$AM$244,ROW()-12,FALSE))</f>
        <v>1.77</v>
      </c>
      <c r="Y157" s="281"/>
      <c r="Z157" s="281">
        <f>IF(HLOOKUP(Z$13,'MP (nominal)'!$D$12:$AM$244,ROW()-12,FALSE)="","",HLOOKUP(Z$13,'MP (nominal)'!$D$12:$AM$244,ROW()-12,FALSE)*VLOOKUP($C157,CPI!$B$9:$I$63,8))</f>
        <v>17503.054</v>
      </c>
      <c r="AA157" s="281">
        <f>IF(HLOOKUP(AA$13,'MP (nominal)'!$D$12:$AM$244,ROW()-12,FALSE)="","",HLOOKUP(AA$13,'MP (nominal)'!$D$12:$AM$244,ROW()-12,FALSE))</f>
        <v>97637.345000000001</v>
      </c>
      <c r="AB157" s="281">
        <f>IF(HLOOKUP(AB$13,'MP (nominal)'!$D$12:$AM$244,ROW()-12,FALSE)="","",HLOOKUP(AB$13,'MP (nominal)'!$D$12:$AM$244,ROW()-12,FALSE))</f>
        <v>14201</v>
      </c>
      <c r="AC157" s="281"/>
      <c r="AD157" s="281">
        <f>IF(HLOOKUP(AD$13,'MP (nominal)'!$D$12:$AM$244,ROW()-12,FALSE)="","",HLOOKUP(AD$13,'MP (nominal)'!$D$12:$AM$244,ROW()-12,FALSE)*VLOOKUP($C157,CPI!$B$9:$I$63,8))</f>
        <v>4024.1122999999998</v>
      </c>
      <c r="AE157" s="31">
        <f>IF(HLOOKUP(AE$13,'MP (nominal)'!$D$12:$AM$244,ROW()-12,FALSE)="","",HLOOKUP(AE$13,'MP (nominal)'!$D$12:$AM$244,ROW()-12,FALSE))</f>
        <v>28181.001</v>
      </c>
      <c r="AF157" s="31">
        <f>IF(HLOOKUP(AF$13,'MP (nominal)'!$D$12:$AM$244,ROW()-12,FALSE)="","",HLOOKUP(AF$13,'MP (nominal)'!$D$12:$AM$244,ROW()-12,FALSE))</f>
        <v>489</v>
      </c>
      <c r="AG157" s="281"/>
      <c r="AH157" s="281">
        <f>IF(HLOOKUP(AH$13,'MP (nominal)'!$D$12:$AM$244,ROW()-12,FALSE)="","",HLOOKUP(AH$13,'MP (nominal)'!$D$12:$AM$244,ROW()-12,FALSE)*VLOOKUP($C157,CPI!$B$9:$I$63,8))</f>
        <v>3156.9789999999998</v>
      </c>
      <c r="AI157" s="31">
        <f>IF(HLOOKUP(AI$13,'MP (nominal)'!$D$12:$AM$244,ROW()-12,FALSE)="","",HLOOKUP(AI$13,'MP (nominal)'!$D$12:$AM$244,ROW()-12,FALSE))</f>
        <v>33761.097999999998</v>
      </c>
      <c r="AJ157" s="31">
        <f>IF(HLOOKUP(AJ$13,'MP (nominal)'!$D$12:$AM$244,ROW()-12,FALSE)="","",HLOOKUP(AJ$13,'MP (nominal)'!$D$12:$AM$244,ROW()-12,FALSE))</f>
        <v>106</v>
      </c>
      <c r="AK157" s="281"/>
      <c r="AL157" s="281">
        <f>IF(HLOOKUP(AL$13,'MP (nominal)'!$D$12:$AM$244,ROW()-12,FALSE)="","",HLOOKUP(AL$13,'MP (nominal)'!$D$12:$AM$244,ROW()-12,FALSE)*VLOOKUP($C157,CPI!$B$9:$I$63,8))</f>
        <v>3482.2305000000001</v>
      </c>
      <c r="AM157" s="31">
        <f>IF(HLOOKUP(AM$13,'MP (nominal)'!$D$12:$AM$244,ROW()-12,FALSE)="","",HLOOKUP(AM$13,'MP (nominal)'!$D$12:$AM$244,ROW()-12,FALSE))</f>
        <v>221247.81</v>
      </c>
      <c r="AN157" s="31">
        <f>IF(HLOOKUP(AN$13,'MP (nominal)'!$D$12:$AM$244,ROW()-12,FALSE)="","",HLOOKUP(AN$13,'MP (nominal)'!$D$12:$AM$244,ROW()-12,FALSE))</f>
        <v>5</v>
      </c>
      <c r="AO157" s="281"/>
      <c r="AP157" s="281">
        <f>IF(HLOOKUP(AP$13,'MP (nominal)'!$D$12:$AM$244,ROW()-12,FALSE)="","",HLOOKUP(AP$13,'MP (nominal)'!$D$12:$AM$244,ROW()-12,FALSE)*VLOOKUP($C157,CPI!$B$9:$I$63,8))</f>
        <v>28166.376</v>
      </c>
      <c r="AQ157" s="31">
        <f>IF(HLOOKUP(AQ$13,'MP (nominal)'!$D$12:$AM$244,ROW()-12,FALSE)="","",HLOOKUP(AQ$13,'MP (nominal)'!$D$12:$AM$244,ROW()-12,FALSE))</f>
        <v>380827.25</v>
      </c>
      <c r="AR157" s="281">
        <f>IF(HLOOKUP(AR$13,'MP (nominal)'!$D$12:$AM$244,ROW()-12,FALSE)="","",HLOOKUP(AR$13,'MP (nominal)'!$D$12:$AM$244,ROW()-12,FALSE))</f>
        <v>14801</v>
      </c>
    </row>
    <row r="158" spans="1:44" s="278" customFormat="1" hidden="1">
      <c r="A158" s="271">
        <f>References!C276</f>
        <v>415</v>
      </c>
      <c r="B158" s="292" t="s">
        <v>47</v>
      </c>
      <c r="C158" s="284">
        <v>2004</v>
      </c>
      <c r="D158" s="27" t="str">
        <f>IF(HLOOKUP(D$13,'MP (nominal)'!$D$12:$AM$244,ROW()-12,FALSE)="","",HLOOKUP(D$13,'MP (nominal)'!$D$12:$AM$244,ROW()-12,FALSE))</f>
        <v/>
      </c>
      <c r="E158" s="281" t="str">
        <f>IF(HLOOKUP(E$13,'MP (nominal)'!$D$12:$AM$244,ROW()-12,FALSE)="","",HLOOKUP(E$13,'MP (nominal)'!$D$12:$AM$244,ROW()-12,FALSE))</f>
        <v/>
      </c>
      <c r="F158" s="27">
        <f>IF(HLOOKUP(F$13,'MP (nominal)'!$D$12:$AM$244,ROW()-12,FALSE)="","",HLOOKUP(F$13,'MP (nominal)'!$D$12:$AM$244,ROW()-12,FALSE))</f>
        <v>4164.74</v>
      </c>
      <c r="G158" s="281" t="str">
        <f>IF(HLOOKUP(G$13,'MP (nominal)'!$D$12:$AM$244,ROW()-12,FALSE)="","",HLOOKUP(G$13,'MP (nominal)'!$D$12:$AM$244,ROW()-12,FALSE))</f>
        <v/>
      </c>
      <c r="H158" s="27">
        <f>IF(HLOOKUP(H$13,'MP (nominal)'!$D$12:$AM$244,ROW()-12,FALSE)="","",HLOOKUP(H$13,'MP (nominal)'!$D$12:$AM$244,ROW()-12,FALSE))</f>
        <v>24939.64</v>
      </c>
      <c r="I158" s="31" t="str">
        <f>IF(HLOOKUP(I$13,'MP (nominal)'!$D$12:$AM$244,ROW()-12,FALSE)="","",HLOOKUP(I$13,'MP (nominal)'!$D$12:$AM$244,ROW()-12,FALSE))</f>
        <v/>
      </c>
      <c r="J158" s="31">
        <f>IF(HLOOKUP(J$13,'MP (nominal)'!$D$12:$AM$244,ROW()-12,FALSE)="","",HLOOKUP(J$13,'MP (nominal)'!$D$12:$AM$244,ROW()-12,FALSE))</f>
        <v>20774.900000000001</v>
      </c>
      <c r="K158" s="281"/>
      <c r="L158" s="27">
        <f>IF(HLOOKUP(L$13,'MP (nominal)'!$D$12:$AM$244,ROW()-12,FALSE)="","",HLOOKUP(L$13,'MP (nominal)'!$D$12:$AM$244,ROW()-12,FALSE))</f>
        <v>692.24900000000002</v>
      </c>
      <c r="M158" s="293">
        <f>IF(HLOOKUP(M$13,'MP (nominal)'!$D$12:$AM$244,ROW()-12,FALSE)="","",HLOOKUP(M$13,'MP (nominal)'!$D$12:$AM$244,ROW()-12,FALSE))</f>
        <v>3.796233</v>
      </c>
      <c r="N158" s="35"/>
      <c r="O158" s="27">
        <f>IF(HLOOKUP(O$13,'MP (nominal)'!$D$12:$AM$244,ROW()-12,FALSE)="","",HLOOKUP(O$13,'MP (nominal)'!$D$12:$AM$244,ROW()-12,FALSE))</f>
        <v>296165</v>
      </c>
      <c r="P158" s="31"/>
      <c r="Q158" s="281"/>
      <c r="R158" s="281">
        <f>IF(HLOOKUP(R$13,'MP (nominal)'!$D$12:$AM$244,ROW()-12,FALSE)="","",HLOOKUP(R$13,'MP (nominal)'!$D$12:$AM$244,ROW()-12,FALSE))</f>
        <v>370.41</v>
      </c>
      <c r="S158" s="281" t="str">
        <f>IF(HLOOKUP(S$13,'MP (nominal)'!$D$12:$AM$244,ROW()-12,FALSE)="","",HLOOKUP(S$13,'MP (nominal)'!$D$12:$AM$244,ROW()-12,FALSE))</f>
        <v/>
      </c>
      <c r="T158" s="281" t="str">
        <f>IF(HLOOKUP(T$13,'MP (nominal)'!$D$12:$AM$244,ROW()-12,FALSE)="","",HLOOKUP(T$13,'MP (nominal)'!$D$12:$AM$244,ROW()-12,FALSE))</f>
        <v/>
      </c>
      <c r="U158" s="281"/>
      <c r="V158" s="281">
        <f>IF(HLOOKUP(V$13,'MP (nominal)'!$D$12:$AM$244,ROW()-12,FALSE)="","",HLOOKUP(V$13,'MP (nominal)'!$D$12:$AM$244,ROW()-12,FALSE))</f>
        <v>3.7869999999999999</v>
      </c>
      <c r="W158" s="281" t="str">
        <f>IF(HLOOKUP(W$13,'MP (nominal)'!$D$12:$AM$244,ROW()-12,FALSE)="","",HLOOKUP(W$13,'MP (nominal)'!$D$12:$AM$244,ROW()-12,FALSE))</f>
        <v/>
      </c>
      <c r="X158" s="281" t="str">
        <f>IF(HLOOKUP(X$13,'MP (nominal)'!$D$12:$AM$244,ROW()-12,FALSE)="","",HLOOKUP(X$13,'MP (nominal)'!$D$12:$AM$244,ROW()-12,FALSE))</f>
        <v/>
      </c>
      <c r="Y158" s="281"/>
      <c r="Z158" s="281" t="str">
        <f>IF(HLOOKUP(Z$13,'MP (nominal)'!$D$12:$AM$244,ROW()-12,FALSE)="","",HLOOKUP(Z$13,'MP (nominal)'!$D$12:$AM$244,ROW()-12,FALSE)*VLOOKUP($C158,CPI!$B$9:$I$63,8))</f>
        <v/>
      </c>
      <c r="AA158" s="281" t="str">
        <f>IF(HLOOKUP(AA$13,'MP (nominal)'!$D$12:$AM$244,ROW()-12,FALSE)="","",HLOOKUP(AA$13,'MP (nominal)'!$D$12:$AM$244,ROW()-12,FALSE))</f>
        <v/>
      </c>
      <c r="AB158" s="281" t="str">
        <f>IF(HLOOKUP(AB$13,'MP (nominal)'!$D$12:$AM$244,ROW()-12,FALSE)="","",HLOOKUP(AB$13,'MP (nominal)'!$D$12:$AM$244,ROW()-12,FALSE))</f>
        <v/>
      </c>
      <c r="AC158" s="281"/>
      <c r="AD158" s="281" t="str">
        <f>IF(HLOOKUP(AD$13,'MP (nominal)'!$D$12:$AM$244,ROW()-12,FALSE)="","",HLOOKUP(AD$13,'MP (nominal)'!$D$12:$AM$244,ROW()-12,FALSE)*VLOOKUP($C158,CPI!$B$9:$I$63,8))</f>
        <v/>
      </c>
      <c r="AE158" s="31" t="str">
        <f>IF(HLOOKUP(AE$13,'MP (nominal)'!$D$12:$AM$244,ROW()-12,FALSE)="","",HLOOKUP(AE$13,'MP (nominal)'!$D$12:$AM$244,ROW()-12,FALSE))</f>
        <v/>
      </c>
      <c r="AF158" s="31" t="str">
        <f>IF(HLOOKUP(AF$13,'MP (nominal)'!$D$12:$AM$244,ROW()-12,FALSE)="","",HLOOKUP(AF$13,'MP (nominal)'!$D$12:$AM$244,ROW()-12,FALSE))</f>
        <v/>
      </c>
      <c r="AG158" s="281"/>
      <c r="AH158" s="281" t="str">
        <f>IF(HLOOKUP(AH$13,'MP (nominal)'!$D$12:$AM$244,ROW()-12,FALSE)="","",HLOOKUP(AH$13,'MP (nominal)'!$D$12:$AM$244,ROW()-12,FALSE)*VLOOKUP($C158,CPI!$B$9:$I$63,8))</f>
        <v/>
      </c>
      <c r="AI158" s="31" t="str">
        <f>IF(HLOOKUP(AI$13,'MP (nominal)'!$D$12:$AM$244,ROW()-12,FALSE)="","",HLOOKUP(AI$13,'MP (nominal)'!$D$12:$AM$244,ROW()-12,FALSE))</f>
        <v/>
      </c>
      <c r="AJ158" s="31" t="str">
        <f>IF(HLOOKUP(AJ$13,'MP (nominal)'!$D$12:$AM$244,ROW()-12,FALSE)="","",HLOOKUP(AJ$13,'MP (nominal)'!$D$12:$AM$244,ROW()-12,FALSE))</f>
        <v/>
      </c>
      <c r="AK158" s="281"/>
      <c r="AL158" s="281" t="str">
        <f>IF(HLOOKUP(AL$13,'MP (nominal)'!$D$12:$AM$244,ROW()-12,FALSE)="","",HLOOKUP(AL$13,'MP (nominal)'!$D$12:$AM$244,ROW()-12,FALSE)*VLOOKUP($C158,CPI!$B$9:$I$63,8))</f>
        <v/>
      </c>
      <c r="AM158" s="31" t="str">
        <f>IF(HLOOKUP(AM$13,'MP (nominal)'!$D$12:$AM$244,ROW()-12,FALSE)="","",HLOOKUP(AM$13,'MP (nominal)'!$D$12:$AM$244,ROW()-12,FALSE))</f>
        <v/>
      </c>
      <c r="AN158" s="31" t="str">
        <f>IF(HLOOKUP(AN$13,'MP (nominal)'!$D$12:$AM$244,ROW()-12,FALSE)="","",HLOOKUP(AN$13,'MP (nominal)'!$D$12:$AM$244,ROW()-12,FALSE))</f>
        <v/>
      </c>
      <c r="AO158" s="281"/>
      <c r="AP158" s="281" t="str">
        <f>IF(HLOOKUP(AP$13,'MP (nominal)'!$D$12:$AM$244,ROW()-12,FALSE)="","",HLOOKUP(AP$13,'MP (nominal)'!$D$12:$AM$244,ROW()-12,FALSE)*VLOOKUP($C158,CPI!$B$9:$I$63,8))</f>
        <v/>
      </c>
      <c r="AQ158" s="31" t="str">
        <f>IF(HLOOKUP(AQ$13,'MP (nominal)'!$D$12:$AM$244,ROW()-12,FALSE)="","",HLOOKUP(AQ$13,'MP (nominal)'!$D$12:$AM$244,ROW()-12,FALSE))</f>
        <v/>
      </c>
      <c r="AR158" s="281" t="str">
        <f>IF(HLOOKUP(AR$13,'MP (nominal)'!$D$12:$AM$244,ROW()-12,FALSE)="","",HLOOKUP(AR$13,'MP (nominal)'!$D$12:$AM$244,ROW()-12,FALSE))</f>
        <v/>
      </c>
    </row>
    <row r="159" spans="1:44" s="278" customFormat="1" hidden="1">
      <c r="A159" s="271">
        <f>References!D276</f>
        <v>416</v>
      </c>
      <c r="B159" s="292" t="s">
        <v>47</v>
      </c>
      <c r="C159" s="284">
        <v>2005</v>
      </c>
      <c r="D159" s="27" t="str">
        <f>IF(HLOOKUP(D$13,'MP (nominal)'!$D$12:$AM$244,ROW()-12,FALSE)="","",HLOOKUP(D$13,'MP (nominal)'!$D$12:$AM$244,ROW()-12,FALSE))</f>
        <v/>
      </c>
      <c r="E159" s="281" t="str">
        <f>IF(HLOOKUP(E$13,'MP (nominal)'!$D$12:$AM$244,ROW()-12,FALSE)="","",HLOOKUP(E$13,'MP (nominal)'!$D$12:$AM$244,ROW()-12,FALSE))</f>
        <v/>
      </c>
      <c r="F159" s="27">
        <f>IF(HLOOKUP(F$13,'MP (nominal)'!$D$12:$AM$244,ROW()-12,FALSE)="","",HLOOKUP(F$13,'MP (nominal)'!$D$12:$AM$244,ROW()-12,FALSE))</f>
        <v>5247.79</v>
      </c>
      <c r="G159" s="281" t="str">
        <f>IF(HLOOKUP(G$13,'MP (nominal)'!$D$12:$AM$244,ROW()-12,FALSE)="","",HLOOKUP(G$13,'MP (nominal)'!$D$12:$AM$244,ROW()-12,FALSE))</f>
        <v/>
      </c>
      <c r="H159" s="27">
        <f>IF(HLOOKUP(H$13,'MP (nominal)'!$D$12:$AM$244,ROW()-12,FALSE)="","",HLOOKUP(H$13,'MP (nominal)'!$D$12:$AM$244,ROW()-12,FALSE))</f>
        <v>26811.69</v>
      </c>
      <c r="I159" s="31" t="str">
        <f>IF(HLOOKUP(I$13,'MP (nominal)'!$D$12:$AM$244,ROW()-12,FALSE)="","",HLOOKUP(I$13,'MP (nominal)'!$D$12:$AM$244,ROW()-12,FALSE))</f>
        <v/>
      </c>
      <c r="J159" s="31">
        <f>IF(HLOOKUP(J$13,'MP (nominal)'!$D$12:$AM$244,ROW()-12,FALSE)="","",HLOOKUP(J$13,'MP (nominal)'!$D$12:$AM$244,ROW()-12,FALSE))</f>
        <v>21563.89</v>
      </c>
      <c r="K159" s="281"/>
      <c r="L159" s="27">
        <f>IF(HLOOKUP(L$13,'MP (nominal)'!$D$12:$AM$244,ROW()-12,FALSE)="","",HLOOKUP(L$13,'MP (nominal)'!$D$12:$AM$244,ROW()-12,FALSE))</f>
        <v>727.42100000000005</v>
      </c>
      <c r="M159" s="293">
        <f>IF(HLOOKUP(M$13,'MP (nominal)'!$D$12:$AM$244,ROW()-12,FALSE)="","",HLOOKUP(M$13,'MP (nominal)'!$D$12:$AM$244,ROW()-12,FALSE))</f>
        <v>4052.404352</v>
      </c>
      <c r="N159" s="35"/>
      <c r="O159" s="27">
        <f>IF(HLOOKUP(O$13,'MP (nominal)'!$D$12:$AM$244,ROW()-12,FALSE)="","",HLOOKUP(O$13,'MP (nominal)'!$D$12:$AM$244,ROW()-12,FALSE))</f>
        <v>298665</v>
      </c>
      <c r="P159" s="31"/>
      <c r="Q159" s="281"/>
      <c r="R159" s="281">
        <f>IF(HLOOKUP(R$13,'MP (nominal)'!$D$12:$AM$244,ROW()-12,FALSE)="","",HLOOKUP(R$13,'MP (nominal)'!$D$12:$AM$244,ROW()-12,FALSE))</f>
        <v>208.32</v>
      </c>
      <c r="S159" s="281" t="str">
        <f>IF(HLOOKUP(S$13,'MP (nominal)'!$D$12:$AM$244,ROW()-12,FALSE)="","",HLOOKUP(S$13,'MP (nominal)'!$D$12:$AM$244,ROW()-12,FALSE))</f>
        <v/>
      </c>
      <c r="T159" s="281" t="str">
        <f>IF(HLOOKUP(T$13,'MP (nominal)'!$D$12:$AM$244,ROW()-12,FALSE)="","",HLOOKUP(T$13,'MP (nominal)'!$D$12:$AM$244,ROW()-12,FALSE))</f>
        <v/>
      </c>
      <c r="U159" s="281"/>
      <c r="V159" s="281">
        <f>IF(HLOOKUP(V$13,'MP (nominal)'!$D$12:$AM$244,ROW()-12,FALSE)="","",HLOOKUP(V$13,'MP (nominal)'!$D$12:$AM$244,ROW()-12,FALSE))</f>
        <v>2.915</v>
      </c>
      <c r="W159" s="281" t="str">
        <f>IF(HLOOKUP(W$13,'MP (nominal)'!$D$12:$AM$244,ROW()-12,FALSE)="","",HLOOKUP(W$13,'MP (nominal)'!$D$12:$AM$244,ROW()-12,FALSE))</f>
        <v/>
      </c>
      <c r="X159" s="281" t="str">
        <f>IF(HLOOKUP(X$13,'MP (nominal)'!$D$12:$AM$244,ROW()-12,FALSE)="","",HLOOKUP(X$13,'MP (nominal)'!$D$12:$AM$244,ROW()-12,FALSE))</f>
        <v/>
      </c>
      <c r="Y159" s="281"/>
      <c r="Z159" s="281" t="str">
        <f>IF(HLOOKUP(Z$13,'MP (nominal)'!$D$12:$AM$244,ROW()-12,FALSE)="","",HLOOKUP(Z$13,'MP (nominal)'!$D$12:$AM$244,ROW()-12,FALSE)*VLOOKUP($C159,CPI!$B$9:$I$63,8))</f>
        <v/>
      </c>
      <c r="AA159" s="281" t="str">
        <f>IF(HLOOKUP(AA$13,'MP (nominal)'!$D$12:$AM$244,ROW()-12,FALSE)="","",HLOOKUP(AA$13,'MP (nominal)'!$D$12:$AM$244,ROW()-12,FALSE))</f>
        <v/>
      </c>
      <c r="AB159" s="281" t="str">
        <f>IF(HLOOKUP(AB$13,'MP (nominal)'!$D$12:$AM$244,ROW()-12,FALSE)="","",HLOOKUP(AB$13,'MP (nominal)'!$D$12:$AM$244,ROW()-12,FALSE))</f>
        <v/>
      </c>
      <c r="AC159" s="281"/>
      <c r="AD159" s="281" t="str">
        <f>IF(HLOOKUP(AD$13,'MP (nominal)'!$D$12:$AM$244,ROW()-12,FALSE)="","",HLOOKUP(AD$13,'MP (nominal)'!$D$12:$AM$244,ROW()-12,FALSE)*VLOOKUP($C159,CPI!$B$9:$I$63,8))</f>
        <v/>
      </c>
      <c r="AE159" s="31" t="str">
        <f>IF(HLOOKUP(AE$13,'MP (nominal)'!$D$12:$AM$244,ROW()-12,FALSE)="","",HLOOKUP(AE$13,'MP (nominal)'!$D$12:$AM$244,ROW()-12,FALSE))</f>
        <v/>
      </c>
      <c r="AF159" s="31" t="str">
        <f>IF(HLOOKUP(AF$13,'MP (nominal)'!$D$12:$AM$244,ROW()-12,FALSE)="","",HLOOKUP(AF$13,'MP (nominal)'!$D$12:$AM$244,ROW()-12,FALSE))</f>
        <v/>
      </c>
      <c r="AG159" s="281"/>
      <c r="AH159" s="281" t="str">
        <f>IF(HLOOKUP(AH$13,'MP (nominal)'!$D$12:$AM$244,ROW()-12,FALSE)="","",HLOOKUP(AH$13,'MP (nominal)'!$D$12:$AM$244,ROW()-12,FALSE)*VLOOKUP($C159,CPI!$B$9:$I$63,8))</f>
        <v/>
      </c>
      <c r="AI159" s="31" t="str">
        <f>IF(HLOOKUP(AI$13,'MP (nominal)'!$D$12:$AM$244,ROW()-12,FALSE)="","",HLOOKUP(AI$13,'MP (nominal)'!$D$12:$AM$244,ROW()-12,FALSE))</f>
        <v/>
      </c>
      <c r="AJ159" s="31" t="str">
        <f>IF(HLOOKUP(AJ$13,'MP (nominal)'!$D$12:$AM$244,ROW()-12,FALSE)="","",HLOOKUP(AJ$13,'MP (nominal)'!$D$12:$AM$244,ROW()-12,FALSE))</f>
        <v/>
      </c>
      <c r="AK159" s="281"/>
      <c r="AL159" s="281" t="str">
        <f>IF(HLOOKUP(AL$13,'MP (nominal)'!$D$12:$AM$244,ROW()-12,FALSE)="","",HLOOKUP(AL$13,'MP (nominal)'!$D$12:$AM$244,ROW()-12,FALSE)*VLOOKUP($C159,CPI!$B$9:$I$63,8))</f>
        <v/>
      </c>
      <c r="AM159" s="31" t="str">
        <f>IF(HLOOKUP(AM$13,'MP (nominal)'!$D$12:$AM$244,ROW()-12,FALSE)="","",HLOOKUP(AM$13,'MP (nominal)'!$D$12:$AM$244,ROW()-12,FALSE))</f>
        <v/>
      </c>
      <c r="AN159" s="31" t="str">
        <f>IF(HLOOKUP(AN$13,'MP (nominal)'!$D$12:$AM$244,ROW()-12,FALSE)="","",HLOOKUP(AN$13,'MP (nominal)'!$D$12:$AM$244,ROW()-12,FALSE))</f>
        <v/>
      </c>
      <c r="AO159" s="281"/>
      <c r="AP159" s="281" t="str">
        <f>IF(HLOOKUP(AP$13,'MP (nominal)'!$D$12:$AM$244,ROW()-12,FALSE)="","",HLOOKUP(AP$13,'MP (nominal)'!$D$12:$AM$244,ROW()-12,FALSE)*VLOOKUP($C159,CPI!$B$9:$I$63,8))</f>
        <v/>
      </c>
      <c r="AQ159" s="31" t="str">
        <f>IF(HLOOKUP(AQ$13,'MP (nominal)'!$D$12:$AM$244,ROW()-12,FALSE)="","",HLOOKUP(AQ$13,'MP (nominal)'!$D$12:$AM$244,ROW()-12,FALSE))</f>
        <v/>
      </c>
      <c r="AR159" s="281" t="str">
        <f>IF(HLOOKUP(AR$13,'MP (nominal)'!$D$12:$AM$244,ROW()-12,FALSE)="","",HLOOKUP(AR$13,'MP (nominal)'!$D$12:$AM$244,ROW()-12,FALSE))</f>
        <v/>
      </c>
    </row>
    <row r="160" spans="1:44" s="278" customFormat="1" hidden="1">
      <c r="A160" s="271">
        <f>References!E276</f>
        <v>417</v>
      </c>
      <c r="B160" s="292" t="s">
        <v>47</v>
      </c>
      <c r="C160" s="284">
        <v>2006</v>
      </c>
      <c r="D160" s="27" t="str">
        <f>IF(HLOOKUP(D$13,'MP (nominal)'!$D$12:$AM$244,ROW()-12,FALSE)="","",HLOOKUP(D$13,'MP (nominal)'!$D$12:$AM$244,ROW()-12,FALSE))</f>
        <v/>
      </c>
      <c r="E160" s="281" t="str">
        <f>IF(HLOOKUP(E$13,'MP (nominal)'!$D$12:$AM$244,ROW()-12,FALSE)="","",HLOOKUP(E$13,'MP (nominal)'!$D$12:$AM$244,ROW()-12,FALSE))</f>
        <v/>
      </c>
      <c r="F160" s="27">
        <f>IF(HLOOKUP(F$13,'MP (nominal)'!$D$12:$AM$244,ROW()-12,FALSE)="","",HLOOKUP(F$13,'MP (nominal)'!$D$12:$AM$244,ROW()-12,FALSE))</f>
        <v>5165</v>
      </c>
      <c r="G160" s="281" t="str">
        <f>IF(HLOOKUP(G$13,'MP (nominal)'!$D$12:$AM$244,ROW()-12,FALSE)="","",HLOOKUP(G$13,'MP (nominal)'!$D$12:$AM$244,ROW()-12,FALSE))</f>
        <v/>
      </c>
      <c r="H160" s="27">
        <f>IF(HLOOKUP(H$13,'MP (nominal)'!$D$12:$AM$244,ROW()-12,FALSE)="","",HLOOKUP(H$13,'MP (nominal)'!$D$12:$AM$244,ROW()-12,FALSE))</f>
        <v>27089</v>
      </c>
      <c r="I160" s="31" t="str">
        <f>IF(HLOOKUP(I$13,'MP (nominal)'!$D$12:$AM$244,ROW()-12,FALSE)="","",HLOOKUP(I$13,'MP (nominal)'!$D$12:$AM$244,ROW()-12,FALSE))</f>
        <v/>
      </c>
      <c r="J160" s="31">
        <f>IF(HLOOKUP(J$13,'MP (nominal)'!$D$12:$AM$244,ROW()-12,FALSE)="","",HLOOKUP(J$13,'MP (nominal)'!$D$12:$AM$244,ROW()-12,FALSE))</f>
        <v>21925</v>
      </c>
      <c r="K160" s="281"/>
      <c r="L160" s="27">
        <f>IF(HLOOKUP(L$13,'MP (nominal)'!$D$12:$AM$244,ROW()-12,FALSE)="","",HLOOKUP(L$13,'MP (nominal)'!$D$12:$AM$244,ROW()-12,FALSE))</f>
        <v>677.25599999999997</v>
      </c>
      <c r="M160" s="293">
        <f>IF(HLOOKUP(M$13,'MP (nominal)'!$D$12:$AM$244,ROW()-12,FALSE)="","",HLOOKUP(M$13,'MP (nominal)'!$D$12:$AM$244,ROW()-12,FALSE))</f>
        <v>4235.2839999999997</v>
      </c>
      <c r="N160" s="35"/>
      <c r="O160" s="27">
        <f>IF(HLOOKUP(O$13,'MP (nominal)'!$D$12:$AM$244,ROW()-12,FALSE)="","",HLOOKUP(O$13,'MP (nominal)'!$D$12:$AM$244,ROW()-12,FALSE))</f>
        <v>304471</v>
      </c>
      <c r="P160" s="31"/>
      <c r="Q160" s="281"/>
      <c r="R160" s="281">
        <f>IF(HLOOKUP(R$13,'MP (nominal)'!$D$12:$AM$244,ROW()-12,FALSE)="","",HLOOKUP(R$13,'MP (nominal)'!$D$12:$AM$244,ROW()-12,FALSE))</f>
        <v>235.8</v>
      </c>
      <c r="S160" s="281" t="str">
        <f>IF(HLOOKUP(S$13,'MP (nominal)'!$D$12:$AM$244,ROW()-12,FALSE)="","",HLOOKUP(S$13,'MP (nominal)'!$D$12:$AM$244,ROW()-12,FALSE))</f>
        <v/>
      </c>
      <c r="T160" s="281" t="str">
        <f>IF(HLOOKUP(T$13,'MP (nominal)'!$D$12:$AM$244,ROW()-12,FALSE)="","",HLOOKUP(T$13,'MP (nominal)'!$D$12:$AM$244,ROW()-12,FALSE))</f>
        <v/>
      </c>
      <c r="U160" s="281"/>
      <c r="V160" s="281">
        <f>IF(HLOOKUP(V$13,'MP (nominal)'!$D$12:$AM$244,ROW()-12,FALSE)="","",HLOOKUP(V$13,'MP (nominal)'!$D$12:$AM$244,ROW()-12,FALSE))</f>
        <v>2.89</v>
      </c>
      <c r="W160" s="281" t="str">
        <f>IF(HLOOKUP(W$13,'MP (nominal)'!$D$12:$AM$244,ROW()-12,FALSE)="","",HLOOKUP(W$13,'MP (nominal)'!$D$12:$AM$244,ROW()-12,FALSE))</f>
        <v/>
      </c>
      <c r="X160" s="281" t="str">
        <f>IF(HLOOKUP(X$13,'MP (nominal)'!$D$12:$AM$244,ROW()-12,FALSE)="","",HLOOKUP(X$13,'MP (nominal)'!$D$12:$AM$244,ROW()-12,FALSE))</f>
        <v/>
      </c>
      <c r="Y160" s="281"/>
      <c r="Z160" s="281" t="str">
        <f>IF(HLOOKUP(Z$13,'MP (nominal)'!$D$12:$AM$244,ROW()-12,FALSE)="","",HLOOKUP(Z$13,'MP (nominal)'!$D$12:$AM$244,ROW()-12,FALSE)*VLOOKUP($C160,CPI!$B$9:$I$63,8))</f>
        <v/>
      </c>
      <c r="AA160" s="281" t="str">
        <f>IF(HLOOKUP(AA$13,'MP (nominal)'!$D$12:$AM$244,ROW()-12,FALSE)="","",HLOOKUP(AA$13,'MP (nominal)'!$D$12:$AM$244,ROW()-12,FALSE))</f>
        <v/>
      </c>
      <c r="AB160" s="281" t="str">
        <f>IF(HLOOKUP(AB$13,'MP (nominal)'!$D$12:$AM$244,ROW()-12,FALSE)="","",HLOOKUP(AB$13,'MP (nominal)'!$D$12:$AM$244,ROW()-12,FALSE))</f>
        <v/>
      </c>
      <c r="AC160" s="281"/>
      <c r="AD160" s="281" t="str">
        <f>IF(HLOOKUP(AD$13,'MP (nominal)'!$D$12:$AM$244,ROW()-12,FALSE)="","",HLOOKUP(AD$13,'MP (nominal)'!$D$12:$AM$244,ROW()-12,FALSE)*VLOOKUP($C160,CPI!$B$9:$I$63,8))</f>
        <v/>
      </c>
      <c r="AE160" s="31" t="str">
        <f>IF(HLOOKUP(AE$13,'MP (nominal)'!$D$12:$AM$244,ROW()-12,FALSE)="","",HLOOKUP(AE$13,'MP (nominal)'!$D$12:$AM$244,ROW()-12,FALSE))</f>
        <v/>
      </c>
      <c r="AF160" s="31" t="str">
        <f>IF(HLOOKUP(AF$13,'MP (nominal)'!$D$12:$AM$244,ROW()-12,FALSE)="","",HLOOKUP(AF$13,'MP (nominal)'!$D$12:$AM$244,ROW()-12,FALSE))</f>
        <v/>
      </c>
      <c r="AG160" s="281"/>
      <c r="AH160" s="281" t="str">
        <f>IF(HLOOKUP(AH$13,'MP (nominal)'!$D$12:$AM$244,ROW()-12,FALSE)="","",HLOOKUP(AH$13,'MP (nominal)'!$D$12:$AM$244,ROW()-12,FALSE)*VLOOKUP($C160,CPI!$B$9:$I$63,8))</f>
        <v/>
      </c>
      <c r="AI160" s="31" t="str">
        <f>IF(HLOOKUP(AI$13,'MP (nominal)'!$D$12:$AM$244,ROW()-12,FALSE)="","",HLOOKUP(AI$13,'MP (nominal)'!$D$12:$AM$244,ROW()-12,FALSE))</f>
        <v/>
      </c>
      <c r="AJ160" s="31" t="str">
        <f>IF(HLOOKUP(AJ$13,'MP (nominal)'!$D$12:$AM$244,ROW()-12,FALSE)="","",HLOOKUP(AJ$13,'MP (nominal)'!$D$12:$AM$244,ROW()-12,FALSE))</f>
        <v/>
      </c>
      <c r="AK160" s="281"/>
      <c r="AL160" s="281" t="str">
        <f>IF(HLOOKUP(AL$13,'MP (nominal)'!$D$12:$AM$244,ROW()-12,FALSE)="","",HLOOKUP(AL$13,'MP (nominal)'!$D$12:$AM$244,ROW()-12,FALSE)*VLOOKUP($C160,CPI!$B$9:$I$63,8))</f>
        <v/>
      </c>
      <c r="AM160" s="31" t="str">
        <f>IF(HLOOKUP(AM$13,'MP (nominal)'!$D$12:$AM$244,ROW()-12,FALSE)="","",HLOOKUP(AM$13,'MP (nominal)'!$D$12:$AM$244,ROW()-12,FALSE))</f>
        <v/>
      </c>
      <c r="AN160" s="31" t="str">
        <f>IF(HLOOKUP(AN$13,'MP (nominal)'!$D$12:$AM$244,ROW()-12,FALSE)="","",HLOOKUP(AN$13,'MP (nominal)'!$D$12:$AM$244,ROW()-12,FALSE))</f>
        <v/>
      </c>
      <c r="AO160" s="281"/>
      <c r="AP160" s="281" t="str">
        <f>IF(HLOOKUP(AP$13,'MP (nominal)'!$D$12:$AM$244,ROW()-12,FALSE)="","",HLOOKUP(AP$13,'MP (nominal)'!$D$12:$AM$244,ROW()-12,FALSE)*VLOOKUP($C160,CPI!$B$9:$I$63,8))</f>
        <v/>
      </c>
      <c r="AQ160" s="31" t="str">
        <f>IF(HLOOKUP(AQ$13,'MP (nominal)'!$D$12:$AM$244,ROW()-12,FALSE)="","",HLOOKUP(AQ$13,'MP (nominal)'!$D$12:$AM$244,ROW()-12,FALSE))</f>
        <v/>
      </c>
      <c r="AR160" s="281" t="str">
        <f>IF(HLOOKUP(AR$13,'MP (nominal)'!$D$12:$AM$244,ROW()-12,FALSE)="","",HLOOKUP(AR$13,'MP (nominal)'!$D$12:$AM$244,ROW()-12,FALSE))</f>
        <v/>
      </c>
    </row>
    <row r="161" spans="1:44" s="278" customFormat="1" hidden="1">
      <c r="A161" s="271">
        <f>References!F276</f>
        <v>418</v>
      </c>
      <c r="B161" s="292" t="s">
        <v>47</v>
      </c>
      <c r="C161" s="284">
        <v>2007</v>
      </c>
      <c r="D161" s="27" t="str">
        <f>IF(HLOOKUP(D$13,'MP (nominal)'!$D$12:$AM$244,ROW()-12,FALSE)="","",HLOOKUP(D$13,'MP (nominal)'!$D$12:$AM$244,ROW()-12,FALSE))</f>
        <v/>
      </c>
      <c r="E161" s="281" t="str">
        <f>IF(HLOOKUP(E$13,'MP (nominal)'!$D$12:$AM$244,ROW()-12,FALSE)="","",HLOOKUP(E$13,'MP (nominal)'!$D$12:$AM$244,ROW()-12,FALSE))</f>
        <v/>
      </c>
      <c r="F161" s="27">
        <f>IF(HLOOKUP(F$13,'MP (nominal)'!$D$12:$AM$244,ROW()-12,FALSE)="","",HLOOKUP(F$13,'MP (nominal)'!$D$12:$AM$244,ROW()-12,FALSE))</f>
        <v>5165</v>
      </c>
      <c r="G161" s="281" t="str">
        <f>IF(HLOOKUP(G$13,'MP (nominal)'!$D$12:$AM$244,ROW()-12,FALSE)="","",HLOOKUP(G$13,'MP (nominal)'!$D$12:$AM$244,ROW()-12,FALSE))</f>
        <v/>
      </c>
      <c r="H161" s="27">
        <f>IF(HLOOKUP(H$13,'MP (nominal)'!$D$12:$AM$244,ROW()-12,FALSE)="","",HLOOKUP(H$13,'MP (nominal)'!$D$12:$AM$244,ROW()-12,FALSE))</f>
        <v>27089</v>
      </c>
      <c r="I161" s="31" t="str">
        <f>IF(HLOOKUP(I$13,'MP (nominal)'!$D$12:$AM$244,ROW()-12,FALSE)="","",HLOOKUP(I$13,'MP (nominal)'!$D$12:$AM$244,ROW()-12,FALSE))</f>
        <v/>
      </c>
      <c r="J161" s="31">
        <f>IF(HLOOKUP(J$13,'MP (nominal)'!$D$12:$AM$244,ROW()-12,FALSE)="","",HLOOKUP(J$13,'MP (nominal)'!$D$12:$AM$244,ROW()-12,FALSE))</f>
        <v>21925</v>
      </c>
      <c r="K161" s="281"/>
      <c r="L161" s="27">
        <f>IF(HLOOKUP(L$13,'MP (nominal)'!$D$12:$AM$244,ROW()-12,FALSE)="","",HLOOKUP(L$13,'MP (nominal)'!$D$12:$AM$244,ROW()-12,FALSE))</f>
        <v>753.03399999999999</v>
      </c>
      <c r="M161" s="293">
        <f>IF(HLOOKUP(M$13,'MP (nominal)'!$D$12:$AM$244,ROW()-12,FALSE)="","",HLOOKUP(M$13,'MP (nominal)'!$D$12:$AM$244,ROW()-12,FALSE))</f>
        <v>4106.4269999999997</v>
      </c>
      <c r="N161" s="35"/>
      <c r="O161" s="27">
        <f>IF(HLOOKUP(O$13,'MP (nominal)'!$D$12:$AM$244,ROW()-12,FALSE)="","",HLOOKUP(O$13,'MP (nominal)'!$D$12:$AM$244,ROW()-12,FALSE))</f>
        <v>306126</v>
      </c>
      <c r="P161" s="31"/>
      <c r="Q161" s="281"/>
      <c r="R161" s="281">
        <f>IF(HLOOKUP(R$13,'MP (nominal)'!$D$12:$AM$244,ROW()-12,FALSE)="","",HLOOKUP(R$13,'MP (nominal)'!$D$12:$AM$244,ROW()-12,FALSE))</f>
        <v>220.6</v>
      </c>
      <c r="S161" s="281" t="str">
        <f>IF(HLOOKUP(S$13,'MP (nominal)'!$D$12:$AM$244,ROW()-12,FALSE)="","",HLOOKUP(S$13,'MP (nominal)'!$D$12:$AM$244,ROW()-12,FALSE))</f>
        <v/>
      </c>
      <c r="T161" s="281" t="str">
        <f>IF(HLOOKUP(T$13,'MP (nominal)'!$D$12:$AM$244,ROW()-12,FALSE)="","",HLOOKUP(T$13,'MP (nominal)'!$D$12:$AM$244,ROW()-12,FALSE))</f>
        <v/>
      </c>
      <c r="U161" s="281"/>
      <c r="V161" s="281">
        <f>IF(HLOOKUP(V$13,'MP (nominal)'!$D$12:$AM$244,ROW()-12,FALSE)="","",HLOOKUP(V$13,'MP (nominal)'!$D$12:$AM$244,ROW()-12,FALSE))</f>
        <v>2.8</v>
      </c>
      <c r="W161" s="281" t="str">
        <f>IF(HLOOKUP(W$13,'MP (nominal)'!$D$12:$AM$244,ROW()-12,FALSE)="","",HLOOKUP(W$13,'MP (nominal)'!$D$12:$AM$244,ROW()-12,FALSE))</f>
        <v/>
      </c>
      <c r="X161" s="281" t="str">
        <f>IF(HLOOKUP(X$13,'MP (nominal)'!$D$12:$AM$244,ROW()-12,FALSE)="","",HLOOKUP(X$13,'MP (nominal)'!$D$12:$AM$244,ROW()-12,FALSE))</f>
        <v/>
      </c>
      <c r="Y161" s="281"/>
      <c r="Z161" s="281" t="str">
        <f>IF(HLOOKUP(Z$13,'MP (nominal)'!$D$12:$AM$244,ROW()-12,FALSE)="","",HLOOKUP(Z$13,'MP (nominal)'!$D$12:$AM$244,ROW()-12,FALSE)*VLOOKUP($C161,CPI!$B$9:$I$63,8))</f>
        <v/>
      </c>
      <c r="AA161" s="281" t="str">
        <f>IF(HLOOKUP(AA$13,'MP (nominal)'!$D$12:$AM$244,ROW()-12,FALSE)="","",HLOOKUP(AA$13,'MP (nominal)'!$D$12:$AM$244,ROW()-12,FALSE))</f>
        <v/>
      </c>
      <c r="AB161" s="281" t="str">
        <f>IF(HLOOKUP(AB$13,'MP (nominal)'!$D$12:$AM$244,ROW()-12,FALSE)="","",HLOOKUP(AB$13,'MP (nominal)'!$D$12:$AM$244,ROW()-12,FALSE))</f>
        <v/>
      </c>
      <c r="AC161" s="281"/>
      <c r="AD161" s="281" t="str">
        <f>IF(HLOOKUP(AD$13,'MP (nominal)'!$D$12:$AM$244,ROW()-12,FALSE)="","",HLOOKUP(AD$13,'MP (nominal)'!$D$12:$AM$244,ROW()-12,FALSE)*VLOOKUP($C161,CPI!$B$9:$I$63,8))</f>
        <v/>
      </c>
      <c r="AE161" s="31" t="str">
        <f>IF(HLOOKUP(AE$13,'MP (nominal)'!$D$12:$AM$244,ROW()-12,FALSE)="","",HLOOKUP(AE$13,'MP (nominal)'!$D$12:$AM$244,ROW()-12,FALSE))</f>
        <v/>
      </c>
      <c r="AF161" s="31" t="str">
        <f>IF(HLOOKUP(AF$13,'MP (nominal)'!$D$12:$AM$244,ROW()-12,FALSE)="","",HLOOKUP(AF$13,'MP (nominal)'!$D$12:$AM$244,ROW()-12,FALSE))</f>
        <v/>
      </c>
      <c r="AG161" s="281"/>
      <c r="AH161" s="281" t="str">
        <f>IF(HLOOKUP(AH$13,'MP (nominal)'!$D$12:$AM$244,ROW()-12,FALSE)="","",HLOOKUP(AH$13,'MP (nominal)'!$D$12:$AM$244,ROW()-12,FALSE)*VLOOKUP($C161,CPI!$B$9:$I$63,8))</f>
        <v/>
      </c>
      <c r="AI161" s="31" t="str">
        <f>IF(HLOOKUP(AI$13,'MP (nominal)'!$D$12:$AM$244,ROW()-12,FALSE)="","",HLOOKUP(AI$13,'MP (nominal)'!$D$12:$AM$244,ROW()-12,FALSE))</f>
        <v/>
      </c>
      <c r="AJ161" s="31" t="str">
        <f>IF(HLOOKUP(AJ$13,'MP (nominal)'!$D$12:$AM$244,ROW()-12,FALSE)="","",HLOOKUP(AJ$13,'MP (nominal)'!$D$12:$AM$244,ROW()-12,FALSE))</f>
        <v/>
      </c>
      <c r="AK161" s="281"/>
      <c r="AL161" s="281" t="str">
        <f>IF(HLOOKUP(AL$13,'MP (nominal)'!$D$12:$AM$244,ROW()-12,FALSE)="","",HLOOKUP(AL$13,'MP (nominal)'!$D$12:$AM$244,ROW()-12,FALSE)*VLOOKUP($C161,CPI!$B$9:$I$63,8))</f>
        <v/>
      </c>
      <c r="AM161" s="31" t="str">
        <f>IF(HLOOKUP(AM$13,'MP (nominal)'!$D$12:$AM$244,ROW()-12,FALSE)="","",HLOOKUP(AM$13,'MP (nominal)'!$D$12:$AM$244,ROW()-12,FALSE))</f>
        <v/>
      </c>
      <c r="AN161" s="31" t="str">
        <f>IF(HLOOKUP(AN$13,'MP (nominal)'!$D$12:$AM$244,ROW()-12,FALSE)="","",HLOOKUP(AN$13,'MP (nominal)'!$D$12:$AM$244,ROW()-12,FALSE))</f>
        <v/>
      </c>
      <c r="AO161" s="281"/>
      <c r="AP161" s="281" t="str">
        <f>IF(HLOOKUP(AP$13,'MP (nominal)'!$D$12:$AM$244,ROW()-12,FALSE)="","",HLOOKUP(AP$13,'MP (nominal)'!$D$12:$AM$244,ROW()-12,FALSE)*VLOOKUP($C161,CPI!$B$9:$I$63,8))</f>
        <v/>
      </c>
      <c r="AQ161" s="31" t="str">
        <f>IF(HLOOKUP(AQ$13,'MP (nominal)'!$D$12:$AM$244,ROW()-12,FALSE)="","",HLOOKUP(AQ$13,'MP (nominal)'!$D$12:$AM$244,ROW()-12,FALSE))</f>
        <v/>
      </c>
      <c r="AR161" s="281" t="str">
        <f>IF(HLOOKUP(AR$13,'MP (nominal)'!$D$12:$AM$244,ROW()-12,FALSE)="","",HLOOKUP(AR$13,'MP (nominal)'!$D$12:$AM$244,ROW()-12,FALSE))</f>
        <v/>
      </c>
    </row>
    <row r="162" spans="1:44" s="278" customFormat="1">
      <c r="A162" s="271">
        <f>References!G276</f>
        <v>419</v>
      </c>
      <c r="B162" s="292" t="s">
        <v>47</v>
      </c>
      <c r="C162" s="284">
        <v>2008</v>
      </c>
      <c r="D162" s="27">
        <f>IF(HLOOKUP(D$13,'MP (nominal)'!$D$12:$AM$244,ROW()-12,FALSE)="","",HLOOKUP(D$13,'MP (nominal)'!$D$12:$AM$244,ROW()-12,FALSE))</f>
        <v>22232.23</v>
      </c>
      <c r="E162" s="281">
        <f>IF(HLOOKUP(E$13,'MP (nominal)'!$D$12:$AM$244,ROW()-12,FALSE)="","",HLOOKUP(E$13,'MP (nominal)'!$D$12:$AM$244,ROW()-12,FALSE))</f>
        <v>1088.0402999999999</v>
      </c>
      <c r="F162" s="27">
        <f>IF(HLOOKUP(F$13,'MP (nominal)'!$D$12:$AM$244,ROW()-12,FALSE)="","",HLOOKUP(F$13,'MP (nominal)'!$D$12:$AM$244,ROW()-12,FALSE))</f>
        <v>5128.3258999999998</v>
      </c>
      <c r="G162" s="281">
        <f>IF(HLOOKUP(G$13,'MP (nominal)'!$D$12:$AM$244,ROW()-12,FALSE)="","",HLOOKUP(G$13,'MP (nominal)'!$D$12:$AM$244,ROW()-12,FALSE))</f>
        <v>1310.6461999999999</v>
      </c>
      <c r="H162" s="27">
        <f>IF(HLOOKUP(H$13,'MP (nominal)'!$D$12:$AM$244,ROW()-12,FALSE)="","",HLOOKUP(H$13,'MP (nominal)'!$D$12:$AM$244,ROW()-12,FALSE))</f>
        <v>27360.556</v>
      </c>
      <c r="I162" s="31">
        <f>IF(HLOOKUP(I$13,'MP (nominal)'!$D$12:$AM$244,ROW()-12,FALSE)="","",HLOOKUP(I$13,'MP (nominal)'!$D$12:$AM$244,ROW()-12,FALSE))</f>
        <v>2398.6864999999998</v>
      </c>
      <c r="J162" s="31">
        <f>IF(HLOOKUP(J$13,'MP (nominal)'!$D$12:$AM$244,ROW()-12,FALSE)="","",HLOOKUP(J$13,'MP (nominal)'!$D$12:$AM$244,ROW()-12,FALSE))</f>
        <v>22150.528999999999</v>
      </c>
      <c r="K162" s="281"/>
      <c r="L162" s="27">
        <f>IF(HLOOKUP(L$13,'MP (nominal)'!$D$12:$AM$244,ROW()-12,FALSE)="","",HLOOKUP(L$13,'MP (nominal)'!$D$12:$AM$244,ROW()-12,FALSE))</f>
        <v>776</v>
      </c>
      <c r="M162" s="283">
        <f>IF(HLOOKUP(M$13,'MP (nominal)'!$D$12:$AM$244,ROW()-12,FALSE)="","",HLOOKUP(M$13,'MP (nominal)'!$D$12:$AM$244,ROW()-12,FALSE))</f>
        <v>4430.0692339999996</v>
      </c>
      <c r="N162" s="35"/>
      <c r="O162" s="27">
        <f>IF(HLOOKUP(O$13,'MP (nominal)'!$D$12:$AM$244,ROW()-12,FALSE)="","",HLOOKUP(O$13,'MP (nominal)'!$D$12:$AM$244,ROW()-12,FALSE))</f>
        <v>305071</v>
      </c>
      <c r="P162" s="31"/>
      <c r="Q162" s="281"/>
      <c r="R162" s="281">
        <f>IF(HLOOKUP(R$13,'MP (nominal)'!$D$12:$AM$244,ROW()-12,FALSE)="","",HLOOKUP(R$13,'MP (nominal)'!$D$12:$AM$244,ROW()-12,FALSE))</f>
        <v>358.75736000000001</v>
      </c>
      <c r="S162" s="281">
        <f>IF(HLOOKUP(S$13,'MP (nominal)'!$D$12:$AM$244,ROW()-12,FALSE)="","",HLOOKUP(S$13,'MP (nominal)'!$D$12:$AM$244,ROW()-12,FALSE))</f>
        <v>36.032919</v>
      </c>
      <c r="T162" s="281">
        <f>IF(HLOOKUP(T$13,'MP (nominal)'!$D$12:$AM$244,ROW()-12,FALSE)="","",HLOOKUP(T$13,'MP (nominal)'!$D$12:$AM$244,ROW()-12,FALSE))</f>
        <v>292.62365999999997</v>
      </c>
      <c r="U162" s="281"/>
      <c r="V162" s="281">
        <f>IF(HLOOKUP(V$13,'MP (nominal)'!$D$12:$AM$244,ROW()-12,FALSE)="","",HLOOKUP(V$13,'MP (nominal)'!$D$12:$AM$244,ROW()-12,FALSE))</f>
        <v>2.9300350000000002</v>
      </c>
      <c r="W162" s="281">
        <f>IF(HLOOKUP(W$13,'MP (nominal)'!$D$12:$AM$244,ROW()-12,FALSE)="","",HLOOKUP(W$13,'MP (nominal)'!$D$12:$AM$244,ROW()-12,FALSE))</f>
        <v>0.19618190999999999</v>
      </c>
      <c r="X162" s="281">
        <f>IF(HLOOKUP(X$13,'MP (nominal)'!$D$12:$AM$244,ROW()-12,FALSE)="","",HLOOKUP(X$13,'MP (nominal)'!$D$12:$AM$244,ROW()-12,FALSE))</f>
        <v>2.2999999999999998</v>
      </c>
      <c r="Y162" s="281"/>
      <c r="Z162" s="281">
        <f>IF(HLOOKUP(Z$13,'MP (nominal)'!$D$12:$AM$244,ROW()-12,FALSE)="","",HLOOKUP(Z$13,'MP (nominal)'!$D$12:$AM$244,ROW()-12,FALSE)*VLOOKUP($C162,CPI!$B$9:$I$63,8))</f>
        <v>217063.95306378487</v>
      </c>
      <c r="AA162" s="281">
        <f>IF(HLOOKUP(AA$13,'MP (nominal)'!$D$12:$AM$244,ROW()-12,FALSE)="","",HLOOKUP(AA$13,'MP (nominal)'!$D$12:$AM$244,ROW()-12,FALSE))</f>
        <v>2402226.9</v>
      </c>
      <c r="AB162" s="281">
        <f>IF(HLOOKUP(AB$13,'MP (nominal)'!$D$12:$AM$244,ROW()-12,FALSE)="","",HLOOKUP(AB$13,'MP (nominal)'!$D$12:$AM$244,ROW()-12,FALSE))</f>
        <v>296767</v>
      </c>
      <c r="AC162" s="281"/>
      <c r="AD162" s="281">
        <f>IF(HLOOKUP(AD$13,'MP (nominal)'!$D$12:$AM$244,ROW()-12,FALSE)="","",HLOOKUP(AD$13,'MP (nominal)'!$D$12:$AM$244,ROW()-12,FALSE)*VLOOKUP($C162,CPI!$B$9:$I$63,8))</f>
        <v>14595.483667417524</v>
      </c>
      <c r="AE162" s="31">
        <f>IF(HLOOKUP(AE$13,'MP (nominal)'!$D$12:$AM$244,ROW()-12,FALSE)="","",HLOOKUP(AE$13,'MP (nominal)'!$D$12:$AM$244,ROW()-12,FALSE))</f>
        <v>370069.24</v>
      </c>
      <c r="AF162" s="31">
        <f>IF(HLOOKUP(AF$13,'MP (nominal)'!$D$12:$AM$244,ROW()-12,FALSE)="","",HLOOKUP(AF$13,'MP (nominal)'!$D$12:$AM$244,ROW()-12,FALSE))</f>
        <v>7281</v>
      </c>
      <c r="AG162" s="281"/>
      <c r="AH162" s="281">
        <f>IF(HLOOKUP(AH$13,'MP (nominal)'!$D$12:$AM$244,ROW()-12,FALSE)="","",HLOOKUP(AH$13,'MP (nominal)'!$D$12:$AM$244,ROW()-12,FALSE)*VLOOKUP($C162,CPI!$B$9:$I$63,8))</f>
        <v>44962.236240768725</v>
      </c>
      <c r="AI162" s="31">
        <f>IF(HLOOKUP(AI$13,'MP (nominal)'!$D$12:$AM$244,ROW()-12,FALSE)="","",HLOOKUP(AI$13,'MP (nominal)'!$D$12:$AM$244,ROW()-12,FALSE))</f>
        <v>1162891.6000000001</v>
      </c>
      <c r="AJ162" s="31">
        <f>IF(HLOOKUP(AJ$13,'MP (nominal)'!$D$12:$AM$244,ROW()-12,FALSE)="","",HLOOKUP(AJ$13,'MP (nominal)'!$D$12:$AM$244,ROW()-12,FALSE))</f>
        <v>1018</v>
      </c>
      <c r="AK162" s="281"/>
      <c r="AL162" s="281">
        <f>IF(HLOOKUP(AL$13,'MP (nominal)'!$D$12:$AM$244,ROW()-12,FALSE)="","",HLOOKUP(AL$13,'MP (nominal)'!$D$12:$AM$244,ROW()-12,FALSE)*VLOOKUP($C162,CPI!$B$9:$I$63,8))</f>
        <v>11103.565056599467</v>
      </c>
      <c r="AM162" s="31">
        <f>IF(HLOOKUP(AM$13,'MP (nominal)'!$D$12:$AM$244,ROW()-12,FALSE)="","",HLOOKUP(AM$13,'MP (nominal)'!$D$12:$AM$244,ROW()-12,FALSE))</f>
        <v>462078.6</v>
      </c>
      <c r="AN162" s="31">
        <f>IF(HLOOKUP(AN$13,'MP (nominal)'!$D$12:$AM$244,ROW()-12,FALSE)="","",HLOOKUP(AN$13,'MP (nominal)'!$D$12:$AM$244,ROW()-12,FALSE))</f>
        <v>5</v>
      </c>
      <c r="AO162" s="281"/>
      <c r="AP162" s="281">
        <f>IF(HLOOKUP(AP$13,'MP (nominal)'!$D$12:$AM$244,ROW()-12,FALSE)="","",HLOOKUP(AP$13,'MP (nominal)'!$D$12:$AM$244,ROW()-12,FALSE)*VLOOKUP($C162,CPI!$B$9:$I$63,8))</f>
        <v>287725.2380285706</v>
      </c>
      <c r="AQ162" s="31">
        <f>IF(HLOOKUP(AQ$13,'MP (nominal)'!$D$12:$AM$244,ROW()-12,FALSE)="","",HLOOKUP(AQ$13,'MP (nominal)'!$D$12:$AM$244,ROW()-12,FALSE))</f>
        <v>4397266.3</v>
      </c>
      <c r="AR162" s="281">
        <f>IF(HLOOKUP(AR$13,'MP (nominal)'!$D$12:$AM$244,ROW()-12,FALSE)="","",HLOOKUP(AR$13,'MP (nominal)'!$D$12:$AM$244,ROW()-12,FALSE))</f>
        <v>305071</v>
      </c>
    </row>
    <row r="163" spans="1:44" s="278" customFormat="1">
      <c r="A163" s="271">
        <f>References!H276</f>
        <v>420</v>
      </c>
      <c r="B163" s="292" t="s">
        <v>47</v>
      </c>
      <c r="C163" s="284">
        <v>2009</v>
      </c>
      <c r="D163" s="27">
        <f>IF(HLOOKUP(D$13,'MP (nominal)'!$D$12:$AM$244,ROW()-12,FALSE)="","",HLOOKUP(D$13,'MP (nominal)'!$D$12:$AM$244,ROW()-12,FALSE))</f>
        <v>23089</v>
      </c>
      <c r="E163" s="281">
        <f>IF(HLOOKUP(E$13,'MP (nominal)'!$D$12:$AM$244,ROW()-12,FALSE)="","",HLOOKUP(E$13,'MP (nominal)'!$D$12:$AM$244,ROW()-12,FALSE))</f>
        <v>1098</v>
      </c>
      <c r="F163" s="27">
        <f>IF(HLOOKUP(F$13,'MP (nominal)'!$D$12:$AM$244,ROW()-12,FALSE)="","",HLOOKUP(F$13,'MP (nominal)'!$D$12:$AM$244,ROW()-12,FALSE))</f>
        <v>6185</v>
      </c>
      <c r="G163" s="281">
        <f>IF(HLOOKUP(G$13,'MP (nominal)'!$D$12:$AM$244,ROW()-12,FALSE)="","",HLOOKUP(G$13,'MP (nominal)'!$D$12:$AM$244,ROW()-12,FALSE))</f>
        <v>1427</v>
      </c>
      <c r="H163" s="27">
        <f>IF(HLOOKUP(H$13,'MP (nominal)'!$D$12:$AM$244,ROW()-12,FALSE)="","",HLOOKUP(H$13,'MP (nominal)'!$D$12:$AM$244,ROW()-12,FALSE))</f>
        <v>29274</v>
      </c>
      <c r="I163" s="31">
        <f>IF(HLOOKUP(I$13,'MP (nominal)'!$D$12:$AM$244,ROW()-12,FALSE)="","",HLOOKUP(I$13,'MP (nominal)'!$D$12:$AM$244,ROW()-12,FALSE))</f>
        <v>2525</v>
      </c>
      <c r="J163" s="31">
        <f>IF(HLOOKUP(J$13,'MP (nominal)'!$D$12:$AM$244,ROW()-12,FALSE)="","",HLOOKUP(J$13,'MP (nominal)'!$D$12:$AM$244,ROW()-12,FALSE))</f>
        <v>23089</v>
      </c>
      <c r="K163" s="281"/>
      <c r="L163" s="27">
        <f>IF(HLOOKUP(L$13,'MP (nominal)'!$D$12:$AM$244,ROW()-12,FALSE)="","",HLOOKUP(L$13,'MP (nominal)'!$D$12:$AM$244,ROW()-12,FALSE))</f>
        <v>764</v>
      </c>
      <c r="M163" s="283">
        <f>IF(HLOOKUP(M$13,'MP (nominal)'!$D$12:$AM$244,ROW()-12,FALSE)="","",HLOOKUP(M$13,'MP (nominal)'!$D$12:$AM$244,ROW()-12,FALSE))</f>
        <v>4376.4629999999997</v>
      </c>
      <c r="N163" s="35"/>
      <c r="O163" s="27">
        <f>IF(HLOOKUP(O$13,'MP (nominal)'!$D$12:$AM$244,ROW()-12,FALSE)="","",HLOOKUP(O$13,'MP (nominal)'!$D$12:$AM$244,ROW()-12,FALSE))</f>
        <v>315379</v>
      </c>
      <c r="P163" s="31"/>
      <c r="Q163" s="281"/>
      <c r="R163" s="281">
        <f>IF(HLOOKUP(R$13,'MP (nominal)'!$D$12:$AM$244,ROW()-12,FALSE)="","",HLOOKUP(R$13,'MP (nominal)'!$D$12:$AM$244,ROW()-12,FALSE))</f>
        <v>320.08999999999997</v>
      </c>
      <c r="S163" s="281">
        <f>IF(HLOOKUP(S$13,'MP (nominal)'!$D$12:$AM$244,ROW()-12,FALSE)="","",HLOOKUP(S$13,'MP (nominal)'!$D$12:$AM$244,ROW()-12,FALSE))</f>
        <v>46.87</v>
      </c>
      <c r="T163" s="281">
        <f>IF(HLOOKUP(T$13,'MP (nominal)'!$D$12:$AM$244,ROW()-12,FALSE)="","",HLOOKUP(T$13,'MP (nominal)'!$D$12:$AM$244,ROW()-12,FALSE))</f>
        <v>243.82</v>
      </c>
      <c r="U163" s="281"/>
      <c r="V163" s="281">
        <f>IF(HLOOKUP(V$13,'MP (nominal)'!$D$12:$AM$244,ROW()-12,FALSE)="","",HLOOKUP(V$13,'MP (nominal)'!$D$12:$AM$244,ROW()-12,FALSE))</f>
        <v>2.75</v>
      </c>
      <c r="W163" s="281">
        <f>IF(HLOOKUP(W$13,'MP (nominal)'!$D$12:$AM$244,ROW()-12,FALSE)="","",HLOOKUP(W$13,'MP (nominal)'!$D$12:$AM$244,ROW()-12,FALSE))</f>
        <v>0.21</v>
      </c>
      <c r="X163" s="281">
        <f>IF(HLOOKUP(X$13,'MP (nominal)'!$D$12:$AM$244,ROW()-12,FALSE)="","",HLOOKUP(X$13,'MP (nominal)'!$D$12:$AM$244,ROW()-12,FALSE))</f>
        <v>2.5499999999999998</v>
      </c>
      <c r="Y163" s="281"/>
      <c r="Z163" s="281">
        <f>IF(HLOOKUP(Z$13,'MP (nominal)'!$D$12:$AM$244,ROW()-12,FALSE)="","",HLOOKUP(Z$13,'MP (nominal)'!$D$12:$AM$244,ROW()-12,FALSE)*VLOOKUP($C163,CPI!$B$9:$I$63,8))</f>
        <v>202303.87260621862</v>
      </c>
      <c r="AA163" s="281">
        <f>IF(HLOOKUP(AA$13,'MP (nominal)'!$D$12:$AM$244,ROW()-12,FALSE)="","",HLOOKUP(AA$13,'MP (nominal)'!$D$12:$AM$244,ROW()-12,FALSE))</f>
        <v>2400569</v>
      </c>
      <c r="AB163" s="281">
        <f>IF(HLOOKUP(AB$13,'MP (nominal)'!$D$12:$AM$244,ROW()-12,FALSE)="","",HLOOKUP(AB$13,'MP (nominal)'!$D$12:$AM$244,ROW()-12,FALSE))</f>
        <v>306584</v>
      </c>
      <c r="AC163" s="281"/>
      <c r="AD163" s="281">
        <f>IF(HLOOKUP(AD$13,'MP (nominal)'!$D$12:$AM$244,ROW()-12,FALSE)="","",HLOOKUP(AD$13,'MP (nominal)'!$D$12:$AM$244,ROW()-12,FALSE)*VLOOKUP($C163,CPI!$B$9:$I$63,8))</f>
        <v>25776.926625025731</v>
      </c>
      <c r="AE163" s="31">
        <f>IF(HLOOKUP(AE$13,'MP (nominal)'!$D$12:$AM$244,ROW()-12,FALSE)="","",HLOOKUP(AE$13,'MP (nominal)'!$D$12:$AM$244,ROW()-12,FALSE))</f>
        <v>358711</v>
      </c>
      <c r="AF163" s="31">
        <f>IF(HLOOKUP(AF$13,'MP (nominal)'!$D$12:$AM$244,ROW()-12,FALSE)="","",HLOOKUP(AF$13,'MP (nominal)'!$D$12:$AM$244,ROW()-12,FALSE))</f>
        <v>7813</v>
      </c>
      <c r="AG163" s="281"/>
      <c r="AH163" s="281">
        <f>IF(HLOOKUP(AH$13,'MP (nominal)'!$D$12:$AM$244,ROW()-12,FALSE)="","",HLOOKUP(AH$13,'MP (nominal)'!$D$12:$AM$244,ROW()-12,FALSE)*VLOOKUP($C163,CPI!$B$9:$I$63,8))</f>
        <v>49963.492346763662</v>
      </c>
      <c r="AI163" s="31">
        <f>IF(HLOOKUP(AI$13,'MP (nominal)'!$D$12:$AM$244,ROW()-12,FALSE)="","",HLOOKUP(AI$13,'MP (nominal)'!$D$12:$AM$244,ROW()-12,FALSE))</f>
        <v>1104612</v>
      </c>
      <c r="AJ163" s="31">
        <f>IF(HLOOKUP(AJ$13,'MP (nominal)'!$D$12:$AM$244,ROW()-12,FALSE)="","",HLOOKUP(AJ$13,'MP (nominal)'!$D$12:$AM$244,ROW()-12,FALSE))</f>
        <v>972</v>
      </c>
      <c r="AK163" s="281"/>
      <c r="AL163" s="281">
        <f>IF(HLOOKUP(AL$13,'MP (nominal)'!$D$12:$AM$244,ROW()-12,FALSE)="","",HLOOKUP(AL$13,'MP (nominal)'!$D$12:$AM$244,ROW()-12,FALSE)*VLOOKUP($C163,CPI!$B$9:$I$63,8))</f>
        <v>9936.6413617955895</v>
      </c>
      <c r="AM163" s="31">
        <f>IF(HLOOKUP(AM$13,'MP (nominal)'!$D$12:$AM$244,ROW()-12,FALSE)="","",HLOOKUP(AM$13,'MP (nominal)'!$D$12:$AM$244,ROW()-12,FALSE))</f>
        <v>512571</v>
      </c>
      <c r="AN163" s="31">
        <f>IF(HLOOKUP(AN$13,'MP (nominal)'!$D$12:$AM$244,ROW()-12,FALSE)="","",HLOOKUP(AN$13,'MP (nominal)'!$D$12:$AM$244,ROW()-12,FALSE))</f>
        <v>5</v>
      </c>
      <c r="AO163" s="281"/>
      <c r="AP163" s="281">
        <f>IF(HLOOKUP(AP$13,'MP (nominal)'!$D$12:$AM$244,ROW()-12,FALSE)="","",HLOOKUP(AP$13,'MP (nominal)'!$D$12:$AM$244,ROW()-12,FALSE)*VLOOKUP($C163,CPI!$B$9:$I$63,8))</f>
        <v>287980.93293980358</v>
      </c>
      <c r="AQ163" s="31">
        <f>IF(HLOOKUP(AQ$13,'MP (nominal)'!$D$12:$AM$244,ROW()-12,FALSE)="","",HLOOKUP(AQ$13,'MP (nominal)'!$D$12:$AM$244,ROW()-12,FALSE))</f>
        <v>4376463</v>
      </c>
      <c r="AR163" s="281">
        <f>IF(HLOOKUP(AR$13,'MP (nominal)'!$D$12:$AM$244,ROW()-12,FALSE)="","",HLOOKUP(AR$13,'MP (nominal)'!$D$12:$AM$244,ROW()-12,FALSE))</f>
        <v>315379</v>
      </c>
    </row>
    <row r="164" spans="1:44" s="278" customFormat="1">
      <c r="A164" s="271">
        <f>References!I276</f>
        <v>421</v>
      </c>
      <c r="B164" s="292" t="s">
        <v>162</v>
      </c>
      <c r="C164" s="284">
        <v>2010</v>
      </c>
      <c r="D164" s="27">
        <f>IF(HLOOKUP(D$13,'MP (nominal)'!$D$12:$AM$244,ROW()-12,FALSE)="","",HLOOKUP(D$13,'MP (nominal)'!$D$12:$AM$244,ROW()-12,FALSE))</f>
        <v>22615.423999999999</v>
      </c>
      <c r="E164" s="281">
        <f>IF(HLOOKUP(E$13,'MP (nominal)'!$D$12:$AM$244,ROW()-12,FALSE)="","",HLOOKUP(E$13,'MP (nominal)'!$D$12:$AM$244,ROW()-12,FALSE))</f>
        <v>1083.9808</v>
      </c>
      <c r="F164" s="27">
        <f>IF(HLOOKUP(F$13,'MP (nominal)'!$D$12:$AM$244,ROW()-12,FALSE)="","",HLOOKUP(F$13,'MP (nominal)'!$D$12:$AM$244,ROW()-12,FALSE))</f>
        <v>7420.0582999999997</v>
      </c>
      <c r="G164" s="281">
        <f>IF(HLOOKUP(G$13,'MP (nominal)'!$D$12:$AM$244,ROW()-12,FALSE)="","",HLOOKUP(G$13,'MP (nominal)'!$D$12:$AM$244,ROW()-12,FALSE))</f>
        <v>1482.8787</v>
      </c>
      <c r="H164" s="27">
        <f>IF(HLOOKUP(H$13,'MP (nominal)'!$D$12:$AM$244,ROW()-12,FALSE)="","",HLOOKUP(H$13,'MP (nominal)'!$D$12:$AM$244,ROW()-12,FALSE))</f>
        <v>30035.483</v>
      </c>
      <c r="I164" s="31">
        <f>IF(HLOOKUP(I$13,'MP (nominal)'!$D$12:$AM$244,ROW()-12,FALSE)="","",HLOOKUP(I$13,'MP (nominal)'!$D$12:$AM$244,ROW()-12,FALSE))</f>
        <v>2566.8593999999998</v>
      </c>
      <c r="J164" s="31">
        <f>IF(HLOOKUP(J$13,'MP (nominal)'!$D$12:$AM$244,ROW()-12,FALSE)="","",HLOOKUP(J$13,'MP (nominal)'!$D$12:$AM$244,ROW()-12,FALSE))</f>
        <v>22615.423999999999</v>
      </c>
      <c r="K164" s="281"/>
      <c r="L164" s="27">
        <f>IF(HLOOKUP(L$13,'MP (nominal)'!$D$12:$AM$244,ROW()-12,FALSE)="","",HLOOKUP(L$13,'MP (nominal)'!$D$12:$AM$244,ROW()-12,FALSE))</f>
        <v>812.86599999999999</v>
      </c>
      <c r="M164" s="283">
        <f>IF(HLOOKUP(M$13,'MP (nominal)'!$D$12:$AM$244,ROW()-12,FALSE)="","",HLOOKUP(M$13,'MP (nominal)'!$D$12:$AM$244,ROW()-12,FALSE))</f>
        <v>4294.6331</v>
      </c>
      <c r="N164" s="35"/>
      <c r="O164" s="27">
        <f>IF(HLOOKUP(O$13,'MP (nominal)'!$D$12:$AM$244,ROW()-12,FALSE)="","",HLOOKUP(O$13,'MP (nominal)'!$D$12:$AM$244,ROW()-12,FALSE))</f>
        <v>317489</v>
      </c>
      <c r="P164" s="31"/>
      <c r="Q164" s="281"/>
      <c r="R164" s="281">
        <f>IF(HLOOKUP(R$13,'MP (nominal)'!$D$12:$AM$244,ROW()-12,FALSE)="","",HLOOKUP(R$13,'MP (nominal)'!$D$12:$AM$244,ROW()-12,FALSE))</f>
        <v>253.2003</v>
      </c>
      <c r="S164" s="281">
        <f>IF(HLOOKUP(S$13,'MP (nominal)'!$D$12:$AM$244,ROW()-12,FALSE)="","",HLOOKUP(S$13,'MP (nominal)'!$D$12:$AM$244,ROW()-12,FALSE))</f>
        <v>41.792538</v>
      </c>
      <c r="T164" s="281">
        <f>IF(HLOOKUP(T$13,'MP (nominal)'!$D$12:$AM$244,ROW()-12,FALSE)="","",HLOOKUP(T$13,'MP (nominal)'!$D$12:$AM$244,ROW()-12,FALSE))</f>
        <v>184.29268999999999</v>
      </c>
      <c r="U164" s="281"/>
      <c r="V164" s="281">
        <f>IF(HLOOKUP(V$13,'MP (nominal)'!$D$12:$AM$244,ROW()-12,FALSE)="","",HLOOKUP(V$13,'MP (nominal)'!$D$12:$AM$244,ROW()-12,FALSE))</f>
        <v>2.6225664000000002</v>
      </c>
      <c r="W164" s="281">
        <f>IF(HLOOKUP(W$13,'MP (nominal)'!$D$12:$AM$244,ROW()-12,FALSE)="","",HLOOKUP(W$13,'MP (nominal)'!$D$12:$AM$244,ROW()-12,FALSE))</f>
        <v>0.2117376</v>
      </c>
      <c r="X164" s="281">
        <f>IF(HLOOKUP(X$13,'MP (nominal)'!$D$12:$AM$244,ROW()-12,FALSE)="","",HLOOKUP(X$13,'MP (nominal)'!$D$12:$AM$244,ROW()-12,FALSE))</f>
        <v>2.2671424</v>
      </c>
      <c r="Y164" s="281"/>
      <c r="Z164" s="281">
        <f>IF(HLOOKUP(Z$13,'MP (nominal)'!$D$12:$AM$244,ROW()-12,FALSE)="","",HLOOKUP(Z$13,'MP (nominal)'!$D$12:$AM$244,ROW()-12,FALSE)*VLOOKUP($C164,CPI!$B$9:$I$63,8))</f>
        <v>211521.43326776425</v>
      </c>
      <c r="AA164" s="281">
        <f>IF(HLOOKUP(AA$13,'MP (nominal)'!$D$12:$AM$244,ROW()-12,FALSE)="","",HLOOKUP(AA$13,'MP (nominal)'!$D$12:$AM$244,ROW()-12,FALSE))</f>
        <v>2381923.2000000002</v>
      </c>
      <c r="AB164" s="281">
        <f>IF(HLOOKUP(AB$13,'MP (nominal)'!$D$12:$AM$244,ROW()-12,FALSE)="","",HLOOKUP(AB$13,'MP (nominal)'!$D$12:$AM$244,ROW()-12,FALSE))</f>
        <v>308665</v>
      </c>
      <c r="AC164" s="281"/>
      <c r="AD164" s="281">
        <f>IF(HLOOKUP(AD$13,'MP (nominal)'!$D$12:$AM$244,ROW()-12,FALSE)="","",HLOOKUP(AD$13,'MP (nominal)'!$D$12:$AM$244,ROW()-12,FALSE)*VLOOKUP($C164,CPI!$B$9:$I$63,8))</f>
        <v>26231.954676511003</v>
      </c>
      <c r="AE164" s="31">
        <f>IF(HLOOKUP(AE$13,'MP (nominal)'!$D$12:$AM$244,ROW()-12,FALSE)="","",HLOOKUP(AE$13,'MP (nominal)'!$D$12:$AM$244,ROW()-12,FALSE))</f>
        <v>363922.13</v>
      </c>
      <c r="AF164" s="31">
        <f>IF(HLOOKUP(AF$13,'MP (nominal)'!$D$12:$AM$244,ROW()-12,FALSE)="","",HLOOKUP(AF$13,'MP (nominal)'!$D$12:$AM$244,ROW()-12,FALSE))</f>
        <v>7821</v>
      </c>
      <c r="AG164" s="281"/>
      <c r="AH164" s="281">
        <f>IF(HLOOKUP(AH$13,'MP (nominal)'!$D$12:$AM$244,ROW()-12,FALSE)="","",HLOOKUP(AH$13,'MP (nominal)'!$D$12:$AM$244,ROW()-12,FALSE)*VLOOKUP($C164,CPI!$B$9:$I$63,8))</f>
        <v>49858.747271698412</v>
      </c>
      <c r="AI164" s="31">
        <f>IF(HLOOKUP(AI$13,'MP (nominal)'!$D$12:$AM$244,ROW()-12,FALSE)="","",HLOOKUP(AI$13,'MP (nominal)'!$D$12:$AM$244,ROW()-12,FALSE))</f>
        <v>1082054.6000000001</v>
      </c>
      <c r="AJ164" s="31">
        <f>IF(HLOOKUP(AJ$13,'MP (nominal)'!$D$12:$AM$244,ROW()-12,FALSE)="","",HLOOKUP(AJ$13,'MP (nominal)'!$D$12:$AM$244,ROW()-12,FALSE))</f>
        <v>998</v>
      </c>
      <c r="AK164" s="281"/>
      <c r="AL164" s="281">
        <f>IF(HLOOKUP(AL$13,'MP (nominal)'!$D$12:$AM$244,ROW()-12,FALSE)="","",HLOOKUP(AL$13,'MP (nominal)'!$D$12:$AM$244,ROW()-12,FALSE)*VLOOKUP($C164,CPI!$B$9:$I$63,8))</f>
        <v>9751.273476866696</v>
      </c>
      <c r="AM164" s="31">
        <f>IF(HLOOKUP(AM$13,'MP (nominal)'!$D$12:$AM$244,ROW()-12,FALSE)="","",HLOOKUP(AM$13,'MP (nominal)'!$D$12:$AM$244,ROW()-12,FALSE))</f>
        <v>466733.16</v>
      </c>
      <c r="AN164" s="31">
        <f>IF(HLOOKUP(AN$13,'MP (nominal)'!$D$12:$AM$244,ROW()-12,FALSE)="","",HLOOKUP(AN$13,'MP (nominal)'!$D$12:$AM$244,ROW()-12,FALSE))</f>
        <v>5</v>
      </c>
      <c r="AO164" s="281"/>
      <c r="AP164" s="281">
        <f>IF(HLOOKUP(AP$13,'MP (nominal)'!$D$12:$AM$244,ROW()-12,FALSE)="","",HLOOKUP(AP$13,'MP (nominal)'!$D$12:$AM$244,ROW()-12,FALSE)*VLOOKUP($C164,CPI!$B$9:$I$63,8))</f>
        <v>297363.40869284037</v>
      </c>
      <c r="AQ164" s="31">
        <f>IF(HLOOKUP(AQ$13,'MP (nominal)'!$D$12:$AM$244,ROW()-12,FALSE)="","",HLOOKUP(AQ$13,'MP (nominal)'!$D$12:$AM$244,ROW()-12,FALSE))</f>
        <v>4294633.0999999996</v>
      </c>
      <c r="AR164" s="281">
        <f>IF(HLOOKUP(AR$13,'MP (nominal)'!$D$12:$AM$244,ROW()-12,FALSE)="","",HLOOKUP(AR$13,'MP (nominal)'!$D$12:$AM$244,ROW()-12,FALSE))</f>
        <v>317489</v>
      </c>
    </row>
    <row r="165" spans="1:44" s="278" customFormat="1">
      <c r="A165" s="271">
        <f>References!J276</f>
        <v>422</v>
      </c>
      <c r="B165" s="292" t="s">
        <v>162</v>
      </c>
      <c r="C165" s="284">
        <v>2011</v>
      </c>
      <c r="D165" s="27">
        <f>IF(HLOOKUP(D$13,'MP (nominal)'!$D$12:$AM$244,ROW()-12,FALSE)="","",HLOOKUP(D$13,'MP (nominal)'!$D$12:$AM$244,ROW()-12,FALSE))</f>
        <v>22322</v>
      </c>
      <c r="E165" s="281">
        <f>IF(HLOOKUP(E$13,'MP (nominal)'!$D$12:$AM$244,ROW()-12,FALSE)="","",HLOOKUP(E$13,'MP (nominal)'!$D$12:$AM$244,ROW()-12,FALSE))</f>
        <v>1081</v>
      </c>
      <c r="F165" s="27">
        <f>IF(HLOOKUP(F$13,'MP (nominal)'!$D$12:$AM$244,ROW()-12,FALSE)="","",HLOOKUP(F$13,'MP (nominal)'!$D$12:$AM$244,ROW()-12,FALSE))</f>
        <v>7598</v>
      </c>
      <c r="G165" s="281">
        <f>IF(HLOOKUP(G$13,'MP (nominal)'!$D$12:$AM$244,ROW()-12,FALSE)="","",HLOOKUP(G$13,'MP (nominal)'!$D$12:$AM$244,ROW()-12,FALSE))</f>
        <v>1509</v>
      </c>
      <c r="H165" s="27">
        <f>IF(HLOOKUP(H$13,'MP (nominal)'!$D$12:$AM$244,ROW()-12,FALSE)="","",HLOOKUP(H$13,'MP (nominal)'!$D$12:$AM$244,ROW()-12,FALSE))</f>
        <v>29920</v>
      </c>
      <c r="I165" s="31">
        <f>IF(HLOOKUP(I$13,'MP (nominal)'!$D$12:$AM$244,ROW()-12,FALSE)="","",HLOOKUP(I$13,'MP (nominal)'!$D$12:$AM$244,ROW()-12,FALSE))</f>
        <v>2590</v>
      </c>
      <c r="J165" s="31">
        <f>IF(HLOOKUP(J$13,'MP (nominal)'!$D$12:$AM$244,ROW()-12,FALSE)="","",HLOOKUP(J$13,'MP (nominal)'!$D$12:$AM$244,ROW()-12,FALSE))</f>
        <v>22322</v>
      </c>
      <c r="K165" s="281"/>
      <c r="L165" s="27">
        <f>IF(HLOOKUP(L$13,'MP (nominal)'!$D$12:$AM$244,ROW()-12,FALSE)="","",HLOOKUP(L$13,'MP (nominal)'!$D$12:$AM$244,ROW()-12,FALSE))</f>
        <v>801.05799999999999</v>
      </c>
      <c r="M165" s="283">
        <f>IF(HLOOKUP(M$13,'MP (nominal)'!$D$12:$AM$244,ROW()-12,FALSE)="","",HLOOKUP(M$13,'MP (nominal)'!$D$12:$AM$244,ROW()-12,FALSE))</f>
        <v>4303.8891000000003</v>
      </c>
      <c r="N165" s="35"/>
      <c r="O165" s="27">
        <f>IF(HLOOKUP(O$13,'MP (nominal)'!$D$12:$AM$244,ROW()-12,FALSE)="","",HLOOKUP(O$13,'MP (nominal)'!$D$12:$AM$244,ROW()-12,FALSE))</f>
        <v>319181</v>
      </c>
      <c r="P165" s="31"/>
      <c r="Q165" s="281"/>
      <c r="R165" s="281">
        <f>IF(HLOOKUP(R$13,'MP (nominal)'!$D$12:$AM$244,ROW()-12,FALSE)="","",HLOOKUP(R$13,'MP (nominal)'!$D$12:$AM$244,ROW()-12,FALSE))</f>
        <v>306.42</v>
      </c>
      <c r="S165" s="281">
        <f>IF(HLOOKUP(S$13,'MP (nominal)'!$D$12:$AM$244,ROW()-12,FALSE)="","",HLOOKUP(S$13,'MP (nominal)'!$D$12:$AM$244,ROW()-12,FALSE))</f>
        <v>56.29</v>
      </c>
      <c r="T165" s="281">
        <f>IF(HLOOKUP(T$13,'MP (nominal)'!$D$12:$AM$244,ROW()-12,FALSE)="","",HLOOKUP(T$13,'MP (nominal)'!$D$12:$AM$244,ROW()-12,FALSE))</f>
        <v>217.64</v>
      </c>
      <c r="U165" s="281"/>
      <c r="V165" s="281">
        <f>IF(HLOOKUP(V$13,'MP (nominal)'!$D$12:$AM$244,ROW()-12,FALSE)="","",HLOOKUP(V$13,'MP (nominal)'!$D$12:$AM$244,ROW()-12,FALSE))</f>
        <v>2.9496305999999999</v>
      </c>
      <c r="W165" s="281">
        <f>IF(HLOOKUP(W$13,'MP (nominal)'!$D$12:$AM$244,ROW()-12,FALSE)="","",HLOOKUP(W$13,'MP (nominal)'!$D$12:$AM$244,ROW()-12,FALSE))</f>
        <v>0.27</v>
      </c>
      <c r="X165" s="281">
        <f>IF(HLOOKUP(X$13,'MP (nominal)'!$D$12:$AM$244,ROW()-12,FALSE)="","",HLOOKUP(X$13,'MP (nominal)'!$D$12:$AM$244,ROW()-12,FALSE))</f>
        <v>2.35</v>
      </c>
      <c r="Y165" s="281"/>
      <c r="Z165" s="281">
        <f>IF(HLOOKUP(Z$13,'MP (nominal)'!$D$12:$AM$244,ROW()-12,FALSE)="","",HLOOKUP(Z$13,'MP (nominal)'!$D$12:$AM$244,ROW()-12,FALSE)*VLOOKUP($C165,CPI!$B$9:$I$63,8))</f>
        <v>224722</v>
      </c>
      <c r="AA165" s="281">
        <f>IF(HLOOKUP(AA$13,'MP (nominal)'!$D$12:$AM$244,ROW()-12,FALSE)="","",HLOOKUP(AA$13,'MP (nominal)'!$D$12:$AM$244,ROW()-12,FALSE))</f>
        <v>2555588</v>
      </c>
      <c r="AB165" s="281">
        <f>IF(HLOOKUP(AB$13,'MP (nominal)'!$D$12:$AM$244,ROW()-12,FALSE)="","",HLOOKUP(AB$13,'MP (nominal)'!$D$12:$AM$244,ROW()-12,FALSE))</f>
        <v>317593</v>
      </c>
      <c r="AC165" s="281"/>
      <c r="AD165" s="281">
        <f>IF(HLOOKUP(AD$13,'MP (nominal)'!$D$12:$AM$244,ROW()-12,FALSE)="","",HLOOKUP(AD$13,'MP (nominal)'!$D$12:$AM$244,ROW()-12,FALSE)*VLOOKUP($C165,CPI!$B$9:$I$63,8))</f>
        <v>9257</v>
      </c>
      <c r="AE165" s="31">
        <f>IF(HLOOKUP(AE$13,'MP (nominal)'!$D$12:$AM$244,ROW()-12,FALSE)="","",HLOOKUP(AE$13,'MP (nominal)'!$D$12:$AM$244,ROW()-12,FALSE))</f>
        <v>138693</v>
      </c>
      <c r="AF165" s="31">
        <f>IF(HLOOKUP(AF$13,'MP (nominal)'!$D$12:$AM$244,ROW()-12,FALSE)="","",HLOOKUP(AF$13,'MP (nominal)'!$D$12:$AM$244,ROW()-12,FALSE))</f>
        <v>607</v>
      </c>
      <c r="AG165" s="281"/>
      <c r="AH165" s="281">
        <f>IF(HLOOKUP(AH$13,'MP (nominal)'!$D$12:$AM$244,ROW()-12,FALSE)="","",HLOOKUP(AH$13,'MP (nominal)'!$D$12:$AM$244,ROW()-12,FALSE)*VLOOKUP($C165,CPI!$B$9:$I$63,8))</f>
        <v>49571.741000000002</v>
      </c>
      <c r="AI165" s="31">
        <f>IF(HLOOKUP(AI$13,'MP (nominal)'!$D$12:$AM$244,ROW()-12,FALSE)="","",HLOOKUP(AI$13,'MP (nominal)'!$D$12:$AM$244,ROW()-12,FALSE))</f>
        <v>1083865.6000000001</v>
      </c>
      <c r="AJ165" s="31">
        <f>IF(HLOOKUP(AJ$13,'MP (nominal)'!$D$12:$AM$244,ROW()-12,FALSE)="","",HLOOKUP(AJ$13,'MP (nominal)'!$D$12:$AM$244,ROW()-12,FALSE))</f>
        <v>976</v>
      </c>
      <c r="AK165" s="281"/>
      <c r="AL165" s="281">
        <f>IF(HLOOKUP(AL$13,'MP (nominal)'!$D$12:$AM$244,ROW()-12,FALSE)="","",HLOOKUP(AL$13,'MP (nominal)'!$D$12:$AM$244,ROW()-12,FALSE)*VLOOKUP($C165,CPI!$B$9:$I$63,8))</f>
        <v>9009.6955999999991</v>
      </c>
      <c r="AM165" s="31">
        <f>IF(HLOOKUP(AM$13,'MP (nominal)'!$D$12:$AM$244,ROW()-12,FALSE)="","",HLOOKUP(AM$13,'MP (nominal)'!$D$12:$AM$244,ROW()-12,FALSE))</f>
        <v>525742.75</v>
      </c>
      <c r="AN165" s="31">
        <f>IF(HLOOKUP(AN$13,'MP (nominal)'!$D$12:$AM$244,ROW()-12,FALSE)="","",HLOOKUP(AN$13,'MP (nominal)'!$D$12:$AM$244,ROW()-12,FALSE))</f>
        <v>5</v>
      </c>
      <c r="AO165" s="281"/>
      <c r="AP165" s="281">
        <f>IF(HLOOKUP(AP$13,'MP (nominal)'!$D$12:$AM$244,ROW()-12,FALSE)="","",HLOOKUP(AP$13,'MP (nominal)'!$D$12:$AM$244,ROW()-12,FALSE)*VLOOKUP($C165,CPI!$B$9:$I$63,8))</f>
        <v>292560.95</v>
      </c>
      <c r="AQ165" s="31">
        <f>IF(HLOOKUP(AQ$13,'MP (nominal)'!$D$12:$AM$244,ROW()-12,FALSE)="","",HLOOKUP(AQ$13,'MP (nominal)'!$D$12:$AM$244,ROW()-12,FALSE))</f>
        <v>4303889.0999999996</v>
      </c>
      <c r="AR165" s="281">
        <f>IF(HLOOKUP(AR$13,'MP (nominal)'!$D$12:$AM$244,ROW()-12,FALSE)="","",HLOOKUP(AR$13,'MP (nominal)'!$D$12:$AM$244,ROW()-12,FALSE))</f>
        <v>319181</v>
      </c>
    </row>
    <row r="166" spans="1:44" s="278" customFormat="1" hidden="1">
      <c r="A166" s="271">
        <f>References!C277</f>
        <v>438</v>
      </c>
      <c r="B166" s="292" t="s">
        <v>48</v>
      </c>
      <c r="C166" s="284">
        <v>2004</v>
      </c>
      <c r="D166" s="27" t="str">
        <f>IF(HLOOKUP(D$13,'MP (nominal)'!$D$12:$AM$244,ROW()-12,FALSE)="","",HLOOKUP(D$13,'MP (nominal)'!$D$12:$AM$244,ROW()-12,FALSE))</f>
        <v/>
      </c>
      <c r="E166" s="281" t="str">
        <f>IF(HLOOKUP(E$13,'MP (nominal)'!$D$12:$AM$244,ROW()-12,FALSE)="","",HLOOKUP(E$13,'MP (nominal)'!$D$12:$AM$244,ROW()-12,FALSE))</f>
        <v/>
      </c>
      <c r="F166" s="27">
        <f>IF(HLOOKUP(F$13,'MP (nominal)'!$D$12:$AM$244,ROW()-12,FALSE)="","",HLOOKUP(F$13,'MP (nominal)'!$D$12:$AM$244,ROW()-12,FALSE))</f>
        <v>47</v>
      </c>
      <c r="G166" s="281" t="str">
        <f>IF(HLOOKUP(G$13,'MP (nominal)'!$D$12:$AM$244,ROW()-12,FALSE)="","",HLOOKUP(G$13,'MP (nominal)'!$D$12:$AM$244,ROW()-12,FALSE))</f>
        <v/>
      </c>
      <c r="H166" s="27">
        <f>IF(HLOOKUP(H$13,'MP (nominal)'!$D$12:$AM$244,ROW()-12,FALSE)="","",HLOOKUP(H$13,'MP (nominal)'!$D$12:$AM$244,ROW()-12,FALSE))</f>
        <v>861</v>
      </c>
      <c r="I166" s="31" t="str">
        <f>IF(HLOOKUP(I$13,'MP (nominal)'!$D$12:$AM$244,ROW()-12,FALSE)="","",HLOOKUP(I$13,'MP (nominal)'!$D$12:$AM$244,ROW()-12,FALSE))</f>
        <v/>
      </c>
      <c r="J166" s="31">
        <f>IF(HLOOKUP(J$13,'MP (nominal)'!$D$12:$AM$244,ROW()-12,FALSE)="","",HLOOKUP(J$13,'MP (nominal)'!$D$12:$AM$244,ROW()-12,FALSE))</f>
        <v>814</v>
      </c>
      <c r="K166" s="281"/>
      <c r="L166" s="27">
        <f>IF(HLOOKUP(L$13,'MP (nominal)'!$D$12:$AM$244,ROW()-12,FALSE)="","",HLOOKUP(L$13,'MP (nominal)'!$D$12:$AM$244,ROW()-12,FALSE))</f>
        <v>15.226000000000001</v>
      </c>
      <c r="M166" s="293">
        <f>IF(HLOOKUP(M$13,'MP (nominal)'!$D$12:$AM$244,ROW()-12,FALSE)="","",HLOOKUP(M$13,'MP (nominal)'!$D$12:$AM$244,ROW()-12,FALSE))</f>
        <v>86.686126000000002</v>
      </c>
      <c r="N166" s="35"/>
      <c r="O166" s="27">
        <f>IF(HLOOKUP(O$13,'MP (nominal)'!$D$12:$AM$244,ROW()-12,FALSE)="","",HLOOKUP(O$13,'MP (nominal)'!$D$12:$AM$244,ROW()-12,FALSE))</f>
        <v>6719</v>
      </c>
      <c r="P166" s="31"/>
      <c r="Q166" s="281"/>
      <c r="R166" s="281">
        <f>IF(HLOOKUP(R$13,'MP (nominal)'!$D$12:$AM$244,ROW()-12,FALSE)="","",HLOOKUP(R$13,'MP (nominal)'!$D$12:$AM$244,ROW()-12,FALSE))</f>
        <v>185.2</v>
      </c>
      <c r="S166" s="281" t="str">
        <f>IF(HLOOKUP(S$13,'MP (nominal)'!$D$12:$AM$244,ROW()-12,FALSE)="","",HLOOKUP(S$13,'MP (nominal)'!$D$12:$AM$244,ROW()-12,FALSE))</f>
        <v/>
      </c>
      <c r="T166" s="281" t="str">
        <f>IF(HLOOKUP(T$13,'MP (nominal)'!$D$12:$AM$244,ROW()-12,FALSE)="","",HLOOKUP(T$13,'MP (nominal)'!$D$12:$AM$244,ROW()-12,FALSE))</f>
        <v/>
      </c>
      <c r="U166" s="281"/>
      <c r="V166" s="281">
        <f>IF(HLOOKUP(V$13,'MP (nominal)'!$D$12:$AM$244,ROW()-12,FALSE)="","",HLOOKUP(V$13,'MP (nominal)'!$D$12:$AM$244,ROW()-12,FALSE))</f>
        <v>1.67</v>
      </c>
      <c r="W166" s="281" t="str">
        <f>IF(HLOOKUP(W$13,'MP (nominal)'!$D$12:$AM$244,ROW()-12,FALSE)="","",HLOOKUP(W$13,'MP (nominal)'!$D$12:$AM$244,ROW()-12,FALSE))</f>
        <v/>
      </c>
      <c r="X166" s="281" t="str">
        <f>IF(HLOOKUP(X$13,'MP (nominal)'!$D$12:$AM$244,ROW()-12,FALSE)="","",HLOOKUP(X$13,'MP (nominal)'!$D$12:$AM$244,ROW()-12,FALSE))</f>
        <v/>
      </c>
      <c r="Y166" s="281"/>
      <c r="Z166" s="281" t="str">
        <f>IF(HLOOKUP(Z$13,'MP (nominal)'!$D$12:$AM$244,ROW()-12,FALSE)="","",HLOOKUP(Z$13,'MP (nominal)'!$D$12:$AM$244,ROW()-12,FALSE)*VLOOKUP($C166,CPI!$B$9:$I$63,8))</f>
        <v/>
      </c>
      <c r="AA166" s="281" t="str">
        <f>IF(HLOOKUP(AA$13,'MP (nominal)'!$D$12:$AM$244,ROW()-12,FALSE)="","",HLOOKUP(AA$13,'MP (nominal)'!$D$12:$AM$244,ROW()-12,FALSE))</f>
        <v/>
      </c>
      <c r="AB166" s="281" t="str">
        <f>IF(HLOOKUP(AB$13,'MP (nominal)'!$D$12:$AM$244,ROW()-12,FALSE)="","",HLOOKUP(AB$13,'MP (nominal)'!$D$12:$AM$244,ROW()-12,FALSE))</f>
        <v/>
      </c>
      <c r="AC166" s="281"/>
      <c r="AD166" s="281" t="str">
        <f>IF(HLOOKUP(AD$13,'MP (nominal)'!$D$12:$AM$244,ROW()-12,FALSE)="","",HLOOKUP(AD$13,'MP (nominal)'!$D$12:$AM$244,ROW()-12,FALSE)*VLOOKUP($C166,CPI!$B$9:$I$63,8))</f>
        <v/>
      </c>
      <c r="AE166" s="31" t="str">
        <f>IF(HLOOKUP(AE$13,'MP (nominal)'!$D$12:$AM$244,ROW()-12,FALSE)="","",HLOOKUP(AE$13,'MP (nominal)'!$D$12:$AM$244,ROW()-12,FALSE))</f>
        <v/>
      </c>
      <c r="AF166" s="31" t="str">
        <f>IF(HLOOKUP(AF$13,'MP (nominal)'!$D$12:$AM$244,ROW()-12,FALSE)="","",HLOOKUP(AF$13,'MP (nominal)'!$D$12:$AM$244,ROW()-12,FALSE))</f>
        <v/>
      </c>
      <c r="AG166" s="281"/>
      <c r="AH166" s="281" t="str">
        <f>IF(HLOOKUP(AH$13,'MP (nominal)'!$D$12:$AM$244,ROW()-12,FALSE)="","",HLOOKUP(AH$13,'MP (nominal)'!$D$12:$AM$244,ROW()-12,FALSE)*VLOOKUP($C166,CPI!$B$9:$I$63,8))</f>
        <v/>
      </c>
      <c r="AI166" s="31" t="str">
        <f>IF(HLOOKUP(AI$13,'MP (nominal)'!$D$12:$AM$244,ROW()-12,FALSE)="","",HLOOKUP(AI$13,'MP (nominal)'!$D$12:$AM$244,ROW()-12,FALSE))</f>
        <v/>
      </c>
      <c r="AJ166" s="31" t="str">
        <f>IF(HLOOKUP(AJ$13,'MP (nominal)'!$D$12:$AM$244,ROW()-12,FALSE)="","",HLOOKUP(AJ$13,'MP (nominal)'!$D$12:$AM$244,ROW()-12,FALSE))</f>
        <v/>
      </c>
      <c r="AK166" s="281"/>
      <c r="AL166" s="281" t="str">
        <f>IF(HLOOKUP(AL$13,'MP (nominal)'!$D$12:$AM$244,ROW()-12,FALSE)="","",HLOOKUP(AL$13,'MP (nominal)'!$D$12:$AM$244,ROW()-12,FALSE)*VLOOKUP($C166,CPI!$B$9:$I$63,8))</f>
        <v/>
      </c>
      <c r="AM166" s="31" t="str">
        <f>IF(HLOOKUP(AM$13,'MP (nominal)'!$D$12:$AM$244,ROW()-12,FALSE)="","",HLOOKUP(AM$13,'MP (nominal)'!$D$12:$AM$244,ROW()-12,FALSE))</f>
        <v/>
      </c>
      <c r="AN166" s="31" t="str">
        <f>IF(HLOOKUP(AN$13,'MP (nominal)'!$D$12:$AM$244,ROW()-12,FALSE)="","",HLOOKUP(AN$13,'MP (nominal)'!$D$12:$AM$244,ROW()-12,FALSE))</f>
        <v/>
      </c>
      <c r="AO166" s="281"/>
      <c r="AP166" s="281" t="str">
        <f>IF(HLOOKUP(AP$13,'MP (nominal)'!$D$12:$AM$244,ROW()-12,FALSE)="","",HLOOKUP(AP$13,'MP (nominal)'!$D$12:$AM$244,ROW()-12,FALSE)*VLOOKUP($C166,CPI!$B$9:$I$63,8))</f>
        <v/>
      </c>
      <c r="AQ166" s="31" t="str">
        <f>IF(HLOOKUP(AQ$13,'MP (nominal)'!$D$12:$AM$244,ROW()-12,FALSE)="","",HLOOKUP(AQ$13,'MP (nominal)'!$D$12:$AM$244,ROW()-12,FALSE))</f>
        <v/>
      </c>
      <c r="AR166" s="281" t="str">
        <f>IF(HLOOKUP(AR$13,'MP (nominal)'!$D$12:$AM$244,ROW()-12,FALSE)="","",HLOOKUP(AR$13,'MP (nominal)'!$D$12:$AM$244,ROW()-12,FALSE))</f>
        <v/>
      </c>
    </row>
    <row r="167" spans="1:44" s="278" customFormat="1" hidden="1">
      <c r="A167" s="271">
        <f>References!D277</f>
        <v>439</v>
      </c>
      <c r="B167" s="292" t="s">
        <v>48</v>
      </c>
      <c r="C167" s="284">
        <v>2005</v>
      </c>
      <c r="D167" s="27" t="str">
        <f>IF(HLOOKUP(D$13,'MP (nominal)'!$D$12:$AM$244,ROW()-12,FALSE)="","",HLOOKUP(D$13,'MP (nominal)'!$D$12:$AM$244,ROW()-12,FALSE))</f>
        <v/>
      </c>
      <c r="E167" s="281" t="str">
        <f>IF(HLOOKUP(E$13,'MP (nominal)'!$D$12:$AM$244,ROW()-12,FALSE)="","",HLOOKUP(E$13,'MP (nominal)'!$D$12:$AM$244,ROW()-12,FALSE))</f>
        <v/>
      </c>
      <c r="F167" s="27">
        <f>IF(HLOOKUP(F$13,'MP (nominal)'!$D$12:$AM$244,ROW()-12,FALSE)="","",HLOOKUP(F$13,'MP (nominal)'!$D$12:$AM$244,ROW()-12,FALSE))</f>
        <v>50</v>
      </c>
      <c r="G167" s="281" t="str">
        <f>IF(HLOOKUP(G$13,'MP (nominal)'!$D$12:$AM$244,ROW()-12,FALSE)="","",HLOOKUP(G$13,'MP (nominal)'!$D$12:$AM$244,ROW()-12,FALSE))</f>
        <v/>
      </c>
      <c r="H167" s="27">
        <f>IF(HLOOKUP(H$13,'MP (nominal)'!$D$12:$AM$244,ROW()-12,FALSE)="","",HLOOKUP(H$13,'MP (nominal)'!$D$12:$AM$244,ROW()-12,FALSE))</f>
        <v>861</v>
      </c>
      <c r="I167" s="31" t="str">
        <f>IF(HLOOKUP(I$13,'MP (nominal)'!$D$12:$AM$244,ROW()-12,FALSE)="","",HLOOKUP(I$13,'MP (nominal)'!$D$12:$AM$244,ROW()-12,FALSE))</f>
        <v/>
      </c>
      <c r="J167" s="31">
        <f>IF(HLOOKUP(J$13,'MP (nominal)'!$D$12:$AM$244,ROW()-12,FALSE)="","",HLOOKUP(J$13,'MP (nominal)'!$D$12:$AM$244,ROW()-12,FALSE))</f>
        <v>811</v>
      </c>
      <c r="K167" s="281"/>
      <c r="L167" s="27">
        <f>IF(HLOOKUP(L$13,'MP (nominal)'!$D$12:$AM$244,ROW()-12,FALSE)="","",HLOOKUP(L$13,'MP (nominal)'!$D$12:$AM$244,ROW()-12,FALSE))</f>
        <v>16.47</v>
      </c>
      <c r="M167" s="293">
        <f>IF(HLOOKUP(M$13,'MP (nominal)'!$D$12:$AM$244,ROW()-12,FALSE)="","",HLOOKUP(M$13,'MP (nominal)'!$D$12:$AM$244,ROW()-12,FALSE))</f>
        <v>91.319985000000003</v>
      </c>
      <c r="N167" s="35"/>
      <c r="O167" s="27">
        <f>IF(HLOOKUP(O$13,'MP (nominal)'!$D$12:$AM$244,ROW()-12,FALSE)="","",HLOOKUP(O$13,'MP (nominal)'!$D$12:$AM$244,ROW()-12,FALSE))</f>
        <v>6753</v>
      </c>
      <c r="P167" s="31"/>
      <c r="Q167" s="281"/>
      <c r="R167" s="281">
        <f>IF(HLOOKUP(R$13,'MP (nominal)'!$D$12:$AM$244,ROW()-12,FALSE)="","",HLOOKUP(R$13,'MP (nominal)'!$D$12:$AM$244,ROW()-12,FALSE))</f>
        <v>71.31</v>
      </c>
      <c r="S167" s="281" t="str">
        <f>IF(HLOOKUP(S$13,'MP (nominal)'!$D$12:$AM$244,ROW()-12,FALSE)="","",HLOOKUP(S$13,'MP (nominal)'!$D$12:$AM$244,ROW()-12,FALSE))</f>
        <v/>
      </c>
      <c r="T167" s="281" t="str">
        <f>IF(HLOOKUP(T$13,'MP (nominal)'!$D$12:$AM$244,ROW()-12,FALSE)="","",HLOOKUP(T$13,'MP (nominal)'!$D$12:$AM$244,ROW()-12,FALSE))</f>
        <v/>
      </c>
      <c r="U167" s="281"/>
      <c r="V167" s="281">
        <f>IF(HLOOKUP(V$13,'MP (nominal)'!$D$12:$AM$244,ROW()-12,FALSE)="","",HLOOKUP(V$13,'MP (nominal)'!$D$12:$AM$244,ROW()-12,FALSE))</f>
        <v>0.83</v>
      </c>
      <c r="W167" s="281" t="str">
        <f>IF(HLOOKUP(W$13,'MP (nominal)'!$D$12:$AM$244,ROW()-12,FALSE)="","",HLOOKUP(W$13,'MP (nominal)'!$D$12:$AM$244,ROW()-12,FALSE))</f>
        <v/>
      </c>
      <c r="X167" s="281" t="str">
        <f>IF(HLOOKUP(X$13,'MP (nominal)'!$D$12:$AM$244,ROW()-12,FALSE)="","",HLOOKUP(X$13,'MP (nominal)'!$D$12:$AM$244,ROW()-12,FALSE))</f>
        <v/>
      </c>
      <c r="Y167" s="281"/>
      <c r="Z167" s="281" t="str">
        <f>IF(HLOOKUP(Z$13,'MP (nominal)'!$D$12:$AM$244,ROW()-12,FALSE)="","",HLOOKUP(Z$13,'MP (nominal)'!$D$12:$AM$244,ROW()-12,FALSE)*VLOOKUP($C167,CPI!$B$9:$I$63,8))</f>
        <v/>
      </c>
      <c r="AA167" s="281" t="str">
        <f>IF(HLOOKUP(AA$13,'MP (nominal)'!$D$12:$AM$244,ROW()-12,FALSE)="","",HLOOKUP(AA$13,'MP (nominal)'!$D$12:$AM$244,ROW()-12,FALSE))</f>
        <v/>
      </c>
      <c r="AB167" s="281" t="str">
        <f>IF(HLOOKUP(AB$13,'MP (nominal)'!$D$12:$AM$244,ROW()-12,FALSE)="","",HLOOKUP(AB$13,'MP (nominal)'!$D$12:$AM$244,ROW()-12,FALSE))</f>
        <v/>
      </c>
      <c r="AC167" s="281"/>
      <c r="AD167" s="281" t="str">
        <f>IF(HLOOKUP(AD$13,'MP (nominal)'!$D$12:$AM$244,ROW()-12,FALSE)="","",HLOOKUP(AD$13,'MP (nominal)'!$D$12:$AM$244,ROW()-12,FALSE)*VLOOKUP($C167,CPI!$B$9:$I$63,8))</f>
        <v/>
      </c>
      <c r="AE167" s="31" t="str">
        <f>IF(HLOOKUP(AE$13,'MP (nominal)'!$D$12:$AM$244,ROW()-12,FALSE)="","",HLOOKUP(AE$13,'MP (nominal)'!$D$12:$AM$244,ROW()-12,FALSE))</f>
        <v/>
      </c>
      <c r="AF167" s="31" t="str">
        <f>IF(HLOOKUP(AF$13,'MP (nominal)'!$D$12:$AM$244,ROW()-12,FALSE)="","",HLOOKUP(AF$13,'MP (nominal)'!$D$12:$AM$244,ROW()-12,FALSE))</f>
        <v/>
      </c>
      <c r="AG167" s="281"/>
      <c r="AH167" s="281" t="str">
        <f>IF(HLOOKUP(AH$13,'MP (nominal)'!$D$12:$AM$244,ROW()-12,FALSE)="","",HLOOKUP(AH$13,'MP (nominal)'!$D$12:$AM$244,ROW()-12,FALSE)*VLOOKUP($C167,CPI!$B$9:$I$63,8))</f>
        <v/>
      </c>
      <c r="AI167" s="31" t="str">
        <f>IF(HLOOKUP(AI$13,'MP (nominal)'!$D$12:$AM$244,ROW()-12,FALSE)="","",HLOOKUP(AI$13,'MP (nominal)'!$D$12:$AM$244,ROW()-12,FALSE))</f>
        <v/>
      </c>
      <c r="AJ167" s="31" t="str">
        <f>IF(HLOOKUP(AJ$13,'MP (nominal)'!$D$12:$AM$244,ROW()-12,FALSE)="","",HLOOKUP(AJ$13,'MP (nominal)'!$D$12:$AM$244,ROW()-12,FALSE))</f>
        <v/>
      </c>
      <c r="AK167" s="281"/>
      <c r="AL167" s="281" t="str">
        <f>IF(HLOOKUP(AL$13,'MP (nominal)'!$D$12:$AM$244,ROW()-12,FALSE)="","",HLOOKUP(AL$13,'MP (nominal)'!$D$12:$AM$244,ROW()-12,FALSE)*VLOOKUP($C167,CPI!$B$9:$I$63,8))</f>
        <v/>
      </c>
      <c r="AM167" s="31" t="str">
        <f>IF(HLOOKUP(AM$13,'MP (nominal)'!$D$12:$AM$244,ROW()-12,FALSE)="","",HLOOKUP(AM$13,'MP (nominal)'!$D$12:$AM$244,ROW()-12,FALSE))</f>
        <v/>
      </c>
      <c r="AN167" s="31" t="str">
        <f>IF(HLOOKUP(AN$13,'MP (nominal)'!$D$12:$AM$244,ROW()-12,FALSE)="","",HLOOKUP(AN$13,'MP (nominal)'!$D$12:$AM$244,ROW()-12,FALSE))</f>
        <v/>
      </c>
      <c r="AO167" s="281"/>
      <c r="AP167" s="281" t="str">
        <f>IF(HLOOKUP(AP$13,'MP (nominal)'!$D$12:$AM$244,ROW()-12,FALSE)="","",HLOOKUP(AP$13,'MP (nominal)'!$D$12:$AM$244,ROW()-12,FALSE)*VLOOKUP($C167,CPI!$B$9:$I$63,8))</f>
        <v/>
      </c>
      <c r="AQ167" s="31" t="str">
        <f>IF(HLOOKUP(AQ$13,'MP (nominal)'!$D$12:$AM$244,ROW()-12,FALSE)="","",HLOOKUP(AQ$13,'MP (nominal)'!$D$12:$AM$244,ROW()-12,FALSE))</f>
        <v/>
      </c>
      <c r="AR167" s="281" t="str">
        <f>IF(HLOOKUP(AR$13,'MP (nominal)'!$D$12:$AM$244,ROW()-12,FALSE)="","",HLOOKUP(AR$13,'MP (nominal)'!$D$12:$AM$244,ROW()-12,FALSE))</f>
        <v/>
      </c>
    </row>
    <row r="168" spans="1:44" s="278" customFormat="1" hidden="1">
      <c r="A168" s="271">
        <f>References!E277</f>
        <v>440</v>
      </c>
      <c r="B168" s="292" t="s">
        <v>48</v>
      </c>
      <c r="C168" s="284">
        <v>2006</v>
      </c>
      <c r="D168" s="27" t="str">
        <f>IF(HLOOKUP(D$13,'MP (nominal)'!$D$12:$AM$244,ROW()-12,FALSE)="","",HLOOKUP(D$13,'MP (nominal)'!$D$12:$AM$244,ROW()-12,FALSE))</f>
        <v/>
      </c>
      <c r="E168" s="281" t="str">
        <f>IF(HLOOKUP(E$13,'MP (nominal)'!$D$12:$AM$244,ROW()-12,FALSE)="","",HLOOKUP(E$13,'MP (nominal)'!$D$12:$AM$244,ROW()-12,FALSE))</f>
        <v/>
      </c>
      <c r="F168" s="27">
        <f>IF(HLOOKUP(F$13,'MP (nominal)'!$D$12:$AM$244,ROW()-12,FALSE)="","",HLOOKUP(F$13,'MP (nominal)'!$D$12:$AM$244,ROW()-12,FALSE))</f>
        <v>52</v>
      </c>
      <c r="G168" s="281" t="str">
        <f>IF(HLOOKUP(G$13,'MP (nominal)'!$D$12:$AM$244,ROW()-12,FALSE)="","",HLOOKUP(G$13,'MP (nominal)'!$D$12:$AM$244,ROW()-12,FALSE))</f>
        <v/>
      </c>
      <c r="H168" s="27">
        <f>IF(HLOOKUP(H$13,'MP (nominal)'!$D$12:$AM$244,ROW()-12,FALSE)="","",HLOOKUP(H$13,'MP (nominal)'!$D$12:$AM$244,ROW()-12,FALSE))</f>
        <v>865</v>
      </c>
      <c r="I168" s="31" t="str">
        <f>IF(HLOOKUP(I$13,'MP (nominal)'!$D$12:$AM$244,ROW()-12,FALSE)="","",HLOOKUP(I$13,'MP (nominal)'!$D$12:$AM$244,ROW()-12,FALSE))</f>
        <v/>
      </c>
      <c r="J168" s="31">
        <f>IF(HLOOKUP(J$13,'MP (nominal)'!$D$12:$AM$244,ROW()-12,FALSE)="","",HLOOKUP(J$13,'MP (nominal)'!$D$12:$AM$244,ROW()-12,FALSE))</f>
        <v>813</v>
      </c>
      <c r="K168" s="281"/>
      <c r="L168" s="27">
        <f>IF(HLOOKUP(L$13,'MP (nominal)'!$D$12:$AM$244,ROW()-12,FALSE)="","",HLOOKUP(L$13,'MP (nominal)'!$D$12:$AM$244,ROW()-12,FALSE))</f>
        <v>16.352</v>
      </c>
      <c r="M168" s="293">
        <f>IF(HLOOKUP(M$13,'MP (nominal)'!$D$12:$AM$244,ROW()-12,FALSE)="","",HLOOKUP(M$13,'MP (nominal)'!$D$12:$AM$244,ROW()-12,FALSE))</f>
        <v>89.875765999999999</v>
      </c>
      <c r="N168" s="35"/>
      <c r="O168" s="27">
        <f>IF(HLOOKUP(O$13,'MP (nominal)'!$D$12:$AM$244,ROW()-12,FALSE)="","",HLOOKUP(O$13,'MP (nominal)'!$D$12:$AM$244,ROW()-12,FALSE))</f>
        <v>6694</v>
      </c>
      <c r="P168" s="31"/>
      <c r="Q168" s="281"/>
      <c r="R168" s="281">
        <f>IF(HLOOKUP(R$13,'MP (nominal)'!$D$12:$AM$244,ROW()-12,FALSE)="","",HLOOKUP(R$13,'MP (nominal)'!$D$12:$AM$244,ROW()-12,FALSE))</f>
        <v>68.59</v>
      </c>
      <c r="S168" s="281" t="str">
        <f>IF(HLOOKUP(S$13,'MP (nominal)'!$D$12:$AM$244,ROW()-12,FALSE)="","",HLOOKUP(S$13,'MP (nominal)'!$D$12:$AM$244,ROW()-12,FALSE))</f>
        <v/>
      </c>
      <c r="T168" s="281" t="str">
        <f>IF(HLOOKUP(T$13,'MP (nominal)'!$D$12:$AM$244,ROW()-12,FALSE)="","",HLOOKUP(T$13,'MP (nominal)'!$D$12:$AM$244,ROW()-12,FALSE))</f>
        <v/>
      </c>
      <c r="U168" s="281"/>
      <c r="V168" s="281">
        <f>IF(HLOOKUP(V$13,'MP (nominal)'!$D$12:$AM$244,ROW()-12,FALSE)="","",HLOOKUP(V$13,'MP (nominal)'!$D$12:$AM$244,ROW()-12,FALSE))</f>
        <v>0.98</v>
      </c>
      <c r="W168" s="281" t="str">
        <f>IF(HLOOKUP(W$13,'MP (nominal)'!$D$12:$AM$244,ROW()-12,FALSE)="","",HLOOKUP(W$13,'MP (nominal)'!$D$12:$AM$244,ROW()-12,FALSE))</f>
        <v/>
      </c>
      <c r="X168" s="281" t="str">
        <f>IF(HLOOKUP(X$13,'MP (nominal)'!$D$12:$AM$244,ROW()-12,FALSE)="","",HLOOKUP(X$13,'MP (nominal)'!$D$12:$AM$244,ROW()-12,FALSE))</f>
        <v/>
      </c>
      <c r="Y168" s="281"/>
      <c r="Z168" s="281" t="str">
        <f>IF(HLOOKUP(Z$13,'MP (nominal)'!$D$12:$AM$244,ROW()-12,FALSE)="","",HLOOKUP(Z$13,'MP (nominal)'!$D$12:$AM$244,ROW()-12,FALSE)*VLOOKUP($C168,CPI!$B$9:$I$63,8))</f>
        <v/>
      </c>
      <c r="AA168" s="281" t="str">
        <f>IF(HLOOKUP(AA$13,'MP (nominal)'!$D$12:$AM$244,ROW()-12,FALSE)="","",HLOOKUP(AA$13,'MP (nominal)'!$D$12:$AM$244,ROW()-12,FALSE))</f>
        <v/>
      </c>
      <c r="AB168" s="281" t="str">
        <f>IF(HLOOKUP(AB$13,'MP (nominal)'!$D$12:$AM$244,ROW()-12,FALSE)="","",HLOOKUP(AB$13,'MP (nominal)'!$D$12:$AM$244,ROW()-12,FALSE))</f>
        <v/>
      </c>
      <c r="AC168" s="281"/>
      <c r="AD168" s="281" t="str">
        <f>IF(HLOOKUP(AD$13,'MP (nominal)'!$D$12:$AM$244,ROW()-12,FALSE)="","",HLOOKUP(AD$13,'MP (nominal)'!$D$12:$AM$244,ROW()-12,FALSE)*VLOOKUP($C168,CPI!$B$9:$I$63,8))</f>
        <v/>
      </c>
      <c r="AE168" s="31" t="str">
        <f>IF(HLOOKUP(AE$13,'MP (nominal)'!$D$12:$AM$244,ROW()-12,FALSE)="","",HLOOKUP(AE$13,'MP (nominal)'!$D$12:$AM$244,ROW()-12,FALSE))</f>
        <v/>
      </c>
      <c r="AF168" s="31" t="str">
        <f>IF(HLOOKUP(AF$13,'MP (nominal)'!$D$12:$AM$244,ROW()-12,FALSE)="","",HLOOKUP(AF$13,'MP (nominal)'!$D$12:$AM$244,ROW()-12,FALSE))</f>
        <v/>
      </c>
      <c r="AG168" s="281"/>
      <c r="AH168" s="281" t="str">
        <f>IF(HLOOKUP(AH$13,'MP (nominal)'!$D$12:$AM$244,ROW()-12,FALSE)="","",HLOOKUP(AH$13,'MP (nominal)'!$D$12:$AM$244,ROW()-12,FALSE)*VLOOKUP($C168,CPI!$B$9:$I$63,8))</f>
        <v/>
      </c>
      <c r="AI168" s="31" t="str">
        <f>IF(HLOOKUP(AI$13,'MP (nominal)'!$D$12:$AM$244,ROW()-12,FALSE)="","",HLOOKUP(AI$13,'MP (nominal)'!$D$12:$AM$244,ROW()-12,FALSE))</f>
        <v/>
      </c>
      <c r="AJ168" s="31" t="str">
        <f>IF(HLOOKUP(AJ$13,'MP (nominal)'!$D$12:$AM$244,ROW()-12,FALSE)="","",HLOOKUP(AJ$13,'MP (nominal)'!$D$12:$AM$244,ROW()-12,FALSE))</f>
        <v/>
      </c>
      <c r="AK168" s="281"/>
      <c r="AL168" s="281" t="str">
        <f>IF(HLOOKUP(AL$13,'MP (nominal)'!$D$12:$AM$244,ROW()-12,FALSE)="","",HLOOKUP(AL$13,'MP (nominal)'!$D$12:$AM$244,ROW()-12,FALSE)*VLOOKUP($C168,CPI!$B$9:$I$63,8))</f>
        <v/>
      </c>
      <c r="AM168" s="31" t="str">
        <f>IF(HLOOKUP(AM$13,'MP (nominal)'!$D$12:$AM$244,ROW()-12,FALSE)="","",HLOOKUP(AM$13,'MP (nominal)'!$D$12:$AM$244,ROW()-12,FALSE))</f>
        <v/>
      </c>
      <c r="AN168" s="31" t="str">
        <f>IF(HLOOKUP(AN$13,'MP (nominal)'!$D$12:$AM$244,ROW()-12,FALSE)="","",HLOOKUP(AN$13,'MP (nominal)'!$D$12:$AM$244,ROW()-12,FALSE))</f>
        <v/>
      </c>
      <c r="AO168" s="281"/>
      <c r="AP168" s="281" t="str">
        <f>IF(HLOOKUP(AP$13,'MP (nominal)'!$D$12:$AM$244,ROW()-12,FALSE)="","",HLOOKUP(AP$13,'MP (nominal)'!$D$12:$AM$244,ROW()-12,FALSE)*VLOOKUP($C168,CPI!$B$9:$I$63,8))</f>
        <v/>
      </c>
      <c r="AQ168" s="31" t="str">
        <f>IF(HLOOKUP(AQ$13,'MP (nominal)'!$D$12:$AM$244,ROW()-12,FALSE)="","",HLOOKUP(AQ$13,'MP (nominal)'!$D$12:$AM$244,ROW()-12,FALSE))</f>
        <v/>
      </c>
      <c r="AR168" s="281" t="str">
        <f>IF(HLOOKUP(AR$13,'MP (nominal)'!$D$12:$AM$244,ROW()-12,FALSE)="","",HLOOKUP(AR$13,'MP (nominal)'!$D$12:$AM$244,ROW()-12,FALSE))</f>
        <v/>
      </c>
    </row>
    <row r="169" spans="1:44" s="278" customFormat="1" hidden="1">
      <c r="A169" s="271">
        <f>References!F277</f>
        <v>441</v>
      </c>
      <c r="B169" s="292" t="s">
        <v>48</v>
      </c>
      <c r="C169" s="284">
        <v>2007</v>
      </c>
      <c r="D169" s="27" t="str">
        <f>IF(HLOOKUP(D$13,'MP (nominal)'!$D$12:$AM$244,ROW()-12,FALSE)="","",HLOOKUP(D$13,'MP (nominal)'!$D$12:$AM$244,ROW()-12,FALSE))</f>
        <v/>
      </c>
      <c r="E169" s="281" t="str">
        <f>IF(HLOOKUP(E$13,'MP (nominal)'!$D$12:$AM$244,ROW()-12,FALSE)="","",HLOOKUP(E$13,'MP (nominal)'!$D$12:$AM$244,ROW()-12,FALSE))</f>
        <v/>
      </c>
      <c r="F169" s="27">
        <f>IF(HLOOKUP(F$13,'MP (nominal)'!$D$12:$AM$244,ROW()-12,FALSE)="","",HLOOKUP(F$13,'MP (nominal)'!$D$12:$AM$244,ROW()-12,FALSE))</f>
        <v>56</v>
      </c>
      <c r="G169" s="281" t="str">
        <f>IF(HLOOKUP(G$13,'MP (nominal)'!$D$12:$AM$244,ROW()-12,FALSE)="","",HLOOKUP(G$13,'MP (nominal)'!$D$12:$AM$244,ROW()-12,FALSE))</f>
        <v/>
      </c>
      <c r="H169" s="27">
        <f>IF(HLOOKUP(H$13,'MP (nominal)'!$D$12:$AM$244,ROW()-12,FALSE)="","",HLOOKUP(H$13,'MP (nominal)'!$D$12:$AM$244,ROW()-12,FALSE))</f>
        <v>871</v>
      </c>
      <c r="I169" s="31" t="str">
        <f>IF(HLOOKUP(I$13,'MP (nominal)'!$D$12:$AM$244,ROW()-12,FALSE)="","",HLOOKUP(I$13,'MP (nominal)'!$D$12:$AM$244,ROW()-12,FALSE))</f>
        <v/>
      </c>
      <c r="J169" s="31">
        <f>IF(HLOOKUP(J$13,'MP (nominal)'!$D$12:$AM$244,ROW()-12,FALSE)="","",HLOOKUP(J$13,'MP (nominal)'!$D$12:$AM$244,ROW()-12,FALSE))</f>
        <v>815</v>
      </c>
      <c r="K169" s="281"/>
      <c r="L169" s="27">
        <f>IF(HLOOKUP(L$13,'MP (nominal)'!$D$12:$AM$244,ROW()-12,FALSE)="","",HLOOKUP(L$13,'MP (nominal)'!$D$12:$AM$244,ROW()-12,FALSE))</f>
        <v>17.608000000000001</v>
      </c>
      <c r="M169" s="293">
        <f>IF(HLOOKUP(M$13,'MP (nominal)'!$D$12:$AM$244,ROW()-12,FALSE)="","",HLOOKUP(M$13,'MP (nominal)'!$D$12:$AM$244,ROW()-12,FALSE))</f>
        <v>90.556528</v>
      </c>
      <c r="N169" s="35"/>
      <c r="O169" s="27">
        <f>IF(HLOOKUP(O$13,'MP (nominal)'!$D$12:$AM$244,ROW()-12,FALSE)="","",HLOOKUP(O$13,'MP (nominal)'!$D$12:$AM$244,ROW()-12,FALSE))</f>
        <v>6686</v>
      </c>
      <c r="P169" s="31"/>
      <c r="Q169" s="281"/>
      <c r="R169" s="281">
        <f>IF(HLOOKUP(R$13,'MP (nominal)'!$D$12:$AM$244,ROW()-12,FALSE)="","",HLOOKUP(R$13,'MP (nominal)'!$D$12:$AM$244,ROW()-12,FALSE))</f>
        <v>46.67</v>
      </c>
      <c r="S169" s="281" t="str">
        <f>IF(HLOOKUP(S$13,'MP (nominal)'!$D$12:$AM$244,ROW()-12,FALSE)="","",HLOOKUP(S$13,'MP (nominal)'!$D$12:$AM$244,ROW()-12,FALSE))</f>
        <v/>
      </c>
      <c r="T169" s="281" t="str">
        <f>IF(HLOOKUP(T$13,'MP (nominal)'!$D$12:$AM$244,ROW()-12,FALSE)="","",HLOOKUP(T$13,'MP (nominal)'!$D$12:$AM$244,ROW()-12,FALSE))</f>
        <v/>
      </c>
      <c r="U169" s="281"/>
      <c r="V169" s="281">
        <f>IF(HLOOKUP(V$13,'MP (nominal)'!$D$12:$AM$244,ROW()-12,FALSE)="","",HLOOKUP(V$13,'MP (nominal)'!$D$12:$AM$244,ROW()-12,FALSE))</f>
        <v>0.84</v>
      </c>
      <c r="W169" s="281" t="str">
        <f>IF(HLOOKUP(W$13,'MP (nominal)'!$D$12:$AM$244,ROW()-12,FALSE)="","",HLOOKUP(W$13,'MP (nominal)'!$D$12:$AM$244,ROW()-12,FALSE))</f>
        <v/>
      </c>
      <c r="X169" s="281" t="str">
        <f>IF(HLOOKUP(X$13,'MP (nominal)'!$D$12:$AM$244,ROW()-12,FALSE)="","",HLOOKUP(X$13,'MP (nominal)'!$D$12:$AM$244,ROW()-12,FALSE))</f>
        <v/>
      </c>
      <c r="Y169" s="281"/>
      <c r="Z169" s="281" t="str">
        <f>IF(HLOOKUP(Z$13,'MP (nominal)'!$D$12:$AM$244,ROW()-12,FALSE)="","",HLOOKUP(Z$13,'MP (nominal)'!$D$12:$AM$244,ROW()-12,FALSE)*VLOOKUP($C169,CPI!$B$9:$I$63,8))</f>
        <v/>
      </c>
      <c r="AA169" s="281" t="str">
        <f>IF(HLOOKUP(AA$13,'MP (nominal)'!$D$12:$AM$244,ROW()-12,FALSE)="","",HLOOKUP(AA$13,'MP (nominal)'!$D$12:$AM$244,ROW()-12,FALSE))</f>
        <v/>
      </c>
      <c r="AB169" s="281" t="str">
        <f>IF(HLOOKUP(AB$13,'MP (nominal)'!$D$12:$AM$244,ROW()-12,FALSE)="","",HLOOKUP(AB$13,'MP (nominal)'!$D$12:$AM$244,ROW()-12,FALSE))</f>
        <v/>
      </c>
      <c r="AC169" s="281"/>
      <c r="AD169" s="281" t="str">
        <f>IF(HLOOKUP(AD$13,'MP (nominal)'!$D$12:$AM$244,ROW()-12,FALSE)="","",HLOOKUP(AD$13,'MP (nominal)'!$D$12:$AM$244,ROW()-12,FALSE)*VLOOKUP($C169,CPI!$B$9:$I$63,8))</f>
        <v/>
      </c>
      <c r="AE169" s="31" t="str">
        <f>IF(HLOOKUP(AE$13,'MP (nominal)'!$D$12:$AM$244,ROW()-12,FALSE)="","",HLOOKUP(AE$13,'MP (nominal)'!$D$12:$AM$244,ROW()-12,FALSE))</f>
        <v/>
      </c>
      <c r="AF169" s="31" t="str">
        <f>IF(HLOOKUP(AF$13,'MP (nominal)'!$D$12:$AM$244,ROW()-12,FALSE)="","",HLOOKUP(AF$13,'MP (nominal)'!$D$12:$AM$244,ROW()-12,FALSE))</f>
        <v/>
      </c>
      <c r="AG169" s="281"/>
      <c r="AH169" s="281" t="str">
        <f>IF(HLOOKUP(AH$13,'MP (nominal)'!$D$12:$AM$244,ROW()-12,FALSE)="","",HLOOKUP(AH$13,'MP (nominal)'!$D$12:$AM$244,ROW()-12,FALSE)*VLOOKUP($C169,CPI!$B$9:$I$63,8))</f>
        <v/>
      </c>
      <c r="AI169" s="31" t="str">
        <f>IF(HLOOKUP(AI$13,'MP (nominal)'!$D$12:$AM$244,ROW()-12,FALSE)="","",HLOOKUP(AI$13,'MP (nominal)'!$D$12:$AM$244,ROW()-12,FALSE))</f>
        <v/>
      </c>
      <c r="AJ169" s="31" t="str">
        <f>IF(HLOOKUP(AJ$13,'MP (nominal)'!$D$12:$AM$244,ROW()-12,FALSE)="","",HLOOKUP(AJ$13,'MP (nominal)'!$D$12:$AM$244,ROW()-12,FALSE))</f>
        <v/>
      </c>
      <c r="AK169" s="281"/>
      <c r="AL169" s="281" t="str">
        <f>IF(HLOOKUP(AL$13,'MP (nominal)'!$D$12:$AM$244,ROW()-12,FALSE)="","",HLOOKUP(AL$13,'MP (nominal)'!$D$12:$AM$244,ROW()-12,FALSE)*VLOOKUP($C169,CPI!$B$9:$I$63,8))</f>
        <v/>
      </c>
      <c r="AM169" s="31" t="str">
        <f>IF(HLOOKUP(AM$13,'MP (nominal)'!$D$12:$AM$244,ROW()-12,FALSE)="","",HLOOKUP(AM$13,'MP (nominal)'!$D$12:$AM$244,ROW()-12,FALSE))</f>
        <v/>
      </c>
      <c r="AN169" s="31" t="str">
        <f>IF(HLOOKUP(AN$13,'MP (nominal)'!$D$12:$AM$244,ROW()-12,FALSE)="","",HLOOKUP(AN$13,'MP (nominal)'!$D$12:$AM$244,ROW()-12,FALSE))</f>
        <v/>
      </c>
      <c r="AO169" s="281"/>
      <c r="AP169" s="281" t="str">
        <f>IF(HLOOKUP(AP$13,'MP (nominal)'!$D$12:$AM$244,ROW()-12,FALSE)="","",HLOOKUP(AP$13,'MP (nominal)'!$D$12:$AM$244,ROW()-12,FALSE)*VLOOKUP($C169,CPI!$B$9:$I$63,8))</f>
        <v/>
      </c>
      <c r="AQ169" s="31" t="str">
        <f>IF(HLOOKUP(AQ$13,'MP (nominal)'!$D$12:$AM$244,ROW()-12,FALSE)="","",HLOOKUP(AQ$13,'MP (nominal)'!$D$12:$AM$244,ROW()-12,FALSE))</f>
        <v/>
      </c>
      <c r="AR169" s="281" t="str">
        <f>IF(HLOOKUP(AR$13,'MP (nominal)'!$D$12:$AM$244,ROW()-12,FALSE)="","",HLOOKUP(AR$13,'MP (nominal)'!$D$12:$AM$244,ROW()-12,FALSE))</f>
        <v/>
      </c>
    </row>
    <row r="170" spans="1:44" s="278" customFormat="1">
      <c r="A170" s="271">
        <f>References!G277</f>
        <v>442</v>
      </c>
      <c r="B170" s="292" t="s">
        <v>48</v>
      </c>
      <c r="C170" s="284">
        <v>2008</v>
      </c>
      <c r="D170" s="27">
        <f>IF(HLOOKUP(D$13,'MP (nominal)'!$D$12:$AM$244,ROW()-12,FALSE)="","",HLOOKUP(D$13,'MP (nominal)'!$D$12:$AM$244,ROW()-12,FALSE))</f>
        <v>825.67</v>
      </c>
      <c r="E170" s="281">
        <f>IF(HLOOKUP(E$13,'MP (nominal)'!$D$12:$AM$244,ROW()-12,FALSE)="","",HLOOKUP(E$13,'MP (nominal)'!$D$12:$AM$244,ROW()-12,FALSE))</f>
        <v>0</v>
      </c>
      <c r="F170" s="27">
        <f>IF(HLOOKUP(F$13,'MP (nominal)'!$D$12:$AM$244,ROW()-12,FALSE)="","",HLOOKUP(F$13,'MP (nominal)'!$D$12:$AM$244,ROW()-12,FALSE))</f>
        <v>57.56</v>
      </c>
      <c r="G170" s="281">
        <f>IF(HLOOKUP(G$13,'MP (nominal)'!$D$12:$AM$244,ROW()-12,FALSE)="","",HLOOKUP(G$13,'MP (nominal)'!$D$12:$AM$244,ROW()-12,FALSE))</f>
        <v>0</v>
      </c>
      <c r="H170" s="27">
        <f>IF(HLOOKUP(H$13,'MP (nominal)'!$D$12:$AM$244,ROW()-12,FALSE)="","",HLOOKUP(H$13,'MP (nominal)'!$D$12:$AM$244,ROW()-12,FALSE))</f>
        <v>883.23</v>
      </c>
      <c r="I170" s="31">
        <f>IF(HLOOKUP(I$13,'MP (nominal)'!$D$12:$AM$244,ROW()-12,FALSE)="","",HLOOKUP(I$13,'MP (nominal)'!$D$12:$AM$244,ROW()-12,FALSE))</f>
        <v>0</v>
      </c>
      <c r="J170" s="31">
        <f>IF(HLOOKUP(J$13,'MP (nominal)'!$D$12:$AM$244,ROW()-12,FALSE)="","",HLOOKUP(J$13,'MP (nominal)'!$D$12:$AM$244,ROW()-12,FALSE))</f>
        <v>825.67</v>
      </c>
      <c r="K170" s="281"/>
      <c r="L170" s="27">
        <f>IF(HLOOKUP(L$13,'MP (nominal)'!$D$12:$AM$244,ROW()-12,FALSE)="","",HLOOKUP(L$13,'MP (nominal)'!$D$12:$AM$244,ROW()-12,FALSE))</f>
        <v>17.350000000000001</v>
      </c>
      <c r="M170" s="283">
        <f>IF(HLOOKUP(M$13,'MP (nominal)'!$D$12:$AM$244,ROW()-12,FALSE)="","",HLOOKUP(M$13,'MP (nominal)'!$D$12:$AM$244,ROW()-12,FALSE))</f>
        <v>89.83</v>
      </c>
      <c r="N170" s="35"/>
      <c r="O170" s="27">
        <f>IF(HLOOKUP(O$13,'MP (nominal)'!$D$12:$AM$244,ROW()-12,FALSE)="","",HLOOKUP(O$13,'MP (nominal)'!$D$12:$AM$244,ROW()-12,FALSE))</f>
        <v>6734</v>
      </c>
      <c r="P170" s="31"/>
      <c r="Q170" s="281"/>
      <c r="R170" s="281">
        <f>IF(HLOOKUP(R$13,'MP (nominal)'!$D$12:$AM$244,ROW()-12,FALSE)="","",HLOOKUP(R$13,'MP (nominal)'!$D$12:$AM$244,ROW()-12,FALSE))</f>
        <v>58.31</v>
      </c>
      <c r="S170" s="281">
        <f>IF(HLOOKUP(S$13,'MP (nominal)'!$D$12:$AM$244,ROW()-12,FALSE)="","",HLOOKUP(S$13,'MP (nominal)'!$D$12:$AM$244,ROW()-12,FALSE))</f>
        <v>14.13</v>
      </c>
      <c r="T170" s="281">
        <f>IF(HLOOKUP(T$13,'MP (nominal)'!$D$12:$AM$244,ROW()-12,FALSE)="","",HLOOKUP(T$13,'MP (nominal)'!$D$12:$AM$244,ROW()-12,FALSE))</f>
        <v>44.18</v>
      </c>
      <c r="U170" s="281"/>
      <c r="V170" s="281">
        <f>IF(HLOOKUP(V$13,'MP (nominal)'!$D$12:$AM$244,ROW()-12,FALSE)="","",HLOOKUP(V$13,'MP (nominal)'!$D$12:$AM$244,ROW()-12,FALSE))</f>
        <v>1.29</v>
      </c>
      <c r="W170" s="281">
        <f>IF(HLOOKUP(W$13,'MP (nominal)'!$D$12:$AM$244,ROW()-12,FALSE)="","",HLOOKUP(W$13,'MP (nominal)'!$D$12:$AM$244,ROW()-12,FALSE))</f>
        <v>0.13</v>
      </c>
      <c r="X170" s="281">
        <f>IF(HLOOKUP(X$13,'MP (nominal)'!$D$12:$AM$244,ROW()-12,FALSE)="","",HLOOKUP(X$13,'MP (nominal)'!$D$12:$AM$244,ROW()-12,FALSE))</f>
        <v>1.17</v>
      </c>
      <c r="Y170" s="281"/>
      <c r="Z170" s="281">
        <f>IF(HLOOKUP(Z$13,'MP (nominal)'!$D$12:$AM$244,ROW()-12,FALSE)="","",HLOOKUP(Z$13,'MP (nominal)'!$D$12:$AM$244,ROW()-12,FALSE)*VLOOKUP($C170,CPI!$B$9:$I$63,8))</f>
        <v>4861.1471015939096</v>
      </c>
      <c r="AA170" s="281">
        <f>IF(HLOOKUP(AA$13,'MP (nominal)'!$D$12:$AM$244,ROW()-12,FALSE)="","",HLOOKUP(AA$13,'MP (nominal)'!$D$12:$AM$244,ROW()-12,FALSE))</f>
        <v>57103</v>
      </c>
      <c r="AB170" s="281">
        <f>IF(HLOOKUP(AB$13,'MP (nominal)'!$D$12:$AM$244,ROW()-12,FALSE)="","",HLOOKUP(AB$13,'MP (nominal)'!$D$12:$AM$244,ROW()-12,FALSE))</f>
        <v>6710</v>
      </c>
      <c r="AC170" s="281"/>
      <c r="AD170" s="281">
        <f>IF(HLOOKUP(AD$13,'MP (nominal)'!$D$12:$AM$244,ROW()-12,FALSE)="","",HLOOKUP(AD$13,'MP (nominal)'!$D$12:$AM$244,ROW()-12,FALSE)*VLOOKUP($C170,CPI!$B$9:$I$63,8))</f>
        <v>79.779304838755664</v>
      </c>
      <c r="AE170" s="31">
        <f>IF(HLOOKUP(AE$13,'MP (nominal)'!$D$12:$AM$244,ROW()-12,FALSE)="","",HLOOKUP(AE$13,'MP (nominal)'!$D$12:$AM$244,ROW()-12,FALSE))</f>
        <v>1449</v>
      </c>
      <c r="AF170" s="31">
        <f>IF(HLOOKUP(AF$13,'MP (nominal)'!$D$12:$AM$244,ROW()-12,FALSE)="","",HLOOKUP(AF$13,'MP (nominal)'!$D$12:$AM$244,ROW()-12,FALSE))</f>
        <v>9</v>
      </c>
      <c r="AG170" s="281"/>
      <c r="AH170" s="281">
        <f>IF(HLOOKUP(AH$13,'MP (nominal)'!$D$12:$AM$244,ROW()-12,FALSE)="","",HLOOKUP(AH$13,'MP (nominal)'!$D$12:$AM$244,ROW()-12,FALSE)*VLOOKUP($C170,CPI!$B$9:$I$63,8))</f>
        <v>307.25813350061304</v>
      </c>
      <c r="AI170" s="31">
        <f>IF(HLOOKUP(AI$13,'MP (nominal)'!$D$12:$AM$244,ROW()-12,FALSE)="","",HLOOKUP(AI$13,'MP (nominal)'!$D$12:$AM$244,ROW()-12,FALSE))</f>
        <v>4793</v>
      </c>
      <c r="AJ170" s="31">
        <f>IF(HLOOKUP(AJ$13,'MP (nominal)'!$D$12:$AM$244,ROW()-12,FALSE)="","",HLOOKUP(AJ$13,'MP (nominal)'!$D$12:$AM$244,ROW()-12,FALSE))</f>
        <v>10</v>
      </c>
      <c r="AK170" s="281"/>
      <c r="AL170" s="281">
        <f>IF(HLOOKUP(AL$13,'MP (nominal)'!$D$12:$AM$244,ROW()-12,FALSE)="","",HLOOKUP(AL$13,'MP (nominal)'!$D$12:$AM$244,ROW()-12,FALSE)*VLOOKUP($C170,CPI!$B$9:$I$63,8))</f>
        <v>1240.8916198568618</v>
      </c>
      <c r="AM170" s="31">
        <f>IF(HLOOKUP(AM$13,'MP (nominal)'!$D$12:$AM$244,ROW()-12,FALSE)="","",HLOOKUP(AM$13,'MP (nominal)'!$D$12:$AM$244,ROW()-12,FALSE))</f>
        <v>26485</v>
      </c>
      <c r="AN170" s="31">
        <f>IF(HLOOKUP(AN$13,'MP (nominal)'!$D$12:$AM$244,ROW()-12,FALSE)="","",HLOOKUP(AN$13,'MP (nominal)'!$D$12:$AM$244,ROW()-12,FALSE))</f>
        <v>5</v>
      </c>
      <c r="AO170" s="281"/>
      <c r="AP170" s="281">
        <f>IF(HLOOKUP(AP$13,'MP (nominal)'!$D$12:$AM$244,ROW()-12,FALSE)="","",HLOOKUP(AP$13,'MP (nominal)'!$D$12:$AM$244,ROW()-12,FALSE)*VLOOKUP($C170,CPI!$B$9:$I$63,8))</f>
        <v>6489.0761597901392</v>
      </c>
      <c r="AQ170" s="31">
        <f>IF(HLOOKUP(AQ$13,'MP (nominal)'!$D$12:$AM$244,ROW()-12,FALSE)="","",HLOOKUP(AQ$13,'MP (nominal)'!$D$12:$AM$244,ROW()-12,FALSE))</f>
        <v>89830</v>
      </c>
      <c r="AR170" s="281">
        <f>IF(HLOOKUP(AR$13,'MP (nominal)'!$D$12:$AM$244,ROW()-12,FALSE)="","",HLOOKUP(AR$13,'MP (nominal)'!$D$12:$AM$244,ROW()-12,FALSE))</f>
        <v>6734</v>
      </c>
    </row>
    <row r="171" spans="1:44" s="278" customFormat="1">
      <c r="A171" s="271">
        <f>References!H277</f>
        <v>443</v>
      </c>
      <c r="B171" s="292" t="s">
        <v>48</v>
      </c>
      <c r="C171" s="284">
        <v>2009</v>
      </c>
      <c r="D171" s="27">
        <f>IF(HLOOKUP(D$13,'MP (nominal)'!$D$12:$AM$244,ROW()-12,FALSE)="","",HLOOKUP(D$13,'MP (nominal)'!$D$12:$AM$244,ROW()-12,FALSE))</f>
        <v>834.63</v>
      </c>
      <c r="E171" s="281">
        <f>IF(HLOOKUP(E$13,'MP (nominal)'!$D$12:$AM$244,ROW()-12,FALSE)="","",HLOOKUP(E$13,'MP (nominal)'!$D$12:$AM$244,ROW()-12,FALSE))</f>
        <v>0</v>
      </c>
      <c r="F171" s="27">
        <f>IF(HLOOKUP(F$13,'MP (nominal)'!$D$12:$AM$244,ROW()-12,FALSE)="","",HLOOKUP(F$13,'MP (nominal)'!$D$12:$AM$244,ROW()-12,FALSE))</f>
        <v>58.96</v>
      </c>
      <c r="G171" s="281">
        <f>IF(HLOOKUP(G$13,'MP (nominal)'!$D$12:$AM$244,ROW()-12,FALSE)="","",HLOOKUP(G$13,'MP (nominal)'!$D$12:$AM$244,ROW()-12,FALSE))</f>
        <v>0</v>
      </c>
      <c r="H171" s="27">
        <f>IF(HLOOKUP(H$13,'MP (nominal)'!$D$12:$AM$244,ROW()-12,FALSE)="","",HLOOKUP(H$13,'MP (nominal)'!$D$12:$AM$244,ROW()-12,FALSE))</f>
        <v>893.59</v>
      </c>
      <c r="I171" s="31">
        <f>IF(HLOOKUP(I$13,'MP (nominal)'!$D$12:$AM$244,ROW()-12,FALSE)="","",HLOOKUP(I$13,'MP (nominal)'!$D$12:$AM$244,ROW()-12,FALSE))</f>
        <v>0</v>
      </c>
      <c r="J171" s="31">
        <f>IF(HLOOKUP(J$13,'MP (nominal)'!$D$12:$AM$244,ROW()-12,FALSE)="","",HLOOKUP(J$13,'MP (nominal)'!$D$12:$AM$244,ROW()-12,FALSE))</f>
        <v>834.63</v>
      </c>
      <c r="K171" s="281"/>
      <c r="L171" s="27">
        <f>IF(HLOOKUP(L$13,'MP (nominal)'!$D$12:$AM$244,ROW()-12,FALSE)="","",HLOOKUP(L$13,'MP (nominal)'!$D$12:$AM$244,ROW()-12,FALSE))</f>
        <v>16.239999999999998</v>
      </c>
      <c r="M171" s="283">
        <f>IF(HLOOKUP(M$13,'MP (nominal)'!$D$12:$AM$244,ROW()-12,FALSE)="","",HLOOKUP(M$13,'MP (nominal)'!$D$12:$AM$244,ROW()-12,FALSE))</f>
        <v>80.507999999999996</v>
      </c>
      <c r="N171" s="35"/>
      <c r="O171" s="27">
        <f>IF(HLOOKUP(O$13,'MP (nominal)'!$D$12:$AM$244,ROW()-12,FALSE)="","",HLOOKUP(O$13,'MP (nominal)'!$D$12:$AM$244,ROW()-12,FALSE))</f>
        <v>6832</v>
      </c>
      <c r="P171" s="31"/>
      <c r="Q171" s="281"/>
      <c r="R171" s="281">
        <f>IF(HLOOKUP(R$13,'MP (nominal)'!$D$12:$AM$244,ROW()-12,FALSE)="","",HLOOKUP(R$13,'MP (nominal)'!$D$12:$AM$244,ROW()-12,FALSE))</f>
        <v>35.57</v>
      </c>
      <c r="S171" s="281">
        <f>IF(HLOOKUP(S$13,'MP (nominal)'!$D$12:$AM$244,ROW()-12,FALSE)="","",HLOOKUP(S$13,'MP (nominal)'!$D$12:$AM$244,ROW()-12,FALSE))</f>
        <v>16.36</v>
      </c>
      <c r="T171" s="281">
        <f>IF(HLOOKUP(T$13,'MP (nominal)'!$D$12:$AM$244,ROW()-12,FALSE)="","",HLOOKUP(T$13,'MP (nominal)'!$D$12:$AM$244,ROW()-12,FALSE))</f>
        <v>19.21</v>
      </c>
      <c r="U171" s="281"/>
      <c r="V171" s="281">
        <f>IF(HLOOKUP(V$13,'MP (nominal)'!$D$12:$AM$244,ROW()-12,FALSE)="","",HLOOKUP(V$13,'MP (nominal)'!$D$12:$AM$244,ROW()-12,FALSE))</f>
        <v>0.89</v>
      </c>
      <c r="W171" s="281">
        <f>IF(HLOOKUP(W$13,'MP (nominal)'!$D$12:$AM$244,ROW()-12,FALSE)="","",HLOOKUP(W$13,'MP (nominal)'!$D$12:$AM$244,ROW()-12,FALSE))</f>
        <v>0.12</v>
      </c>
      <c r="X171" s="281">
        <f>IF(HLOOKUP(X$13,'MP (nominal)'!$D$12:$AM$244,ROW()-12,FALSE)="","",HLOOKUP(X$13,'MP (nominal)'!$D$12:$AM$244,ROW()-12,FALSE))</f>
        <v>0.77</v>
      </c>
      <c r="Y171" s="281"/>
      <c r="Z171" s="281">
        <f>IF(HLOOKUP(Z$13,'MP (nominal)'!$D$12:$AM$244,ROW()-12,FALSE)="","",HLOOKUP(Z$13,'MP (nominal)'!$D$12:$AM$244,ROW()-12,FALSE)*VLOOKUP($C171,CPI!$B$9:$I$63,8))</f>
        <v>4805.339831148327</v>
      </c>
      <c r="AA171" s="281">
        <f>IF(HLOOKUP(AA$13,'MP (nominal)'!$D$12:$AM$244,ROW()-12,FALSE)="","",HLOOKUP(AA$13,'MP (nominal)'!$D$12:$AM$244,ROW()-12,FALSE))</f>
        <v>57472</v>
      </c>
      <c r="AB171" s="281">
        <f>IF(HLOOKUP(AB$13,'MP (nominal)'!$D$12:$AM$244,ROW()-12,FALSE)="","",HLOOKUP(AB$13,'MP (nominal)'!$D$12:$AM$244,ROW()-12,FALSE))</f>
        <v>6808</v>
      </c>
      <c r="AC171" s="281"/>
      <c r="AD171" s="281">
        <f>IF(HLOOKUP(AD$13,'MP (nominal)'!$D$12:$AM$244,ROW()-12,FALSE)="","",HLOOKUP(AD$13,'MP (nominal)'!$D$12:$AM$244,ROW()-12,FALSE)*VLOOKUP($C171,CPI!$B$9:$I$63,8))</f>
        <v>73.704715491797629</v>
      </c>
      <c r="AE171" s="31">
        <f>IF(HLOOKUP(AE$13,'MP (nominal)'!$D$12:$AM$244,ROW()-12,FALSE)="","",HLOOKUP(AE$13,'MP (nominal)'!$D$12:$AM$244,ROW()-12,FALSE))</f>
        <v>1367</v>
      </c>
      <c r="AF171" s="31">
        <f>IF(HLOOKUP(AF$13,'MP (nominal)'!$D$12:$AM$244,ROW()-12,FALSE)="","",HLOOKUP(AF$13,'MP (nominal)'!$D$12:$AM$244,ROW()-12,FALSE))</f>
        <v>7</v>
      </c>
      <c r="AG171" s="281"/>
      <c r="AH171" s="281">
        <f>IF(HLOOKUP(AH$13,'MP (nominal)'!$D$12:$AM$244,ROW()-12,FALSE)="","",HLOOKUP(AH$13,'MP (nominal)'!$D$12:$AM$244,ROW()-12,FALSE)*VLOOKUP($C171,CPI!$B$9:$I$63,8))</f>
        <v>262.63792985105351</v>
      </c>
      <c r="AI171" s="31">
        <f>IF(HLOOKUP(AI$13,'MP (nominal)'!$D$12:$AM$244,ROW()-12,FALSE)="","",HLOOKUP(AI$13,'MP (nominal)'!$D$12:$AM$244,ROW()-12,FALSE))</f>
        <v>4475</v>
      </c>
      <c r="AJ171" s="31">
        <f>IF(HLOOKUP(AJ$13,'MP (nominal)'!$D$12:$AM$244,ROW()-12,FALSE)="","",HLOOKUP(AJ$13,'MP (nominal)'!$D$12:$AM$244,ROW()-12,FALSE))</f>
        <v>12</v>
      </c>
      <c r="AK171" s="281"/>
      <c r="AL171" s="281">
        <f>IF(HLOOKUP(AL$13,'MP (nominal)'!$D$12:$AM$244,ROW()-12,FALSE)="","",HLOOKUP(AL$13,'MP (nominal)'!$D$12:$AM$244,ROW()-12,FALSE)*VLOOKUP($C171,CPI!$B$9:$I$63,8))</f>
        <v>892.76134257670367</v>
      </c>
      <c r="AM171" s="31">
        <f>IF(HLOOKUP(AM$13,'MP (nominal)'!$D$12:$AM$244,ROW()-12,FALSE)="","",HLOOKUP(AM$13,'MP (nominal)'!$D$12:$AM$244,ROW()-12,FALSE))</f>
        <v>17194</v>
      </c>
      <c r="AN171" s="31">
        <f>IF(HLOOKUP(AN$13,'MP (nominal)'!$D$12:$AM$244,ROW()-12,FALSE)="","",HLOOKUP(AN$13,'MP (nominal)'!$D$12:$AM$244,ROW()-12,FALSE))</f>
        <v>5</v>
      </c>
      <c r="AO171" s="281"/>
      <c r="AP171" s="281">
        <f>IF(HLOOKUP(AP$13,'MP (nominal)'!$D$12:$AM$244,ROW()-12,FALSE)="","",HLOOKUP(AP$13,'MP (nominal)'!$D$12:$AM$244,ROW()-12,FALSE)*VLOOKUP($C171,CPI!$B$9:$I$63,8))</f>
        <v>6034.443819067882</v>
      </c>
      <c r="AQ171" s="31">
        <f>IF(HLOOKUP(AQ$13,'MP (nominal)'!$D$12:$AM$244,ROW()-12,FALSE)="","",HLOOKUP(AQ$13,'MP (nominal)'!$D$12:$AM$244,ROW()-12,FALSE))</f>
        <v>80508</v>
      </c>
      <c r="AR171" s="281">
        <f>IF(HLOOKUP(AR$13,'MP (nominal)'!$D$12:$AM$244,ROW()-12,FALSE)="","",HLOOKUP(AR$13,'MP (nominal)'!$D$12:$AM$244,ROW()-12,FALSE))</f>
        <v>6832</v>
      </c>
    </row>
    <row r="172" spans="1:44" s="278" customFormat="1">
      <c r="A172" s="271">
        <f>References!I277</f>
        <v>444</v>
      </c>
      <c r="B172" s="292" t="s">
        <v>48</v>
      </c>
      <c r="C172" s="284">
        <v>2010</v>
      </c>
      <c r="D172" s="27">
        <f>IF(HLOOKUP(D$13,'MP (nominal)'!$D$12:$AM$244,ROW()-12,FALSE)="","",HLOOKUP(D$13,'MP (nominal)'!$D$12:$AM$244,ROW()-12,FALSE))</f>
        <v>844.52880000000005</v>
      </c>
      <c r="E172" s="281">
        <f>IF(HLOOKUP(E$13,'MP (nominal)'!$D$12:$AM$244,ROW()-12,FALSE)="","",HLOOKUP(E$13,'MP (nominal)'!$D$12:$AM$244,ROW()-12,FALSE))</f>
        <v>0</v>
      </c>
      <c r="F172" s="27">
        <f>IF(HLOOKUP(F$13,'MP (nominal)'!$D$12:$AM$244,ROW()-12,FALSE)="","",HLOOKUP(F$13,'MP (nominal)'!$D$12:$AM$244,ROW()-12,FALSE))</f>
        <v>60.713000000000001</v>
      </c>
      <c r="G172" s="281">
        <f>IF(HLOOKUP(G$13,'MP (nominal)'!$D$12:$AM$244,ROW()-12,FALSE)="","",HLOOKUP(G$13,'MP (nominal)'!$D$12:$AM$244,ROW()-12,FALSE))</f>
        <v>0</v>
      </c>
      <c r="H172" s="27">
        <f>IF(HLOOKUP(H$13,'MP (nominal)'!$D$12:$AM$244,ROW()-12,FALSE)="","",HLOOKUP(H$13,'MP (nominal)'!$D$12:$AM$244,ROW()-12,FALSE))</f>
        <v>905.24180000000001</v>
      </c>
      <c r="I172" s="31">
        <f>IF(HLOOKUP(I$13,'MP (nominal)'!$D$12:$AM$244,ROW()-12,FALSE)="","",HLOOKUP(I$13,'MP (nominal)'!$D$12:$AM$244,ROW()-12,FALSE))</f>
        <v>0</v>
      </c>
      <c r="J172" s="31">
        <f>IF(HLOOKUP(J$13,'MP (nominal)'!$D$12:$AM$244,ROW()-12,FALSE)="","",HLOOKUP(J$13,'MP (nominal)'!$D$12:$AM$244,ROW()-12,FALSE))</f>
        <v>844.52880000000005</v>
      </c>
      <c r="K172" s="281"/>
      <c r="L172" s="27">
        <f>IF(HLOOKUP(L$13,'MP (nominal)'!$D$12:$AM$244,ROW()-12,FALSE)="","",HLOOKUP(L$13,'MP (nominal)'!$D$12:$AM$244,ROW()-12,FALSE))</f>
        <v>16.574000000000002</v>
      </c>
      <c r="M172" s="283">
        <f>IF(HLOOKUP(M$13,'MP (nominal)'!$D$12:$AM$244,ROW()-12,FALSE)="","",HLOOKUP(M$13,'MP (nominal)'!$D$12:$AM$244,ROW()-12,FALSE))</f>
        <v>83.064999999999998</v>
      </c>
      <c r="N172" s="35"/>
      <c r="O172" s="27">
        <f>IF(HLOOKUP(O$13,'MP (nominal)'!$D$12:$AM$244,ROW()-12,FALSE)="","",HLOOKUP(O$13,'MP (nominal)'!$D$12:$AM$244,ROW()-12,FALSE))</f>
        <v>6786</v>
      </c>
      <c r="P172" s="31"/>
      <c r="Q172" s="281"/>
      <c r="R172" s="281">
        <f>IF(HLOOKUP(R$13,'MP (nominal)'!$D$12:$AM$244,ROW()-12,FALSE)="","",HLOOKUP(R$13,'MP (nominal)'!$D$12:$AM$244,ROW()-12,FALSE))</f>
        <v>65.88</v>
      </c>
      <c r="S172" s="281">
        <f>IF(HLOOKUP(S$13,'MP (nominal)'!$D$12:$AM$244,ROW()-12,FALSE)="","",HLOOKUP(S$13,'MP (nominal)'!$D$12:$AM$244,ROW()-12,FALSE))</f>
        <v>29.39</v>
      </c>
      <c r="T172" s="281">
        <f>IF(HLOOKUP(T$13,'MP (nominal)'!$D$12:$AM$244,ROW()-12,FALSE)="","",HLOOKUP(T$13,'MP (nominal)'!$D$12:$AM$244,ROW()-12,FALSE))</f>
        <v>36.49</v>
      </c>
      <c r="U172" s="281"/>
      <c r="V172" s="281">
        <f>IF(HLOOKUP(V$13,'MP (nominal)'!$D$12:$AM$244,ROW()-12,FALSE)="","",HLOOKUP(V$13,'MP (nominal)'!$D$12:$AM$244,ROW()-12,FALSE))</f>
        <v>0.74</v>
      </c>
      <c r="W172" s="281">
        <f>IF(HLOOKUP(W$13,'MP (nominal)'!$D$12:$AM$244,ROW()-12,FALSE)="","",HLOOKUP(W$13,'MP (nominal)'!$D$12:$AM$244,ROW()-12,FALSE))</f>
        <v>0.17</v>
      </c>
      <c r="X172" s="281">
        <f>IF(HLOOKUP(X$13,'MP (nominal)'!$D$12:$AM$244,ROW()-12,FALSE)="","",HLOOKUP(X$13,'MP (nominal)'!$D$12:$AM$244,ROW()-12,FALSE))</f>
        <v>0.56999999999999995</v>
      </c>
      <c r="Y172" s="281"/>
      <c r="Z172" s="281">
        <f>IF(HLOOKUP(Z$13,'MP (nominal)'!$D$12:$AM$244,ROW()-12,FALSE)="","",HLOOKUP(Z$13,'MP (nominal)'!$D$12:$AM$244,ROW()-12,FALSE)*VLOOKUP($C172,CPI!$B$9:$I$63,8))</f>
        <v>5133.9115087170912</v>
      </c>
      <c r="AA172" s="281">
        <f>IF(HLOOKUP(AA$13,'MP (nominal)'!$D$12:$AM$244,ROW()-12,FALSE)="","",HLOOKUP(AA$13,'MP (nominal)'!$D$12:$AM$244,ROW()-12,FALSE))</f>
        <v>59422</v>
      </c>
      <c r="AB172" s="281">
        <f>IF(HLOOKUP(AB$13,'MP (nominal)'!$D$12:$AM$244,ROW()-12,FALSE)="","",HLOOKUP(AB$13,'MP (nominal)'!$D$12:$AM$244,ROW()-12,FALSE))</f>
        <v>6761</v>
      </c>
      <c r="AC172" s="281"/>
      <c r="AD172" s="281">
        <f>IF(HLOOKUP(AD$13,'MP (nominal)'!$D$12:$AM$244,ROW()-12,FALSE)="","",HLOOKUP(AD$13,'MP (nominal)'!$D$12:$AM$244,ROW()-12,FALSE)*VLOOKUP($C172,CPI!$B$9:$I$63,8))</f>
        <v>68.261970844224081</v>
      </c>
      <c r="AE172" s="31">
        <f>IF(HLOOKUP(AE$13,'MP (nominal)'!$D$12:$AM$244,ROW()-12,FALSE)="","",HLOOKUP(AE$13,'MP (nominal)'!$D$12:$AM$244,ROW()-12,FALSE))</f>
        <v>1354</v>
      </c>
      <c r="AF172" s="31">
        <f>IF(HLOOKUP(AF$13,'MP (nominal)'!$D$12:$AM$244,ROW()-12,FALSE)="","",HLOOKUP(AF$13,'MP (nominal)'!$D$12:$AM$244,ROW()-12,FALSE))</f>
        <v>7</v>
      </c>
      <c r="AG172" s="281"/>
      <c r="AH172" s="281">
        <f>IF(HLOOKUP(AH$13,'MP (nominal)'!$D$12:$AM$244,ROW()-12,FALSE)="","",HLOOKUP(AH$13,'MP (nominal)'!$D$12:$AM$244,ROW()-12,FALSE)*VLOOKUP($C172,CPI!$B$9:$I$63,8))</f>
        <v>297.49993263452882</v>
      </c>
      <c r="AI172" s="31">
        <f>IF(HLOOKUP(AI$13,'MP (nominal)'!$D$12:$AM$244,ROW()-12,FALSE)="","",HLOOKUP(AI$13,'MP (nominal)'!$D$12:$AM$244,ROW()-12,FALSE))</f>
        <v>4905</v>
      </c>
      <c r="AJ172" s="31">
        <f>IF(HLOOKUP(AJ$13,'MP (nominal)'!$D$12:$AM$244,ROW()-12,FALSE)="","",HLOOKUP(AJ$13,'MP (nominal)'!$D$12:$AM$244,ROW()-12,FALSE))</f>
        <v>13</v>
      </c>
      <c r="AK172" s="281"/>
      <c r="AL172" s="281">
        <f>IF(HLOOKUP(AL$13,'MP (nominal)'!$D$12:$AM$244,ROW()-12,FALSE)="","",HLOOKUP(AL$13,'MP (nominal)'!$D$12:$AM$244,ROW()-12,FALSE)*VLOOKUP($C172,CPI!$B$9:$I$63,8))</f>
        <v>794.69160087305636</v>
      </c>
      <c r="AM172" s="31">
        <f>IF(HLOOKUP(AM$13,'MP (nominal)'!$D$12:$AM$244,ROW()-12,FALSE)="","",HLOOKUP(AM$13,'MP (nominal)'!$D$12:$AM$244,ROW()-12,FALSE))</f>
        <v>17384</v>
      </c>
      <c r="AN172" s="31">
        <f>IF(HLOOKUP(AN$13,'MP (nominal)'!$D$12:$AM$244,ROW()-12,FALSE)="","",HLOOKUP(AN$13,'MP (nominal)'!$D$12:$AM$244,ROW()-12,FALSE))</f>
        <v>5</v>
      </c>
      <c r="AO172" s="281"/>
      <c r="AP172" s="281">
        <f>IF(HLOOKUP(AP$13,'MP (nominal)'!$D$12:$AM$244,ROW()-12,FALSE)="","",HLOOKUP(AP$13,'MP (nominal)'!$D$12:$AM$244,ROW()-12,FALSE)*VLOOKUP($C172,CPI!$B$9:$I$63,8))</f>
        <v>6294.3650130689002</v>
      </c>
      <c r="AQ172" s="31">
        <f>IF(HLOOKUP(AQ$13,'MP (nominal)'!$D$12:$AM$244,ROW()-12,FALSE)="","",HLOOKUP(AQ$13,'MP (nominal)'!$D$12:$AM$244,ROW()-12,FALSE))</f>
        <v>83065</v>
      </c>
      <c r="AR172" s="281">
        <f>IF(HLOOKUP(AR$13,'MP (nominal)'!$D$12:$AM$244,ROW()-12,FALSE)="","",HLOOKUP(AR$13,'MP (nominal)'!$D$12:$AM$244,ROW()-12,FALSE))</f>
        <v>6786</v>
      </c>
    </row>
    <row r="173" spans="1:44" s="278" customFormat="1">
      <c r="A173" s="271">
        <f>References!J277</f>
        <v>445</v>
      </c>
      <c r="B173" s="292" t="s">
        <v>48</v>
      </c>
      <c r="C173" s="284">
        <v>2011</v>
      </c>
      <c r="D173" s="27">
        <f>IF(HLOOKUP(D$13,'MP (nominal)'!$D$12:$AM$244,ROW()-12,FALSE)="","",HLOOKUP(D$13,'MP (nominal)'!$D$12:$AM$244,ROW()-12,FALSE))</f>
        <v>968</v>
      </c>
      <c r="E173" s="281">
        <f>IF(HLOOKUP(E$13,'MP (nominal)'!$D$12:$AM$244,ROW()-12,FALSE)="","",HLOOKUP(E$13,'MP (nominal)'!$D$12:$AM$244,ROW()-12,FALSE))</f>
        <v>0</v>
      </c>
      <c r="F173" s="27">
        <f>IF(HLOOKUP(F$13,'MP (nominal)'!$D$12:$AM$244,ROW()-12,FALSE)="","",HLOOKUP(F$13,'MP (nominal)'!$D$12:$AM$244,ROW()-12,FALSE))</f>
        <v>71</v>
      </c>
      <c r="G173" s="281">
        <f>IF(HLOOKUP(G$13,'MP (nominal)'!$D$12:$AM$244,ROW()-12,FALSE)="","",HLOOKUP(G$13,'MP (nominal)'!$D$12:$AM$244,ROW()-12,FALSE))</f>
        <v>0</v>
      </c>
      <c r="H173" s="27">
        <f>IF(HLOOKUP(H$13,'MP (nominal)'!$D$12:$AM$244,ROW()-12,FALSE)="","",HLOOKUP(H$13,'MP (nominal)'!$D$12:$AM$244,ROW()-12,FALSE))</f>
        <v>1039</v>
      </c>
      <c r="I173" s="31">
        <f>IF(HLOOKUP(I$13,'MP (nominal)'!$D$12:$AM$244,ROW()-12,FALSE)="","",HLOOKUP(I$13,'MP (nominal)'!$D$12:$AM$244,ROW()-12,FALSE))</f>
        <v>0</v>
      </c>
      <c r="J173" s="31">
        <f>IF(HLOOKUP(J$13,'MP (nominal)'!$D$12:$AM$244,ROW()-12,FALSE)="","",HLOOKUP(J$13,'MP (nominal)'!$D$12:$AM$244,ROW()-12,FALSE))</f>
        <v>968</v>
      </c>
      <c r="K173" s="281"/>
      <c r="L173" s="27">
        <f>IF(HLOOKUP(L$13,'MP (nominal)'!$D$12:$AM$244,ROW()-12,FALSE)="","",HLOOKUP(L$13,'MP (nominal)'!$D$12:$AM$244,ROW()-12,FALSE))</f>
        <v>15.788</v>
      </c>
      <c r="M173" s="283">
        <f>IF(HLOOKUP(M$13,'MP (nominal)'!$D$12:$AM$244,ROW()-12,FALSE)="","",HLOOKUP(M$13,'MP (nominal)'!$D$12:$AM$244,ROW()-12,FALSE))</f>
        <v>81.397000000000006</v>
      </c>
      <c r="N173" s="35"/>
      <c r="O173" s="27">
        <f>IF(HLOOKUP(O$13,'MP (nominal)'!$D$12:$AM$244,ROW()-12,FALSE)="","",HLOOKUP(O$13,'MP (nominal)'!$D$12:$AM$244,ROW()-12,FALSE))</f>
        <v>6787</v>
      </c>
      <c r="P173" s="31"/>
      <c r="Q173" s="281"/>
      <c r="R173" s="281">
        <f>IF(HLOOKUP(R$13,'MP (nominal)'!$D$12:$AM$244,ROW()-12,FALSE)="","",HLOOKUP(R$13,'MP (nominal)'!$D$12:$AM$244,ROW()-12,FALSE))</f>
        <v>103.65</v>
      </c>
      <c r="S173" s="281">
        <f>IF(HLOOKUP(S$13,'MP (nominal)'!$D$12:$AM$244,ROW()-12,FALSE)="","",HLOOKUP(S$13,'MP (nominal)'!$D$12:$AM$244,ROW()-12,FALSE))</f>
        <v>38.840000000000003</v>
      </c>
      <c r="T173" s="281">
        <f>IF(HLOOKUP(T$13,'MP (nominal)'!$D$12:$AM$244,ROW()-12,FALSE)="","",HLOOKUP(T$13,'MP (nominal)'!$D$12:$AM$244,ROW()-12,FALSE))</f>
        <v>64.81</v>
      </c>
      <c r="U173" s="281"/>
      <c r="V173" s="281">
        <f>IF(HLOOKUP(V$13,'MP (nominal)'!$D$12:$AM$244,ROW()-12,FALSE)="","",HLOOKUP(V$13,'MP (nominal)'!$D$12:$AM$244,ROW()-12,FALSE))</f>
        <v>1.63</v>
      </c>
      <c r="W173" s="281">
        <f>IF(HLOOKUP(W$13,'MP (nominal)'!$D$12:$AM$244,ROW()-12,FALSE)="","",HLOOKUP(W$13,'MP (nominal)'!$D$12:$AM$244,ROW()-12,FALSE))</f>
        <v>0.17</v>
      </c>
      <c r="X173" s="281">
        <f>IF(HLOOKUP(X$13,'MP (nominal)'!$D$12:$AM$244,ROW()-12,FALSE)="","",HLOOKUP(X$13,'MP (nominal)'!$D$12:$AM$244,ROW()-12,FALSE))</f>
        <v>1.46</v>
      </c>
      <c r="Y173" s="281"/>
      <c r="Z173" s="281">
        <f>IF(HLOOKUP(Z$13,'MP (nominal)'!$D$12:$AM$244,ROW()-12,FALSE)="","",HLOOKUP(Z$13,'MP (nominal)'!$D$12:$AM$244,ROW()-12,FALSE)*VLOOKUP($C173,CPI!$B$9:$I$63,8))</f>
        <v>5371</v>
      </c>
      <c r="AA173" s="281">
        <f>IF(HLOOKUP(AA$13,'MP (nominal)'!$D$12:$AM$244,ROW()-12,FALSE)="","",HLOOKUP(AA$13,'MP (nominal)'!$D$12:$AM$244,ROW()-12,FALSE))</f>
        <v>58669</v>
      </c>
      <c r="AB173" s="281">
        <f>IF(HLOOKUP(AB$13,'MP (nominal)'!$D$12:$AM$244,ROW()-12,FALSE)="","",HLOOKUP(AB$13,'MP (nominal)'!$D$12:$AM$244,ROW()-12,FALSE))</f>
        <v>6762</v>
      </c>
      <c r="AC173" s="281"/>
      <c r="AD173" s="281">
        <f>IF(HLOOKUP(AD$13,'MP (nominal)'!$D$12:$AM$244,ROW()-12,FALSE)="","",HLOOKUP(AD$13,'MP (nominal)'!$D$12:$AM$244,ROW()-12,FALSE)*VLOOKUP($C173,CPI!$B$9:$I$63,8))</f>
        <v>80</v>
      </c>
      <c r="AE173" s="31">
        <f>IF(HLOOKUP(AE$13,'MP (nominal)'!$D$12:$AM$244,ROW()-12,FALSE)="","",HLOOKUP(AE$13,'MP (nominal)'!$D$12:$AM$244,ROW()-12,FALSE))</f>
        <v>1369</v>
      </c>
      <c r="AF173" s="31">
        <f>IF(HLOOKUP(AF$13,'MP (nominal)'!$D$12:$AM$244,ROW()-12,FALSE)="","",HLOOKUP(AF$13,'MP (nominal)'!$D$12:$AM$244,ROW()-12,FALSE))</f>
        <v>7</v>
      </c>
      <c r="AG173" s="281"/>
      <c r="AH173" s="281">
        <f>IF(HLOOKUP(AH$13,'MP (nominal)'!$D$12:$AM$244,ROW()-12,FALSE)="","",HLOOKUP(AH$13,'MP (nominal)'!$D$12:$AM$244,ROW()-12,FALSE)*VLOOKUP($C173,CPI!$B$9:$I$63,8))</f>
        <v>314</v>
      </c>
      <c r="AI173" s="31">
        <f>IF(HLOOKUP(AI$13,'MP (nominal)'!$D$12:$AM$244,ROW()-12,FALSE)="","",HLOOKUP(AI$13,'MP (nominal)'!$D$12:$AM$244,ROW()-12,FALSE))</f>
        <v>4960</v>
      </c>
      <c r="AJ173" s="31">
        <f>IF(HLOOKUP(AJ$13,'MP (nominal)'!$D$12:$AM$244,ROW()-12,FALSE)="","",HLOOKUP(AJ$13,'MP (nominal)'!$D$12:$AM$244,ROW()-12,FALSE))</f>
        <v>13</v>
      </c>
      <c r="AK173" s="281"/>
      <c r="AL173" s="281">
        <f>IF(HLOOKUP(AL$13,'MP (nominal)'!$D$12:$AM$244,ROW()-12,FALSE)="","",HLOOKUP(AL$13,'MP (nominal)'!$D$12:$AM$244,ROW()-12,FALSE)*VLOOKUP($C173,CPI!$B$9:$I$63,8))</f>
        <v>793</v>
      </c>
      <c r="AM173" s="31">
        <f>IF(HLOOKUP(AM$13,'MP (nominal)'!$D$12:$AM$244,ROW()-12,FALSE)="","",HLOOKUP(AM$13,'MP (nominal)'!$D$12:$AM$244,ROW()-12,FALSE))</f>
        <v>16399</v>
      </c>
      <c r="AN173" s="31">
        <f>IF(HLOOKUP(AN$13,'MP (nominal)'!$D$12:$AM$244,ROW()-12,FALSE)="","",HLOOKUP(AN$13,'MP (nominal)'!$D$12:$AM$244,ROW()-12,FALSE))</f>
        <v>5</v>
      </c>
      <c r="AO173" s="281"/>
      <c r="AP173" s="281">
        <f>IF(HLOOKUP(AP$13,'MP (nominal)'!$D$12:$AM$244,ROW()-12,FALSE)="","",HLOOKUP(AP$13,'MP (nominal)'!$D$12:$AM$244,ROW()-12,FALSE)*VLOOKUP($C173,CPI!$B$9:$I$63,8))</f>
        <v>6558</v>
      </c>
      <c r="AQ173" s="31">
        <f>IF(HLOOKUP(AQ$13,'MP (nominal)'!$D$12:$AM$244,ROW()-12,FALSE)="","",HLOOKUP(AQ$13,'MP (nominal)'!$D$12:$AM$244,ROW()-12,FALSE))</f>
        <v>81397</v>
      </c>
      <c r="AR173" s="281">
        <f>IF(HLOOKUP(AR$13,'MP (nominal)'!$D$12:$AM$244,ROW()-12,FALSE)="","",HLOOKUP(AR$13,'MP (nominal)'!$D$12:$AM$244,ROW()-12,FALSE))</f>
        <v>6787</v>
      </c>
    </row>
    <row r="174" spans="1:44" s="278" customFormat="1" ht="18" hidden="1" customHeight="1">
      <c r="A174" s="271">
        <f>References!C278</f>
        <v>461</v>
      </c>
      <c r="B174" s="292" t="s">
        <v>49</v>
      </c>
      <c r="C174" s="284">
        <v>2004</v>
      </c>
      <c r="D174" s="27" t="str">
        <f>IF(HLOOKUP(D$13,'MP (nominal)'!$D$12:$AM$244,ROW()-12,FALSE)="","",HLOOKUP(D$13,'MP (nominal)'!$D$12:$AM$244,ROW()-12,FALSE))</f>
        <v/>
      </c>
      <c r="E174" s="281" t="str">
        <f>IF(HLOOKUP(E$13,'MP (nominal)'!$D$12:$AM$244,ROW()-12,FALSE)="","",HLOOKUP(E$13,'MP (nominal)'!$D$12:$AM$244,ROW()-12,FALSE))</f>
        <v/>
      </c>
      <c r="F174" s="27">
        <f>IF(HLOOKUP(F$13,'MP (nominal)'!$D$12:$AM$244,ROW()-12,FALSE)="","",HLOOKUP(F$13,'MP (nominal)'!$D$12:$AM$244,ROW()-12,FALSE))</f>
        <v>244</v>
      </c>
      <c r="G174" s="281" t="str">
        <f>IF(HLOOKUP(G$13,'MP (nominal)'!$D$12:$AM$244,ROW()-12,FALSE)="","",HLOOKUP(G$13,'MP (nominal)'!$D$12:$AM$244,ROW()-12,FALSE))</f>
        <v/>
      </c>
      <c r="H174" s="27">
        <f>IF(HLOOKUP(H$13,'MP (nominal)'!$D$12:$AM$244,ROW()-12,FALSE)="","",HLOOKUP(H$13,'MP (nominal)'!$D$12:$AM$244,ROW()-12,FALSE))</f>
        <v>4768.2</v>
      </c>
      <c r="I174" s="31" t="str">
        <f>IF(HLOOKUP(I$13,'MP (nominal)'!$D$12:$AM$244,ROW()-12,FALSE)="","",HLOOKUP(I$13,'MP (nominal)'!$D$12:$AM$244,ROW()-12,FALSE))</f>
        <v/>
      </c>
      <c r="J174" s="31">
        <f>IF(HLOOKUP(J$13,'MP (nominal)'!$D$12:$AM$244,ROW()-12,FALSE)="","",HLOOKUP(J$13,'MP (nominal)'!$D$12:$AM$244,ROW()-12,FALSE))</f>
        <v>4524.2</v>
      </c>
      <c r="K174" s="281"/>
      <c r="L174" s="27">
        <f>IF(HLOOKUP(L$13,'MP (nominal)'!$D$12:$AM$244,ROW()-12,FALSE)="","",HLOOKUP(L$13,'MP (nominal)'!$D$12:$AM$244,ROW()-12,FALSE))</f>
        <v>57.32</v>
      </c>
      <c r="M174" s="293">
        <f>IF(HLOOKUP(M$13,'MP (nominal)'!$D$12:$AM$244,ROW()-12,FALSE)="","",HLOOKUP(M$13,'MP (nominal)'!$D$12:$AM$244,ROW()-12,FALSE))</f>
        <v>278.07799999999997</v>
      </c>
      <c r="N174" s="35"/>
      <c r="O174" s="27">
        <f>IF(HLOOKUP(O$13,'MP (nominal)'!$D$12:$AM$244,ROW()-12,FALSE)="","",HLOOKUP(O$13,'MP (nominal)'!$D$12:$AM$244,ROW()-12,FALSE))</f>
        <v>25197</v>
      </c>
      <c r="P174" s="31"/>
      <c r="Q174" s="281"/>
      <c r="R174" s="281">
        <f>IF(HLOOKUP(R$13,'MP (nominal)'!$D$12:$AM$244,ROW()-12,FALSE)="","",HLOOKUP(R$13,'MP (nominal)'!$D$12:$AM$244,ROW()-12,FALSE))</f>
        <v>400.2</v>
      </c>
      <c r="S174" s="281" t="str">
        <f>IF(HLOOKUP(S$13,'MP (nominal)'!$D$12:$AM$244,ROW()-12,FALSE)="","",HLOOKUP(S$13,'MP (nominal)'!$D$12:$AM$244,ROW()-12,FALSE))</f>
        <v/>
      </c>
      <c r="T174" s="281" t="str">
        <f>IF(HLOOKUP(T$13,'MP (nominal)'!$D$12:$AM$244,ROW()-12,FALSE)="","",HLOOKUP(T$13,'MP (nominal)'!$D$12:$AM$244,ROW()-12,FALSE))</f>
        <v/>
      </c>
      <c r="U174" s="281"/>
      <c r="V174" s="281">
        <f>IF(HLOOKUP(V$13,'MP (nominal)'!$D$12:$AM$244,ROW()-12,FALSE)="","",HLOOKUP(V$13,'MP (nominal)'!$D$12:$AM$244,ROW()-12,FALSE))</f>
        <v>4.96</v>
      </c>
      <c r="W174" s="281" t="str">
        <f>IF(HLOOKUP(W$13,'MP (nominal)'!$D$12:$AM$244,ROW()-12,FALSE)="","",HLOOKUP(W$13,'MP (nominal)'!$D$12:$AM$244,ROW()-12,FALSE))</f>
        <v/>
      </c>
      <c r="X174" s="281" t="str">
        <f>IF(HLOOKUP(X$13,'MP (nominal)'!$D$12:$AM$244,ROW()-12,FALSE)="","",HLOOKUP(X$13,'MP (nominal)'!$D$12:$AM$244,ROW()-12,FALSE))</f>
        <v/>
      </c>
      <c r="Y174" s="281"/>
      <c r="Z174" s="281" t="str">
        <f>IF(HLOOKUP(Z$13,'MP (nominal)'!$D$12:$AM$244,ROW()-12,FALSE)="","",HLOOKUP(Z$13,'MP (nominal)'!$D$12:$AM$244,ROW()-12,FALSE)*VLOOKUP($C174,CPI!$B$9:$I$63,8))</f>
        <v/>
      </c>
      <c r="AA174" s="281" t="str">
        <f>IF(HLOOKUP(AA$13,'MP (nominal)'!$D$12:$AM$244,ROW()-12,FALSE)="","",HLOOKUP(AA$13,'MP (nominal)'!$D$12:$AM$244,ROW()-12,FALSE))</f>
        <v/>
      </c>
      <c r="AB174" s="281" t="str">
        <f>IF(HLOOKUP(AB$13,'MP (nominal)'!$D$12:$AM$244,ROW()-12,FALSE)="","",HLOOKUP(AB$13,'MP (nominal)'!$D$12:$AM$244,ROW()-12,FALSE))</f>
        <v/>
      </c>
      <c r="AC174" s="281"/>
      <c r="AD174" s="281" t="str">
        <f>IF(HLOOKUP(AD$13,'MP (nominal)'!$D$12:$AM$244,ROW()-12,FALSE)="","",HLOOKUP(AD$13,'MP (nominal)'!$D$12:$AM$244,ROW()-12,FALSE)*VLOOKUP($C174,CPI!$B$9:$I$63,8))</f>
        <v/>
      </c>
      <c r="AE174" s="31" t="str">
        <f>IF(HLOOKUP(AE$13,'MP (nominal)'!$D$12:$AM$244,ROW()-12,FALSE)="","",HLOOKUP(AE$13,'MP (nominal)'!$D$12:$AM$244,ROW()-12,FALSE))</f>
        <v/>
      </c>
      <c r="AF174" s="31" t="str">
        <f>IF(HLOOKUP(AF$13,'MP (nominal)'!$D$12:$AM$244,ROW()-12,FALSE)="","",HLOOKUP(AF$13,'MP (nominal)'!$D$12:$AM$244,ROW()-12,FALSE))</f>
        <v/>
      </c>
      <c r="AG174" s="281"/>
      <c r="AH174" s="281" t="str">
        <f>IF(HLOOKUP(AH$13,'MP (nominal)'!$D$12:$AM$244,ROW()-12,FALSE)="","",HLOOKUP(AH$13,'MP (nominal)'!$D$12:$AM$244,ROW()-12,FALSE)*VLOOKUP($C174,CPI!$B$9:$I$63,8))</f>
        <v/>
      </c>
      <c r="AI174" s="31" t="str">
        <f>IF(HLOOKUP(AI$13,'MP (nominal)'!$D$12:$AM$244,ROW()-12,FALSE)="","",HLOOKUP(AI$13,'MP (nominal)'!$D$12:$AM$244,ROW()-12,FALSE))</f>
        <v/>
      </c>
      <c r="AJ174" s="31" t="str">
        <f>IF(HLOOKUP(AJ$13,'MP (nominal)'!$D$12:$AM$244,ROW()-12,FALSE)="","",HLOOKUP(AJ$13,'MP (nominal)'!$D$12:$AM$244,ROW()-12,FALSE))</f>
        <v/>
      </c>
      <c r="AK174" s="281"/>
      <c r="AL174" s="281" t="str">
        <f>IF(HLOOKUP(AL$13,'MP (nominal)'!$D$12:$AM$244,ROW()-12,FALSE)="","",HLOOKUP(AL$13,'MP (nominal)'!$D$12:$AM$244,ROW()-12,FALSE)*VLOOKUP($C174,CPI!$B$9:$I$63,8))</f>
        <v/>
      </c>
      <c r="AM174" s="31" t="str">
        <f>IF(HLOOKUP(AM$13,'MP (nominal)'!$D$12:$AM$244,ROW()-12,FALSE)="","",HLOOKUP(AM$13,'MP (nominal)'!$D$12:$AM$244,ROW()-12,FALSE))</f>
        <v/>
      </c>
      <c r="AN174" s="31" t="str">
        <f>IF(HLOOKUP(AN$13,'MP (nominal)'!$D$12:$AM$244,ROW()-12,FALSE)="","",HLOOKUP(AN$13,'MP (nominal)'!$D$12:$AM$244,ROW()-12,FALSE))</f>
        <v/>
      </c>
      <c r="AO174" s="281"/>
      <c r="AP174" s="281" t="str">
        <f>IF(HLOOKUP(AP$13,'MP (nominal)'!$D$12:$AM$244,ROW()-12,FALSE)="","",HLOOKUP(AP$13,'MP (nominal)'!$D$12:$AM$244,ROW()-12,FALSE)*VLOOKUP($C174,CPI!$B$9:$I$63,8))</f>
        <v/>
      </c>
      <c r="AQ174" s="31" t="str">
        <f>IF(HLOOKUP(AQ$13,'MP (nominal)'!$D$12:$AM$244,ROW()-12,FALSE)="","",HLOOKUP(AQ$13,'MP (nominal)'!$D$12:$AM$244,ROW()-12,FALSE))</f>
        <v/>
      </c>
      <c r="AR174" s="281" t="str">
        <f>IF(HLOOKUP(AR$13,'MP (nominal)'!$D$12:$AM$244,ROW()-12,FALSE)="","",HLOOKUP(AR$13,'MP (nominal)'!$D$12:$AM$244,ROW()-12,FALSE))</f>
        <v/>
      </c>
    </row>
    <row r="175" spans="1:44" s="278" customFormat="1" hidden="1">
      <c r="A175" s="271">
        <f>References!D278</f>
        <v>462</v>
      </c>
      <c r="B175" s="292" t="s">
        <v>49</v>
      </c>
      <c r="C175" s="284">
        <v>2005</v>
      </c>
      <c r="D175" s="27" t="str">
        <f>IF(HLOOKUP(D$13,'MP (nominal)'!$D$12:$AM$244,ROW()-12,FALSE)="","",HLOOKUP(D$13,'MP (nominal)'!$D$12:$AM$244,ROW()-12,FALSE))</f>
        <v/>
      </c>
      <c r="E175" s="281" t="str">
        <f>IF(HLOOKUP(E$13,'MP (nominal)'!$D$12:$AM$244,ROW()-12,FALSE)="","",HLOOKUP(E$13,'MP (nominal)'!$D$12:$AM$244,ROW()-12,FALSE))</f>
        <v/>
      </c>
      <c r="F175" s="27">
        <f>IF(HLOOKUP(F$13,'MP (nominal)'!$D$12:$AM$244,ROW()-12,FALSE)="","",HLOOKUP(F$13,'MP (nominal)'!$D$12:$AM$244,ROW()-12,FALSE))</f>
        <v>242.8</v>
      </c>
      <c r="G175" s="281" t="str">
        <f>IF(HLOOKUP(G$13,'MP (nominal)'!$D$12:$AM$244,ROW()-12,FALSE)="","",HLOOKUP(G$13,'MP (nominal)'!$D$12:$AM$244,ROW()-12,FALSE))</f>
        <v/>
      </c>
      <c r="H175" s="27">
        <f>IF(HLOOKUP(H$13,'MP (nominal)'!$D$12:$AM$244,ROW()-12,FALSE)="","",HLOOKUP(H$13,'MP (nominal)'!$D$12:$AM$244,ROW()-12,FALSE))</f>
        <v>4376</v>
      </c>
      <c r="I175" s="31" t="str">
        <f>IF(HLOOKUP(I$13,'MP (nominal)'!$D$12:$AM$244,ROW()-12,FALSE)="","",HLOOKUP(I$13,'MP (nominal)'!$D$12:$AM$244,ROW()-12,FALSE))</f>
        <v/>
      </c>
      <c r="J175" s="31">
        <f>IF(HLOOKUP(J$13,'MP (nominal)'!$D$12:$AM$244,ROW()-12,FALSE)="","",HLOOKUP(J$13,'MP (nominal)'!$D$12:$AM$244,ROW()-12,FALSE))</f>
        <v>4133.3</v>
      </c>
      <c r="K175" s="281"/>
      <c r="L175" s="27">
        <f>IF(HLOOKUP(L$13,'MP (nominal)'!$D$12:$AM$244,ROW()-12,FALSE)="","",HLOOKUP(L$13,'MP (nominal)'!$D$12:$AM$244,ROW()-12,FALSE))</f>
        <v>55.58</v>
      </c>
      <c r="M175" s="293">
        <f>IF(HLOOKUP(M$13,'MP (nominal)'!$D$12:$AM$244,ROW()-12,FALSE)="","",HLOOKUP(M$13,'MP (nominal)'!$D$12:$AM$244,ROW()-12,FALSE))</f>
        <v>291.45299999999997</v>
      </c>
      <c r="N175" s="35"/>
      <c r="O175" s="27">
        <f>IF(HLOOKUP(O$13,'MP (nominal)'!$D$12:$AM$244,ROW()-12,FALSE)="","",HLOOKUP(O$13,'MP (nominal)'!$D$12:$AM$244,ROW()-12,FALSE))</f>
        <v>25535</v>
      </c>
      <c r="P175" s="31"/>
      <c r="Q175" s="281"/>
      <c r="R175" s="281">
        <f>IF(HLOOKUP(R$13,'MP (nominal)'!$D$12:$AM$244,ROW()-12,FALSE)="","",HLOOKUP(R$13,'MP (nominal)'!$D$12:$AM$244,ROW()-12,FALSE))</f>
        <v>305.60000000000002</v>
      </c>
      <c r="S175" s="281" t="str">
        <f>IF(HLOOKUP(S$13,'MP (nominal)'!$D$12:$AM$244,ROW()-12,FALSE)="","",HLOOKUP(S$13,'MP (nominal)'!$D$12:$AM$244,ROW()-12,FALSE))</f>
        <v/>
      </c>
      <c r="T175" s="281" t="str">
        <f>IF(HLOOKUP(T$13,'MP (nominal)'!$D$12:$AM$244,ROW()-12,FALSE)="","",HLOOKUP(T$13,'MP (nominal)'!$D$12:$AM$244,ROW()-12,FALSE))</f>
        <v/>
      </c>
      <c r="U175" s="281"/>
      <c r="V175" s="281">
        <f>IF(HLOOKUP(V$13,'MP (nominal)'!$D$12:$AM$244,ROW()-12,FALSE)="","",HLOOKUP(V$13,'MP (nominal)'!$D$12:$AM$244,ROW()-12,FALSE))</f>
        <v>4.0199999999999996</v>
      </c>
      <c r="W175" s="281" t="str">
        <f>IF(HLOOKUP(W$13,'MP (nominal)'!$D$12:$AM$244,ROW()-12,FALSE)="","",HLOOKUP(W$13,'MP (nominal)'!$D$12:$AM$244,ROW()-12,FALSE))</f>
        <v/>
      </c>
      <c r="X175" s="281" t="str">
        <f>IF(HLOOKUP(X$13,'MP (nominal)'!$D$12:$AM$244,ROW()-12,FALSE)="","",HLOOKUP(X$13,'MP (nominal)'!$D$12:$AM$244,ROW()-12,FALSE))</f>
        <v/>
      </c>
      <c r="Y175" s="281"/>
      <c r="Z175" s="281" t="str">
        <f>IF(HLOOKUP(Z$13,'MP (nominal)'!$D$12:$AM$244,ROW()-12,FALSE)="","",HLOOKUP(Z$13,'MP (nominal)'!$D$12:$AM$244,ROW()-12,FALSE)*VLOOKUP($C175,CPI!$B$9:$I$63,8))</f>
        <v/>
      </c>
      <c r="AA175" s="281" t="str">
        <f>IF(HLOOKUP(AA$13,'MP (nominal)'!$D$12:$AM$244,ROW()-12,FALSE)="","",HLOOKUP(AA$13,'MP (nominal)'!$D$12:$AM$244,ROW()-12,FALSE))</f>
        <v/>
      </c>
      <c r="AB175" s="281" t="str">
        <f>IF(HLOOKUP(AB$13,'MP (nominal)'!$D$12:$AM$244,ROW()-12,FALSE)="","",HLOOKUP(AB$13,'MP (nominal)'!$D$12:$AM$244,ROW()-12,FALSE))</f>
        <v/>
      </c>
      <c r="AC175" s="281"/>
      <c r="AD175" s="281" t="str">
        <f>IF(HLOOKUP(AD$13,'MP (nominal)'!$D$12:$AM$244,ROW()-12,FALSE)="","",HLOOKUP(AD$13,'MP (nominal)'!$D$12:$AM$244,ROW()-12,FALSE)*VLOOKUP($C175,CPI!$B$9:$I$63,8))</f>
        <v/>
      </c>
      <c r="AE175" s="31" t="str">
        <f>IF(HLOOKUP(AE$13,'MP (nominal)'!$D$12:$AM$244,ROW()-12,FALSE)="","",HLOOKUP(AE$13,'MP (nominal)'!$D$12:$AM$244,ROW()-12,FALSE))</f>
        <v/>
      </c>
      <c r="AF175" s="31" t="str">
        <f>IF(HLOOKUP(AF$13,'MP (nominal)'!$D$12:$AM$244,ROW()-12,FALSE)="","",HLOOKUP(AF$13,'MP (nominal)'!$D$12:$AM$244,ROW()-12,FALSE))</f>
        <v/>
      </c>
      <c r="AG175" s="281"/>
      <c r="AH175" s="281" t="str">
        <f>IF(HLOOKUP(AH$13,'MP (nominal)'!$D$12:$AM$244,ROW()-12,FALSE)="","",HLOOKUP(AH$13,'MP (nominal)'!$D$12:$AM$244,ROW()-12,FALSE)*VLOOKUP($C175,CPI!$B$9:$I$63,8))</f>
        <v/>
      </c>
      <c r="AI175" s="31" t="str">
        <f>IF(HLOOKUP(AI$13,'MP (nominal)'!$D$12:$AM$244,ROW()-12,FALSE)="","",HLOOKUP(AI$13,'MP (nominal)'!$D$12:$AM$244,ROW()-12,FALSE))</f>
        <v/>
      </c>
      <c r="AJ175" s="31" t="str">
        <f>IF(HLOOKUP(AJ$13,'MP (nominal)'!$D$12:$AM$244,ROW()-12,FALSE)="","",HLOOKUP(AJ$13,'MP (nominal)'!$D$12:$AM$244,ROW()-12,FALSE))</f>
        <v/>
      </c>
      <c r="AK175" s="281"/>
      <c r="AL175" s="281" t="str">
        <f>IF(HLOOKUP(AL$13,'MP (nominal)'!$D$12:$AM$244,ROW()-12,FALSE)="","",HLOOKUP(AL$13,'MP (nominal)'!$D$12:$AM$244,ROW()-12,FALSE)*VLOOKUP($C175,CPI!$B$9:$I$63,8))</f>
        <v/>
      </c>
      <c r="AM175" s="31" t="str">
        <f>IF(HLOOKUP(AM$13,'MP (nominal)'!$D$12:$AM$244,ROW()-12,FALSE)="","",HLOOKUP(AM$13,'MP (nominal)'!$D$12:$AM$244,ROW()-12,FALSE))</f>
        <v/>
      </c>
      <c r="AN175" s="31" t="str">
        <f>IF(HLOOKUP(AN$13,'MP (nominal)'!$D$12:$AM$244,ROW()-12,FALSE)="","",HLOOKUP(AN$13,'MP (nominal)'!$D$12:$AM$244,ROW()-12,FALSE))</f>
        <v/>
      </c>
      <c r="AO175" s="281"/>
      <c r="AP175" s="281" t="str">
        <f>IF(HLOOKUP(AP$13,'MP (nominal)'!$D$12:$AM$244,ROW()-12,FALSE)="","",HLOOKUP(AP$13,'MP (nominal)'!$D$12:$AM$244,ROW()-12,FALSE)*VLOOKUP($C175,CPI!$B$9:$I$63,8))</f>
        <v/>
      </c>
      <c r="AQ175" s="31" t="str">
        <f>IF(HLOOKUP(AQ$13,'MP (nominal)'!$D$12:$AM$244,ROW()-12,FALSE)="","",HLOOKUP(AQ$13,'MP (nominal)'!$D$12:$AM$244,ROW()-12,FALSE))</f>
        <v/>
      </c>
      <c r="AR175" s="281" t="str">
        <f>IF(HLOOKUP(AR$13,'MP (nominal)'!$D$12:$AM$244,ROW()-12,FALSE)="","",HLOOKUP(AR$13,'MP (nominal)'!$D$12:$AM$244,ROW()-12,FALSE))</f>
        <v/>
      </c>
    </row>
    <row r="176" spans="1:44" s="278" customFormat="1" hidden="1">
      <c r="A176" s="271">
        <f>References!E278</f>
        <v>463</v>
      </c>
      <c r="B176" s="292" t="s">
        <v>49</v>
      </c>
      <c r="C176" s="284">
        <v>2006</v>
      </c>
      <c r="D176" s="27" t="str">
        <f>IF(HLOOKUP(D$13,'MP (nominal)'!$D$12:$AM$244,ROW()-12,FALSE)="","",HLOOKUP(D$13,'MP (nominal)'!$D$12:$AM$244,ROW()-12,FALSE))</f>
        <v/>
      </c>
      <c r="E176" s="281" t="str">
        <f>IF(HLOOKUP(E$13,'MP (nominal)'!$D$12:$AM$244,ROW()-12,FALSE)="","",HLOOKUP(E$13,'MP (nominal)'!$D$12:$AM$244,ROW()-12,FALSE))</f>
        <v/>
      </c>
      <c r="F176" s="27">
        <f>IF(HLOOKUP(F$13,'MP (nominal)'!$D$12:$AM$244,ROW()-12,FALSE)="","",HLOOKUP(F$13,'MP (nominal)'!$D$12:$AM$244,ROW()-12,FALSE))</f>
        <v>247.6</v>
      </c>
      <c r="G176" s="281" t="str">
        <f>IF(HLOOKUP(G$13,'MP (nominal)'!$D$12:$AM$244,ROW()-12,FALSE)="","",HLOOKUP(G$13,'MP (nominal)'!$D$12:$AM$244,ROW()-12,FALSE))</f>
        <v/>
      </c>
      <c r="H176" s="27">
        <f>IF(HLOOKUP(H$13,'MP (nominal)'!$D$12:$AM$244,ROW()-12,FALSE)="","",HLOOKUP(H$13,'MP (nominal)'!$D$12:$AM$244,ROW()-12,FALSE))</f>
        <v>4409.2</v>
      </c>
      <c r="I176" s="31" t="str">
        <f>IF(HLOOKUP(I$13,'MP (nominal)'!$D$12:$AM$244,ROW()-12,FALSE)="","",HLOOKUP(I$13,'MP (nominal)'!$D$12:$AM$244,ROW()-12,FALSE))</f>
        <v/>
      </c>
      <c r="J176" s="31">
        <f>IF(HLOOKUP(J$13,'MP (nominal)'!$D$12:$AM$244,ROW()-12,FALSE)="","",HLOOKUP(J$13,'MP (nominal)'!$D$12:$AM$244,ROW()-12,FALSE))</f>
        <v>4161.6000000000004</v>
      </c>
      <c r="K176" s="281"/>
      <c r="L176" s="27">
        <f>IF(HLOOKUP(L$13,'MP (nominal)'!$D$12:$AM$244,ROW()-12,FALSE)="","",HLOOKUP(L$13,'MP (nominal)'!$D$12:$AM$244,ROW()-12,FALSE))</f>
        <v>55.7</v>
      </c>
      <c r="M176" s="293">
        <f>IF(HLOOKUP(M$13,'MP (nominal)'!$D$12:$AM$244,ROW()-12,FALSE)="","",HLOOKUP(M$13,'MP (nominal)'!$D$12:$AM$244,ROW()-12,FALSE))</f>
        <v>294.803</v>
      </c>
      <c r="N176" s="35"/>
      <c r="O176" s="27">
        <f>IF(HLOOKUP(O$13,'MP (nominal)'!$D$12:$AM$244,ROW()-12,FALSE)="","",HLOOKUP(O$13,'MP (nominal)'!$D$12:$AM$244,ROW()-12,FALSE))</f>
        <v>26181</v>
      </c>
      <c r="P176" s="31"/>
      <c r="Q176" s="281"/>
      <c r="R176" s="281">
        <f>IF(HLOOKUP(R$13,'MP (nominal)'!$D$12:$AM$244,ROW()-12,FALSE)="","",HLOOKUP(R$13,'MP (nominal)'!$D$12:$AM$244,ROW()-12,FALSE))</f>
        <v>284.89999999999998</v>
      </c>
      <c r="S176" s="281" t="str">
        <f>IF(HLOOKUP(S$13,'MP (nominal)'!$D$12:$AM$244,ROW()-12,FALSE)="","",HLOOKUP(S$13,'MP (nominal)'!$D$12:$AM$244,ROW()-12,FALSE))</f>
        <v/>
      </c>
      <c r="T176" s="281" t="str">
        <f>IF(HLOOKUP(T$13,'MP (nominal)'!$D$12:$AM$244,ROW()-12,FALSE)="","",HLOOKUP(T$13,'MP (nominal)'!$D$12:$AM$244,ROW()-12,FALSE))</f>
        <v/>
      </c>
      <c r="U176" s="281"/>
      <c r="V176" s="281">
        <f>IF(HLOOKUP(V$13,'MP (nominal)'!$D$12:$AM$244,ROW()-12,FALSE)="","",HLOOKUP(V$13,'MP (nominal)'!$D$12:$AM$244,ROW()-12,FALSE))</f>
        <v>3.84</v>
      </c>
      <c r="W176" s="281" t="str">
        <f>IF(HLOOKUP(W$13,'MP (nominal)'!$D$12:$AM$244,ROW()-12,FALSE)="","",HLOOKUP(W$13,'MP (nominal)'!$D$12:$AM$244,ROW()-12,FALSE))</f>
        <v/>
      </c>
      <c r="X176" s="281" t="str">
        <f>IF(HLOOKUP(X$13,'MP (nominal)'!$D$12:$AM$244,ROW()-12,FALSE)="","",HLOOKUP(X$13,'MP (nominal)'!$D$12:$AM$244,ROW()-12,FALSE))</f>
        <v/>
      </c>
      <c r="Y176" s="281"/>
      <c r="Z176" s="281" t="str">
        <f>IF(HLOOKUP(Z$13,'MP (nominal)'!$D$12:$AM$244,ROW()-12,FALSE)="","",HLOOKUP(Z$13,'MP (nominal)'!$D$12:$AM$244,ROW()-12,FALSE)*VLOOKUP($C176,CPI!$B$9:$I$63,8))</f>
        <v/>
      </c>
      <c r="AA176" s="281" t="str">
        <f>IF(HLOOKUP(AA$13,'MP (nominal)'!$D$12:$AM$244,ROW()-12,FALSE)="","",HLOOKUP(AA$13,'MP (nominal)'!$D$12:$AM$244,ROW()-12,FALSE))</f>
        <v/>
      </c>
      <c r="AB176" s="281" t="str">
        <f>IF(HLOOKUP(AB$13,'MP (nominal)'!$D$12:$AM$244,ROW()-12,FALSE)="","",HLOOKUP(AB$13,'MP (nominal)'!$D$12:$AM$244,ROW()-12,FALSE))</f>
        <v/>
      </c>
      <c r="AC176" s="281"/>
      <c r="AD176" s="281" t="str">
        <f>IF(HLOOKUP(AD$13,'MP (nominal)'!$D$12:$AM$244,ROW()-12,FALSE)="","",HLOOKUP(AD$13,'MP (nominal)'!$D$12:$AM$244,ROW()-12,FALSE)*VLOOKUP($C176,CPI!$B$9:$I$63,8))</f>
        <v/>
      </c>
      <c r="AE176" s="31" t="str">
        <f>IF(HLOOKUP(AE$13,'MP (nominal)'!$D$12:$AM$244,ROW()-12,FALSE)="","",HLOOKUP(AE$13,'MP (nominal)'!$D$12:$AM$244,ROW()-12,FALSE))</f>
        <v/>
      </c>
      <c r="AF176" s="31" t="str">
        <f>IF(HLOOKUP(AF$13,'MP (nominal)'!$D$12:$AM$244,ROW()-12,FALSE)="","",HLOOKUP(AF$13,'MP (nominal)'!$D$12:$AM$244,ROW()-12,FALSE))</f>
        <v/>
      </c>
      <c r="AG176" s="281"/>
      <c r="AH176" s="281" t="str">
        <f>IF(HLOOKUP(AH$13,'MP (nominal)'!$D$12:$AM$244,ROW()-12,FALSE)="","",HLOOKUP(AH$13,'MP (nominal)'!$D$12:$AM$244,ROW()-12,FALSE)*VLOOKUP($C176,CPI!$B$9:$I$63,8))</f>
        <v/>
      </c>
      <c r="AI176" s="31" t="str">
        <f>IF(HLOOKUP(AI$13,'MP (nominal)'!$D$12:$AM$244,ROW()-12,FALSE)="","",HLOOKUP(AI$13,'MP (nominal)'!$D$12:$AM$244,ROW()-12,FALSE))</f>
        <v/>
      </c>
      <c r="AJ176" s="31" t="str">
        <f>IF(HLOOKUP(AJ$13,'MP (nominal)'!$D$12:$AM$244,ROW()-12,FALSE)="","",HLOOKUP(AJ$13,'MP (nominal)'!$D$12:$AM$244,ROW()-12,FALSE))</f>
        <v/>
      </c>
      <c r="AK176" s="281"/>
      <c r="AL176" s="281" t="str">
        <f>IF(HLOOKUP(AL$13,'MP (nominal)'!$D$12:$AM$244,ROW()-12,FALSE)="","",HLOOKUP(AL$13,'MP (nominal)'!$D$12:$AM$244,ROW()-12,FALSE)*VLOOKUP($C176,CPI!$B$9:$I$63,8))</f>
        <v/>
      </c>
      <c r="AM176" s="31" t="str">
        <f>IF(HLOOKUP(AM$13,'MP (nominal)'!$D$12:$AM$244,ROW()-12,FALSE)="","",HLOOKUP(AM$13,'MP (nominal)'!$D$12:$AM$244,ROW()-12,FALSE))</f>
        <v/>
      </c>
      <c r="AN176" s="31" t="str">
        <f>IF(HLOOKUP(AN$13,'MP (nominal)'!$D$12:$AM$244,ROW()-12,FALSE)="","",HLOOKUP(AN$13,'MP (nominal)'!$D$12:$AM$244,ROW()-12,FALSE))</f>
        <v/>
      </c>
      <c r="AO176" s="281"/>
      <c r="AP176" s="281" t="str">
        <f>IF(HLOOKUP(AP$13,'MP (nominal)'!$D$12:$AM$244,ROW()-12,FALSE)="","",HLOOKUP(AP$13,'MP (nominal)'!$D$12:$AM$244,ROW()-12,FALSE)*VLOOKUP($C176,CPI!$B$9:$I$63,8))</f>
        <v/>
      </c>
      <c r="AQ176" s="31" t="str">
        <f>IF(HLOOKUP(AQ$13,'MP (nominal)'!$D$12:$AM$244,ROW()-12,FALSE)="","",HLOOKUP(AQ$13,'MP (nominal)'!$D$12:$AM$244,ROW()-12,FALSE))</f>
        <v/>
      </c>
      <c r="AR176" s="281" t="str">
        <f>IF(HLOOKUP(AR$13,'MP (nominal)'!$D$12:$AM$244,ROW()-12,FALSE)="","",HLOOKUP(AR$13,'MP (nominal)'!$D$12:$AM$244,ROW()-12,FALSE))</f>
        <v/>
      </c>
    </row>
    <row r="177" spans="1:44" s="278" customFormat="1" hidden="1">
      <c r="A177" s="271">
        <f>References!F278</f>
        <v>464</v>
      </c>
      <c r="B177" s="292" t="s">
        <v>49</v>
      </c>
      <c r="C177" s="284">
        <v>2007</v>
      </c>
      <c r="D177" s="27" t="str">
        <f>IF(HLOOKUP(D$13,'MP (nominal)'!$D$12:$AM$244,ROW()-12,FALSE)="","",HLOOKUP(D$13,'MP (nominal)'!$D$12:$AM$244,ROW()-12,FALSE))</f>
        <v/>
      </c>
      <c r="E177" s="281" t="str">
        <f>IF(HLOOKUP(E$13,'MP (nominal)'!$D$12:$AM$244,ROW()-12,FALSE)="","",HLOOKUP(E$13,'MP (nominal)'!$D$12:$AM$244,ROW()-12,FALSE))</f>
        <v/>
      </c>
      <c r="F177" s="27">
        <f>IF(HLOOKUP(F$13,'MP (nominal)'!$D$12:$AM$244,ROW()-12,FALSE)="","",HLOOKUP(F$13,'MP (nominal)'!$D$12:$AM$244,ROW()-12,FALSE))</f>
        <v>242</v>
      </c>
      <c r="G177" s="281" t="str">
        <f>IF(HLOOKUP(G$13,'MP (nominal)'!$D$12:$AM$244,ROW()-12,FALSE)="","",HLOOKUP(G$13,'MP (nominal)'!$D$12:$AM$244,ROW()-12,FALSE))</f>
        <v/>
      </c>
      <c r="H177" s="27">
        <f>IF(HLOOKUP(H$13,'MP (nominal)'!$D$12:$AM$244,ROW()-12,FALSE)="","",HLOOKUP(H$13,'MP (nominal)'!$D$12:$AM$244,ROW()-12,FALSE))</f>
        <v>4381.3</v>
      </c>
      <c r="I177" s="31" t="str">
        <f>IF(HLOOKUP(I$13,'MP (nominal)'!$D$12:$AM$244,ROW()-12,FALSE)="","",HLOOKUP(I$13,'MP (nominal)'!$D$12:$AM$244,ROW()-12,FALSE))</f>
        <v/>
      </c>
      <c r="J177" s="31">
        <f>IF(HLOOKUP(J$13,'MP (nominal)'!$D$12:$AM$244,ROW()-12,FALSE)="","",HLOOKUP(J$13,'MP (nominal)'!$D$12:$AM$244,ROW()-12,FALSE))</f>
        <v>4139.3</v>
      </c>
      <c r="K177" s="281"/>
      <c r="L177" s="27">
        <f>IF(HLOOKUP(L$13,'MP (nominal)'!$D$12:$AM$244,ROW()-12,FALSE)="","",HLOOKUP(L$13,'MP (nominal)'!$D$12:$AM$244,ROW()-12,FALSE))</f>
        <v>58.44</v>
      </c>
      <c r="M177" s="293">
        <f>IF(HLOOKUP(M$13,'MP (nominal)'!$D$12:$AM$244,ROW()-12,FALSE)="","",HLOOKUP(M$13,'MP (nominal)'!$D$12:$AM$244,ROW()-12,FALSE))</f>
        <v>306.39299999999997</v>
      </c>
      <c r="N177" s="35"/>
      <c r="O177" s="27">
        <f>IF(HLOOKUP(O$13,'MP (nominal)'!$D$12:$AM$244,ROW()-12,FALSE)="","",HLOOKUP(O$13,'MP (nominal)'!$D$12:$AM$244,ROW()-12,FALSE))</f>
        <v>23359</v>
      </c>
      <c r="P177" s="31"/>
      <c r="Q177" s="281"/>
      <c r="R177" s="281">
        <f>IF(HLOOKUP(R$13,'MP (nominal)'!$D$12:$AM$244,ROW()-12,FALSE)="","",HLOOKUP(R$13,'MP (nominal)'!$D$12:$AM$244,ROW()-12,FALSE))</f>
        <v>368.5</v>
      </c>
      <c r="S177" s="281" t="str">
        <f>IF(HLOOKUP(S$13,'MP (nominal)'!$D$12:$AM$244,ROW()-12,FALSE)="","",HLOOKUP(S$13,'MP (nominal)'!$D$12:$AM$244,ROW()-12,FALSE))</f>
        <v/>
      </c>
      <c r="T177" s="281" t="str">
        <f>IF(HLOOKUP(T$13,'MP (nominal)'!$D$12:$AM$244,ROW()-12,FALSE)="","",HLOOKUP(T$13,'MP (nominal)'!$D$12:$AM$244,ROW()-12,FALSE))</f>
        <v/>
      </c>
      <c r="U177" s="281"/>
      <c r="V177" s="281">
        <f>IF(HLOOKUP(V$13,'MP (nominal)'!$D$12:$AM$244,ROW()-12,FALSE)="","",HLOOKUP(V$13,'MP (nominal)'!$D$12:$AM$244,ROW()-12,FALSE))</f>
        <v>3.63</v>
      </c>
      <c r="W177" s="281" t="str">
        <f>IF(HLOOKUP(W$13,'MP (nominal)'!$D$12:$AM$244,ROW()-12,FALSE)="","",HLOOKUP(W$13,'MP (nominal)'!$D$12:$AM$244,ROW()-12,FALSE))</f>
        <v/>
      </c>
      <c r="X177" s="281" t="str">
        <f>IF(HLOOKUP(X$13,'MP (nominal)'!$D$12:$AM$244,ROW()-12,FALSE)="","",HLOOKUP(X$13,'MP (nominal)'!$D$12:$AM$244,ROW()-12,FALSE))</f>
        <v/>
      </c>
      <c r="Y177" s="281"/>
      <c r="Z177" s="281" t="str">
        <f>IF(HLOOKUP(Z$13,'MP (nominal)'!$D$12:$AM$244,ROW()-12,FALSE)="","",HLOOKUP(Z$13,'MP (nominal)'!$D$12:$AM$244,ROW()-12,FALSE)*VLOOKUP($C177,CPI!$B$9:$I$63,8))</f>
        <v/>
      </c>
      <c r="AA177" s="281" t="str">
        <f>IF(HLOOKUP(AA$13,'MP (nominal)'!$D$12:$AM$244,ROW()-12,FALSE)="","",HLOOKUP(AA$13,'MP (nominal)'!$D$12:$AM$244,ROW()-12,FALSE))</f>
        <v/>
      </c>
      <c r="AB177" s="281" t="str">
        <f>IF(HLOOKUP(AB$13,'MP (nominal)'!$D$12:$AM$244,ROW()-12,FALSE)="","",HLOOKUP(AB$13,'MP (nominal)'!$D$12:$AM$244,ROW()-12,FALSE))</f>
        <v/>
      </c>
      <c r="AC177" s="281"/>
      <c r="AD177" s="281" t="str">
        <f>IF(HLOOKUP(AD$13,'MP (nominal)'!$D$12:$AM$244,ROW()-12,FALSE)="","",HLOOKUP(AD$13,'MP (nominal)'!$D$12:$AM$244,ROW()-12,FALSE)*VLOOKUP($C177,CPI!$B$9:$I$63,8))</f>
        <v/>
      </c>
      <c r="AE177" s="31" t="str">
        <f>IF(HLOOKUP(AE$13,'MP (nominal)'!$D$12:$AM$244,ROW()-12,FALSE)="","",HLOOKUP(AE$13,'MP (nominal)'!$D$12:$AM$244,ROW()-12,FALSE))</f>
        <v/>
      </c>
      <c r="AF177" s="31" t="str">
        <f>IF(HLOOKUP(AF$13,'MP (nominal)'!$D$12:$AM$244,ROW()-12,FALSE)="","",HLOOKUP(AF$13,'MP (nominal)'!$D$12:$AM$244,ROW()-12,FALSE))</f>
        <v/>
      </c>
      <c r="AG177" s="281"/>
      <c r="AH177" s="281" t="str">
        <f>IF(HLOOKUP(AH$13,'MP (nominal)'!$D$12:$AM$244,ROW()-12,FALSE)="","",HLOOKUP(AH$13,'MP (nominal)'!$D$12:$AM$244,ROW()-12,FALSE)*VLOOKUP($C177,CPI!$B$9:$I$63,8))</f>
        <v/>
      </c>
      <c r="AI177" s="31" t="str">
        <f>IF(HLOOKUP(AI$13,'MP (nominal)'!$D$12:$AM$244,ROW()-12,FALSE)="","",HLOOKUP(AI$13,'MP (nominal)'!$D$12:$AM$244,ROW()-12,FALSE))</f>
        <v/>
      </c>
      <c r="AJ177" s="31" t="str">
        <f>IF(HLOOKUP(AJ$13,'MP (nominal)'!$D$12:$AM$244,ROW()-12,FALSE)="","",HLOOKUP(AJ$13,'MP (nominal)'!$D$12:$AM$244,ROW()-12,FALSE))</f>
        <v/>
      </c>
      <c r="AK177" s="281"/>
      <c r="AL177" s="281" t="str">
        <f>IF(HLOOKUP(AL$13,'MP (nominal)'!$D$12:$AM$244,ROW()-12,FALSE)="","",HLOOKUP(AL$13,'MP (nominal)'!$D$12:$AM$244,ROW()-12,FALSE)*VLOOKUP($C177,CPI!$B$9:$I$63,8))</f>
        <v/>
      </c>
      <c r="AM177" s="31" t="str">
        <f>IF(HLOOKUP(AM$13,'MP (nominal)'!$D$12:$AM$244,ROW()-12,FALSE)="","",HLOOKUP(AM$13,'MP (nominal)'!$D$12:$AM$244,ROW()-12,FALSE))</f>
        <v/>
      </c>
      <c r="AN177" s="31" t="str">
        <f>IF(HLOOKUP(AN$13,'MP (nominal)'!$D$12:$AM$244,ROW()-12,FALSE)="","",HLOOKUP(AN$13,'MP (nominal)'!$D$12:$AM$244,ROW()-12,FALSE))</f>
        <v/>
      </c>
      <c r="AO177" s="281"/>
      <c r="AP177" s="281" t="str">
        <f>IF(HLOOKUP(AP$13,'MP (nominal)'!$D$12:$AM$244,ROW()-12,FALSE)="","",HLOOKUP(AP$13,'MP (nominal)'!$D$12:$AM$244,ROW()-12,FALSE)*VLOOKUP($C177,CPI!$B$9:$I$63,8))</f>
        <v/>
      </c>
      <c r="AQ177" s="31" t="str">
        <f>IF(HLOOKUP(AQ$13,'MP (nominal)'!$D$12:$AM$244,ROW()-12,FALSE)="","",HLOOKUP(AQ$13,'MP (nominal)'!$D$12:$AM$244,ROW()-12,FALSE))</f>
        <v/>
      </c>
      <c r="AR177" s="281" t="str">
        <f>IF(HLOOKUP(AR$13,'MP (nominal)'!$D$12:$AM$244,ROW()-12,FALSE)="","",HLOOKUP(AR$13,'MP (nominal)'!$D$12:$AM$244,ROW()-12,FALSE))</f>
        <v/>
      </c>
    </row>
    <row r="178" spans="1:44" s="278" customFormat="1">
      <c r="A178" s="271">
        <f>References!G278</f>
        <v>465</v>
      </c>
      <c r="B178" s="292" t="s">
        <v>49</v>
      </c>
      <c r="C178" s="284">
        <v>2008</v>
      </c>
      <c r="D178" s="27">
        <f>IF(HLOOKUP(D$13,'MP (nominal)'!$D$12:$AM$244,ROW()-12,FALSE)="","",HLOOKUP(D$13,'MP (nominal)'!$D$12:$AM$244,ROW()-12,FALSE))</f>
        <v>4150.0200000000004</v>
      </c>
      <c r="E178" s="281">
        <f>IF(HLOOKUP(E$13,'MP (nominal)'!$D$12:$AM$244,ROW()-12,FALSE)="","",HLOOKUP(E$13,'MP (nominal)'!$D$12:$AM$244,ROW()-12,FALSE))</f>
        <v>0</v>
      </c>
      <c r="F178" s="27">
        <f>IF(HLOOKUP(F$13,'MP (nominal)'!$D$12:$AM$244,ROW()-12,FALSE)="","",HLOOKUP(F$13,'MP (nominal)'!$D$12:$AM$244,ROW()-12,FALSE))</f>
        <v>209.94</v>
      </c>
      <c r="G178" s="281">
        <f>IF(HLOOKUP(G$13,'MP (nominal)'!$D$12:$AM$244,ROW()-12,FALSE)="","",HLOOKUP(G$13,'MP (nominal)'!$D$12:$AM$244,ROW()-12,FALSE))</f>
        <v>44.11</v>
      </c>
      <c r="H178" s="27">
        <f>IF(HLOOKUP(H$13,'MP (nominal)'!$D$12:$AM$244,ROW()-12,FALSE)="","",HLOOKUP(H$13,'MP (nominal)'!$D$12:$AM$244,ROW()-12,FALSE))</f>
        <v>4359.96</v>
      </c>
      <c r="I178" s="31">
        <f>IF(HLOOKUP(I$13,'MP (nominal)'!$D$12:$AM$244,ROW()-12,FALSE)="","",HLOOKUP(I$13,'MP (nominal)'!$D$12:$AM$244,ROW()-12,FALSE))</f>
        <v>44.11</v>
      </c>
      <c r="J178" s="31">
        <f>IF(HLOOKUP(J$13,'MP (nominal)'!$D$12:$AM$244,ROW()-12,FALSE)="","",HLOOKUP(J$13,'MP (nominal)'!$D$12:$AM$244,ROW()-12,FALSE))</f>
        <v>4150.0200000000004</v>
      </c>
      <c r="K178" s="281"/>
      <c r="L178" s="27">
        <f>IF(HLOOKUP(L$13,'MP (nominal)'!$D$12:$AM$244,ROW()-12,FALSE)="","",HLOOKUP(L$13,'MP (nominal)'!$D$12:$AM$244,ROW()-12,FALSE))</f>
        <v>65</v>
      </c>
      <c r="M178" s="283">
        <f>IF(HLOOKUP(M$13,'MP (nominal)'!$D$12:$AM$244,ROW()-12,FALSE)="","",HLOOKUP(M$13,'MP (nominal)'!$D$12:$AM$244,ROW()-12,FALSE))</f>
        <v>301.18700000000001</v>
      </c>
      <c r="N178" s="35"/>
      <c r="O178" s="27">
        <f>IF(HLOOKUP(O$13,'MP (nominal)'!$D$12:$AM$244,ROW()-12,FALSE)="","",HLOOKUP(O$13,'MP (nominal)'!$D$12:$AM$244,ROW()-12,FALSE))</f>
        <v>23228</v>
      </c>
      <c r="P178" s="31"/>
      <c r="Q178" s="281"/>
      <c r="R178" s="281">
        <f>IF(HLOOKUP(R$13,'MP (nominal)'!$D$12:$AM$244,ROW()-12,FALSE)="","",HLOOKUP(R$13,'MP (nominal)'!$D$12:$AM$244,ROW()-12,FALSE))</f>
        <v>267.31</v>
      </c>
      <c r="S178" s="281">
        <f>IF(HLOOKUP(S$13,'MP (nominal)'!$D$12:$AM$244,ROW()-12,FALSE)="","",HLOOKUP(S$13,'MP (nominal)'!$D$12:$AM$244,ROW()-12,FALSE))</f>
        <v>80.709999999999994</v>
      </c>
      <c r="T178" s="281">
        <f>IF(HLOOKUP(T$13,'MP (nominal)'!$D$12:$AM$244,ROW()-12,FALSE)="","",HLOOKUP(T$13,'MP (nominal)'!$D$12:$AM$244,ROW()-12,FALSE))</f>
        <v>186.4</v>
      </c>
      <c r="U178" s="281"/>
      <c r="V178" s="281">
        <f>IF(HLOOKUP(V$13,'MP (nominal)'!$D$12:$AM$244,ROW()-12,FALSE)="","",HLOOKUP(V$13,'MP (nominal)'!$D$12:$AM$244,ROW()-12,FALSE))</f>
        <v>3.68</v>
      </c>
      <c r="W178" s="281">
        <f>IF(HLOOKUP(W$13,'MP (nominal)'!$D$12:$AM$244,ROW()-12,FALSE)="","",HLOOKUP(W$13,'MP (nominal)'!$D$12:$AM$244,ROW()-12,FALSE))</f>
        <v>0.71</v>
      </c>
      <c r="X178" s="281">
        <f>IF(HLOOKUP(X$13,'MP (nominal)'!$D$12:$AM$244,ROW()-12,FALSE)="","",HLOOKUP(X$13,'MP (nominal)'!$D$12:$AM$244,ROW()-12,FALSE))</f>
        <v>2.97</v>
      </c>
      <c r="Y178" s="281"/>
      <c r="Z178" s="281">
        <f>IF(HLOOKUP(Z$13,'MP (nominal)'!$D$12:$AM$244,ROW()-12,FALSE)="","",HLOOKUP(Z$13,'MP (nominal)'!$D$12:$AM$244,ROW()-12,FALSE)*VLOOKUP($C178,CPI!$B$9:$I$63,8))</f>
        <v>14495.309969205326</v>
      </c>
      <c r="AA178" s="281">
        <f>IF(HLOOKUP(AA$13,'MP (nominal)'!$D$12:$AM$244,ROW()-12,FALSE)="","",HLOOKUP(AA$13,'MP (nominal)'!$D$12:$AM$244,ROW()-12,FALSE))</f>
        <v>140071</v>
      </c>
      <c r="AB178" s="281">
        <f>IF(HLOOKUP(AB$13,'MP (nominal)'!$D$12:$AM$244,ROW()-12,FALSE)="","",HLOOKUP(AB$13,'MP (nominal)'!$D$12:$AM$244,ROW()-12,FALSE))</f>
        <v>22942</v>
      </c>
      <c r="AC178" s="281"/>
      <c r="AD178" s="281">
        <f>IF(HLOOKUP(AD$13,'MP (nominal)'!$D$12:$AM$244,ROW()-12,FALSE)="","",HLOOKUP(AD$13,'MP (nominal)'!$D$12:$AM$244,ROW()-12,FALSE)*VLOOKUP($C178,CPI!$B$9:$I$63,8))</f>
        <v>2504.6507915371672</v>
      </c>
      <c r="AE178" s="31">
        <f>IF(HLOOKUP(AE$13,'MP (nominal)'!$D$12:$AM$244,ROW()-12,FALSE)="","",HLOOKUP(AE$13,'MP (nominal)'!$D$12:$AM$244,ROW()-12,FALSE))</f>
        <v>45358</v>
      </c>
      <c r="AF178" s="31">
        <f>IF(HLOOKUP(AF$13,'MP (nominal)'!$D$12:$AM$244,ROW()-12,FALSE)="","",HLOOKUP(AF$13,'MP (nominal)'!$D$12:$AM$244,ROW()-12,FALSE))</f>
        <v>225</v>
      </c>
      <c r="AG178" s="281"/>
      <c r="AH178" s="281">
        <f>IF(HLOOKUP(AH$13,'MP (nominal)'!$D$12:$AM$244,ROW()-12,FALSE)="","",HLOOKUP(AH$13,'MP (nominal)'!$D$12:$AM$244,ROW()-12,FALSE)*VLOOKUP($C178,CPI!$B$9:$I$63,8))</f>
        <v>4172.0738399247239</v>
      </c>
      <c r="AI178" s="31">
        <f>IF(HLOOKUP(AI$13,'MP (nominal)'!$D$12:$AM$244,ROW()-12,FALSE)="","",HLOOKUP(AI$13,'MP (nominal)'!$D$12:$AM$244,ROW()-12,FALSE))</f>
        <v>62458</v>
      </c>
      <c r="AJ178" s="31">
        <f>IF(HLOOKUP(AJ$13,'MP (nominal)'!$D$12:$AM$244,ROW()-12,FALSE)="","",HLOOKUP(AJ$13,'MP (nominal)'!$D$12:$AM$244,ROW()-12,FALSE))</f>
        <v>56</v>
      </c>
      <c r="AK178" s="281"/>
      <c r="AL178" s="281">
        <f>IF(HLOOKUP(AL$13,'MP (nominal)'!$D$12:$AM$244,ROW()-12,FALSE)="","",HLOOKUP(AL$13,'MP (nominal)'!$D$12:$AM$244,ROW()-12,FALSE)*VLOOKUP($C178,CPI!$B$9:$I$63,8))</f>
        <v>3320.2119848307716</v>
      </c>
      <c r="AM178" s="31">
        <f>IF(HLOOKUP(AM$13,'MP (nominal)'!$D$12:$AM$244,ROW()-12,FALSE)="","",HLOOKUP(AM$13,'MP (nominal)'!$D$12:$AM$244,ROW()-12,FALSE))</f>
        <v>53300</v>
      </c>
      <c r="AN178" s="31">
        <f>IF(HLOOKUP(AN$13,'MP (nominal)'!$D$12:$AM$244,ROW()-12,FALSE)="","",HLOOKUP(AN$13,'MP (nominal)'!$D$12:$AM$244,ROW()-12,FALSE))</f>
        <v>5</v>
      </c>
      <c r="AO178" s="281"/>
      <c r="AP178" s="281">
        <f>IF(HLOOKUP(AP$13,'MP (nominal)'!$D$12:$AM$244,ROW()-12,FALSE)="","",HLOOKUP(AP$13,'MP (nominal)'!$D$12:$AM$244,ROW()-12,FALSE)*VLOOKUP($C178,CPI!$B$9:$I$63,8))</f>
        <v>24492.246585497989</v>
      </c>
      <c r="AQ178" s="31">
        <f>IF(HLOOKUP(AQ$13,'MP (nominal)'!$D$12:$AM$244,ROW()-12,FALSE)="","",HLOOKUP(AQ$13,'MP (nominal)'!$D$12:$AM$244,ROW()-12,FALSE))</f>
        <v>301187</v>
      </c>
      <c r="AR178" s="281">
        <f>IF(HLOOKUP(AR$13,'MP (nominal)'!$D$12:$AM$244,ROW()-12,FALSE)="","",HLOOKUP(AR$13,'MP (nominal)'!$D$12:$AM$244,ROW()-12,FALSE))</f>
        <v>23228</v>
      </c>
    </row>
    <row r="179" spans="1:44" s="278" customFormat="1">
      <c r="A179" s="271">
        <f>References!H278</f>
        <v>466</v>
      </c>
      <c r="B179" s="292" t="s">
        <v>49</v>
      </c>
      <c r="C179" s="284">
        <v>2009</v>
      </c>
      <c r="D179" s="27">
        <f>IF(HLOOKUP(D$13,'MP (nominal)'!$D$12:$AM$244,ROW()-12,FALSE)="","",HLOOKUP(D$13,'MP (nominal)'!$D$12:$AM$244,ROW()-12,FALSE))</f>
        <v>4144</v>
      </c>
      <c r="E179" s="281">
        <f>IF(HLOOKUP(E$13,'MP (nominal)'!$D$12:$AM$244,ROW()-12,FALSE)="","",HLOOKUP(E$13,'MP (nominal)'!$D$12:$AM$244,ROW()-12,FALSE))</f>
        <v>0</v>
      </c>
      <c r="F179" s="27">
        <f>IF(HLOOKUP(F$13,'MP (nominal)'!$D$12:$AM$244,ROW()-12,FALSE)="","",HLOOKUP(F$13,'MP (nominal)'!$D$12:$AM$244,ROW()-12,FALSE))</f>
        <v>272.79000000000002</v>
      </c>
      <c r="G179" s="281">
        <f>IF(HLOOKUP(G$13,'MP (nominal)'!$D$12:$AM$244,ROW()-12,FALSE)="","",HLOOKUP(G$13,'MP (nominal)'!$D$12:$AM$244,ROW()-12,FALSE))</f>
        <v>44</v>
      </c>
      <c r="H179" s="27">
        <f>IF(HLOOKUP(H$13,'MP (nominal)'!$D$12:$AM$244,ROW()-12,FALSE)="","",HLOOKUP(H$13,'MP (nominal)'!$D$12:$AM$244,ROW()-12,FALSE))</f>
        <v>4416.79</v>
      </c>
      <c r="I179" s="31">
        <f>IF(HLOOKUP(I$13,'MP (nominal)'!$D$12:$AM$244,ROW()-12,FALSE)="","",HLOOKUP(I$13,'MP (nominal)'!$D$12:$AM$244,ROW()-12,FALSE))</f>
        <v>44</v>
      </c>
      <c r="J179" s="31">
        <f>IF(HLOOKUP(J$13,'MP (nominal)'!$D$12:$AM$244,ROW()-12,FALSE)="","",HLOOKUP(J$13,'MP (nominal)'!$D$12:$AM$244,ROW()-12,FALSE))</f>
        <v>4144</v>
      </c>
      <c r="K179" s="281"/>
      <c r="L179" s="27">
        <f>IF(HLOOKUP(L$13,'MP (nominal)'!$D$12:$AM$244,ROW()-12,FALSE)="","",HLOOKUP(L$13,'MP (nominal)'!$D$12:$AM$244,ROW()-12,FALSE))</f>
        <v>61</v>
      </c>
      <c r="M179" s="283">
        <f>IF(HLOOKUP(M$13,'MP (nominal)'!$D$12:$AM$244,ROW()-12,FALSE)="","",HLOOKUP(M$13,'MP (nominal)'!$D$12:$AM$244,ROW()-12,FALSE))</f>
        <v>293.74966000000001</v>
      </c>
      <c r="N179" s="35"/>
      <c r="O179" s="27">
        <f>IF(HLOOKUP(O$13,'MP (nominal)'!$D$12:$AM$244,ROW()-12,FALSE)="","",HLOOKUP(O$13,'MP (nominal)'!$D$12:$AM$244,ROW()-12,FALSE))</f>
        <v>24185</v>
      </c>
      <c r="P179" s="31"/>
      <c r="Q179" s="281"/>
      <c r="R179" s="281">
        <f>IF(HLOOKUP(R$13,'MP (nominal)'!$D$12:$AM$244,ROW()-12,FALSE)="","",HLOOKUP(R$13,'MP (nominal)'!$D$12:$AM$244,ROW()-12,FALSE))</f>
        <v>297.13</v>
      </c>
      <c r="S179" s="281">
        <f>IF(HLOOKUP(S$13,'MP (nominal)'!$D$12:$AM$244,ROW()-12,FALSE)="","",HLOOKUP(S$13,'MP (nominal)'!$D$12:$AM$244,ROW()-12,FALSE))</f>
        <v>57.71</v>
      </c>
      <c r="T179" s="281">
        <f>IF(HLOOKUP(T$13,'MP (nominal)'!$D$12:$AM$244,ROW()-12,FALSE)="","",HLOOKUP(T$13,'MP (nominal)'!$D$12:$AM$244,ROW()-12,FALSE))</f>
        <v>227.43</v>
      </c>
      <c r="U179" s="281"/>
      <c r="V179" s="281">
        <f>IF(HLOOKUP(V$13,'MP (nominal)'!$D$12:$AM$244,ROW()-12,FALSE)="","",HLOOKUP(V$13,'MP (nominal)'!$D$12:$AM$244,ROW()-12,FALSE))</f>
        <v>4.7690000000000001</v>
      </c>
      <c r="W179" s="281">
        <f>IF(HLOOKUP(W$13,'MP (nominal)'!$D$12:$AM$244,ROW()-12,FALSE)="","",HLOOKUP(W$13,'MP (nominal)'!$D$12:$AM$244,ROW()-12,FALSE))</f>
        <v>0.81</v>
      </c>
      <c r="X179" s="281">
        <f>IF(HLOOKUP(X$13,'MP (nominal)'!$D$12:$AM$244,ROW()-12,FALSE)="","",HLOOKUP(X$13,'MP (nominal)'!$D$12:$AM$244,ROW()-12,FALSE))</f>
        <v>3.45</v>
      </c>
      <c r="Y179" s="281"/>
      <c r="Z179" s="281">
        <f>IF(HLOOKUP(Z$13,'MP (nominal)'!$D$12:$AM$244,ROW()-12,FALSE)="","",HLOOKUP(Z$13,'MP (nominal)'!$D$12:$AM$244,ROW()-12,FALSE)*VLOOKUP($C179,CPI!$B$9:$I$63,8))</f>
        <v>18717.641575125261</v>
      </c>
      <c r="AA179" s="281">
        <f>IF(HLOOKUP(AA$13,'MP (nominal)'!$D$12:$AM$244,ROW()-12,FALSE)="","",HLOOKUP(AA$13,'MP (nominal)'!$D$12:$AM$244,ROW()-12,FALSE))</f>
        <v>188618.91</v>
      </c>
      <c r="AB179" s="281">
        <f>IF(HLOOKUP(AB$13,'MP (nominal)'!$D$12:$AM$244,ROW()-12,FALSE)="","",HLOOKUP(AB$13,'MP (nominal)'!$D$12:$AM$244,ROW()-12,FALSE))</f>
        <v>23897</v>
      </c>
      <c r="AC179" s="281"/>
      <c r="AD179" s="281">
        <f>IF(HLOOKUP(AD$13,'MP (nominal)'!$D$12:$AM$244,ROW()-12,FALSE)="","",HLOOKUP(AD$13,'MP (nominal)'!$D$12:$AM$244,ROW()-12,FALSE)*VLOOKUP($C179,CPI!$B$9:$I$63,8))</f>
        <v>1408.3683893197881</v>
      </c>
      <c r="AE179" s="31">
        <f>IF(HLOOKUP(AE$13,'MP (nominal)'!$D$12:$AM$244,ROW()-12,FALSE)="","",HLOOKUP(AE$13,'MP (nominal)'!$D$12:$AM$244,ROW()-12,FALSE))</f>
        <v>29323.563999999998</v>
      </c>
      <c r="AF179" s="31">
        <f>IF(HLOOKUP(AF$13,'MP (nominal)'!$D$12:$AM$244,ROW()-12,FALSE)="","",HLOOKUP(AF$13,'MP (nominal)'!$D$12:$AM$244,ROW()-12,FALSE))</f>
        <v>226</v>
      </c>
      <c r="AG179" s="281"/>
      <c r="AH179" s="281">
        <f>IF(HLOOKUP(AH$13,'MP (nominal)'!$D$12:$AM$244,ROW()-12,FALSE)="","",HLOOKUP(AH$13,'MP (nominal)'!$D$12:$AM$244,ROW()-12,FALSE)*VLOOKUP($C179,CPI!$B$9:$I$63,8))</f>
        <v>2904.4204758047904</v>
      </c>
      <c r="AI179" s="31">
        <f>IF(HLOOKUP(AI$13,'MP (nominal)'!$D$12:$AM$244,ROW()-12,FALSE)="","",HLOOKUP(AI$13,'MP (nominal)'!$D$12:$AM$244,ROW()-12,FALSE))</f>
        <v>35335.754999999997</v>
      </c>
      <c r="AJ179" s="31">
        <f>IF(HLOOKUP(AJ$13,'MP (nominal)'!$D$12:$AM$244,ROW()-12,FALSE)="","",HLOOKUP(AJ$13,'MP (nominal)'!$D$12:$AM$244,ROW()-12,FALSE))</f>
        <v>57</v>
      </c>
      <c r="AK179" s="281"/>
      <c r="AL179" s="281">
        <f>IF(HLOOKUP(AL$13,'MP (nominal)'!$D$12:$AM$244,ROW()-12,FALSE)="","",HLOOKUP(AL$13,'MP (nominal)'!$D$12:$AM$244,ROW()-12,FALSE)*VLOOKUP($C179,CPI!$B$9:$I$63,8))</f>
        <v>2065.5061374150587</v>
      </c>
      <c r="AM179" s="31">
        <f>IF(HLOOKUP(AM$13,'MP (nominal)'!$D$12:$AM$244,ROW()-12,FALSE)="","",HLOOKUP(AM$13,'MP (nominal)'!$D$12:$AM$244,ROW()-12,FALSE))</f>
        <v>40471.436000000002</v>
      </c>
      <c r="AN179" s="31">
        <f>IF(HLOOKUP(AN$13,'MP (nominal)'!$D$12:$AM$244,ROW()-12,FALSE)="","",HLOOKUP(AN$13,'MP (nominal)'!$D$12:$AM$244,ROW()-12,FALSE))</f>
        <v>5</v>
      </c>
      <c r="AO179" s="281"/>
      <c r="AP179" s="281">
        <f>IF(HLOOKUP(AP$13,'MP (nominal)'!$D$12:$AM$244,ROW()-12,FALSE)="","",HLOOKUP(AP$13,'MP (nominal)'!$D$12:$AM$244,ROW()-12,FALSE)*VLOOKUP($C179,CPI!$B$9:$I$63,8))</f>
        <v>25095.936577664896</v>
      </c>
      <c r="AQ179" s="31">
        <f>IF(HLOOKUP(AQ$13,'MP (nominal)'!$D$12:$AM$244,ROW()-12,FALSE)="","",HLOOKUP(AQ$13,'MP (nominal)'!$D$12:$AM$244,ROW()-12,FALSE))</f>
        <v>293749.65999999997</v>
      </c>
      <c r="AR179" s="281">
        <f>IF(HLOOKUP(AR$13,'MP (nominal)'!$D$12:$AM$244,ROW()-12,FALSE)="","",HLOOKUP(AR$13,'MP (nominal)'!$D$12:$AM$244,ROW()-12,FALSE))</f>
        <v>24185</v>
      </c>
    </row>
    <row r="180" spans="1:44" s="278" customFormat="1">
      <c r="A180" s="271">
        <f>References!I278</f>
        <v>467</v>
      </c>
      <c r="B180" s="292" t="s">
        <v>49</v>
      </c>
      <c r="C180" s="284">
        <v>2010</v>
      </c>
      <c r="D180" s="27">
        <f>IF(HLOOKUP(D$13,'MP (nominal)'!$D$12:$AM$244,ROW()-12,FALSE)="","",HLOOKUP(D$13,'MP (nominal)'!$D$12:$AM$244,ROW()-12,FALSE))</f>
        <v>4206</v>
      </c>
      <c r="E180" s="281">
        <f>IF(HLOOKUP(E$13,'MP (nominal)'!$D$12:$AM$244,ROW()-12,FALSE)="","",HLOOKUP(E$13,'MP (nominal)'!$D$12:$AM$244,ROW()-12,FALSE))</f>
        <v>0</v>
      </c>
      <c r="F180" s="27">
        <f>IF(HLOOKUP(F$13,'MP (nominal)'!$D$12:$AM$244,ROW()-12,FALSE)="","",HLOOKUP(F$13,'MP (nominal)'!$D$12:$AM$244,ROW()-12,FALSE))</f>
        <v>284.89999999999998</v>
      </c>
      <c r="G180" s="281">
        <f>IF(HLOOKUP(G$13,'MP (nominal)'!$D$12:$AM$244,ROW()-12,FALSE)="","",HLOOKUP(G$13,'MP (nominal)'!$D$12:$AM$244,ROW()-12,FALSE))</f>
        <v>44.11</v>
      </c>
      <c r="H180" s="27">
        <f>IF(HLOOKUP(H$13,'MP (nominal)'!$D$12:$AM$244,ROW()-12,FALSE)="","",HLOOKUP(H$13,'MP (nominal)'!$D$12:$AM$244,ROW()-12,FALSE))</f>
        <v>4490.8999999999996</v>
      </c>
      <c r="I180" s="31">
        <f>IF(HLOOKUP(I$13,'MP (nominal)'!$D$12:$AM$244,ROW()-12,FALSE)="","",HLOOKUP(I$13,'MP (nominal)'!$D$12:$AM$244,ROW()-12,FALSE))</f>
        <v>44.11</v>
      </c>
      <c r="J180" s="31">
        <f>IF(HLOOKUP(J$13,'MP (nominal)'!$D$12:$AM$244,ROW()-12,FALSE)="","",HLOOKUP(J$13,'MP (nominal)'!$D$12:$AM$244,ROW()-12,FALSE))</f>
        <v>4206</v>
      </c>
      <c r="K180" s="281"/>
      <c r="L180" s="27">
        <f>IF(HLOOKUP(L$13,'MP (nominal)'!$D$12:$AM$244,ROW()-12,FALSE)="","",HLOOKUP(L$13,'MP (nominal)'!$D$12:$AM$244,ROW()-12,FALSE))</f>
        <v>63.5</v>
      </c>
      <c r="M180" s="283">
        <f>IF(HLOOKUP(M$13,'MP (nominal)'!$D$12:$AM$244,ROW()-12,FALSE)="","",HLOOKUP(M$13,'MP (nominal)'!$D$12:$AM$244,ROW()-12,FALSE))</f>
        <v>311</v>
      </c>
      <c r="N180" s="35"/>
      <c r="O180" s="27">
        <f>IF(HLOOKUP(O$13,'MP (nominal)'!$D$12:$AM$244,ROW()-12,FALSE)="","",HLOOKUP(O$13,'MP (nominal)'!$D$12:$AM$244,ROW()-12,FALSE))</f>
        <v>24435</v>
      </c>
      <c r="P180" s="31"/>
      <c r="Q180" s="281"/>
      <c r="R180" s="281">
        <f>IF(HLOOKUP(R$13,'MP (nominal)'!$D$12:$AM$244,ROW()-12,FALSE)="","",HLOOKUP(R$13,'MP (nominal)'!$D$12:$AM$244,ROW()-12,FALSE))</f>
        <v>293.26</v>
      </c>
      <c r="S180" s="281">
        <f>IF(HLOOKUP(S$13,'MP (nominal)'!$D$12:$AM$244,ROW()-12,FALSE)="","",HLOOKUP(S$13,'MP (nominal)'!$D$12:$AM$244,ROW()-12,FALSE))</f>
        <v>89.1</v>
      </c>
      <c r="T180" s="281">
        <f>IF(HLOOKUP(T$13,'MP (nominal)'!$D$12:$AM$244,ROW()-12,FALSE)="","",HLOOKUP(T$13,'MP (nominal)'!$D$12:$AM$244,ROW()-12,FALSE))</f>
        <v>204.16</v>
      </c>
      <c r="U180" s="281"/>
      <c r="V180" s="281">
        <f>IF(HLOOKUP(V$13,'MP (nominal)'!$D$12:$AM$244,ROW()-12,FALSE)="","",HLOOKUP(V$13,'MP (nominal)'!$D$12:$AM$244,ROW()-12,FALSE))</f>
        <v>2.63</v>
      </c>
      <c r="W180" s="281">
        <f>IF(HLOOKUP(W$13,'MP (nominal)'!$D$12:$AM$244,ROW()-12,FALSE)="","",HLOOKUP(W$13,'MP (nominal)'!$D$12:$AM$244,ROW()-12,FALSE))</f>
        <v>0.54</v>
      </c>
      <c r="X180" s="281">
        <f>IF(HLOOKUP(X$13,'MP (nominal)'!$D$12:$AM$244,ROW()-12,FALSE)="","",HLOOKUP(X$13,'MP (nominal)'!$D$12:$AM$244,ROW()-12,FALSE))</f>
        <v>2.09</v>
      </c>
      <c r="Y180" s="281"/>
      <c r="Z180" s="281">
        <f>IF(HLOOKUP(Z$13,'MP (nominal)'!$D$12:$AM$244,ROW()-12,FALSE)="","",HLOOKUP(Z$13,'MP (nominal)'!$D$12:$AM$244,ROW()-12,FALSE)*VLOOKUP($C180,CPI!$B$9:$I$63,8))</f>
        <v>17696.151814825789</v>
      </c>
      <c r="AA180" s="281">
        <f>IF(HLOOKUP(AA$13,'MP (nominal)'!$D$12:$AM$244,ROW()-12,FALSE)="","",HLOOKUP(AA$13,'MP (nominal)'!$D$12:$AM$244,ROW()-12,FALSE))</f>
        <v>199695</v>
      </c>
      <c r="AB180" s="281">
        <f>IF(HLOOKUP(AB$13,'MP (nominal)'!$D$12:$AM$244,ROW()-12,FALSE)="","",HLOOKUP(AB$13,'MP (nominal)'!$D$12:$AM$244,ROW()-12,FALSE))</f>
        <v>24083</v>
      </c>
      <c r="AC180" s="281"/>
      <c r="AD180" s="281">
        <f>IF(HLOOKUP(AD$13,'MP (nominal)'!$D$12:$AM$244,ROW()-12,FALSE)="","",HLOOKUP(AD$13,'MP (nominal)'!$D$12:$AM$244,ROW()-12,FALSE)*VLOOKUP($C180,CPI!$B$9:$I$63,8))</f>
        <v>3211.3691358357355</v>
      </c>
      <c r="AE180" s="31">
        <f>IF(HLOOKUP(AE$13,'MP (nominal)'!$D$12:$AM$244,ROW()-12,FALSE)="","",HLOOKUP(AE$13,'MP (nominal)'!$D$12:$AM$244,ROW()-12,FALSE))</f>
        <v>31046</v>
      </c>
      <c r="AF180" s="31">
        <f>IF(HLOOKUP(AF$13,'MP (nominal)'!$D$12:$AM$244,ROW()-12,FALSE)="","",HLOOKUP(AF$13,'MP (nominal)'!$D$12:$AM$244,ROW()-12,FALSE))</f>
        <v>288</v>
      </c>
      <c r="AG180" s="281"/>
      <c r="AH180" s="281">
        <f>IF(HLOOKUP(AH$13,'MP (nominal)'!$D$12:$AM$244,ROW()-12,FALSE)="","",HLOOKUP(AH$13,'MP (nominal)'!$D$12:$AM$244,ROW()-12,FALSE)*VLOOKUP($C180,CPI!$B$9:$I$63,8))</f>
        <v>3839.9905688340377</v>
      </c>
      <c r="AI180" s="31">
        <f>IF(HLOOKUP(AI$13,'MP (nominal)'!$D$12:$AM$244,ROW()-12,FALSE)="","",HLOOKUP(AI$13,'MP (nominal)'!$D$12:$AM$244,ROW()-12,FALSE))</f>
        <v>37411</v>
      </c>
      <c r="AJ180" s="31">
        <f>IF(HLOOKUP(AJ$13,'MP (nominal)'!$D$12:$AM$244,ROW()-12,FALSE)="","",HLOOKUP(AJ$13,'MP (nominal)'!$D$12:$AM$244,ROW()-12,FALSE))</f>
        <v>59</v>
      </c>
      <c r="AK180" s="281"/>
      <c r="AL180" s="281">
        <f>IF(HLOOKUP(AL$13,'MP (nominal)'!$D$12:$AM$244,ROW()-12,FALSE)="","",HLOOKUP(AL$13,'MP (nominal)'!$D$12:$AM$244,ROW()-12,FALSE)*VLOOKUP($C180,CPI!$B$9:$I$63,8))</f>
        <v>3134.9564819056341</v>
      </c>
      <c r="AM180" s="31">
        <f>IF(HLOOKUP(AM$13,'MP (nominal)'!$D$12:$AM$244,ROW()-12,FALSE)="","",HLOOKUP(AM$13,'MP (nominal)'!$D$12:$AM$244,ROW()-12,FALSE))</f>
        <v>42848</v>
      </c>
      <c r="AN180" s="31">
        <f>IF(HLOOKUP(AN$13,'MP (nominal)'!$D$12:$AM$244,ROW()-12,FALSE)="","",HLOOKUP(AN$13,'MP (nominal)'!$D$12:$AM$244,ROW()-12,FALSE))</f>
        <v>5</v>
      </c>
      <c r="AO180" s="281"/>
      <c r="AP180" s="281">
        <f>IF(HLOOKUP(AP$13,'MP (nominal)'!$D$12:$AM$244,ROW()-12,FALSE)="","",HLOOKUP(AP$13,'MP (nominal)'!$D$12:$AM$244,ROW()-12,FALSE)*VLOOKUP($C180,CPI!$B$9:$I$63,8))</f>
        <v>27882.468001401197</v>
      </c>
      <c r="AQ180" s="31">
        <f>IF(HLOOKUP(AQ$13,'MP (nominal)'!$D$12:$AM$244,ROW()-12,FALSE)="","",HLOOKUP(AQ$13,'MP (nominal)'!$D$12:$AM$244,ROW()-12,FALSE))</f>
        <v>311000</v>
      </c>
      <c r="AR180" s="281">
        <f>IF(HLOOKUP(AR$13,'MP (nominal)'!$D$12:$AM$244,ROW()-12,FALSE)="","",HLOOKUP(AR$13,'MP (nominal)'!$D$12:$AM$244,ROW()-12,FALSE))</f>
        <v>24435</v>
      </c>
    </row>
    <row r="181" spans="1:44" s="278" customFormat="1">
      <c r="A181" s="271">
        <f>References!J278</f>
        <v>468</v>
      </c>
      <c r="B181" s="292" t="s">
        <v>49</v>
      </c>
      <c r="C181" s="284">
        <v>2011</v>
      </c>
      <c r="D181" s="27">
        <f>IF(HLOOKUP(D$13,'MP (nominal)'!$D$12:$AM$244,ROW()-12,FALSE)="","",HLOOKUP(D$13,'MP (nominal)'!$D$12:$AM$244,ROW()-12,FALSE))</f>
        <v>4707</v>
      </c>
      <c r="E181" s="281">
        <f>IF(HLOOKUP(E$13,'MP (nominal)'!$D$12:$AM$244,ROW()-12,FALSE)="","",HLOOKUP(E$13,'MP (nominal)'!$D$12:$AM$244,ROW()-12,FALSE))</f>
        <v>0</v>
      </c>
      <c r="F181" s="27">
        <f>IF(HLOOKUP(F$13,'MP (nominal)'!$D$12:$AM$244,ROW()-12,FALSE)="","",HLOOKUP(F$13,'MP (nominal)'!$D$12:$AM$244,ROW()-12,FALSE))</f>
        <v>294</v>
      </c>
      <c r="G181" s="281">
        <f>IF(HLOOKUP(G$13,'MP (nominal)'!$D$12:$AM$244,ROW()-12,FALSE)="","",HLOOKUP(G$13,'MP (nominal)'!$D$12:$AM$244,ROW()-12,FALSE))</f>
        <v>0</v>
      </c>
      <c r="H181" s="27">
        <f>IF(HLOOKUP(H$13,'MP (nominal)'!$D$12:$AM$244,ROW()-12,FALSE)="","",HLOOKUP(H$13,'MP (nominal)'!$D$12:$AM$244,ROW()-12,FALSE))</f>
        <v>5001</v>
      </c>
      <c r="I181" s="31">
        <f>IF(HLOOKUP(I$13,'MP (nominal)'!$D$12:$AM$244,ROW()-12,FALSE)="","",HLOOKUP(I$13,'MP (nominal)'!$D$12:$AM$244,ROW()-12,FALSE))</f>
        <v>0</v>
      </c>
      <c r="J181" s="31">
        <f>IF(HLOOKUP(J$13,'MP (nominal)'!$D$12:$AM$244,ROW()-12,FALSE)="","",HLOOKUP(J$13,'MP (nominal)'!$D$12:$AM$244,ROW()-12,FALSE))</f>
        <v>4707</v>
      </c>
      <c r="K181" s="281"/>
      <c r="L181" s="27">
        <f>IF(HLOOKUP(L$13,'MP (nominal)'!$D$12:$AM$244,ROW()-12,FALSE)="","",HLOOKUP(L$13,'MP (nominal)'!$D$12:$AM$244,ROW()-12,FALSE))</f>
        <v>63</v>
      </c>
      <c r="M181" s="283">
        <f>IF(HLOOKUP(M$13,'MP (nominal)'!$D$12:$AM$244,ROW()-12,FALSE)="","",HLOOKUP(M$13,'MP (nominal)'!$D$12:$AM$244,ROW()-12,FALSE))</f>
        <v>299</v>
      </c>
      <c r="N181" s="35"/>
      <c r="O181" s="27">
        <f>IF(HLOOKUP(O$13,'MP (nominal)'!$D$12:$AM$244,ROW()-12,FALSE)="","",HLOOKUP(O$13,'MP (nominal)'!$D$12:$AM$244,ROW()-12,FALSE))</f>
        <v>24474</v>
      </c>
      <c r="P181" s="31"/>
      <c r="Q181" s="281"/>
      <c r="R181" s="281">
        <f>IF(HLOOKUP(R$13,'MP (nominal)'!$D$12:$AM$244,ROW()-12,FALSE)="","",HLOOKUP(R$13,'MP (nominal)'!$D$12:$AM$244,ROW()-12,FALSE))</f>
        <v>292.43</v>
      </c>
      <c r="S181" s="281">
        <f>IF(HLOOKUP(S$13,'MP (nominal)'!$D$12:$AM$244,ROW()-12,FALSE)="","",HLOOKUP(S$13,'MP (nominal)'!$D$12:$AM$244,ROW()-12,FALSE))</f>
        <v>63.59</v>
      </c>
      <c r="T181" s="281">
        <f>IF(HLOOKUP(T$13,'MP (nominal)'!$D$12:$AM$244,ROW()-12,FALSE)="","",HLOOKUP(T$13,'MP (nominal)'!$D$12:$AM$244,ROW()-12,FALSE))</f>
        <v>228.84</v>
      </c>
      <c r="U181" s="281"/>
      <c r="V181" s="281">
        <f>IF(HLOOKUP(V$13,'MP (nominal)'!$D$12:$AM$244,ROW()-12,FALSE)="","",HLOOKUP(V$13,'MP (nominal)'!$D$12:$AM$244,ROW()-12,FALSE))</f>
        <v>3.47</v>
      </c>
      <c r="W181" s="281">
        <f>IF(HLOOKUP(W$13,'MP (nominal)'!$D$12:$AM$244,ROW()-12,FALSE)="","",HLOOKUP(W$13,'MP (nominal)'!$D$12:$AM$244,ROW()-12,FALSE))</f>
        <v>0.48</v>
      </c>
      <c r="X181" s="281">
        <f>IF(HLOOKUP(X$13,'MP (nominal)'!$D$12:$AM$244,ROW()-12,FALSE)="","",HLOOKUP(X$13,'MP (nominal)'!$D$12:$AM$244,ROW()-12,FALSE))</f>
        <v>2.99</v>
      </c>
      <c r="Y181" s="281"/>
      <c r="Z181" s="281">
        <f>IF(HLOOKUP(Z$13,'MP (nominal)'!$D$12:$AM$244,ROW()-12,FALSE)="","",HLOOKUP(Z$13,'MP (nominal)'!$D$12:$AM$244,ROW()-12,FALSE)*VLOOKUP($C181,CPI!$B$9:$I$63,8))</f>
        <v>21113</v>
      </c>
      <c r="AA181" s="281">
        <f>IF(HLOOKUP(AA$13,'MP (nominal)'!$D$12:$AM$244,ROW()-12,FALSE)="","",HLOOKUP(AA$13,'MP (nominal)'!$D$12:$AM$244,ROW()-12,FALSE))</f>
        <v>194974</v>
      </c>
      <c r="AB181" s="281">
        <f>IF(HLOOKUP(AB$13,'MP (nominal)'!$D$12:$AM$244,ROW()-12,FALSE)="","",HLOOKUP(AB$13,'MP (nominal)'!$D$12:$AM$244,ROW()-12,FALSE))</f>
        <v>24207</v>
      </c>
      <c r="AC181" s="281"/>
      <c r="AD181" s="281">
        <f>IF(HLOOKUP(AD$13,'MP (nominal)'!$D$12:$AM$244,ROW()-12,FALSE)="","",HLOOKUP(AD$13,'MP (nominal)'!$D$12:$AM$244,ROW()-12,FALSE)*VLOOKUP($C181,CPI!$B$9:$I$63,8))</f>
        <v>3046</v>
      </c>
      <c r="AE181" s="31">
        <f>IF(HLOOKUP(AE$13,'MP (nominal)'!$D$12:$AM$244,ROW()-12,FALSE)="","",HLOOKUP(AE$13,'MP (nominal)'!$D$12:$AM$244,ROW()-12,FALSE))</f>
        <v>23826</v>
      </c>
      <c r="AF181" s="31">
        <f>IF(HLOOKUP(AF$13,'MP (nominal)'!$D$12:$AM$244,ROW()-12,FALSE)="","",HLOOKUP(AF$13,'MP (nominal)'!$D$12:$AM$244,ROW()-12,FALSE))</f>
        <v>211</v>
      </c>
      <c r="AG181" s="281"/>
      <c r="AH181" s="281">
        <f>IF(HLOOKUP(AH$13,'MP (nominal)'!$D$12:$AM$244,ROW()-12,FALSE)="","",HLOOKUP(AH$13,'MP (nominal)'!$D$12:$AM$244,ROW()-12,FALSE)*VLOOKUP($C181,CPI!$B$9:$I$63,8))</f>
        <v>3429</v>
      </c>
      <c r="AI181" s="31">
        <f>IF(HLOOKUP(AI$13,'MP (nominal)'!$D$12:$AM$244,ROW()-12,FALSE)="","",HLOOKUP(AI$13,'MP (nominal)'!$D$12:$AM$244,ROW()-12,FALSE))</f>
        <v>39200</v>
      </c>
      <c r="AJ181" s="31">
        <f>IF(HLOOKUP(AJ$13,'MP (nominal)'!$D$12:$AM$244,ROW()-12,FALSE)="","",HLOOKUP(AJ$13,'MP (nominal)'!$D$12:$AM$244,ROW()-12,FALSE))</f>
        <v>51</v>
      </c>
      <c r="AK181" s="281"/>
      <c r="AL181" s="281">
        <f>IF(HLOOKUP(AL$13,'MP (nominal)'!$D$12:$AM$244,ROW()-12,FALSE)="","",HLOOKUP(AL$13,'MP (nominal)'!$D$12:$AM$244,ROW()-12,FALSE)*VLOOKUP($C181,CPI!$B$9:$I$63,8))</f>
        <v>3065</v>
      </c>
      <c r="AM181" s="31">
        <f>IF(HLOOKUP(AM$13,'MP (nominal)'!$D$12:$AM$244,ROW()-12,FALSE)="","",HLOOKUP(AM$13,'MP (nominal)'!$D$12:$AM$244,ROW()-12,FALSE))</f>
        <v>41000</v>
      </c>
      <c r="AN181" s="31">
        <f>IF(HLOOKUP(AN$13,'MP (nominal)'!$D$12:$AM$244,ROW()-12,FALSE)="","",HLOOKUP(AN$13,'MP (nominal)'!$D$12:$AM$244,ROW()-12,FALSE))</f>
        <v>5</v>
      </c>
      <c r="AO181" s="281"/>
      <c r="AP181" s="281">
        <f>IF(HLOOKUP(AP$13,'MP (nominal)'!$D$12:$AM$244,ROW()-12,FALSE)="","",HLOOKUP(AP$13,'MP (nominal)'!$D$12:$AM$244,ROW()-12,FALSE)*VLOOKUP($C181,CPI!$B$9:$I$63,8))</f>
        <v>30653</v>
      </c>
      <c r="AQ181" s="31">
        <f>IF(HLOOKUP(AQ$13,'MP (nominal)'!$D$12:$AM$244,ROW()-12,FALSE)="","",HLOOKUP(AQ$13,'MP (nominal)'!$D$12:$AM$244,ROW()-12,FALSE))</f>
        <v>299000</v>
      </c>
      <c r="AR181" s="281">
        <f>IF(HLOOKUP(AR$13,'MP (nominal)'!$D$12:$AM$244,ROW()-12,FALSE)="","",HLOOKUP(AR$13,'MP (nominal)'!$D$12:$AM$244,ROW()-12,FALSE))</f>
        <v>24474</v>
      </c>
    </row>
    <row r="182" spans="1:44" s="278" customFormat="1" hidden="1">
      <c r="A182" s="271">
        <f>References!C279</f>
        <v>484</v>
      </c>
      <c r="B182" s="292" t="s">
        <v>50</v>
      </c>
      <c r="C182" s="284">
        <v>2004</v>
      </c>
      <c r="D182" s="27" t="str">
        <f>IF(HLOOKUP(D$13,'MP (nominal)'!$D$12:$AM$244,ROW()-12,FALSE)="","",HLOOKUP(D$13,'MP (nominal)'!$D$12:$AM$244,ROW()-12,FALSE))</f>
        <v/>
      </c>
      <c r="E182" s="281" t="str">
        <f>IF(HLOOKUP(E$13,'MP (nominal)'!$D$12:$AM$244,ROW()-12,FALSE)="","",HLOOKUP(E$13,'MP (nominal)'!$D$12:$AM$244,ROW()-12,FALSE))</f>
        <v/>
      </c>
      <c r="F182" s="27">
        <f>IF(HLOOKUP(F$13,'MP (nominal)'!$D$12:$AM$244,ROW()-12,FALSE)="","",HLOOKUP(F$13,'MP (nominal)'!$D$12:$AM$244,ROW()-12,FALSE))</f>
        <v>209</v>
      </c>
      <c r="G182" s="281" t="str">
        <f>IF(HLOOKUP(G$13,'MP (nominal)'!$D$12:$AM$244,ROW()-12,FALSE)="","",HLOOKUP(G$13,'MP (nominal)'!$D$12:$AM$244,ROW()-12,FALSE))</f>
        <v/>
      </c>
      <c r="H182" s="27">
        <f>IF(HLOOKUP(H$13,'MP (nominal)'!$D$12:$AM$244,ROW()-12,FALSE)="","",HLOOKUP(H$13,'MP (nominal)'!$D$12:$AM$244,ROW()-12,FALSE))</f>
        <v>8472</v>
      </c>
      <c r="I182" s="31" t="str">
        <f>IF(HLOOKUP(I$13,'MP (nominal)'!$D$12:$AM$244,ROW()-12,FALSE)="","",HLOOKUP(I$13,'MP (nominal)'!$D$12:$AM$244,ROW()-12,FALSE))</f>
        <v/>
      </c>
      <c r="J182" s="31">
        <f>IF(HLOOKUP(J$13,'MP (nominal)'!$D$12:$AM$244,ROW()-12,FALSE)="","",HLOOKUP(J$13,'MP (nominal)'!$D$12:$AM$244,ROW()-12,FALSE))</f>
        <v>8263</v>
      </c>
      <c r="K182" s="281"/>
      <c r="L182" s="27">
        <f>IF(HLOOKUP(L$13,'MP (nominal)'!$D$12:$AM$244,ROW()-12,FALSE)="","",HLOOKUP(L$13,'MP (nominal)'!$D$12:$AM$244,ROW()-12,FALSE))</f>
        <v>110.52</v>
      </c>
      <c r="M182" s="293">
        <f>IF(HLOOKUP(M$13,'MP (nominal)'!$D$12:$AM$244,ROW()-12,FALSE)="","",HLOOKUP(M$13,'MP (nominal)'!$D$12:$AM$244,ROW()-12,FALSE))</f>
        <v>601.9298</v>
      </c>
      <c r="N182" s="35"/>
      <c r="O182" s="27">
        <f>IF(HLOOKUP(O$13,'MP (nominal)'!$D$12:$AM$244,ROW()-12,FALSE)="","",HLOOKUP(O$13,'MP (nominal)'!$D$12:$AM$244,ROW()-12,FALSE))</f>
        <v>31875</v>
      </c>
      <c r="P182" s="31"/>
      <c r="Q182" s="281"/>
      <c r="R182" s="281">
        <f>IF(HLOOKUP(R$13,'MP (nominal)'!$D$12:$AM$244,ROW()-12,FALSE)="","",HLOOKUP(R$13,'MP (nominal)'!$D$12:$AM$244,ROW()-12,FALSE))</f>
        <v>157.30000000000001</v>
      </c>
      <c r="S182" s="281" t="str">
        <f>IF(HLOOKUP(S$13,'MP (nominal)'!$D$12:$AM$244,ROW()-12,FALSE)="","",HLOOKUP(S$13,'MP (nominal)'!$D$12:$AM$244,ROW()-12,FALSE))</f>
        <v/>
      </c>
      <c r="T182" s="281" t="str">
        <f>IF(HLOOKUP(T$13,'MP (nominal)'!$D$12:$AM$244,ROW()-12,FALSE)="","",HLOOKUP(T$13,'MP (nominal)'!$D$12:$AM$244,ROW()-12,FALSE))</f>
        <v/>
      </c>
      <c r="U182" s="281"/>
      <c r="V182" s="281">
        <f>IF(HLOOKUP(V$13,'MP (nominal)'!$D$12:$AM$244,ROW()-12,FALSE)="","",HLOOKUP(V$13,'MP (nominal)'!$D$12:$AM$244,ROW()-12,FALSE))</f>
        <v>4.13</v>
      </c>
      <c r="W182" s="281" t="str">
        <f>IF(HLOOKUP(W$13,'MP (nominal)'!$D$12:$AM$244,ROW()-12,FALSE)="","",HLOOKUP(W$13,'MP (nominal)'!$D$12:$AM$244,ROW()-12,FALSE))</f>
        <v/>
      </c>
      <c r="X182" s="281" t="str">
        <f>IF(HLOOKUP(X$13,'MP (nominal)'!$D$12:$AM$244,ROW()-12,FALSE)="","",HLOOKUP(X$13,'MP (nominal)'!$D$12:$AM$244,ROW()-12,FALSE))</f>
        <v/>
      </c>
      <c r="Y182" s="281"/>
      <c r="Z182" s="281" t="str">
        <f>IF(HLOOKUP(Z$13,'MP (nominal)'!$D$12:$AM$244,ROW()-12,FALSE)="","",HLOOKUP(Z$13,'MP (nominal)'!$D$12:$AM$244,ROW()-12,FALSE)*VLOOKUP($C182,CPI!$B$9:$I$63,8))</f>
        <v/>
      </c>
      <c r="AA182" s="281" t="str">
        <f>IF(HLOOKUP(AA$13,'MP (nominal)'!$D$12:$AM$244,ROW()-12,FALSE)="","",HLOOKUP(AA$13,'MP (nominal)'!$D$12:$AM$244,ROW()-12,FALSE))</f>
        <v/>
      </c>
      <c r="AB182" s="281" t="str">
        <f>IF(HLOOKUP(AB$13,'MP (nominal)'!$D$12:$AM$244,ROW()-12,FALSE)="","",HLOOKUP(AB$13,'MP (nominal)'!$D$12:$AM$244,ROW()-12,FALSE))</f>
        <v/>
      </c>
      <c r="AC182" s="281"/>
      <c r="AD182" s="281" t="str">
        <f>IF(HLOOKUP(AD$13,'MP (nominal)'!$D$12:$AM$244,ROW()-12,FALSE)="","",HLOOKUP(AD$13,'MP (nominal)'!$D$12:$AM$244,ROW()-12,FALSE)*VLOOKUP($C182,CPI!$B$9:$I$63,8))</f>
        <v/>
      </c>
      <c r="AE182" s="31" t="str">
        <f>IF(HLOOKUP(AE$13,'MP (nominal)'!$D$12:$AM$244,ROW()-12,FALSE)="","",HLOOKUP(AE$13,'MP (nominal)'!$D$12:$AM$244,ROW()-12,FALSE))</f>
        <v/>
      </c>
      <c r="AF182" s="31" t="str">
        <f>IF(HLOOKUP(AF$13,'MP (nominal)'!$D$12:$AM$244,ROW()-12,FALSE)="","",HLOOKUP(AF$13,'MP (nominal)'!$D$12:$AM$244,ROW()-12,FALSE))</f>
        <v/>
      </c>
      <c r="AG182" s="281"/>
      <c r="AH182" s="281" t="str">
        <f>IF(HLOOKUP(AH$13,'MP (nominal)'!$D$12:$AM$244,ROW()-12,FALSE)="","",HLOOKUP(AH$13,'MP (nominal)'!$D$12:$AM$244,ROW()-12,FALSE)*VLOOKUP($C182,CPI!$B$9:$I$63,8))</f>
        <v/>
      </c>
      <c r="AI182" s="31" t="str">
        <f>IF(HLOOKUP(AI$13,'MP (nominal)'!$D$12:$AM$244,ROW()-12,FALSE)="","",HLOOKUP(AI$13,'MP (nominal)'!$D$12:$AM$244,ROW()-12,FALSE))</f>
        <v/>
      </c>
      <c r="AJ182" s="31" t="str">
        <f>IF(HLOOKUP(AJ$13,'MP (nominal)'!$D$12:$AM$244,ROW()-12,FALSE)="","",HLOOKUP(AJ$13,'MP (nominal)'!$D$12:$AM$244,ROW()-12,FALSE))</f>
        <v/>
      </c>
      <c r="AK182" s="281"/>
      <c r="AL182" s="281" t="str">
        <f>IF(HLOOKUP(AL$13,'MP (nominal)'!$D$12:$AM$244,ROW()-12,FALSE)="","",HLOOKUP(AL$13,'MP (nominal)'!$D$12:$AM$244,ROW()-12,FALSE)*VLOOKUP($C182,CPI!$B$9:$I$63,8))</f>
        <v/>
      </c>
      <c r="AM182" s="31" t="str">
        <f>IF(HLOOKUP(AM$13,'MP (nominal)'!$D$12:$AM$244,ROW()-12,FALSE)="","",HLOOKUP(AM$13,'MP (nominal)'!$D$12:$AM$244,ROW()-12,FALSE))</f>
        <v/>
      </c>
      <c r="AN182" s="31" t="str">
        <f>IF(HLOOKUP(AN$13,'MP (nominal)'!$D$12:$AM$244,ROW()-12,FALSE)="","",HLOOKUP(AN$13,'MP (nominal)'!$D$12:$AM$244,ROW()-12,FALSE))</f>
        <v/>
      </c>
      <c r="AO182" s="281"/>
      <c r="AP182" s="281" t="str">
        <f>IF(HLOOKUP(AP$13,'MP (nominal)'!$D$12:$AM$244,ROW()-12,FALSE)="","",HLOOKUP(AP$13,'MP (nominal)'!$D$12:$AM$244,ROW()-12,FALSE)*VLOOKUP($C182,CPI!$B$9:$I$63,8))</f>
        <v/>
      </c>
      <c r="AQ182" s="31" t="str">
        <f>IF(HLOOKUP(AQ$13,'MP (nominal)'!$D$12:$AM$244,ROW()-12,FALSE)="","",HLOOKUP(AQ$13,'MP (nominal)'!$D$12:$AM$244,ROW()-12,FALSE))</f>
        <v/>
      </c>
      <c r="AR182" s="281" t="str">
        <f>IF(HLOOKUP(AR$13,'MP (nominal)'!$D$12:$AM$244,ROW()-12,FALSE)="","",HLOOKUP(AR$13,'MP (nominal)'!$D$12:$AM$244,ROW()-12,FALSE))</f>
        <v/>
      </c>
    </row>
    <row r="183" spans="1:44" s="278" customFormat="1" hidden="1">
      <c r="A183" s="271">
        <f>References!D279</f>
        <v>485</v>
      </c>
      <c r="B183" s="292" t="s">
        <v>50</v>
      </c>
      <c r="C183" s="284">
        <v>2005</v>
      </c>
      <c r="D183" s="27" t="str">
        <f>IF(HLOOKUP(D$13,'MP (nominal)'!$D$12:$AM$244,ROW()-12,FALSE)="","",HLOOKUP(D$13,'MP (nominal)'!$D$12:$AM$244,ROW()-12,FALSE))</f>
        <v/>
      </c>
      <c r="E183" s="281" t="str">
        <f>IF(HLOOKUP(E$13,'MP (nominal)'!$D$12:$AM$244,ROW()-12,FALSE)="","",HLOOKUP(E$13,'MP (nominal)'!$D$12:$AM$244,ROW()-12,FALSE))</f>
        <v/>
      </c>
      <c r="F183" s="27">
        <f>IF(HLOOKUP(F$13,'MP (nominal)'!$D$12:$AM$244,ROW()-12,FALSE)="","",HLOOKUP(F$13,'MP (nominal)'!$D$12:$AM$244,ROW()-12,FALSE))</f>
        <v>220</v>
      </c>
      <c r="G183" s="281" t="str">
        <f>IF(HLOOKUP(G$13,'MP (nominal)'!$D$12:$AM$244,ROW()-12,FALSE)="","",HLOOKUP(G$13,'MP (nominal)'!$D$12:$AM$244,ROW()-12,FALSE))</f>
        <v/>
      </c>
      <c r="H183" s="27">
        <f>IF(HLOOKUP(H$13,'MP (nominal)'!$D$12:$AM$244,ROW()-12,FALSE)="","",HLOOKUP(H$13,'MP (nominal)'!$D$12:$AM$244,ROW()-12,FALSE))</f>
        <v>8498</v>
      </c>
      <c r="I183" s="31" t="str">
        <f>IF(HLOOKUP(I$13,'MP (nominal)'!$D$12:$AM$244,ROW()-12,FALSE)="","",HLOOKUP(I$13,'MP (nominal)'!$D$12:$AM$244,ROW()-12,FALSE))</f>
        <v/>
      </c>
      <c r="J183" s="31">
        <f>IF(HLOOKUP(J$13,'MP (nominal)'!$D$12:$AM$244,ROW()-12,FALSE)="","",HLOOKUP(J$13,'MP (nominal)'!$D$12:$AM$244,ROW()-12,FALSE))</f>
        <v>8278</v>
      </c>
      <c r="K183" s="281"/>
      <c r="L183" s="27">
        <f>IF(HLOOKUP(L$13,'MP (nominal)'!$D$12:$AM$244,ROW()-12,FALSE)="","",HLOOKUP(L$13,'MP (nominal)'!$D$12:$AM$244,ROW()-12,FALSE))</f>
        <v>112.173</v>
      </c>
      <c r="M183" s="293">
        <f>IF(HLOOKUP(M$13,'MP (nominal)'!$D$12:$AM$244,ROW()-12,FALSE)="","",HLOOKUP(M$13,'MP (nominal)'!$D$12:$AM$244,ROW()-12,FALSE))</f>
        <v>615.16206899999997</v>
      </c>
      <c r="N183" s="35"/>
      <c r="O183" s="27">
        <f>IF(HLOOKUP(O$13,'MP (nominal)'!$D$12:$AM$244,ROW()-12,FALSE)="","",HLOOKUP(O$13,'MP (nominal)'!$D$12:$AM$244,ROW()-12,FALSE))</f>
        <v>31967</v>
      </c>
      <c r="P183" s="31"/>
      <c r="Q183" s="281"/>
      <c r="R183" s="281">
        <f>IF(HLOOKUP(R$13,'MP (nominal)'!$D$12:$AM$244,ROW()-12,FALSE)="","",HLOOKUP(R$13,'MP (nominal)'!$D$12:$AM$244,ROW()-12,FALSE))</f>
        <v>125.5</v>
      </c>
      <c r="S183" s="281" t="str">
        <f>IF(HLOOKUP(S$13,'MP (nominal)'!$D$12:$AM$244,ROW()-12,FALSE)="","",HLOOKUP(S$13,'MP (nominal)'!$D$12:$AM$244,ROW()-12,FALSE))</f>
        <v/>
      </c>
      <c r="T183" s="281" t="str">
        <f>IF(HLOOKUP(T$13,'MP (nominal)'!$D$12:$AM$244,ROW()-12,FALSE)="","",HLOOKUP(T$13,'MP (nominal)'!$D$12:$AM$244,ROW()-12,FALSE))</f>
        <v/>
      </c>
      <c r="U183" s="281"/>
      <c r="V183" s="281">
        <f>IF(HLOOKUP(V$13,'MP (nominal)'!$D$12:$AM$244,ROW()-12,FALSE)="","",HLOOKUP(V$13,'MP (nominal)'!$D$12:$AM$244,ROW()-12,FALSE))</f>
        <v>3</v>
      </c>
      <c r="W183" s="281" t="str">
        <f>IF(HLOOKUP(W$13,'MP (nominal)'!$D$12:$AM$244,ROW()-12,FALSE)="","",HLOOKUP(W$13,'MP (nominal)'!$D$12:$AM$244,ROW()-12,FALSE))</f>
        <v/>
      </c>
      <c r="X183" s="281" t="str">
        <f>IF(HLOOKUP(X$13,'MP (nominal)'!$D$12:$AM$244,ROW()-12,FALSE)="","",HLOOKUP(X$13,'MP (nominal)'!$D$12:$AM$244,ROW()-12,FALSE))</f>
        <v/>
      </c>
      <c r="Y183" s="281"/>
      <c r="Z183" s="281" t="str">
        <f>IF(HLOOKUP(Z$13,'MP (nominal)'!$D$12:$AM$244,ROW()-12,FALSE)="","",HLOOKUP(Z$13,'MP (nominal)'!$D$12:$AM$244,ROW()-12,FALSE)*VLOOKUP($C183,CPI!$B$9:$I$63,8))</f>
        <v/>
      </c>
      <c r="AA183" s="281" t="str">
        <f>IF(HLOOKUP(AA$13,'MP (nominal)'!$D$12:$AM$244,ROW()-12,FALSE)="","",HLOOKUP(AA$13,'MP (nominal)'!$D$12:$AM$244,ROW()-12,FALSE))</f>
        <v/>
      </c>
      <c r="AB183" s="281" t="str">
        <f>IF(HLOOKUP(AB$13,'MP (nominal)'!$D$12:$AM$244,ROW()-12,FALSE)="","",HLOOKUP(AB$13,'MP (nominal)'!$D$12:$AM$244,ROW()-12,FALSE))</f>
        <v/>
      </c>
      <c r="AC183" s="281"/>
      <c r="AD183" s="281" t="str">
        <f>IF(HLOOKUP(AD$13,'MP (nominal)'!$D$12:$AM$244,ROW()-12,FALSE)="","",HLOOKUP(AD$13,'MP (nominal)'!$D$12:$AM$244,ROW()-12,FALSE)*VLOOKUP($C183,CPI!$B$9:$I$63,8))</f>
        <v/>
      </c>
      <c r="AE183" s="31" t="str">
        <f>IF(HLOOKUP(AE$13,'MP (nominal)'!$D$12:$AM$244,ROW()-12,FALSE)="","",HLOOKUP(AE$13,'MP (nominal)'!$D$12:$AM$244,ROW()-12,FALSE))</f>
        <v/>
      </c>
      <c r="AF183" s="31" t="str">
        <f>IF(HLOOKUP(AF$13,'MP (nominal)'!$D$12:$AM$244,ROW()-12,FALSE)="","",HLOOKUP(AF$13,'MP (nominal)'!$D$12:$AM$244,ROW()-12,FALSE))</f>
        <v/>
      </c>
      <c r="AG183" s="281"/>
      <c r="AH183" s="281" t="str">
        <f>IF(HLOOKUP(AH$13,'MP (nominal)'!$D$12:$AM$244,ROW()-12,FALSE)="","",HLOOKUP(AH$13,'MP (nominal)'!$D$12:$AM$244,ROW()-12,FALSE)*VLOOKUP($C183,CPI!$B$9:$I$63,8))</f>
        <v/>
      </c>
      <c r="AI183" s="31" t="str">
        <f>IF(HLOOKUP(AI$13,'MP (nominal)'!$D$12:$AM$244,ROW()-12,FALSE)="","",HLOOKUP(AI$13,'MP (nominal)'!$D$12:$AM$244,ROW()-12,FALSE))</f>
        <v/>
      </c>
      <c r="AJ183" s="31" t="str">
        <f>IF(HLOOKUP(AJ$13,'MP (nominal)'!$D$12:$AM$244,ROW()-12,FALSE)="","",HLOOKUP(AJ$13,'MP (nominal)'!$D$12:$AM$244,ROW()-12,FALSE))</f>
        <v/>
      </c>
      <c r="AK183" s="281"/>
      <c r="AL183" s="281" t="str">
        <f>IF(HLOOKUP(AL$13,'MP (nominal)'!$D$12:$AM$244,ROW()-12,FALSE)="","",HLOOKUP(AL$13,'MP (nominal)'!$D$12:$AM$244,ROW()-12,FALSE)*VLOOKUP($C183,CPI!$B$9:$I$63,8))</f>
        <v/>
      </c>
      <c r="AM183" s="31" t="str">
        <f>IF(HLOOKUP(AM$13,'MP (nominal)'!$D$12:$AM$244,ROW()-12,FALSE)="","",HLOOKUP(AM$13,'MP (nominal)'!$D$12:$AM$244,ROW()-12,FALSE))</f>
        <v/>
      </c>
      <c r="AN183" s="31" t="str">
        <f>IF(HLOOKUP(AN$13,'MP (nominal)'!$D$12:$AM$244,ROW()-12,FALSE)="","",HLOOKUP(AN$13,'MP (nominal)'!$D$12:$AM$244,ROW()-12,FALSE))</f>
        <v/>
      </c>
      <c r="AO183" s="281"/>
      <c r="AP183" s="281" t="str">
        <f>IF(HLOOKUP(AP$13,'MP (nominal)'!$D$12:$AM$244,ROW()-12,FALSE)="","",HLOOKUP(AP$13,'MP (nominal)'!$D$12:$AM$244,ROW()-12,FALSE)*VLOOKUP($C183,CPI!$B$9:$I$63,8))</f>
        <v/>
      </c>
      <c r="AQ183" s="31" t="str">
        <f>IF(HLOOKUP(AQ$13,'MP (nominal)'!$D$12:$AM$244,ROW()-12,FALSE)="","",HLOOKUP(AQ$13,'MP (nominal)'!$D$12:$AM$244,ROW()-12,FALSE))</f>
        <v/>
      </c>
      <c r="AR183" s="281" t="str">
        <f>IF(HLOOKUP(AR$13,'MP (nominal)'!$D$12:$AM$244,ROW()-12,FALSE)="","",HLOOKUP(AR$13,'MP (nominal)'!$D$12:$AM$244,ROW()-12,FALSE))</f>
        <v/>
      </c>
    </row>
    <row r="184" spans="1:44" s="278" customFormat="1" hidden="1">
      <c r="A184" s="271">
        <f>References!E279</f>
        <v>486</v>
      </c>
      <c r="B184" s="292" t="s">
        <v>50</v>
      </c>
      <c r="C184" s="284">
        <v>2006</v>
      </c>
      <c r="D184" s="27" t="str">
        <f>IF(HLOOKUP(D$13,'MP (nominal)'!$D$12:$AM$244,ROW()-12,FALSE)="","",HLOOKUP(D$13,'MP (nominal)'!$D$12:$AM$244,ROW()-12,FALSE))</f>
        <v/>
      </c>
      <c r="E184" s="281" t="str">
        <f>IF(HLOOKUP(E$13,'MP (nominal)'!$D$12:$AM$244,ROW()-12,FALSE)="","",HLOOKUP(E$13,'MP (nominal)'!$D$12:$AM$244,ROW()-12,FALSE))</f>
        <v/>
      </c>
      <c r="F184" s="27">
        <f>IF(HLOOKUP(F$13,'MP (nominal)'!$D$12:$AM$244,ROW()-12,FALSE)="","",HLOOKUP(F$13,'MP (nominal)'!$D$12:$AM$244,ROW()-12,FALSE))</f>
        <v>257</v>
      </c>
      <c r="G184" s="281" t="str">
        <f>IF(HLOOKUP(G$13,'MP (nominal)'!$D$12:$AM$244,ROW()-12,FALSE)="","",HLOOKUP(G$13,'MP (nominal)'!$D$12:$AM$244,ROW()-12,FALSE))</f>
        <v/>
      </c>
      <c r="H184" s="27">
        <f>IF(HLOOKUP(H$13,'MP (nominal)'!$D$12:$AM$244,ROW()-12,FALSE)="","",HLOOKUP(H$13,'MP (nominal)'!$D$12:$AM$244,ROW()-12,FALSE))</f>
        <v>8540</v>
      </c>
      <c r="I184" s="31" t="str">
        <f>IF(HLOOKUP(I$13,'MP (nominal)'!$D$12:$AM$244,ROW()-12,FALSE)="","",HLOOKUP(I$13,'MP (nominal)'!$D$12:$AM$244,ROW()-12,FALSE))</f>
        <v/>
      </c>
      <c r="J184" s="31">
        <f>IF(HLOOKUP(J$13,'MP (nominal)'!$D$12:$AM$244,ROW()-12,FALSE)="","",HLOOKUP(J$13,'MP (nominal)'!$D$12:$AM$244,ROW()-12,FALSE))</f>
        <v>8284</v>
      </c>
      <c r="K184" s="281"/>
      <c r="L184" s="27">
        <f>IF(HLOOKUP(L$13,'MP (nominal)'!$D$12:$AM$244,ROW()-12,FALSE)="","",HLOOKUP(L$13,'MP (nominal)'!$D$12:$AM$244,ROW()-12,FALSE))</f>
        <v>114.01</v>
      </c>
      <c r="M184" s="293">
        <f>IF(HLOOKUP(M$13,'MP (nominal)'!$D$12:$AM$244,ROW()-12,FALSE)="","",HLOOKUP(M$13,'MP (nominal)'!$D$12:$AM$244,ROW()-12,FALSE))</f>
        <v>621.15863300000001</v>
      </c>
      <c r="N184" s="35"/>
      <c r="O184" s="27">
        <f>IF(HLOOKUP(O$13,'MP (nominal)'!$D$12:$AM$244,ROW()-12,FALSE)="","",HLOOKUP(O$13,'MP (nominal)'!$D$12:$AM$244,ROW()-12,FALSE))</f>
        <v>32243</v>
      </c>
      <c r="P184" s="31"/>
      <c r="Q184" s="281"/>
      <c r="R184" s="281">
        <f>IF(HLOOKUP(R$13,'MP (nominal)'!$D$12:$AM$244,ROW()-12,FALSE)="","",HLOOKUP(R$13,'MP (nominal)'!$D$12:$AM$244,ROW()-12,FALSE))</f>
        <v>161.19999999999999</v>
      </c>
      <c r="S184" s="281" t="str">
        <f>IF(HLOOKUP(S$13,'MP (nominal)'!$D$12:$AM$244,ROW()-12,FALSE)="","",HLOOKUP(S$13,'MP (nominal)'!$D$12:$AM$244,ROW()-12,FALSE))</f>
        <v/>
      </c>
      <c r="T184" s="281" t="str">
        <f>IF(HLOOKUP(T$13,'MP (nominal)'!$D$12:$AM$244,ROW()-12,FALSE)="","",HLOOKUP(T$13,'MP (nominal)'!$D$12:$AM$244,ROW()-12,FALSE))</f>
        <v/>
      </c>
      <c r="U184" s="281"/>
      <c r="V184" s="281">
        <f>IF(HLOOKUP(V$13,'MP (nominal)'!$D$12:$AM$244,ROW()-12,FALSE)="","",HLOOKUP(V$13,'MP (nominal)'!$D$12:$AM$244,ROW()-12,FALSE))</f>
        <v>3.07</v>
      </c>
      <c r="W184" s="281" t="str">
        <f>IF(HLOOKUP(W$13,'MP (nominal)'!$D$12:$AM$244,ROW()-12,FALSE)="","",HLOOKUP(W$13,'MP (nominal)'!$D$12:$AM$244,ROW()-12,FALSE))</f>
        <v/>
      </c>
      <c r="X184" s="281" t="str">
        <f>IF(HLOOKUP(X$13,'MP (nominal)'!$D$12:$AM$244,ROW()-12,FALSE)="","",HLOOKUP(X$13,'MP (nominal)'!$D$12:$AM$244,ROW()-12,FALSE))</f>
        <v/>
      </c>
      <c r="Y184" s="281"/>
      <c r="Z184" s="281" t="str">
        <f>IF(HLOOKUP(Z$13,'MP (nominal)'!$D$12:$AM$244,ROW()-12,FALSE)="","",HLOOKUP(Z$13,'MP (nominal)'!$D$12:$AM$244,ROW()-12,FALSE)*VLOOKUP($C184,CPI!$B$9:$I$63,8))</f>
        <v/>
      </c>
      <c r="AA184" s="281" t="str">
        <f>IF(HLOOKUP(AA$13,'MP (nominal)'!$D$12:$AM$244,ROW()-12,FALSE)="","",HLOOKUP(AA$13,'MP (nominal)'!$D$12:$AM$244,ROW()-12,FALSE))</f>
        <v/>
      </c>
      <c r="AB184" s="281" t="str">
        <f>IF(HLOOKUP(AB$13,'MP (nominal)'!$D$12:$AM$244,ROW()-12,FALSE)="","",HLOOKUP(AB$13,'MP (nominal)'!$D$12:$AM$244,ROW()-12,FALSE))</f>
        <v/>
      </c>
      <c r="AC184" s="281"/>
      <c r="AD184" s="281" t="str">
        <f>IF(HLOOKUP(AD$13,'MP (nominal)'!$D$12:$AM$244,ROW()-12,FALSE)="","",HLOOKUP(AD$13,'MP (nominal)'!$D$12:$AM$244,ROW()-12,FALSE)*VLOOKUP($C184,CPI!$B$9:$I$63,8))</f>
        <v/>
      </c>
      <c r="AE184" s="31" t="str">
        <f>IF(HLOOKUP(AE$13,'MP (nominal)'!$D$12:$AM$244,ROW()-12,FALSE)="","",HLOOKUP(AE$13,'MP (nominal)'!$D$12:$AM$244,ROW()-12,FALSE))</f>
        <v/>
      </c>
      <c r="AF184" s="31" t="str">
        <f>IF(HLOOKUP(AF$13,'MP (nominal)'!$D$12:$AM$244,ROW()-12,FALSE)="","",HLOOKUP(AF$13,'MP (nominal)'!$D$12:$AM$244,ROW()-12,FALSE))</f>
        <v/>
      </c>
      <c r="AG184" s="281"/>
      <c r="AH184" s="281" t="str">
        <f>IF(HLOOKUP(AH$13,'MP (nominal)'!$D$12:$AM$244,ROW()-12,FALSE)="","",HLOOKUP(AH$13,'MP (nominal)'!$D$12:$AM$244,ROW()-12,FALSE)*VLOOKUP($C184,CPI!$B$9:$I$63,8))</f>
        <v/>
      </c>
      <c r="AI184" s="31" t="str">
        <f>IF(HLOOKUP(AI$13,'MP (nominal)'!$D$12:$AM$244,ROW()-12,FALSE)="","",HLOOKUP(AI$13,'MP (nominal)'!$D$12:$AM$244,ROW()-12,FALSE))</f>
        <v/>
      </c>
      <c r="AJ184" s="31" t="str">
        <f>IF(HLOOKUP(AJ$13,'MP (nominal)'!$D$12:$AM$244,ROW()-12,FALSE)="","",HLOOKUP(AJ$13,'MP (nominal)'!$D$12:$AM$244,ROW()-12,FALSE))</f>
        <v/>
      </c>
      <c r="AK184" s="281"/>
      <c r="AL184" s="281" t="str">
        <f>IF(HLOOKUP(AL$13,'MP (nominal)'!$D$12:$AM$244,ROW()-12,FALSE)="","",HLOOKUP(AL$13,'MP (nominal)'!$D$12:$AM$244,ROW()-12,FALSE)*VLOOKUP($C184,CPI!$B$9:$I$63,8))</f>
        <v/>
      </c>
      <c r="AM184" s="31" t="str">
        <f>IF(HLOOKUP(AM$13,'MP (nominal)'!$D$12:$AM$244,ROW()-12,FALSE)="","",HLOOKUP(AM$13,'MP (nominal)'!$D$12:$AM$244,ROW()-12,FALSE))</f>
        <v/>
      </c>
      <c r="AN184" s="31" t="str">
        <f>IF(HLOOKUP(AN$13,'MP (nominal)'!$D$12:$AM$244,ROW()-12,FALSE)="","",HLOOKUP(AN$13,'MP (nominal)'!$D$12:$AM$244,ROW()-12,FALSE))</f>
        <v/>
      </c>
      <c r="AO184" s="281"/>
      <c r="AP184" s="281" t="str">
        <f>IF(HLOOKUP(AP$13,'MP (nominal)'!$D$12:$AM$244,ROW()-12,FALSE)="","",HLOOKUP(AP$13,'MP (nominal)'!$D$12:$AM$244,ROW()-12,FALSE)*VLOOKUP($C184,CPI!$B$9:$I$63,8))</f>
        <v/>
      </c>
      <c r="AQ184" s="31" t="str">
        <f>IF(HLOOKUP(AQ$13,'MP (nominal)'!$D$12:$AM$244,ROW()-12,FALSE)="","",HLOOKUP(AQ$13,'MP (nominal)'!$D$12:$AM$244,ROW()-12,FALSE))</f>
        <v/>
      </c>
      <c r="AR184" s="281" t="str">
        <f>IF(HLOOKUP(AR$13,'MP (nominal)'!$D$12:$AM$244,ROW()-12,FALSE)="","",HLOOKUP(AR$13,'MP (nominal)'!$D$12:$AM$244,ROW()-12,FALSE))</f>
        <v/>
      </c>
    </row>
    <row r="185" spans="1:44" s="278" customFormat="1" hidden="1">
      <c r="A185" s="271">
        <f>References!F279</f>
        <v>487</v>
      </c>
      <c r="B185" s="292" t="s">
        <v>50</v>
      </c>
      <c r="C185" s="284">
        <v>2007</v>
      </c>
      <c r="D185" s="27" t="str">
        <f>IF(HLOOKUP(D$13,'MP (nominal)'!$D$12:$AM$244,ROW()-12,FALSE)="","",HLOOKUP(D$13,'MP (nominal)'!$D$12:$AM$244,ROW()-12,FALSE))</f>
        <v/>
      </c>
      <c r="E185" s="281" t="str">
        <f>IF(HLOOKUP(E$13,'MP (nominal)'!$D$12:$AM$244,ROW()-12,FALSE)="","",HLOOKUP(E$13,'MP (nominal)'!$D$12:$AM$244,ROW()-12,FALSE))</f>
        <v/>
      </c>
      <c r="F185" s="27">
        <f>IF(HLOOKUP(F$13,'MP (nominal)'!$D$12:$AM$244,ROW()-12,FALSE)="","",HLOOKUP(F$13,'MP (nominal)'!$D$12:$AM$244,ROW()-12,FALSE))</f>
        <v>248</v>
      </c>
      <c r="G185" s="281" t="str">
        <f>IF(HLOOKUP(G$13,'MP (nominal)'!$D$12:$AM$244,ROW()-12,FALSE)="","",HLOOKUP(G$13,'MP (nominal)'!$D$12:$AM$244,ROW()-12,FALSE))</f>
        <v/>
      </c>
      <c r="H185" s="27">
        <f>IF(HLOOKUP(H$13,'MP (nominal)'!$D$12:$AM$244,ROW()-12,FALSE)="","",HLOOKUP(H$13,'MP (nominal)'!$D$12:$AM$244,ROW()-12,FALSE))</f>
        <v>8545</v>
      </c>
      <c r="I185" s="31" t="str">
        <f>IF(HLOOKUP(I$13,'MP (nominal)'!$D$12:$AM$244,ROW()-12,FALSE)="","",HLOOKUP(I$13,'MP (nominal)'!$D$12:$AM$244,ROW()-12,FALSE))</f>
        <v/>
      </c>
      <c r="J185" s="31">
        <f>IF(HLOOKUP(J$13,'MP (nominal)'!$D$12:$AM$244,ROW()-12,FALSE)="","",HLOOKUP(J$13,'MP (nominal)'!$D$12:$AM$244,ROW()-12,FALSE))</f>
        <v>8297</v>
      </c>
      <c r="K185" s="281"/>
      <c r="L185" s="27">
        <f>IF(HLOOKUP(L$13,'MP (nominal)'!$D$12:$AM$244,ROW()-12,FALSE)="","",HLOOKUP(L$13,'MP (nominal)'!$D$12:$AM$244,ROW()-12,FALSE))</f>
        <v>113.916</v>
      </c>
      <c r="M185" s="293">
        <f>IF(HLOOKUP(M$13,'MP (nominal)'!$D$12:$AM$244,ROW()-12,FALSE)="","",HLOOKUP(M$13,'MP (nominal)'!$D$12:$AM$244,ROW()-12,FALSE))</f>
        <v>646.26060299999995</v>
      </c>
      <c r="N185" s="35"/>
      <c r="O185" s="27">
        <f>IF(HLOOKUP(O$13,'MP (nominal)'!$D$12:$AM$244,ROW()-12,FALSE)="","",HLOOKUP(O$13,'MP (nominal)'!$D$12:$AM$244,ROW()-12,FALSE))</f>
        <v>32568</v>
      </c>
      <c r="P185" s="31"/>
      <c r="Q185" s="281"/>
      <c r="R185" s="281">
        <f>IF(HLOOKUP(R$13,'MP (nominal)'!$D$12:$AM$244,ROW()-12,FALSE)="","",HLOOKUP(R$13,'MP (nominal)'!$D$12:$AM$244,ROW()-12,FALSE))</f>
        <v>182.9</v>
      </c>
      <c r="S185" s="281" t="str">
        <f>IF(HLOOKUP(S$13,'MP (nominal)'!$D$12:$AM$244,ROW()-12,FALSE)="","",HLOOKUP(S$13,'MP (nominal)'!$D$12:$AM$244,ROW()-12,FALSE))</f>
        <v/>
      </c>
      <c r="T185" s="281" t="str">
        <f>IF(HLOOKUP(T$13,'MP (nominal)'!$D$12:$AM$244,ROW()-12,FALSE)="","",HLOOKUP(T$13,'MP (nominal)'!$D$12:$AM$244,ROW()-12,FALSE))</f>
        <v/>
      </c>
      <c r="U185" s="281"/>
      <c r="V185" s="281">
        <f>IF(HLOOKUP(V$13,'MP (nominal)'!$D$12:$AM$244,ROW()-12,FALSE)="","",HLOOKUP(V$13,'MP (nominal)'!$D$12:$AM$244,ROW()-12,FALSE))</f>
        <v>3.28</v>
      </c>
      <c r="W185" s="281" t="str">
        <f>IF(HLOOKUP(W$13,'MP (nominal)'!$D$12:$AM$244,ROW()-12,FALSE)="","",HLOOKUP(W$13,'MP (nominal)'!$D$12:$AM$244,ROW()-12,FALSE))</f>
        <v/>
      </c>
      <c r="X185" s="281" t="str">
        <f>IF(HLOOKUP(X$13,'MP (nominal)'!$D$12:$AM$244,ROW()-12,FALSE)="","",HLOOKUP(X$13,'MP (nominal)'!$D$12:$AM$244,ROW()-12,FALSE))</f>
        <v/>
      </c>
      <c r="Y185" s="281"/>
      <c r="Z185" s="281" t="str">
        <f>IF(HLOOKUP(Z$13,'MP (nominal)'!$D$12:$AM$244,ROW()-12,FALSE)="","",HLOOKUP(Z$13,'MP (nominal)'!$D$12:$AM$244,ROW()-12,FALSE)*VLOOKUP($C185,CPI!$B$9:$I$63,8))</f>
        <v/>
      </c>
      <c r="AA185" s="281" t="str">
        <f>IF(HLOOKUP(AA$13,'MP (nominal)'!$D$12:$AM$244,ROW()-12,FALSE)="","",HLOOKUP(AA$13,'MP (nominal)'!$D$12:$AM$244,ROW()-12,FALSE))</f>
        <v/>
      </c>
      <c r="AB185" s="281" t="str">
        <f>IF(HLOOKUP(AB$13,'MP (nominal)'!$D$12:$AM$244,ROW()-12,FALSE)="","",HLOOKUP(AB$13,'MP (nominal)'!$D$12:$AM$244,ROW()-12,FALSE))</f>
        <v/>
      </c>
      <c r="AC185" s="281"/>
      <c r="AD185" s="281" t="str">
        <f>IF(HLOOKUP(AD$13,'MP (nominal)'!$D$12:$AM$244,ROW()-12,FALSE)="","",HLOOKUP(AD$13,'MP (nominal)'!$D$12:$AM$244,ROW()-12,FALSE)*VLOOKUP($C185,CPI!$B$9:$I$63,8))</f>
        <v/>
      </c>
      <c r="AE185" s="31" t="str">
        <f>IF(HLOOKUP(AE$13,'MP (nominal)'!$D$12:$AM$244,ROW()-12,FALSE)="","",HLOOKUP(AE$13,'MP (nominal)'!$D$12:$AM$244,ROW()-12,FALSE))</f>
        <v/>
      </c>
      <c r="AF185" s="31" t="str">
        <f>IF(HLOOKUP(AF$13,'MP (nominal)'!$D$12:$AM$244,ROW()-12,FALSE)="","",HLOOKUP(AF$13,'MP (nominal)'!$D$12:$AM$244,ROW()-12,FALSE))</f>
        <v/>
      </c>
      <c r="AG185" s="281"/>
      <c r="AH185" s="281" t="str">
        <f>IF(HLOOKUP(AH$13,'MP (nominal)'!$D$12:$AM$244,ROW()-12,FALSE)="","",HLOOKUP(AH$13,'MP (nominal)'!$D$12:$AM$244,ROW()-12,FALSE)*VLOOKUP($C185,CPI!$B$9:$I$63,8))</f>
        <v/>
      </c>
      <c r="AI185" s="31" t="str">
        <f>IF(HLOOKUP(AI$13,'MP (nominal)'!$D$12:$AM$244,ROW()-12,FALSE)="","",HLOOKUP(AI$13,'MP (nominal)'!$D$12:$AM$244,ROW()-12,FALSE))</f>
        <v/>
      </c>
      <c r="AJ185" s="31" t="str">
        <f>IF(HLOOKUP(AJ$13,'MP (nominal)'!$D$12:$AM$244,ROW()-12,FALSE)="","",HLOOKUP(AJ$13,'MP (nominal)'!$D$12:$AM$244,ROW()-12,FALSE))</f>
        <v/>
      </c>
      <c r="AK185" s="281"/>
      <c r="AL185" s="281" t="str">
        <f>IF(HLOOKUP(AL$13,'MP (nominal)'!$D$12:$AM$244,ROW()-12,FALSE)="","",HLOOKUP(AL$13,'MP (nominal)'!$D$12:$AM$244,ROW()-12,FALSE)*VLOOKUP($C185,CPI!$B$9:$I$63,8))</f>
        <v/>
      </c>
      <c r="AM185" s="31" t="str">
        <f>IF(HLOOKUP(AM$13,'MP (nominal)'!$D$12:$AM$244,ROW()-12,FALSE)="","",HLOOKUP(AM$13,'MP (nominal)'!$D$12:$AM$244,ROW()-12,FALSE))</f>
        <v/>
      </c>
      <c r="AN185" s="31" t="str">
        <f>IF(HLOOKUP(AN$13,'MP (nominal)'!$D$12:$AM$244,ROW()-12,FALSE)="","",HLOOKUP(AN$13,'MP (nominal)'!$D$12:$AM$244,ROW()-12,FALSE))</f>
        <v/>
      </c>
      <c r="AO185" s="281"/>
      <c r="AP185" s="281" t="str">
        <f>IF(HLOOKUP(AP$13,'MP (nominal)'!$D$12:$AM$244,ROW()-12,FALSE)="","",HLOOKUP(AP$13,'MP (nominal)'!$D$12:$AM$244,ROW()-12,FALSE)*VLOOKUP($C185,CPI!$B$9:$I$63,8))</f>
        <v/>
      </c>
      <c r="AQ185" s="31" t="str">
        <f>IF(HLOOKUP(AQ$13,'MP (nominal)'!$D$12:$AM$244,ROW()-12,FALSE)="","",HLOOKUP(AQ$13,'MP (nominal)'!$D$12:$AM$244,ROW()-12,FALSE))</f>
        <v/>
      </c>
      <c r="AR185" s="281" t="str">
        <f>IF(HLOOKUP(AR$13,'MP (nominal)'!$D$12:$AM$244,ROW()-12,FALSE)="","",HLOOKUP(AR$13,'MP (nominal)'!$D$12:$AM$244,ROW()-12,FALSE))</f>
        <v/>
      </c>
    </row>
    <row r="186" spans="1:44" s="278" customFormat="1">
      <c r="A186" s="271">
        <f>References!G279</f>
        <v>488</v>
      </c>
      <c r="B186" s="292" t="s">
        <v>50</v>
      </c>
      <c r="C186" s="284">
        <v>2008</v>
      </c>
      <c r="D186" s="27">
        <f>IF(HLOOKUP(D$13,'MP (nominal)'!$D$12:$AM$244,ROW()-12,FALSE)="","",HLOOKUP(D$13,'MP (nominal)'!$D$12:$AM$244,ROW()-12,FALSE))</f>
        <v>8253.5360999999994</v>
      </c>
      <c r="E186" s="281">
        <f>IF(HLOOKUP(E$13,'MP (nominal)'!$D$12:$AM$244,ROW()-12,FALSE)="","",HLOOKUP(E$13,'MP (nominal)'!$D$12:$AM$244,ROW()-12,FALSE))</f>
        <v>270.65818000000002</v>
      </c>
      <c r="F186" s="27">
        <f>IF(HLOOKUP(F$13,'MP (nominal)'!$D$12:$AM$244,ROW()-12,FALSE)="","",HLOOKUP(F$13,'MP (nominal)'!$D$12:$AM$244,ROW()-12,FALSE))</f>
        <v>275.82600000000002</v>
      </c>
      <c r="G186" s="281">
        <f>IF(HLOOKUP(G$13,'MP (nominal)'!$D$12:$AM$244,ROW()-12,FALSE)="","",HLOOKUP(G$13,'MP (nominal)'!$D$12:$AM$244,ROW()-12,FALSE))</f>
        <v>69.955910000000003</v>
      </c>
      <c r="H186" s="27">
        <f>IF(HLOOKUP(H$13,'MP (nominal)'!$D$12:$AM$244,ROW()-12,FALSE)="","",HLOOKUP(H$13,'MP (nominal)'!$D$12:$AM$244,ROW()-12,FALSE))</f>
        <v>8529.3621000000003</v>
      </c>
      <c r="I186" s="31">
        <f>IF(HLOOKUP(I$13,'MP (nominal)'!$D$12:$AM$244,ROW()-12,FALSE)="","",HLOOKUP(I$13,'MP (nominal)'!$D$12:$AM$244,ROW()-12,FALSE))</f>
        <v>340.61408999999998</v>
      </c>
      <c r="J186" s="31">
        <f>IF(HLOOKUP(J$13,'MP (nominal)'!$D$12:$AM$244,ROW()-12,FALSE)="","",HLOOKUP(J$13,'MP (nominal)'!$D$12:$AM$244,ROW()-12,FALSE))</f>
        <v>8253.5360999999994</v>
      </c>
      <c r="K186" s="281"/>
      <c r="L186" s="27">
        <f>IF(HLOOKUP(L$13,'MP (nominal)'!$D$12:$AM$244,ROW()-12,FALSE)="","",HLOOKUP(L$13,'MP (nominal)'!$D$12:$AM$244,ROW()-12,FALSE))</f>
        <v>121.533</v>
      </c>
      <c r="M186" s="283">
        <f>IF(HLOOKUP(M$13,'MP (nominal)'!$D$12:$AM$244,ROW()-12,FALSE)="","",HLOOKUP(M$13,'MP (nominal)'!$D$12:$AM$244,ROW()-12,FALSE))</f>
        <v>629.46559999999999</v>
      </c>
      <c r="N186" s="35"/>
      <c r="O186" s="27">
        <f>IF(HLOOKUP(O$13,'MP (nominal)'!$D$12:$AM$244,ROW()-12,FALSE)="","",HLOOKUP(O$13,'MP (nominal)'!$D$12:$AM$244,ROW()-12,FALSE))</f>
        <v>32998</v>
      </c>
      <c r="P186" s="31"/>
      <c r="Q186" s="281"/>
      <c r="R186" s="281">
        <f>IF(HLOOKUP(R$13,'MP (nominal)'!$D$12:$AM$244,ROW()-12,FALSE)="","",HLOOKUP(R$13,'MP (nominal)'!$D$12:$AM$244,ROW()-12,FALSE))</f>
        <v>294.77999999999997</v>
      </c>
      <c r="S186" s="281">
        <f>IF(HLOOKUP(S$13,'MP (nominal)'!$D$12:$AM$244,ROW()-12,FALSE)="","",HLOOKUP(S$13,'MP (nominal)'!$D$12:$AM$244,ROW()-12,FALSE))</f>
        <v>40.96</v>
      </c>
      <c r="T186" s="281">
        <f>IF(HLOOKUP(T$13,'MP (nominal)'!$D$12:$AM$244,ROW()-12,FALSE)="","",HLOOKUP(T$13,'MP (nominal)'!$D$12:$AM$244,ROW()-12,FALSE))</f>
        <v>253.82</v>
      </c>
      <c r="U186" s="281"/>
      <c r="V186" s="281">
        <f>IF(HLOOKUP(V$13,'MP (nominal)'!$D$12:$AM$244,ROW()-12,FALSE)="","",HLOOKUP(V$13,'MP (nominal)'!$D$12:$AM$244,ROW()-12,FALSE))</f>
        <v>3.75</v>
      </c>
      <c r="W186" s="281">
        <f>IF(HLOOKUP(W$13,'MP (nominal)'!$D$12:$AM$244,ROW()-12,FALSE)="","",HLOOKUP(W$13,'MP (nominal)'!$D$12:$AM$244,ROW()-12,FALSE))</f>
        <v>0.27</v>
      </c>
      <c r="X186" s="281">
        <f>IF(HLOOKUP(X$13,'MP (nominal)'!$D$12:$AM$244,ROW()-12,FALSE)="","",HLOOKUP(X$13,'MP (nominal)'!$D$12:$AM$244,ROW()-12,FALSE))</f>
        <v>3.48</v>
      </c>
      <c r="Y186" s="281"/>
      <c r="Z186" s="281">
        <f>IF(HLOOKUP(Z$13,'MP (nominal)'!$D$12:$AM$244,ROW()-12,FALSE)="","",HLOOKUP(Z$13,'MP (nominal)'!$D$12:$AM$244,ROW()-12,FALSE)*VLOOKUP($C186,CPI!$B$9:$I$63,8))</f>
        <v>18087.503619514697</v>
      </c>
      <c r="AA186" s="281">
        <f>IF(HLOOKUP(AA$13,'MP (nominal)'!$D$12:$AM$244,ROW()-12,FALSE)="","",HLOOKUP(AA$13,'MP (nominal)'!$D$12:$AM$244,ROW()-12,FALSE))</f>
        <v>206407.5</v>
      </c>
      <c r="AB186" s="281">
        <f>IF(HLOOKUP(AB$13,'MP (nominal)'!$D$12:$AM$244,ROW()-12,FALSE)="","",HLOOKUP(AB$13,'MP (nominal)'!$D$12:$AM$244,ROW()-12,FALSE))</f>
        <v>27994</v>
      </c>
      <c r="AC186" s="281"/>
      <c r="AD186" s="281">
        <f>IF(HLOOKUP(AD$13,'MP (nominal)'!$D$12:$AM$244,ROW()-12,FALSE)="","",HLOOKUP(AD$13,'MP (nominal)'!$D$12:$AM$244,ROW()-12,FALSE)*VLOOKUP($C186,CPI!$B$9:$I$63,8))</f>
        <v>11512.614036383336</v>
      </c>
      <c r="AE186" s="31">
        <f>IF(HLOOKUP(AE$13,'MP (nominal)'!$D$12:$AM$244,ROW()-12,FALSE)="","",HLOOKUP(AE$13,'MP (nominal)'!$D$12:$AM$244,ROW()-12,FALSE))</f>
        <v>131651.79999999999</v>
      </c>
      <c r="AF186" s="31">
        <f>IF(HLOOKUP(AF$13,'MP (nominal)'!$D$12:$AM$244,ROW()-12,FALSE)="","",HLOOKUP(AF$13,'MP (nominal)'!$D$12:$AM$244,ROW()-12,FALSE))</f>
        <v>4765</v>
      </c>
      <c r="AG186" s="281"/>
      <c r="AH186" s="281">
        <f>IF(HLOOKUP(AH$13,'MP (nominal)'!$D$12:$AM$244,ROW()-12,FALSE)="","",HLOOKUP(AH$13,'MP (nominal)'!$D$12:$AM$244,ROW()-12,FALSE)*VLOOKUP($C186,CPI!$B$9:$I$63,8))</f>
        <v>6030.7140823472382</v>
      </c>
      <c r="AI186" s="31">
        <f>IF(HLOOKUP(AI$13,'MP (nominal)'!$D$12:$AM$244,ROW()-12,FALSE)="","",HLOOKUP(AI$13,'MP (nominal)'!$D$12:$AM$244,ROW()-12,FALSE))</f>
        <v>151731.45000000001</v>
      </c>
      <c r="AJ186" s="31">
        <f>IF(HLOOKUP(AJ$13,'MP (nominal)'!$D$12:$AM$244,ROW()-12,FALSE)="","",HLOOKUP(AJ$13,'MP (nominal)'!$D$12:$AM$244,ROW()-12,FALSE))</f>
        <v>234</v>
      </c>
      <c r="AK186" s="281"/>
      <c r="AL186" s="281">
        <f>IF(HLOOKUP(AL$13,'MP (nominal)'!$D$12:$AM$244,ROW()-12,FALSE)="","",HLOOKUP(AL$13,'MP (nominal)'!$D$12:$AM$244,ROW()-12,FALSE)*VLOOKUP($C186,CPI!$B$9:$I$63,8))</f>
        <v>3530.0265973026144</v>
      </c>
      <c r="AM186" s="31">
        <f>IF(HLOOKUP(AM$13,'MP (nominal)'!$D$12:$AM$244,ROW()-12,FALSE)="","",HLOOKUP(AM$13,'MP (nominal)'!$D$12:$AM$244,ROW()-12,FALSE))</f>
        <v>139674.85</v>
      </c>
      <c r="AN186" s="31">
        <f>IF(HLOOKUP(AN$13,'MP (nominal)'!$D$12:$AM$244,ROW()-12,FALSE)="","",HLOOKUP(AN$13,'MP (nominal)'!$D$12:$AM$244,ROW()-12,FALSE))</f>
        <v>5</v>
      </c>
      <c r="AO186" s="281"/>
      <c r="AP186" s="281">
        <f>IF(HLOOKUP(AP$13,'MP (nominal)'!$D$12:$AM$244,ROW()-12,FALSE)="","",HLOOKUP(AP$13,'MP (nominal)'!$D$12:$AM$244,ROW()-12,FALSE)*VLOOKUP($C186,CPI!$B$9:$I$63,8))</f>
        <v>39160.857688688659</v>
      </c>
      <c r="AQ186" s="31">
        <f>IF(HLOOKUP(AQ$13,'MP (nominal)'!$D$12:$AM$244,ROW()-12,FALSE)="","",HLOOKUP(AQ$13,'MP (nominal)'!$D$12:$AM$244,ROW()-12,FALSE))</f>
        <v>629465.59999999998</v>
      </c>
      <c r="AR186" s="281">
        <f>IF(HLOOKUP(AR$13,'MP (nominal)'!$D$12:$AM$244,ROW()-12,FALSE)="","",HLOOKUP(AR$13,'MP (nominal)'!$D$12:$AM$244,ROW()-12,FALSE))</f>
        <v>32998</v>
      </c>
    </row>
    <row r="187" spans="1:44" s="278" customFormat="1">
      <c r="A187" s="271">
        <f>References!H279</f>
        <v>489</v>
      </c>
      <c r="B187" s="292" t="s">
        <v>50</v>
      </c>
      <c r="C187" s="284">
        <v>2009</v>
      </c>
      <c r="D187" s="27">
        <f>IF(HLOOKUP(D$13,'MP (nominal)'!$D$12:$AM$244,ROW()-12,FALSE)="","",HLOOKUP(D$13,'MP (nominal)'!$D$12:$AM$244,ROW()-12,FALSE))</f>
        <v>8282.0848000000005</v>
      </c>
      <c r="E187" s="281">
        <f>IF(HLOOKUP(E$13,'MP (nominal)'!$D$12:$AM$244,ROW()-12,FALSE)="","",HLOOKUP(E$13,'MP (nominal)'!$D$12:$AM$244,ROW()-12,FALSE))</f>
        <v>270.83623</v>
      </c>
      <c r="F187" s="27">
        <f>IF(HLOOKUP(F$13,'MP (nominal)'!$D$12:$AM$244,ROW()-12,FALSE)="","",HLOOKUP(F$13,'MP (nominal)'!$D$12:$AM$244,ROW()-12,FALSE))</f>
        <v>298.12923999999998</v>
      </c>
      <c r="G187" s="281">
        <f>IF(HLOOKUP(G$13,'MP (nominal)'!$D$12:$AM$244,ROW()-12,FALSE)="","",HLOOKUP(G$13,'MP (nominal)'!$D$12:$AM$244,ROW()-12,FALSE))</f>
        <v>72.801569999999998</v>
      </c>
      <c r="H187" s="27">
        <f>IF(HLOOKUP(H$13,'MP (nominal)'!$D$12:$AM$244,ROW()-12,FALSE)="","",HLOOKUP(H$13,'MP (nominal)'!$D$12:$AM$244,ROW()-12,FALSE))</f>
        <v>8580.2139999999999</v>
      </c>
      <c r="I187" s="31">
        <f>IF(HLOOKUP(I$13,'MP (nominal)'!$D$12:$AM$244,ROW()-12,FALSE)="","",HLOOKUP(I$13,'MP (nominal)'!$D$12:$AM$244,ROW()-12,FALSE))</f>
        <v>343.63781</v>
      </c>
      <c r="J187" s="31">
        <f>IF(HLOOKUP(J$13,'MP (nominal)'!$D$12:$AM$244,ROW()-12,FALSE)="","",HLOOKUP(J$13,'MP (nominal)'!$D$12:$AM$244,ROW()-12,FALSE))</f>
        <v>8282.0848000000005</v>
      </c>
      <c r="K187" s="281"/>
      <c r="L187" s="27">
        <f>IF(HLOOKUP(L$13,'MP (nominal)'!$D$12:$AM$244,ROW()-12,FALSE)="","",HLOOKUP(L$13,'MP (nominal)'!$D$12:$AM$244,ROW()-12,FALSE))</f>
        <v>128.04220000000001</v>
      </c>
      <c r="M187" s="283">
        <f>IF(HLOOKUP(M$13,'MP (nominal)'!$D$12:$AM$244,ROW()-12,FALSE)="","",HLOOKUP(M$13,'MP (nominal)'!$D$12:$AM$244,ROW()-12,FALSE))</f>
        <v>649.86622999999997</v>
      </c>
      <c r="N187" s="35"/>
      <c r="O187" s="27">
        <f>IF(HLOOKUP(O$13,'MP (nominal)'!$D$12:$AM$244,ROW()-12,FALSE)="","",HLOOKUP(O$13,'MP (nominal)'!$D$12:$AM$244,ROW()-12,FALSE))</f>
        <v>33692</v>
      </c>
      <c r="P187" s="31"/>
      <c r="Q187" s="281"/>
      <c r="R187" s="281">
        <f>IF(HLOOKUP(R$13,'MP (nominal)'!$D$12:$AM$244,ROW()-12,FALSE)="","",HLOOKUP(R$13,'MP (nominal)'!$D$12:$AM$244,ROW()-12,FALSE))</f>
        <v>217.34299999999999</v>
      </c>
      <c r="S187" s="281">
        <f>IF(HLOOKUP(S$13,'MP (nominal)'!$D$12:$AM$244,ROW()-12,FALSE)="","",HLOOKUP(S$13,'MP (nominal)'!$D$12:$AM$244,ROW()-12,FALSE))</f>
        <v>45.195999999999998</v>
      </c>
      <c r="T187" s="281">
        <f>IF(HLOOKUP(T$13,'MP (nominal)'!$D$12:$AM$244,ROW()-12,FALSE)="","",HLOOKUP(T$13,'MP (nominal)'!$D$12:$AM$244,ROW()-12,FALSE))</f>
        <v>165.03100000000001</v>
      </c>
      <c r="U187" s="281"/>
      <c r="V187" s="281">
        <f>IF(HLOOKUP(V$13,'MP (nominal)'!$D$12:$AM$244,ROW()-12,FALSE)="","",HLOOKUP(V$13,'MP (nominal)'!$D$12:$AM$244,ROW()-12,FALSE))</f>
        <v>4.3663999999999996</v>
      </c>
      <c r="W187" s="281">
        <f>IF(HLOOKUP(W$13,'MP (nominal)'!$D$12:$AM$244,ROW()-12,FALSE)="","",HLOOKUP(W$13,'MP (nominal)'!$D$12:$AM$244,ROW()-12,FALSE))</f>
        <v>0.24049999999999999</v>
      </c>
      <c r="X187" s="281">
        <f>IF(HLOOKUP(X$13,'MP (nominal)'!$D$12:$AM$244,ROW()-12,FALSE)="","",HLOOKUP(X$13,'MP (nominal)'!$D$12:$AM$244,ROW()-12,FALSE))</f>
        <v>3.8258000000000001</v>
      </c>
      <c r="Y187" s="281"/>
      <c r="Z187" s="281">
        <f>IF(HLOOKUP(Z$13,'MP (nominal)'!$D$12:$AM$244,ROW()-12,FALSE)="","",HLOOKUP(Z$13,'MP (nominal)'!$D$12:$AM$244,ROW()-12,FALSE)*VLOOKUP($C187,CPI!$B$9:$I$63,8))</f>
        <v>22440.673335438252</v>
      </c>
      <c r="AA187" s="281">
        <f>IF(HLOOKUP(AA$13,'MP (nominal)'!$D$12:$AM$244,ROW()-12,FALSE)="","",HLOOKUP(AA$13,'MP (nominal)'!$D$12:$AM$244,ROW()-12,FALSE))</f>
        <v>238919.01</v>
      </c>
      <c r="AB187" s="281">
        <f>IF(HLOOKUP(AB$13,'MP (nominal)'!$D$12:$AM$244,ROW()-12,FALSE)="","",HLOOKUP(AB$13,'MP (nominal)'!$D$12:$AM$244,ROW()-12,FALSE))</f>
        <v>28550</v>
      </c>
      <c r="AC187" s="281"/>
      <c r="AD187" s="281">
        <f>IF(HLOOKUP(AD$13,'MP (nominal)'!$D$12:$AM$244,ROW()-12,FALSE)="","",HLOOKUP(AD$13,'MP (nominal)'!$D$12:$AM$244,ROW()-12,FALSE)*VLOOKUP($C187,CPI!$B$9:$I$63,8))</f>
        <v>12050.632744869241</v>
      </c>
      <c r="AE187" s="31">
        <f>IF(HLOOKUP(AE$13,'MP (nominal)'!$D$12:$AM$244,ROW()-12,FALSE)="","",HLOOKUP(AE$13,'MP (nominal)'!$D$12:$AM$244,ROW()-12,FALSE))</f>
        <v>136688.04</v>
      </c>
      <c r="AF187" s="31">
        <f>IF(HLOOKUP(AF$13,'MP (nominal)'!$D$12:$AM$244,ROW()-12,FALSE)="","",HLOOKUP(AF$13,'MP (nominal)'!$D$12:$AM$244,ROW()-12,FALSE))</f>
        <v>4890</v>
      </c>
      <c r="AG187" s="281"/>
      <c r="AH187" s="281">
        <f>IF(HLOOKUP(AH$13,'MP (nominal)'!$D$12:$AM$244,ROW()-12,FALSE)="","",HLOOKUP(AH$13,'MP (nominal)'!$D$12:$AM$244,ROW()-12,FALSE)*VLOOKUP($C187,CPI!$B$9:$I$63,8))</f>
        <v>4598.7161355480803</v>
      </c>
      <c r="AI187" s="31">
        <f>IF(HLOOKUP(AI$13,'MP (nominal)'!$D$12:$AM$244,ROW()-12,FALSE)="","",HLOOKUP(AI$13,'MP (nominal)'!$D$12:$AM$244,ROW()-12,FALSE))</f>
        <v>131463.72</v>
      </c>
      <c r="AJ187" s="31">
        <f>IF(HLOOKUP(AJ$13,'MP (nominal)'!$D$12:$AM$244,ROW()-12,FALSE)="","",HLOOKUP(AJ$13,'MP (nominal)'!$D$12:$AM$244,ROW()-12,FALSE))</f>
        <v>247</v>
      </c>
      <c r="AK187" s="281"/>
      <c r="AL187" s="281">
        <f>IF(HLOOKUP(AL$13,'MP (nominal)'!$D$12:$AM$244,ROW()-12,FALSE)="","",HLOOKUP(AL$13,'MP (nominal)'!$D$12:$AM$244,ROW()-12,FALSE)*VLOOKUP($C187,CPI!$B$9:$I$63,8))</f>
        <v>2484.232384213054</v>
      </c>
      <c r="AM187" s="31">
        <f>IF(HLOOKUP(AM$13,'MP (nominal)'!$D$12:$AM$244,ROW()-12,FALSE)="","",HLOOKUP(AM$13,'MP (nominal)'!$D$12:$AM$244,ROW()-12,FALSE))</f>
        <v>142795.47</v>
      </c>
      <c r="AN187" s="31">
        <f>IF(HLOOKUP(AN$13,'MP (nominal)'!$D$12:$AM$244,ROW()-12,FALSE)="","",HLOOKUP(AN$13,'MP (nominal)'!$D$12:$AM$244,ROW()-12,FALSE))</f>
        <v>5</v>
      </c>
      <c r="AO187" s="281"/>
      <c r="AP187" s="281">
        <f>IF(HLOOKUP(AP$13,'MP (nominal)'!$D$12:$AM$244,ROW()-12,FALSE)="","",HLOOKUP(AP$13,'MP (nominal)'!$D$12:$AM$244,ROW()-12,FALSE)*VLOOKUP($C187,CPI!$B$9:$I$63,8))</f>
        <v>41574.254496259164</v>
      </c>
      <c r="AQ187" s="31">
        <f>IF(HLOOKUP(AQ$13,'MP (nominal)'!$D$12:$AM$244,ROW()-12,FALSE)="","",HLOOKUP(AQ$13,'MP (nominal)'!$D$12:$AM$244,ROW()-12,FALSE))</f>
        <v>649866.23</v>
      </c>
      <c r="AR187" s="281">
        <f>IF(HLOOKUP(AR$13,'MP (nominal)'!$D$12:$AM$244,ROW()-12,FALSE)="","",HLOOKUP(AR$13,'MP (nominal)'!$D$12:$AM$244,ROW()-12,FALSE))</f>
        <v>33692</v>
      </c>
    </row>
    <row r="188" spans="1:44" s="278" customFormat="1">
      <c r="A188" s="271">
        <f>References!I279</f>
        <v>490</v>
      </c>
      <c r="B188" s="292" t="s">
        <v>50</v>
      </c>
      <c r="C188" s="284">
        <v>2010</v>
      </c>
      <c r="D188" s="27">
        <f>IF(HLOOKUP(D$13,'MP (nominal)'!$D$12:$AM$244,ROW()-12,FALSE)="","",HLOOKUP(D$13,'MP (nominal)'!$D$12:$AM$244,ROW()-12,FALSE))</f>
        <v>8289.2595000000001</v>
      </c>
      <c r="E188" s="281">
        <f>IF(HLOOKUP(E$13,'MP (nominal)'!$D$12:$AM$244,ROW()-12,FALSE)="","",HLOOKUP(E$13,'MP (nominal)'!$D$12:$AM$244,ROW()-12,FALSE))</f>
        <v>270.99928</v>
      </c>
      <c r="F188" s="27">
        <f>IF(HLOOKUP(F$13,'MP (nominal)'!$D$12:$AM$244,ROW()-12,FALSE)="","",HLOOKUP(F$13,'MP (nominal)'!$D$12:$AM$244,ROW()-12,FALSE))</f>
        <v>313.93040999999999</v>
      </c>
      <c r="G188" s="281">
        <f>IF(HLOOKUP(G$13,'MP (nominal)'!$D$12:$AM$244,ROW()-12,FALSE)="","",HLOOKUP(G$13,'MP (nominal)'!$D$12:$AM$244,ROW()-12,FALSE))</f>
        <v>73.972989999999996</v>
      </c>
      <c r="H188" s="27">
        <f>IF(HLOOKUP(H$13,'MP (nominal)'!$D$12:$AM$244,ROW()-12,FALSE)="","",HLOOKUP(H$13,'MP (nominal)'!$D$12:$AM$244,ROW()-12,FALSE))</f>
        <v>8603.19</v>
      </c>
      <c r="I188" s="31">
        <f>IF(HLOOKUP(I$13,'MP (nominal)'!$D$12:$AM$244,ROW()-12,FALSE)="","",HLOOKUP(I$13,'MP (nominal)'!$D$12:$AM$244,ROW()-12,FALSE))</f>
        <v>344.97228000000001</v>
      </c>
      <c r="J188" s="31">
        <f>IF(HLOOKUP(J$13,'MP (nominal)'!$D$12:$AM$244,ROW()-12,FALSE)="","",HLOOKUP(J$13,'MP (nominal)'!$D$12:$AM$244,ROW()-12,FALSE))</f>
        <v>8289.2595000000001</v>
      </c>
      <c r="K188" s="281"/>
      <c r="L188" s="27">
        <f>IF(HLOOKUP(L$13,'MP (nominal)'!$D$12:$AM$244,ROW()-12,FALSE)="","",HLOOKUP(L$13,'MP (nominal)'!$D$12:$AM$244,ROW()-12,FALSE))</f>
        <v>130.25200000000001</v>
      </c>
      <c r="M188" s="283">
        <f>IF(HLOOKUP(M$13,'MP (nominal)'!$D$12:$AM$244,ROW()-12,FALSE)="","",HLOOKUP(M$13,'MP (nominal)'!$D$12:$AM$244,ROW()-12,FALSE))</f>
        <v>668.72577999999999</v>
      </c>
      <c r="N188" s="35"/>
      <c r="O188" s="27">
        <f>IF(HLOOKUP(O$13,'MP (nominal)'!$D$12:$AM$244,ROW()-12,FALSE)="","",HLOOKUP(O$13,'MP (nominal)'!$D$12:$AM$244,ROW()-12,FALSE))</f>
        <v>34050</v>
      </c>
      <c r="P188" s="31"/>
      <c r="Q188" s="281"/>
      <c r="R188" s="281">
        <f>IF(HLOOKUP(R$13,'MP (nominal)'!$D$12:$AM$244,ROW()-12,FALSE)="","",HLOOKUP(R$13,'MP (nominal)'!$D$12:$AM$244,ROW()-12,FALSE))</f>
        <v>214.43600000000001</v>
      </c>
      <c r="S188" s="281">
        <f>IF(HLOOKUP(S$13,'MP (nominal)'!$D$12:$AM$244,ROW()-12,FALSE)="","",HLOOKUP(S$13,'MP (nominal)'!$D$12:$AM$244,ROW()-12,FALSE))</f>
        <v>77.373000000000005</v>
      </c>
      <c r="T188" s="281">
        <f>IF(HLOOKUP(T$13,'MP (nominal)'!$D$12:$AM$244,ROW()-12,FALSE)="","",HLOOKUP(T$13,'MP (nominal)'!$D$12:$AM$244,ROW()-12,FALSE))</f>
        <v>132.137</v>
      </c>
      <c r="U188" s="281"/>
      <c r="V188" s="281">
        <f>IF(HLOOKUP(V$13,'MP (nominal)'!$D$12:$AM$244,ROW()-12,FALSE)="","",HLOOKUP(V$13,'MP (nominal)'!$D$12:$AM$244,ROW()-12,FALSE))</f>
        <v>3.1640000000000001</v>
      </c>
      <c r="W188" s="281">
        <f>IF(HLOOKUP(W$13,'MP (nominal)'!$D$12:$AM$244,ROW()-12,FALSE)="","",HLOOKUP(W$13,'MP (nominal)'!$D$12:$AM$244,ROW()-12,FALSE))</f>
        <v>0.34849999999999998</v>
      </c>
      <c r="X188" s="281">
        <f>IF(HLOOKUP(X$13,'MP (nominal)'!$D$12:$AM$244,ROW()-12,FALSE)="","",HLOOKUP(X$13,'MP (nominal)'!$D$12:$AM$244,ROW()-12,FALSE))</f>
        <v>2.5327999999999999</v>
      </c>
      <c r="Y188" s="281"/>
      <c r="Z188" s="281">
        <f>IF(HLOOKUP(Z$13,'MP (nominal)'!$D$12:$AM$244,ROW()-12,FALSE)="","",HLOOKUP(Z$13,'MP (nominal)'!$D$12:$AM$244,ROW()-12,FALSE)*VLOOKUP($C188,CPI!$B$9:$I$63,8))</f>
        <v>25360.234026299477</v>
      </c>
      <c r="AA188" s="281">
        <f>IF(HLOOKUP(AA$13,'MP (nominal)'!$D$12:$AM$244,ROW()-12,FALSE)="","",HLOOKUP(AA$13,'MP (nominal)'!$D$12:$AM$244,ROW()-12,FALSE))</f>
        <v>255227.54</v>
      </c>
      <c r="AB188" s="281">
        <f>IF(HLOOKUP(AB$13,'MP (nominal)'!$D$12:$AM$244,ROW()-12,FALSE)="","",HLOOKUP(AB$13,'MP (nominal)'!$D$12:$AM$244,ROW()-12,FALSE))</f>
        <v>28913</v>
      </c>
      <c r="AC188" s="281"/>
      <c r="AD188" s="281">
        <f>IF(HLOOKUP(AD$13,'MP (nominal)'!$D$12:$AM$244,ROW()-12,FALSE)="","",HLOOKUP(AD$13,'MP (nominal)'!$D$12:$AM$244,ROW()-12,FALSE)*VLOOKUP($C188,CPI!$B$9:$I$63,8))</f>
        <v>11948.409306405107</v>
      </c>
      <c r="AE188" s="31">
        <f>IF(HLOOKUP(AE$13,'MP (nominal)'!$D$12:$AM$244,ROW()-12,FALSE)="","",HLOOKUP(AE$13,'MP (nominal)'!$D$12:$AM$244,ROW()-12,FALSE))</f>
        <v>148294.89000000001</v>
      </c>
      <c r="AF188" s="31">
        <f>IF(HLOOKUP(AF$13,'MP (nominal)'!$D$12:$AM$244,ROW()-12,FALSE)="","",HLOOKUP(AF$13,'MP (nominal)'!$D$12:$AM$244,ROW()-12,FALSE))</f>
        <v>4887</v>
      </c>
      <c r="AG188" s="281"/>
      <c r="AH188" s="281">
        <f>IF(HLOOKUP(AH$13,'MP (nominal)'!$D$12:$AM$244,ROW()-12,FALSE)="","",HLOOKUP(AH$13,'MP (nominal)'!$D$12:$AM$244,ROW()-12,FALSE)*VLOOKUP($C188,CPI!$B$9:$I$63,8))</f>
        <v>4157.6214660882215</v>
      </c>
      <c r="AI188" s="31">
        <f>IF(HLOOKUP(AI$13,'MP (nominal)'!$D$12:$AM$244,ROW()-12,FALSE)="","",HLOOKUP(AI$13,'MP (nominal)'!$D$12:$AM$244,ROW()-12,FALSE))</f>
        <v>115004.34</v>
      </c>
      <c r="AJ188" s="31">
        <f>IF(HLOOKUP(AJ$13,'MP (nominal)'!$D$12:$AM$244,ROW()-12,FALSE)="","",HLOOKUP(AJ$13,'MP (nominal)'!$D$12:$AM$244,ROW()-12,FALSE))</f>
        <v>245</v>
      </c>
      <c r="AK188" s="281"/>
      <c r="AL188" s="281">
        <f>IF(HLOOKUP(AL$13,'MP (nominal)'!$D$12:$AM$244,ROW()-12,FALSE)="","",HLOOKUP(AL$13,'MP (nominal)'!$D$12:$AM$244,ROW()-12,FALSE)*VLOOKUP($C188,CPI!$B$9:$I$63,8))</f>
        <v>3081.2928938859095</v>
      </c>
      <c r="AM188" s="31">
        <f>IF(HLOOKUP(AM$13,'MP (nominal)'!$D$12:$AM$244,ROW()-12,FALSE)="","",HLOOKUP(AM$13,'MP (nominal)'!$D$12:$AM$244,ROW()-12,FALSE))</f>
        <v>150199.01999999999</v>
      </c>
      <c r="AN188" s="31">
        <f>IF(HLOOKUP(AN$13,'MP (nominal)'!$D$12:$AM$244,ROW()-12,FALSE)="","",HLOOKUP(AN$13,'MP (nominal)'!$D$12:$AM$244,ROW()-12,FALSE))</f>
        <v>5</v>
      </c>
      <c r="AO188" s="281"/>
      <c r="AP188" s="281">
        <f>IF(HLOOKUP(AP$13,'MP (nominal)'!$D$12:$AM$244,ROW()-12,FALSE)="","",HLOOKUP(AP$13,'MP (nominal)'!$D$12:$AM$244,ROW()-12,FALSE)*VLOOKUP($C188,CPI!$B$9:$I$63,8))</f>
        <v>44547.558405863485</v>
      </c>
      <c r="AQ188" s="31">
        <f>IF(HLOOKUP(AQ$13,'MP (nominal)'!$D$12:$AM$244,ROW()-12,FALSE)="","",HLOOKUP(AQ$13,'MP (nominal)'!$D$12:$AM$244,ROW()-12,FALSE))</f>
        <v>668725.78</v>
      </c>
      <c r="AR188" s="281">
        <f>IF(HLOOKUP(AR$13,'MP (nominal)'!$D$12:$AM$244,ROW()-12,FALSE)="","",HLOOKUP(AR$13,'MP (nominal)'!$D$12:$AM$244,ROW()-12,FALSE))</f>
        <v>34050</v>
      </c>
    </row>
    <row r="189" spans="1:44" s="278" customFormat="1">
      <c r="A189" s="271">
        <f>References!J279</f>
        <v>491</v>
      </c>
      <c r="B189" s="292" t="s">
        <v>50</v>
      </c>
      <c r="C189" s="284">
        <v>2011</v>
      </c>
      <c r="D189" s="27">
        <f>IF(HLOOKUP(D$13,'MP (nominal)'!$D$12:$AM$244,ROW()-12,FALSE)="","",HLOOKUP(D$13,'MP (nominal)'!$D$12:$AM$244,ROW()-12,FALSE))</f>
        <v>8306.3626999999997</v>
      </c>
      <c r="E189" s="281">
        <f>IF(HLOOKUP(E$13,'MP (nominal)'!$D$12:$AM$244,ROW()-12,FALSE)="","",HLOOKUP(E$13,'MP (nominal)'!$D$12:$AM$244,ROW()-12,FALSE))</f>
        <v>271.41187000000002</v>
      </c>
      <c r="F189" s="27">
        <f>IF(HLOOKUP(F$13,'MP (nominal)'!$D$12:$AM$244,ROW()-12,FALSE)="","",HLOOKUP(F$13,'MP (nominal)'!$D$12:$AM$244,ROW()-12,FALSE))</f>
        <v>323.93194999999997</v>
      </c>
      <c r="G189" s="281">
        <f>IF(HLOOKUP(G$13,'MP (nominal)'!$D$12:$AM$244,ROW()-12,FALSE)="","",HLOOKUP(G$13,'MP (nominal)'!$D$12:$AM$244,ROW()-12,FALSE))</f>
        <v>74.466179999999994</v>
      </c>
      <c r="H189" s="27">
        <f>IF(HLOOKUP(H$13,'MP (nominal)'!$D$12:$AM$244,ROW()-12,FALSE)="","",HLOOKUP(H$13,'MP (nominal)'!$D$12:$AM$244,ROW()-12,FALSE))</f>
        <v>8630.2945999999993</v>
      </c>
      <c r="I189" s="31">
        <f>IF(HLOOKUP(I$13,'MP (nominal)'!$D$12:$AM$244,ROW()-12,FALSE)="","",HLOOKUP(I$13,'MP (nominal)'!$D$12:$AM$244,ROW()-12,FALSE))</f>
        <v>345.87804999999997</v>
      </c>
      <c r="J189" s="31">
        <f>IF(HLOOKUP(J$13,'MP (nominal)'!$D$12:$AM$244,ROW()-12,FALSE)="","",HLOOKUP(J$13,'MP (nominal)'!$D$12:$AM$244,ROW()-12,FALSE))</f>
        <v>8306.3626999999997</v>
      </c>
      <c r="K189" s="281"/>
      <c r="L189" s="27">
        <f>IF(HLOOKUP(L$13,'MP (nominal)'!$D$12:$AM$244,ROW()-12,FALSE)="","",HLOOKUP(L$13,'MP (nominal)'!$D$12:$AM$244,ROW()-12,FALSE))</f>
        <v>134.946</v>
      </c>
      <c r="M189" s="283">
        <f>IF(HLOOKUP(M$13,'MP (nominal)'!$D$12:$AM$244,ROW()-12,FALSE)="","",HLOOKUP(M$13,'MP (nominal)'!$D$12:$AM$244,ROW()-12,FALSE))</f>
        <v>671.70122000000003</v>
      </c>
      <c r="N189" s="35"/>
      <c r="O189" s="27">
        <f>IF(HLOOKUP(O$13,'MP (nominal)'!$D$12:$AM$244,ROW()-12,FALSE)="","",HLOOKUP(O$13,'MP (nominal)'!$D$12:$AM$244,ROW()-12,FALSE))</f>
        <v>34431</v>
      </c>
      <c r="P189" s="31"/>
      <c r="Q189" s="281"/>
      <c r="R189" s="281">
        <f>IF(HLOOKUP(R$13,'MP (nominal)'!$D$12:$AM$244,ROW()-12,FALSE)="","",HLOOKUP(R$13,'MP (nominal)'!$D$12:$AM$244,ROW()-12,FALSE))</f>
        <v>209.06</v>
      </c>
      <c r="S189" s="281">
        <f>IF(HLOOKUP(S$13,'MP (nominal)'!$D$12:$AM$244,ROW()-12,FALSE)="","",HLOOKUP(S$13,'MP (nominal)'!$D$12:$AM$244,ROW()-12,FALSE))</f>
        <v>71.27</v>
      </c>
      <c r="T189" s="281">
        <f>IF(HLOOKUP(T$13,'MP (nominal)'!$D$12:$AM$244,ROW()-12,FALSE)="","",HLOOKUP(T$13,'MP (nominal)'!$D$12:$AM$244,ROW()-12,FALSE))</f>
        <v>137.79</v>
      </c>
      <c r="U189" s="281"/>
      <c r="V189" s="281">
        <f>IF(HLOOKUP(V$13,'MP (nominal)'!$D$12:$AM$244,ROW()-12,FALSE)="","",HLOOKUP(V$13,'MP (nominal)'!$D$12:$AM$244,ROW()-12,FALSE))</f>
        <v>3.21</v>
      </c>
      <c r="W189" s="281">
        <f>IF(HLOOKUP(W$13,'MP (nominal)'!$D$12:$AM$244,ROW()-12,FALSE)="","",HLOOKUP(W$13,'MP (nominal)'!$D$12:$AM$244,ROW()-12,FALSE))</f>
        <v>0.42</v>
      </c>
      <c r="X189" s="281">
        <f>IF(HLOOKUP(X$13,'MP (nominal)'!$D$12:$AM$244,ROW()-12,FALSE)="","",HLOOKUP(X$13,'MP (nominal)'!$D$12:$AM$244,ROW()-12,FALSE))</f>
        <v>2.79</v>
      </c>
      <c r="Y189" s="281"/>
      <c r="Z189" s="281">
        <f>IF(HLOOKUP(Z$13,'MP (nominal)'!$D$12:$AM$244,ROW()-12,FALSE)="","",HLOOKUP(Z$13,'MP (nominal)'!$D$12:$AM$244,ROW()-12,FALSE)*VLOOKUP($C189,CPI!$B$9:$I$63,8))</f>
        <v>24585.013999999999</v>
      </c>
      <c r="AA189" s="281">
        <f>IF(HLOOKUP(AA$13,'MP (nominal)'!$D$12:$AM$244,ROW()-12,FALSE)="","",HLOOKUP(AA$13,'MP (nominal)'!$D$12:$AM$244,ROW()-12,FALSE))</f>
        <v>255577.39</v>
      </c>
      <c r="AB189" s="281">
        <f>IF(HLOOKUP(AB$13,'MP (nominal)'!$D$12:$AM$244,ROW()-12,FALSE)="","",HLOOKUP(AB$13,'MP (nominal)'!$D$12:$AM$244,ROW()-12,FALSE))</f>
        <v>29265</v>
      </c>
      <c r="AC189" s="281"/>
      <c r="AD189" s="281">
        <f>IF(HLOOKUP(AD$13,'MP (nominal)'!$D$12:$AM$244,ROW()-12,FALSE)="","",HLOOKUP(AD$13,'MP (nominal)'!$D$12:$AM$244,ROW()-12,FALSE)*VLOOKUP($C189,CPI!$B$9:$I$63,8))</f>
        <v>11484.915999999999</v>
      </c>
      <c r="AE189" s="31">
        <f>IF(HLOOKUP(AE$13,'MP (nominal)'!$D$12:$AM$244,ROW()-12,FALSE)="","",HLOOKUP(AE$13,'MP (nominal)'!$D$12:$AM$244,ROW()-12,FALSE))</f>
        <v>145814.06</v>
      </c>
      <c r="AF189" s="31">
        <f>IF(HLOOKUP(AF$13,'MP (nominal)'!$D$12:$AM$244,ROW()-12,FALSE)="","",HLOOKUP(AF$13,'MP (nominal)'!$D$12:$AM$244,ROW()-12,FALSE))</f>
        <v>4895</v>
      </c>
      <c r="AG189" s="281"/>
      <c r="AH189" s="281">
        <f>IF(HLOOKUP(AH$13,'MP (nominal)'!$D$12:$AM$244,ROW()-12,FALSE)="","",HLOOKUP(AH$13,'MP (nominal)'!$D$12:$AM$244,ROW()-12,FALSE)*VLOOKUP($C189,CPI!$B$9:$I$63,8))</f>
        <v>5954.9094999999998</v>
      </c>
      <c r="AI189" s="31">
        <f>IF(HLOOKUP(AI$13,'MP (nominal)'!$D$12:$AM$244,ROW()-12,FALSE)="","",HLOOKUP(AI$13,'MP (nominal)'!$D$12:$AM$244,ROW()-12,FALSE))</f>
        <v>116237.43</v>
      </c>
      <c r="AJ189" s="31">
        <f>IF(HLOOKUP(AJ$13,'MP (nominal)'!$D$12:$AM$244,ROW()-12,FALSE)="","",HLOOKUP(AJ$13,'MP (nominal)'!$D$12:$AM$244,ROW()-12,FALSE))</f>
        <v>266</v>
      </c>
      <c r="AK189" s="281"/>
      <c r="AL189" s="281">
        <f>IF(HLOOKUP(AL$13,'MP (nominal)'!$D$12:$AM$244,ROW()-12,FALSE)="","",HLOOKUP(AL$13,'MP (nominal)'!$D$12:$AM$244,ROW()-12,FALSE)*VLOOKUP($C189,CPI!$B$9:$I$63,8))</f>
        <v>2976.0636</v>
      </c>
      <c r="AM189" s="31">
        <f>IF(HLOOKUP(AM$13,'MP (nominal)'!$D$12:$AM$244,ROW()-12,FALSE)="","",HLOOKUP(AM$13,'MP (nominal)'!$D$12:$AM$244,ROW()-12,FALSE))</f>
        <v>154072.34</v>
      </c>
      <c r="AN189" s="31">
        <f>IF(HLOOKUP(AN$13,'MP (nominal)'!$D$12:$AM$244,ROW()-12,FALSE)="","",HLOOKUP(AN$13,'MP (nominal)'!$D$12:$AM$244,ROW()-12,FALSE))</f>
        <v>5</v>
      </c>
      <c r="AO189" s="281"/>
      <c r="AP189" s="281">
        <f>IF(HLOOKUP(AP$13,'MP (nominal)'!$D$12:$AM$244,ROW()-12,FALSE)="","",HLOOKUP(AP$13,'MP (nominal)'!$D$12:$AM$244,ROW()-12,FALSE)*VLOOKUP($C189,CPI!$B$9:$I$63,8))</f>
        <v>45000.902999999998</v>
      </c>
      <c r="AQ189" s="31">
        <f>IF(HLOOKUP(AQ$13,'MP (nominal)'!$D$12:$AM$244,ROW()-12,FALSE)="","",HLOOKUP(AQ$13,'MP (nominal)'!$D$12:$AM$244,ROW()-12,FALSE))</f>
        <v>671701.22</v>
      </c>
      <c r="AR189" s="281">
        <f>IF(HLOOKUP(AR$13,'MP (nominal)'!$D$12:$AM$244,ROW()-12,FALSE)="","",HLOOKUP(AR$13,'MP (nominal)'!$D$12:$AM$244,ROW()-12,FALSE))</f>
        <v>34431</v>
      </c>
    </row>
    <row r="190" spans="1:44" s="278" customFormat="1" hidden="1">
      <c r="A190" s="271">
        <f>References!C280</f>
        <v>507</v>
      </c>
      <c r="B190" s="292" t="s">
        <v>142</v>
      </c>
      <c r="C190" s="284">
        <v>2004</v>
      </c>
      <c r="D190" s="27" t="str">
        <f>IF(HLOOKUP(D$13,'MP (nominal)'!$D$12:$AM$244,ROW()-12,FALSE)="","",HLOOKUP(D$13,'MP (nominal)'!$D$12:$AM$244,ROW()-12,FALSE))</f>
        <v/>
      </c>
      <c r="E190" s="281" t="str">
        <f>IF(HLOOKUP(E$13,'MP (nominal)'!$D$12:$AM$244,ROW()-12,FALSE)="","",HLOOKUP(E$13,'MP (nominal)'!$D$12:$AM$244,ROW()-12,FALSE))</f>
        <v/>
      </c>
      <c r="F190" s="27">
        <f>IF(HLOOKUP(F$13,'MP (nominal)'!$D$12:$AM$244,ROW()-12,FALSE)="","",HLOOKUP(F$13,'MP (nominal)'!$D$12:$AM$244,ROW()-12,FALSE))</f>
        <v>535</v>
      </c>
      <c r="G190" s="281" t="str">
        <f>IF(HLOOKUP(G$13,'MP (nominal)'!$D$12:$AM$244,ROW()-12,FALSE)="","",HLOOKUP(G$13,'MP (nominal)'!$D$12:$AM$244,ROW()-12,FALSE))</f>
        <v/>
      </c>
      <c r="H190" s="27">
        <f>IF(HLOOKUP(H$13,'MP (nominal)'!$D$12:$AM$244,ROW()-12,FALSE)="","",HLOOKUP(H$13,'MP (nominal)'!$D$12:$AM$244,ROW()-12,FALSE))</f>
        <v>3828</v>
      </c>
      <c r="I190" s="31" t="str">
        <f>IF(HLOOKUP(I$13,'MP (nominal)'!$D$12:$AM$244,ROW()-12,FALSE)="","",HLOOKUP(I$13,'MP (nominal)'!$D$12:$AM$244,ROW()-12,FALSE))</f>
        <v/>
      </c>
      <c r="J190" s="31">
        <f>IF(HLOOKUP(J$13,'MP (nominal)'!$D$12:$AM$244,ROW()-12,FALSE)="","",HLOOKUP(J$13,'MP (nominal)'!$D$12:$AM$244,ROW()-12,FALSE))</f>
        <v>3293</v>
      </c>
      <c r="K190" s="281"/>
      <c r="L190" s="27">
        <f>IF(HLOOKUP(L$13,'MP (nominal)'!$D$12:$AM$244,ROW()-12,FALSE)="","",HLOOKUP(L$13,'MP (nominal)'!$D$12:$AM$244,ROW()-12,FALSE))</f>
        <v>59</v>
      </c>
      <c r="M190" s="293">
        <f>IF(HLOOKUP(M$13,'MP (nominal)'!$D$12:$AM$244,ROW()-12,FALSE)="","",HLOOKUP(M$13,'MP (nominal)'!$D$12:$AM$244,ROW()-12,FALSE))</f>
        <v>313.54554999999999</v>
      </c>
      <c r="N190" s="35"/>
      <c r="O190" s="27">
        <f>IF(HLOOKUP(O$13,'MP (nominal)'!$D$12:$AM$244,ROW()-12,FALSE)="","",HLOOKUP(O$13,'MP (nominal)'!$D$12:$AM$244,ROW()-12,FALSE))</f>
        <v>27075</v>
      </c>
      <c r="P190" s="31"/>
      <c r="Q190" s="281"/>
      <c r="R190" s="281">
        <f>IF(HLOOKUP(R$13,'MP (nominal)'!$D$12:$AM$244,ROW()-12,FALSE)="","",HLOOKUP(R$13,'MP (nominal)'!$D$12:$AM$244,ROW()-12,FALSE))</f>
        <v>352.9</v>
      </c>
      <c r="S190" s="281" t="str">
        <f>IF(HLOOKUP(S$13,'MP (nominal)'!$D$12:$AM$244,ROW()-12,FALSE)="","",HLOOKUP(S$13,'MP (nominal)'!$D$12:$AM$244,ROW()-12,FALSE))</f>
        <v/>
      </c>
      <c r="T190" s="281" t="str">
        <f>IF(HLOOKUP(T$13,'MP (nominal)'!$D$12:$AM$244,ROW()-12,FALSE)="","",HLOOKUP(T$13,'MP (nominal)'!$D$12:$AM$244,ROW()-12,FALSE))</f>
        <v/>
      </c>
      <c r="U190" s="281"/>
      <c r="V190" s="281">
        <f>IF(HLOOKUP(V$13,'MP (nominal)'!$D$12:$AM$244,ROW()-12,FALSE)="","",HLOOKUP(V$13,'MP (nominal)'!$D$12:$AM$244,ROW()-12,FALSE))</f>
        <v>4.5999999999999996</v>
      </c>
      <c r="W190" s="281" t="str">
        <f>IF(HLOOKUP(W$13,'MP (nominal)'!$D$12:$AM$244,ROW()-12,FALSE)="","",HLOOKUP(W$13,'MP (nominal)'!$D$12:$AM$244,ROW()-12,FALSE))</f>
        <v/>
      </c>
      <c r="X190" s="281" t="str">
        <f>IF(HLOOKUP(X$13,'MP (nominal)'!$D$12:$AM$244,ROW()-12,FALSE)="","",HLOOKUP(X$13,'MP (nominal)'!$D$12:$AM$244,ROW()-12,FALSE))</f>
        <v/>
      </c>
      <c r="Y190" s="281"/>
      <c r="Z190" s="281" t="str">
        <f>IF(HLOOKUP(Z$13,'MP (nominal)'!$D$12:$AM$244,ROW()-12,FALSE)="","",HLOOKUP(Z$13,'MP (nominal)'!$D$12:$AM$244,ROW()-12,FALSE)*VLOOKUP($C190,CPI!$B$9:$I$63,8))</f>
        <v/>
      </c>
      <c r="AA190" s="281" t="str">
        <f>IF(HLOOKUP(AA$13,'MP (nominal)'!$D$12:$AM$244,ROW()-12,FALSE)="","",HLOOKUP(AA$13,'MP (nominal)'!$D$12:$AM$244,ROW()-12,FALSE))</f>
        <v/>
      </c>
      <c r="AB190" s="281" t="str">
        <f>IF(HLOOKUP(AB$13,'MP (nominal)'!$D$12:$AM$244,ROW()-12,FALSE)="","",HLOOKUP(AB$13,'MP (nominal)'!$D$12:$AM$244,ROW()-12,FALSE))</f>
        <v/>
      </c>
      <c r="AC190" s="281"/>
      <c r="AD190" s="281" t="str">
        <f>IF(HLOOKUP(AD$13,'MP (nominal)'!$D$12:$AM$244,ROW()-12,FALSE)="","",HLOOKUP(AD$13,'MP (nominal)'!$D$12:$AM$244,ROW()-12,FALSE)*VLOOKUP($C190,CPI!$B$9:$I$63,8))</f>
        <v/>
      </c>
      <c r="AE190" s="31" t="str">
        <f>IF(HLOOKUP(AE$13,'MP (nominal)'!$D$12:$AM$244,ROW()-12,FALSE)="","",HLOOKUP(AE$13,'MP (nominal)'!$D$12:$AM$244,ROW()-12,FALSE))</f>
        <v/>
      </c>
      <c r="AF190" s="31" t="str">
        <f>IF(HLOOKUP(AF$13,'MP (nominal)'!$D$12:$AM$244,ROW()-12,FALSE)="","",HLOOKUP(AF$13,'MP (nominal)'!$D$12:$AM$244,ROW()-12,FALSE))</f>
        <v/>
      </c>
      <c r="AG190" s="281"/>
      <c r="AH190" s="281" t="str">
        <f>IF(HLOOKUP(AH$13,'MP (nominal)'!$D$12:$AM$244,ROW()-12,FALSE)="","",HLOOKUP(AH$13,'MP (nominal)'!$D$12:$AM$244,ROW()-12,FALSE)*VLOOKUP($C190,CPI!$B$9:$I$63,8))</f>
        <v/>
      </c>
      <c r="AI190" s="31" t="str">
        <f>IF(HLOOKUP(AI$13,'MP (nominal)'!$D$12:$AM$244,ROW()-12,FALSE)="","",HLOOKUP(AI$13,'MP (nominal)'!$D$12:$AM$244,ROW()-12,FALSE))</f>
        <v/>
      </c>
      <c r="AJ190" s="31" t="str">
        <f>IF(HLOOKUP(AJ$13,'MP (nominal)'!$D$12:$AM$244,ROW()-12,FALSE)="","",HLOOKUP(AJ$13,'MP (nominal)'!$D$12:$AM$244,ROW()-12,FALSE))</f>
        <v/>
      </c>
      <c r="AK190" s="281"/>
      <c r="AL190" s="281" t="str">
        <f>IF(HLOOKUP(AL$13,'MP (nominal)'!$D$12:$AM$244,ROW()-12,FALSE)="","",HLOOKUP(AL$13,'MP (nominal)'!$D$12:$AM$244,ROW()-12,FALSE)*VLOOKUP($C190,CPI!$B$9:$I$63,8))</f>
        <v/>
      </c>
      <c r="AM190" s="31" t="str">
        <f>IF(HLOOKUP(AM$13,'MP (nominal)'!$D$12:$AM$244,ROW()-12,FALSE)="","",HLOOKUP(AM$13,'MP (nominal)'!$D$12:$AM$244,ROW()-12,FALSE))</f>
        <v/>
      </c>
      <c r="AN190" s="31" t="str">
        <f>IF(HLOOKUP(AN$13,'MP (nominal)'!$D$12:$AM$244,ROW()-12,FALSE)="","",HLOOKUP(AN$13,'MP (nominal)'!$D$12:$AM$244,ROW()-12,FALSE))</f>
        <v/>
      </c>
      <c r="AO190" s="281"/>
      <c r="AP190" s="281" t="str">
        <f>IF(HLOOKUP(AP$13,'MP (nominal)'!$D$12:$AM$244,ROW()-12,FALSE)="","",HLOOKUP(AP$13,'MP (nominal)'!$D$12:$AM$244,ROW()-12,FALSE)*VLOOKUP($C190,CPI!$B$9:$I$63,8))</f>
        <v/>
      </c>
      <c r="AQ190" s="31" t="str">
        <f>IF(HLOOKUP(AQ$13,'MP (nominal)'!$D$12:$AM$244,ROW()-12,FALSE)="","",HLOOKUP(AQ$13,'MP (nominal)'!$D$12:$AM$244,ROW()-12,FALSE))</f>
        <v/>
      </c>
      <c r="AR190" s="281" t="str">
        <f>IF(HLOOKUP(AR$13,'MP (nominal)'!$D$12:$AM$244,ROW()-12,FALSE)="","",HLOOKUP(AR$13,'MP (nominal)'!$D$12:$AM$244,ROW()-12,FALSE))</f>
        <v/>
      </c>
    </row>
    <row r="191" spans="1:44" s="278" customFormat="1" hidden="1">
      <c r="A191" s="271">
        <f>References!D280</f>
        <v>508</v>
      </c>
      <c r="B191" s="292" t="s">
        <v>142</v>
      </c>
      <c r="C191" s="284">
        <v>2005</v>
      </c>
      <c r="D191" s="27" t="str">
        <f>IF(HLOOKUP(D$13,'MP (nominal)'!$D$12:$AM$244,ROW()-12,FALSE)="","",HLOOKUP(D$13,'MP (nominal)'!$D$12:$AM$244,ROW()-12,FALSE))</f>
        <v/>
      </c>
      <c r="E191" s="281" t="str">
        <f>IF(HLOOKUP(E$13,'MP (nominal)'!$D$12:$AM$244,ROW()-12,FALSE)="","",HLOOKUP(E$13,'MP (nominal)'!$D$12:$AM$244,ROW()-12,FALSE))</f>
        <v/>
      </c>
      <c r="F191" s="27">
        <f>IF(HLOOKUP(F$13,'MP (nominal)'!$D$12:$AM$244,ROW()-12,FALSE)="","",HLOOKUP(F$13,'MP (nominal)'!$D$12:$AM$244,ROW()-12,FALSE))</f>
        <v>576</v>
      </c>
      <c r="G191" s="281" t="str">
        <f>IF(HLOOKUP(G$13,'MP (nominal)'!$D$12:$AM$244,ROW()-12,FALSE)="","",HLOOKUP(G$13,'MP (nominal)'!$D$12:$AM$244,ROW()-12,FALSE))</f>
        <v/>
      </c>
      <c r="H191" s="27">
        <f>IF(HLOOKUP(H$13,'MP (nominal)'!$D$12:$AM$244,ROW()-12,FALSE)="","",HLOOKUP(H$13,'MP (nominal)'!$D$12:$AM$244,ROW()-12,FALSE))</f>
        <v>3870</v>
      </c>
      <c r="I191" s="31" t="str">
        <f>IF(HLOOKUP(I$13,'MP (nominal)'!$D$12:$AM$244,ROW()-12,FALSE)="","",HLOOKUP(I$13,'MP (nominal)'!$D$12:$AM$244,ROW()-12,FALSE))</f>
        <v/>
      </c>
      <c r="J191" s="31">
        <f>IF(HLOOKUP(J$13,'MP (nominal)'!$D$12:$AM$244,ROW()-12,FALSE)="","",HLOOKUP(J$13,'MP (nominal)'!$D$12:$AM$244,ROW()-12,FALSE))</f>
        <v>3294</v>
      </c>
      <c r="K191" s="281"/>
      <c r="L191" s="27">
        <f>IF(HLOOKUP(L$13,'MP (nominal)'!$D$12:$AM$244,ROW()-12,FALSE)="","",HLOOKUP(L$13,'MP (nominal)'!$D$12:$AM$244,ROW()-12,FALSE))</f>
        <v>59</v>
      </c>
      <c r="M191" s="293">
        <f>IF(HLOOKUP(M$13,'MP (nominal)'!$D$12:$AM$244,ROW()-12,FALSE)="","",HLOOKUP(M$13,'MP (nominal)'!$D$12:$AM$244,ROW()-12,FALSE))</f>
        <v>322.13301000000001</v>
      </c>
      <c r="N191" s="35"/>
      <c r="O191" s="27">
        <f>IF(HLOOKUP(O$13,'MP (nominal)'!$D$12:$AM$244,ROW()-12,FALSE)="","",HLOOKUP(O$13,'MP (nominal)'!$D$12:$AM$244,ROW()-12,FALSE))</f>
        <v>27656</v>
      </c>
      <c r="P191" s="31"/>
      <c r="Q191" s="281"/>
      <c r="R191" s="281">
        <f>IF(HLOOKUP(R$13,'MP (nominal)'!$D$12:$AM$244,ROW()-12,FALSE)="","",HLOOKUP(R$13,'MP (nominal)'!$D$12:$AM$244,ROW()-12,FALSE))</f>
        <v>496.2</v>
      </c>
      <c r="S191" s="281" t="str">
        <f>IF(HLOOKUP(S$13,'MP (nominal)'!$D$12:$AM$244,ROW()-12,FALSE)="","",HLOOKUP(S$13,'MP (nominal)'!$D$12:$AM$244,ROW()-12,FALSE))</f>
        <v/>
      </c>
      <c r="T191" s="281" t="str">
        <f>IF(HLOOKUP(T$13,'MP (nominal)'!$D$12:$AM$244,ROW()-12,FALSE)="","",HLOOKUP(T$13,'MP (nominal)'!$D$12:$AM$244,ROW()-12,FALSE))</f>
        <v/>
      </c>
      <c r="U191" s="281"/>
      <c r="V191" s="281">
        <f>IF(HLOOKUP(V$13,'MP (nominal)'!$D$12:$AM$244,ROW()-12,FALSE)="","",HLOOKUP(V$13,'MP (nominal)'!$D$12:$AM$244,ROW()-12,FALSE))</f>
        <v>6.2</v>
      </c>
      <c r="W191" s="281" t="str">
        <f>IF(HLOOKUP(W$13,'MP (nominal)'!$D$12:$AM$244,ROW()-12,FALSE)="","",HLOOKUP(W$13,'MP (nominal)'!$D$12:$AM$244,ROW()-12,FALSE))</f>
        <v/>
      </c>
      <c r="X191" s="281" t="str">
        <f>IF(HLOOKUP(X$13,'MP (nominal)'!$D$12:$AM$244,ROW()-12,FALSE)="","",HLOOKUP(X$13,'MP (nominal)'!$D$12:$AM$244,ROW()-12,FALSE))</f>
        <v/>
      </c>
      <c r="Y191" s="281"/>
      <c r="Z191" s="281" t="str">
        <f>IF(HLOOKUP(Z$13,'MP (nominal)'!$D$12:$AM$244,ROW()-12,FALSE)="","",HLOOKUP(Z$13,'MP (nominal)'!$D$12:$AM$244,ROW()-12,FALSE)*VLOOKUP($C191,CPI!$B$9:$I$63,8))</f>
        <v/>
      </c>
      <c r="AA191" s="281" t="str">
        <f>IF(HLOOKUP(AA$13,'MP (nominal)'!$D$12:$AM$244,ROW()-12,FALSE)="","",HLOOKUP(AA$13,'MP (nominal)'!$D$12:$AM$244,ROW()-12,FALSE))</f>
        <v/>
      </c>
      <c r="AB191" s="281" t="str">
        <f>IF(HLOOKUP(AB$13,'MP (nominal)'!$D$12:$AM$244,ROW()-12,FALSE)="","",HLOOKUP(AB$13,'MP (nominal)'!$D$12:$AM$244,ROW()-12,FALSE))</f>
        <v/>
      </c>
      <c r="AC191" s="281"/>
      <c r="AD191" s="281" t="str">
        <f>IF(HLOOKUP(AD$13,'MP (nominal)'!$D$12:$AM$244,ROW()-12,FALSE)="","",HLOOKUP(AD$13,'MP (nominal)'!$D$12:$AM$244,ROW()-12,FALSE)*VLOOKUP($C191,CPI!$B$9:$I$63,8))</f>
        <v/>
      </c>
      <c r="AE191" s="31" t="str">
        <f>IF(HLOOKUP(AE$13,'MP (nominal)'!$D$12:$AM$244,ROW()-12,FALSE)="","",HLOOKUP(AE$13,'MP (nominal)'!$D$12:$AM$244,ROW()-12,FALSE))</f>
        <v/>
      </c>
      <c r="AF191" s="31" t="str">
        <f>IF(HLOOKUP(AF$13,'MP (nominal)'!$D$12:$AM$244,ROW()-12,FALSE)="","",HLOOKUP(AF$13,'MP (nominal)'!$D$12:$AM$244,ROW()-12,FALSE))</f>
        <v/>
      </c>
      <c r="AG191" s="281"/>
      <c r="AH191" s="281" t="str">
        <f>IF(HLOOKUP(AH$13,'MP (nominal)'!$D$12:$AM$244,ROW()-12,FALSE)="","",HLOOKUP(AH$13,'MP (nominal)'!$D$12:$AM$244,ROW()-12,FALSE)*VLOOKUP($C191,CPI!$B$9:$I$63,8))</f>
        <v/>
      </c>
      <c r="AI191" s="31" t="str">
        <f>IF(HLOOKUP(AI$13,'MP (nominal)'!$D$12:$AM$244,ROW()-12,FALSE)="","",HLOOKUP(AI$13,'MP (nominal)'!$D$12:$AM$244,ROW()-12,FALSE))</f>
        <v/>
      </c>
      <c r="AJ191" s="31" t="str">
        <f>IF(HLOOKUP(AJ$13,'MP (nominal)'!$D$12:$AM$244,ROW()-12,FALSE)="","",HLOOKUP(AJ$13,'MP (nominal)'!$D$12:$AM$244,ROW()-12,FALSE))</f>
        <v/>
      </c>
      <c r="AK191" s="281"/>
      <c r="AL191" s="281" t="str">
        <f>IF(HLOOKUP(AL$13,'MP (nominal)'!$D$12:$AM$244,ROW()-12,FALSE)="","",HLOOKUP(AL$13,'MP (nominal)'!$D$12:$AM$244,ROW()-12,FALSE)*VLOOKUP($C191,CPI!$B$9:$I$63,8))</f>
        <v/>
      </c>
      <c r="AM191" s="31" t="str">
        <f>IF(HLOOKUP(AM$13,'MP (nominal)'!$D$12:$AM$244,ROW()-12,FALSE)="","",HLOOKUP(AM$13,'MP (nominal)'!$D$12:$AM$244,ROW()-12,FALSE))</f>
        <v/>
      </c>
      <c r="AN191" s="31" t="str">
        <f>IF(HLOOKUP(AN$13,'MP (nominal)'!$D$12:$AM$244,ROW()-12,FALSE)="","",HLOOKUP(AN$13,'MP (nominal)'!$D$12:$AM$244,ROW()-12,FALSE))</f>
        <v/>
      </c>
      <c r="AO191" s="281"/>
      <c r="AP191" s="281" t="str">
        <f>IF(HLOOKUP(AP$13,'MP (nominal)'!$D$12:$AM$244,ROW()-12,FALSE)="","",HLOOKUP(AP$13,'MP (nominal)'!$D$12:$AM$244,ROW()-12,FALSE)*VLOOKUP($C191,CPI!$B$9:$I$63,8))</f>
        <v/>
      </c>
      <c r="AQ191" s="31" t="str">
        <f>IF(HLOOKUP(AQ$13,'MP (nominal)'!$D$12:$AM$244,ROW()-12,FALSE)="","",HLOOKUP(AQ$13,'MP (nominal)'!$D$12:$AM$244,ROW()-12,FALSE))</f>
        <v/>
      </c>
      <c r="AR191" s="281" t="str">
        <f>IF(HLOOKUP(AR$13,'MP (nominal)'!$D$12:$AM$244,ROW()-12,FALSE)="","",HLOOKUP(AR$13,'MP (nominal)'!$D$12:$AM$244,ROW()-12,FALSE))</f>
        <v/>
      </c>
    </row>
    <row r="192" spans="1:44" s="278" customFormat="1" hidden="1">
      <c r="A192" s="271">
        <f>References!E280</f>
        <v>509</v>
      </c>
      <c r="B192" s="292" t="s">
        <v>142</v>
      </c>
      <c r="C192" s="284">
        <v>2006</v>
      </c>
      <c r="D192" s="27" t="str">
        <f>IF(HLOOKUP(D$13,'MP (nominal)'!$D$12:$AM$244,ROW()-12,FALSE)="","",HLOOKUP(D$13,'MP (nominal)'!$D$12:$AM$244,ROW()-12,FALSE))</f>
        <v/>
      </c>
      <c r="E192" s="281" t="str">
        <f>IF(HLOOKUP(E$13,'MP (nominal)'!$D$12:$AM$244,ROW()-12,FALSE)="","",HLOOKUP(E$13,'MP (nominal)'!$D$12:$AM$244,ROW()-12,FALSE))</f>
        <v/>
      </c>
      <c r="F192" s="27">
        <f>IF(HLOOKUP(F$13,'MP (nominal)'!$D$12:$AM$244,ROW()-12,FALSE)="","",HLOOKUP(F$13,'MP (nominal)'!$D$12:$AM$244,ROW()-12,FALSE))</f>
        <v>720</v>
      </c>
      <c r="G192" s="281" t="str">
        <f>IF(HLOOKUP(G$13,'MP (nominal)'!$D$12:$AM$244,ROW()-12,FALSE)="","",HLOOKUP(G$13,'MP (nominal)'!$D$12:$AM$244,ROW()-12,FALSE))</f>
        <v/>
      </c>
      <c r="H192" s="27">
        <f>IF(HLOOKUP(H$13,'MP (nominal)'!$D$12:$AM$244,ROW()-12,FALSE)="","",HLOOKUP(H$13,'MP (nominal)'!$D$12:$AM$244,ROW()-12,FALSE))</f>
        <v>3267</v>
      </c>
      <c r="I192" s="31" t="str">
        <f>IF(HLOOKUP(I$13,'MP (nominal)'!$D$12:$AM$244,ROW()-12,FALSE)="","",HLOOKUP(I$13,'MP (nominal)'!$D$12:$AM$244,ROW()-12,FALSE))</f>
        <v/>
      </c>
      <c r="J192" s="31">
        <f>IF(HLOOKUP(J$13,'MP (nominal)'!$D$12:$AM$244,ROW()-12,FALSE)="","",HLOOKUP(J$13,'MP (nominal)'!$D$12:$AM$244,ROW()-12,FALSE))</f>
        <v>3267</v>
      </c>
      <c r="K192" s="281"/>
      <c r="L192" s="27">
        <f>IF(HLOOKUP(L$13,'MP (nominal)'!$D$12:$AM$244,ROW()-12,FALSE)="","",HLOOKUP(L$13,'MP (nominal)'!$D$12:$AM$244,ROW()-12,FALSE))</f>
        <v>59</v>
      </c>
      <c r="M192" s="293">
        <f>IF(HLOOKUP(M$13,'MP (nominal)'!$D$12:$AM$244,ROW()-12,FALSE)="","",HLOOKUP(M$13,'MP (nominal)'!$D$12:$AM$244,ROW()-12,FALSE))</f>
        <v>324.68244800000002</v>
      </c>
      <c r="N192" s="35"/>
      <c r="O192" s="27">
        <f>IF(HLOOKUP(O$13,'MP (nominal)'!$D$12:$AM$244,ROW()-12,FALSE)="","",HLOOKUP(O$13,'MP (nominal)'!$D$12:$AM$244,ROW()-12,FALSE))</f>
        <v>28486</v>
      </c>
      <c r="P192" s="31"/>
      <c r="Q192" s="281"/>
      <c r="R192" s="281">
        <f>IF(HLOOKUP(R$13,'MP (nominal)'!$D$12:$AM$244,ROW()-12,FALSE)="","",HLOOKUP(R$13,'MP (nominal)'!$D$12:$AM$244,ROW()-12,FALSE))</f>
        <v>556.1</v>
      </c>
      <c r="S192" s="281" t="str">
        <f>IF(HLOOKUP(S$13,'MP (nominal)'!$D$12:$AM$244,ROW()-12,FALSE)="","",HLOOKUP(S$13,'MP (nominal)'!$D$12:$AM$244,ROW()-12,FALSE))</f>
        <v/>
      </c>
      <c r="T192" s="281" t="str">
        <f>IF(HLOOKUP(T$13,'MP (nominal)'!$D$12:$AM$244,ROW()-12,FALSE)="","",HLOOKUP(T$13,'MP (nominal)'!$D$12:$AM$244,ROW()-12,FALSE))</f>
        <v/>
      </c>
      <c r="U192" s="281"/>
      <c r="V192" s="281">
        <f>IF(HLOOKUP(V$13,'MP (nominal)'!$D$12:$AM$244,ROW()-12,FALSE)="","",HLOOKUP(V$13,'MP (nominal)'!$D$12:$AM$244,ROW()-12,FALSE))</f>
        <v>5.6</v>
      </c>
      <c r="W192" s="281" t="str">
        <f>IF(HLOOKUP(W$13,'MP (nominal)'!$D$12:$AM$244,ROW()-12,FALSE)="","",HLOOKUP(W$13,'MP (nominal)'!$D$12:$AM$244,ROW()-12,FALSE))</f>
        <v/>
      </c>
      <c r="X192" s="281" t="str">
        <f>IF(HLOOKUP(X$13,'MP (nominal)'!$D$12:$AM$244,ROW()-12,FALSE)="","",HLOOKUP(X$13,'MP (nominal)'!$D$12:$AM$244,ROW()-12,FALSE))</f>
        <v/>
      </c>
      <c r="Y192" s="281"/>
      <c r="Z192" s="281" t="str">
        <f>IF(HLOOKUP(Z$13,'MP (nominal)'!$D$12:$AM$244,ROW()-12,FALSE)="","",HLOOKUP(Z$13,'MP (nominal)'!$D$12:$AM$244,ROW()-12,FALSE)*VLOOKUP($C192,CPI!$B$9:$I$63,8))</f>
        <v/>
      </c>
      <c r="AA192" s="281" t="str">
        <f>IF(HLOOKUP(AA$13,'MP (nominal)'!$D$12:$AM$244,ROW()-12,FALSE)="","",HLOOKUP(AA$13,'MP (nominal)'!$D$12:$AM$244,ROW()-12,FALSE))</f>
        <v/>
      </c>
      <c r="AB192" s="281" t="str">
        <f>IF(HLOOKUP(AB$13,'MP (nominal)'!$D$12:$AM$244,ROW()-12,FALSE)="","",HLOOKUP(AB$13,'MP (nominal)'!$D$12:$AM$244,ROW()-12,FALSE))</f>
        <v/>
      </c>
      <c r="AC192" s="281"/>
      <c r="AD192" s="281" t="str">
        <f>IF(HLOOKUP(AD$13,'MP (nominal)'!$D$12:$AM$244,ROW()-12,FALSE)="","",HLOOKUP(AD$13,'MP (nominal)'!$D$12:$AM$244,ROW()-12,FALSE)*VLOOKUP($C192,CPI!$B$9:$I$63,8))</f>
        <v/>
      </c>
      <c r="AE192" s="31" t="str">
        <f>IF(HLOOKUP(AE$13,'MP (nominal)'!$D$12:$AM$244,ROW()-12,FALSE)="","",HLOOKUP(AE$13,'MP (nominal)'!$D$12:$AM$244,ROW()-12,FALSE))</f>
        <v/>
      </c>
      <c r="AF192" s="31" t="str">
        <f>IF(HLOOKUP(AF$13,'MP (nominal)'!$D$12:$AM$244,ROW()-12,FALSE)="","",HLOOKUP(AF$13,'MP (nominal)'!$D$12:$AM$244,ROW()-12,FALSE))</f>
        <v/>
      </c>
      <c r="AG192" s="281"/>
      <c r="AH192" s="281" t="str">
        <f>IF(HLOOKUP(AH$13,'MP (nominal)'!$D$12:$AM$244,ROW()-12,FALSE)="","",HLOOKUP(AH$13,'MP (nominal)'!$D$12:$AM$244,ROW()-12,FALSE)*VLOOKUP($C192,CPI!$B$9:$I$63,8))</f>
        <v/>
      </c>
      <c r="AI192" s="31" t="str">
        <f>IF(HLOOKUP(AI$13,'MP (nominal)'!$D$12:$AM$244,ROW()-12,FALSE)="","",HLOOKUP(AI$13,'MP (nominal)'!$D$12:$AM$244,ROW()-12,FALSE))</f>
        <v/>
      </c>
      <c r="AJ192" s="31" t="str">
        <f>IF(HLOOKUP(AJ$13,'MP (nominal)'!$D$12:$AM$244,ROW()-12,FALSE)="","",HLOOKUP(AJ$13,'MP (nominal)'!$D$12:$AM$244,ROW()-12,FALSE))</f>
        <v/>
      </c>
      <c r="AK192" s="281"/>
      <c r="AL192" s="281" t="str">
        <f>IF(HLOOKUP(AL$13,'MP (nominal)'!$D$12:$AM$244,ROW()-12,FALSE)="","",HLOOKUP(AL$13,'MP (nominal)'!$D$12:$AM$244,ROW()-12,FALSE)*VLOOKUP($C192,CPI!$B$9:$I$63,8))</f>
        <v/>
      </c>
      <c r="AM192" s="31" t="str">
        <f>IF(HLOOKUP(AM$13,'MP (nominal)'!$D$12:$AM$244,ROW()-12,FALSE)="","",HLOOKUP(AM$13,'MP (nominal)'!$D$12:$AM$244,ROW()-12,FALSE))</f>
        <v/>
      </c>
      <c r="AN192" s="31" t="str">
        <f>IF(HLOOKUP(AN$13,'MP (nominal)'!$D$12:$AM$244,ROW()-12,FALSE)="","",HLOOKUP(AN$13,'MP (nominal)'!$D$12:$AM$244,ROW()-12,FALSE))</f>
        <v/>
      </c>
      <c r="AO192" s="281"/>
      <c r="AP192" s="281" t="str">
        <f>IF(HLOOKUP(AP$13,'MP (nominal)'!$D$12:$AM$244,ROW()-12,FALSE)="","",HLOOKUP(AP$13,'MP (nominal)'!$D$12:$AM$244,ROW()-12,FALSE)*VLOOKUP($C192,CPI!$B$9:$I$63,8))</f>
        <v/>
      </c>
      <c r="AQ192" s="31" t="str">
        <f>IF(HLOOKUP(AQ$13,'MP (nominal)'!$D$12:$AM$244,ROW()-12,FALSE)="","",HLOOKUP(AQ$13,'MP (nominal)'!$D$12:$AM$244,ROW()-12,FALSE))</f>
        <v/>
      </c>
      <c r="AR192" s="281" t="str">
        <f>IF(HLOOKUP(AR$13,'MP (nominal)'!$D$12:$AM$244,ROW()-12,FALSE)="","",HLOOKUP(AR$13,'MP (nominal)'!$D$12:$AM$244,ROW()-12,FALSE))</f>
        <v/>
      </c>
    </row>
    <row r="193" spans="1:44" s="278" customFormat="1" hidden="1">
      <c r="A193" s="271">
        <f>References!F280</f>
        <v>510</v>
      </c>
      <c r="B193" s="292" t="s">
        <v>142</v>
      </c>
      <c r="C193" s="284">
        <v>2007</v>
      </c>
      <c r="D193" s="27" t="str">
        <f>IF(HLOOKUP(D$13,'MP (nominal)'!$D$12:$AM$244,ROW()-12,FALSE)="","",HLOOKUP(D$13,'MP (nominal)'!$D$12:$AM$244,ROW()-12,FALSE))</f>
        <v/>
      </c>
      <c r="E193" s="281" t="str">
        <f>IF(HLOOKUP(E$13,'MP (nominal)'!$D$12:$AM$244,ROW()-12,FALSE)="","",HLOOKUP(E$13,'MP (nominal)'!$D$12:$AM$244,ROW()-12,FALSE))</f>
        <v/>
      </c>
      <c r="F193" s="27">
        <f>IF(HLOOKUP(F$13,'MP (nominal)'!$D$12:$AM$244,ROW()-12,FALSE)="","",HLOOKUP(F$13,'MP (nominal)'!$D$12:$AM$244,ROW()-12,FALSE))</f>
        <v>741.3</v>
      </c>
      <c r="G193" s="281" t="str">
        <f>IF(HLOOKUP(G$13,'MP (nominal)'!$D$12:$AM$244,ROW()-12,FALSE)="","",HLOOKUP(G$13,'MP (nominal)'!$D$12:$AM$244,ROW()-12,FALSE))</f>
        <v/>
      </c>
      <c r="H193" s="27">
        <f>IF(HLOOKUP(H$13,'MP (nominal)'!$D$12:$AM$244,ROW()-12,FALSE)="","",HLOOKUP(H$13,'MP (nominal)'!$D$12:$AM$244,ROW()-12,FALSE))</f>
        <v>3798</v>
      </c>
      <c r="I193" s="31" t="str">
        <f>IF(HLOOKUP(I$13,'MP (nominal)'!$D$12:$AM$244,ROW()-12,FALSE)="","",HLOOKUP(I$13,'MP (nominal)'!$D$12:$AM$244,ROW()-12,FALSE))</f>
        <v/>
      </c>
      <c r="J193" s="31">
        <f>IF(HLOOKUP(J$13,'MP (nominal)'!$D$12:$AM$244,ROW()-12,FALSE)="","",HLOOKUP(J$13,'MP (nominal)'!$D$12:$AM$244,ROW()-12,FALSE))</f>
        <v>3056</v>
      </c>
      <c r="K193" s="281"/>
      <c r="L193" s="27">
        <f>IF(HLOOKUP(L$13,'MP (nominal)'!$D$12:$AM$244,ROW()-12,FALSE)="","",HLOOKUP(L$13,'MP (nominal)'!$D$12:$AM$244,ROW()-12,FALSE))</f>
        <v>64</v>
      </c>
      <c r="M193" s="293">
        <f>IF(HLOOKUP(M$13,'MP (nominal)'!$D$12:$AM$244,ROW()-12,FALSE)="","",HLOOKUP(M$13,'MP (nominal)'!$D$12:$AM$244,ROW()-12,FALSE))</f>
        <v>336.252861</v>
      </c>
      <c r="N193" s="35"/>
      <c r="O193" s="27">
        <f>IF(HLOOKUP(O$13,'MP (nominal)'!$D$12:$AM$244,ROW()-12,FALSE)="","",HLOOKUP(O$13,'MP (nominal)'!$D$12:$AM$244,ROW()-12,FALSE))</f>
        <v>29073</v>
      </c>
      <c r="P193" s="31"/>
      <c r="Q193" s="281"/>
      <c r="R193" s="281">
        <f>IF(HLOOKUP(R$13,'MP (nominal)'!$D$12:$AM$244,ROW()-12,FALSE)="","",HLOOKUP(R$13,'MP (nominal)'!$D$12:$AM$244,ROW()-12,FALSE))</f>
        <v>487.8</v>
      </c>
      <c r="S193" s="281" t="str">
        <f>IF(HLOOKUP(S$13,'MP (nominal)'!$D$12:$AM$244,ROW()-12,FALSE)="","",HLOOKUP(S$13,'MP (nominal)'!$D$12:$AM$244,ROW()-12,FALSE))</f>
        <v/>
      </c>
      <c r="T193" s="281" t="str">
        <f>IF(HLOOKUP(T$13,'MP (nominal)'!$D$12:$AM$244,ROW()-12,FALSE)="","",HLOOKUP(T$13,'MP (nominal)'!$D$12:$AM$244,ROW()-12,FALSE))</f>
        <v/>
      </c>
      <c r="U193" s="281"/>
      <c r="V193" s="281">
        <f>IF(HLOOKUP(V$13,'MP (nominal)'!$D$12:$AM$244,ROW()-12,FALSE)="","",HLOOKUP(V$13,'MP (nominal)'!$D$12:$AM$244,ROW()-12,FALSE))</f>
        <v>5.7</v>
      </c>
      <c r="W193" s="281" t="str">
        <f>IF(HLOOKUP(W$13,'MP (nominal)'!$D$12:$AM$244,ROW()-12,FALSE)="","",HLOOKUP(W$13,'MP (nominal)'!$D$12:$AM$244,ROW()-12,FALSE))</f>
        <v/>
      </c>
      <c r="X193" s="281" t="str">
        <f>IF(HLOOKUP(X$13,'MP (nominal)'!$D$12:$AM$244,ROW()-12,FALSE)="","",HLOOKUP(X$13,'MP (nominal)'!$D$12:$AM$244,ROW()-12,FALSE))</f>
        <v/>
      </c>
      <c r="Y193" s="281"/>
      <c r="Z193" s="281" t="str">
        <f>IF(HLOOKUP(Z$13,'MP (nominal)'!$D$12:$AM$244,ROW()-12,FALSE)="","",HLOOKUP(Z$13,'MP (nominal)'!$D$12:$AM$244,ROW()-12,FALSE)*VLOOKUP($C193,CPI!$B$9:$I$63,8))</f>
        <v/>
      </c>
      <c r="AA193" s="281" t="str">
        <f>IF(HLOOKUP(AA$13,'MP (nominal)'!$D$12:$AM$244,ROW()-12,FALSE)="","",HLOOKUP(AA$13,'MP (nominal)'!$D$12:$AM$244,ROW()-12,FALSE))</f>
        <v/>
      </c>
      <c r="AB193" s="281" t="str">
        <f>IF(HLOOKUP(AB$13,'MP (nominal)'!$D$12:$AM$244,ROW()-12,FALSE)="","",HLOOKUP(AB$13,'MP (nominal)'!$D$12:$AM$244,ROW()-12,FALSE))</f>
        <v/>
      </c>
      <c r="AC193" s="281"/>
      <c r="AD193" s="281" t="str">
        <f>IF(HLOOKUP(AD$13,'MP (nominal)'!$D$12:$AM$244,ROW()-12,FALSE)="","",HLOOKUP(AD$13,'MP (nominal)'!$D$12:$AM$244,ROW()-12,FALSE)*VLOOKUP($C193,CPI!$B$9:$I$63,8))</f>
        <v/>
      </c>
      <c r="AE193" s="31" t="str">
        <f>IF(HLOOKUP(AE$13,'MP (nominal)'!$D$12:$AM$244,ROW()-12,FALSE)="","",HLOOKUP(AE$13,'MP (nominal)'!$D$12:$AM$244,ROW()-12,FALSE))</f>
        <v/>
      </c>
      <c r="AF193" s="31" t="str">
        <f>IF(HLOOKUP(AF$13,'MP (nominal)'!$D$12:$AM$244,ROW()-12,FALSE)="","",HLOOKUP(AF$13,'MP (nominal)'!$D$12:$AM$244,ROW()-12,FALSE))</f>
        <v/>
      </c>
      <c r="AG193" s="281"/>
      <c r="AH193" s="281" t="str">
        <f>IF(HLOOKUP(AH$13,'MP (nominal)'!$D$12:$AM$244,ROW()-12,FALSE)="","",HLOOKUP(AH$13,'MP (nominal)'!$D$12:$AM$244,ROW()-12,FALSE)*VLOOKUP($C193,CPI!$B$9:$I$63,8))</f>
        <v/>
      </c>
      <c r="AI193" s="31" t="str">
        <f>IF(HLOOKUP(AI$13,'MP (nominal)'!$D$12:$AM$244,ROW()-12,FALSE)="","",HLOOKUP(AI$13,'MP (nominal)'!$D$12:$AM$244,ROW()-12,FALSE))</f>
        <v/>
      </c>
      <c r="AJ193" s="31" t="str">
        <f>IF(HLOOKUP(AJ$13,'MP (nominal)'!$D$12:$AM$244,ROW()-12,FALSE)="","",HLOOKUP(AJ$13,'MP (nominal)'!$D$12:$AM$244,ROW()-12,FALSE))</f>
        <v/>
      </c>
      <c r="AK193" s="281"/>
      <c r="AL193" s="281" t="str">
        <f>IF(HLOOKUP(AL$13,'MP (nominal)'!$D$12:$AM$244,ROW()-12,FALSE)="","",HLOOKUP(AL$13,'MP (nominal)'!$D$12:$AM$244,ROW()-12,FALSE)*VLOOKUP($C193,CPI!$B$9:$I$63,8))</f>
        <v/>
      </c>
      <c r="AM193" s="31" t="str">
        <f>IF(HLOOKUP(AM$13,'MP (nominal)'!$D$12:$AM$244,ROW()-12,FALSE)="","",HLOOKUP(AM$13,'MP (nominal)'!$D$12:$AM$244,ROW()-12,FALSE))</f>
        <v/>
      </c>
      <c r="AN193" s="31" t="str">
        <f>IF(HLOOKUP(AN$13,'MP (nominal)'!$D$12:$AM$244,ROW()-12,FALSE)="","",HLOOKUP(AN$13,'MP (nominal)'!$D$12:$AM$244,ROW()-12,FALSE))</f>
        <v/>
      </c>
      <c r="AO193" s="281"/>
      <c r="AP193" s="281" t="str">
        <f>IF(HLOOKUP(AP$13,'MP (nominal)'!$D$12:$AM$244,ROW()-12,FALSE)="","",HLOOKUP(AP$13,'MP (nominal)'!$D$12:$AM$244,ROW()-12,FALSE)*VLOOKUP($C193,CPI!$B$9:$I$63,8))</f>
        <v/>
      </c>
      <c r="AQ193" s="31" t="str">
        <f>IF(HLOOKUP(AQ$13,'MP (nominal)'!$D$12:$AM$244,ROW()-12,FALSE)="","",HLOOKUP(AQ$13,'MP (nominal)'!$D$12:$AM$244,ROW()-12,FALSE))</f>
        <v/>
      </c>
      <c r="AR193" s="281" t="str">
        <f>IF(HLOOKUP(AR$13,'MP (nominal)'!$D$12:$AM$244,ROW()-12,FALSE)="","",HLOOKUP(AR$13,'MP (nominal)'!$D$12:$AM$244,ROW()-12,FALSE))</f>
        <v/>
      </c>
    </row>
    <row r="194" spans="1:44" s="278" customFormat="1">
      <c r="A194" s="271">
        <f>References!G280</f>
        <v>511</v>
      </c>
      <c r="B194" s="292" t="s">
        <v>142</v>
      </c>
      <c r="C194" s="284">
        <v>2008</v>
      </c>
      <c r="D194" s="27">
        <f>IF(HLOOKUP(D$13,'MP (nominal)'!$D$12:$AM$244,ROW()-12,FALSE)="","",HLOOKUP(D$13,'MP (nominal)'!$D$12:$AM$244,ROW()-12,FALSE))</f>
        <v>3305</v>
      </c>
      <c r="E194" s="281">
        <f>IF(HLOOKUP(E$13,'MP (nominal)'!$D$12:$AM$244,ROW()-12,FALSE)="","",HLOOKUP(E$13,'MP (nominal)'!$D$12:$AM$244,ROW()-12,FALSE))</f>
        <v>9.8539999999999992</v>
      </c>
      <c r="F194" s="27">
        <f>IF(HLOOKUP(F$13,'MP (nominal)'!$D$12:$AM$244,ROW()-12,FALSE)="","",HLOOKUP(F$13,'MP (nominal)'!$D$12:$AM$244,ROW()-12,FALSE))</f>
        <v>790.81299999999999</v>
      </c>
      <c r="G194" s="281">
        <f>IF(HLOOKUP(G$13,'MP (nominal)'!$D$12:$AM$244,ROW()-12,FALSE)="","",HLOOKUP(G$13,'MP (nominal)'!$D$12:$AM$244,ROW()-12,FALSE))</f>
        <v>310.01299999999998</v>
      </c>
      <c r="H194" s="27">
        <f>IF(HLOOKUP(H$13,'MP (nominal)'!$D$12:$AM$244,ROW()-12,FALSE)="","",HLOOKUP(H$13,'MP (nominal)'!$D$12:$AM$244,ROW()-12,FALSE))</f>
        <v>4095.8130000000001</v>
      </c>
      <c r="I194" s="31">
        <f>IF(HLOOKUP(I$13,'MP (nominal)'!$D$12:$AM$244,ROW()-12,FALSE)="","",HLOOKUP(I$13,'MP (nominal)'!$D$12:$AM$244,ROW()-12,FALSE))</f>
        <v>319.86700000000002</v>
      </c>
      <c r="J194" s="31">
        <f>IF(HLOOKUP(J$13,'MP (nominal)'!$D$12:$AM$244,ROW()-12,FALSE)="","",HLOOKUP(J$13,'MP (nominal)'!$D$12:$AM$244,ROW()-12,FALSE))</f>
        <v>3305</v>
      </c>
      <c r="K194" s="281"/>
      <c r="L194" s="27">
        <f>IF(HLOOKUP(L$13,'MP (nominal)'!$D$12:$AM$244,ROW()-12,FALSE)="","",HLOOKUP(L$13,'MP (nominal)'!$D$12:$AM$244,ROW()-12,FALSE))</f>
        <v>62.764000000000003</v>
      </c>
      <c r="M194" s="283">
        <f>IF(HLOOKUP(M$13,'MP (nominal)'!$D$12:$AM$244,ROW()-12,FALSE)="","",HLOOKUP(M$13,'MP (nominal)'!$D$12:$AM$244,ROW()-12,FALSE))</f>
        <v>323.327</v>
      </c>
      <c r="N194" s="35"/>
      <c r="O194" s="27">
        <f>IF(HLOOKUP(O$13,'MP (nominal)'!$D$12:$AM$244,ROW()-12,FALSE)="","",HLOOKUP(O$13,'MP (nominal)'!$D$12:$AM$244,ROW()-12,FALSE))</f>
        <v>29973</v>
      </c>
      <c r="P194" s="31"/>
      <c r="Q194" s="281"/>
      <c r="R194" s="281">
        <f>IF(HLOOKUP(R$13,'MP (nominal)'!$D$12:$AM$244,ROW()-12,FALSE)="","",HLOOKUP(R$13,'MP (nominal)'!$D$12:$AM$244,ROW()-12,FALSE))</f>
        <v>818.3</v>
      </c>
      <c r="S194" s="281">
        <f>IF(HLOOKUP(S$13,'MP (nominal)'!$D$12:$AM$244,ROW()-12,FALSE)="","",HLOOKUP(S$13,'MP (nominal)'!$D$12:$AM$244,ROW()-12,FALSE))</f>
        <v>36.633000000000003</v>
      </c>
      <c r="T194" s="281">
        <f>IF(HLOOKUP(T$13,'MP (nominal)'!$D$12:$AM$244,ROW()-12,FALSE)="","",HLOOKUP(T$13,'MP (nominal)'!$D$12:$AM$244,ROW()-12,FALSE))</f>
        <v>781.66899999999998</v>
      </c>
      <c r="U194" s="281"/>
      <c r="V194" s="281">
        <f>IF(HLOOKUP(V$13,'MP (nominal)'!$D$12:$AM$244,ROW()-12,FALSE)="","",HLOOKUP(V$13,'MP (nominal)'!$D$12:$AM$244,ROW()-12,FALSE))</f>
        <v>6.3956900000000001</v>
      </c>
      <c r="W194" s="281">
        <f>IF(HLOOKUP(W$13,'MP (nominal)'!$D$12:$AM$244,ROW()-12,FALSE)="","",HLOOKUP(W$13,'MP (nominal)'!$D$12:$AM$244,ROW()-12,FALSE))</f>
        <v>0.34234999999999999</v>
      </c>
      <c r="X194" s="281">
        <f>IF(HLOOKUP(X$13,'MP (nominal)'!$D$12:$AM$244,ROW()-12,FALSE)="","",HLOOKUP(X$13,'MP (nominal)'!$D$12:$AM$244,ROW()-12,FALSE))</f>
        <v>6.0533400000000004</v>
      </c>
      <c r="Y194" s="281"/>
      <c r="Z194" s="281">
        <f>IF(HLOOKUP(Z$13,'MP (nominal)'!$D$12:$AM$244,ROW()-12,FALSE)="","",HLOOKUP(Z$13,'MP (nominal)'!$D$12:$AM$244,ROW()-12,FALSE)*VLOOKUP($C194,CPI!$B$9:$I$63,8))</f>
        <v>20458.00119757064</v>
      </c>
      <c r="AA194" s="281">
        <f>IF(HLOOKUP(AA$13,'MP (nominal)'!$D$12:$AM$244,ROW()-12,FALSE)="","",HLOOKUP(AA$13,'MP (nominal)'!$D$12:$AM$244,ROW()-12,FALSE))</f>
        <v>226030</v>
      </c>
      <c r="AB194" s="281">
        <f>IF(HLOOKUP(AB$13,'MP (nominal)'!$D$12:$AM$244,ROW()-12,FALSE)="","",HLOOKUP(AB$13,'MP (nominal)'!$D$12:$AM$244,ROW()-12,FALSE))</f>
        <v>29789</v>
      </c>
      <c r="AC194" s="281"/>
      <c r="AD194" s="281">
        <f>IF(HLOOKUP(AD$13,'MP (nominal)'!$D$12:$AM$244,ROW()-12,FALSE)="","",HLOOKUP(AD$13,'MP (nominal)'!$D$12:$AM$244,ROW()-12,FALSE)*VLOOKUP($C194,CPI!$B$9:$I$63,8))</f>
        <v>2791.1975706424109</v>
      </c>
      <c r="AE194" s="31">
        <f>IF(HLOOKUP(AE$13,'MP (nominal)'!$D$12:$AM$244,ROW()-12,FALSE)="","",HLOOKUP(AE$13,'MP (nominal)'!$D$12:$AM$244,ROW()-12,FALSE))</f>
        <v>34979</v>
      </c>
      <c r="AF194" s="31">
        <f>IF(HLOOKUP(AF$13,'MP (nominal)'!$D$12:$AM$244,ROW()-12,FALSE)="","",HLOOKUP(AF$13,'MP (nominal)'!$D$12:$AM$244,ROW()-12,FALSE))</f>
        <v>166</v>
      </c>
      <c r="AG194" s="281"/>
      <c r="AH194" s="281">
        <f>IF(HLOOKUP(AH$13,'MP (nominal)'!$D$12:$AM$244,ROW()-12,FALSE)="","",HLOOKUP(AH$13,'MP (nominal)'!$D$12:$AM$244,ROW()-12,FALSE)*VLOOKUP($C194,CPI!$B$9:$I$63,8))</f>
        <v>528.26836987824697</v>
      </c>
      <c r="AI194" s="31">
        <f>IF(HLOOKUP(AI$13,'MP (nominal)'!$D$12:$AM$244,ROW()-12,FALSE)="","",HLOOKUP(AI$13,'MP (nominal)'!$D$12:$AM$244,ROW()-12,FALSE))</f>
        <v>8530</v>
      </c>
      <c r="AJ194" s="31">
        <f>IF(HLOOKUP(AJ$13,'MP (nominal)'!$D$12:$AM$244,ROW()-12,FALSE)="","",HLOOKUP(AJ$13,'MP (nominal)'!$D$12:$AM$244,ROW()-12,FALSE))</f>
        <v>13</v>
      </c>
      <c r="AK194" s="281"/>
      <c r="AL194" s="281">
        <f>IF(HLOOKUP(AL$13,'MP (nominal)'!$D$12:$AM$244,ROW()-12,FALSE)="","",HLOOKUP(AL$13,'MP (nominal)'!$D$12:$AM$244,ROW()-12,FALSE)*VLOOKUP($C194,CPI!$B$9:$I$63,8))</f>
        <v>1686.1463887542413</v>
      </c>
      <c r="AM194" s="31">
        <f>IF(HLOOKUP(AM$13,'MP (nominal)'!$D$12:$AM$244,ROW()-12,FALSE)="","",HLOOKUP(AM$13,'MP (nominal)'!$D$12:$AM$244,ROW()-12,FALSE))</f>
        <v>53788</v>
      </c>
      <c r="AN194" s="31">
        <f>IF(HLOOKUP(AN$13,'MP (nominal)'!$D$12:$AM$244,ROW()-12,FALSE)="","",HLOOKUP(AN$13,'MP (nominal)'!$D$12:$AM$244,ROW()-12,FALSE))</f>
        <v>5</v>
      </c>
      <c r="AO194" s="281"/>
      <c r="AP194" s="281">
        <f>IF(HLOOKUP(AP$13,'MP (nominal)'!$D$12:$AM$244,ROW()-12,FALSE)="","",HLOOKUP(AP$13,'MP (nominal)'!$D$12:$AM$244,ROW()-12,FALSE)*VLOOKUP($C194,CPI!$B$9:$I$63,8))</f>
        <v>25463.61352684554</v>
      </c>
      <c r="AQ194" s="31">
        <f>IF(HLOOKUP(AQ$13,'MP (nominal)'!$D$12:$AM$244,ROW()-12,FALSE)="","",HLOOKUP(AQ$13,'MP (nominal)'!$D$12:$AM$244,ROW()-12,FALSE))</f>
        <v>323327</v>
      </c>
      <c r="AR194" s="281">
        <f>IF(HLOOKUP(AR$13,'MP (nominal)'!$D$12:$AM$244,ROW()-12,FALSE)="","",HLOOKUP(AR$13,'MP (nominal)'!$D$12:$AM$244,ROW()-12,FALSE))</f>
        <v>29973</v>
      </c>
    </row>
    <row r="195" spans="1:44" s="278" customFormat="1">
      <c r="A195" s="271">
        <f>References!H280</f>
        <v>512</v>
      </c>
      <c r="B195" s="292" t="s">
        <v>142</v>
      </c>
      <c r="C195" s="284">
        <v>2009</v>
      </c>
      <c r="D195" s="27">
        <f>IF(HLOOKUP(D$13,'MP (nominal)'!$D$12:$AM$244,ROW()-12,FALSE)="","",HLOOKUP(D$13,'MP (nominal)'!$D$12:$AM$244,ROW()-12,FALSE))</f>
        <v>3055.7460000000001</v>
      </c>
      <c r="E195" s="281">
        <f>IF(HLOOKUP(E$13,'MP (nominal)'!$D$12:$AM$244,ROW()-12,FALSE)="","",HLOOKUP(E$13,'MP (nominal)'!$D$12:$AM$244,ROW()-12,FALSE))</f>
        <v>9.7289999999999992</v>
      </c>
      <c r="F195" s="27">
        <f>IF(HLOOKUP(F$13,'MP (nominal)'!$D$12:$AM$244,ROW()-12,FALSE)="","",HLOOKUP(F$13,'MP (nominal)'!$D$12:$AM$244,ROW()-12,FALSE))</f>
        <v>781.46900000000005</v>
      </c>
      <c r="G195" s="281">
        <f>IF(HLOOKUP(G$13,'MP (nominal)'!$D$12:$AM$244,ROW()-12,FALSE)="","",HLOOKUP(G$13,'MP (nominal)'!$D$12:$AM$244,ROW()-12,FALSE))</f>
        <v>319.98599999999999</v>
      </c>
      <c r="H195" s="27">
        <f>IF(HLOOKUP(H$13,'MP (nominal)'!$D$12:$AM$244,ROW()-12,FALSE)="","",HLOOKUP(H$13,'MP (nominal)'!$D$12:$AM$244,ROW()-12,FALSE))</f>
        <v>3837.2150000000001</v>
      </c>
      <c r="I195" s="31">
        <f>IF(HLOOKUP(I$13,'MP (nominal)'!$D$12:$AM$244,ROW()-12,FALSE)="","",HLOOKUP(I$13,'MP (nominal)'!$D$12:$AM$244,ROW()-12,FALSE))</f>
        <v>329.71499999999997</v>
      </c>
      <c r="J195" s="31">
        <f>IF(HLOOKUP(J$13,'MP (nominal)'!$D$12:$AM$244,ROW()-12,FALSE)="","",HLOOKUP(J$13,'MP (nominal)'!$D$12:$AM$244,ROW()-12,FALSE))</f>
        <v>3055.7460000000001</v>
      </c>
      <c r="K195" s="281"/>
      <c r="L195" s="27">
        <f>IF(HLOOKUP(L$13,'MP (nominal)'!$D$12:$AM$244,ROW()-12,FALSE)="","",HLOOKUP(L$13,'MP (nominal)'!$D$12:$AM$244,ROW()-12,FALSE))</f>
        <v>63.288200000000003</v>
      </c>
      <c r="M195" s="283">
        <f>IF(HLOOKUP(M$13,'MP (nominal)'!$D$12:$AM$244,ROW()-12,FALSE)="","",HLOOKUP(M$13,'MP (nominal)'!$D$12:$AM$244,ROW()-12,FALSE))</f>
        <v>324.54599999999999</v>
      </c>
      <c r="N195" s="35"/>
      <c r="O195" s="27">
        <f>IF(HLOOKUP(O$13,'MP (nominal)'!$D$12:$AM$244,ROW()-12,FALSE)="","",HLOOKUP(O$13,'MP (nominal)'!$D$12:$AM$244,ROW()-12,FALSE))</f>
        <v>30453</v>
      </c>
      <c r="P195" s="31"/>
      <c r="Q195" s="281"/>
      <c r="R195" s="281">
        <f>IF(HLOOKUP(R$13,'MP (nominal)'!$D$12:$AM$244,ROW()-12,FALSE)="","",HLOOKUP(R$13,'MP (nominal)'!$D$12:$AM$244,ROW()-12,FALSE))</f>
        <v>915.15621999999996</v>
      </c>
      <c r="S195" s="281">
        <f>IF(HLOOKUP(S$13,'MP (nominal)'!$D$12:$AM$244,ROW()-12,FALSE)="","",HLOOKUP(S$13,'MP (nominal)'!$D$12:$AM$244,ROW()-12,FALSE))</f>
        <v>73.895799999999994</v>
      </c>
      <c r="T195" s="281">
        <f>IF(HLOOKUP(T$13,'MP (nominal)'!$D$12:$AM$244,ROW()-12,FALSE)="","",HLOOKUP(T$13,'MP (nominal)'!$D$12:$AM$244,ROW()-12,FALSE))</f>
        <v>841.26041999999995</v>
      </c>
      <c r="U195" s="281"/>
      <c r="V195" s="281">
        <f>IF(HLOOKUP(V$13,'MP (nominal)'!$D$12:$AM$244,ROW()-12,FALSE)="","",HLOOKUP(V$13,'MP (nominal)'!$D$12:$AM$244,ROW()-12,FALSE))</f>
        <v>10.881805999999999</v>
      </c>
      <c r="W195" s="281">
        <f>IF(HLOOKUP(W$13,'MP (nominal)'!$D$12:$AM$244,ROW()-12,FALSE)="","",HLOOKUP(W$13,'MP (nominal)'!$D$12:$AM$244,ROW()-12,FALSE))</f>
        <v>0.59954324000000003</v>
      </c>
      <c r="X195" s="281">
        <f>IF(HLOOKUP(X$13,'MP (nominal)'!$D$12:$AM$244,ROW()-12,FALSE)="","",HLOOKUP(X$13,'MP (nominal)'!$D$12:$AM$244,ROW()-12,FALSE))</f>
        <v>10.282263</v>
      </c>
      <c r="Y195" s="281"/>
      <c r="Z195" s="281">
        <f>IF(HLOOKUP(Z$13,'MP (nominal)'!$D$12:$AM$244,ROW()-12,FALSE)="","",HLOOKUP(Z$13,'MP (nominal)'!$D$12:$AM$244,ROW()-12,FALSE)*VLOOKUP($C195,CPI!$B$9:$I$63,8))</f>
        <v>21587.145739584044</v>
      </c>
      <c r="AA195" s="281">
        <f>IF(HLOOKUP(AA$13,'MP (nominal)'!$D$12:$AM$244,ROW()-12,FALSE)="","",HLOOKUP(AA$13,'MP (nominal)'!$D$12:$AM$244,ROW()-12,FALSE))</f>
        <v>225036.32</v>
      </c>
      <c r="AB195" s="281">
        <f>IF(HLOOKUP(AB$13,'MP (nominal)'!$D$12:$AM$244,ROW()-12,FALSE)="","",HLOOKUP(AB$13,'MP (nominal)'!$D$12:$AM$244,ROW()-12,FALSE))</f>
        <v>30271</v>
      </c>
      <c r="AC195" s="281"/>
      <c r="AD195" s="281">
        <f>IF(HLOOKUP(AD$13,'MP (nominal)'!$D$12:$AM$244,ROW()-12,FALSE)="","",HLOOKUP(AD$13,'MP (nominal)'!$D$12:$AM$244,ROW()-12,FALSE)*VLOOKUP($C195,CPI!$B$9:$I$63,8))</f>
        <v>2825.7142206053941</v>
      </c>
      <c r="AE195" s="31">
        <f>IF(HLOOKUP(AE$13,'MP (nominal)'!$D$12:$AM$244,ROW()-12,FALSE)="","",HLOOKUP(AE$13,'MP (nominal)'!$D$12:$AM$244,ROW()-12,FALSE))</f>
        <v>33416.43</v>
      </c>
      <c r="AF195" s="31">
        <f>IF(HLOOKUP(AF$13,'MP (nominal)'!$D$12:$AM$244,ROW()-12,FALSE)="","",HLOOKUP(AF$13,'MP (nominal)'!$D$12:$AM$244,ROW()-12,FALSE))</f>
        <v>164</v>
      </c>
      <c r="AG195" s="281"/>
      <c r="AH195" s="281">
        <f>IF(HLOOKUP(AH$13,'MP (nominal)'!$D$12:$AM$244,ROW()-12,FALSE)="","",HLOOKUP(AH$13,'MP (nominal)'!$D$12:$AM$244,ROW()-12,FALSE)*VLOOKUP($C195,CPI!$B$9:$I$63,8))</f>
        <v>496.8113061980917</v>
      </c>
      <c r="AI195" s="31">
        <f>IF(HLOOKUP(AI$13,'MP (nominal)'!$D$12:$AM$244,ROW()-12,FALSE)="","",HLOOKUP(AI$13,'MP (nominal)'!$D$12:$AM$244,ROW()-12,FALSE))</f>
        <v>7355.5</v>
      </c>
      <c r="AJ195" s="31">
        <f>IF(HLOOKUP(AJ$13,'MP (nominal)'!$D$12:$AM$244,ROW()-12,FALSE)="","",HLOOKUP(AJ$13,'MP (nominal)'!$D$12:$AM$244,ROW()-12,FALSE))</f>
        <v>13</v>
      </c>
      <c r="AK195" s="281"/>
      <c r="AL195" s="281">
        <f>IF(HLOOKUP(AL$13,'MP (nominal)'!$D$12:$AM$244,ROW()-12,FALSE)="","",HLOOKUP(AL$13,'MP (nominal)'!$D$12:$AM$244,ROW()-12,FALSE)*VLOOKUP($C195,CPI!$B$9:$I$63,8))</f>
        <v>1571.0834868556519</v>
      </c>
      <c r="AM195" s="31">
        <f>IF(HLOOKUP(AM$13,'MP (nominal)'!$D$12:$AM$244,ROW()-12,FALSE)="","",HLOOKUP(AM$13,'MP (nominal)'!$D$12:$AM$244,ROW()-12,FALSE))</f>
        <v>58737.75</v>
      </c>
      <c r="AN195" s="31">
        <f>IF(HLOOKUP(AN$13,'MP (nominal)'!$D$12:$AM$244,ROW()-12,FALSE)="","",HLOOKUP(AN$13,'MP (nominal)'!$D$12:$AM$244,ROW()-12,FALSE))</f>
        <v>5</v>
      </c>
      <c r="AO195" s="281"/>
      <c r="AP195" s="281">
        <f>IF(HLOOKUP(AP$13,'MP (nominal)'!$D$12:$AM$244,ROW()-12,FALSE)="","",HLOOKUP(AP$13,'MP (nominal)'!$D$12:$AM$244,ROW()-12,FALSE)*VLOOKUP($C195,CPI!$B$9:$I$63,8))</f>
        <v>26480.754753243178</v>
      </c>
      <c r="AQ195" s="31">
        <f>IF(HLOOKUP(AQ$13,'MP (nominal)'!$D$12:$AM$244,ROW()-12,FALSE)="","",HLOOKUP(AQ$13,'MP (nominal)'!$D$12:$AM$244,ROW()-12,FALSE))</f>
        <v>324546</v>
      </c>
      <c r="AR195" s="281">
        <f>IF(HLOOKUP(AR$13,'MP (nominal)'!$D$12:$AM$244,ROW()-12,FALSE)="","",HLOOKUP(AR$13,'MP (nominal)'!$D$12:$AM$244,ROW()-12,FALSE))</f>
        <v>30453</v>
      </c>
    </row>
    <row r="196" spans="1:44" s="278" customFormat="1">
      <c r="A196" s="271">
        <f>References!I280</f>
        <v>513</v>
      </c>
      <c r="B196" s="292" t="s">
        <v>142</v>
      </c>
      <c r="C196" s="284">
        <v>2010</v>
      </c>
      <c r="D196" s="27">
        <f>IF(HLOOKUP(D$13,'MP (nominal)'!$D$12:$AM$244,ROW()-12,FALSE)="","",HLOOKUP(D$13,'MP (nominal)'!$D$12:$AM$244,ROW()-12,FALSE))</f>
        <v>3059</v>
      </c>
      <c r="E196" s="281">
        <f>IF(HLOOKUP(E$13,'MP (nominal)'!$D$12:$AM$244,ROW()-12,FALSE)="","",HLOOKUP(E$13,'MP (nominal)'!$D$12:$AM$244,ROW()-12,FALSE))</f>
        <v>10</v>
      </c>
      <c r="F196" s="27">
        <f>IF(HLOOKUP(F$13,'MP (nominal)'!$D$12:$AM$244,ROW()-12,FALSE)="","",HLOOKUP(F$13,'MP (nominal)'!$D$12:$AM$244,ROW()-12,FALSE))</f>
        <v>787.14</v>
      </c>
      <c r="G196" s="281">
        <f>IF(HLOOKUP(G$13,'MP (nominal)'!$D$12:$AM$244,ROW()-12,FALSE)="","",HLOOKUP(G$13,'MP (nominal)'!$D$12:$AM$244,ROW()-12,FALSE))</f>
        <v>319</v>
      </c>
      <c r="H196" s="27">
        <f>IF(HLOOKUP(H$13,'MP (nominal)'!$D$12:$AM$244,ROW()-12,FALSE)="","",HLOOKUP(H$13,'MP (nominal)'!$D$12:$AM$244,ROW()-12,FALSE))</f>
        <v>3846.14</v>
      </c>
      <c r="I196" s="31">
        <f>IF(HLOOKUP(I$13,'MP (nominal)'!$D$12:$AM$244,ROW()-12,FALSE)="","",HLOOKUP(I$13,'MP (nominal)'!$D$12:$AM$244,ROW()-12,FALSE))</f>
        <v>329</v>
      </c>
      <c r="J196" s="31">
        <f>IF(HLOOKUP(J$13,'MP (nominal)'!$D$12:$AM$244,ROW()-12,FALSE)="","",HLOOKUP(J$13,'MP (nominal)'!$D$12:$AM$244,ROW()-12,FALSE))</f>
        <v>3059</v>
      </c>
      <c r="K196" s="281"/>
      <c r="L196" s="27">
        <f>IF(HLOOKUP(L$13,'MP (nominal)'!$D$12:$AM$244,ROW()-12,FALSE)="","",HLOOKUP(L$13,'MP (nominal)'!$D$12:$AM$244,ROW()-12,FALSE))</f>
        <v>62.677999999999997</v>
      </c>
      <c r="M196" s="283">
        <f>IF(HLOOKUP(M$13,'MP (nominal)'!$D$12:$AM$244,ROW()-12,FALSE)="","",HLOOKUP(M$13,'MP (nominal)'!$D$12:$AM$244,ROW()-12,FALSE))</f>
        <v>327.81799999999998</v>
      </c>
      <c r="N196" s="35"/>
      <c r="O196" s="27">
        <f>IF(HLOOKUP(O$13,'MP (nominal)'!$D$12:$AM$244,ROW()-12,FALSE)="","",HLOOKUP(O$13,'MP (nominal)'!$D$12:$AM$244,ROW()-12,FALSE))</f>
        <v>30824</v>
      </c>
      <c r="P196" s="31"/>
      <c r="Q196" s="281"/>
      <c r="R196" s="281">
        <f>IF(HLOOKUP(R$13,'MP (nominal)'!$D$12:$AM$244,ROW()-12,FALSE)="","",HLOOKUP(R$13,'MP (nominal)'!$D$12:$AM$244,ROW()-12,FALSE))</f>
        <v>463.03188999999998</v>
      </c>
      <c r="S196" s="281">
        <f>IF(HLOOKUP(S$13,'MP (nominal)'!$D$12:$AM$244,ROW()-12,FALSE)="","",HLOOKUP(S$13,'MP (nominal)'!$D$12:$AM$244,ROW()-12,FALSE))</f>
        <v>23.088612999999999</v>
      </c>
      <c r="T196" s="281">
        <f>IF(HLOOKUP(T$13,'MP (nominal)'!$D$12:$AM$244,ROW()-12,FALSE)="","",HLOOKUP(T$13,'MP (nominal)'!$D$12:$AM$244,ROW()-12,FALSE))</f>
        <v>439.94326999999998</v>
      </c>
      <c r="U196" s="281"/>
      <c r="V196" s="281">
        <f>IF(HLOOKUP(V$13,'MP (nominal)'!$D$12:$AM$244,ROW()-12,FALSE)="","",HLOOKUP(V$13,'MP (nominal)'!$D$12:$AM$244,ROW()-12,FALSE))</f>
        <v>4.1926303000000003</v>
      </c>
      <c r="W196" s="281">
        <f>IF(HLOOKUP(W$13,'MP (nominal)'!$D$12:$AM$244,ROW()-12,FALSE)="","",HLOOKUP(W$13,'MP (nominal)'!$D$12:$AM$244,ROW()-12,FALSE))</f>
        <v>0.15457424</v>
      </c>
      <c r="X196" s="281">
        <f>IF(HLOOKUP(X$13,'MP (nominal)'!$D$12:$AM$244,ROW()-12,FALSE)="","",HLOOKUP(X$13,'MP (nominal)'!$D$12:$AM$244,ROW()-12,FALSE))</f>
        <v>4.0380561000000004</v>
      </c>
      <c r="Y196" s="281"/>
      <c r="Z196" s="281">
        <f>IF(HLOOKUP(Z$13,'MP (nominal)'!$D$12:$AM$244,ROW()-12,FALSE)="","",HLOOKUP(Z$13,'MP (nominal)'!$D$12:$AM$244,ROW()-12,FALSE)*VLOOKUP($C196,CPI!$B$9:$I$63,8))</f>
        <v>22224.875104416478</v>
      </c>
      <c r="AA196" s="281">
        <f>IF(HLOOKUP(AA$13,'MP (nominal)'!$D$12:$AM$244,ROW()-12,FALSE)="","",HLOOKUP(AA$13,'MP (nominal)'!$D$12:$AM$244,ROW()-12,FALSE))</f>
        <v>231579</v>
      </c>
      <c r="AB196" s="281">
        <f>IF(HLOOKUP(AB$13,'MP (nominal)'!$D$12:$AM$244,ROW()-12,FALSE)="","",HLOOKUP(AB$13,'MP (nominal)'!$D$12:$AM$244,ROW()-12,FALSE))</f>
        <v>30631</v>
      </c>
      <c r="AC196" s="281"/>
      <c r="AD196" s="281">
        <f>IF(HLOOKUP(AD$13,'MP (nominal)'!$D$12:$AM$244,ROW()-12,FALSE)="","",HLOOKUP(AD$13,'MP (nominal)'!$D$12:$AM$244,ROW()-12,FALSE)*VLOOKUP($C196,CPI!$B$9:$I$63,8))</f>
        <v>3032.0541079464306</v>
      </c>
      <c r="AE196" s="31">
        <f>IF(HLOOKUP(AE$13,'MP (nominal)'!$D$12:$AM$244,ROW()-12,FALSE)="","",HLOOKUP(AE$13,'MP (nominal)'!$D$12:$AM$244,ROW()-12,FALSE))</f>
        <v>34187</v>
      </c>
      <c r="AF196" s="31">
        <f>IF(HLOOKUP(AF$13,'MP (nominal)'!$D$12:$AM$244,ROW()-12,FALSE)="","",HLOOKUP(AF$13,'MP (nominal)'!$D$12:$AM$244,ROW()-12,FALSE))</f>
        <v>174</v>
      </c>
      <c r="AG196" s="281"/>
      <c r="AH196" s="281">
        <f>IF(HLOOKUP(AH$13,'MP (nominal)'!$D$12:$AM$244,ROW()-12,FALSE)="","",HLOOKUP(AH$13,'MP (nominal)'!$D$12:$AM$244,ROW()-12,FALSE)*VLOOKUP($C196,CPI!$B$9:$I$63,8))</f>
        <v>524.70022365336411</v>
      </c>
      <c r="AI196" s="31">
        <f>IF(HLOOKUP(AI$13,'MP (nominal)'!$D$12:$AM$244,ROW()-12,FALSE)="","",HLOOKUP(AI$13,'MP (nominal)'!$D$12:$AM$244,ROW()-12,FALSE))</f>
        <v>7748</v>
      </c>
      <c r="AJ196" s="31">
        <f>IF(HLOOKUP(AJ$13,'MP (nominal)'!$D$12:$AM$244,ROW()-12,FALSE)="","",HLOOKUP(AJ$13,'MP (nominal)'!$D$12:$AM$244,ROW()-12,FALSE))</f>
        <v>14</v>
      </c>
      <c r="AK196" s="281"/>
      <c r="AL196" s="281">
        <f>IF(HLOOKUP(AL$13,'MP (nominal)'!$D$12:$AM$244,ROW()-12,FALSE)="","",HLOOKUP(AL$13,'MP (nominal)'!$D$12:$AM$244,ROW()-12,FALSE)*VLOOKUP($C196,CPI!$B$9:$I$63,8))</f>
        <v>1644.4003125757858</v>
      </c>
      <c r="AM196" s="31">
        <f>IF(HLOOKUP(AM$13,'MP (nominal)'!$D$12:$AM$244,ROW()-12,FALSE)="","",HLOOKUP(AM$13,'MP (nominal)'!$D$12:$AM$244,ROW()-12,FALSE))</f>
        <v>54304</v>
      </c>
      <c r="AN196" s="31">
        <f>IF(HLOOKUP(AN$13,'MP (nominal)'!$D$12:$AM$244,ROW()-12,FALSE)="","",HLOOKUP(AN$13,'MP (nominal)'!$D$12:$AM$244,ROW()-12,FALSE))</f>
        <v>5</v>
      </c>
      <c r="AO196" s="281"/>
      <c r="AP196" s="281">
        <f>IF(HLOOKUP(AP$13,'MP (nominal)'!$D$12:$AM$244,ROW()-12,FALSE)="","",HLOOKUP(AP$13,'MP (nominal)'!$D$12:$AM$244,ROW()-12,FALSE)*VLOOKUP($C196,CPI!$B$9:$I$63,8))</f>
        <v>27426.029748592056</v>
      </c>
      <c r="AQ196" s="31">
        <f>IF(HLOOKUP(AQ$13,'MP (nominal)'!$D$12:$AM$244,ROW()-12,FALSE)="","",HLOOKUP(AQ$13,'MP (nominal)'!$D$12:$AM$244,ROW()-12,FALSE))</f>
        <v>327818</v>
      </c>
      <c r="AR196" s="281">
        <f>IF(HLOOKUP(AR$13,'MP (nominal)'!$D$12:$AM$244,ROW()-12,FALSE)="","",HLOOKUP(AR$13,'MP (nominal)'!$D$12:$AM$244,ROW()-12,FALSE))</f>
        <v>30824</v>
      </c>
    </row>
    <row r="197" spans="1:44" s="278" customFormat="1">
      <c r="A197" s="271">
        <f>References!J280</f>
        <v>514</v>
      </c>
      <c r="B197" s="292" t="s">
        <v>142</v>
      </c>
      <c r="C197" s="284">
        <v>2011</v>
      </c>
      <c r="D197" s="27">
        <f>IF(HLOOKUP(D$13,'MP (nominal)'!$D$12:$AM$244,ROW()-12,FALSE)="","",HLOOKUP(D$13,'MP (nominal)'!$D$12:$AM$244,ROW()-12,FALSE))</f>
        <v>3051</v>
      </c>
      <c r="E197" s="281">
        <f>IF(HLOOKUP(E$13,'MP (nominal)'!$D$12:$AM$244,ROW()-12,FALSE)="","",HLOOKUP(E$13,'MP (nominal)'!$D$12:$AM$244,ROW()-12,FALSE))</f>
        <v>10</v>
      </c>
      <c r="F197" s="27">
        <f>IF(HLOOKUP(F$13,'MP (nominal)'!$D$12:$AM$244,ROW()-12,FALSE)="","",HLOOKUP(F$13,'MP (nominal)'!$D$12:$AM$244,ROW()-12,FALSE))</f>
        <v>798</v>
      </c>
      <c r="G197" s="281">
        <f>IF(HLOOKUP(G$13,'MP (nominal)'!$D$12:$AM$244,ROW()-12,FALSE)="","",HLOOKUP(G$13,'MP (nominal)'!$D$12:$AM$244,ROW()-12,FALSE))</f>
        <v>326</v>
      </c>
      <c r="H197" s="27">
        <f>IF(HLOOKUP(H$13,'MP (nominal)'!$D$12:$AM$244,ROW()-12,FALSE)="","",HLOOKUP(H$13,'MP (nominal)'!$D$12:$AM$244,ROW()-12,FALSE))</f>
        <v>3849</v>
      </c>
      <c r="I197" s="31">
        <f>IF(HLOOKUP(I$13,'MP (nominal)'!$D$12:$AM$244,ROW()-12,FALSE)="","",HLOOKUP(I$13,'MP (nominal)'!$D$12:$AM$244,ROW()-12,FALSE))</f>
        <v>336</v>
      </c>
      <c r="J197" s="31">
        <f>IF(HLOOKUP(J$13,'MP (nominal)'!$D$12:$AM$244,ROW()-12,FALSE)="","",HLOOKUP(J$13,'MP (nominal)'!$D$12:$AM$244,ROW()-12,FALSE))</f>
        <v>3051</v>
      </c>
      <c r="K197" s="281"/>
      <c r="L197" s="27">
        <f>IF(HLOOKUP(L$13,'MP (nominal)'!$D$12:$AM$244,ROW()-12,FALSE)="","",HLOOKUP(L$13,'MP (nominal)'!$D$12:$AM$244,ROW()-12,FALSE))</f>
        <v>70</v>
      </c>
      <c r="M197" s="283">
        <f>IF(HLOOKUP(M$13,'MP (nominal)'!$D$12:$AM$244,ROW()-12,FALSE)="","",HLOOKUP(M$13,'MP (nominal)'!$D$12:$AM$244,ROW()-12,FALSE))</f>
        <v>327.38986</v>
      </c>
      <c r="N197" s="35"/>
      <c r="O197" s="27">
        <f>IF(HLOOKUP(O$13,'MP (nominal)'!$D$12:$AM$244,ROW()-12,FALSE)="","",HLOOKUP(O$13,'MP (nominal)'!$D$12:$AM$244,ROW()-12,FALSE))</f>
        <v>31002</v>
      </c>
      <c r="P197" s="31"/>
      <c r="Q197" s="281"/>
      <c r="R197" s="281">
        <f>IF(HLOOKUP(R$13,'MP (nominal)'!$D$12:$AM$244,ROW()-12,FALSE)="","",HLOOKUP(R$13,'MP (nominal)'!$D$12:$AM$244,ROW()-12,FALSE))</f>
        <v>440.017</v>
      </c>
      <c r="S197" s="281">
        <f>IF(HLOOKUP(S$13,'MP (nominal)'!$D$12:$AM$244,ROW()-12,FALSE)="","",HLOOKUP(S$13,'MP (nominal)'!$D$12:$AM$244,ROW()-12,FALSE))</f>
        <v>20.972000000000001</v>
      </c>
      <c r="T197" s="281">
        <f>IF(HLOOKUP(T$13,'MP (nominal)'!$D$12:$AM$244,ROW()-12,FALSE)="","",HLOOKUP(T$13,'MP (nominal)'!$D$12:$AM$244,ROW()-12,FALSE))</f>
        <v>419.04500000000002</v>
      </c>
      <c r="U197" s="281"/>
      <c r="V197" s="281">
        <f>IF(HLOOKUP(V$13,'MP (nominal)'!$D$12:$AM$244,ROW()-12,FALSE)="","",HLOOKUP(V$13,'MP (nominal)'!$D$12:$AM$244,ROW()-12,FALSE))</f>
        <v>4.9260000000000002</v>
      </c>
      <c r="W197" s="281">
        <f>IF(HLOOKUP(W$13,'MP (nominal)'!$D$12:$AM$244,ROW()-12,FALSE)="","",HLOOKUP(W$13,'MP (nominal)'!$D$12:$AM$244,ROW()-12,FALSE))</f>
        <v>9.5000000000000001E-2</v>
      </c>
      <c r="X197" s="281">
        <f>IF(HLOOKUP(X$13,'MP (nominal)'!$D$12:$AM$244,ROW()-12,FALSE)="","",HLOOKUP(X$13,'MP (nominal)'!$D$12:$AM$244,ROW()-12,FALSE))</f>
        <v>4.8310000000000004</v>
      </c>
      <c r="Y197" s="281"/>
      <c r="Z197" s="281">
        <f>IF(HLOOKUP(Z$13,'MP (nominal)'!$D$12:$AM$244,ROW()-12,FALSE)="","",HLOOKUP(Z$13,'MP (nominal)'!$D$12:$AM$244,ROW()-12,FALSE)*VLOOKUP($C197,CPI!$B$9:$I$63,8))</f>
        <v>25763.687999999998</v>
      </c>
      <c r="AA197" s="281">
        <f>IF(HLOOKUP(AA$13,'MP (nominal)'!$D$12:$AM$244,ROW()-12,FALSE)="","",HLOOKUP(AA$13,'MP (nominal)'!$D$12:$AM$244,ROW()-12,FALSE))</f>
        <v>225127.36</v>
      </c>
      <c r="AB197" s="281">
        <f>IF(HLOOKUP(AB$13,'MP (nominal)'!$D$12:$AM$244,ROW()-12,FALSE)="","",HLOOKUP(AB$13,'MP (nominal)'!$D$12:$AM$244,ROW()-12,FALSE))</f>
        <v>30809</v>
      </c>
      <c r="AC197" s="281"/>
      <c r="AD197" s="281">
        <f>IF(HLOOKUP(AD$13,'MP (nominal)'!$D$12:$AM$244,ROW()-12,FALSE)="","",HLOOKUP(AD$13,'MP (nominal)'!$D$12:$AM$244,ROW()-12,FALSE)*VLOOKUP($C197,CPI!$B$9:$I$63,8))</f>
        <v>2843.6651000000002</v>
      </c>
      <c r="AE197" s="31">
        <f>IF(HLOOKUP(AE$13,'MP (nominal)'!$D$12:$AM$244,ROW()-12,FALSE)="","",HLOOKUP(AE$13,'MP (nominal)'!$D$12:$AM$244,ROW()-12,FALSE))</f>
        <v>31066.817999999999</v>
      </c>
      <c r="AF197" s="31">
        <f>IF(HLOOKUP(AF$13,'MP (nominal)'!$D$12:$AM$244,ROW()-12,FALSE)="","",HLOOKUP(AF$13,'MP (nominal)'!$D$12:$AM$244,ROW()-12,FALSE))</f>
        <v>174</v>
      </c>
      <c r="AG197" s="281"/>
      <c r="AH197" s="281">
        <f>IF(HLOOKUP(AH$13,'MP (nominal)'!$D$12:$AM$244,ROW()-12,FALSE)="","",HLOOKUP(AH$13,'MP (nominal)'!$D$12:$AM$244,ROW()-12,FALSE)*VLOOKUP($C197,CPI!$B$9:$I$63,8))</f>
        <v>516.30462</v>
      </c>
      <c r="AI197" s="31">
        <f>IF(HLOOKUP(AI$13,'MP (nominal)'!$D$12:$AM$244,ROW()-12,FALSE)="","",HLOOKUP(AI$13,'MP (nominal)'!$D$12:$AM$244,ROW()-12,FALSE))</f>
        <v>7006.22</v>
      </c>
      <c r="AJ197" s="31">
        <f>IF(HLOOKUP(AJ$13,'MP (nominal)'!$D$12:$AM$244,ROW()-12,FALSE)="","",HLOOKUP(AJ$13,'MP (nominal)'!$D$12:$AM$244,ROW()-12,FALSE))</f>
        <v>14</v>
      </c>
      <c r="AK197" s="281"/>
      <c r="AL197" s="281">
        <f>IF(HLOOKUP(AL$13,'MP (nominal)'!$D$12:$AM$244,ROW()-12,FALSE)="","",HLOOKUP(AL$13,'MP (nominal)'!$D$12:$AM$244,ROW()-12,FALSE)*VLOOKUP($C197,CPI!$B$9:$I$63,8))</f>
        <v>2366.3425000000002</v>
      </c>
      <c r="AM197" s="31">
        <f>IF(HLOOKUP(AM$13,'MP (nominal)'!$D$12:$AM$244,ROW()-12,FALSE)="","",HLOOKUP(AM$13,'MP (nominal)'!$D$12:$AM$244,ROW()-12,FALSE))</f>
        <v>64189.457999999999</v>
      </c>
      <c r="AN197" s="31">
        <f>IF(HLOOKUP(AN$13,'MP (nominal)'!$D$12:$AM$244,ROW()-12,FALSE)="","",HLOOKUP(AN$13,'MP (nominal)'!$D$12:$AM$244,ROW()-12,FALSE))</f>
        <v>5</v>
      </c>
      <c r="AO197" s="281"/>
      <c r="AP197" s="281">
        <f>IF(HLOOKUP(AP$13,'MP (nominal)'!$D$12:$AM$244,ROW()-12,FALSE)="","",HLOOKUP(AP$13,'MP (nominal)'!$D$12:$AM$244,ROW()-12,FALSE)*VLOOKUP($C197,CPI!$B$9:$I$63,8))</f>
        <v>31490</v>
      </c>
      <c r="AQ197" s="31">
        <f>IF(HLOOKUP(AQ$13,'MP (nominal)'!$D$12:$AM$244,ROW()-12,FALSE)="","",HLOOKUP(AQ$13,'MP (nominal)'!$D$12:$AM$244,ROW()-12,FALSE))</f>
        <v>327389.86</v>
      </c>
      <c r="AR197" s="281">
        <f>IF(HLOOKUP(AR$13,'MP (nominal)'!$D$12:$AM$244,ROW()-12,FALSE)="","",HLOOKUP(AR$13,'MP (nominal)'!$D$12:$AM$244,ROW()-12,FALSE))</f>
        <v>31002</v>
      </c>
    </row>
    <row r="198" spans="1:44" s="278" customFormat="1" hidden="1">
      <c r="A198" s="271">
        <f>References!C281</f>
        <v>530</v>
      </c>
      <c r="B198" s="292" t="s">
        <v>52</v>
      </c>
      <c r="C198" s="284">
        <v>2004</v>
      </c>
      <c r="D198" s="27" t="str">
        <f>IF(HLOOKUP(D$13,'MP (nominal)'!$D$12:$AM$244,ROW()-12,FALSE)="","",HLOOKUP(D$13,'MP (nominal)'!$D$12:$AM$244,ROW()-12,FALSE))</f>
        <v/>
      </c>
      <c r="E198" s="281" t="str">
        <f>IF(HLOOKUP(E$13,'MP (nominal)'!$D$12:$AM$244,ROW()-12,FALSE)="","",HLOOKUP(E$13,'MP (nominal)'!$D$12:$AM$244,ROW()-12,FALSE))</f>
        <v/>
      </c>
      <c r="F198" s="27">
        <f>IF(HLOOKUP(F$13,'MP (nominal)'!$D$12:$AM$244,ROW()-12,FALSE)="","",HLOOKUP(F$13,'MP (nominal)'!$D$12:$AM$244,ROW()-12,FALSE))</f>
        <v>3263</v>
      </c>
      <c r="G198" s="281" t="str">
        <f>IF(HLOOKUP(G$13,'MP (nominal)'!$D$12:$AM$244,ROW()-12,FALSE)="","",HLOOKUP(G$13,'MP (nominal)'!$D$12:$AM$244,ROW()-12,FALSE))</f>
        <v/>
      </c>
      <c r="H198" s="27">
        <f>IF(HLOOKUP(H$13,'MP (nominal)'!$D$12:$AM$244,ROW()-12,FALSE)="","",HLOOKUP(H$13,'MP (nominal)'!$D$12:$AM$244,ROW()-12,FALSE))</f>
        <v>9173</v>
      </c>
      <c r="I198" s="31" t="str">
        <f>IF(HLOOKUP(I$13,'MP (nominal)'!$D$12:$AM$244,ROW()-12,FALSE)="","",HLOOKUP(I$13,'MP (nominal)'!$D$12:$AM$244,ROW()-12,FALSE))</f>
        <v/>
      </c>
      <c r="J198" s="31">
        <f>IF(HLOOKUP(J$13,'MP (nominal)'!$D$12:$AM$244,ROW()-12,FALSE)="","",HLOOKUP(J$13,'MP (nominal)'!$D$12:$AM$244,ROW()-12,FALSE))</f>
        <v>5910</v>
      </c>
      <c r="K198" s="281"/>
      <c r="L198" s="27">
        <f>IF(HLOOKUP(L$13,'MP (nominal)'!$D$12:$AM$244,ROW()-12,FALSE)="","",HLOOKUP(L$13,'MP (nominal)'!$D$12:$AM$244,ROW()-12,FALSE))</f>
        <v>276.88400000000001</v>
      </c>
      <c r="M198" s="293">
        <f>IF(HLOOKUP(M$13,'MP (nominal)'!$D$12:$AM$244,ROW()-12,FALSE)="","",HLOOKUP(M$13,'MP (nominal)'!$D$12:$AM$244,ROW()-12,FALSE))</f>
        <v>1523.885</v>
      </c>
      <c r="N198" s="35"/>
      <c r="O198" s="27">
        <f>IF(HLOOKUP(O$13,'MP (nominal)'!$D$12:$AM$244,ROW()-12,FALSE)="","",HLOOKUP(O$13,'MP (nominal)'!$D$12:$AM$244,ROW()-12,FALSE))</f>
        <v>102299</v>
      </c>
      <c r="P198" s="31"/>
      <c r="Q198" s="281"/>
      <c r="R198" s="281">
        <f>IF(HLOOKUP(R$13,'MP (nominal)'!$D$12:$AM$244,ROW()-12,FALSE)="","",HLOOKUP(R$13,'MP (nominal)'!$D$12:$AM$244,ROW()-12,FALSE))</f>
        <v>202</v>
      </c>
      <c r="S198" s="281" t="str">
        <f>IF(HLOOKUP(S$13,'MP (nominal)'!$D$12:$AM$244,ROW()-12,FALSE)="","",HLOOKUP(S$13,'MP (nominal)'!$D$12:$AM$244,ROW()-12,FALSE))</f>
        <v/>
      </c>
      <c r="T198" s="281" t="str">
        <f>IF(HLOOKUP(T$13,'MP (nominal)'!$D$12:$AM$244,ROW()-12,FALSE)="","",HLOOKUP(T$13,'MP (nominal)'!$D$12:$AM$244,ROW()-12,FALSE))</f>
        <v/>
      </c>
      <c r="U198" s="281"/>
      <c r="V198" s="281">
        <f>IF(HLOOKUP(V$13,'MP (nominal)'!$D$12:$AM$244,ROW()-12,FALSE)="","",HLOOKUP(V$13,'MP (nominal)'!$D$12:$AM$244,ROW()-12,FALSE))</f>
        <v>2.38</v>
      </c>
      <c r="W198" s="281" t="str">
        <f>IF(HLOOKUP(W$13,'MP (nominal)'!$D$12:$AM$244,ROW()-12,FALSE)="","",HLOOKUP(W$13,'MP (nominal)'!$D$12:$AM$244,ROW()-12,FALSE))</f>
        <v/>
      </c>
      <c r="X198" s="281" t="str">
        <f>IF(HLOOKUP(X$13,'MP (nominal)'!$D$12:$AM$244,ROW()-12,FALSE)="","",HLOOKUP(X$13,'MP (nominal)'!$D$12:$AM$244,ROW()-12,FALSE))</f>
        <v/>
      </c>
      <c r="Y198" s="281"/>
      <c r="Z198" s="281" t="str">
        <f>IF(HLOOKUP(Z$13,'MP (nominal)'!$D$12:$AM$244,ROW()-12,FALSE)="","",HLOOKUP(Z$13,'MP (nominal)'!$D$12:$AM$244,ROW()-12,FALSE)*VLOOKUP($C198,CPI!$B$9:$I$63,8))</f>
        <v/>
      </c>
      <c r="AA198" s="281" t="str">
        <f>IF(HLOOKUP(AA$13,'MP (nominal)'!$D$12:$AM$244,ROW()-12,FALSE)="","",HLOOKUP(AA$13,'MP (nominal)'!$D$12:$AM$244,ROW()-12,FALSE))</f>
        <v/>
      </c>
      <c r="AB198" s="281" t="str">
        <f>IF(HLOOKUP(AB$13,'MP (nominal)'!$D$12:$AM$244,ROW()-12,FALSE)="","",HLOOKUP(AB$13,'MP (nominal)'!$D$12:$AM$244,ROW()-12,FALSE))</f>
        <v/>
      </c>
      <c r="AC198" s="281"/>
      <c r="AD198" s="281" t="str">
        <f>IF(HLOOKUP(AD$13,'MP (nominal)'!$D$12:$AM$244,ROW()-12,FALSE)="","",HLOOKUP(AD$13,'MP (nominal)'!$D$12:$AM$244,ROW()-12,FALSE)*VLOOKUP($C198,CPI!$B$9:$I$63,8))</f>
        <v/>
      </c>
      <c r="AE198" s="31" t="str">
        <f>IF(HLOOKUP(AE$13,'MP (nominal)'!$D$12:$AM$244,ROW()-12,FALSE)="","",HLOOKUP(AE$13,'MP (nominal)'!$D$12:$AM$244,ROW()-12,FALSE))</f>
        <v/>
      </c>
      <c r="AF198" s="31" t="str">
        <f>IF(HLOOKUP(AF$13,'MP (nominal)'!$D$12:$AM$244,ROW()-12,FALSE)="","",HLOOKUP(AF$13,'MP (nominal)'!$D$12:$AM$244,ROW()-12,FALSE))</f>
        <v/>
      </c>
      <c r="AG198" s="281"/>
      <c r="AH198" s="281" t="str">
        <f>IF(HLOOKUP(AH$13,'MP (nominal)'!$D$12:$AM$244,ROW()-12,FALSE)="","",HLOOKUP(AH$13,'MP (nominal)'!$D$12:$AM$244,ROW()-12,FALSE)*VLOOKUP($C198,CPI!$B$9:$I$63,8))</f>
        <v/>
      </c>
      <c r="AI198" s="31" t="str">
        <f>IF(HLOOKUP(AI$13,'MP (nominal)'!$D$12:$AM$244,ROW()-12,FALSE)="","",HLOOKUP(AI$13,'MP (nominal)'!$D$12:$AM$244,ROW()-12,FALSE))</f>
        <v/>
      </c>
      <c r="AJ198" s="31" t="str">
        <f>IF(HLOOKUP(AJ$13,'MP (nominal)'!$D$12:$AM$244,ROW()-12,FALSE)="","",HLOOKUP(AJ$13,'MP (nominal)'!$D$12:$AM$244,ROW()-12,FALSE))</f>
        <v/>
      </c>
      <c r="AK198" s="281"/>
      <c r="AL198" s="281" t="str">
        <f>IF(HLOOKUP(AL$13,'MP (nominal)'!$D$12:$AM$244,ROW()-12,FALSE)="","",HLOOKUP(AL$13,'MP (nominal)'!$D$12:$AM$244,ROW()-12,FALSE)*VLOOKUP($C198,CPI!$B$9:$I$63,8))</f>
        <v/>
      </c>
      <c r="AM198" s="31" t="str">
        <f>IF(HLOOKUP(AM$13,'MP (nominal)'!$D$12:$AM$244,ROW()-12,FALSE)="","",HLOOKUP(AM$13,'MP (nominal)'!$D$12:$AM$244,ROW()-12,FALSE))</f>
        <v/>
      </c>
      <c r="AN198" s="31" t="str">
        <f>IF(HLOOKUP(AN$13,'MP (nominal)'!$D$12:$AM$244,ROW()-12,FALSE)="","",HLOOKUP(AN$13,'MP (nominal)'!$D$12:$AM$244,ROW()-12,FALSE))</f>
        <v/>
      </c>
      <c r="AO198" s="281"/>
      <c r="AP198" s="281" t="str">
        <f>IF(HLOOKUP(AP$13,'MP (nominal)'!$D$12:$AM$244,ROW()-12,FALSE)="","",HLOOKUP(AP$13,'MP (nominal)'!$D$12:$AM$244,ROW()-12,FALSE)*VLOOKUP($C198,CPI!$B$9:$I$63,8))</f>
        <v/>
      </c>
      <c r="AQ198" s="31" t="str">
        <f>IF(HLOOKUP(AQ$13,'MP (nominal)'!$D$12:$AM$244,ROW()-12,FALSE)="","",HLOOKUP(AQ$13,'MP (nominal)'!$D$12:$AM$244,ROW()-12,FALSE))</f>
        <v/>
      </c>
      <c r="AR198" s="281" t="str">
        <f>IF(HLOOKUP(AR$13,'MP (nominal)'!$D$12:$AM$244,ROW()-12,FALSE)="","",HLOOKUP(AR$13,'MP (nominal)'!$D$12:$AM$244,ROW()-12,FALSE))</f>
        <v/>
      </c>
    </row>
    <row r="199" spans="1:44" s="278" customFormat="1" hidden="1">
      <c r="A199" s="271">
        <f>References!D281</f>
        <v>531</v>
      </c>
      <c r="B199" s="292" t="s">
        <v>52</v>
      </c>
      <c r="C199" s="284">
        <v>2005</v>
      </c>
      <c r="D199" s="27" t="str">
        <f>IF(HLOOKUP(D$13,'MP (nominal)'!$D$12:$AM$244,ROW()-12,FALSE)="","",HLOOKUP(D$13,'MP (nominal)'!$D$12:$AM$244,ROW()-12,FALSE))</f>
        <v/>
      </c>
      <c r="E199" s="281" t="str">
        <f>IF(HLOOKUP(E$13,'MP (nominal)'!$D$12:$AM$244,ROW()-12,FALSE)="","",HLOOKUP(E$13,'MP (nominal)'!$D$12:$AM$244,ROW()-12,FALSE))</f>
        <v/>
      </c>
      <c r="F199" s="27">
        <f>IF(HLOOKUP(F$13,'MP (nominal)'!$D$12:$AM$244,ROW()-12,FALSE)="","",HLOOKUP(F$13,'MP (nominal)'!$D$12:$AM$244,ROW()-12,FALSE))</f>
        <v>3366</v>
      </c>
      <c r="G199" s="281" t="str">
        <f>IF(HLOOKUP(G$13,'MP (nominal)'!$D$12:$AM$244,ROW()-12,FALSE)="","",HLOOKUP(G$13,'MP (nominal)'!$D$12:$AM$244,ROW()-12,FALSE))</f>
        <v/>
      </c>
      <c r="H199" s="27">
        <f>IF(HLOOKUP(H$13,'MP (nominal)'!$D$12:$AM$244,ROW()-12,FALSE)="","",HLOOKUP(H$13,'MP (nominal)'!$D$12:$AM$244,ROW()-12,FALSE))</f>
        <v>9264</v>
      </c>
      <c r="I199" s="31" t="str">
        <f>IF(HLOOKUP(I$13,'MP (nominal)'!$D$12:$AM$244,ROW()-12,FALSE)="","",HLOOKUP(I$13,'MP (nominal)'!$D$12:$AM$244,ROW()-12,FALSE))</f>
        <v/>
      </c>
      <c r="J199" s="31">
        <f>IF(HLOOKUP(J$13,'MP (nominal)'!$D$12:$AM$244,ROW()-12,FALSE)="","",HLOOKUP(J$13,'MP (nominal)'!$D$12:$AM$244,ROW()-12,FALSE))</f>
        <v>5899</v>
      </c>
      <c r="K199" s="281"/>
      <c r="L199" s="27">
        <f>IF(HLOOKUP(L$13,'MP (nominal)'!$D$12:$AM$244,ROW()-12,FALSE)="","",HLOOKUP(L$13,'MP (nominal)'!$D$12:$AM$244,ROW()-12,FALSE))</f>
        <v>302.01400000000001</v>
      </c>
      <c r="M199" s="293">
        <f>IF(HLOOKUP(M$13,'MP (nominal)'!$D$12:$AM$244,ROW()-12,FALSE)="","",HLOOKUP(M$13,'MP (nominal)'!$D$12:$AM$244,ROW()-12,FALSE))</f>
        <v>1581.079</v>
      </c>
      <c r="N199" s="35"/>
      <c r="O199" s="27">
        <f>IF(HLOOKUP(O$13,'MP (nominal)'!$D$12:$AM$244,ROW()-12,FALSE)="","",HLOOKUP(O$13,'MP (nominal)'!$D$12:$AM$244,ROW()-12,FALSE))</f>
        <v>103347</v>
      </c>
      <c r="P199" s="31"/>
      <c r="Q199" s="281"/>
      <c r="R199" s="281">
        <f>IF(HLOOKUP(R$13,'MP (nominal)'!$D$12:$AM$244,ROW()-12,FALSE)="","",HLOOKUP(R$13,'MP (nominal)'!$D$12:$AM$244,ROW()-12,FALSE))</f>
        <v>156</v>
      </c>
      <c r="S199" s="281" t="str">
        <f>IF(HLOOKUP(S$13,'MP (nominal)'!$D$12:$AM$244,ROW()-12,FALSE)="","",HLOOKUP(S$13,'MP (nominal)'!$D$12:$AM$244,ROW()-12,FALSE))</f>
        <v/>
      </c>
      <c r="T199" s="281" t="str">
        <f>IF(HLOOKUP(T$13,'MP (nominal)'!$D$12:$AM$244,ROW()-12,FALSE)="","",HLOOKUP(T$13,'MP (nominal)'!$D$12:$AM$244,ROW()-12,FALSE))</f>
        <v/>
      </c>
      <c r="U199" s="281"/>
      <c r="V199" s="281">
        <f>IF(HLOOKUP(V$13,'MP (nominal)'!$D$12:$AM$244,ROW()-12,FALSE)="","",HLOOKUP(V$13,'MP (nominal)'!$D$12:$AM$244,ROW()-12,FALSE))</f>
        <v>3.21</v>
      </c>
      <c r="W199" s="281" t="str">
        <f>IF(HLOOKUP(W$13,'MP (nominal)'!$D$12:$AM$244,ROW()-12,FALSE)="","",HLOOKUP(W$13,'MP (nominal)'!$D$12:$AM$244,ROW()-12,FALSE))</f>
        <v/>
      </c>
      <c r="X199" s="281" t="str">
        <f>IF(HLOOKUP(X$13,'MP (nominal)'!$D$12:$AM$244,ROW()-12,FALSE)="","",HLOOKUP(X$13,'MP (nominal)'!$D$12:$AM$244,ROW()-12,FALSE))</f>
        <v/>
      </c>
      <c r="Y199" s="281"/>
      <c r="Z199" s="281" t="str">
        <f>IF(HLOOKUP(Z$13,'MP (nominal)'!$D$12:$AM$244,ROW()-12,FALSE)="","",HLOOKUP(Z$13,'MP (nominal)'!$D$12:$AM$244,ROW()-12,FALSE)*VLOOKUP($C199,CPI!$B$9:$I$63,8))</f>
        <v/>
      </c>
      <c r="AA199" s="281" t="str">
        <f>IF(HLOOKUP(AA$13,'MP (nominal)'!$D$12:$AM$244,ROW()-12,FALSE)="","",HLOOKUP(AA$13,'MP (nominal)'!$D$12:$AM$244,ROW()-12,FALSE))</f>
        <v/>
      </c>
      <c r="AB199" s="281" t="str">
        <f>IF(HLOOKUP(AB$13,'MP (nominal)'!$D$12:$AM$244,ROW()-12,FALSE)="","",HLOOKUP(AB$13,'MP (nominal)'!$D$12:$AM$244,ROW()-12,FALSE))</f>
        <v/>
      </c>
      <c r="AC199" s="281"/>
      <c r="AD199" s="281" t="str">
        <f>IF(HLOOKUP(AD$13,'MP (nominal)'!$D$12:$AM$244,ROW()-12,FALSE)="","",HLOOKUP(AD$13,'MP (nominal)'!$D$12:$AM$244,ROW()-12,FALSE)*VLOOKUP($C199,CPI!$B$9:$I$63,8))</f>
        <v/>
      </c>
      <c r="AE199" s="31" t="str">
        <f>IF(HLOOKUP(AE$13,'MP (nominal)'!$D$12:$AM$244,ROW()-12,FALSE)="","",HLOOKUP(AE$13,'MP (nominal)'!$D$12:$AM$244,ROW()-12,FALSE))</f>
        <v/>
      </c>
      <c r="AF199" s="31" t="str">
        <f>IF(HLOOKUP(AF$13,'MP (nominal)'!$D$12:$AM$244,ROW()-12,FALSE)="","",HLOOKUP(AF$13,'MP (nominal)'!$D$12:$AM$244,ROW()-12,FALSE))</f>
        <v/>
      </c>
      <c r="AG199" s="281"/>
      <c r="AH199" s="281" t="str">
        <f>IF(HLOOKUP(AH$13,'MP (nominal)'!$D$12:$AM$244,ROW()-12,FALSE)="","",HLOOKUP(AH$13,'MP (nominal)'!$D$12:$AM$244,ROW()-12,FALSE)*VLOOKUP($C199,CPI!$B$9:$I$63,8))</f>
        <v/>
      </c>
      <c r="AI199" s="31" t="str">
        <f>IF(HLOOKUP(AI$13,'MP (nominal)'!$D$12:$AM$244,ROW()-12,FALSE)="","",HLOOKUP(AI$13,'MP (nominal)'!$D$12:$AM$244,ROW()-12,FALSE))</f>
        <v/>
      </c>
      <c r="AJ199" s="31" t="str">
        <f>IF(HLOOKUP(AJ$13,'MP (nominal)'!$D$12:$AM$244,ROW()-12,FALSE)="","",HLOOKUP(AJ$13,'MP (nominal)'!$D$12:$AM$244,ROW()-12,FALSE))</f>
        <v/>
      </c>
      <c r="AK199" s="281"/>
      <c r="AL199" s="281" t="str">
        <f>IF(HLOOKUP(AL$13,'MP (nominal)'!$D$12:$AM$244,ROW()-12,FALSE)="","",HLOOKUP(AL$13,'MP (nominal)'!$D$12:$AM$244,ROW()-12,FALSE)*VLOOKUP($C199,CPI!$B$9:$I$63,8))</f>
        <v/>
      </c>
      <c r="AM199" s="31" t="str">
        <f>IF(HLOOKUP(AM$13,'MP (nominal)'!$D$12:$AM$244,ROW()-12,FALSE)="","",HLOOKUP(AM$13,'MP (nominal)'!$D$12:$AM$244,ROW()-12,FALSE))</f>
        <v/>
      </c>
      <c r="AN199" s="31" t="str">
        <f>IF(HLOOKUP(AN$13,'MP (nominal)'!$D$12:$AM$244,ROW()-12,FALSE)="","",HLOOKUP(AN$13,'MP (nominal)'!$D$12:$AM$244,ROW()-12,FALSE))</f>
        <v/>
      </c>
      <c r="AO199" s="281"/>
      <c r="AP199" s="281" t="str">
        <f>IF(HLOOKUP(AP$13,'MP (nominal)'!$D$12:$AM$244,ROW()-12,FALSE)="","",HLOOKUP(AP$13,'MP (nominal)'!$D$12:$AM$244,ROW()-12,FALSE)*VLOOKUP($C199,CPI!$B$9:$I$63,8))</f>
        <v/>
      </c>
      <c r="AQ199" s="31" t="str">
        <f>IF(HLOOKUP(AQ$13,'MP (nominal)'!$D$12:$AM$244,ROW()-12,FALSE)="","",HLOOKUP(AQ$13,'MP (nominal)'!$D$12:$AM$244,ROW()-12,FALSE))</f>
        <v/>
      </c>
      <c r="AR199" s="281" t="str">
        <f>IF(HLOOKUP(AR$13,'MP (nominal)'!$D$12:$AM$244,ROW()-12,FALSE)="","",HLOOKUP(AR$13,'MP (nominal)'!$D$12:$AM$244,ROW()-12,FALSE))</f>
        <v/>
      </c>
    </row>
    <row r="200" spans="1:44" s="278" customFormat="1" hidden="1">
      <c r="A200" s="271">
        <f>References!E281</f>
        <v>532</v>
      </c>
      <c r="B200" s="292" t="s">
        <v>52</v>
      </c>
      <c r="C200" s="284">
        <v>2006</v>
      </c>
      <c r="D200" s="27" t="str">
        <f>IF(HLOOKUP(D$13,'MP (nominal)'!$D$12:$AM$244,ROW()-12,FALSE)="","",HLOOKUP(D$13,'MP (nominal)'!$D$12:$AM$244,ROW()-12,FALSE))</f>
        <v/>
      </c>
      <c r="E200" s="281" t="str">
        <f>IF(HLOOKUP(E$13,'MP (nominal)'!$D$12:$AM$244,ROW()-12,FALSE)="","",HLOOKUP(E$13,'MP (nominal)'!$D$12:$AM$244,ROW()-12,FALSE))</f>
        <v/>
      </c>
      <c r="F200" s="27">
        <f>IF(HLOOKUP(F$13,'MP (nominal)'!$D$12:$AM$244,ROW()-12,FALSE)="","",HLOOKUP(F$13,'MP (nominal)'!$D$12:$AM$244,ROW()-12,FALSE))</f>
        <v>3461</v>
      </c>
      <c r="G200" s="281" t="str">
        <f>IF(HLOOKUP(G$13,'MP (nominal)'!$D$12:$AM$244,ROW()-12,FALSE)="","",HLOOKUP(G$13,'MP (nominal)'!$D$12:$AM$244,ROW()-12,FALSE))</f>
        <v/>
      </c>
      <c r="H200" s="27">
        <f>IF(HLOOKUP(H$13,'MP (nominal)'!$D$12:$AM$244,ROW()-12,FALSE)="","",HLOOKUP(H$13,'MP (nominal)'!$D$12:$AM$244,ROW()-12,FALSE))</f>
        <v>9317</v>
      </c>
      <c r="I200" s="31" t="str">
        <f>IF(HLOOKUP(I$13,'MP (nominal)'!$D$12:$AM$244,ROW()-12,FALSE)="","",HLOOKUP(I$13,'MP (nominal)'!$D$12:$AM$244,ROW()-12,FALSE))</f>
        <v/>
      </c>
      <c r="J200" s="31">
        <f>IF(HLOOKUP(J$13,'MP (nominal)'!$D$12:$AM$244,ROW()-12,FALSE)="","",HLOOKUP(J$13,'MP (nominal)'!$D$12:$AM$244,ROW()-12,FALSE))</f>
        <v>5856</v>
      </c>
      <c r="K200" s="281"/>
      <c r="L200" s="27">
        <f>IF(HLOOKUP(L$13,'MP (nominal)'!$D$12:$AM$244,ROW()-12,FALSE)="","",HLOOKUP(L$13,'MP (nominal)'!$D$12:$AM$244,ROW()-12,FALSE))</f>
        <v>307.72399999999999</v>
      </c>
      <c r="M200" s="293">
        <f>IF(HLOOKUP(M$13,'MP (nominal)'!$D$12:$AM$244,ROW()-12,FALSE)="","",HLOOKUP(M$13,'MP (nominal)'!$D$12:$AM$244,ROW()-12,FALSE))</f>
        <v>1606.5251740000001</v>
      </c>
      <c r="N200" s="35"/>
      <c r="O200" s="27">
        <f>IF(HLOOKUP(O$13,'MP (nominal)'!$D$12:$AM$244,ROW()-12,FALSE)="","",HLOOKUP(O$13,'MP (nominal)'!$D$12:$AM$244,ROW()-12,FALSE))</f>
        <v>104578</v>
      </c>
      <c r="P200" s="31"/>
      <c r="Q200" s="281"/>
      <c r="R200" s="281">
        <f>IF(HLOOKUP(R$13,'MP (nominal)'!$D$12:$AM$244,ROW()-12,FALSE)="","",HLOOKUP(R$13,'MP (nominal)'!$D$12:$AM$244,ROW()-12,FALSE))</f>
        <v>134</v>
      </c>
      <c r="S200" s="281" t="str">
        <f>IF(HLOOKUP(S$13,'MP (nominal)'!$D$12:$AM$244,ROW()-12,FALSE)="","",HLOOKUP(S$13,'MP (nominal)'!$D$12:$AM$244,ROW()-12,FALSE))</f>
        <v/>
      </c>
      <c r="T200" s="281" t="str">
        <f>IF(HLOOKUP(T$13,'MP (nominal)'!$D$12:$AM$244,ROW()-12,FALSE)="","",HLOOKUP(T$13,'MP (nominal)'!$D$12:$AM$244,ROW()-12,FALSE))</f>
        <v/>
      </c>
      <c r="U200" s="281"/>
      <c r="V200" s="281">
        <f>IF(HLOOKUP(V$13,'MP (nominal)'!$D$12:$AM$244,ROW()-12,FALSE)="","",HLOOKUP(V$13,'MP (nominal)'!$D$12:$AM$244,ROW()-12,FALSE))</f>
        <v>2.83</v>
      </c>
      <c r="W200" s="281" t="str">
        <f>IF(HLOOKUP(W$13,'MP (nominal)'!$D$12:$AM$244,ROW()-12,FALSE)="","",HLOOKUP(W$13,'MP (nominal)'!$D$12:$AM$244,ROW()-12,FALSE))</f>
        <v/>
      </c>
      <c r="X200" s="281" t="str">
        <f>IF(HLOOKUP(X$13,'MP (nominal)'!$D$12:$AM$244,ROW()-12,FALSE)="","",HLOOKUP(X$13,'MP (nominal)'!$D$12:$AM$244,ROW()-12,FALSE))</f>
        <v/>
      </c>
      <c r="Y200" s="281"/>
      <c r="Z200" s="281" t="str">
        <f>IF(HLOOKUP(Z$13,'MP (nominal)'!$D$12:$AM$244,ROW()-12,FALSE)="","",HLOOKUP(Z$13,'MP (nominal)'!$D$12:$AM$244,ROW()-12,FALSE)*VLOOKUP($C200,CPI!$B$9:$I$63,8))</f>
        <v/>
      </c>
      <c r="AA200" s="281" t="str">
        <f>IF(HLOOKUP(AA$13,'MP (nominal)'!$D$12:$AM$244,ROW()-12,FALSE)="","",HLOOKUP(AA$13,'MP (nominal)'!$D$12:$AM$244,ROW()-12,FALSE))</f>
        <v/>
      </c>
      <c r="AB200" s="281" t="str">
        <f>IF(HLOOKUP(AB$13,'MP (nominal)'!$D$12:$AM$244,ROW()-12,FALSE)="","",HLOOKUP(AB$13,'MP (nominal)'!$D$12:$AM$244,ROW()-12,FALSE))</f>
        <v/>
      </c>
      <c r="AC200" s="281"/>
      <c r="AD200" s="281" t="str">
        <f>IF(HLOOKUP(AD$13,'MP (nominal)'!$D$12:$AM$244,ROW()-12,FALSE)="","",HLOOKUP(AD$13,'MP (nominal)'!$D$12:$AM$244,ROW()-12,FALSE)*VLOOKUP($C200,CPI!$B$9:$I$63,8))</f>
        <v/>
      </c>
      <c r="AE200" s="31" t="str">
        <f>IF(HLOOKUP(AE$13,'MP (nominal)'!$D$12:$AM$244,ROW()-12,FALSE)="","",HLOOKUP(AE$13,'MP (nominal)'!$D$12:$AM$244,ROW()-12,FALSE))</f>
        <v/>
      </c>
      <c r="AF200" s="31" t="str">
        <f>IF(HLOOKUP(AF$13,'MP (nominal)'!$D$12:$AM$244,ROW()-12,FALSE)="","",HLOOKUP(AF$13,'MP (nominal)'!$D$12:$AM$244,ROW()-12,FALSE))</f>
        <v/>
      </c>
      <c r="AG200" s="281"/>
      <c r="AH200" s="281" t="str">
        <f>IF(HLOOKUP(AH$13,'MP (nominal)'!$D$12:$AM$244,ROW()-12,FALSE)="","",HLOOKUP(AH$13,'MP (nominal)'!$D$12:$AM$244,ROW()-12,FALSE)*VLOOKUP($C200,CPI!$B$9:$I$63,8))</f>
        <v/>
      </c>
      <c r="AI200" s="31" t="str">
        <f>IF(HLOOKUP(AI$13,'MP (nominal)'!$D$12:$AM$244,ROW()-12,FALSE)="","",HLOOKUP(AI$13,'MP (nominal)'!$D$12:$AM$244,ROW()-12,FALSE))</f>
        <v/>
      </c>
      <c r="AJ200" s="31" t="str">
        <f>IF(HLOOKUP(AJ$13,'MP (nominal)'!$D$12:$AM$244,ROW()-12,FALSE)="","",HLOOKUP(AJ$13,'MP (nominal)'!$D$12:$AM$244,ROW()-12,FALSE))</f>
        <v/>
      </c>
      <c r="AK200" s="281"/>
      <c r="AL200" s="281" t="str">
        <f>IF(HLOOKUP(AL$13,'MP (nominal)'!$D$12:$AM$244,ROW()-12,FALSE)="","",HLOOKUP(AL$13,'MP (nominal)'!$D$12:$AM$244,ROW()-12,FALSE)*VLOOKUP($C200,CPI!$B$9:$I$63,8))</f>
        <v/>
      </c>
      <c r="AM200" s="31" t="str">
        <f>IF(HLOOKUP(AM$13,'MP (nominal)'!$D$12:$AM$244,ROW()-12,FALSE)="","",HLOOKUP(AM$13,'MP (nominal)'!$D$12:$AM$244,ROW()-12,FALSE))</f>
        <v/>
      </c>
      <c r="AN200" s="31" t="str">
        <f>IF(HLOOKUP(AN$13,'MP (nominal)'!$D$12:$AM$244,ROW()-12,FALSE)="","",HLOOKUP(AN$13,'MP (nominal)'!$D$12:$AM$244,ROW()-12,FALSE))</f>
        <v/>
      </c>
      <c r="AO200" s="281"/>
      <c r="AP200" s="281" t="str">
        <f>IF(HLOOKUP(AP$13,'MP (nominal)'!$D$12:$AM$244,ROW()-12,FALSE)="","",HLOOKUP(AP$13,'MP (nominal)'!$D$12:$AM$244,ROW()-12,FALSE)*VLOOKUP($C200,CPI!$B$9:$I$63,8))</f>
        <v/>
      </c>
      <c r="AQ200" s="31" t="str">
        <f>IF(HLOOKUP(AQ$13,'MP (nominal)'!$D$12:$AM$244,ROW()-12,FALSE)="","",HLOOKUP(AQ$13,'MP (nominal)'!$D$12:$AM$244,ROW()-12,FALSE))</f>
        <v/>
      </c>
      <c r="AR200" s="281" t="str">
        <f>IF(HLOOKUP(AR$13,'MP (nominal)'!$D$12:$AM$244,ROW()-12,FALSE)="","",HLOOKUP(AR$13,'MP (nominal)'!$D$12:$AM$244,ROW()-12,FALSE))</f>
        <v/>
      </c>
    </row>
    <row r="201" spans="1:44" s="278" customFormat="1" hidden="1">
      <c r="A201" s="271">
        <f>References!F281</f>
        <v>533</v>
      </c>
      <c r="B201" s="292" t="s">
        <v>52</v>
      </c>
      <c r="C201" s="284">
        <v>2007</v>
      </c>
      <c r="D201" s="27" t="str">
        <f>IF(HLOOKUP(D$13,'MP (nominal)'!$D$12:$AM$244,ROW()-12,FALSE)="","",HLOOKUP(D$13,'MP (nominal)'!$D$12:$AM$244,ROW()-12,FALSE))</f>
        <v/>
      </c>
      <c r="E201" s="281" t="str">
        <f>IF(HLOOKUP(E$13,'MP (nominal)'!$D$12:$AM$244,ROW()-12,FALSE)="","",HLOOKUP(E$13,'MP (nominal)'!$D$12:$AM$244,ROW()-12,FALSE))</f>
        <v/>
      </c>
      <c r="F201" s="27">
        <f>IF(HLOOKUP(F$13,'MP (nominal)'!$D$12:$AM$244,ROW()-12,FALSE)="","",HLOOKUP(F$13,'MP (nominal)'!$D$12:$AM$244,ROW()-12,FALSE))</f>
        <v>3535</v>
      </c>
      <c r="G201" s="281" t="str">
        <f>IF(HLOOKUP(G$13,'MP (nominal)'!$D$12:$AM$244,ROW()-12,FALSE)="","",HLOOKUP(G$13,'MP (nominal)'!$D$12:$AM$244,ROW()-12,FALSE))</f>
        <v/>
      </c>
      <c r="H201" s="27">
        <f>IF(HLOOKUP(H$13,'MP (nominal)'!$D$12:$AM$244,ROW()-12,FALSE)="","",HLOOKUP(H$13,'MP (nominal)'!$D$12:$AM$244,ROW()-12,FALSE))</f>
        <v>9376</v>
      </c>
      <c r="I201" s="31" t="str">
        <f>IF(HLOOKUP(I$13,'MP (nominal)'!$D$12:$AM$244,ROW()-12,FALSE)="","",HLOOKUP(I$13,'MP (nominal)'!$D$12:$AM$244,ROW()-12,FALSE))</f>
        <v/>
      </c>
      <c r="J201" s="31">
        <f>IF(HLOOKUP(J$13,'MP (nominal)'!$D$12:$AM$244,ROW()-12,FALSE)="","",HLOOKUP(J$13,'MP (nominal)'!$D$12:$AM$244,ROW()-12,FALSE))</f>
        <v>5841</v>
      </c>
      <c r="K201" s="281"/>
      <c r="L201" s="27">
        <f>IF(HLOOKUP(L$13,'MP (nominal)'!$D$12:$AM$244,ROW()-12,FALSE)="","",HLOOKUP(L$13,'MP (nominal)'!$D$12:$AM$244,ROW()-12,FALSE))</f>
        <v>318.88200000000001</v>
      </c>
      <c r="M201" s="293">
        <f>IF(HLOOKUP(M$13,'MP (nominal)'!$D$12:$AM$244,ROW()-12,FALSE)="","",HLOOKUP(M$13,'MP (nominal)'!$D$12:$AM$244,ROW()-12,FALSE))</f>
        <v>1592.5117829999999</v>
      </c>
      <c r="N201" s="35"/>
      <c r="O201" s="27">
        <f>IF(HLOOKUP(O$13,'MP (nominal)'!$D$12:$AM$244,ROW()-12,FALSE)="","",HLOOKUP(O$13,'MP (nominal)'!$D$12:$AM$244,ROW()-12,FALSE))</f>
        <v>105819</v>
      </c>
      <c r="P201" s="31"/>
      <c r="Q201" s="281"/>
      <c r="R201" s="281">
        <f>IF(HLOOKUP(R$13,'MP (nominal)'!$D$12:$AM$244,ROW()-12,FALSE)="","",HLOOKUP(R$13,'MP (nominal)'!$D$12:$AM$244,ROW()-12,FALSE))</f>
        <v>140</v>
      </c>
      <c r="S201" s="281" t="str">
        <f>IF(HLOOKUP(S$13,'MP (nominal)'!$D$12:$AM$244,ROW()-12,FALSE)="","",HLOOKUP(S$13,'MP (nominal)'!$D$12:$AM$244,ROW()-12,FALSE))</f>
        <v/>
      </c>
      <c r="T201" s="281" t="str">
        <f>IF(HLOOKUP(T$13,'MP (nominal)'!$D$12:$AM$244,ROW()-12,FALSE)="","",HLOOKUP(T$13,'MP (nominal)'!$D$12:$AM$244,ROW()-12,FALSE))</f>
        <v/>
      </c>
      <c r="U201" s="281"/>
      <c r="V201" s="281">
        <f>IF(HLOOKUP(V$13,'MP (nominal)'!$D$12:$AM$244,ROW()-12,FALSE)="","",HLOOKUP(V$13,'MP (nominal)'!$D$12:$AM$244,ROW()-12,FALSE))</f>
        <v>2.15</v>
      </c>
      <c r="W201" s="281" t="str">
        <f>IF(HLOOKUP(W$13,'MP (nominal)'!$D$12:$AM$244,ROW()-12,FALSE)="","",HLOOKUP(W$13,'MP (nominal)'!$D$12:$AM$244,ROW()-12,FALSE))</f>
        <v/>
      </c>
      <c r="X201" s="281" t="str">
        <f>IF(HLOOKUP(X$13,'MP (nominal)'!$D$12:$AM$244,ROW()-12,FALSE)="","",HLOOKUP(X$13,'MP (nominal)'!$D$12:$AM$244,ROW()-12,FALSE))</f>
        <v/>
      </c>
      <c r="Y201" s="281"/>
      <c r="Z201" s="281" t="str">
        <f>IF(HLOOKUP(Z$13,'MP (nominal)'!$D$12:$AM$244,ROW()-12,FALSE)="","",HLOOKUP(Z$13,'MP (nominal)'!$D$12:$AM$244,ROW()-12,FALSE)*VLOOKUP($C201,CPI!$B$9:$I$63,8))</f>
        <v/>
      </c>
      <c r="AA201" s="281" t="str">
        <f>IF(HLOOKUP(AA$13,'MP (nominal)'!$D$12:$AM$244,ROW()-12,FALSE)="","",HLOOKUP(AA$13,'MP (nominal)'!$D$12:$AM$244,ROW()-12,FALSE))</f>
        <v/>
      </c>
      <c r="AB201" s="281" t="str">
        <f>IF(HLOOKUP(AB$13,'MP (nominal)'!$D$12:$AM$244,ROW()-12,FALSE)="","",HLOOKUP(AB$13,'MP (nominal)'!$D$12:$AM$244,ROW()-12,FALSE))</f>
        <v/>
      </c>
      <c r="AC201" s="281"/>
      <c r="AD201" s="281" t="str">
        <f>IF(HLOOKUP(AD$13,'MP (nominal)'!$D$12:$AM$244,ROW()-12,FALSE)="","",HLOOKUP(AD$13,'MP (nominal)'!$D$12:$AM$244,ROW()-12,FALSE)*VLOOKUP($C201,CPI!$B$9:$I$63,8))</f>
        <v/>
      </c>
      <c r="AE201" s="31" t="str">
        <f>IF(HLOOKUP(AE$13,'MP (nominal)'!$D$12:$AM$244,ROW()-12,FALSE)="","",HLOOKUP(AE$13,'MP (nominal)'!$D$12:$AM$244,ROW()-12,FALSE))</f>
        <v/>
      </c>
      <c r="AF201" s="31" t="str">
        <f>IF(HLOOKUP(AF$13,'MP (nominal)'!$D$12:$AM$244,ROW()-12,FALSE)="","",HLOOKUP(AF$13,'MP (nominal)'!$D$12:$AM$244,ROW()-12,FALSE))</f>
        <v/>
      </c>
      <c r="AG201" s="281"/>
      <c r="AH201" s="281" t="str">
        <f>IF(HLOOKUP(AH$13,'MP (nominal)'!$D$12:$AM$244,ROW()-12,FALSE)="","",HLOOKUP(AH$13,'MP (nominal)'!$D$12:$AM$244,ROW()-12,FALSE)*VLOOKUP($C201,CPI!$B$9:$I$63,8))</f>
        <v/>
      </c>
      <c r="AI201" s="31" t="str">
        <f>IF(HLOOKUP(AI$13,'MP (nominal)'!$D$12:$AM$244,ROW()-12,FALSE)="","",HLOOKUP(AI$13,'MP (nominal)'!$D$12:$AM$244,ROW()-12,FALSE))</f>
        <v/>
      </c>
      <c r="AJ201" s="31" t="str">
        <f>IF(HLOOKUP(AJ$13,'MP (nominal)'!$D$12:$AM$244,ROW()-12,FALSE)="","",HLOOKUP(AJ$13,'MP (nominal)'!$D$12:$AM$244,ROW()-12,FALSE))</f>
        <v/>
      </c>
      <c r="AK201" s="281"/>
      <c r="AL201" s="281" t="str">
        <f>IF(HLOOKUP(AL$13,'MP (nominal)'!$D$12:$AM$244,ROW()-12,FALSE)="","",HLOOKUP(AL$13,'MP (nominal)'!$D$12:$AM$244,ROW()-12,FALSE)*VLOOKUP($C201,CPI!$B$9:$I$63,8))</f>
        <v/>
      </c>
      <c r="AM201" s="31" t="str">
        <f>IF(HLOOKUP(AM$13,'MP (nominal)'!$D$12:$AM$244,ROW()-12,FALSE)="","",HLOOKUP(AM$13,'MP (nominal)'!$D$12:$AM$244,ROW()-12,FALSE))</f>
        <v/>
      </c>
      <c r="AN201" s="31" t="str">
        <f>IF(HLOOKUP(AN$13,'MP (nominal)'!$D$12:$AM$244,ROW()-12,FALSE)="","",HLOOKUP(AN$13,'MP (nominal)'!$D$12:$AM$244,ROW()-12,FALSE))</f>
        <v/>
      </c>
      <c r="AO201" s="281"/>
      <c r="AP201" s="281" t="str">
        <f>IF(HLOOKUP(AP$13,'MP (nominal)'!$D$12:$AM$244,ROW()-12,FALSE)="","",HLOOKUP(AP$13,'MP (nominal)'!$D$12:$AM$244,ROW()-12,FALSE)*VLOOKUP($C201,CPI!$B$9:$I$63,8))</f>
        <v/>
      </c>
      <c r="AQ201" s="31" t="str">
        <f>IF(HLOOKUP(AQ$13,'MP (nominal)'!$D$12:$AM$244,ROW()-12,FALSE)="","",HLOOKUP(AQ$13,'MP (nominal)'!$D$12:$AM$244,ROW()-12,FALSE))</f>
        <v/>
      </c>
      <c r="AR201" s="281" t="str">
        <f>IF(HLOOKUP(AR$13,'MP (nominal)'!$D$12:$AM$244,ROW()-12,FALSE)="","",HLOOKUP(AR$13,'MP (nominal)'!$D$12:$AM$244,ROW()-12,FALSE))</f>
        <v/>
      </c>
    </row>
    <row r="202" spans="1:44" s="278" customFormat="1">
      <c r="A202" s="271">
        <f>References!G281</f>
        <v>534</v>
      </c>
      <c r="B202" s="292" t="s">
        <v>52</v>
      </c>
      <c r="C202" s="284">
        <v>2008</v>
      </c>
      <c r="D202" s="27">
        <f>IF(HLOOKUP(D$13,'MP (nominal)'!$D$12:$AM$244,ROW()-12,FALSE)="","",HLOOKUP(D$13,'MP (nominal)'!$D$12:$AM$244,ROW()-12,FALSE))</f>
        <v>5558.2830000000004</v>
      </c>
      <c r="E202" s="281">
        <f>IF(HLOOKUP(E$13,'MP (nominal)'!$D$12:$AM$244,ROW()-12,FALSE)="","",HLOOKUP(E$13,'MP (nominal)'!$D$12:$AM$244,ROW()-12,FALSE))</f>
        <v>383.39600000000002</v>
      </c>
      <c r="F202" s="27">
        <f>IF(HLOOKUP(F$13,'MP (nominal)'!$D$12:$AM$244,ROW()-12,FALSE)="","",HLOOKUP(F$13,'MP (nominal)'!$D$12:$AM$244,ROW()-12,FALSE))</f>
        <v>3380.643</v>
      </c>
      <c r="G202" s="281">
        <f>IF(HLOOKUP(G$13,'MP (nominal)'!$D$12:$AM$244,ROW()-12,FALSE)="","",HLOOKUP(G$13,'MP (nominal)'!$D$12:$AM$244,ROW()-12,FALSE))</f>
        <v>1214.383</v>
      </c>
      <c r="H202" s="27">
        <f>IF(HLOOKUP(H$13,'MP (nominal)'!$D$12:$AM$244,ROW()-12,FALSE)="","",HLOOKUP(H$13,'MP (nominal)'!$D$12:$AM$244,ROW()-12,FALSE))</f>
        <v>7854</v>
      </c>
      <c r="I202" s="31">
        <f>IF(HLOOKUP(I$13,'MP (nominal)'!$D$12:$AM$244,ROW()-12,FALSE)="","",HLOOKUP(I$13,'MP (nominal)'!$D$12:$AM$244,ROW()-12,FALSE))</f>
        <v>1597.779</v>
      </c>
      <c r="J202" s="31">
        <f>IF(HLOOKUP(J$13,'MP (nominal)'!$D$12:$AM$244,ROW()-12,FALSE)="","",HLOOKUP(J$13,'MP (nominal)'!$D$12:$AM$244,ROW()-12,FALSE))</f>
        <v>5558.2830000000004</v>
      </c>
      <c r="K202" s="281"/>
      <c r="L202" s="27">
        <f>IF(HLOOKUP(L$13,'MP (nominal)'!$D$12:$AM$244,ROW()-12,FALSE)="","",HLOOKUP(L$13,'MP (nominal)'!$D$12:$AM$244,ROW()-12,FALSE))</f>
        <v>332.55811999999997</v>
      </c>
      <c r="M202" s="283">
        <f>IF(HLOOKUP(M$13,'MP (nominal)'!$D$12:$AM$244,ROW()-12,FALSE)="","",HLOOKUP(M$13,'MP (nominal)'!$D$12:$AM$244,ROW()-12,FALSE))</f>
        <v>1569.0325</v>
      </c>
      <c r="N202" s="35"/>
      <c r="O202" s="27">
        <f>IF(HLOOKUP(O$13,'MP (nominal)'!$D$12:$AM$244,ROW()-12,FALSE)="","",HLOOKUP(O$13,'MP (nominal)'!$D$12:$AM$244,ROW()-12,FALSE))</f>
        <v>108140</v>
      </c>
      <c r="P202" s="31"/>
      <c r="Q202" s="281"/>
      <c r="R202" s="281">
        <f>IF(HLOOKUP(R$13,'MP (nominal)'!$D$12:$AM$244,ROW()-12,FALSE)="","",HLOOKUP(R$13,'MP (nominal)'!$D$12:$AM$244,ROW()-12,FALSE))</f>
        <v>117.8</v>
      </c>
      <c r="S202" s="281">
        <f>IF(HLOOKUP(S$13,'MP (nominal)'!$D$12:$AM$244,ROW()-12,FALSE)="","",HLOOKUP(S$13,'MP (nominal)'!$D$12:$AM$244,ROW()-12,FALSE))</f>
        <v>39.158155000000001</v>
      </c>
      <c r="T202" s="281">
        <f>IF(HLOOKUP(T$13,'MP (nominal)'!$D$12:$AM$244,ROW()-12,FALSE)="","",HLOOKUP(T$13,'MP (nominal)'!$D$12:$AM$244,ROW()-12,FALSE))</f>
        <v>78.640552</v>
      </c>
      <c r="U202" s="281"/>
      <c r="V202" s="281">
        <f>IF(HLOOKUP(V$13,'MP (nominal)'!$D$12:$AM$244,ROW()-12,FALSE)="","",HLOOKUP(V$13,'MP (nominal)'!$D$12:$AM$244,ROW()-12,FALSE))</f>
        <v>2.02</v>
      </c>
      <c r="W202" s="281">
        <f>IF(HLOOKUP(W$13,'MP (nominal)'!$D$12:$AM$244,ROW()-12,FALSE)="","",HLOOKUP(W$13,'MP (nominal)'!$D$12:$AM$244,ROW()-12,FALSE))</f>
        <v>0.286885</v>
      </c>
      <c r="X202" s="281">
        <f>IF(HLOOKUP(X$13,'MP (nominal)'!$D$12:$AM$244,ROW()-12,FALSE)="","",HLOOKUP(X$13,'MP (nominal)'!$D$12:$AM$244,ROW()-12,FALSE))</f>
        <v>1.7377</v>
      </c>
      <c r="Y202" s="281"/>
      <c r="Z202" s="281">
        <f>IF(HLOOKUP(Z$13,'MP (nominal)'!$D$12:$AM$244,ROW()-12,FALSE)="","",HLOOKUP(Z$13,'MP (nominal)'!$D$12:$AM$244,ROW()-12,FALSE)*VLOOKUP($C202,CPI!$B$9:$I$63,8))</f>
        <v>57945.755335747475</v>
      </c>
      <c r="AA202" s="281">
        <f>IF(HLOOKUP(AA$13,'MP (nominal)'!$D$12:$AM$244,ROW()-12,FALSE)="","",HLOOKUP(AA$13,'MP (nominal)'!$D$12:$AM$244,ROW()-12,FALSE))</f>
        <v>750545.47</v>
      </c>
      <c r="AB202" s="281">
        <f>IF(HLOOKUP(AB$13,'MP (nominal)'!$D$12:$AM$244,ROW()-12,FALSE)="","",HLOOKUP(AB$13,'MP (nominal)'!$D$12:$AM$244,ROW()-12,FALSE))</f>
        <v>101650</v>
      </c>
      <c r="AC202" s="281"/>
      <c r="AD202" s="281">
        <f>IF(HLOOKUP(AD$13,'MP (nominal)'!$D$12:$AM$244,ROW()-12,FALSE)="","",HLOOKUP(AD$13,'MP (nominal)'!$D$12:$AM$244,ROW()-12,FALSE)*VLOOKUP($C202,CPI!$B$9:$I$63,8))</f>
        <v>21414.792244304408</v>
      </c>
      <c r="AE202" s="31">
        <f>IF(HLOOKUP(AE$13,'MP (nominal)'!$D$12:$AM$244,ROW()-12,FALSE)="","",HLOOKUP(AE$13,'MP (nominal)'!$D$12:$AM$244,ROW()-12,FALSE))</f>
        <v>367794.33</v>
      </c>
      <c r="AF202" s="31">
        <f>IF(HLOOKUP(AF$13,'MP (nominal)'!$D$12:$AM$244,ROW()-12,FALSE)="","",HLOOKUP(AF$13,'MP (nominal)'!$D$12:$AM$244,ROW()-12,FALSE))</f>
        <v>6136</v>
      </c>
      <c r="AG202" s="281"/>
      <c r="AH202" s="281">
        <f>IF(HLOOKUP(AH$13,'MP (nominal)'!$D$12:$AM$244,ROW()-12,FALSE)="","",HLOOKUP(AH$13,'MP (nominal)'!$D$12:$AM$244,ROW()-12,FALSE)*VLOOKUP($C202,CPI!$B$9:$I$63,8))</f>
        <v>10967.951019360724</v>
      </c>
      <c r="AI202" s="31">
        <f>IF(HLOOKUP(AI$13,'MP (nominal)'!$D$12:$AM$244,ROW()-12,FALSE)="","",HLOOKUP(AI$13,'MP (nominal)'!$D$12:$AM$244,ROW()-12,FALSE))</f>
        <v>357692.48</v>
      </c>
      <c r="AJ202" s="31">
        <f>IF(HLOOKUP(AJ$13,'MP (nominal)'!$D$12:$AM$244,ROW()-12,FALSE)="","",HLOOKUP(AJ$13,'MP (nominal)'!$D$12:$AM$244,ROW()-12,FALSE))</f>
        <v>349</v>
      </c>
      <c r="AK202" s="281"/>
      <c r="AL202" s="281">
        <f>IF(HLOOKUP(AL$13,'MP (nominal)'!$D$12:$AM$244,ROW()-12,FALSE)="","",HLOOKUP(AL$13,'MP (nominal)'!$D$12:$AM$244,ROW()-12,FALSE)*VLOOKUP($C202,CPI!$B$9:$I$63,8))</f>
        <v>2947.2307975250205</v>
      </c>
      <c r="AM202" s="31">
        <f>IF(HLOOKUP(AM$13,'MP (nominal)'!$D$12:$AM$244,ROW()-12,FALSE)="","",HLOOKUP(AM$13,'MP (nominal)'!$D$12:$AM$244,ROW()-12,FALSE))</f>
        <v>93000.197</v>
      </c>
      <c r="AN202" s="31">
        <f>IF(HLOOKUP(AN$13,'MP (nominal)'!$D$12:$AM$244,ROW()-12,FALSE)="","",HLOOKUP(AN$13,'MP (nominal)'!$D$12:$AM$244,ROW()-12,FALSE))</f>
        <v>5</v>
      </c>
      <c r="AO202" s="281"/>
      <c r="AP202" s="281">
        <f>IF(HLOOKUP(AP$13,'MP (nominal)'!$D$12:$AM$244,ROW()-12,FALSE)="","",HLOOKUP(AP$13,'MP (nominal)'!$D$12:$AM$244,ROW()-12,FALSE)*VLOOKUP($C202,CPI!$B$9:$I$63,8))</f>
        <v>93275.729396937633</v>
      </c>
      <c r="AQ202" s="31">
        <f>IF(HLOOKUP(AQ$13,'MP (nominal)'!$D$12:$AM$244,ROW()-12,FALSE)="","",HLOOKUP(AQ$13,'MP (nominal)'!$D$12:$AM$244,ROW()-12,FALSE))</f>
        <v>1569032.5</v>
      </c>
      <c r="AR202" s="281">
        <f>IF(HLOOKUP(AR$13,'MP (nominal)'!$D$12:$AM$244,ROW()-12,FALSE)="","",HLOOKUP(AR$13,'MP (nominal)'!$D$12:$AM$244,ROW()-12,FALSE))</f>
        <v>108140</v>
      </c>
    </row>
    <row r="203" spans="1:44" s="278" customFormat="1">
      <c r="A203" s="271">
        <f>References!H281</f>
        <v>535</v>
      </c>
      <c r="B203" s="292" t="s">
        <v>52</v>
      </c>
      <c r="C203" s="284">
        <v>2009</v>
      </c>
      <c r="D203" s="27">
        <f>IF(HLOOKUP(D$13,'MP (nominal)'!$D$12:$AM$244,ROW()-12,FALSE)="","",HLOOKUP(D$13,'MP (nominal)'!$D$12:$AM$244,ROW()-12,FALSE))</f>
        <v>5846.393</v>
      </c>
      <c r="E203" s="281">
        <f>IF(HLOOKUP(E$13,'MP (nominal)'!$D$12:$AM$244,ROW()-12,FALSE)="","",HLOOKUP(E$13,'MP (nominal)'!$D$12:$AM$244,ROW()-12,FALSE))</f>
        <v>382.40199999999999</v>
      </c>
      <c r="F203" s="27">
        <f>IF(HLOOKUP(F$13,'MP (nominal)'!$D$12:$AM$244,ROW()-12,FALSE)="","",HLOOKUP(F$13,'MP (nominal)'!$D$12:$AM$244,ROW()-12,FALSE))</f>
        <v>3663.942</v>
      </c>
      <c r="G203" s="281">
        <f>IF(HLOOKUP(G$13,'MP (nominal)'!$D$12:$AM$244,ROW()-12,FALSE)="","",HLOOKUP(G$13,'MP (nominal)'!$D$12:$AM$244,ROW()-12,FALSE))</f>
        <v>1232.902</v>
      </c>
      <c r="H203" s="27">
        <f>IF(HLOOKUP(H$13,'MP (nominal)'!$D$12:$AM$244,ROW()-12,FALSE)="","",HLOOKUP(H$13,'MP (nominal)'!$D$12:$AM$244,ROW()-12,FALSE))</f>
        <v>7895</v>
      </c>
      <c r="I203" s="31">
        <f>IF(HLOOKUP(I$13,'MP (nominal)'!$D$12:$AM$244,ROW()-12,FALSE)="","",HLOOKUP(I$13,'MP (nominal)'!$D$12:$AM$244,ROW()-12,FALSE))</f>
        <v>1615.3040000000001</v>
      </c>
      <c r="J203" s="31">
        <f>IF(HLOOKUP(J$13,'MP (nominal)'!$D$12:$AM$244,ROW()-12,FALSE)="","",HLOOKUP(J$13,'MP (nominal)'!$D$12:$AM$244,ROW()-12,FALSE))</f>
        <v>5846.393</v>
      </c>
      <c r="K203" s="281"/>
      <c r="L203" s="27">
        <f>IF(HLOOKUP(L$13,'MP (nominal)'!$D$12:$AM$244,ROW()-12,FALSE)="","",HLOOKUP(L$13,'MP (nominal)'!$D$12:$AM$244,ROW()-12,FALSE))</f>
        <v>341.93299999999999</v>
      </c>
      <c r="M203" s="283">
        <f>IF(HLOOKUP(M$13,'MP (nominal)'!$D$12:$AM$244,ROW()-12,FALSE)="","",HLOOKUP(M$13,'MP (nominal)'!$D$12:$AM$244,ROW()-12,FALSE))</f>
        <v>1562.5137</v>
      </c>
      <c r="N203" s="35"/>
      <c r="O203" s="27">
        <f>IF(HLOOKUP(O$13,'MP (nominal)'!$D$12:$AM$244,ROW()-12,FALSE)="","",HLOOKUP(O$13,'MP (nominal)'!$D$12:$AM$244,ROW()-12,FALSE))</f>
        <v>107484</v>
      </c>
      <c r="P203" s="31"/>
      <c r="Q203" s="281"/>
      <c r="R203" s="281">
        <f>IF(HLOOKUP(R$13,'MP (nominal)'!$D$12:$AM$244,ROW()-12,FALSE)="","",HLOOKUP(R$13,'MP (nominal)'!$D$12:$AM$244,ROW()-12,FALSE))</f>
        <v>129.24463</v>
      </c>
      <c r="S203" s="281">
        <f>IF(HLOOKUP(S$13,'MP (nominal)'!$D$12:$AM$244,ROW()-12,FALSE)="","",HLOOKUP(S$13,'MP (nominal)'!$D$12:$AM$244,ROW()-12,FALSE))</f>
        <v>50.878197</v>
      </c>
      <c r="T203" s="281">
        <f>IF(HLOOKUP(T$13,'MP (nominal)'!$D$12:$AM$244,ROW()-12,FALSE)="","",HLOOKUP(T$13,'MP (nominal)'!$D$12:$AM$244,ROW()-12,FALSE))</f>
        <v>78.366433000000001</v>
      </c>
      <c r="U203" s="281"/>
      <c r="V203" s="281">
        <f>IF(HLOOKUP(V$13,'MP (nominal)'!$D$12:$AM$244,ROW()-12,FALSE)="","",HLOOKUP(V$13,'MP (nominal)'!$D$12:$AM$244,ROW()-12,FALSE))</f>
        <v>2.0699540000000001</v>
      </c>
      <c r="W203" s="281">
        <f>IF(HLOOKUP(W$13,'MP (nominal)'!$D$12:$AM$244,ROW()-12,FALSE)="","",HLOOKUP(W$13,'MP (nominal)'!$D$12:$AM$244,ROW()-12,FALSE))</f>
        <v>0.24682200000000001</v>
      </c>
      <c r="X203" s="281">
        <f>IF(HLOOKUP(X$13,'MP (nominal)'!$D$12:$AM$244,ROW()-12,FALSE)="","",HLOOKUP(X$13,'MP (nominal)'!$D$12:$AM$244,ROW()-12,FALSE))</f>
        <v>1.823132</v>
      </c>
      <c r="Y203" s="281"/>
      <c r="Z203" s="281">
        <f>IF(HLOOKUP(Z$13,'MP (nominal)'!$D$12:$AM$244,ROW()-12,FALSE)="","",HLOOKUP(Z$13,'MP (nominal)'!$D$12:$AM$244,ROW()-12,FALSE)*VLOOKUP($C203,CPI!$B$9:$I$63,8))</f>
        <v>59164.81186684053</v>
      </c>
      <c r="AA203" s="281">
        <f>IF(HLOOKUP(AA$13,'MP (nominal)'!$D$12:$AM$244,ROW()-12,FALSE)="","",HLOOKUP(AA$13,'MP (nominal)'!$D$12:$AM$244,ROW()-12,FALSE))</f>
        <v>746504.33</v>
      </c>
      <c r="AB203" s="281">
        <f>IF(HLOOKUP(AB$13,'MP (nominal)'!$D$12:$AM$244,ROW()-12,FALSE)="","",HLOOKUP(AB$13,'MP (nominal)'!$D$12:$AM$244,ROW()-12,FALSE))</f>
        <v>100901</v>
      </c>
      <c r="AC203" s="281"/>
      <c r="AD203" s="281">
        <f>IF(HLOOKUP(AD$13,'MP (nominal)'!$D$12:$AM$244,ROW()-12,FALSE)="","",HLOOKUP(AD$13,'MP (nominal)'!$D$12:$AM$244,ROW()-12,FALSE)*VLOOKUP($C203,CPI!$B$9:$I$63,8))</f>
        <v>19640.567870135212</v>
      </c>
      <c r="AE203" s="31">
        <f>IF(HLOOKUP(AE$13,'MP (nominal)'!$D$12:$AM$244,ROW()-12,FALSE)="","",HLOOKUP(AE$13,'MP (nominal)'!$D$12:$AM$244,ROW()-12,FALSE))</f>
        <v>321798.46000000002</v>
      </c>
      <c r="AF203" s="31">
        <f>IF(HLOOKUP(AF$13,'MP (nominal)'!$D$12:$AM$244,ROW()-12,FALSE)="","",HLOOKUP(AF$13,'MP (nominal)'!$D$12:$AM$244,ROW()-12,FALSE))</f>
        <v>6205</v>
      </c>
      <c r="AG203" s="281"/>
      <c r="AH203" s="281">
        <f>IF(HLOOKUP(AH$13,'MP (nominal)'!$D$12:$AM$244,ROW()-12,FALSE)="","",HLOOKUP(AH$13,'MP (nominal)'!$D$12:$AM$244,ROW()-12,FALSE)*VLOOKUP($C203,CPI!$B$9:$I$63,8))</f>
        <v>12617.899530509983</v>
      </c>
      <c r="AI203" s="31">
        <f>IF(HLOOKUP(AI$13,'MP (nominal)'!$D$12:$AM$244,ROW()-12,FALSE)="","",HLOOKUP(AI$13,'MP (nominal)'!$D$12:$AM$244,ROW()-12,FALSE))</f>
        <v>401616.11</v>
      </c>
      <c r="AJ203" s="31">
        <f>IF(HLOOKUP(AJ$13,'MP (nominal)'!$D$12:$AM$244,ROW()-12,FALSE)="","",HLOOKUP(AJ$13,'MP (nominal)'!$D$12:$AM$244,ROW()-12,FALSE))</f>
        <v>373</v>
      </c>
      <c r="AK203" s="281"/>
      <c r="AL203" s="281">
        <f>IF(HLOOKUP(AL$13,'MP (nominal)'!$D$12:$AM$244,ROW()-12,FALSE)="","",HLOOKUP(AL$13,'MP (nominal)'!$D$12:$AM$244,ROW()-12,FALSE)*VLOOKUP($C203,CPI!$B$9:$I$63,8))</f>
        <v>2005.0704507104119</v>
      </c>
      <c r="AM203" s="31">
        <f>IF(HLOOKUP(AM$13,'MP (nominal)'!$D$12:$AM$244,ROW()-12,FALSE)="","",HLOOKUP(AM$13,'MP (nominal)'!$D$12:$AM$244,ROW()-12,FALSE))</f>
        <v>92594.846999999994</v>
      </c>
      <c r="AN203" s="31">
        <f>IF(HLOOKUP(AN$13,'MP (nominal)'!$D$12:$AM$244,ROW()-12,FALSE)="","",HLOOKUP(AN$13,'MP (nominal)'!$D$12:$AM$244,ROW()-12,FALSE))</f>
        <v>5</v>
      </c>
      <c r="AO203" s="281"/>
      <c r="AP203" s="281">
        <f>IF(HLOOKUP(AP$13,'MP (nominal)'!$D$12:$AM$244,ROW()-12,FALSE)="","",HLOOKUP(AP$13,'MP (nominal)'!$D$12:$AM$244,ROW()-12,FALSE)*VLOOKUP($C203,CPI!$B$9:$I$63,8))</f>
        <v>93428.34961438668</v>
      </c>
      <c r="AQ203" s="31">
        <f>IF(HLOOKUP(AQ$13,'MP (nominal)'!$D$12:$AM$244,ROW()-12,FALSE)="","",HLOOKUP(AQ$13,'MP (nominal)'!$D$12:$AM$244,ROW()-12,FALSE))</f>
        <v>1562513.7</v>
      </c>
      <c r="AR203" s="281">
        <f>IF(HLOOKUP(AR$13,'MP (nominal)'!$D$12:$AM$244,ROW()-12,FALSE)="","",HLOOKUP(AR$13,'MP (nominal)'!$D$12:$AM$244,ROW()-12,FALSE))</f>
        <v>107484</v>
      </c>
    </row>
    <row r="204" spans="1:44" s="278" customFormat="1">
      <c r="A204" s="271">
        <f>References!I281</f>
        <v>536</v>
      </c>
      <c r="B204" s="292" t="s">
        <v>52</v>
      </c>
      <c r="C204" s="284">
        <v>2010</v>
      </c>
      <c r="D204" s="27">
        <f>IF(HLOOKUP(D$13,'MP (nominal)'!$D$12:$AM$244,ROW()-12,FALSE)="","",HLOOKUP(D$13,'MP (nominal)'!$D$12:$AM$244,ROW()-12,FALSE))</f>
        <v>5870.63</v>
      </c>
      <c r="E204" s="281">
        <f>IF(HLOOKUP(E$13,'MP (nominal)'!$D$12:$AM$244,ROW()-12,FALSE)="","",HLOOKUP(E$13,'MP (nominal)'!$D$12:$AM$244,ROW()-12,FALSE))</f>
        <v>379.43</v>
      </c>
      <c r="F204" s="27">
        <f>IF(HLOOKUP(F$13,'MP (nominal)'!$D$12:$AM$244,ROW()-12,FALSE)="","",HLOOKUP(F$13,'MP (nominal)'!$D$12:$AM$244,ROW()-12,FALSE))</f>
        <v>3700.46</v>
      </c>
      <c r="G204" s="281">
        <f>IF(HLOOKUP(G$13,'MP (nominal)'!$D$12:$AM$244,ROW()-12,FALSE)="","",HLOOKUP(G$13,'MP (nominal)'!$D$12:$AM$244,ROW()-12,FALSE))</f>
        <v>1242.48</v>
      </c>
      <c r="H204" s="27">
        <f>IF(HLOOKUP(H$13,'MP (nominal)'!$D$12:$AM$244,ROW()-12,FALSE)="","",HLOOKUP(H$13,'MP (nominal)'!$D$12:$AM$244,ROW()-12,FALSE))</f>
        <v>7949</v>
      </c>
      <c r="I204" s="31">
        <f>IF(HLOOKUP(I$13,'MP (nominal)'!$D$12:$AM$244,ROW()-12,FALSE)="","",HLOOKUP(I$13,'MP (nominal)'!$D$12:$AM$244,ROW()-12,FALSE))</f>
        <v>1621.91</v>
      </c>
      <c r="J204" s="31">
        <f>IF(HLOOKUP(J$13,'MP (nominal)'!$D$12:$AM$244,ROW()-12,FALSE)="","",HLOOKUP(J$13,'MP (nominal)'!$D$12:$AM$244,ROW()-12,FALSE))</f>
        <v>5870.63</v>
      </c>
      <c r="K204" s="281"/>
      <c r="L204" s="27">
        <f>IF(HLOOKUP(L$13,'MP (nominal)'!$D$12:$AM$244,ROW()-12,FALSE)="","",HLOOKUP(L$13,'MP (nominal)'!$D$12:$AM$244,ROW()-12,FALSE))</f>
        <v>318.7</v>
      </c>
      <c r="M204" s="283">
        <f>IF(HLOOKUP(M$13,'MP (nominal)'!$D$12:$AM$244,ROW()-12,FALSE)="","",HLOOKUP(M$13,'MP (nominal)'!$D$12:$AM$244,ROW()-12,FALSE))</f>
        <v>1598.8055999999999</v>
      </c>
      <c r="N204" s="35"/>
      <c r="O204" s="27">
        <f>IF(HLOOKUP(O$13,'MP (nominal)'!$D$12:$AM$244,ROW()-12,FALSE)="","",HLOOKUP(O$13,'MP (nominal)'!$D$12:$AM$244,ROW()-12,FALSE))</f>
        <v>108212</v>
      </c>
      <c r="P204" s="31"/>
      <c r="Q204" s="281"/>
      <c r="R204" s="281">
        <f>IF(HLOOKUP(R$13,'MP (nominal)'!$D$12:$AM$244,ROW()-12,FALSE)="","",HLOOKUP(R$13,'MP (nominal)'!$D$12:$AM$244,ROW()-12,FALSE))</f>
        <v>110.88</v>
      </c>
      <c r="S204" s="281">
        <f>IF(HLOOKUP(S$13,'MP (nominal)'!$D$12:$AM$244,ROW()-12,FALSE)="","",HLOOKUP(S$13,'MP (nominal)'!$D$12:$AM$244,ROW()-12,FALSE))</f>
        <v>38.04</v>
      </c>
      <c r="T204" s="281">
        <f>IF(HLOOKUP(T$13,'MP (nominal)'!$D$12:$AM$244,ROW()-12,FALSE)="","",HLOOKUP(T$13,'MP (nominal)'!$D$12:$AM$244,ROW()-12,FALSE))</f>
        <v>72.84</v>
      </c>
      <c r="U204" s="281"/>
      <c r="V204" s="281">
        <f>IF(HLOOKUP(V$13,'MP (nominal)'!$D$12:$AM$244,ROW()-12,FALSE)="","",HLOOKUP(V$13,'MP (nominal)'!$D$12:$AM$244,ROW()-12,FALSE))</f>
        <v>1.59</v>
      </c>
      <c r="W204" s="281">
        <f>IF(HLOOKUP(W$13,'MP (nominal)'!$D$12:$AM$244,ROW()-12,FALSE)="","",HLOOKUP(W$13,'MP (nominal)'!$D$12:$AM$244,ROW()-12,FALSE))</f>
        <v>0.2</v>
      </c>
      <c r="X204" s="281">
        <f>IF(HLOOKUP(X$13,'MP (nominal)'!$D$12:$AM$244,ROW()-12,FALSE)="","",HLOOKUP(X$13,'MP (nominal)'!$D$12:$AM$244,ROW()-12,FALSE))</f>
        <v>1.39</v>
      </c>
      <c r="Y204" s="281"/>
      <c r="Z204" s="281">
        <f>IF(HLOOKUP(Z$13,'MP (nominal)'!$D$12:$AM$244,ROW()-12,FALSE)="","",HLOOKUP(Z$13,'MP (nominal)'!$D$12:$AM$244,ROW()-12,FALSE)*VLOOKUP($C204,CPI!$B$9:$I$63,8))</f>
        <v>69113.707038344422</v>
      </c>
      <c r="AA204" s="281">
        <f>IF(HLOOKUP(AA$13,'MP (nominal)'!$D$12:$AM$244,ROW()-12,FALSE)="","",HLOOKUP(AA$13,'MP (nominal)'!$D$12:$AM$244,ROW()-12,FALSE))</f>
        <v>783137.64</v>
      </c>
      <c r="AB204" s="281">
        <f>IF(HLOOKUP(AB$13,'MP (nominal)'!$D$12:$AM$244,ROW()-12,FALSE)="","",HLOOKUP(AB$13,'MP (nominal)'!$D$12:$AM$244,ROW()-12,FALSE))</f>
        <v>101241</v>
      </c>
      <c r="AC204" s="281"/>
      <c r="AD204" s="281">
        <f>IF(HLOOKUP(AD$13,'MP (nominal)'!$D$12:$AM$244,ROW()-12,FALSE)="","",HLOOKUP(AD$13,'MP (nominal)'!$D$12:$AM$244,ROW()-12,FALSE)*VLOOKUP($C204,CPI!$B$9:$I$63,8))</f>
        <v>23055.382844439649</v>
      </c>
      <c r="AE204" s="31">
        <f>IF(HLOOKUP(AE$13,'MP (nominal)'!$D$12:$AM$244,ROW()-12,FALSE)="","",HLOOKUP(AE$13,'MP (nominal)'!$D$12:$AM$244,ROW()-12,FALSE))</f>
        <v>371382.55</v>
      </c>
      <c r="AF204" s="31">
        <f>IF(HLOOKUP(AF$13,'MP (nominal)'!$D$12:$AM$244,ROW()-12,FALSE)="","",HLOOKUP(AF$13,'MP (nominal)'!$D$12:$AM$244,ROW()-12,FALSE))</f>
        <v>6624</v>
      </c>
      <c r="AG204" s="281"/>
      <c r="AH204" s="281">
        <f>IF(HLOOKUP(AH$13,'MP (nominal)'!$D$12:$AM$244,ROW()-12,FALSE)="","",HLOOKUP(AH$13,'MP (nominal)'!$D$12:$AM$244,ROW()-12,FALSE)*VLOOKUP($C204,CPI!$B$9:$I$63,8))</f>
        <v>11592.076724421329</v>
      </c>
      <c r="AI204" s="31">
        <f>IF(HLOOKUP(AI$13,'MP (nominal)'!$D$12:$AM$244,ROW()-12,FALSE)="","",HLOOKUP(AI$13,'MP (nominal)'!$D$12:$AM$244,ROW()-12,FALSE))</f>
        <v>360925.44</v>
      </c>
      <c r="AJ204" s="31">
        <f>IF(HLOOKUP(AJ$13,'MP (nominal)'!$D$12:$AM$244,ROW()-12,FALSE)="","",HLOOKUP(AJ$13,'MP (nominal)'!$D$12:$AM$244,ROW()-12,FALSE))</f>
        <v>342</v>
      </c>
      <c r="AK204" s="281"/>
      <c r="AL204" s="281">
        <f>IF(HLOOKUP(AL$13,'MP (nominal)'!$D$12:$AM$244,ROW()-12,FALSE)="","",HLOOKUP(AL$13,'MP (nominal)'!$D$12:$AM$244,ROW()-12,FALSE)*VLOOKUP($C204,CPI!$B$9:$I$63,8))</f>
        <v>1927.064983158632</v>
      </c>
      <c r="AM204" s="31">
        <f>IF(HLOOKUP(AM$13,'MP (nominal)'!$D$12:$AM$244,ROW()-12,FALSE)="","",HLOOKUP(AM$13,'MP (nominal)'!$D$12:$AM$244,ROW()-12,FALSE))</f>
        <v>83360.010999999999</v>
      </c>
      <c r="AN204" s="31">
        <f>IF(HLOOKUP(AN$13,'MP (nominal)'!$D$12:$AM$244,ROW()-12,FALSE)="","",HLOOKUP(AN$13,'MP (nominal)'!$D$12:$AM$244,ROW()-12,FALSE))</f>
        <v>5</v>
      </c>
      <c r="AO204" s="281"/>
      <c r="AP204" s="281">
        <f>IF(HLOOKUP(AP$13,'MP (nominal)'!$D$12:$AM$244,ROW()-12,FALSE)="","",HLOOKUP(AP$13,'MP (nominal)'!$D$12:$AM$244,ROW()-12,FALSE)*VLOOKUP($C204,CPI!$B$9:$I$63,8))</f>
        <v>105688.23668454096</v>
      </c>
      <c r="AQ204" s="31">
        <f>IF(HLOOKUP(AQ$13,'MP (nominal)'!$D$12:$AM$244,ROW()-12,FALSE)="","",HLOOKUP(AQ$13,'MP (nominal)'!$D$12:$AM$244,ROW()-12,FALSE))</f>
        <v>1598805.6</v>
      </c>
      <c r="AR204" s="281">
        <f>IF(HLOOKUP(AR$13,'MP (nominal)'!$D$12:$AM$244,ROW()-12,FALSE)="","",HLOOKUP(AR$13,'MP (nominal)'!$D$12:$AM$244,ROW()-12,FALSE))</f>
        <v>108212</v>
      </c>
    </row>
    <row r="205" spans="1:44" s="278" customFormat="1">
      <c r="A205" s="271">
        <f>References!J281</f>
        <v>537</v>
      </c>
      <c r="B205" s="292" t="s">
        <v>163</v>
      </c>
      <c r="C205" s="284">
        <v>2011</v>
      </c>
      <c r="D205" s="27">
        <f>IF(HLOOKUP(D$13,'MP (nominal)'!$D$12:$AM$244,ROW()-12,FALSE)="","",HLOOKUP(D$13,'MP (nominal)'!$D$12:$AM$244,ROW()-12,FALSE))</f>
        <v>5492.5910000000003</v>
      </c>
      <c r="E205" s="281">
        <f>IF(HLOOKUP(E$13,'MP (nominal)'!$D$12:$AM$244,ROW()-12,FALSE)="","",HLOOKUP(E$13,'MP (nominal)'!$D$12:$AM$244,ROW()-12,FALSE))</f>
        <v>376.637</v>
      </c>
      <c r="F205" s="27">
        <f>IF(HLOOKUP(F$13,'MP (nominal)'!$D$12:$AM$244,ROW()-12,FALSE)="","",HLOOKUP(F$13,'MP (nominal)'!$D$12:$AM$244,ROW()-12,FALSE))</f>
        <v>2489.2750000000001</v>
      </c>
      <c r="G205" s="281">
        <f>IF(HLOOKUP(G$13,'MP (nominal)'!$D$12:$AM$244,ROW()-12,FALSE)="","",HLOOKUP(G$13,'MP (nominal)'!$D$12:$AM$244,ROW()-12,FALSE))</f>
        <v>1251.2560000000001</v>
      </c>
      <c r="H205" s="27">
        <f>IF(HLOOKUP(H$13,'MP (nominal)'!$D$12:$AM$244,ROW()-12,FALSE)="","",HLOOKUP(H$13,'MP (nominal)'!$D$12:$AM$244,ROW()-12,FALSE))</f>
        <v>7981.866</v>
      </c>
      <c r="I205" s="31">
        <f>IF(HLOOKUP(I$13,'MP (nominal)'!$D$12:$AM$244,ROW()-12,FALSE)="","",HLOOKUP(I$13,'MP (nominal)'!$D$12:$AM$244,ROW()-12,FALSE))</f>
        <v>1627.893</v>
      </c>
      <c r="J205" s="31">
        <f>IF(HLOOKUP(J$13,'MP (nominal)'!$D$12:$AM$244,ROW()-12,FALSE)="","",HLOOKUP(J$13,'MP (nominal)'!$D$12:$AM$244,ROW()-12,FALSE))</f>
        <v>5492.5910000000003</v>
      </c>
      <c r="K205" s="281"/>
      <c r="L205" s="27">
        <f>IF(HLOOKUP(L$13,'MP (nominal)'!$D$12:$AM$244,ROW()-12,FALSE)="","",HLOOKUP(L$13,'MP (nominal)'!$D$12:$AM$244,ROW()-12,FALSE))</f>
        <v>301.16000000000003</v>
      </c>
      <c r="M205" s="283">
        <f>IF(HLOOKUP(M$13,'MP (nominal)'!$D$12:$AM$244,ROW()-12,FALSE)="","",HLOOKUP(M$13,'MP (nominal)'!$D$12:$AM$244,ROW()-12,FALSE))</f>
        <v>1588.9458999999999</v>
      </c>
      <c r="N205" s="35"/>
      <c r="O205" s="27">
        <f>IF(HLOOKUP(O$13,'MP (nominal)'!$D$12:$AM$244,ROW()-12,FALSE)="","",HLOOKUP(O$13,'MP (nominal)'!$D$12:$AM$244,ROW()-12,FALSE))</f>
        <v>108978</v>
      </c>
      <c r="P205" s="31"/>
      <c r="Q205" s="281"/>
      <c r="R205" s="281">
        <f>IF(HLOOKUP(R$13,'MP (nominal)'!$D$12:$AM$244,ROW()-12,FALSE)="","",HLOOKUP(R$13,'MP (nominal)'!$D$12:$AM$244,ROW()-12,FALSE))</f>
        <v>127.98</v>
      </c>
      <c r="S205" s="281">
        <f>IF(HLOOKUP(S$13,'MP (nominal)'!$D$12:$AM$244,ROW()-12,FALSE)="","",HLOOKUP(S$13,'MP (nominal)'!$D$12:$AM$244,ROW()-12,FALSE))</f>
        <v>25.7</v>
      </c>
      <c r="T205" s="281">
        <f>IF(HLOOKUP(T$13,'MP (nominal)'!$D$12:$AM$244,ROW()-12,FALSE)="","",HLOOKUP(T$13,'MP (nominal)'!$D$12:$AM$244,ROW()-12,FALSE))</f>
        <v>102.28</v>
      </c>
      <c r="U205" s="281"/>
      <c r="V205" s="281">
        <f>IF(HLOOKUP(V$13,'MP (nominal)'!$D$12:$AM$244,ROW()-12,FALSE)="","",HLOOKUP(V$13,'MP (nominal)'!$D$12:$AM$244,ROW()-12,FALSE))</f>
        <v>1.83</v>
      </c>
      <c r="W205" s="281">
        <f>IF(HLOOKUP(W$13,'MP (nominal)'!$D$12:$AM$244,ROW()-12,FALSE)="","",HLOOKUP(W$13,'MP (nominal)'!$D$12:$AM$244,ROW()-12,FALSE))</f>
        <v>0.18</v>
      </c>
      <c r="X205" s="281">
        <f>IF(HLOOKUP(X$13,'MP (nominal)'!$D$12:$AM$244,ROW()-12,FALSE)="","",HLOOKUP(X$13,'MP (nominal)'!$D$12:$AM$244,ROW()-12,FALSE))</f>
        <v>1.64</v>
      </c>
      <c r="Y205" s="281"/>
      <c r="Z205" s="281">
        <f>IF(HLOOKUP(Z$13,'MP (nominal)'!$D$12:$AM$244,ROW()-12,FALSE)="","",HLOOKUP(Z$13,'MP (nominal)'!$D$12:$AM$244,ROW()-12,FALSE)*VLOOKUP($C205,CPI!$B$9:$I$63,8))</f>
        <v>68243</v>
      </c>
      <c r="AA205" s="281">
        <f>IF(HLOOKUP(AA$13,'MP (nominal)'!$D$12:$AM$244,ROW()-12,FALSE)="","",HLOOKUP(AA$13,'MP (nominal)'!$D$12:$AM$244,ROW()-12,FALSE))</f>
        <v>755439.15</v>
      </c>
      <c r="AB205" s="281">
        <f>IF(HLOOKUP(AB$13,'MP (nominal)'!$D$12:$AM$244,ROW()-12,FALSE)="","",HLOOKUP(AB$13,'MP (nominal)'!$D$12:$AM$244,ROW()-12,FALSE))</f>
        <v>101909</v>
      </c>
      <c r="AC205" s="281"/>
      <c r="AD205" s="281">
        <f>IF(HLOOKUP(AD$13,'MP (nominal)'!$D$12:$AM$244,ROW()-12,FALSE)="","",HLOOKUP(AD$13,'MP (nominal)'!$D$12:$AM$244,ROW()-12,FALSE)*VLOOKUP($C205,CPI!$B$9:$I$63,8))</f>
        <v>18480</v>
      </c>
      <c r="AE205" s="31">
        <f>IF(HLOOKUP(AE$13,'MP (nominal)'!$D$12:$AM$244,ROW()-12,FALSE)="","",HLOOKUP(AE$13,'MP (nominal)'!$D$12:$AM$244,ROW()-12,FALSE))</f>
        <v>427598.14</v>
      </c>
      <c r="AF205" s="31">
        <f>IF(HLOOKUP(AF$13,'MP (nominal)'!$D$12:$AM$244,ROW()-12,FALSE)="","",HLOOKUP(AF$13,'MP (nominal)'!$D$12:$AM$244,ROW()-12,FALSE))</f>
        <v>6508</v>
      </c>
      <c r="AG205" s="281"/>
      <c r="AH205" s="281">
        <f>IF(HLOOKUP(AH$13,'MP (nominal)'!$D$12:$AM$244,ROW()-12,FALSE)="","",HLOOKUP(AH$13,'MP (nominal)'!$D$12:$AM$244,ROW()-12,FALSE)*VLOOKUP($C205,CPI!$B$9:$I$63,8))</f>
        <v>17024</v>
      </c>
      <c r="AI205" s="31">
        <f>IF(HLOOKUP(AI$13,'MP (nominal)'!$D$12:$AM$244,ROW()-12,FALSE)="","",HLOOKUP(AI$13,'MP (nominal)'!$D$12:$AM$244,ROW()-12,FALSE))</f>
        <v>319045.88</v>
      </c>
      <c r="AJ205" s="31">
        <f>IF(HLOOKUP(AJ$13,'MP (nominal)'!$D$12:$AM$244,ROW()-12,FALSE)="","",HLOOKUP(AJ$13,'MP (nominal)'!$D$12:$AM$244,ROW()-12,FALSE))</f>
        <v>556</v>
      </c>
      <c r="AK205" s="281"/>
      <c r="AL205" s="281">
        <f>IF(HLOOKUP(AL$13,'MP (nominal)'!$D$12:$AM$244,ROW()-12,FALSE)="","",HLOOKUP(AL$13,'MP (nominal)'!$D$12:$AM$244,ROW()-12,FALSE)*VLOOKUP($C205,CPI!$B$9:$I$63,8))</f>
        <v>1914</v>
      </c>
      <c r="AM205" s="31">
        <f>IF(HLOOKUP(AM$13,'MP (nominal)'!$D$12:$AM$244,ROW()-12,FALSE)="","",HLOOKUP(AM$13,'MP (nominal)'!$D$12:$AM$244,ROW()-12,FALSE))</f>
        <v>86862.739000000001</v>
      </c>
      <c r="AN205" s="31">
        <f>IF(HLOOKUP(AN$13,'MP (nominal)'!$D$12:$AM$244,ROW()-12,FALSE)="","",HLOOKUP(AN$13,'MP (nominal)'!$D$12:$AM$244,ROW()-12,FALSE))</f>
        <v>5</v>
      </c>
      <c r="AO205" s="281"/>
      <c r="AP205" s="281">
        <f>IF(HLOOKUP(AP$13,'MP (nominal)'!$D$12:$AM$244,ROW()-12,FALSE)="","",HLOOKUP(AP$13,'MP (nominal)'!$D$12:$AM$244,ROW()-12,FALSE)*VLOOKUP($C205,CPI!$B$9:$I$63,8))</f>
        <v>105661</v>
      </c>
      <c r="AQ205" s="31">
        <f>IF(HLOOKUP(AQ$13,'MP (nominal)'!$D$12:$AM$244,ROW()-12,FALSE)="","",HLOOKUP(AQ$13,'MP (nominal)'!$D$12:$AM$244,ROW()-12,FALSE))</f>
        <v>1588945.9</v>
      </c>
      <c r="AR205" s="281">
        <f>IF(HLOOKUP(AR$13,'MP (nominal)'!$D$12:$AM$244,ROW()-12,FALSE)="","",HLOOKUP(AR$13,'MP (nominal)'!$D$12:$AM$244,ROW()-12,FALSE))</f>
        <v>108978</v>
      </c>
    </row>
    <row r="206" spans="1:44" s="278" customFormat="1" hidden="1">
      <c r="A206" s="271">
        <f>References!C282</f>
        <v>553</v>
      </c>
      <c r="B206" s="292" t="s">
        <v>53</v>
      </c>
      <c r="C206" s="284">
        <v>2004</v>
      </c>
      <c r="D206" s="27" t="str">
        <f>IF(HLOOKUP(D$13,'MP (nominal)'!$D$12:$AM$244,ROW()-12,FALSE)="","",HLOOKUP(D$13,'MP (nominal)'!$D$12:$AM$244,ROW()-12,FALSE))</f>
        <v/>
      </c>
      <c r="E206" s="281" t="str">
        <f>IF(HLOOKUP(E$13,'MP (nominal)'!$D$12:$AM$244,ROW()-12,FALSE)="","",HLOOKUP(E$13,'MP (nominal)'!$D$12:$AM$244,ROW()-12,FALSE))</f>
        <v/>
      </c>
      <c r="F206" s="27">
        <f>IF(HLOOKUP(F$13,'MP (nominal)'!$D$12:$AM$244,ROW()-12,FALSE)="","",HLOOKUP(F$13,'MP (nominal)'!$D$12:$AM$244,ROW()-12,FALSE))</f>
        <v>14993</v>
      </c>
      <c r="G206" s="281" t="str">
        <f>IF(HLOOKUP(G$13,'MP (nominal)'!$D$12:$AM$244,ROW()-12,FALSE)="","",HLOOKUP(G$13,'MP (nominal)'!$D$12:$AM$244,ROW()-12,FALSE))</f>
        <v/>
      </c>
      <c r="H206" s="27">
        <f>IF(HLOOKUP(H$13,'MP (nominal)'!$D$12:$AM$244,ROW()-12,FALSE)="","",HLOOKUP(H$13,'MP (nominal)'!$D$12:$AM$244,ROW()-12,FALSE))</f>
        <v>28016.97</v>
      </c>
      <c r="I206" s="31" t="str">
        <f>IF(HLOOKUP(I$13,'MP (nominal)'!$D$12:$AM$244,ROW()-12,FALSE)="","",HLOOKUP(I$13,'MP (nominal)'!$D$12:$AM$244,ROW()-12,FALSE))</f>
        <v/>
      </c>
      <c r="J206" s="31">
        <f>IF(HLOOKUP(J$13,'MP (nominal)'!$D$12:$AM$244,ROW()-12,FALSE)="","",HLOOKUP(J$13,'MP (nominal)'!$D$12:$AM$244,ROW()-12,FALSE))</f>
        <v>13023.97</v>
      </c>
      <c r="K206" s="281"/>
      <c r="L206" s="27">
        <f>IF(HLOOKUP(L$13,'MP (nominal)'!$D$12:$AM$244,ROW()-12,FALSE)="","",HLOOKUP(L$13,'MP (nominal)'!$D$12:$AM$244,ROW()-12,FALSE))</f>
        <v>1957.7739999999999</v>
      </c>
      <c r="M206" s="293">
        <f>IF(HLOOKUP(M$13,'MP (nominal)'!$D$12:$AM$244,ROW()-12,FALSE)="","",HLOOKUP(M$13,'MP (nominal)'!$D$12:$AM$244,ROW()-12,FALSE))</f>
        <v>9773.7738609999997</v>
      </c>
      <c r="N206" s="35"/>
      <c r="O206" s="27">
        <f>IF(HLOOKUP(O$13,'MP (nominal)'!$D$12:$AM$244,ROW()-12,FALSE)="","",HLOOKUP(O$13,'MP (nominal)'!$D$12:$AM$244,ROW()-12,FALSE))</f>
        <v>644000</v>
      </c>
      <c r="P206" s="31"/>
      <c r="Q206" s="281"/>
      <c r="R206" s="281">
        <f>IF(HLOOKUP(R$13,'MP (nominal)'!$D$12:$AM$244,ROW()-12,FALSE)="","",HLOOKUP(R$13,'MP (nominal)'!$D$12:$AM$244,ROW()-12,FALSE))</f>
        <v>107.94</v>
      </c>
      <c r="S206" s="281" t="str">
        <f>IF(HLOOKUP(S$13,'MP (nominal)'!$D$12:$AM$244,ROW()-12,FALSE)="","",HLOOKUP(S$13,'MP (nominal)'!$D$12:$AM$244,ROW()-12,FALSE))</f>
        <v/>
      </c>
      <c r="T206" s="281" t="str">
        <f>IF(HLOOKUP(T$13,'MP (nominal)'!$D$12:$AM$244,ROW()-12,FALSE)="","",HLOOKUP(T$13,'MP (nominal)'!$D$12:$AM$244,ROW()-12,FALSE))</f>
        <v/>
      </c>
      <c r="U206" s="281"/>
      <c r="V206" s="281">
        <f>IF(HLOOKUP(V$13,'MP (nominal)'!$D$12:$AM$244,ROW()-12,FALSE)="","",HLOOKUP(V$13,'MP (nominal)'!$D$12:$AM$244,ROW()-12,FALSE))</f>
        <v>1.54</v>
      </c>
      <c r="W206" s="281" t="str">
        <f>IF(HLOOKUP(W$13,'MP (nominal)'!$D$12:$AM$244,ROW()-12,FALSE)="","",HLOOKUP(W$13,'MP (nominal)'!$D$12:$AM$244,ROW()-12,FALSE))</f>
        <v/>
      </c>
      <c r="X206" s="281" t="str">
        <f>IF(HLOOKUP(X$13,'MP (nominal)'!$D$12:$AM$244,ROW()-12,FALSE)="","",HLOOKUP(X$13,'MP (nominal)'!$D$12:$AM$244,ROW()-12,FALSE))</f>
        <v/>
      </c>
      <c r="Y206" s="281"/>
      <c r="Z206" s="281" t="str">
        <f>IF(HLOOKUP(Z$13,'MP (nominal)'!$D$12:$AM$244,ROW()-12,FALSE)="","",HLOOKUP(Z$13,'MP (nominal)'!$D$12:$AM$244,ROW()-12,FALSE)*VLOOKUP($C206,CPI!$B$9:$I$63,8))</f>
        <v/>
      </c>
      <c r="AA206" s="281" t="str">
        <f>IF(HLOOKUP(AA$13,'MP (nominal)'!$D$12:$AM$244,ROW()-12,FALSE)="","",HLOOKUP(AA$13,'MP (nominal)'!$D$12:$AM$244,ROW()-12,FALSE))</f>
        <v/>
      </c>
      <c r="AB206" s="281" t="str">
        <f>IF(HLOOKUP(AB$13,'MP (nominal)'!$D$12:$AM$244,ROW()-12,FALSE)="","",HLOOKUP(AB$13,'MP (nominal)'!$D$12:$AM$244,ROW()-12,FALSE))</f>
        <v/>
      </c>
      <c r="AC206" s="281"/>
      <c r="AD206" s="281" t="str">
        <f>IF(HLOOKUP(AD$13,'MP (nominal)'!$D$12:$AM$244,ROW()-12,FALSE)="","",HLOOKUP(AD$13,'MP (nominal)'!$D$12:$AM$244,ROW()-12,FALSE)*VLOOKUP($C206,CPI!$B$9:$I$63,8))</f>
        <v/>
      </c>
      <c r="AE206" s="31" t="str">
        <f>IF(HLOOKUP(AE$13,'MP (nominal)'!$D$12:$AM$244,ROW()-12,FALSE)="","",HLOOKUP(AE$13,'MP (nominal)'!$D$12:$AM$244,ROW()-12,FALSE))</f>
        <v/>
      </c>
      <c r="AF206" s="31" t="str">
        <f>IF(HLOOKUP(AF$13,'MP (nominal)'!$D$12:$AM$244,ROW()-12,FALSE)="","",HLOOKUP(AF$13,'MP (nominal)'!$D$12:$AM$244,ROW()-12,FALSE))</f>
        <v/>
      </c>
      <c r="AG206" s="281"/>
      <c r="AH206" s="281" t="str">
        <f>IF(HLOOKUP(AH$13,'MP (nominal)'!$D$12:$AM$244,ROW()-12,FALSE)="","",HLOOKUP(AH$13,'MP (nominal)'!$D$12:$AM$244,ROW()-12,FALSE)*VLOOKUP($C206,CPI!$B$9:$I$63,8))</f>
        <v/>
      </c>
      <c r="AI206" s="31" t="str">
        <f>IF(HLOOKUP(AI$13,'MP (nominal)'!$D$12:$AM$244,ROW()-12,FALSE)="","",HLOOKUP(AI$13,'MP (nominal)'!$D$12:$AM$244,ROW()-12,FALSE))</f>
        <v/>
      </c>
      <c r="AJ206" s="31" t="str">
        <f>IF(HLOOKUP(AJ$13,'MP (nominal)'!$D$12:$AM$244,ROW()-12,FALSE)="","",HLOOKUP(AJ$13,'MP (nominal)'!$D$12:$AM$244,ROW()-12,FALSE))</f>
        <v/>
      </c>
      <c r="AK206" s="281"/>
      <c r="AL206" s="281" t="str">
        <f>IF(HLOOKUP(AL$13,'MP (nominal)'!$D$12:$AM$244,ROW()-12,FALSE)="","",HLOOKUP(AL$13,'MP (nominal)'!$D$12:$AM$244,ROW()-12,FALSE)*VLOOKUP($C206,CPI!$B$9:$I$63,8))</f>
        <v/>
      </c>
      <c r="AM206" s="31" t="str">
        <f>IF(HLOOKUP(AM$13,'MP (nominal)'!$D$12:$AM$244,ROW()-12,FALSE)="","",HLOOKUP(AM$13,'MP (nominal)'!$D$12:$AM$244,ROW()-12,FALSE))</f>
        <v/>
      </c>
      <c r="AN206" s="31" t="str">
        <f>IF(HLOOKUP(AN$13,'MP (nominal)'!$D$12:$AM$244,ROW()-12,FALSE)="","",HLOOKUP(AN$13,'MP (nominal)'!$D$12:$AM$244,ROW()-12,FALSE))</f>
        <v/>
      </c>
      <c r="AO206" s="281"/>
      <c r="AP206" s="281" t="str">
        <f>IF(HLOOKUP(AP$13,'MP (nominal)'!$D$12:$AM$244,ROW()-12,FALSE)="","",HLOOKUP(AP$13,'MP (nominal)'!$D$12:$AM$244,ROW()-12,FALSE)*VLOOKUP($C206,CPI!$B$9:$I$63,8))</f>
        <v/>
      </c>
      <c r="AQ206" s="31" t="str">
        <f>IF(HLOOKUP(AQ$13,'MP (nominal)'!$D$12:$AM$244,ROW()-12,FALSE)="","",HLOOKUP(AQ$13,'MP (nominal)'!$D$12:$AM$244,ROW()-12,FALSE))</f>
        <v/>
      </c>
      <c r="AR206" s="281" t="str">
        <f>IF(HLOOKUP(AR$13,'MP (nominal)'!$D$12:$AM$244,ROW()-12,FALSE)="","",HLOOKUP(AR$13,'MP (nominal)'!$D$12:$AM$244,ROW()-12,FALSE))</f>
        <v/>
      </c>
    </row>
    <row r="207" spans="1:44" s="278" customFormat="1" hidden="1">
      <c r="A207" s="271">
        <f>References!D282</f>
        <v>554</v>
      </c>
      <c r="B207" s="292" t="s">
        <v>53</v>
      </c>
      <c r="C207" s="284">
        <v>2005</v>
      </c>
      <c r="D207" s="27" t="str">
        <f>IF(HLOOKUP(D$13,'MP (nominal)'!$D$12:$AM$244,ROW()-12,FALSE)="","",HLOOKUP(D$13,'MP (nominal)'!$D$12:$AM$244,ROW()-12,FALSE))</f>
        <v/>
      </c>
      <c r="E207" s="281" t="str">
        <f>IF(HLOOKUP(E$13,'MP (nominal)'!$D$12:$AM$244,ROW()-12,FALSE)="","",HLOOKUP(E$13,'MP (nominal)'!$D$12:$AM$244,ROW()-12,FALSE))</f>
        <v/>
      </c>
      <c r="F207" s="27">
        <f>IF(HLOOKUP(F$13,'MP (nominal)'!$D$12:$AM$244,ROW()-12,FALSE)="","",HLOOKUP(F$13,'MP (nominal)'!$D$12:$AM$244,ROW()-12,FALSE))</f>
        <v>15065.32</v>
      </c>
      <c r="G207" s="281" t="str">
        <f>IF(HLOOKUP(G$13,'MP (nominal)'!$D$12:$AM$244,ROW()-12,FALSE)="","",HLOOKUP(G$13,'MP (nominal)'!$D$12:$AM$244,ROW()-12,FALSE))</f>
        <v/>
      </c>
      <c r="H207" s="27">
        <f>IF(HLOOKUP(H$13,'MP (nominal)'!$D$12:$AM$244,ROW()-12,FALSE)="","",HLOOKUP(H$13,'MP (nominal)'!$D$12:$AM$244,ROW()-12,FALSE))</f>
        <v>27731.68</v>
      </c>
      <c r="I207" s="31" t="str">
        <f>IF(HLOOKUP(I$13,'MP (nominal)'!$D$12:$AM$244,ROW()-12,FALSE)="","",HLOOKUP(I$13,'MP (nominal)'!$D$12:$AM$244,ROW()-12,FALSE))</f>
        <v/>
      </c>
      <c r="J207" s="31">
        <f>IF(HLOOKUP(J$13,'MP (nominal)'!$D$12:$AM$244,ROW()-12,FALSE)="","",HLOOKUP(J$13,'MP (nominal)'!$D$12:$AM$244,ROW()-12,FALSE))</f>
        <v>12666.36</v>
      </c>
      <c r="K207" s="281"/>
      <c r="L207" s="27">
        <f>IF(HLOOKUP(L$13,'MP (nominal)'!$D$12:$AM$244,ROW()-12,FALSE)="","",HLOOKUP(L$13,'MP (nominal)'!$D$12:$AM$244,ROW()-12,FALSE))</f>
        <v>2085.09</v>
      </c>
      <c r="M207" s="293">
        <f>IF(HLOOKUP(M$13,'MP (nominal)'!$D$12:$AM$244,ROW()-12,FALSE)="","",HLOOKUP(M$13,'MP (nominal)'!$D$12:$AM$244,ROW()-12,FALSE))</f>
        <v>10243.037361000001</v>
      </c>
      <c r="N207" s="35"/>
      <c r="O207" s="27">
        <f>IF(HLOOKUP(O$13,'MP (nominal)'!$D$12:$AM$244,ROW()-12,FALSE)="","",HLOOKUP(O$13,'MP (nominal)'!$D$12:$AM$244,ROW()-12,FALSE))</f>
        <v>651000</v>
      </c>
      <c r="P207" s="31"/>
      <c r="Q207" s="281"/>
      <c r="R207" s="281">
        <f>IF(HLOOKUP(R$13,'MP (nominal)'!$D$12:$AM$244,ROW()-12,FALSE)="","",HLOOKUP(R$13,'MP (nominal)'!$D$12:$AM$244,ROW()-12,FALSE))</f>
        <v>83.09</v>
      </c>
      <c r="S207" s="281" t="str">
        <f>IF(HLOOKUP(S$13,'MP (nominal)'!$D$12:$AM$244,ROW()-12,FALSE)="","",HLOOKUP(S$13,'MP (nominal)'!$D$12:$AM$244,ROW()-12,FALSE))</f>
        <v/>
      </c>
      <c r="T207" s="281" t="str">
        <f>IF(HLOOKUP(T$13,'MP (nominal)'!$D$12:$AM$244,ROW()-12,FALSE)="","",HLOOKUP(T$13,'MP (nominal)'!$D$12:$AM$244,ROW()-12,FALSE))</f>
        <v/>
      </c>
      <c r="U207" s="281"/>
      <c r="V207" s="281">
        <f>IF(HLOOKUP(V$13,'MP (nominal)'!$D$12:$AM$244,ROW()-12,FALSE)="","",HLOOKUP(V$13,'MP (nominal)'!$D$12:$AM$244,ROW()-12,FALSE))</f>
        <v>1.25</v>
      </c>
      <c r="W207" s="281" t="str">
        <f>IF(HLOOKUP(W$13,'MP (nominal)'!$D$12:$AM$244,ROW()-12,FALSE)="","",HLOOKUP(W$13,'MP (nominal)'!$D$12:$AM$244,ROW()-12,FALSE))</f>
        <v/>
      </c>
      <c r="X207" s="281" t="str">
        <f>IF(HLOOKUP(X$13,'MP (nominal)'!$D$12:$AM$244,ROW()-12,FALSE)="","",HLOOKUP(X$13,'MP (nominal)'!$D$12:$AM$244,ROW()-12,FALSE))</f>
        <v/>
      </c>
      <c r="Y207" s="281"/>
      <c r="Z207" s="281" t="str">
        <f>IF(HLOOKUP(Z$13,'MP (nominal)'!$D$12:$AM$244,ROW()-12,FALSE)="","",HLOOKUP(Z$13,'MP (nominal)'!$D$12:$AM$244,ROW()-12,FALSE)*VLOOKUP($C207,CPI!$B$9:$I$63,8))</f>
        <v/>
      </c>
      <c r="AA207" s="281" t="str">
        <f>IF(HLOOKUP(AA$13,'MP (nominal)'!$D$12:$AM$244,ROW()-12,FALSE)="","",HLOOKUP(AA$13,'MP (nominal)'!$D$12:$AM$244,ROW()-12,FALSE))</f>
        <v/>
      </c>
      <c r="AB207" s="281" t="str">
        <f>IF(HLOOKUP(AB$13,'MP (nominal)'!$D$12:$AM$244,ROW()-12,FALSE)="","",HLOOKUP(AB$13,'MP (nominal)'!$D$12:$AM$244,ROW()-12,FALSE))</f>
        <v/>
      </c>
      <c r="AC207" s="281"/>
      <c r="AD207" s="281" t="str">
        <f>IF(HLOOKUP(AD$13,'MP (nominal)'!$D$12:$AM$244,ROW()-12,FALSE)="","",HLOOKUP(AD$13,'MP (nominal)'!$D$12:$AM$244,ROW()-12,FALSE)*VLOOKUP($C207,CPI!$B$9:$I$63,8))</f>
        <v/>
      </c>
      <c r="AE207" s="31" t="str">
        <f>IF(HLOOKUP(AE$13,'MP (nominal)'!$D$12:$AM$244,ROW()-12,FALSE)="","",HLOOKUP(AE$13,'MP (nominal)'!$D$12:$AM$244,ROW()-12,FALSE))</f>
        <v/>
      </c>
      <c r="AF207" s="31" t="str">
        <f>IF(HLOOKUP(AF$13,'MP (nominal)'!$D$12:$AM$244,ROW()-12,FALSE)="","",HLOOKUP(AF$13,'MP (nominal)'!$D$12:$AM$244,ROW()-12,FALSE))</f>
        <v/>
      </c>
      <c r="AG207" s="281"/>
      <c r="AH207" s="281" t="str">
        <f>IF(HLOOKUP(AH$13,'MP (nominal)'!$D$12:$AM$244,ROW()-12,FALSE)="","",HLOOKUP(AH$13,'MP (nominal)'!$D$12:$AM$244,ROW()-12,FALSE)*VLOOKUP($C207,CPI!$B$9:$I$63,8))</f>
        <v/>
      </c>
      <c r="AI207" s="31" t="str">
        <f>IF(HLOOKUP(AI$13,'MP (nominal)'!$D$12:$AM$244,ROW()-12,FALSE)="","",HLOOKUP(AI$13,'MP (nominal)'!$D$12:$AM$244,ROW()-12,FALSE))</f>
        <v/>
      </c>
      <c r="AJ207" s="31" t="str">
        <f>IF(HLOOKUP(AJ$13,'MP (nominal)'!$D$12:$AM$244,ROW()-12,FALSE)="","",HLOOKUP(AJ$13,'MP (nominal)'!$D$12:$AM$244,ROW()-12,FALSE))</f>
        <v/>
      </c>
      <c r="AK207" s="281"/>
      <c r="AL207" s="281" t="str">
        <f>IF(HLOOKUP(AL$13,'MP (nominal)'!$D$12:$AM$244,ROW()-12,FALSE)="","",HLOOKUP(AL$13,'MP (nominal)'!$D$12:$AM$244,ROW()-12,FALSE)*VLOOKUP($C207,CPI!$B$9:$I$63,8))</f>
        <v/>
      </c>
      <c r="AM207" s="31" t="str">
        <f>IF(HLOOKUP(AM$13,'MP (nominal)'!$D$12:$AM$244,ROW()-12,FALSE)="","",HLOOKUP(AM$13,'MP (nominal)'!$D$12:$AM$244,ROW()-12,FALSE))</f>
        <v/>
      </c>
      <c r="AN207" s="31" t="str">
        <f>IF(HLOOKUP(AN$13,'MP (nominal)'!$D$12:$AM$244,ROW()-12,FALSE)="","",HLOOKUP(AN$13,'MP (nominal)'!$D$12:$AM$244,ROW()-12,FALSE))</f>
        <v/>
      </c>
      <c r="AO207" s="281"/>
      <c r="AP207" s="281" t="str">
        <f>IF(HLOOKUP(AP$13,'MP (nominal)'!$D$12:$AM$244,ROW()-12,FALSE)="","",HLOOKUP(AP$13,'MP (nominal)'!$D$12:$AM$244,ROW()-12,FALSE)*VLOOKUP($C207,CPI!$B$9:$I$63,8))</f>
        <v/>
      </c>
      <c r="AQ207" s="31" t="str">
        <f>IF(HLOOKUP(AQ$13,'MP (nominal)'!$D$12:$AM$244,ROW()-12,FALSE)="","",HLOOKUP(AQ$13,'MP (nominal)'!$D$12:$AM$244,ROW()-12,FALSE))</f>
        <v/>
      </c>
      <c r="AR207" s="281" t="str">
        <f>IF(HLOOKUP(AR$13,'MP (nominal)'!$D$12:$AM$244,ROW()-12,FALSE)="","",HLOOKUP(AR$13,'MP (nominal)'!$D$12:$AM$244,ROW()-12,FALSE))</f>
        <v/>
      </c>
    </row>
    <row r="208" spans="1:44" s="278" customFormat="1" hidden="1">
      <c r="A208" s="271">
        <f>References!E282</f>
        <v>555</v>
      </c>
      <c r="B208" s="292" t="s">
        <v>53</v>
      </c>
      <c r="C208" s="284">
        <v>2006</v>
      </c>
      <c r="D208" s="27" t="str">
        <f>IF(HLOOKUP(D$13,'MP (nominal)'!$D$12:$AM$244,ROW()-12,FALSE)="","",HLOOKUP(D$13,'MP (nominal)'!$D$12:$AM$244,ROW()-12,FALSE))</f>
        <v/>
      </c>
      <c r="E208" s="281" t="str">
        <f>IF(HLOOKUP(E$13,'MP (nominal)'!$D$12:$AM$244,ROW()-12,FALSE)="","",HLOOKUP(E$13,'MP (nominal)'!$D$12:$AM$244,ROW()-12,FALSE))</f>
        <v/>
      </c>
      <c r="F208" s="27">
        <f>IF(HLOOKUP(F$13,'MP (nominal)'!$D$12:$AM$244,ROW()-12,FALSE)="","",HLOOKUP(F$13,'MP (nominal)'!$D$12:$AM$244,ROW()-12,FALSE))</f>
        <v>14902.21</v>
      </c>
      <c r="G208" s="281" t="str">
        <f>IF(HLOOKUP(G$13,'MP (nominal)'!$D$12:$AM$244,ROW()-12,FALSE)="","",HLOOKUP(G$13,'MP (nominal)'!$D$12:$AM$244,ROW()-12,FALSE))</f>
        <v/>
      </c>
      <c r="H208" s="27">
        <f>IF(HLOOKUP(H$13,'MP (nominal)'!$D$12:$AM$244,ROW()-12,FALSE)="","",HLOOKUP(H$13,'MP (nominal)'!$D$12:$AM$244,ROW()-12,FALSE))</f>
        <v>27925.86</v>
      </c>
      <c r="I208" s="31" t="str">
        <f>IF(HLOOKUP(I$13,'MP (nominal)'!$D$12:$AM$244,ROW()-12,FALSE)="","",HLOOKUP(I$13,'MP (nominal)'!$D$12:$AM$244,ROW()-12,FALSE))</f>
        <v/>
      </c>
      <c r="J208" s="31">
        <f>IF(HLOOKUP(J$13,'MP (nominal)'!$D$12:$AM$244,ROW()-12,FALSE)="","",HLOOKUP(J$13,'MP (nominal)'!$D$12:$AM$244,ROW()-12,FALSE))</f>
        <v>13023.65</v>
      </c>
      <c r="K208" s="281"/>
      <c r="L208" s="27">
        <f>IF(HLOOKUP(L$13,'MP (nominal)'!$D$12:$AM$244,ROW()-12,FALSE)="","",HLOOKUP(L$13,'MP (nominal)'!$D$12:$AM$244,ROW()-12,FALSE))</f>
        <v>2088.8620000000001</v>
      </c>
      <c r="M208" s="293">
        <f>IF(HLOOKUP(M$13,'MP (nominal)'!$D$12:$AM$244,ROW()-12,FALSE)="","",HLOOKUP(M$13,'MP (nominal)'!$D$12:$AM$244,ROW()-12,FALSE))</f>
        <v>10289.040526000001</v>
      </c>
      <c r="N208" s="35"/>
      <c r="O208" s="27">
        <f>IF(HLOOKUP(O$13,'MP (nominal)'!$D$12:$AM$244,ROW()-12,FALSE)="","",HLOOKUP(O$13,'MP (nominal)'!$D$12:$AM$244,ROW()-12,FALSE))</f>
        <v>660347</v>
      </c>
      <c r="P208" s="31"/>
      <c r="Q208" s="281"/>
      <c r="R208" s="281">
        <f>IF(HLOOKUP(R$13,'MP (nominal)'!$D$12:$AM$244,ROW()-12,FALSE)="","",HLOOKUP(R$13,'MP (nominal)'!$D$12:$AM$244,ROW()-12,FALSE))</f>
        <v>119.81</v>
      </c>
      <c r="S208" s="281" t="str">
        <f>IF(HLOOKUP(S$13,'MP (nominal)'!$D$12:$AM$244,ROW()-12,FALSE)="","",HLOOKUP(S$13,'MP (nominal)'!$D$12:$AM$244,ROW()-12,FALSE))</f>
        <v/>
      </c>
      <c r="T208" s="281" t="str">
        <f>IF(HLOOKUP(T$13,'MP (nominal)'!$D$12:$AM$244,ROW()-12,FALSE)="","",HLOOKUP(T$13,'MP (nominal)'!$D$12:$AM$244,ROW()-12,FALSE))</f>
        <v/>
      </c>
      <c r="U208" s="281"/>
      <c r="V208" s="281">
        <f>IF(HLOOKUP(V$13,'MP (nominal)'!$D$12:$AM$244,ROW()-12,FALSE)="","",HLOOKUP(V$13,'MP (nominal)'!$D$12:$AM$244,ROW()-12,FALSE))</f>
        <v>1.67</v>
      </c>
      <c r="W208" s="281" t="str">
        <f>IF(HLOOKUP(W$13,'MP (nominal)'!$D$12:$AM$244,ROW()-12,FALSE)="","",HLOOKUP(W$13,'MP (nominal)'!$D$12:$AM$244,ROW()-12,FALSE))</f>
        <v/>
      </c>
      <c r="X208" s="281" t="str">
        <f>IF(HLOOKUP(X$13,'MP (nominal)'!$D$12:$AM$244,ROW()-12,FALSE)="","",HLOOKUP(X$13,'MP (nominal)'!$D$12:$AM$244,ROW()-12,FALSE))</f>
        <v/>
      </c>
      <c r="Y208" s="281"/>
      <c r="Z208" s="281" t="str">
        <f>IF(HLOOKUP(Z$13,'MP (nominal)'!$D$12:$AM$244,ROW()-12,FALSE)="","",HLOOKUP(Z$13,'MP (nominal)'!$D$12:$AM$244,ROW()-12,FALSE)*VLOOKUP($C208,CPI!$B$9:$I$63,8))</f>
        <v/>
      </c>
      <c r="AA208" s="281" t="str">
        <f>IF(HLOOKUP(AA$13,'MP (nominal)'!$D$12:$AM$244,ROW()-12,FALSE)="","",HLOOKUP(AA$13,'MP (nominal)'!$D$12:$AM$244,ROW()-12,FALSE))</f>
        <v/>
      </c>
      <c r="AB208" s="281" t="str">
        <f>IF(HLOOKUP(AB$13,'MP (nominal)'!$D$12:$AM$244,ROW()-12,FALSE)="","",HLOOKUP(AB$13,'MP (nominal)'!$D$12:$AM$244,ROW()-12,FALSE))</f>
        <v/>
      </c>
      <c r="AC208" s="281"/>
      <c r="AD208" s="281" t="str">
        <f>IF(HLOOKUP(AD$13,'MP (nominal)'!$D$12:$AM$244,ROW()-12,FALSE)="","",HLOOKUP(AD$13,'MP (nominal)'!$D$12:$AM$244,ROW()-12,FALSE)*VLOOKUP($C208,CPI!$B$9:$I$63,8))</f>
        <v/>
      </c>
      <c r="AE208" s="31" t="str">
        <f>IF(HLOOKUP(AE$13,'MP (nominal)'!$D$12:$AM$244,ROW()-12,FALSE)="","",HLOOKUP(AE$13,'MP (nominal)'!$D$12:$AM$244,ROW()-12,FALSE))</f>
        <v/>
      </c>
      <c r="AF208" s="31" t="str">
        <f>IF(HLOOKUP(AF$13,'MP (nominal)'!$D$12:$AM$244,ROW()-12,FALSE)="","",HLOOKUP(AF$13,'MP (nominal)'!$D$12:$AM$244,ROW()-12,FALSE))</f>
        <v/>
      </c>
      <c r="AG208" s="281"/>
      <c r="AH208" s="281" t="str">
        <f>IF(HLOOKUP(AH$13,'MP (nominal)'!$D$12:$AM$244,ROW()-12,FALSE)="","",HLOOKUP(AH$13,'MP (nominal)'!$D$12:$AM$244,ROW()-12,FALSE)*VLOOKUP($C208,CPI!$B$9:$I$63,8))</f>
        <v/>
      </c>
      <c r="AI208" s="31" t="str">
        <f>IF(HLOOKUP(AI$13,'MP (nominal)'!$D$12:$AM$244,ROW()-12,FALSE)="","",HLOOKUP(AI$13,'MP (nominal)'!$D$12:$AM$244,ROW()-12,FALSE))</f>
        <v/>
      </c>
      <c r="AJ208" s="31" t="str">
        <f>IF(HLOOKUP(AJ$13,'MP (nominal)'!$D$12:$AM$244,ROW()-12,FALSE)="","",HLOOKUP(AJ$13,'MP (nominal)'!$D$12:$AM$244,ROW()-12,FALSE))</f>
        <v/>
      </c>
      <c r="AK208" s="281"/>
      <c r="AL208" s="281" t="str">
        <f>IF(HLOOKUP(AL$13,'MP (nominal)'!$D$12:$AM$244,ROW()-12,FALSE)="","",HLOOKUP(AL$13,'MP (nominal)'!$D$12:$AM$244,ROW()-12,FALSE)*VLOOKUP($C208,CPI!$B$9:$I$63,8))</f>
        <v/>
      </c>
      <c r="AM208" s="31" t="str">
        <f>IF(HLOOKUP(AM$13,'MP (nominal)'!$D$12:$AM$244,ROW()-12,FALSE)="","",HLOOKUP(AM$13,'MP (nominal)'!$D$12:$AM$244,ROW()-12,FALSE))</f>
        <v/>
      </c>
      <c r="AN208" s="31" t="str">
        <f>IF(HLOOKUP(AN$13,'MP (nominal)'!$D$12:$AM$244,ROW()-12,FALSE)="","",HLOOKUP(AN$13,'MP (nominal)'!$D$12:$AM$244,ROW()-12,FALSE))</f>
        <v/>
      </c>
      <c r="AO208" s="281"/>
      <c r="AP208" s="281" t="str">
        <f>IF(HLOOKUP(AP$13,'MP (nominal)'!$D$12:$AM$244,ROW()-12,FALSE)="","",HLOOKUP(AP$13,'MP (nominal)'!$D$12:$AM$244,ROW()-12,FALSE)*VLOOKUP($C208,CPI!$B$9:$I$63,8))</f>
        <v/>
      </c>
      <c r="AQ208" s="31" t="str">
        <f>IF(HLOOKUP(AQ$13,'MP (nominal)'!$D$12:$AM$244,ROW()-12,FALSE)="","",HLOOKUP(AQ$13,'MP (nominal)'!$D$12:$AM$244,ROW()-12,FALSE))</f>
        <v/>
      </c>
      <c r="AR208" s="281" t="str">
        <f>IF(HLOOKUP(AR$13,'MP (nominal)'!$D$12:$AM$244,ROW()-12,FALSE)="","",HLOOKUP(AR$13,'MP (nominal)'!$D$12:$AM$244,ROW()-12,FALSE))</f>
        <v/>
      </c>
    </row>
    <row r="209" spans="1:44" s="278" customFormat="1" hidden="1">
      <c r="A209" s="271">
        <f>References!F282</f>
        <v>556</v>
      </c>
      <c r="B209" s="292" t="s">
        <v>53</v>
      </c>
      <c r="C209" s="284">
        <v>2007</v>
      </c>
      <c r="D209" s="27" t="str">
        <f>IF(HLOOKUP(D$13,'MP (nominal)'!$D$12:$AM$244,ROW()-12,FALSE)="","",HLOOKUP(D$13,'MP (nominal)'!$D$12:$AM$244,ROW()-12,FALSE))</f>
        <v/>
      </c>
      <c r="E209" s="281" t="str">
        <f>IF(HLOOKUP(E$13,'MP (nominal)'!$D$12:$AM$244,ROW()-12,FALSE)="","",HLOOKUP(E$13,'MP (nominal)'!$D$12:$AM$244,ROW()-12,FALSE))</f>
        <v/>
      </c>
      <c r="F209" s="27">
        <f>IF(HLOOKUP(F$13,'MP (nominal)'!$D$12:$AM$244,ROW()-12,FALSE)="","",HLOOKUP(F$13,'MP (nominal)'!$D$12:$AM$244,ROW()-12,FALSE))</f>
        <v>11376.48</v>
      </c>
      <c r="G209" s="281" t="str">
        <f>IF(HLOOKUP(G$13,'MP (nominal)'!$D$12:$AM$244,ROW()-12,FALSE)="","",HLOOKUP(G$13,'MP (nominal)'!$D$12:$AM$244,ROW()-12,FALSE))</f>
        <v/>
      </c>
      <c r="H209" s="27">
        <f>IF(HLOOKUP(H$13,'MP (nominal)'!$D$12:$AM$244,ROW()-12,FALSE)="","",HLOOKUP(H$13,'MP (nominal)'!$D$12:$AM$244,ROW()-12,FALSE))</f>
        <v>21743.95</v>
      </c>
      <c r="I209" s="31" t="str">
        <f>IF(HLOOKUP(I$13,'MP (nominal)'!$D$12:$AM$244,ROW()-12,FALSE)="","",HLOOKUP(I$13,'MP (nominal)'!$D$12:$AM$244,ROW()-12,FALSE))</f>
        <v/>
      </c>
      <c r="J209" s="31">
        <f>IF(HLOOKUP(J$13,'MP (nominal)'!$D$12:$AM$244,ROW()-12,FALSE)="","",HLOOKUP(J$13,'MP (nominal)'!$D$12:$AM$244,ROW()-12,FALSE))</f>
        <v>10367.469999999999</v>
      </c>
      <c r="K209" s="281"/>
      <c r="L209" s="27">
        <f>IF(HLOOKUP(L$13,'MP (nominal)'!$D$12:$AM$244,ROW()-12,FALSE)="","",HLOOKUP(L$13,'MP (nominal)'!$D$12:$AM$244,ROW()-12,FALSE))</f>
        <v>2241.8000000000002</v>
      </c>
      <c r="M209" s="293">
        <f>IF(HLOOKUP(M$13,'MP (nominal)'!$D$12:$AM$244,ROW()-12,FALSE)="","",HLOOKUP(M$13,'MP (nominal)'!$D$12:$AM$244,ROW()-12,FALSE))</f>
        <v>10695.854601999999</v>
      </c>
      <c r="N209" s="35"/>
      <c r="O209" s="27">
        <f>IF(HLOOKUP(O$13,'MP (nominal)'!$D$12:$AM$244,ROW()-12,FALSE)="","",HLOOKUP(O$13,'MP (nominal)'!$D$12:$AM$244,ROW()-12,FALSE))</f>
        <v>671678</v>
      </c>
      <c r="P209" s="31"/>
      <c r="Q209" s="281"/>
      <c r="R209" s="281">
        <f>IF(HLOOKUP(R$13,'MP (nominal)'!$D$12:$AM$244,ROW()-12,FALSE)="","",HLOOKUP(R$13,'MP (nominal)'!$D$12:$AM$244,ROW()-12,FALSE))</f>
        <v>244.38</v>
      </c>
      <c r="S209" s="281" t="str">
        <f>IF(HLOOKUP(S$13,'MP (nominal)'!$D$12:$AM$244,ROW()-12,FALSE)="","",HLOOKUP(S$13,'MP (nominal)'!$D$12:$AM$244,ROW()-12,FALSE))</f>
        <v/>
      </c>
      <c r="T209" s="281" t="str">
        <f>IF(HLOOKUP(T$13,'MP (nominal)'!$D$12:$AM$244,ROW()-12,FALSE)="","",HLOOKUP(T$13,'MP (nominal)'!$D$12:$AM$244,ROW()-12,FALSE))</f>
        <v/>
      </c>
      <c r="U209" s="281"/>
      <c r="V209" s="281">
        <f>IF(HLOOKUP(V$13,'MP (nominal)'!$D$12:$AM$244,ROW()-12,FALSE)="","",HLOOKUP(V$13,'MP (nominal)'!$D$12:$AM$244,ROW()-12,FALSE))</f>
        <v>2.0499999999999998</v>
      </c>
      <c r="W209" s="281" t="str">
        <f>IF(HLOOKUP(W$13,'MP (nominal)'!$D$12:$AM$244,ROW()-12,FALSE)="","",HLOOKUP(W$13,'MP (nominal)'!$D$12:$AM$244,ROW()-12,FALSE))</f>
        <v/>
      </c>
      <c r="X209" s="281" t="str">
        <f>IF(HLOOKUP(X$13,'MP (nominal)'!$D$12:$AM$244,ROW()-12,FALSE)="","",HLOOKUP(X$13,'MP (nominal)'!$D$12:$AM$244,ROW()-12,FALSE))</f>
        <v/>
      </c>
      <c r="Y209" s="281"/>
      <c r="Z209" s="281" t="str">
        <f>IF(HLOOKUP(Z$13,'MP (nominal)'!$D$12:$AM$244,ROW()-12,FALSE)="","",HLOOKUP(Z$13,'MP (nominal)'!$D$12:$AM$244,ROW()-12,FALSE)*VLOOKUP($C209,CPI!$B$9:$I$63,8))</f>
        <v/>
      </c>
      <c r="AA209" s="281" t="str">
        <f>IF(HLOOKUP(AA$13,'MP (nominal)'!$D$12:$AM$244,ROW()-12,FALSE)="","",HLOOKUP(AA$13,'MP (nominal)'!$D$12:$AM$244,ROW()-12,FALSE))</f>
        <v/>
      </c>
      <c r="AB209" s="281" t="str">
        <f>IF(HLOOKUP(AB$13,'MP (nominal)'!$D$12:$AM$244,ROW()-12,FALSE)="","",HLOOKUP(AB$13,'MP (nominal)'!$D$12:$AM$244,ROW()-12,FALSE))</f>
        <v/>
      </c>
      <c r="AC209" s="281"/>
      <c r="AD209" s="281" t="str">
        <f>IF(HLOOKUP(AD$13,'MP (nominal)'!$D$12:$AM$244,ROW()-12,FALSE)="","",HLOOKUP(AD$13,'MP (nominal)'!$D$12:$AM$244,ROW()-12,FALSE)*VLOOKUP($C209,CPI!$B$9:$I$63,8))</f>
        <v/>
      </c>
      <c r="AE209" s="31" t="str">
        <f>IF(HLOOKUP(AE$13,'MP (nominal)'!$D$12:$AM$244,ROW()-12,FALSE)="","",HLOOKUP(AE$13,'MP (nominal)'!$D$12:$AM$244,ROW()-12,FALSE))</f>
        <v/>
      </c>
      <c r="AF209" s="31" t="str">
        <f>IF(HLOOKUP(AF$13,'MP (nominal)'!$D$12:$AM$244,ROW()-12,FALSE)="","",HLOOKUP(AF$13,'MP (nominal)'!$D$12:$AM$244,ROW()-12,FALSE))</f>
        <v/>
      </c>
      <c r="AG209" s="281"/>
      <c r="AH209" s="281" t="str">
        <f>IF(HLOOKUP(AH$13,'MP (nominal)'!$D$12:$AM$244,ROW()-12,FALSE)="","",HLOOKUP(AH$13,'MP (nominal)'!$D$12:$AM$244,ROW()-12,FALSE)*VLOOKUP($C209,CPI!$B$9:$I$63,8))</f>
        <v/>
      </c>
      <c r="AI209" s="31" t="str">
        <f>IF(HLOOKUP(AI$13,'MP (nominal)'!$D$12:$AM$244,ROW()-12,FALSE)="","",HLOOKUP(AI$13,'MP (nominal)'!$D$12:$AM$244,ROW()-12,FALSE))</f>
        <v/>
      </c>
      <c r="AJ209" s="31" t="str">
        <f>IF(HLOOKUP(AJ$13,'MP (nominal)'!$D$12:$AM$244,ROW()-12,FALSE)="","",HLOOKUP(AJ$13,'MP (nominal)'!$D$12:$AM$244,ROW()-12,FALSE))</f>
        <v/>
      </c>
      <c r="AK209" s="281"/>
      <c r="AL209" s="281" t="str">
        <f>IF(HLOOKUP(AL$13,'MP (nominal)'!$D$12:$AM$244,ROW()-12,FALSE)="","",HLOOKUP(AL$13,'MP (nominal)'!$D$12:$AM$244,ROW()-12,FALSE)*VLOOKUP($C209,CPI!$B$9:$I$63,8))</f>
        <v/>
      </c>
      <c r="AM209" s="31" t="str">
        <f>IF(HLOOKUP(AM$13,'MP (nominal)'!$D$12:$AM$244,ROW()-12,FALSE)="","",HLOOKUP(AM$13,'MP (nominal)'!$D$12:$AM$244,ROW()-12,FALSE))</f>
        <v/>
      </c>
      <c r="AN209" s="31" t="str">
        <f>IF(HLOOKUP(AN$13,'MP (nominal)'!$D$12:$AM$244,ROW()-12,FALSE)="","",HLOOKUP(AN$13,'MP (nominal)'!$D$12:$AM$244,ROW()-12,FALSE))</f>
        <v/>
      </c>
      <c r="AO209" s="281"/>
      <c r="AP209" s="281" t="str">
        <f>IF(HLOOKUP(AP$13,'MP (nominal)'!$D$12:$AM$244,ROW()-12,FALSE)="","",HLOOKUP(AP$13,'MP (nominal)'!$D$12:$AM$244,ROW()-12,FALSE)*VLOOKUP($C209,CPI!$B$9:$I$63,8))</f>
        <v/>
      </c>
      <c r="AQ209" s="31" t="str">
        <f>IF(HLOOKUP(AQ$13,'MP (nominal)'!$D$12:$AM$244,ROW()-12,FALSE)="","",HLOOKUP(AQ$13,'MP (nominal)'!$D$12:$AM$244,ROW()-12,FALSE))</f>
        <v/>
      </c>
      <c r="AR209" s="281" t="str">
        <f>IF(HLOOKUP(AR$13,'MP (nominal)'!$D$12:$AM$244,ROW()-12,FALSE)="","",HLOOKUP(AR$13,'MP (nominal)'!$D$12:$AM$244,ROW()-12,FALSE))</f>
        <v/>
      </c>
    </row>
    <row r="210" spans="1:44" s="278" customFormat="1">
      <c r="A210" s="271">
        <f>References!G282</f>
        <v>557</v>
      </c>
      <c r="B210" s="292" t="s">
        <v>53</v>
      </c>
      <c r="C210" s="284">
        <v>2008</v>
      </c>
      <c r="D210" s="27">
        <f>IF(HLOOKUP(D$13,'MP (nominal)'!$D$12:$AM$244,ROW()-12,FALSE)="","",HLOOKUP(D$13,'MP (nominal)'!$D$12:$AM$244,ROW()-12,FALSE))</f>
        <v>10341.14</v>
      </c>
      <c r="E210" s="281">
        <f>IF(HLOOKUP(E$13,'MP (nominal)'!$D$12:$AM$244,ROW()-12,FALSE)="","",HLOOKUP(E$13,'MP (nominal)'!$D$12:$AM$244,ROW()-12,FALSE))</f>
        <v>80.040000000000006</v>
      </c>
      <c r="F210" s="27">
        <f>IF(HLOOKUP(F$13,'MP (nominal)'!$D$12:$AM$244,ROW()-12,FALSE)="","",HLOOKUP(F$13,'MP (nominal)'!$D$12:$AM$244,ROW()-12,FALSE))</f>
        <v>11669.14</v>
      </c>
      <c r="G210" s="281">
        <f>IF(HLOOKUP(G$13,'MP (nominal)'!$D$12:$AM$244,ROW()-12,FALSE)="","",HLOOKUP(G$13,'MP (nominal)'!$D$12:$AM$244,ROW()-12,FALSE))</f>
        <v>545.33000000000004</v>
      </c>
      <c r="H210" s="27">
        <f>IF(HLOOKUP(H$13,'MP (nominal)'!$D$12:$AM$244,ROW()-12,FALSE)="","",HLOOKUP(H$13,'MP (nominal)'!$D$12:$AM$244,ROW()-12,FALSE))</f>
        <v>22010.28</v>
      </c>
      <c r="I210" s="31">
        <f>IF(HLOOKUP(I$13,'MP (nominal)'!$D$12:$AM$244,ROW()-12,FALSE)="","",HLOOKUP(I$13,'MP (nominal)'!$D$12:$AM$244,ROW()-12,FALSE))</f>
        <v>625.37</v>
      </c>
      <c r="J210" s="31">
        <f>IF(HLOOKUP(J$13,'MP (nominal)'!$D$12:$AM$244,ROW()-12,FALSE)="","",HLOOKUP(J$13,'MP (nominal)'!$D$12:$AM$244,ROW()-12,FALSE))</f>
        <v>10341.14</v>
      </c>
      <c r="K210" s="281"/>
      <c r="L210" s="27">
        <f>IF(HLOOKUP(L$13,'MP (nominal)'!$D$12:$AM$244,ROW()-12,FALSE)="","",HLOOKUP(L$13,'MP (nominal)'!$D$12:$AM$244,ROW()-12,FALSE))</f>
        <v>2221.7600000000002</v>
      </c>
      <c r="M210" s="283">
        <f>IF(HLOOKUP(M$13,'MP (nominal)'!$D$12:$AM$244,ROW()-12,FALSE)="","",HLOOKUP(M$13,'MP (nominal)'!$D$12:$AM$244,ROW()-12,FALSE))</f>
        <v>10650.117</v>
      </c>
      <c r="N210" s="35"/>
      <c r="O210" s="27">
        <f>IF(HLOOKUP(O$13,'MP (nominal)'!$D$12:$AM$244,ROW()-12,FALSE)="","",HLOOKUP(O$13,'MP (nominal)'!$D$12:$AM$244,ROW()-12,FALSE))</f>
        <v>679612</v>
      </c>
      <c r="P210" s="31"/>
      <c r="Q210" s="281"/>
      <c r="R210" s="281">
        <f>IF(HLOOKUP(R$13,'MP (nominal)'!$D$12:$AM$244,ROW()-12,FALSE)="","",HLOOKUP(R$13,'MP (nominal)'!$D$12:$AM$244,ROW()-12,FALSE))</f>
        <v>220.20214999999999</v>
      </c>
      <c r="S210" s="281">
        <f>IF(HLOOKUP(S$13,'MP (nominal)'!$D$12:$AM$244,ROW()-12,FALSE)="","",HLOOKUP(S$13,'MP (nominal)'!$D$12:$AM$244,ROW()-12,FALSE))</f>
        <v>3.8610633000000001</v>
      </c>
      <c r="T210" s="281">
        <f>IF(HLOOKUP(T$13,'MP (nominal)'!$D$12:$AM$244,ROW()-12,FALSE)="","",HLOOKUP(T$13,'MP (nominal)'!$D$12:$AM$244,ROW()-12,FALSE))</f>
        <v>195.56864999999999</v>
      </c>
      <c r="U210" s="281"/>
      <c r="V210" s="281">
        <f>IF(HLOOKUP(V$13,'MP (nominal)'!$D$12:$AM$244,ROW()-12,FALSE)="","",HLOOKUP(V$13,'MP (nominal)'!$D$12:$AM$244,ROW()-12,FALSE))</f>
        <v>1.6629092999999999</v>
      </c>
      <c r="W210" s="281">
        <f>IF(HLOOKUP(W$13,'MP (nominal)'!$D$12:$AM$244,ROW()-12,FALSE)="","",HLOOKUP(W$13,'MP (nominal)'!$D$12:$AM$244,ROW()-12,FALSE))</f>
        <v>2.5069339999999999E-2</v>
      </c>
      <c r="X210" s="281">
        <f>IF(HLOOKUP(X$13,'MP (nominal)'!$D$12:$AM$244,ROW()-12,FALSE)="","",HLOOKUP(X$13,'MP (nominal)'!$D$12:$AM$244,ROW()-12,FALSE))</f>
        <v>1.4673054000000001</v>
      </c>
      <c r="Y210" s="281"/>
      <c r="Z210" s="281">
        <f>IF(HLOOKUP(Z$13,'MP (nominal)'!$D$12:$AM$244,ROW()-12,FALSE)="","",HLOOKUP(Z$13,'MP (nominal)'!$D$12:$AM$244,ROW()-12,FALSE)*VLOOKUP($C210,CPI!$B$9:$I$63,8))</f>
        <v>377077.57430355565</v>
      </c>
      <c r="AA210" s="281">
        <f>IF(HLOOKUP(AA$13,'MP (nominal)'!$D$12:$AM$244,ROW()-12,FALSE)="","",HLOOKUP(AA$13,'MP (nominal)'!$D$12:$AM$244,ROW()-12,FALSE))</f>
        <v>4779607.0999999996</v>
      </c>
      <c r="AB210" s="281">
        <f>IF(HLOOKUP(AB$13,'MP (nominal)'!$D$12:$AM$244,ROW()-12,FALSE)="","",HLOOKUP(AB$13,'MP (nominal)'!$D$12:$AM$244,ROW()-12,FALSE))</f>
        <v>631963</v>
      </c>
      <c r="AC210" s="281"/>
      <c r="AD210" s="281">
        <f>IF(HLOOKUP(AD$13,'MP (nominal)'!$D$12:$AM$244,ROW()-12,FALSE)="","",HLOOKUP(AD$13,'MP (nominal)'!$D$12:$AM$244,ROW()-12,FALSE)*VLOOKUP($C210,CPI!$B$9:$I$63,8))</f>
        <v>92846.046685865818</v>
      </c>
      <c r="AE210" s="31">
        <f>IF(HLOOKUP(AE$13,'MP (nominal)'!$D$12:$AM$244,ROW()-12,FALSE)="","",HLOOKUP(AE$13,'MP (nominal)'!$D$12:$AM$244,ROW()-12,FALSE))</f>
        <v>1358680.5</v>
      </c>
      <c r="AF210" s="31">
        <f>IF(HLOOKUP(AF$13,'MP (nominal)'!$D$12:$AM$244,ROW()-12,FALSE)="","",HLOOKUP(AF$13,'MP (nominal)'!$D$12:$AM$244,ROW()-12,FALSE))</f>
        <v>41160.000999999997</v>
      </c>
      <c r="AG210" s="281"/>
      <c r="AH210" s="281">
        <f>IF(HLOOKUP(AH$13,'MP (nominal)'!$D$12:$AM$244,ROW()-12,FALSE)="","",HLOOKUP(AH$13,'MP (nominal)'!$D$12:$AM$244,ROW()-12,FALSE)*VLOOKUP($C210,CPI!$B$9:$I$63,8))</f>
        <v>162780.45377947591</v>
      </c>
      <c r="AI210" s="31">
        <f>IF(HLOOKUP(AI$13,'MP (nominal)'!$D$12:$AM$244,ROW()-12,FALSE)="","",HLOOKUP(AI$13,'MP (nominal)'!$D$12:$AM$244,ROW()-12,FALSE))</f>
        <v>3928586.5</v>
      </c>
      <c r="AJ210" s="31">
        <f>IF(HLOOKUP(AJ$13,'MP (nominal)'!$D$12:$AM$244,ROW()-12,FALSE)="","",HLOOKUP(AJ$13,'MP (nominal)'!$D$12:$AM$244,ROW()-12,FALSE))</f>
        <v>6473.9976999999999</v>
      </c>
      <c r="AK210" s="281"/>
      <c r="AL210" s="281">
        <f>IF(HLOOKUP(AL$13,'MP (nominal)'!$D$12:$AM$244,ROW()-12,FALSE)="","",HLOOKUP(AL$13,'MP (nominal)'!$D$12:$AM$244,ROW()-12,FALSE)*VLOOKUP($C210,CPI!$B$9:$I$63,8))</f>
        <v>13311.01853183542</v>
      </c>
      <c r="AM210" s="31">
        <f>IF(HLOOKUP(AM$13,'MP (nominal)'!$D$12:$AM$244,ROW()-12,FALSE)="","",HLOOKUP(AM$13,'MP (nominal)'!$D$12:$AM$244,ROW()-12,FALSE))</f>
        <v>583242.80000000005</v>
      </c>
      <c r="AN210" s="31">
        <f>IF(HLOOKUP(AN$13,'MP (nominal)'!$D$12:$AM$244,ROW()-12,FALSE)="","",HLOOKUP(AN$13,'MP (nominal)'!$D$12:$AM$244,ROW()-12,FALSE))</f>
        <v>15</v>
      </c>
      <c r="AO210" s="281"/>
      <c r="AP210" s="281">
        <f>IF(HLOOKUP(AP$13,'MP (nominal)'!$D$12:$AM$244,ROW()-12,FALSE)="","",HLOOKUP(AP$13,'MP (nominal)'!$D$12:$AM$244,ROW()-12,FALSE)*VLOOKUP($C210,CPI!$B$9:$I$63,8))</f>
        <v>646015.09869122633</v>
      </c>
      <c r="AQ210" s="31">
        <f>IF(HLOOKUP(AQ$13,'MP (nominal)'!$D$12:$AM$244,ROW()-12,FALSE)="","",HLOOKUP(AQ$13,'MP (nominal)'!$D$12:$AM$244,ROW()-12,FALSE))</f>
        <v>10650117</v>
      </c>
      <c r="AR210" s="281">
        <f>IF(HLOOKUP(AR$13,'MP (nominal)'!$D$12:$AM$244,ROW()-12,FALSE)="","",HLOOKUP(AR$13,'MP (nominal)'!$D$12:$AM$244,ROW()-12,FALSE))</f>
        <v>679612</v>
      </c>
    </row>
    <row r="211" spans="1:44" s="278" customFormat="1">
      <c r="A211" s="271">
        <f>References!H282</f>
        <v>558</v>
      </c>
      <c r="B211" s="292" t="s">
        <v>53</v>
      </c>
      <c r="C211" s="284">
        <v>2009</v>
      </c>
      <c r="D211" s="27">
        <f>IF(HLOOKUP(D$13,'MP (nominal)'!$D$12:$AM$244,ROW()-12,FALSE)="","",HLOOKUP(D$13,'MP (nominal)'!$D$12:$AM$244,ROW()-12,FALSE))</f>
        <v>8532</v>
      </c>
      <c r="E211" s="281">
        <f>IF(HLOOKUP(E$13,'MP (nominal)'!$D$12:$AM$244,ROW()-12,FALSE)="","",HLOOKUP(E$13,'MP (nominal)'!$D$12:$AM$244,ROW()-12,FALSE))</f>
        <v>17</v>
      </c>
      <c r="F211" s="27">
        <f>IF(HLOOKUP(F$13,'MP (nominal)'!$D$12:$AM$244,ROW()-12,FALSE)="","",HLOOKUP(F$13,'MP (nominal)'!$D$12:$AM$244,ROW()-12,FALSE))</f>
        <v>9005</v>
      </c>
      <c r="G211" s="281">
        <f>IF(HLOOKUP(G$13,'MP (nominal)'!$D$12:$AM$244,ROW()-12,FALSE)="","",HLOOKUP(G$13,'MP (nominal)'!$D$12:$AM$244,ROW()-12,FALSE))</f>
        <v>309</v>
      </c>
      <c r="H211" s="27">
        <f>IF(HLOOKUP(H$13,'MP (nominal)'!$D$12:$AM$244,ROW()-12,FALSE)="","",HLOOKUP(H$13,'MP (nominal)'!$D$12:$AM$244,ROW()-12,FALSE))</f>
        <v>17537</v>
      </c>
      <c r="I211" s="31">
        <f>IF(HLOOKUP(I$13,'MP (nominal)'!$D$12:$AM$244,ROW()-12,FALSE)="","",HLOOKUP(I$13,'MP (nominal)'!$D$12:$AM$244,ROW()-12,FALSE))</f>
        <v>326</v>
      </c>
      <c r="J211" s="31">
        <f>IF(HLOOKUP(J$13,'MP (nominal)'!$D$12:$AM$244,ROW()-12,FALSE)="","",HLOOKUP(J$13,'MP (nominal)'!$D$12:$AM$244,ROW()-12,FALSE))</f>
        <v>8532</v>
      </c>
      <c r="K211" s="281"/>
      <c r="L211" s="27">
        <f>IF(HLOOKUP(L$13,'MP (nominal)'!$D$12:$AM$244,ROW()-12,FALSE)="","",HLOOKUP(L$13,'MP (nominal)'!$D$12:$AM$244,ROW()-12,FALSE))</f>
        <v>1711</v>
      </c>
      <c r="M211" s="283">
        <f>IF(HLOOKUP(M$13,'MP (nominal)'!$D$12:$AM$244,ROW()-12,FALSE)="","",HLOOKUP(M$13,'MP (nominal)'!$D$12:$AM$244,ROW()-12,FALSE))</f>
        <v>8244</v>
      </c>
      <c r="N211" s="35"/>
      <c r="O211" s="27">
        <f>IF(HLOOKUP(O$13,'MP (nominal)'!$D$12:$AM$244,ROW()-12,FALSE)="","",HLOOKUP(O$13,'MP (nominal)'!$D$12:$AM$244,ROW()-12,FALSE))</f>
        <v>522147</v>
      </c>
      <c r="P211" s="31"/>
      <c r="Q211" s="281"/>
      <c r="R211" s="281">
        <f>IF(HLOOKUP(R$13,'MP (nominal)'!$D$12:$AM$244,ROW()-12,FALSE)="","",HLOOKUP(R$13,'MP (nominal)'!$D$12:$AM$244,ROW()-12,FALSE))</f>
        <v>172.34</v>
      </c>
      <c r="S211" s="281">
        <f>IF(HLOOKUP(S$13,'MP (nominal)'!$D$12:$AM$244,ROW()-12,FALSE)="","",HLOOKUP(S$13,'MP (nominal)'!$D$12:$AM$244,ROW()-12,FALSE))</f>
        <v>4.9400000000000004</v>
      </c>
      <c r="T211" s="281">
        <f>IF(HLOOKUP(T$13,'MP (nominal)'!$D$12:$AM$244,ROW()-12,FALSE)="","",HLOOKUP(T$13,'MP (nominal)'!$D$12:$AM$244,ROW()-12,FALSE))</f>
        <v>148.5</v>
      </c>
      <c r="U211" s="281"/>
      <c r="V211" s="281">
        <f>IF(HLOOKUP(V$13,'MP (nominal)'!$D$12:$AM$244,ROW()-12,FALSE)="","",HLOOKUP(V$13,'MP (nominal)'!$D$12:$AM$244,ROW()-12,FALSE))</f>
        <v>1.89</v>
      </c>
      <c r="W211" s="281">
        <f>IF(HLOOKUP(W$13,'MP (nominal)'!$D$12:$AM$244,ROW()-12,FALSE)="","",HLOOKUP(W$13,'MP (nominal)'!$D$12:$AM$244,ROW()-12,FALSE))</f>
        <v>0.03</v>
      </c>
      <c r="X211" s="281">
        <f>IF(HLOOKUP(X$13,'MP (nominal)'!$D$12:$AM$244,ROW()-12,FALSE)="","",HLOOKUP(X$13,'MP (nominal)'!$D$12:$AM$244,ROW()-12,FALSE))</f>
        <v>1.65</v>
      </c>
      <c r="Y211" s="281"/>
      <c r="Z211" s="281">
        <f>IF(HLOOKUP(Z$13,'MP (nominal)'!$D$12:$AM$244,ROW()-12,FALSE)="","",HLOOKUP(Z$13,'MP (nominal)'!$D$12:$AM$244,ROW()-12,FALSE)*VLOOKUP($C211,CPI!$B$9:$I$63,8))</f>
        <v>319362.53222595912</v>
      </c>
      <c r="AA211" s="281">
        <f>IF(HLOOKUP(AA$13,'MP (nominal)'!$D$12:$AM$244,ROW()-12,FALSE)="","",HLOOKUP(AA$13,'MP (nominal)'!$D$12:$AM$244,ROW()-12,FALSE))</f>
        <v>3628963</v>
      </c>
      <c r="AB211" s="281">
        <f>IF(HLOOKUP(AB$13,'MP (nominal)'!$D$12:$AM$244,ROW()-12,FALSE)="","",HLOOKUP(AB$13,'MP (nominal)'!$D$12:$AM$244,ROW()-12,FALSE))</f>
        <v>486419</v>
      </c>
      <c r="AC211" s="281"/>
      <c r="AD211" s="281">
        <f>IF(HLOOKUP(AD$13,'MP (nominal)'!$D$12:$AM$244,ROW()-12,FALSE)="","",HLOOKUP(AD$13,'MP (nominal)'!$D$12:$AM$244,ROW()-12,FALSE)*VLOOKUP($C211,CPI!$B$9:$I$63,8))</f>
        <v>64996.140023337204</v>
      </c>
      <c r="AE211" s="31">
        <f>IF(HLOOKUP(AE$13,'MP (nominal)'!$D$12:$AM$244,ROW()-12,FALSE)="","",HLOOKUP(AE$13,'MP (nominal)'!$D$12:$AM$244,ROW()-12,FALSE))</f>
        <v>959874</v>
      </c>
      <c r="AF211" s="31">
        <f>IF(HLOOKUP(AF$13,'MP (nominal)'!$D$12:$AM$244,ROW()-12,FALSE)="","",HLOOKUP(AF$13,'MP (nominal)'!$D$12:$AM$244,ROW()-12,FALSE))</f>
        <v>30204</v>
      </c>
      <c r="AG211" s="281"/>
      <c r="AH211" s="281">
        <f>IF(HLOOKUP(AH$13,'MP (nominal)'!$D$12:$AM$244,ROW()-12,FALSE)="","",HLOOKUP(AH$13,'MP (nominal)'!$D$12:$AM$244,ROW()-12,FALSE)*VLOOKUP($C211,CPI!$B$9:$I$63,8))</f>
        <v>114918.1085867252</v>
      </c>
      <c r="AI211" s="31">
        <f>IF(HLOOKUP(AI$13,'MP (nominal)'!$D$12:$AM$244,ROW()-12,FALSE)="","",HLOOKUP(AI$13,'MP (nominal)'!$D$12:$AM$244,ROW()-12,FALSE))</f>
        <v>3170144</v>
      </c>
      <c r="AJ211" s="31">
        <f>IF(HLOOKUP(AJ$13,'MP (nominal)'!$D$12:$AM$244,ROW()-12,FALSE)="","",HLOOKUP(AJ$13,'MP (nominal)'!$D$12:$AM$244,ROW()-12,FALSE))</f>
        <v>5514</v>
      </c>
      <c r="AK211" s="281"/>
      <c r="AL211" s="281">
        <f>IF(HLOOKUP(AL$13,'MP (nominal)'!$D$12:$AM$244,ROW()-12,FALSE)="","",HLOOKUP(AL$13,'MP (nominal)'!$D$12:$AM$244,ROW()-12,FALSE)*VLOOKUP($C211,CPI!$B$9:$I$63,8))</f>
        <v>9683.3462832040605</v>
      </c>
      <c r="AM211" s="31">
        <f>IF(HLOOKUP(AM$13,'MP (nominal)'!$D$12:$AM$244,ROW()-12,FALSE)="","",HLOOKUP(AM$13,'MP (nominal)'!$D$12:$AM$244,ROW()-12,FALSE))</f>
        <v>485277</v>
      </c>
      <c r="AN211" s="31">
        <f>IF(HLOOKUP(AN$13,'MP (nominal)'!$D$12:$AM$244,ROW()-12,FALSE)="","",HLOOKUP(AN$13,'MP (nominal)'!$D$12:$AM$244,ROW()-12,FALSE))</f>
        <v>10</v>
      </c>
      <c r="AO211" s="281"/>
      <c r="AP211" s="281">
        <f>IF(HLOOKUP(AP$13,'MP (nominal)'!$D$12:$AM$244,ROW()-12,FALSE)="","",HLOOKUP(AP$13,'MP (nominal)'!$D$12:$AM$244,ROW()-12,FALSE)*VLOOKUP($C211,CPI!$B$9:$I$63,8))</f>
        <v>508960.12711922562</v>
      </c>
      <c r="AQ211" s="31">
        <f>IF(HLOOKUP(AQ$13,'MP (nominal)'!$D$12:$AM$244,ROW()-12,FALSE)="","",HLOOKUP(AQ$13,'MP (nominal)'!$D$12:$AM$244,ROW()-12,FALSE))</f>
        <v>8244258</v>
      </c>
      <c r="AR211" s="281">
        <f>IF(HLOOKUP(AR$13,'MP (nominal)'!$D$12:$AM$244,ROW()-12,FALSE)="","",HLOOKUP(AR$13,'MP (nominal)'!$D$12:$AM$244,ROW()-12,FALSE))</f>
        <v>522147</v>
      </c>
    </row>
    <row r="212" spans="1:44" s="278" customFormat="1">
      <c r="A212" s="271">
        <f>References!I282</f>
        <v>559</v>
      </c>
      <c r="B212" s="292" t="s">
        <v>164</v>
      </c>
      <c r="C212" s="284">
        <v>2010</v>
      </c>
      <c r="D212" s="27">
        <f>IF(HLOOKUP(D$13,'MP (nominal)'!$D$12:$AM$244,ROW()-12,FALSE)="","",HLOOKUP(D$13,'MP (nominal)'!$D$12:$AM$244,ROW()-12,FALSE))</f>
        <v>8505</v>
      </c>
      <c r="E212" s="281">
        <f>IF(HLOOKUP(E$13,'MP (nominal)'!$D$12:$AM$244,ROW()-12,FALSE)="","",HLOOKUP(E$13,'MP (nominal)'!$D$12:$AM$244,ROW()-12,FALSE))</f>
        <v>17.374706</v>
      </c>
      <c r="F212" s="27">
        <f>IF(HLOOKUP(F$13,'MP (nominal)'!$D$12:$AM$244,ROW()-12,FALSE)="","",HLOOKUP(F$13,'MP (nominal)'!$D$12:$AM$244,ROW()-12,FALSE))</f>
        <v>9126.0691000000006</v>
      </c>
      <c r="G212" s="281">
        <f>IF(HLOOKUP(G$13,'MP (nominal)'!$D$12:$AM$244,ROW()-12,FALSE)="","",HLOOKUP(G$13,'MP (nominal)'!$D$12:$AM$244,ROW()-12,FALSE))</f>
        <v>316.30574999999999</v>
      </c>
      <c r="H212" s="27">
        <f>IF(HLOOKUP(H$13,'MP (nominal)'!$D$12:$AM$244,ROW()-12,FALSE)="","",HLOOKUP(H$13,'MP (nominal)'!$D$12:$AM$244,ROW()-12,FALSE))</f>
        <v>17631.069</v>
      </c>
      <c r="I212" s="31">
        <f>IF(HLOOKUP(I$13,'MP (nominal)'!$D$12:$AM$244,ROW()-12,FALSE)="","",HLOOKUP(I$13,'MP (nominal)'!$D$12:$AM$244,ROW()-12,FALSE))</f>
        <v>333.68045000000001</v>
      </c>
      <c r="J212" s="31">
        <f>IF(HLOOKUP(J$13,'MP (nominal)'!$D$12:$AM$244,ROW()-12,FALSE)="","",HLOOKUP(J$13,'MP (nominal)'!$D$12:$AM$244,ROW()-12,FALSE))</f>
        <v>8505</v>
      </c>
      <c r="K212" s="281"/>
      <c r="L212" s="27">
        <f>IF(HLOOKUP(L$13,'MP (nominal)'!$D$12:$AM$244,ROW()-12,FALSE)="","",HLOOKUP(L$13,'MP (nominal)'!$D$12:$AM$244,ROW()-12,FALSE))</f>
        <v>1775.1035999999999</v>
      </c>
      <c r="M212" s="283">
        <f>IF(HLOOKUP(M$13,'MP (nominal)'!$D$12:$AM$244,ROW()-12,FALSE)="","",HLOOKUP(M$13,'MP (nominal)'!$D$12:$AM$244,ROW()-12,FALSE))</f>
        <v>8310.9231</v>
      </c>
      <c r="N212" s="35"/>
      <c r="O212" s="27">
        <f>IF(HLOOKUP(O$13,'MP (nominal)'!$D$12:$AM$244,ROW()-12,FALSE)="","",HLOOKUP(O$13,'MP (nominal)'!$D$12:$AM$244,ROW()-12,FALSE))</f>
        <v>527096</v>
      </c>
      <c r="P212" s="31"/>
      <c r="Q212" s="281"/>
      <c r="R212" s="281">
        <f>IF(HLOOKUP(R$13,'MP (nominal)'!$D$12:$AM$244,ROW()-12,FALSE)="","",HLOOKUP(R$13,'MP (nominal)'!$D$12:$AM$244,ROW()-12,FALSE))</f>
        <v>119.73634</v>
      </c>
      <c r="S212" s="281">
        <f>IF(HLOOKUP(S$13,'MP (nominal)'!$D$12:$AM$244,ROW()-12,FALSE)="","",HLOOKUP(S$13,'MP (nominal)'!$D$12:$AM$244,ROW()-12,FALSE))</f>
        <v>9.6269782999999993</v>
      </c>
      <c r="T212" s="281">
        <f>IF(HLOOKUP(T$13,'MP (nominal)'!$D$12:$AM$244,ROW()-12,FALSE)="","",HLOOKUP(T$13,'MP (nominal)'!$D$12:$AM$244,ROW()-12,FALSE))</f>
        <v>57.152230000000003</v>
      </c>
      <c r="U212" s="281"/>
      <c r="V212" s="281">
        <f>IF(HLOOKUP(V$13,'MP (nominal)'!$D$12:$AM$244,ROW()-12,FALSE)="","",HLOOKUP(V$13,'MP (nominal)'!$D$12:$AM$244,ROW()-12,FALSE))</f>
        <v>1.5607610000000001</v>
      </c>
      <c r="W212" s="281">
        <f>IF(HLOOKUP(W$13,'MP (nominal)'!$D$12:$AM$244,ROW()-12,FALSE)="","",HLOOKUP(W$13,'MP (nominal)'!$D$12:$AM$244,ROW()-12,FALSE))</f>
        <v>4.697486E-2</v>
      </c>
      <c r="X212" s="281">
        <f>IF(HLOOKUP(X$13,'MP (nominal)'!$D$12:$AM$244,ROW()-12,FALSE)="","",HLOOKUP(X$13,'MP (nominal)'!$D$12:$AM$244,ROW()-12,FALSE))</f>
        <v>0.97126305999999996</v>
      </c>
      <c r="Y212" s="281"/>
      <c r="Z212" s="281">
        <f>IF(HLOOKUP(Z$13,'MP (nominal)'!$D$12:$AM$244,ROW()-12,FALSE)="","",HLOOKUP(Z$13,'MP (nominal)'!$D$12:$AM$244,ROW()-12,FALSE)*VLOOKUP($C212,CPI!$B$9:$I$63,8))</f>
        <v>341872.75058338494</v>
      </c>
      <c r="AA212" s="281">
        <f>IF(HLOOKUP(AA$13,'MP (nominal)'!$D$12:$AM$244,ROW()-12,FALSE)="","",HLOOKUP(AA$13,'MP (nominal)'!$D$12:$AM$244,ROW()-12,FALSE))</f>
        <v>3745571</v>
      </c>
      <c r="AB212" s="281">
        <f>IF(HLOOKUP(AB$13,'MP (nominal)'!$D$12:$AM$244,ROW()-12,FALSE)="","",HLOOKUP(AB$13,'MP (nominal)'!$D$12:$AM$244,ROW()-12,FALSE))</f>
        <v>490832.49</v>
      </c>
      <c r="AC212" s="281"/>
      <c r="AD212" s="281">
        <f>IF(HLOOKUP(AD$13,'MP (nominal)'!$D$12:$AM$244,ROW()-12,FALSE)="","",HLOOKUP(AD$13,'MP (nominal)'!$D$12:$AM$244,ROW()-12,FALSE)*VLOOKUP($C212,CPI!$B$9:$I$63,8))</f>
        <v>66269.037134542319</v>
      </c>
      <c r="AE212" s="31">
        <f>IF(HLOOKUP(AE$13,'MP (nominal)'!$D$12:$AM$244,ROW()-12,FALSE)="","",HLOOKUP(AE$13,'MP (nominal)'!$D$12:$AM$244,ROW()-12,FALSE))</f>
        <v>942182.03</v>
      </c>
      <c r="AF212" s="31">
        <f>IF(HLOOKUP(AF$13,'MP (nominal)'!$D$12:$AM$244,ROW()-12,FALSE)="","",HLOOKUP(AF$13,'MP (nominal)'!$D$12:$AM$244,ROW()-12,FALSE))</f>
        <v>30651.169000000002</v>
      </c>
      <c r="AG212" s="281"/>
      <c r="AH212" s="281">
        <f>IF(HLOOKUP(AH$13,'MP (nominal)'!$D$12:$AM$244,ROW()-12,FALSE)="","",HLOOKUP(AH$13,'MP (nominal)'!$D$12:$AM$244,ROW()-12,FALSE)*VLOOKUP($C212,CPI!$B$9:$I$63,8))</f>
        <v>123033.80724313544</v>
      </c>
      <c r="AI212" s="31">
        <f>IF(HLOOKUP(AI$13,'MP (nominal)'!$D$12:$AM$244,ROW()-12,FALSE)="","",HLOOKUP(AI$13,'MP (nominal)'!$D$12:$AM$244,ROW()-12,FALSE))</f>
        <v>3172894.3</v>
      </c>
      <c r="AJ212" s="31">
        <f>IF(HLOOKUP(AJ$13,'MP (nominal)'!$D$12:$AM$244,ROW()-12,FALSE)="","",HLOOKUP(AJ$13,'MP (nominal)'!$D$12:$AM$244,ROW()-12,FALSE))</f>
        <v>5602.3451999999997</v>
      </c>
      <c r="AK212" s="281"/>
      <c r="AL212" s="281">
        <f>IF(HLOOKUP(AL$13,'MP (nominal)'!$D$12:$AM$244,ROW()-12,FALSE)="","",HLOOKUP(AL$13,'MP (nominal)'!$D$12:$AM$244,ROW()-12,FALSE)*VLOOKUP($C212,CPI!$B$9:$I$63,8))</f>
        <v>11200.568850745061</v>
      </c>
      <c r="AM212" s="31">
        <f>IF(HLOOKUP(AM$13,'MP (nominal)'!$D$12:$AM$244,ROW()-12,FALSE)="","",HLOOKUP(AM$13,'MP (nominal)'!$D$12:$AM$244,ROW()-12,FALSE))</f>
        <v>450275.77</v>
      </c>
      <c r="AN212" s="31">
        <f>IF(HLOOKUP(AN$13,'MP (nominal)'!$D$12:$AM$244,ROW()-12,FALSE)="","",HLOOKUP(AN$13,'MP (nominal)'!$D$12:$AM$244,ROW()-12,FALSE))</f>
        <v>10</v>
      </c>
      <c r="AO212" s="281"/>
      <c r="AP212" s="281">
        <f>IF(HLOOKUP(AP$13,'MP (nominal)'!$D$12:$AM$244,ROW()-12,FALSE)="","",HLOOKUP(AP$13,'MP (nominal)'!$D$12:$AM$244,ROW()-12,FALSE)*VLOOKUP($C212,CPI!$B$9:$I$63,8))</f>
        <v>542376.16177413706</v>
      </c>
      <c r="AQ212" s="31">
        <f>IF(HLOOKUP(AQ$13,'MP (nominal)'!$D$12:$AM$244,ROW()-12,FALSE)="","",HLOOKUP(AQ$13,'MP (nominal)'!$D$12:$AM$244,ROW()-12,FALSE))</f>
        <v>8310923.0999999996</v>
      </c>
      <c r="AR212" s="281">
        <f>IF(HLOOKUP(AR$13,'MP (nominal)'!$D$12:$AM$244,ROW()-12,FALSE)="","",HLOOKUP(AR$13,'MP (nominal)'!$D$12:$AM$244,ROW()-12,FALSE))</f>
        <v>527096</v>
      </c>
    </row>
    <row r="213" spans="1:44" s="278" customFormat="1">
      <c r="A213" s="271">
        <f>References!J282</f>
        <v>560</v>
      </c>
      <c r="B213" s="292" t="s">
        <v>164</v>
      </c>
      <c r="C213" s="284">
        <v>2011</v>
      </c>
      <c r="D213" s="27">
        <f>IF(HLOOKUP(D$13,'MP (nominal)'!$D$12:$AM$244,ROW()-12,FALSE)="","",HLOOKUP(D$13,'MP (nominal)'!$D$12:$AM$244,ROW()-12,FALSE))</f>
        <v>8461</v>
      </c>
      <c r="E213" s="281">
        <f>IF(HLOOKUP(E$13,'MP (nominal)'!$D$12:$AM$244,ROW()-12,FALSE)="","",HLOOKUP(E$13,'MP (nominal)'!$D$12:$AM$244,ROW()-12,FALSE))</f>
        <v>17.374706</v>
      </c>
      <c r="F213" s="27">
        <f>IF(HLOOKUP(F$13,'MP (nominal)'!$D$12:$AM$244,ROW()-12,FALSE)="","",HLOOKUP(F$13,'MP (nominal)'!$D$12:$AM$244,ROW()-12,FALSE))</f>
        <v>9258.7837999999992</v>
      </c>
      <c r="G213" s="281">
        <f>IF(HLOOKUP(G$13,'MP (nominal)'!$D$12:$AM$244,ROW()-12,FALSE)="","",HLOOKUP(G$13,'MP (nominal)'!$D$12:$AM$244,ROW()-12,FALSE))</f>
        <v>335</v>
      </c>
      <c r="H213" s="27">
        <f>IF(HLOOKUP(H$13,'MP (nominal)'!$D$12:$AM$244,ROW()-12,FALSE)="","",HLOOKUP(H$13,'MP (nominal)'!$D$12:$AM$244,ROW()-12,FALSE))</f>
        <v>17719.784</v>
      </c>
      <c r="I213" s="31">
        <f>IF(HLOOKUP(I$13,'MP (nominal)'!$D$12:$AM$244,ROW()-12,FALSE)="","",HLOOKUP(I$13,'MP (nominal)'!$D$12:$AM$244,ROW()-12,FALSE))</f>
        <v>352.37470999999999</v>
      </c>
      <c r="J213" s="31">
        <f>IF(HLOOKUP(J$13,'MP (nominal)'!$D$12:$AM$244,ROW()-12,FALSE)="","",HLOOKUP(J$13,'MP (nominal)'!$D$12:$AM$244,ROW()-12,FALSE))</f>
        <v>8461</v>
      </c>
      <c r="K213" s="281"/>
      <c r="L213" s="27">
        <f>IF(HLOOKUP(L$13,'MP (nominal)'!$D$12:$AM$244,ROW()-12,FALSE)="","",HLOOKUP(L$13,'MP (nominal)'!$D$12:$AM$244,ROW()-12,FALSE))</f>
        <v>1722</v>
      </c>
      <c r="M213" s="283">
        <f>IF(HLOOKUP(M$13,'MP (nominal)'!$D$12:$AM$244,ROW()-12,FALSE)="","",HLOOKUP(M$13,'MP (nominal)'!$D$12:$AM$244,ROW()-12,FALSE))</f>
        <v>8289</v>
      </c>
      <c r="N213" s="35"/>
      <c r="O213" s="27">
        <f>IF(HLOOKUP(O$13,'MP (nominal)'!$D$12:$AM$244,ROW()-12,FALSE)="","",HLOOKUP(O$13,'MP (nominal)'!$D$12:$AM$244,ROW()-12,FALSE))</f>
        <v>531185</v>
      </c>
      <c r="P213" s="31"/>
      <c r="Q213" s="281"/>
      <c r="R213" s="281">
        <f>IF(HLOOKUP(R$13,'MP (nominal)'!$D$12:$AM$244,ROW()-12,FALSE)="","",HLOOKUP(R$13,'MP (nominal)'!$D$12:$AM$244,ROW()-12,FALSE))</f>
        <v>123.95</v>
      </c>
      <c r="S213" s="281">
        <f>IF(HLOOKUP(S$13,'MP (nominal)'!$D$12:$AM$244,ROW()-12,FALSE)="","",HLOOKUP(S$13,'MP (nominal)'!$D$12:$AM$244,ROW()-12,FALSE))</f>
        <v>20.39</v>
      </c>
      <c r="T213" s="281">
        <f>IF(HLOOKUP(T$13,'MP (nominal)'!$D$12:$AM$244,ROW()-12,FALSE)="","",HLOOKUP(T$13,'MP (nominal)'!$D$12:$AM$244,ROW()-12,FALSE))</f>
        <v>102.76</v>
      </c>
      <c r="U213" s="281"/>
      <c r="V213" s="281">
        <f>IF(HLOOKUP(V$13,'MP (nominal)'!$D$12:$AM$244,ROW()-12,FALSE)="","",HLOOKUP(V$13,'MP (nominal)'!$D$12:$AM$244,ROW()-12,FALSE))</f>
        <v>1.24</v>
      </c>
      <c r="W213" s="281">
        <f>IF(HLOOKUP(W$13,'MP (nominal)'!$D$12:$AM$244,ROW()-12,FALSE)="","",HLOOKUP(W$13,'MP (nominal)'!$D$12:$AM$244,ROW()-12,FALSE))</f>
        <v>0.1</v>
      </c>
      <c r="X213" s="281">
        <f>IF(HLOOKUP(X$13,'MP (nominal)'!$D$12:$AM$244,ROW()-12,FALSE)="","",HLOOKUP(X$13,'MP (nominal)'!$D$12:$AM$244,ROW()-12,FALSE))</f>
        <v>1.1399999999999999</v>
      </c>
      <c r="Y213" s="281"/>
      <c r="Z213" s="281">
        <f>IF(HLOOKUP(Z$13,'MP (nominal)'!$D$12:$AM$244,ROW()-12,FALSE)="","",HLOOKUP(Z$13,'MP (nominal)'!$D$12:$AM$244,ROW()-12,FALSE)*VLOOKUP($C213,CPI!$B$9:$I$63,8))</f>
        <v>335766</v>
      </c>
      <c r="AA213" s="281">
        <f>IF(HLOOKUP(AA$13,'MP (nominal)'!$D$12:$AM$244,ROW()-12,FALSE)="","",HLOOKUP(AA$13,'MP (nominal)'!$D$12:$AM$244,ROW()-12,FALSE))</f>
        <v>3639618</v>
      </c>
      <c r="AB213" s="281">
        <f>IF(HLOOKUP(AB$13,'MP (nominal)'!$D$12:$AM$244,ROW()-12,FALSE)="","",HLOOKUP(AB$13,'MP (nominal)'!$D$12:$AM$244,ROW()-12,FALSE))</f>
        <v>483600</v>
      </c>
      <c r="AC213" s="281"/>
      <c r="AD213" s="281">
        <f>IF(HLOOKUP(AD$13,'MP (nominal)'!$D$12:$AM$244,ROW()-12,FALSE)="","",HLOOKUP(AD$13,'MP (nominal)'!$D$12:$AM$244,ROW()-12,FALSE)*VLOOKUP($C213,CPI!$B$9:$I$63,8))</f>
        <v>67061</v>
      </c>
      <c r="AE213" s="31">
        <f>IF(HLOOKUP(AE$13,'MP (nominal)'!$D$12:$AM$244,ROW()-12,FALSE)="","",HLOOKUP(AE$13,'MP (nominal)'!$D$12:$AM$244,ROW()-12,FALSE))</f>
        <v>949402</v>
      </c>
      <c r="AF213" s="31">
        <f>IF(HLOOKUP(AF$13,'MP (nominal)'!$D$12:$AM$244,ROW()-12,FALSE)="","",HLOOKUP(AF$13,'MP (nominal)'!$D$12:$AM$244,ROW()-12,FALSE))</f>
        <v>41621</v>
      </c>
      <c r="AG213" s="281"/>
      <c r="AH213" s="281">
        <f>IF(HLOOKUP(AH$13,'MP (nominal)'!$D$12:$AM$244,ROW()-12,FALSE)="","",HLOOKUP(AH$13,'MP (nominal)'!$D$12:$AM$244,ROW()-12,FALSE)*VLOOKUP($C213,CPI!$B$9:$I$63,8))</f>
        <v>124576</v>
      </c>
      <c r="AI213" s="31">
        <f>IF(HLOOKUP(AI$13,'MP (nominal)'!$D$12:$AM$244,ROW()-12,FALSE)="","",HLOOKUP(AI$13,'MP (nominal)'!$D$12:$AM$244,ROW()-12,FALSE))</f>
        <v>3193770</v>
      </c>
      <c r="AJ213" s="31">
        <f>IF(HLOOKUP(AJ$13,'MP (nominal)'!$D$12:$AM$244,ROW()-12,FALSE)="","",HLOOKUP(AJ$13,'MP (nominal)'!$D$12:$AM$244,ROW()-12,FALSE))</f>
        <v>5954</v>
      </c>
      <c r="AK213" s="281"/>
      <c r="AL213" s="281">
        <f>IF(HLOOKUP(AL$13,'MP (nominal)'!$D$12:$AM$244,ROW()-12,FALSE)="","",HLOOKUP(AL$13,'MP (nominal)'!$D$12:$AM$244,ROW()-12,FALSE)*VLOOKUP($C213,CPI!$B$9:$I$63,8))</f>
        <v>10733</v>
      </c>
      <c r="AM213" s="31">
        <f>IF(HLOOKUP(AM$13,'MP (nominal)'!$D$12:$AM$244,ROW()-12,FALSE)="","",HLOOKUP(AM$13,'MP (nominal)'!$D$12:$AM$244,ROW()-12,FALSE))</f>
        <v>506511</v>
      </c>
      <c r="AN213" s="31">
        <f>IF(HLOOKUP(AN$13,'MP (nominal)'!$D$12:$AM$244,ROW()-12,FALSE)="","",HLOOKUP(AN$13,'MP (nominal)'!$D$12:$AM$244,ROW()-12,FALSE))</f>
        <v>10</v>
      </c>
      <c r="AO213" s="281"/>
      <c r="AP213" s="281">
        <f>IF(HLOOKUP(AP$13,'MP (nominal)'!$D$12:$AM$244,ROW()-12,FALSE)="","",HLOOKUP(AP$13,'MP (nominal)'!$D$12:$AM$244,ROW()-12,FALSE)*VLOOKUP($C213,CPI!$B$9:$I$63,8))</f>
        <v>538136</v>
      </c>
      <c r="AQ213" s="31">
        <f>IF(HLOOKUP(AQ$13,'MP (nominal)'!$D$12:$AM$244,ROW()-12,FALSE)="","",HLOOKUP(AQ$13,'MP (nominal)'!$D$12:$AM$244,ROW()-12,FALSE))</f>
        <v>8289301</v>
      </c>
      <c r="AR213" s="281">
        <f>IF(HLOOKUP(AR$13,'MP (nominal)'!$D$12:$AM$244,ROW()-12,FALSE)="","",HLOOKUP(AR$13,'MP (nominal)'!$D$12:$AM$244,ROW()-12,FALSE))</f>
        <v>531185</v>
      </c>
    </row>
    <row r="214" spans="1:44" s="278" customFormat="1" hidden="1">
      <c r="A214" s="271">
        <f>References!C283</f>
        <v>576</v>
      </c>
      <c r="B214" s="292" t="s">
        <v>54</v>
      </c>
      <c r="C214" s="284">
        <v>2004</v>
      </c>
      <c r="D214" s="27" t="str">
        <f>IF(HLOOKUP(D$13,'MP (nominal)'!$D$12:$AM$244,ROW()-12,FALSE)="","",HLOOKUP(D$13,'MP (nominal)'!$D$12:$AM$244,ROW()-12,FALSE))</f>
        <v/>
      </c>
      <c r="E214" s="281" t="str">
        <f>IF(HLOOKUP(E$13,'MP (nominal)'!$D$12:$AM$244,ROW()-12,FALSE)="","",HLOOKUP(E$13,'MP (nominal)'!$D$12:$AM$244,ROW()-12,FALSE))</f>
        <v/>
      </c>
      <c r="F214" s="27">
        <f>IF(HLOOKUP(F$13,'MP (nominal)'!$D$12:$AM$244,ROW()-12,FALSE)="","",HLOOKUP(F$13,'MP (nominal)'!$D$12:$AM$244,ROW()-12,FALSE))</f>
        <v>173</v>
      </c>
      <c r="G214" s="281" t="str">
        <f>IF(HLOOKUP(G$13,'MP (nominal)'!$D$12:$AM$244,ROW()-12,FALSE)="","",HLOOKUP(G$13,'MP (nominal)'!$D$12:$AM$244,ROW()-12,FALSE))</f>
        <v/>
      </c>
      <c r="H214" s="27">
        <f>IF(HLOOKUP(H$13,'MP (nominal)'!$D$12:$AM$244,ROW()-12,FALSE)="","",HLOOKUP(H$13,'MP (nominal)'!$D$12:$AM$244,ROW()-12,FALSE))</f>
        <v>1902</v>
      </c>
      <c r="I214" s="31" t="str">
        <f>IF(HLOOKUP(I$13,'MP (nominal)'!$D$12:$AM$244,ROW()-12,FALSE)="","",HLOOKUP(I$13,'MP (nominal)'!$D$12:$AM$244,ROW()-12,FALSE))</f>
        <v/>
      </c>
      <c r="J214" s="31">
        <f>IF(HLOOKUP(J$13,'MP (nominal)'!$D$12:$AM$244,ROW()-12,FALSE)="","",HLOOKUP(J$13,'MP (nominal)'!$D$12:$AM$244,ROW()-12,FALSE))</f>
        <v>1729</v>
      </c>
      <c r="K214" s="281"/>
      <c r="L214" s="27">
        <f>IF(HLOOKUP(L$13,'MP (nominal)'!$D$12:$AM$244,ROW()-12,FALSE)="","",HLOOKUP(L$13,'MP (nominal)'!$D$12:$AM$244,ROW()-12,FALSE))</f>
        <v>56.808</v>
      </c>
      <c r="M214" s="293">
        <f>IF(HLOOKUP(M$13,'MP (nominal)'!$D$12:$AM$244,ROW()-12,FALSE)="","",HLOOKUP(M$13,'MP (nominal)'!$D$12:$AM$244,ROW()-12,FALSE))</f>
        <v>303.21859699999999</v>
      </c>
      <c r="N214" s="35"/>
      <c r="O214" s="27">
        <f>IF(HLOOKUP(O$13,'MP (nominal)'!$D$12:$AM$244,ROW()-12,FALSE)="","",HLOOKUP(O$13,'MP (nominal)'!$D$12:$AM$244,ROW()-12,FALSE))</f>
        <v>20773</v>
      </c>
      <c r="P214" s="31"/>
      <c r="Q214" s="281"/>
      <c r="R214" s="281">
        <f>IF(HLOOKUP(R$13,'MP (nominal)'!$D$12:$AM$244,ROW()-12,FALSE)="","",HLOOKUP(R$13,'MP (nominal)'!$D$12:$AM$244,ROW()-12,FALSE))</f>
        <v>491.04</v>
      </c>
      <c r="S214" s="281" t="str">
        <f>IF(HLOOKUP(S$13,'MP (nominal)'!$D$12:$AM$244,ROW()-12,FALSE)="","",HLOOKUP(S$13,'MP (nominal)'!$D$12:$AM$244,ROW()-12,FALSE))</f>
        <v/>
      </c>
      <c r="T214" s="281" t="str">
        <f>IF(HLOOKUP(T$13,'MP (nominal)'!$D$12:$AM$244,ROW()-12,FALSE)="","",HLOOKUP(T$13,'MP (nominal)'!$D$12:$AM$244,ROW()-12,FALSE))</f>
        <v/>
      </c>
      <c r="U214" s="281"/>
      <c r="V214" s="281">
        <f>IF(HLOOKUP(V$13,'MP (nominal)'!$D$12:$AM$244,ROW()-12,FALSE)="","",HLOOKUP(V$13,'MP (nominal)'!$D$12:$AM$244,ROW()-12,FALSE))</f>
        <v>5.58</v>
      </c>
      <c r="W214" s="281" t="str">
        <f>IF(HLOOKUP(W$13,'MP (nominal)'!$D$12:$AM$244,ROW()-12,FALSE)="","",HLOOKUP(W$13,'MP (nominal)'!$D$12:$AM$244,ROW()-12,FALSE))</f>
        <v/>
      </c>
      <c r="X214" s="281" t="str">
        <f>IF(HLOOKUP(X$13,'MP (nominal)'!$D$12:$AM$244,ROW()-12,FALSE)="","",HLOOKUP(X$13,'MP (nominal)'!$D$12:$AM$244,ROW()-12,FALSE))</f>
        <v/>
      </c>
      <c r="Y214" s="281"/>
      <c r="Z214" s="281" t="str">
        <f>IF(HLOOKUP(Z$13,'MP (nominal)'!$D$12:$AM$244,ROW()-12,FALSE)="","",HLOOKUP(Z$13,'MP (nominal)'!$D$12:$AM$244,ROW()-12,FALSE)*VLOOKUP($C214,CPI!$B$9:$I$63,8))</f>
        <v/>
      </c>
      <c r="AA214" s="281" t="str">
        <f>IF(HLOOKUP(AA$13,'MP (nominal)'!$D$12:$AM$244,ROW()-12,FALSE)="","",HLOOKUP(AA$13,'MP (nominal)'!$D$12:$AM$244,ROW()-12,FALSE))</f>
        <v/>
      </c>
      <c r="AB214" s="281" t="str">
        <f>IF(HLOOKUP(AB$13,'MP (nominal)'!$D$12:$AM$244,ROW()-12,FALSE)="","",HLOOKUP(AB$13,'MP (nominal)'!$D$12:$AM$244,ROW()-12,FALSE))</f>
        <v/>
      </c>
      <c r="AC214" s="281"/>
      <c r="AD214" s="281" t="str">
        <f>IF(HLOOKUP(AD$13,'MP (nominal)'!$D$12:$AM$244,ROW()-12,FALSE)="","",HLOOKUP(AD$13,'MP (nominal)'!$D$12:$AM$244,ROW()-12,FALSE)*VLOOKUP($C214,CPI!$B$9:$I$63,8))</f>
        <v/>
      </c>
      <c r="AE214" s="31" t="str">
        <f>IF(HLOOKUP(AE$13,'MP (nominal)'!$D$12:$AM$244,ROW()-12,FALSE)="","",HLOOKUP(AE$13,'MP (nominal)'!$D$12:$AM$244,ROW()-12,FALSE))</f>
        <v/>
      </c>
      <c r="AF214" s="31" t="str">
        <f>IF(HLOOKUP(AF$13,'MP (nominal)'!$D$12:$AM$244,ROW()-12,FALSE)="","",HLOOKUP(AF$13,'MP (nominal)'!$D$12:$AM$244,ROW()-12,FALSE))</f>
        <v/>
      </c>
      <c r="AG214" s="281"/>
      <c r="AH214" s="281" t="str">
        <f>IF(HLOOKUP(AH$13,'MP (nominal)'!$D$12:$AM$244,ROW()-12,FALSE)="","",HLOOKUP(AH$13,'MP (nominal)'!$D$12:$AM$244,ROW()-12,FALSE)*VLOOKUP($C214,CPI!$B$9:$I$63,8))</f>
        <v/>
      </c>
      <c r="AI214" s="31" t="str">
        <f>IF(HLOOKUP(AI$13,'MP (nominal)'!$D$12:$AM$244,ROW()-12,FALSE)="","",HLOOKUP(AI$13,'MP (nominal)'!$D$12:$AM$244,ROW()-12,FALSE))</f>
        <v/>
      </c>
      <c r="AJ214" s="31" t="str">
        <f>IF(HLOOKUP(AJ$13,'MP (nominal)'!$D$12:$AM$244,ROW()-12,FALSE)="","",HLOOKUP(AJ$13,'MP (nominal)'!$D$12:$AM$244,ROW()-12,FALSE))</f>
        <v/>
      </c>
      <c r="AK214" s="281"/>
      <c r="AL214" s="281" t="str">
        <f>IF(HLOOKUP(AL$13,'MP (nominal)'!$D$12:$AM$244,ROW()-12,FALSE)="","",HLOOKUP(AL$13,'MP (nominal)'!$D$12:$AM$244,ROW()-12,FALSE)*VLOOKUP($C214,CPI!$B$9:$I$63,8))</f>
        <v/>
      </c>
      <c r="AM214" s="31" t="str">
        <f>IF(HLOOKUP(AM$13,'MP (nominal)'!$D$12:$AM$244,ROW()-12,FALSE)="","",HLOOKUP(AM$13,'MP (nominal)'!$D$12:$AM$244,ROW()-12,FALSE))</f>
        <v/>
      </c>
      <c r="AN214" s="31" t="str">
        <f>IF(HLOOKUP(AN$13,'MP (nominal)'!$D$12:$AM$244,ROW()-12,FALSE)="","",HLOOKUP(AN$13,'MP (nominal)'!$D$12:$AM$244,ROW()-12,FALSE))</f>
        <v/>
      </c>
      <c r="AO214" s="281"/>
      <c r="AP214" s="281" t="str">
        <f>IF(HLOOKUP(AP$13,'MP (nominal)'!$D$12:$AM$244,ROW()-12,FALSE)="","",HLOOKUP(AP$13,'MP (nominal)'!$D$12:$AM$244,ROW()-12,FALSE)*VLOOKUP($C214,CPI!$B$9:$I$63,8))</f>
        <v/>
      </c>
      <c r="AQ214" s="31" t="str">
        <f>IF(HLOOKUP(AQ$13,'MP (nominal)'!$D$12:$AM$244,ROW()-12,FALSE)="","",HLOOKUP(AQ$13,'MP (nominal)'!$D$12:$AM$244,ROW()-12,FALSE))</f>
        <v/>
      </c>
      <c r="AR214" s="281" t="str">
        <f>IF(HLOOKUP(AR$13,'MP (nominal)'!$D$12:$AM$244,ROW()-12,FALSE)="","",HLOOKUP(AR$13,'MP (nominal)'!$D$12:$AM$244,ROW()-12,FALSE))</f>
        <v/>
      </c>
    </row>
    <row r="215" spans="1:44" s="278" customFormat="1" hidden="1">
      <c r="A215" s="271">
        <f>References!D283</f>
        <v>577</v>
      </c>
      <c r="B215" s="292" t="s">
        <v>54</v>
      </c>
      <c r="C215" s="284">
        <v>2005</v>
      </c>
      <c r="D215" s="27" t="str">
        <f>IF(HLOOKUP(D$13,'MP (nominal)'!$D$12:$AM$244,ROW()-12,FALSE)="","",HLOOKUP(D$13,'MP (nominal)'!$D$12:$AM$244,ROW()-12,FALSE))</f>
        <v/>
      </c>
      <c r="E215" s="281" t="str">
        <f>IF(HLOOKUP(E$13,'MP (nominal)'!$D$12:$AM$244,ROW()-12,FALSE)="","",HLOOKUP(E$13,'MP (nominal)'!$D$12:$AM$244,ROW()-12,FALSE))</f>
        <v/>
      </c>
      <c r="F215" s="27">
        <f>IF(HLOOKUP(F$13,'MP (nominal)'!$D$12:$AM$244,ROW()-12,FALSE)="","",HLOOKUP(F$13,'MP (nominal)'!$D$12:$AM$244,ROW()-12,FALSE))</f>
        <v>196</v>
      </c>
      <c r="G215" s="281" t="str">
        <f>IF(HLOOKUP(G$13,'MP (nominal)'!$D$12:$AM$244,ROW()-12,FALSE)="","",HLOOKUP(G$13,'MP (nominal)'!$D$12:$AM$244,ROW()-12,FALSE))</f>
        <v/>
      </c>
      <c r="H215" s="27">
        <f>IF(HLOOKUP(H$13,'MP (nominal)'!$D$12:$AM$244,ROW()-12,FALSE)="","",HLOOKUP(H$13,'MP (nominal)'!$D$12:$AM$244,ROW()-12,FALSE))</f>
        <v>2015</v>
      </c>
      <c r="I215" s="31" t="str">
        <f>IF(HLOOKUP(I$13,'MP (nominal)'!$D$12:$AM$244,ROW()-12,FALSE)="","",HLOOKUP(I$13,'MP (nominal)'!$D$12:$AM$244,ROW()-12,FALSE))</f>
        <v/>
      </c>
      <c r="J215" s="31">
        <f>IF(HLOOKUP(J$13,'MP (nominal)'!$D$12:$AM$244,ROW()-12,FALSE)="","",HLOOKUP(J$13,'MP (nominal)'!$D$12:$AM$244,ROW()-12,FALSE))</f>
        <v>1819</v>
      </c>
      <c r="K215" s="281"/>
      <c r="L215" s="27">
        <f>IF(HLOOKUP(L$13,'MP (nominal)'!$D$12:$AM$244,ROW()-12,FALSE)="","",HLOOKUP(L$13,'MP (nominal)'!$D$12:$AM$244,ROW()-12,FALSE))</f>
        <v>60.56</v>
      </c>
      <c r="M215" s="293">
        <f>IF(HLOOKUP(M$13,'MP (nominal)'!$D$12:$AM$244,ROW()-12,FALSE)="","",HLOOKUP(M$13,'MP (nominal)'!$D$12:$AM$244,ROW()-12,FALSE))</f>
        <v>313.63304699999998</v>
      </c>
      <c r="N215" s="35"/>
      <c r="O215" s="27">
        <f>IF(HLOOKUP(O$13,'MP (nominal)'!$D$12:$AM$244,ROW()-12,FALSE)="","",HLOOKUP(O$13,'MP (nominal)'!$D$12:$AM$244,ROW()-12,FALSE))</f>
        <v>21107</v>
      </c>
      <c r="P215" s="31"/>
      <c r="Q215" s="281"/>
      <c r="R215" s="281">
        <f>IF(HLOOKUP(R$13,'MP (nominal)'!$D$12:$AM$244,ROW()-12,FALSE)="","",HLOOKUP(R$13,'MP (nominal)'!$D$12:$AM$244,ROW()-12,FALSE))</f>
        <v>278.74</v>
      </c>
      <c r="S215" s="281" t="str">
        <f>IF(HLOOKUP(S$13,'MP (nominal)'!$D$12:$AM$244,ROW()-12,FALSE)="","",HLOOKUP(S$13,'MP (nominal)'!$D$12:$AM$244,ROW()-12,FALSE))</f>
        <v/>
      </c>
      <c r="T215" s="281" t="str">
        <f>IF(HLOOKUP(T$13,'MP (nominal)'!$D$12:$AM$244,ROW()-12,FALSE)="","",HLOOKUP(T$13,'MP (nominal)'!$D$12:$AM$244,ROW()-12,FALSE))</f>
        <v/>
      </c>
      <c r="U215" s="281"/>
      <c r="V215" s="281">
        <f>IF(HLOOKUP(V$13,'MP (nominal)'!$D$12:$AM$244,ROW()-12,FALSE)="","",HLOOKUP(V$13,'MP (nominal)'!$D$12:$AM$244,ROW()-12,FALSE))</f>
        <v>4.29</v>
      </c>
      <c r="W215" s="281" t="str">
        <f>IF(HLOOKUP(W$13,'MP (nominal)'!$D$12:$AM$244,ROW()-12,FALSE)="","",HLOOKUP(W$13,'MP (nominal)'!$D$12:$AM$244,ROW()-12,FALSE))</f>
        <v/>
      </c>
      <c r="X215" s="281" t="str">
        <f>IF(HLOOKUP(X$13,'MP (nominal)'!$D$12:$AM$244,ROW()-12,FALSE)="","",HLOOKUP(X$13,'MP (nominal)'!$D$12:$AM$244,ROW()-12,FALSE))</f>
        <v/>
      </c>
      <c r="Y215" s="281"/>
      <c r="Z215" s="281" t="str">
        <f>IF(HLOOKUP(Z$13,'MP (nominal)'!$D$12:$AM$244,ROW()-12,FALSE)="","",HLOOKUP(Z$13,'MP (nominal)'!$D$12:$AM$244,ROW()-12,FALSE)*VLOOKUP($C215,CPI!$B$9:$I$63,8))</f>
        <v/>
      </c>
      <c r="AA215" s="281" t="str">
        <f>IF(HLOOKUP(AA$13,'MP (nominal)'!$D$12:$AM$244,ROW()-12,FALSE)="","",HLOOKUP(AA$13,'MP (nominal)'!$D$12:$AM$244,ROW()-12,FALSE))</f>
        <v/>
      </c>
      <c r="AB215" s="281" t="str">
        <f>IF(HLOOKUP(AB$13,'MP (nominal)'!$D$12:$AM$244,ROW()-12,FALSE)="","",HLOOKUP(AB$13,'MP (nominal)'!$D$12:$AM$244,ROW()-12,FALSE))</f>
        <v/>
      </c>
      <c r="AC215" s="281"/>
      <c r="AD215" s="281" t="str">
        <f>IF(HLOOKUP(AD$13,'MP (nominal)'!$D$12:$AM$244,ROW()-12,FALSE)="","",HLOOKUP(AD$13,'MP (nominal)'!$D$12:$AM$244,ROW()-12,FALSE)*VLOOKUP($C215,CPI!$B$9:$I$63,8))</f>
        <v/>
      </c>
      <c r="AE215" s="31" t="str">
        <f>IF(HLOOKUP(AE$13,'MP (nominal)'!$D$12:$AM$244,ROW()-12,FALSE)="","",HLOOKUP(AE$13,'MP (nominal)'!$D$12:$AM$244,ROW()-12,FALSE))</f>
        <v/>
      </c>
      <c r="AF215" s="31" t="str">
        <f>IF(HLOOKUP(AF$13,'MP (nominal)'!$D$12:$AM$244,ROW()-12,FALSE)="","",HLOOKUP(AF$13,'MP (nominal)'!$D$12:$AM$244,ROW()-12,FALSE))</f>
        <v/>
      </c>
      <c r="AG215" s="281"/>
      <c r="AH215" s="281" t="str">
        <f>IF(HLOOKUP(AH$13,'MP (nominal)'!$D$12:$AM$244,ROW()-12,FALSE)="","",HLOOKUP(AH$13,'MP (nominal)'!$D$12:$AM$244,ROW()-12,FALSE)*VLOOKUP($C215,CPI!$B$9:$I$63,8))</f>
        <v/>
      </c>
      <c r="AI215" s="31" t="str">
        <f>IF(HLOOKUP(AI$13,'MP (nominal)'!$D$12:$AM$244,ROW()-12,FALSE)="","",HLOOKUP(AI$13,'MP (nominal)'!$D$12:$AM$244,ROW()-12,FALSE))</f>
        <v/>
      </c>
      <c r="AJ215" s="31" t="str">
        <f>IF(HLOOKUP(AJ$13,'MP (nominal)'!$D$12:$AM$244,ROW()-12,FALSE)="","",HLOOKUP(AJ$13,'MP (nominal)'!$D$12:$AM$244,ROW()-12,FALSE))</f>
        <v/>
      </c>
      <c r="AK215" s="281"/>
      <c r="AL215" s="281" t="str">
        <f>IF(HLOOKUP(AL$13,'MP (nominal)'!$D$12:$AM$244,ROW()-12,FALSE)="","",HLOOKUP(AL$13,'MP (nominal)'!$D$12:$AM$244,ROW()-12,FALSE)*VLOOKUP($C215,CPI!$B$9:$I$63,8))</f>
        <v/>
      </c>
      <c r="AM215" s="31" t="str">
        <f>IF(HLOOKUP(AM$13,'MP (nominal)'!$D$12:$AM$244,ROW()-12,FALSE)="","",HLOOKUP(AM$13,'MP (nominal)'!$D$12:$AM$244,ROW()-12,FALSE))</f>
        <v/>
      </c>
      <c r="AN215" s="31" t="str">
        <f>IF(HLOOKUP(AN$13,'MP (nominal)'!$D$12:$AM$244,ROW()-12,FALSE)="","",HLOOKUP(AN$13,'MP (nominal)'!$D$12:$AM$244,ROW()-12,FALSE))</f>
        <v/>
      </c>
      <c r="AO215" s="281"/>
      <c r="AP215" s="281" t="str">
        <f>IF(HLOOKUP(AP$13,'MP (nominal)'!$D$12:$AM$244,ROW()-12,FALSE)="","",HLOOKUP(AP$13,'MP (nominal)'!$D$12:$AM$244,ROW()-12,FALSE)*VLOOKUP($C215,CPI!$B$9:$I$63,8))</f>
        <v/>
      </c>
      <c r="AQ215" s="31" t="str">
        <f>IF(HLOOKUP(AQ$13,'MP (nominal)'!$D$12:$AM$244,ROW()-12,FALSE)="","",HLOOKUP(AQ$13,'MP (nominal)'!$D$12:$AM$244,ROW()-12,FALSE))</f>
        <v/>
      </c>
      <c r="AR215" s="281" t="str">
        <f>IF(HLOOKUP(AR$13,'MP (nominal)'!$D$12:$AM$244,ROW()-12,FALSE)="","",HLOOKUP(AR$13,'MP (nominal)'!$D$12:$AM$244,ROW()-12,FALSE))</f>
        <v/>
      </c>
    </row>
    <row r="216" spans="1:44" s="278" customFormat="1" hidden="1">
      <c r="A216" s="271">
        <f>References!E283</f>
        <v>578</v>
      </c>
      <c r="B216" s="292" t="s">
        <v>54</v>
      </c>
      <c r="C216" s="284">
        <v>2006</v>
      </c>
      <c r="D216" s="27" t="str">
        <f>IF(HLOOKUP(D$13,'MP (nominal)'!$D$12:$AM$244,ROW()-12,FALSE)="","",HLOOKUP(D$13,'MP (nominal)'!$D$12:$AM$244,ROW()-12,FALSE))</f>
        <v/>
      </c>
      <c r="E216" s="281" t="str">
        <f>IF(HLOOKUP(E$13,'MP (nominal)'!$D$12:$AM$244,ROW()-12,FALSE)="","",HLOOKUP(E$13,'MP (nominal)'!$D$12:$AM$244,ROW()-12,FALSE))</f>
        <v/>
      </c>
      <c r="F216" s="27">
        <f>IF(HLOOKUP(F$13,'MP (nominal)'!$D$12:$AM$244,ROW()-12,FALSE)="","",HLOOKUP(F$13,'MP (nominal)'!$D$12:$AM$244,ROW()-12,FALSE))</f>
        <v>232</v>
      </c>
      <c r="G216" s="281" t="str">
        <f>IF(HLOOKUP(G$13,'MP (nominal)'!$D$12:$AM$244,ROW()-12,FALSE)="","",HLOOKUP(G$13,'MP (nominal)'!$D$12:$AM$244,ROW()-12,FALSE))</f>
        <v/>
      </c>
      <c r="H216" s="27">
        <f>IF(HLOOKUP(H$13,'MP (nominal)'!$D$12:$AM$244,ROW()-12,FALSE)="","",HLOOKUP(H$13,'MP (nominal)'!$D$12:$AM$244,ROW()-12,FALSE))</f>
        <v>1955</v>
      </c>
      <c r="I216" s="31" t="str">
        <f>IF(HLOOKUP(I$13,'MP (nominal)'!$D$12:$AM$244,ROW()-12,FALSE)="","",HLOOKUP(I$13,'MP (nominal)'!$D$12:$AM$244,ROW()-12,FALSE))</f>
        <v/>
      </c>
      <c r="J216" s="31">
        <f>IF(HLOOKUP(J$13,'MP (nominal)'!$D$12:$AM$244,ROW()-12,FALSE)="","",HLOOKUP(J$13,'MP (nominal)'!$D$12:$AM$244,ROW()-12,FALSE))</f>
        <v>1723</v>
      </c>
      <c r="K216" s="281"/>
      <c r="L216" s="27">
        <f>IF(HLOOKUP(L$13,'MP (nominal)'!$D$12:$AM$244,ROW()-12,FALSE)="","",HLOOKUP(L$13,'MP (nominal)'!$D$12:$AM$244,ROW()-12,FALSE))</f>
        <v>58.731999999999999</v>
      </c>
      <c r="M216" s="293">
        <f>IF(HLOOKUP(M$13,'MP (nominal)'!$D$12:$AM$244,ROW()-12,FALSE)="","",HLOOKUP(M$13,'MP (nominal)'!$D$12:$AM$244,ROW()-12,FALSE))</f>
        <v>315.159312</v>
      </c>
      <c r="N216" s="35"/>
      <c r="O216" s="27">
        <f>IF(HLOOKUP(O$13,'MP (nominal)'!$D$12:$AM$244,ROW()-12,FALSE)="","",HLOOKUP(O$13,'MP (nominal)'!$D$12:$AM$244,ROW()-12,FALSE))</f>
        <v>21538</v>
      </c>
      <c r="P216" s="31"/>
      <c r="Q216" s="281"/>
      <c r="R216" s="281">
        <f>IF(HLOOKUP(R$13,'MP (nominal)'!$D$12:$AM$244,ROW()-12,FALSE)="","",HLOOKUP(R$13,'MP (nominal)'!$D$12:$AM$244,ROW()-12,FALSE))</f>
        <v>176.23</v>
      </c>
      <c r="S216" s="281" t="str">
        <f>IF(HLOOKUP(S$13,'MP (nominal)'!$D$12:$AM$244,ROW()-12,FALSE)="","",HLOOKUP(S$13,'MP (nominal)'!$D$12:$AM$244,ROW()-12,FALSE))</f>
        <v/>
      </c>
      <c r="T216" s="281" t="str">
        <f>IF(HLOOKUP(T$13,'MP (nominal)'!$D$12:$AM$244,ROW()-12,FALSE)="","",HLOOKUP(T$13,'MP (nominal)'!$D$12:$AM$244,ROW()-12,FALSE))</f>
        <v/>
      </c>
      <c r="U216" s="281"/>
      <c r="V216" s="281">
        <f>IF(HLOOKUP(V$13,'MP (nominal)'!$D$12:$AM$244,ROW()-12,FALSE)="","",HLOOKUP(V$13,'MP (nominal)'!$D$12:$AM$244,ROW()-12,FALSE))</f>
        <v>3.94</v>
      </c>
      <c r="W216" s="281" t="str">
        <f>IF(HLOOKUP(W$13,'MP (nominal)'!$D$12:$AM$244,ROW()-12,FALSE)="","",HLOOKUP(W$13,'MP (nominal)'!$D$12:$AM$244,ROW()-12,FALSE))</f>
        <v/>
      </c>
      <c r="X216" s="281" t="str">
        <f>IF(HLOOKUP(X$13,'MP (nominal)'!$D$12:$AM$244,ROW()-12,FALSE)="","",HLOOKUP(X$13,'MP (nominal)'!$D$12:$AM$244,ROW()-12,FALSE))</f>
        <v/>
      </c>
      <c r="Y216" s="281"/>
      <c r="Z216" s="281" t="str">
        <f>IF(HLOOKUP(Z$13,'MP (nominal)'!$D$12:$AM$244,ROW()-12,FALSE)="","",HLOOKUP(Z$13,'MP (nominal)'!$D$12:$AM$244,ROW()-12,FALSE)*VLOOKUP($C216,CPI!$B$9:$I$63,8))</f>
        <v/>
      </c>
      <c r="AA216" s="281" t="str">
        <f>IF(HLOOKUP(AA$13,'MP (nominal)'!$D$12:$AM$244,ROW()-12,FALSE)="","",HLOOKUP(AA$13,'MP (nominal)'!$D$12:$AM$244,ROW()-12,FALSE))</f>
        <v/>
      </c>
      <c r="AB216" s="281" t="str">
        <f>IF(HLOOKUP(AB$13,'MP (nominal)'!$D$12:$AM$244,ROW()-12,FALSE)="","",HLOOKUP(AB$13,'MP (nominal)'!$D$12:$AM$244,ROW()-12,FALSE))</f>
        <v/>
      </c>
      <c r="AC216" s="281"/>
      <c r="AD216" s="281" t="str">
        <f>IF(HLOOKUP(AD$13,'MP (nominal)'!$D$12:$AM$244,ROW()-12,FALSE)="","",HLOOKUP(AD$13,'MP (nominal)'!$D$12:$AM$244,ROW()-12,FALSE)*VLOOKUP($C216,CPI!$B$9:$I$63,8))</f>
        <v/>
      </c>
      <c r="AE216" s="31" t="str">
        <f>IF(HLOOKUP(AE$13,'MP (nominal)'!$D$12:$AM$244,ROW()-12,FALSE)="","",HLOOKUP(AE$13,'MP (nominal)'!$D$12:$AM$244,ROW()-12,FALSE))</f>
        <v/>
      </c>
      <c r="AF216" s="31" t="str">
        <f>IF(HLOOKUP(AF$13,'MP (nominal)'!$D$12:$AM$244,ROW()-12,FALSE)="","",HLOOKUP(AF$13,'MP (nominal)'!$D$12:$AM$244,ROW()-12,FALSE))</f>
        <v/>
      </c>
      <c r="AG216" s="281"/>
      <c r="AH216" s="281" t="str">
        <f>IF(HLOOKUP(AH$13,'MP (nominal)'!$D$12:$AM$244,ROW()-12,FALSE)="","",HLOOKUP(AH$13,'MP (nominal)'!$D$12:$AM$244,ROW()-12,FALSE)*VLOOKUP($C216,CPI!$B$9:$I$63,8))</f>
        <v/>
      </c>
      <c r="AI216" s="31" t="str">
        <f>IF(HLOOKUP(AI$13,'MP (nominal)'!$D$12:$AM$244,ROW()-12,FALSE)="","",HLOOKUP(AI$13,'MP (nominal)'!$D$12:$AM$244,ROW()-12,FALSE))</f>
        <v/>
      </c>
      <c r="AJ216" s="31" t="str">
        <f>IF(HLOOKUP(AJ$13,'MP (nominal)'!$D$12:$AM$244,ROW()-12,FALSE)="","",HLOOKUP(AJ$13,'MP (nominal)'!$D$12:$AM$244,ROW()-12,FALSE))</f>
        <v/>
      </c>
      <c r="AK216" s="281"/>
      <c r="AL216" s="281" t="str">
        <f>IF(HLOOKUP(AL$13,'MP (nominal)'!$D$12:$AM$244,ROW()-12,FALSE)="","",HLOOKUP(AL$13,'MP (nominal)'!$D$12:$AM$244,ROW()-12,FALSE)*VLOOKUP($C216,CPI!$B$9:$I$63,8))</f>
        <v/>
      </c>
      <c r="AM216" s="31" t="str">
        <f>IF(HLOOKUP(AM$13,'MP (nominal)'!$D$12:$AM$244,ROW()-12,FALSE)="","",HLOOKUP(AM$13,'MP (nominal)'!$D$12:$AM$244,ROW()-12,FALSE))</f>
        <v/>
      </c>
      <c r="AN216" s="31" t="str">
        <f>IF(HLOOKUP(AN$13,'MP (nominal)'!$D$12:$AM$244,ROW()-12,FALSE)="","",HLOOKUP(AN$13,'MP (nominal)'!$D$12:$AM$244,ROW()-12,FALSE))</f>
        <v/>
      </c>
      <c r="AO216" s="281"/>
      <c r="AP216" s="281" t="str">
        <f>IF(HLOOKUP(AP$13,'MP (nominal)'!$D$12:$AM$244,ROW()-12,FALSE)="","",HLOOKUP(AP$13,'MP (nominal)'!$D$12:$AM$244,ROW()-12,FALSE)*VLOOKUP($C216,CPI!$B$9:$I$63,8))</f>
        <v/>
      </c>
      <c r="AQ216" s="31" t="str">
        <f>IF(HLOOKUP(AQ$13,'MP (nominal)'!$D$12:$AM$244,ROW()-12,FALSE)="","",HLOOKUP(AQ$13,'MP (nominal)'!$D$12:$AM$244,ROW()-12,FALSE))</f>
        <v/>
      </c>
      <c r="AR216" s="281" t="str">
        <f>IF(HLOOKUP(AR$13,'MP (nominal)'!$D$12:$AM$244,ROW()-12,FALSE)="","",HLOOKUP(AR$13,'MP (nominal)'!$D$12:$AM$244,ROW()-12,FALSE))</f>
        <v/>
      </c>
    </row>
    <row r="217" spans="1:44" s="278" customFormat="1" hidden="1">
      <c r="A217" s="271">
        <f>References!F283</f>
        <v>579</v>
      </c>
      <c r="B217" s="292" t="s">
        <v>54</v>
      </c>
      <c r="C217" s="284">
        <v>2007</v>
      </c>
      <c r="D217" s="27" t="str">
        <f>IF(HLOOKUP(D$13,'MP (nominal)'!$D$12:$AM$244,ROW()-12,FALSE)="","",HLOOKUP(D$13,'MP (nominal)'!$D$12:$AM$244,ROW()-12,FALSE))</f>
        <v/>
      </c>
      <c r="E217" s="281" t="str">
        <f>IF(HLOOKUP(E$13,'MP (nominal)'!$D$12:$AM$244,ROW()-12,FALSE)="","",HLOOKUP(E$13,'MP (nominal)'!$D$12:$AM$244,ROW()-12,FALSE))</f>
        <v/>
      </c>
      <c r="F217" s="27">
        <f>IF(HLOOKUP(F$13,'MP (nominal)'!$D$12:$AM$244,ROW()-12,FALSE)="","",HLOOKUP(F$13,'MP (nominal)'!$D$12:$AM$244,ROW()-12,FALSE))</f>
        <v>254</v>
      </c>
      <c r="G217" s="281" t="str">
        <f>IF(HLOOKUP(G$13,'MP (nominal)'!$D$12:$AM$244,ROW()-12,FALSE)="","",HLOOKUP(G$13,'MP (nominal)'!$D$12:$AM$244,ROW()-12,FALSE))</f>
        <v/>
      </c>
      <c r="H217" s="27">
        <f>IF(HLOOKUP(H$13,'MP (nominal)'!$D$12:$AM$244,ROW()-12,FALSE)="","",HLOOKUP(H$13,'MP (nominal)'!$D$12:$AM$244,ROW()-12,FALSE))</f>
        <v>1981</v>
      </c>
      <c r="I217" s="31" t="str">
        <f>IF(HLOOKUP(I$13,'MP (nominal)'!$D$12:$AM$244,ROW()-12,FALSE)="","",HLOOKUP(I$13,'MP (nominal)'!$D$12:$AM$244,ROW()-12,FALSE))</f>
        <v/>
      </c>
      <c r="J217" s="31">
        <f>IF(HLOOKUP(J$13,'MP (nominal)'!$D$12:$AM$244,ROW()-12,FALSE)="","",HLOOKUP(J$13,'MP (nominal)'!$D$12:$AM$244,ROW()-12,FALSE))</f>
        <v>1727</v>
      </c>
      <c r="K217" s="281"/>
      <c r="L217" s="27">
        <f>IF(HLOOKUP(L$13,'MP (nominal)'!$D$12:$AM$244,ROW()-12,FALSE)="","",HLOOKUP(L$13,'MP (nominal)'!$D$12:$AM$244,ROW()-12,FALSE))</f>
        <v>58.142000000000003</v>
      </c>
      <c r="M217" s="293">
        <f>IF(HLOOKUP(M$13,'MP (nominal)'!$D$12:$AM$244,ROW()-12,FALSE)="","",HLOOKUP(M$13,'MP (nominal)'!$D$12:$AM$244,ROW()-12,FALSE))</f>
        <v>321.12230599999998</v>
      </c>
      <c r="N217" s="35"/>
      <c r="O217" s="27">
        <f>IF(HLOOKUP(O$13,'MP (nominal)'!$D$12:$AM$244,ROW()-12,FALSE)="","",HLOOKUP(O$13,'MP (nominal)'!$D$12:$AM$244,ROW()-12,FALSE))</f>
        <v>22006</v>
      </c>
      <c r="P217" s="31"/>
      <c r="Q217" s="281"/>
      <c r="R217" s="281">
        <f>IF(HLOOKUP(R$13,'MP (nominal)'!$D$12:$AM$244,ROW()-12,FALSE)="","",HLOOKUP(R$13,'MP (nominal)'!$D$12:$AM$244,ROW()-12,FALSE))</f>
        <v>541.42999999999995</v>
      </c>
      <c r="S217" s="281" t="str">
        <f>IF(HLOOKUP(S$13,'MP (nominal)'!$D$12:$AM$244,ROW()-12,FALSE)="","",HLOOKUP(S$13,'MP (nominal)'!$D$12:$AM$244,ROW()-12,FALSE))</f>
        <v/>
      </c>
      <c r="T217" s="281" t="str">
        <f>IF(HLOOKUP(T$13,'MP (nominal)'!$D$12:$AM$244,ROW()-12,FALSE)="","",HLOOKUP(T$13,'MP (nominal)'!$D$12:$AM$244,ROW()-12,FALSE))</f>
        <v/>
      </c>
      <c r="U217" s="281"/>
      <c r="V217" s="281">
        <f>IF(HLOOKUP(V$13,'MP (nominal)'!$D$12:$AM$244,ROW()-12,FALSE)="","",HLOOKUP(V$13,'MP (nominal)'!$D$12:$AM$244,ROW()-12,FALSE))</f>
        <v>4.45</v>
      </c>
      <c r="W217" s="281" t="str">
        <f>IF(HLOOKUP(W$13,'MP (nominal)'!$D$12:$AM$244,ROW()-12,FALSE)="","",HLOOKUP(W$13,'MP (nominal)'!$D$12:$AM$244,ROW()-12,FALSE))</f>
        <v/>
      </c>
      <c r="X217" s="281" t="str">
        <f>IF(HLOOKUP(X$13,'MP (nominal)'!$D$12:$AM$244,ROW()-12,FALSE)="","",HLOOKUP(X$13,'MP (nominal)'!$D$12:$AM$244,ROW()-12,FALSE))</f>
        <v/>
      </c>
      <c r="Y217" s="281"/>
      <c r="Z217" s="281" t="str">
        <f>IF(HLOOKUP(Z$13,'MP (nominal)'!$D$12:$AM$244,ROW()-12,FALSE)="","",HLOOKUP(Z$13,'MP (nominal)'!$D$12:$AM$244,ROW()-12,FALSE)*VLOOKUP($C217,CPI!$B$9:$I$63,8))</f>
        <v/>
      </c>
      <c r="AA217" s="281" t="str">
        <f>IF(HLOOKUP(AA$13,'MP (nominal)'!$D$12:$AM$244,ROW()-12,FALSE)="","",HLOOKUP(AA$13,'MP (nominal)'!$D$12:$AM$244,ROW()-12,FALSE))</f>
        <v/>
      </c>
      <c r="AB217" s="281" t="str">
        <f>IF(HLOOKUP(AB$13,'MP (nominal)'!$D$12:$AM$244,ROW()-12,FALSE)="","",HLOOKUP(AB$13,'MP (nominal)'!$D$12:$AM$244,ROW()-12,FALSE))</f>
        <v/>
      </c>
      <c r="AC217" s="281"/>
      <c r="AD217" s="281" t="str">
        <f>IF(HLOOKUP(AD$13,'MP (nominal)'!$D$12:$AM$244,ROW()-12,FALSE)="","",HLOOKUP(AD$13,'MP (nominal)'!$D$12:$AM$244,ROW()-12,FALSE)*VLOOKUP($C217,CPI!$B$9:$I$63,8))</f>
        <v/>
      </c>
      <c r="AE217" s="31" t="str">
        <f>IF(HLOOKUP(AE$13,'MP (nominal)'!$D$12:$AM$244,ROW()-12,FALSE)="","",HLOOKUP(AE$13,'MP (nominal)'!$D$12:$AM$244,ROW()-12,FALSE))</f>
        <v/>
      </c>
      <c r="AF217" s="31" t="str">
        <f>IF(HLOOKUP(AF$13,'MP (nominal)'!$D$12:$AM$244,ROW()-12,FALSE)="","",HLOOKUP(AF$13,'MP (nominal)'!$D$12:$AM$244,ROW()-12,FALSE))</f>
        <v/>
      </c>
      <c r="AG217" s="281"/>
      <c r="AH217" s="281" t="str">
        <f>IF(HLOOKUP(AH$13,'MP (nominal)'!$D$12:$AM$244,ROW()-12,FALSE)="","",HLOOKUP(AH$13,'MP (nominal)'!$D$12:$AM$244,ROW()-12,FALSE)*VLOOKUP($C217,CPI!$B$9:$I$63,8))</f>
        <v/>
      </c>
      <c r="AI217" s="31" t="str">
        <f>IF(HLOOKUP(AI$13,'MP (nominal)'!$D$12:$AM$244,ROW()-12,FALSE)="","",HLOOKUP(AI$13,'MP (nominal)'!$D$12:$AM$244,ROW()-12,FALSE))</f>
        <v/>
      </c>
      <c r="AJ217" s="31" t="str">
        <f>IF(HLOOKUP(AJ$13,'MP (nominal)'!$D$12:$AM$244,ROW()-12,FALSE)="","",HLOOKUP(AJ$13,'MP (nominal)'!$D$12:$AM$244,ROW()-12,FALSE))</f>
        <v/>
      </c>
      <c r="AK217" s="281"/>
      <c r="AL217" s="281" t="str">
        <f>IF(HLOOKUP(AL$13,'MP (nominal)'!$D$12:$AM$244,ROW()-12,FALSE)="","",HLOOKUP(AL$13,'MP (nominal)'!$D$12:$AM$244,ROW()-12,FALSE)*VLOOKUP($C217,CPI!$B$9:$I$63,8))</f>
        <v/>
      </c>
      <c r="AM217" s="31" t="str">
        <f>IF(HLOOKUP(AM$13,'MP (nominal)'!$D$12:$AM$244,ROW()-12,FALSE)="","",HLOOKUP(AM$13,'MP (nominal)'!$D$12:$AM$244,ROW()-12,FALSE))</f>
        <v/>
      </c>
      <c r="AN217" s="31" t="str">
        <f>IF(HLOOKUP(AN$13,'MP (nominal)'!$D$12:$AM$244,ROW()-12,FALSE)="","",HLOOKUP(AN$13,'MP (nominal)'!$D$12:$AM$244,ROW()-12,FALSE))</f>
        <v/>
      </c>
      <c r="AO217" s="281"/>
      <c r="AP217" s="281" t="str">
        <f>IF(HLOOKUP(AP$13,'MP (nominal)'!$D$12:$AM$244,ROW()-12,FALSE)="","",HLOOKUP(AP$13,'MP (nominal)'!$D$12:$AM$244,ROW()-12,FALSE)*VLOOKUP($C217,CPI!$B$9:$I$63,8))</f>
        <v/>
      </c>
      <c r="AQ217" s="31" t="str">
        <f>IF(HLOOKUP(AQ$13,'MP (nominal)'!$D$12:$AM$244,ROW()-12,FALSE)="","",HLOOKUP(AQ$13,'MP (nominal)'!$D$12:$AM$244,ROW()-12,FALSE))</f>
        <v/>
      </c>
      <c r="AR217" s="281" t="str">
        <f>IF(HLOOKUP(AR$13,'MP (nominal)'!$D$12:$AM$244,ROW()-12,FALSE)="","",HLOOKUP(AR$13,'MP (nominal)'!$D$12:$AM$244,ROW()-12,FALSE))</f>
        <v/>
      </c>
    </row>
    <row r="218" spans="1:44" s="278" customFormat="1">
      <c r="A218" s="271">
        <f>References!G283</f>
        <v>580</v>
      </c>
      <c r="B218" s="292" t="s">
        <v>54</v>
      </c>
      <c r="C218" s="284">
        <v>2008</v>
      </c>
      <c r="D218" s="27">
        <f>IF(HLOOKUP(D$13,'MP (nominal)'!$D$12:$AM$244,ROW()-12,FALSE)="","",HLOOKUP(D$13,'MP (nominal)'!$D$12:$AM$244,ROW()-12,FALSE))</f>
        <v>1724.0980999999999</v>
      </c>
      <c r="E218" s="281">
        <f>IF(HLOOKUP(E$13,'MP (nominal)'!$D$12:$AM$244,ROW()-12,FALSE)="","",HLOOKUP(E$13,'MP (nominal)'!$D$12:$AM$244,ROW()-12,FALSE))</f>
        <v>67.624930000000006</v>
      </c>
      <c r="F218" s="27">
        <f>IF(HLOOKUP(F$13,'MP (nominal)'!$D$12:$AM$244,ROW()-12,FALSE)="","",HLOOKUP(F$13,'MP (nominal)'!$D$12:$AM$244,ROW()-12,FALSE))</f>
        <v>285.28136000000001</v>
      </c>
      <c r="G218" s="281">
        <f>IF(HLOOKUP(G$13,'MP (nominal)'!$D$12:$AM$244,ROW()-12,FALSE)="","",HLOOKUP(G$13,'MP (nominal)'!$D$12:$AM$244,ROW()-12,FALSE))</f>
        <v>45.200809999999997</v>
      </c>
      <c r="H218" s="27">
        <f>IF(HLOOKUP(H$13,'MP (nominal)'!$D$12:$AM$244,ROW()-12,FALSE)="","",HLOOKUP(H$13,'MP (nominal)'!$D$12:$AM$244,ROW()-12,FALSE))</f>
        <v>2009.3794</v>
      </c>
      <c r="I218" s="31">
        <f>IF(HLOOKUP(I$13,'MP (nominal)'!$D$12:$AM$244,ROW()-12,FALSE)="","",HLOOKUP(I$13,'MP (nominal)'!$D$12:$AM$244,ROW()-12,FALSE))</f>
        <v>112.82574</v>
      </c>
      <c r="J218" s="31">
        <f>IF(HLOOKUP(J$13,'MP (nominal)'!$D$12:$AM$244,ROW()-12,FALSE)="","",HLOOKUP(J$13,'MP (nominal)'!$D$12:$AM$244,ROW()-12,FALSE))</f>
        <v>1724.0980999999999</v>
      </c>
      <c r="K218" s="281"/>
      <c r="L218" s="27">
        <f>IF(HLOOKUP(L$13,'MP (nominal)'!$D$12:$AM$244,ROW()-12,FALSE)="","",HLOOKUP(L$13,'MP (nominal)'!$D$12:$AM$244,ROW()-12,FALSE))</f>
        <v>60.769060000000003</v>
      </c>
      <c r="M218" s="283">
        <f>IF(HLOOKUP(M$13,'MP (nominal)'!$D$12:$AM$244,ROW()-12,FALSE)="","",HLOOKUP(M$13,'MP (nominal)'!$D$12:$AM$244,ROW()-12,FALSE))</f>
        <v>318.80135999999999</v>
      </c>
      <c r="N218" s="35"/>
      <c r="O218" s="27">
        <f>IF(HLOOKUP(O$13,'MP (nominal)'!$D$12:$AM$244,ROW()-12,FALSE)="","",HLOOKUP(O$13,'MP (nominal)'!$D$12:$AM$244,ROW()-12,FALSE))</f>
        <v>22702</v>
      </c>
      <c r="P218" s="31"/>
      <c r="Q218" s="281"/>
      <c r="R218" s="281">
        <f>IF(HLOOKUP(R$13,'MP (nominal)'!$D$12:$AM$244,ROW()-12,FALSE)="","",HLOOKUP(R$13,'MP (nominal)'!$D$12:$AM$244,ROW()-12,FALSE))</f>
        <v>497.29</v>
      </c>
      <c r="S218" s="281">
        <f>IF(HLOOKUP(S$13,'MP (nominal)'!$D$12:$AM$244,ROW()-12,FALSE)="","",HLOOKUP(S$13,'MP (nominal)'!$D$12:$AM$244,ROW()-12,FALSE))</f>
        <v>9.99</v>
      </c>
      <c r="T218" s="281">
        <f>IF(HLOOKUP(T$13,'MP (nominal)'!$D$12:$AM$244,ROW()-12,FALSE)="","",HLOOKUP(T$13,'MP (nominal)'!$D$12:$AM$244,ROW()-12,FALSE))</f>
        <v>102.68</v>
      </c>
      <c r="U218" s="281"/>
      <c r="V218" s="281">
        <f>IF(HLOOKUP(V$13,'MP (nominal)'!$D$12:$AM$244,ROW()-12,FALSE)="","",HLOOKUP(V$13,'MP (nominal)'!$D$12:$AM$244,ROW()-12,FALSE))</f>
        <v>5.1615000000000002</v>
      </c>
      <c r="W218" s="281">
        <f>IF(HLOOKUP(W$13,'MP (nominal)'!$D$12:$AM$244,ROW()-12,FALSE)="","",HLOOKUP(W$13,'MP (nominal)'!$D$12:$AM$244,ROW()-12,FALSE))</f>
        <v>4.7E-2</v>
      </c>
      <c r="X218" s="281">
        <f>IF(HLOOKUP(X$13,'MP (nominal)'!$D$12:$AM$244,ROW()-12,FALSE)="","",HLOOKUP(X$13,'MP (nominal)'!$D$12:$AM$244,ROW()-12,FALSE))</f>
        <v>1.8313999999999999</v>
      </c>
      <c r="Y218" s="281"/>
      <c r="Z218" s="281">
        <f>IF(HLOOKUP(Z$13,'MP (nominal)'!$D$12:$AM$244,ROW()-12,FALSE)="","",HLOOKUP(Z$13,'MP (nominal)'!$D$12:$AM$244,ROW()-12,FALSE)*VLOOKUP($C218,CPI!$B$9:$I$63,8))</f>
        <v>8442.7501569958076</v>
      </c>
      <c r="AA218" s="281">
        <f>IF(HLOOKUP(AA$13,'MP (nominal)'!$D$12:$AM$244,ROW()-12,FALSE)="","",HLOOKUP(AA$13,'MP (nominal)'!$D$12:$AM$244,ROW()-12,FALSE))</f>
        <v>144455.35999999999</v>
      </c>
      <c r="AB218" s="281">
        <f>IF(HLOOKUP(AB$13,'MP (nominal)'!$D$12:$AM$244,ROW()-12,FALSE)="","",HLOOKUP(AB$13,'MP (nominal)'!$D$12:$AM$244,ROW()-12,FALSE))</f>
        <v>21001</v>
      </c>
      <c r="AC218" s="281"/>
      <c r="AD218" s="281">
        <f>IF(HLOOKUP(AD$13,'MP (nominal)'!$D$12:$AM$244,ROW()-12,FALSE)="","",HLOOKUP(AD$13,'MP (nominal)'!$D$12:$AM$244,ROW()-12,FALSE)*VLOOKUP($C218,CPI!$B$9:$I$63,8))</f>
        <v>5093.2216494539653</v>
      </c>
      <c r="AE218" s="31">
        <f>IF(HLOOKUP(AE$13,'MP (nominal)'!$D$12:$AM$244,ROW()-12,FALSE)="","",HLOOKUP(AE$13,'MP (nominal)'!$D$12:$AM$244,ROW()-12,FALSE))</f>
        <v>81418.801000000007</v>
      </c>
      <c r="AF218" s="31">
        <f>IF(HLOOKUP(AF$13,'MP (nominal)'!$D$12:$AM$244,ROW()-12,FALSE)="","",HLOOKUP(AF$13,'MP (nominal)'!$D$12:$AM$244,ROW()-12,FALSE))</f>
        <v>1632</v>
      </c>
      <c r="AG218" s="281"/>
      <c r="AH218" s="281">
        <f>IF(HLOOKUP(AH$13,'MP (nominal)'!$D$12:$AM$244,ROW()-12,FALSE)="","",HLOOKUP(AH$13,'MP (nominal)'!$D$12:$AM$244,ROW()-12,FALSE)*VLOOKUP($C218,CPI!$B$9:$I$63,8))</f>
        <v>1308.8184152433635</v>
      </c>
      <c r="AI218" s="31">
        <f>IF(HLOOKUP(AI$13,'MP (nominal)'!$D$12:$AM$244,ROW()-12,FALSE)="","",HLOOKUP(AI$13,'MP (nominal)'!$D$12:$AM$244,ROW()-12,FALSE))</f>
        <v>24341.94</v>
      </c>
      <c r="AJ218" s="31">
        <f>IF(HLOOKUP(AJ$13,'MP (nominal)'!$D$12:$AM$244,ROW()-12,FALSE)="","",HLOOKUP(AJ$13,'MP (nominal)'!$D$12:$AM$244,ROW()-12,FALSE))</f>
        <v>64</v>
      </c>
      <c r="AK218" s="281"/>
      <c r="AL218" s="281">
        <f>IF(HLOOKUP(AL$13,'MP (nominal)'!$D$12:$AM$244,ROW()-12,FALSE)="","",HLOOKUP(AL$13,'MP (nominal)'!$D$12:$AM$244,ROW()-12,FALSE)*VLOOKUP($C218,CPI!$B$9:$I$63,8))</f>
        <v>2025.0222466710386</v>
      </c>
      <c r="AM218" s="31">
        <f>IF(HLOOKUP(AM$13,'MP (nominal)'!$D$12:$AM$244,ROW()-12,FALSE)="","",HLOOKUP(AM$13,'MP (nominal)'!$D$12:$AM$244,ROW()-12,FALSE))</f>
        <v>68585.259999999995</v>
      </c>
      <c r="AN218" s="31">
        <f>IF(HLOOKUP(AN$13,'MP (nominal)'!$D$12:$AM$244,ROW()-12,FALSE)="","",HLOOKUP(AN$13,'MP (nominal)'!$D$12:$AM$244,ROW()-12,FALSE))</f>
        <v>5</v>
      </c>
      <c r="AO218" s="281"/>
      <c r="AP218" s="281">
        <f>IF(HLOOKUP(AP$13,'MP (nominal)'!$D$12:$AM$244,ROW()-12,FALSE)="","",HLOOKUP(AP$13,'MP (nominal)'!$D$12:$AM$244,ROW()-12,FALSE)*VLOOKUP($C218,CPI!$B$9:$I$63,8))</f>
        <v>16869.812683983917</v>
      </c>
      <c r="AQ218" s="31">
        <f>IF(HLOOKUP(AQ$13,'MP (nominal)'!$D$12:$AM$244,ROW()-12,FALSE)="","",HLOOKUP(AQ$13,'MP (nominal)'!$D$12:$AM$244,ROW()-12,FALSE))</f>
        <v>318801.36</v>
      </c>
      <c r="AR218" s="281">
        <f>IF(HLOOKUP(AR$13,'MP (nominal)'!$D$12:$AM$244,ROW()-12,FALSE)="","",HLOOKUP(AR$13,'MP (nominal)'!$D$12:$AM$244,ROW()-12,FALSE))</f>
        <v>22702</v>
      </c>
    </row>
    <row r="219" spans="1:44" s="278" customFormat="1">
      <c r="A219" s="271">
        <f>References!H283</f>
        <v>581</v>
      </c>
      <c r="B219" s="292" t="s">
        <v>54</v>
      </c>
      <c r="C219" s="284">
        <v>2009</v>
      </c>
      <c r="D219" s="27">
        <f>IF(HLOOKUP(D$13,'MP (nominal)'!$D$12:$AM$244,ROW()-12,FALSE)="","",HLOOKUP(D$13,'MP (nominal)'!$D$12:$AM$244,ROW()-12,FALSE))</f>
        <v>1735.095</v>
      </c>
      <c r="E219" s="281">
        <f>IF(HLOOKUP(E$13,'MP (nominal)'!$D$12:$AM$244,ROW()-12,FALSE)="","",HLOOKUP(E$13,'MP (nominal)'!$D$12:$AM$244,ROW()-12,FALSE))</f>
        <v>72.810159999999996</v>
      </c>
      <c r="F219" s="27">
        <f>IF(HLOOKUP(F$13,'MP (nominal)'!$D$12:$AM$244,ROW()-12,FALSE)="","",HLOOKUP(F$13,'MP (nominal)'!$D$12:$AM$244,ROW()-12,FALSE))</f>
        <v>322.75601999999998</v>
      </c>
      <c r="G219" s="281">
        <f>IF(HLOOKUP(G$13,'MP (nominal)'!$D$12:$AM$244,ROW()-12,FALSE)="","",HLOOKUP(G$13,'MP (nominal)'!$D$12:$AM$244,ROW()-12,FALSE))</f>
        <v>52.652810000000002</v>
      </c>
      <c r="H219" s="27">
        <f>IF(HLOOKUP(H$13,'MP (nominal)'!$D$12:$AM$244,ROW()-12,FALSE)="","",HLOOKUP(H$13,'MP (nominal)'!$D$12:$AM$244,ROW()-12,FALSE))</f>
        <v>2057.8510000000001</v>
      </c>
      <c r="I219" s="31">
        <f>IF(HLOOKUP(I$13,'MP (nominal)'!$D$12:$AM$244,ROW()-12,FALSE)="","",HLOOKUP(I$13,'MP (nominal)'!$D$12:$AM$244,ROW()-12,FALSE))</f>
        <v>125.46297</v>
      </c>
      <c r="J219" s="31">
        <f>IF(HLOOKUP(J$13,'MP (nominal)'!$D$12:$AM$244,ROW()-12,FALSE)="","",HLOOKUP(J$13,'MP (nominal)'!$D$12:$AM$244,ROW()-12,FALSE))</f>
        <v>1735.095</v>
      </c>
      <c r="K219" s="281"/>
      <c r="L219" s="27">
        <f>IF(HLOOKUP(L$13,'MP (nominal)'!$D$12:$AM$244,ROW()-12,FALSE)="","",HLOOKUP(L$13,'MP (nominal)'!$D$12:$AM$244,ROW()-12,FALSE))</f>
        <v>61.135840000000002</v>
      </c>
      <c r="M219" s="283">
        <f>IF(HLOOKUP(M$13,'MP (nominal)'!$D$12:$AM$244,ROW()-12,FALSE)="","",HLOOKUP(M$13,'MP (nominal)'!$D$12:$AM$244,ROW()-12,FALSE))</f>
        <v>318.47629999999998</v>
      </c>
      <c r="N219" s="35"/>
      <c r="O219" s="27">
        <f>IF(HLOOKUP(O$13,'MP (nominal)'!$D$12:$AM$244,ROW()-12,FALSE)="","",HLOOKUP(O$13,'MP (nominal)'!$D$12:$AM$244,ROW()-12,FALSE))</f>
        <v>22897</v>
      </c>
      <c r="P219" s="31"/>
      <c r="Q219" s="281"/>
      <c r="R219" s="281">
        <f>IF(HLOOKUP(R$13,'MP (nominal)'!$D$12:$AM$244,ROW()-12,FALSE)="","",HLOOKUP(R$13,'MP (nominal)'!$D$12:$AM$244,ROW()-12,FALSE))</f>
        <v>236.99</v>
      </c>
      <c r="S219" s="281">
        <f>IF(HLOOKUP(S$13,'MP (nominal)'!$D$12:$AM$244,ROW()-12,FALSE)="","",HLOOKUP(S$13,'MP (nominal)'!$D$12:$AM$244,ROW()-12,FALSE))</f>
        <v>39.840000000000003</v>
      </c>
      <c r="T219" s="281">
        <f>IF(HLOOKUP(T$13,'MP (nominal)'!$D$12:$AM$244,ROW()-12,FALSE)="","",HLOOKUP(T$13,'MP (nominal)'!$D$12:$AM$244,ROW()-12,FALSE))</f>
        <v>194.61</v>
      </c>
      <c r="U219" s="281"/>
      <c r="V219" s="281">
        <f>IF(HLOOKUP(V$13,'MP (nominal)'!$D$12:$AM$244,ROW()-12,FALSE)="","",HLOOKUP(V$13,'MP (nominal)'!$D$12:$AM$244,ROW()-12,FALSE))</f>
        <v>3.0842999999999998</v>
      </c>
      <c r="W219" s="281">
        <f>IF(HLOOKUP(W$13,'MP (nominal)'!$D$12:$AM$244,ROW()-12,FALSE)="","",HLOOKUP(W$13,'MP (nominal)'!$D$12:$AM$244,ROW()-12,FALSE))</f>
        <v>0.19600000000000001</v>
      </c>
      <c r="X219" s="281">
        <f>IF(HLOOKUP(X$13,'MP (nominal)'!$D$12:$AM$244,ROW()-12,FALSE)="","",HLOOKUP(X$13,'MP (nominal)'!$D$12:$AM$244,ROW()-12,FALSE))</f>
        <v>2.3331</v>
      </c>
      <c r="Y219" s="281"/>
      <c r="Z219" s="281">
        <f>IF(HLOOKUP(Z$13,'MP (nominal)'!$D$12:$AM$244,ROW()-12,FALSE)="","",HLOOKUP(Z$13,'MP (nominal)'!$D$12:$AM$244,ROW()-12,FALSE)*VLOOKUP($C219,CPI!$B$9:$I$63,8))</f>
        <v>10744.415976937329</v>
      </c>
      <c r="AA219" s="281">
        <f>IF(HLOOKUP(AA$13,'MP (nominal)'!$D$12:$AM$244,ROW()-12,FALSE)="","",HLOOKUP(AA$13,'MP (nominal)'!$D$12:$AM$244,ROW()-12,FALSE))</f>
        <v>157349.01</v>
      </c>
      <c r="AB219" s="281">
        <f>IF(HLOOKUP(AB$13,'MP (nominal)'!$D$12:$AM$244,ROW()-12,FALSE)="","",HLOOKUP(AB$13,'MP (nominal)'!$D$12:$AM$244,ROW()-12,FALSE))</f>
        <v>21175</v>
      </c>
      <c r="AC219" s="281"/>
      <c r="AD219" s="281">
        <f>IF(HLOOKUP(AD$13,'MP (nominal)'!$D$12:$AM$244,ROW()-12,FALSE)="","",HLOOKUP(AD$13,'MP (nominal)'!$D$12:$AM$244,ROW()-12,FALSE)*VLOOKUP($C219,CPI!$B$9:$I$63,8))</f>
        <v>4673.5125113048234</v>
      </c>
      <c r="AE219" s="31">
        <f>IF(HLOOKUP(AE$13,'MP (nominal)'!$D$12:$AM$244,ROW()-12,FALSE)="","",HLOOKUP(AE$13,'MP (nominal)'!$D$12:$AM$244,ROW()-12,FALSE))</f>
        <v>75793.398000000001</v>
      </c>
      <c r="AF219" s="31">
        <f>IF(HLOOKUP(AF$13,'MP (nominal)'!$D$12:$AM$244,ROW()-12,FALSE)="","",HLOOKUP(AF$13,'MP (nominal)'!$D$12:$AM$244,ROW()-12,FALSE))</f>
        <v>1662</v>
      </c>
      <c r="AG219" s="281"/>
      <c r="AH219" s="281">
        <f>IF(HLOOKUP(AH$13,'MP (nominal)'!$D$12:$AM$244,ROW()-12,FALSE)="","",HLOOKUP(AH$13,'MP (nominal)'!$D$12:$AM$244,ROW()-12,FALSE)*VLOOKUP($C219,CPI!$B$9:$I$63,8))</f>
        <v>1053.6921631409155</v>
      </c>
      <c r="AI219" s="31">
        <f>IF(HLOOKUP(AI$13,'MP (nominal)'!$D$12:$AM$244,ROW()-12,FALSE)="","",HLOOKUP(AI$13,'MP (nominal)'!$D$12:$AM$244,ROW()-12,FALSE))</f>
        <v>18883.603999999999</v>
      </c>
      <c r="AJ219" s="31">
        <f>IF(HLOOKUP(AJ$13,'MP (nominal)'!$D$12:$AM$244,ROW()-12,FALSE)="","",HLOOKUP(AJ$13,'MP (nominal)'!$D$12:$AM$244,ROW()-12,FALSE))</f>
        <v>55</v>
      </c>
      <c r="AK219" s="281"/>
      <c r="AL219" s="281">
        <f>IF(HLOOKUP(AL$13,'MP (nominal)'!$D$12:$AM$244,ROW()-12,FALSE)="","",HLOOKUP(AL$13,'MP (nominal)'!$D$12:$AM$244,ROW()-12,FALSE)*VLOOKUP($C219,CPI!$B$9:$I$63,8))</f>
        <v>1589.7323370169534</v>
      </c>
      <c r="AM219" s="31">
        <f>IF(HLOOKUP(AM$13,'MP (nominal)'!$D$12:$AM$244,ROW()-12,FALSE)="","",HLOOKUP(AM$13,'MP (nominal)'!$D$12:$AM$244,ROW()-12,FALSE))</f>
        <v>66450.293000000005</v>
      </c>
      <c r="AN219" s="31">
        <f>IF(HLOOKUP(AN$13,'MP (nominal)'!$D$12:$AM$244,ROW()-12,FALSE)="","",HLOOKUP(AN$13,'MP (nominal)'!$D$12:$AM$244,ROW()-12,FALSE))</f>
        <v>5</v>
      </c>
      <c r="AO219" s="281"/>
      <c r="AP219" s="281">
        <f>IF(HLOOKUP(AP$13,'MP (nominal)'!$D$12:$AM$244,ROW()-12,FALSE)="","",HLOOKUP(AP$13,'MP (nominal)'!$D$12:$AM$244,ROW()-12,FALSE)*VLOOKUP($C219,CPI!$B$9:$I$63,8))</f>
        <v>18061.352988400024</v>
      </c>
      <c r="AQ219" s="31">
        <f>IF(HLOOKUP(AQ$13,'MP (nominal)'!$D$12:$AM$244,ROW()-12,FALSE)="","",HLOOKUP(AQ$13,'MP (nominal)'!$D$12:$AM$244,ROW()-12,FALSE))</f>
        <v>318476.3</v>
      </c>
      <c r="AR219" s="281">
        <f>IF(HLOOKUP(AR$13,'MP (nominal)'!$D$12:$AM$244,ROW()-12,FALSE)="","",HLOOKUP(AR$13,'MP (nominal)'!$D$12:$AM$244,ROW()-12,FALSE))</f>
        <v>22897</v>
      </c>
    </row>
    <row r="220" spans="1:44" s="278" customFormat="1">
      <c r="A220" s="271">
        <f>References!I283</f>
        <v>582</v>
      </c>
      <c r="B220" s="292" t="s">
        <v>54</v>
      </c>
      <c r="C220" s="284">
        <v>2010</v>
      </c>
      <c r="D220" s="27">
        <f>IF(HLOOKUP(D$13,'MP (nominal)'!$D$12:$AM$244,ROW()-12,FALSE)="","",HLOOKUP(D$13,'MP (nominal)'!$D$12:$AM$244,ROW()-12,FALSE))</f>
        <v>1732.4091000000001</v>
      </c>
      <c r="E220" s="281">
        <f>IF(HLOOKUP(E$13,'MP (nominal)'!$D$12:$AM$244,ROW()-12,FALSE)="","",HLOOKUP(E$13,'MP (nominal)'!$D$12:$AM$244,ROW()-12,FALSE))</f>
        <v>68.212950000000006</v>
      </c>
      <c r="F220" s="27">
        <f>IF(HLOOKUP(F$13,'MP (nominal)'!$D$12:$AM$244,ROW()-12,FALSE)="","",HLOOKUP(F$13,'MP (nominal)'!$D$12:$AM$244,ROW()-12,FALSE))</f>
        <v>340.08667000000003</v>
      </c>
      <c r="G220" s="281">
        <f>IF(HLOOKUP(G$13,'MP (nominal)'!$D$12:$AM$244,ROW()-12,FALSE)="","",HLOOKUP(G$13,'MP (nominal)'!$D$12:$AM$244,ROW()-12,FALSE))</f>
        <v>55.44744</v>
      </c>
      <c r="H220" s="27">
        <f>IF(HLOOKUP(H$13,'MP (nominal)'!$D$12:$AM$244,ROW()-12,FALSE)="","",HLOOKUP(H$13,'MP (nominal)'!$D$12:$AM$244,ROW()-12,FALSE))</f>
        <v>2072.4958000000001</v>
      </c>
      <c r="I220" s="31">
        <f>IF(HLOOKUP(I$13,'MP (nominal)'!$D$12:$AM$244,ROW()-12,FALSE)="","",HLOOKUP(I$13,'MP (nominal)'!$D$12:$AM$244,ROW()-12,FALSE))</f>
        <v>123.66039000000001</v>
      </c>
      <c r="J220" s="31">
        <f>IF(HLOOKUP(J$13,'MP (nominal)'!$D$12:$AM$244,ROW()-12,FALSE)="","",HLOOKUP(J$13,'MP (nominal)'!$D$12:$AM$244,ROW()-12,FALSE))</f>
        <v>1732.4091000000001</v>
      </c>
      <c r="K220" s="281"/>
      <c r="L220" s="27">
        <f>IF(HLOOKUP(L$13,'MP (nominal)'!$D$12:$AM$244,ROW()-12,FALSE)="","",HLOOKUP(L$13,'MP (nominal)'!$D$12:$AM$244,ROW()-12,FALSE))</f>
        <v>67.386499999999998</v>
      </c>
      <c r="M220" s="283">
        <f>IF(HLOOKUP(M$13,'MP (nominal)'!$D$12:$AM$244,ROW()-12,FALSE)="","",HLOOKUP(M$13,'MP (nominal)'!$D$12:$AM$244,ROW()-12,FALSE))</f>
        <v>338.18011000000001</v>
      </c>
      <c r="N220" s="35"/>
      <c r="O220" s="27">
        <f>IF(HLOOKUP(O$13,'MP (nominal)'!$D$12:$AM$244,ROW()-12,FALSE)="","",HLOOKUP(O$13,'MP (nominal)'!$D$12:$AM$244,ROW()-12,FALSE))</f>
        <v>23176</v>
      </c>
      <c r="P220" s="31"/>
      <c r="Q220" s="281"/>
      <c r="R220" s="281">
        <f>IF(HLOOKUP(R$13,'MP (nominal)'!$D$12:$AM$244,ROW()-12,FALSE)="","",HLOOKUP(R$13,'MP (nominal)'!$D$12:$AM$244,ROW()-12,FALSE))</f>
        <v>284.02</v>
      </c>
      <c r="S220" s="281">
        <f>IF(HLOOKUP(S$13,'MP (nominal)'!$D$12:$AM$244,ROW()-12,FALSE)="","",HLOOKUP(S$13,'MP (nominal)'!$D$12:$AM$244,ROW()-12,FALSE))</f>
        <v>43.28</v>
      </c>
      <c r="T220" s="281">
        <f>IF(HLOOKUP(T$13,'MP (nominal)'!$D$12:$AM$244,ROW()-12,FALSE)="","",HLOOKUP(T$13,'MP (nominal)'!$D$12:$AM$244,ROW()-12,FALSE))</f>
        <v>83.54</v>
      </c>
      <c r="U220" s="281"/>
      <c r="V220" s="281">
        <f>IF(HLOOKUP(V$13,'MP (nominal)'!$D$12:$AM$244,ROW()-12,FALSE)="","",HLOOKUP(V$13,'MP (nominal)'!$D$12:$AM$244,ROW()-12,FALSE))</f>
        <v>3.2542</v>
      </c>
      <c r="W220" s="281">
        <f>IF(HLOOKUP(W$13,'MP (nominal)'!$D$12:$AM$244,ROW()-12,FALSE)="","",HLOOKUP(W$13,'MP (nominal)'!$D$12:$AM$244,ROW()-12,FALSE))</f>
        <v>0.1988</v>
      </c>
      <c r="X220" s="281">
        <f>IF(HLOOKUP(X$13,'MP (nominal)'!$D$12:$AM$244,ROW()-12,FALSE)="","",HLOOKUP(X$13,'MP (nominal)'!$D$12:$AM$244,ROW()-12,FALSE))</f>
        <v>1.7097</v>
      </c>
      <c r="Y220" s="281"/>
      <c r="Z220" s="281">
        <f>IF(HLOOKUP(Z$13,'MP (nominal)'!$D$12:$AM$244,ROW()-12,FALSE)="","",HLOOKUP(Z$13,'MP (nominal)'!$D$12:$AM$244,ROW()-12,FALSE)*VLOOKUP($C220,CPI!$B$9:$I$63,8))</f>
        <v>10990.399412034167</v>
      </c>
      <c r="AA220" s="281">
        <f>IF(HLOOKUP(AA$13,'MP (nominal)'!$D$12:$AM$244,ROW()-12,FALSE)="","",HLOOKUP(AA$13,'MP (nominal)'!$D$12:$AM$244,ROW()-12,FALSE))</f>
        <v>153960.81</v>
      </c>
      <c r="AB220" s="281">
        <f>IF(HLOOKUP(AB$13,'MP (nominal)'!$D$12:$AM$244,ROW()-12,FALSE)="","",HLOOKUP(AB$13,'MP (nominal)'!$D$12:$AM$244,ROW()-12,FALSE))</f>
        <v>21328</v>
      </c>
      <c r="AC220" s="281"/>
      <c r="AD220" s="281">
        <f>IF(HLOOKUP(AD$13,'MP (nominal)'!$D$12:$AM$244,ROW()-12,FALSE)="","",HLOOKUP(AD$13,'MP (nominal)'!$D$12:$AM$244,ROW()-12,FALSE)*VLOOKUP($C220,CPI!$B$9:$I$63,8))</f>
        <v>5543.7915314866204</v>
      </c>
      <c r="AE220" s="31">
        <f>IF(HLOOKUP(AE$13,'MP (nominal)'!$D$12:$AM$244,ROW()-12,FALSE)="","",HLOOKUP(AE$13,'MP (nominal)'!$D$12:$AM$244,ROW()-12,FALSE))</f>
        <v>86991.362999999998</v>
      </c>
      <c r="AF220" s="31">
        <f>IF(HLOOKUP(AF$13,'MP (nominal)'!$D$12:$AM$244,ROW()-12,FALSE)="","",HLOOKUP(AF$13,'MP (nominal)'!$D$12:$AM$244,ROW()-12,FALSE))</f>
        <v>1778</v>
      </c>
      <c r="AG220" s="281"/>
      <c r="AH220" s="281">
        <f>IF(HLOOKUP(AH$13,'MP (nominal)'!$D$12:$AM$244,ROW()-12,FALSE)="","",HLOOKUP(AH$13,'MP (nominal)'!$D$12:$AM$244,ROW()-12,FALSE)*VLOOKUP($C220,CPI!$B$9:$I$63,8))</f>
        <v>1463.7696625528815</v>
      </c>
      <c r="AI220" s="31">
        <f>IF(HLOOKUP(AI$13,'MP (nominal)'!$D$12:$AM$244,ROW()-12,FALSE)="","",HLOOKUP(AI$13,'MP (nominal)'!$D$12:$AM$244,ROW()-12,FALSE))</f>
        <v>24450.012999999999</v>
      </c>
      <c r="AJ220" s="31">
        <f>IF(HLOOKUP(AJ$13,'MP (nominal)'!$D$12:$AM$244,ROW()-12,FALSE)="","",HLOOKUP(AJ$13,'MP (nominal)'!$D$12:$AM$244,ROW()-12,FALSE))</f>
        <v>65</v>
      </c>
      <c r="AK220" s="281"/>
      <c r="AL220" s="281">
        <f>IF(HLOOKUP(AL$13,'MP (nominal)'!$D$12:$AM$244,ROW()-12,FALSE)="","",HLOOKUP(AL$13,'MP (nominal)'!$D$12:$AM$244,ROW()-12,FALSE)*VLOOKUP($C220,CPI!$B$9:$I$63,8))</f>
        <v>1631.0507162835816</v>
      </c>
      <c r="AM220" s="31">
        <f>IF(HLOOKUP(AM$13,'MP (nominal)'!$D$12:$AM$244,ROW()-12,FALSE)="","",HLOOKUP(AM$13,'MP (nominal)'!$D$12:$AM$244,ROW()-12,FALSE))</f>
        <v>72777.922999999995</v>
      </c>
      <c r="AN220" s="31">
        <f>IF(HLOOKUP(AN$13,'MP (nominal)'!$D$12:$AM$244,ROW()-12,FALSE)="","",HLOOKUP(AN$13,'MP (nominal)'!$D$12:$AM$244,ROW()-12,FALSE))</f>
        <v>5</v>
      </c>
      <c r="AO220" s="281"/>
      <c r="AP220" s="281">
        <f>IF(HLOOKUP(AP$13,'MP (nominal)'!$D$12:$AM$244,ROW()-12,FALSE)="","",HLOOKUP(AP$13,'MP (nominal)'!$D$12:$AM$244,ROW()-12,FALSE)*VLOOKUP($C220,CPI!$B$9:$I$63,8))</f>
        <v>19629.010914823095</v>
      </c>
      <c r="AQ220" s="31">
        <f>IF(HLOOKUP(AQ$13,'MP (nominal)'!$D$12:$AM$244,ROW()-12,FALSE)="","",HLOOKUP(AQ$13,'MP (nominal)'!$D$12:$AM$244,ROW()-12,FALSE))</f>
        <v>338180.11</v>
      </c>
      <c r="AR220" s="281">
        <f>IF(HLOOKUP(AR$13,'MP (nominal)'!$D$12:$AM$244,ROW()-12,FALSE)="","",HLOOKUP(AR$13,'MP (nominal)'!$D$12:$AM$244,ROW()-12,FALSE))</f>
        <v>23176</v>
      </c>
    </row>
    <row r="221" spans="1:44" s="278" customFormat="1">
      <c r="A221" s="271">
        <f>References!J283</f>
        <v>583</v>
      </c>
      <c r="B221" s="292" t="s">
        <v>54</v>
      </c>
      <c r="C221" s="284">
        <v>2011</v>
      </c>
      <c r="D221" s="27">
        <f>IF(HLOOKUP(D$13,'MP (nominal)'!$D$12:$AM$244,ROW()-12,FALSE)="","",HLOOKUP(D$13,'MP (nominal)'!$D$12:$AM$244,ROW()-12,FALSE))</f>
        <v>1735.3688999999999</v>
      </c>
      <c r="E221" s="281">
        <f>IF(HLOOKUP(E$13,'MP (nominal)'!$D$12:$AM$244,ROW()-12,FALSE)="","",HLOOKUP(E$13,'MP (nominal)'!$D$12:$AM$244,ROW()-12,FALSE))</f>
        <v>68.21651</v>
      </c>
      <c r="F221" s="27">
        <f>IF(HLOOKUP(F$13,'MP (nominal)'!$D$12:$AM$244,ROW()-12,FALSE)="","",HLOOKUP(F$13,'MP (nominal)'!$D$12:$AM$244,ROW()-12,FALSE))</f>
        <v>348.74381</v>
      </c>
      <c r="G221" s="281">
        <f>IF(HLOOKUP(G$13,'MP (nominal)'!$D$12:$AM$244,ROW()-12,FALSE)="","",HLOOKUP(G$13,'MP (nominal)'!$D$12:$AM$244,ROW()-12,FALSE))</f>
        <v>58.552439999999997</v>
      </c>
      <c r="H221" s="27">
        <f>IF(HLOOKUP(H$13,'MP (nominal)'!$D$12:$AM$244,ROW()-12,FALSE)="","",HLOOKUP(H$13,'MP (nominal)'!$D$12:$AM$244,ROW()-12,FALSE))</f>
        <v>2084.1127000000001</v>
      </c>
      <c r="I221" s="31">
        <f>IF(HLOOKUP(I$13,'MP (nominal)'!$D$12:$AM$244,ROW()-12,FALSE)="","",HLOOKUP(I$13,'MP (nominal)'!$D$12:$AM$244,ROW()-12,FALSE))</f>
        <v>126.76895</v>
      </c>
      <c r="J221" s="31">
        <f>IF(HLOOKUP(J$13,'MP (nominal)'!$D$12:$AM$244,ROW()-12,FALSE)="","",HLOOKUP(J$13,'MP (nominal)'!$D$12:$AM$244,ROW()-12,FALSE))</f>
        <v>1735.3688999999999</v>
      </c>
      <c r="K221" s="281"/>
      <c r="L221" s="27">
        <f>IF(HLOOKUP(L$13,'MP (nominal)'!$D$12:$AM$244,ROW()-12,FALSE)="","",HLOOKUP(L$13,'MP (nominal)'!$D$12:$AM$244,ROW()-12,FALSE))</f>
        <v>71.665779999999998</v>
      </c>
      <c r="M221" s="283">
        <f>IF(HLOOKUP(M$13,'MP (nominal)'!$D$12:$AM$244,ROW()-12,FALSE)="","",HLOOKUP(M$13,'MP (nominal)'!$D$12:$AM$244,ROW()-12,FALSE))</f>
        <v>334.26598000000001</v>
      </c>
      <c r="N221" s="35"/>
      <c r="O221" s="27">
        <f>IF(HLOOKUP(O$13,'MP (nominal)'!$D$12:$AM$244,ROW()-12,FALSE)="","",HLOOKUP(O$13,'MP (nominal)'!$D$12:$AM$244,ROW()-12,FALSE))</f>
        <v>23510</v>
      </c>
      <c r="P221" s="31"/>
      <c r="Q221" s="281"/>
      <c r="R221" s="281">
        <f>IF(HLOOKUP(R$13,'MP (nominal)'!$D$12:$AM$244,ROW()-12,FALSE)="","",HLOOKUP(R$13,'MP (nominal)'!$D$12:$AM$244,ROW()-12,FALSE))</f>
        <v>199.34</v>
      </c>
      <c r="S221" s="281">
        <f>IF(HLOOKUP(S$13,'MP (nominal)'!$D$12:$AM$244,ROW()-12,FALSE)="","",HLOOKUP(S$13,'MP (nominal)'!$D$12:$AM$244,ROW()-12,FALSE))</f>
        <v>28.35</v>
      </c>
      <c r="T221" s="281">
        <f>IF(HLOOKUP(T$13,'MP (nominal)'!$D$12:$AM$244,ROW()-12,FALSE)="","",HLOOKUP(T$13,'MP (nominal)'!$D$12:$AM$244,ROW()-12,FALSE))</f>
        <v>85.92</v>
      </c>
      <c r="U221" s="281"/>
      <c r="V221" s="281">
        <f>IF(HLOOKUP(V$13,'MP (nominal)'!$D$12:$AM$244,ROW()-12,FALSE)="","",HLOOKUP(V$13,'MP (nominal)'!$D$12:$AM$244,ROW()-12,FALSE))</f>
        <v>3.2633000000000001</v>
      </c>
      <c r="W221" s="281">
        <f>IF(HLOOKUP(W$13,'MP (nominal)'!$D$12:$AM$244,ROW()-12,FALSE)="","",HLOOKUP(W$13,'MP (nominal)'!$D$12:$AM$244,ROW()-12,FALSE))</f>
        <v>0.1237</v>
      </c>
      <c r="X221" s="281">
        <f>IF(HLOOKUP(X$13,'MP (nominal)'!$D$12:$AM$244,ROW()-12,FALSE)="","",HLOOKUP(X$13,'MP (nominal)'!$D$12:$AM$244,ROW()-12,FALSE))</f>
        <v>1.4381999999999999</v>
      </c>
      <c r="Y221" s="281"/>
      <c r="Z221" s="281">
        <f>IF(HLOOKUP(Z$13,'MP (nominal)'!$D$12:$AM$244,ROW()-12,FALSE)="","",HLOOKUP(Z$13,'MP (nominal)'!$D$12:$AM$244,ROW()-12,FALSE)*VLOOKUP($C221,CPI!$B$9:$I$63,8))</f>
        <v>11746.689</v>
      </c>
      <c r="AA221" s="281">
        <f>IF(HLOOKUP(AA$13,'MP (nominal)'!$D$12:$AM$244,ROW()-12,FALSE)="","",HLOOKUP(AA$13,'MP (nominal)'!$D$12:$AM$244,ROW()-12,FALSE))</f>
        <v>165916.06</v>
      </c>
      <c r="AB221" s="281">
        <f>IF(HLOOKUP(AB$13,'MP (nominal)'!$D$12:$AM$244,ROW()-12,FALSE)="","",HLOOKUP(AB$13,'MP (nominal)'!$D$12:$AM$244,ROW()-12,FALSE))</f>
        <v>21740</v>
      </c>
      <c r="AC221" s="281"/>
      <c r="AD221" s="281">
        <f>IF(HLOOKUP(AD$13,'MP (nominal)'!$D$12:$AM$244,ROW()-12,FALSE)="","",HLOOKUP(AD$13,'MP (nominal)'!$D$12:$AM$244,ROW()-12,FALSE)*VLOOKUP($C221,CPI!$B$9:$I$63,8))</f>
        <v>5495.9745999999996</v>
      </c>
      <c r="AE221" s="31">
        <f>IF(HLOOKUP(AE$13,'MP (nominal)'!$D$12:$AM$244,ROW()-12,FALSE)="","",HLOOKUP(AE$13,'MP (nominal)'!$D$12:$AM$244,ROW()-12,FALSE))</f>
        <v>84337.394</v>
      </c>
      <c r="AF221" s="31">
        <f>IF(HLOOKUP(AF$13,'MP (nominal)'!$D$12:$AM$244,ROW()-12,FALSE)="","",HLOOKUP(AF$13,'MP (nominal)'!$D$12:$AM$244,ROW()-12,FALSE))</f>
        <v>1707</v>
      </c>
      <c r="AG221" s="281"/>
      <c r="AH221" s="281">
        <f>IF(HLOOKUP(AH$13,'MP (nominal)'!$D$12:$AM$244,ROW()-12,FALSE)="","",HLOOKUP(AH$13,'MP (nominal)'!$D$12:$AM$244,ROW()-12,FALSE)*VLOOKUP($C221,CPI!$B$9:$I$63,8))</f>
        <v>1061.0476000000001</v>
      </c>
      <c r="AI221" s="31">
        <f>IF(HLOOKUP(AI$13,'MP (nominal)'!$D$12:$AM$244,ROW()-12,FALSE)="","",HLOOKUP(AI$13,'MP (nominal)'!$D$12:$AM$244,ROW()-12,FALSE))</f>
        <v>15872.732</v>
      </c>
      <c r="AJ221" s="31">
        <f>IF(HLOOKUP(AJ$13,'MP (nominal)'!$D$12:$AM$244,ROW()-12,FALSE)="","",HLOOKUP(AJ$13,'MP (nominal)'!$D$12:$AM$244,ROW()-12,FALSE))</f>
        <v>58</v>
      </c>
      <c r="AK221" s="281"/>
      <c r="AL221" s="281">
        <f>IF(HLOOKUP(AL$13,'MP (nominal)'!$D$12:$AM$244,ROW()-12,FALSE)="","",HLOOKUP(AL$13,'MP (nominal)'!$D$12:$AM$244,ROW()-12,FALSE)*VLOOKUP($C221,CPI!$B$9:$I$63,8))</f>
        <v>1544.1962000000001</v>
      </c>
      <c r="AM221" s="31">
        <f>IF(HLOOKUP(AM$13,'MP (nominal)'!$D$12:$AM$244,ROW()-12,FALSE)="","",HLOOKUP(AM$13,'MP (nominal)'!$D$12:$AM$244,ROW()-12,FALSE))</f>
        <v>68139.789000000004</v>
      </c>
      <c r="AN221" s="31">
        <f>IF(HLOOKUP(AN$13,'MP (nominal)'!$D$12:$AM$244,ROW()-12,FALSE)="","",HLOOKUP(AN$13,'MP (nominal)'!$D$12:$AM$244,ROW()-12,FALSE))</f>
        <v>5</v>
      </c>
      <c r="AO221" s="281"/>
      <c r="AP221" s="281">
        <f>IF(HLOOKUP(AP$13,'MP (nominal)'!$D$12:$AM$244,ROW()-12,FALSE)="","",HLOOKUP(AP$13,'MP (nominal)'!$D$12:$AM$244,ROW()-12,FALSE)*VLOOKUP($C221,CPI!$B$9:$I$63,8))</f>
        <v>19847.906999999999</v>
      </c>
      <c r="AQ221" s="31">
        <f>IF(HLOOKUP(AQ$13,'MP (nominal)'!$D$12:$AM$244,ROW()-12,FALSE)="","",HLOOKUP(AQ$13,'MP (nominal)'!$D$12:$AM$244,ROW()-12,FALSE))</f>
        <v>334265.98</v>
      </c>
      <c r="AR221" s="281">
        <f>IF(HLOOKUP(AR$13,'MP (nominal)'!$D$12:$AM$244,ROW()-12,FALSE)="","",HLOOKUP(AR$13,'MP (nominal)'!$D$12:$AM$244,ROW()-12,FALSE))</f>
        <v>23510</v>
      </c>
    </row>
    <row r="222" spans="1:44" s="278" customFormat="1" hidden="1">
      <c r="A222" s="271">
        <f>References!C284</f>
        <v>599</v>
      </c>
      <c r="B222" s="292" t="s">
        <v>55</v>
      </c>
      <c r="C222" s="284">
        <v>2004</v>
      </c>
      <c r="D222" s="27" t="str">
        <f>IF(HLOOKUP(D$13,'MP (nominal)'!$D$12:$AM$244,ROW()-12,FALSE)="","",HLOOKUP(D$13,'MP (nominal)'!$D$12:$AM$244,ROW()-12,FALSE))</f>
        <v/>
      </c>
      <c r="E222" s="281" t="str">
        <f>IF(HLOOKUP(E$13,'MP (nominal)'!$D$12:$AM$244,ROW()-12,FALSE)="","",HLOOKUP(E$13,'MP (nominal)'!$D$12:$AM$244,ROW()-12,FALSE))</f>
        <v/>
      </c>
      <c r="F222" s="27">
        <f>IF(HLOOKUP(F$13,'MP (nominal)'!$D$12:$AM$244,ROW()-12,FALSE)="","",HLOOKUP(F$13,'MP (nominal)'!$D$12:$AM$244,ROW()-12,FALSE))</f>
        <v>1428</v>
      </c>
      <c r="G222" s="281" t="str">
        <f>IF(HLOOKUP(G$13,'MP (nominal)'!$D$12:$AM$244,ROW()-12,FALSE)="","",HLOOKUP(G$13,'MP (nominal)'!$D$12:$AM$244,ROW()-12,FALSE))</f>
        <v/>
      </c>
      <c r="H222" s="27">
        <f>IF(HLOOKUP(H$13,'MP (nominal)'!$D$12:$AM$244,ROW()-12,FALSE)="","",HLOOKUP(H$13,'MP (nominal)'!$D$12:$AM$244,ROW()-12,FALSE))</f>
        <v>4875.3100000000004</v>
      </c>
      <c r="I222" s="31" t="str">
        <f>IF(HLOOKUP(I$13,'MP (nominal)'!$D$12:$AM$244,ROW()-12,FALSE)="","",HLOOKUP(I$13,'MP (nominal)'!$D$12:$AM$244,ROW()-12,FALSE))</f>
        <v/>
      </c>
      <c r="J222" s="31">
        <f>IF(HLOOKUP(J$13,'MP (nominal)'!$D$12:$AM$244,ROW()-12,FALSE)="","",HLOOKUP(J$13,'MP (nominal)'!$D$12:$AM$244,ROW()-12,FALSE))</f>
        <v>3447.31</v>
      </c>
      <c r="K222" s="281"/>
      <c r="L222" s="27">
        <f>IF(HLOOKUP(L$13,'MP (nominal)'!$D$12:$AM$244,ROW()-12,FALSE)="","",HLOOKUP(L$13,'MP (nominal)'!$D$12:$AM$244,ROW()-12,FALSE))</f>
        <v>202.34399999999999</v>
      </c>
      <c r="M222" s="293">
        <f>IF(HLOOKUP(M$13,'MP (nominal)'!$D$12:$AM$244,ROW()-12,FALSE)="","",HLOOKUP(M$13,'MP (nominal)'!$D$12:$AM$244,ROW()-12,FALSE))</f>
        <v>971.88778200000002</v>
      </c>
      <c r="N222" s="35"/>
      <c r="O222" s="27">
        <f>IF(HLOOKUP(O$13,'MP (nominal)'!$D$12:$AM$244,ROW()-12,FALSE)="","",HLOOKUP(O$13,'MP (nominal)'!$D$12:$AM$244,ROW()-12,FALSE))</f>
        <v>75595</v>
      </c>
      <c r="P222" s="31"/>
      <c r="Q222" s="281"/>
      <c r="R222" s="281">
        <f>IF(HLOOKUP(R$13,'MP (nominal)'!$D$12:$AM$244,ROW()-12,FALSE)="","",HLOOKUP(R$13,'MP (nominal)'!$D$12:$AM$244,ROW()-12,FALSE))</f>
        <v>68.48</v>
      </c>
      <c r="S222" s="281" t="str">
        <f>IF(HLOOKUP(S$13,'MP (nominal)'!$D$12:$AM$244,ROW()-12,FALSE)="","",HLOOKUP(S$13,'MP (nominal)'!$D$12:$AM$244,ROW()-12,FALSE))</f>
        <v/>
      </c>
      <c r="T222" s="281" t="str">
        <f>IF(HLOOKUP(T$13,'MP (nominal)'!$D$12:$AM$244,ROW()-12,FALSE)="","",HLOOKUP(T$13,'MP (nominal)'!$D$12:$AM$244,ROW()-12,FALSE))</f>
        <v/>
      </c>
      <c r="U222" s="281"/>
      <c r="V222" s="281">
        <f>IF(HLOOKUP(V$13,'MP (nominal)'!$D$12:$AM$244,ROW()-12,FALSE)="","",HLOOKUP(V$13,'MP (nominal)'!$D$12:$AM$244,ROW()-12,FALSE))</f>
        <v>1.83</v>
      </c>
      <c r="W222" s="281" t="str">
        <f>IF(HLOOKUP(W$13,'MP (nominal)'!$D$12:$AM$244,ROW()-12,FALSE)="","",HLOOKUP(W$13,'MP (nominal)'!$D$12:$AM$244,ROW()-12,FALSE))</f>
        <v/>
      </c>
      <c r="X222" s="281" t="str">
        <f>IF(HLOOKUP(X$13,'MP (nominal)'!$D$12:$AM$244,ROW()-12,FALSE)="","",HLOOKUP(X$13,'MP (nominal)'!$D$12:$AM$244,ROW()-12,FALSE))</f>
        <v/>
      </c>
      <c r="Y222" s="281"/>
      <c r="Z222" s="281" t="str">
        <f>IF(HLOOKUP(Z$13,'MP (nominal)'!$D$12:$AM$244,ROW()-12,FALSE)="","",HLOOKUP(Z$13,'MP (nominal)'!$D$12:$AM$244,ROW()-12,FALSE)*VLOOKUP($C222,CPI!$B$9:$I$63,8))</f>
        <v/>
      </c>
      <c r="AA222" s="281" t="str">
        <f>IF(HLOOKUP(AA$13,'MP (nominal)'!$D$12:$AM$244,ROW()-12,FALSE)="","",HLOOKUP(AA$13,'MP (nominal)'!$D$12:$AM$244,ROW()-12,FALSE))</f>
        <v/>
      </c>
      <c r="AB222" s="281" t="str">
        <f>IF(HLOOKUP(AB$13,'MP (nominal)'!$D$12:$AM$244,ROW()-12,FALSE)="","",HLOOKUP(AB$13,'MP (nominal)'!$D$12:$AM$244,ROW()-12,FALSE))</f>
        <v/>
      </c>
      <c r="AC222" s="281"/>
      <c r="AD222" s="281" t="str">
        <f>IF(HLOOKUP(AD$13,'MP (nominal)'!$D$12:$AM$244,ROW()-12,FALSE)="","",HLOOKUP(AD$13,'MP (nominal)'!$D$12:$AM$244,ROW()-12,FALSE)*VLOOKUP($C222,CPI!$B$9:$I$63,8))</f>
        <v/>
      </c>
      <c r="AE222" s="31" t="str">
        <f>IF(HLOOKUP(AE$13,'MP (nominal)'!$D$12:$AM$244,ROW()-12,FALSE)="","",HLOOKUP(AE$13,'MP (nominal)'!$D$12:$AM$244,ROW()-12,FALSE))</f>
        <v/>
      </c>
      <c r="AF222" s="31" t="str">
        <f>IF(HLOOKUP(AF$13,'MP (nominal)'!$D$12:$AM$244,ROW()-12,FALSE)="","",HLOOKUP(AF$13,'MP (nominal)'!$D$12:$AM$244,ROW()-12,FALSE))</f>
        <v/>
      </c>
      <c r="AG222" s="281"/>
      <c r="AH222" s="281" t="str">
        <f>IF(HLOOKUP(AH$13,'MP (nominal)'!$D$12:$AM$244,ROW()-12,FALSE)="","",HLOOKUP(AH$13,'MP (nominal)'!$D$12:$AM$244,ROW()-12,FALSE)*VLOOKUP($C222,CPI!$B$9:$I$63,8))</f>
        <v/>
      </c>
      <c r="AI222" s="31" t="str">
        <f>IF(HLOOKUP(AI$13,'MP (nominal)'!$D$12:$AM$244,ROW()-12,FALSE)="","",HLOOKUP(AI$13,'MP (nominal)'!$D$12:$AM$244,ROW()-12,FALSE))</f>
        <v/>
      </c>
      <c r="AJ222" s="31" t="str">
        <f>IF(HLOOKUP(AJ$13,'MP (nominal)'!$D$12:$AM$244,ROW()-12,FALSE)="","",HLOOKUP(AJ$13,'MP (nominal)'!$D$12:$AM$244,ROW()-12,FALSE))</f>
        <v/>
      </c>
      <c r="AK222" s="281"/>
      <c r="AL222" s="281" t="str">
        <f>IF(HLOOKUP(AL$13,'MP (nominal)'!$D$12:$AM$244,ROW()-12,FALSE)="","",HLOOKUP(AL$13,'MP (nominal)'!$D$12:$AM$244,ROW()-12,FALSE)*VLOOKUP($C222,CPI!$B$9:$I$63,8))</f>
        <v/>
      </c>
      <c r="AM222" s="31" t="str">
        <f>IF(HLOOKUP(AM$13,'MP (nominal)'!$D$12:$AM$244,ROW()-12,FALSE)="","",HLOOKUP(AM$13,'MP (nominal)'!$D$12:$AM$244,ROW()-12,FALSE))</f>
        <v/>
      </c>
      <c r="AN222" s="31" t="str">
        <f>IF(HLOOKUP(AN$13,'MP (nominal)'!$D$12:$AM$244,ROW()-12,FALSE)="","",HLOOKUP(AN$13,'MP (nominal)'!$D$12:$AM$244,ROW()-12,FALSE))</f>
        <v/>
      </c>
      <c r="AO222" s="281"/>
      <c r="AP222" s="281" t="str">
        <f>IF(HLOOKUP(AP$13,'MP (nominal)'!$D$12:$AM$244,ROW()-12,FALSE)="","",HLOOKUP(AP$13,'MP (nominal)'!$D$12:$AM$244,ROW()-12,FALSE)*VLOOKUP($C222,CPI!$B$9:$I$63,8))</f>
        <v/>
      </c>
      <c r="AQ222" s="31" t="str">
        <f>IF(HLOOKUP(AQ$13,'MP (nominal)'!$D$12:$AM$244,ROW()-12,FALSE)="","",HLOOKUP(AQ$13,'MP (nominal)'!$D$12:$AM$244,ROW()-12,FALSE))</f>
        <v/>
      </c>
      <c r="AR222" s="281" t="str">
        <f>IF(HLOOKUP(AR$13,'MP (nominal)'!$D$12:$AM$244,ROW()-12,FALSE)="","",HLOOKUP(AR$13,'MP (nominal)'!$D$12:$AM$244,ROW()-12,FALSE))</f>
        <v/>
      </c>
    </row>
    <row r="223" spans="1:44" s="278" customFormat="1" hidden="1">
      <c r="A223" s="271">
        <f>References!D284</f>
        <v>600</v>
      </c>
      <c r="B223" s="292" t="s">
        <v>55</v>
      </c>
      <c r="C223" s="284">
        <v>2005</v>
      </c>
      <c r="D223" s="27" t="str">
        <f>IF(HLOOKUP(D$13,'MP (nominal)'!$D$12:$AM$244,ROW()-12,FALSE)="","",HLOOKUP(D$13,'MP (nominal)'!$D$12:$AM$244,ROW()-12,FALSE))</f>
        <v/>
      </c>
      <c r="E223" s="281" t="str">
        <f>IF(HLOOKUP(E$13,'MP (nominal)'!$D$12:$AM$244,ROW()-12,FALSE)="","",HLOOKUP(E$13,'MP (nominal)'!$D$12:$AM$244,ROW()-12,FALSE))</f>
        <v/>
      </c>
      <c r="F223" s="27">
        <f>IF(HLOOKUP(F$13,'MP (nominal)'!$D$12:$AM$244,ROW()-12,FALSE)="","",HLOOKUP(F$13,'MP (nominal)'!$D$12:$AM$244,ROW()-12,FALSE))</f>
        <v>1469.14</v>
      </c>
      <c r="G223" s="281" t="str">
        <f>IF(HLOOKUP(G$13,'MP (nominal)'!$D$12:$AM$244,ROW()-12,FALSE)="","",HLOOKUP(G$13,'MP (nominal)'!$D$12:$AM$244,ROW()-12,FALSE))</f>
        <v/>
      </c>
      <c r="H223" s="27">
        <f>IF(HLOOKUP(H$13,'MP (nominal)'!$D$12:$AM$244,ROW()-12,FALSE)="","",HLOOKUP(H$13,'MP (nominal)'!$D$12:$AM$244,ROW()-12,FALSE))</f>
        <v>4884</v>
      </c>
      <c r="I223" s="31" t="str">
        <f>IF(HLOOKUP(I$13,'MP (nominal)'!$D$12:$AM$244,ROW()-12,FALSE)="","",HLOOKUP(I$13,'MP (nominal)'!$D$12:$AM$244,ROW()-12,FALSE))</f>
        <v/>
      </c>
      <c r="J223" s="31">
        <f>IF(HLOOKUP(J$13,'MP (nominal)'!$D$12:$AM$244,ROW()-12,FALSE)="","",HLOOKUP(J$13,'MP (nominal)'!$D$12:$AM$244,ROW()-12,FALSE))</f>
        <v>3414.86</v>
      </c>
      <c r="K223" s="281"/>
      <c r="L223" s="27">
        <f>IF(HLOOKUP(L$13,'MP (nominal)'!$D$12:$AM$244,ROW()-12,FALSE)="","",HLOOKUP(L$13,'MP (nominal)'!$D$12:$AM$244,ROW()-12,FALSE))</f>
        <v>199.99700000000001</v>
      </c>
      <c r="M223" s="293">
        <f>IF(HLOOKUP(M$13,'MP (nominal)'!$D$12:$AM$244,ROW()-12,FALSE)="","",HLOOKUP(M$13,'MP (nominal)'!$D$12:$AM$244,ROW()-12,FALSE))</f>
        <v>1017.637372</v>
      </c>
      <c r="N223" s="35"/>
      <c r="O223" s="27">
        <f>IF(HLOOKUP(O$13,'MP (nominal)'!$D$12:$AM$244,ROW()-12,FALSE)="","",HLOOKUP(O$13,'MP (nominal)'!$D$12:$AM$244,ROW()-12,FALSE))</f>
        <v>77480</v>
      </c>
      <c r="P223" s="31"/>
      <c r="Q223" s="281"/>
      <c r="R223" s="281">
        <f>IF(HLOOKUP(R$13,'MP (nominal)'!$D$12:$AM$244,ROW()-12,FALSE)="","",HLOOKUP(R$13,'MP (nominal)'!$D$12:$AM$244,ROW()-12,FALSE))</f>
        <v>132.43</v>
      </c>
      <c r="S223" s="281" t="str">
        <f>IF(HLOOKUP(S$13,'MP (nominal)'!$D$12:$AM$244,ROW()-12,FALSE)="","",HLOOKUP(S$13,'MP (nominal)'!$D$12:$AM$244,ROW()-12,FALSE))</f>
        <v/>
      </c>
      <c r="T223" s="281" t="str">
        <f>IF(HLOOKUP(T$13,'MP (nominal)'!$D$12:$AM$244,ROW()-12,FALSE)="","",HLOOKUP(T$13,'MP (nominal)'!$D$12:$AM$244,ROW()-12,FALSE))</f>
        <v/>
      </c>
      <c r="U223" s="281"/>
      <c r="V223" s="281">
        <f>IF(HLOOKUP(V$13,'MP (nominal)'!$D$12:$AM$244,ROW()-12,FALSE)="","",HLOOKUP(V$13,'MP (nominal)'!$D$12:$AM$244,ROW()-12,FALSE))</f>
        <v>2.42</v>
      </c>
      <c r="W223" s="281" t="str">
        <f>IF(HLOOKUP(W$13,'MP (nominal)'!$D$12:$AM$244,ROW()-12,FALSE)="","",HLOOKUP(W$13,'MP (nominal)'!$D$12:$AM$244,ROW()-12,FALSE))</f>
        <v/>
      </c>
      <c r="X223" s="281" t="str">
        <f>IF(HLOOKUP(X$13,'MP (nominal)'!$D$12:$AM$244,ROW()-12,FALSE)="","",HLOOKUP(X$13,'MP (nominal)'!$D$12:$AM$244,ROW()-12,FALSE))</f>
        <v/>
      </c>
      <c r="Y223" s="281"/>
      <c r="Z223" s="281" t="str">
        <f>IF(HLOOKUP(Z$13,'MP (nominal)'!$D$12:$AM$244,ROW()-12,FALSE)="","",HLOOKUP(Z$13,'MP (nominal)'!$D$12:$AM$244,ROW()-12,FALSE)*VLOOKUP($C223,CPI!$B$9:$I$63,8))</f>
        <v/>
      </c>
      <c r="AA223" s="281" t="str">
        <f>IF(HLOOKUP(AA$13,'MP (nominal)'!$D$12:$AM$244,ROW()-12,FALSE)="","",HLOOKUP(AA$13,'MP (nominal)'!$D$12:$AM$244,ROW()-12,FALSE))</f>
        <v/>
      </c>
      <c r="AB223" s="281" t="str">
        <f>IF(HLOOKUP(AB$13,'MP (nominal)'!$D$12:$AM$244,ROW()-12,FALSE)="","",HLOOKUP(AB$13,'MP (nominal)'!$D$12:$AM$244,ROW()-12,FALSE))</f>
        <v/>
      </c>
      <c r="AC223" s="281"/>
      <c r="AD223" s="281" t="str">
        <f>IF(HLOOKUP(AD$13,'MP (nominal)'!$D$12:$AM$244,ROW()-12,FALSE)="","",HLOOKUP(AD$13,'MP (nominal)'!$D$12:$AM$244,ROW()-12,FALSE)*VLOOKUP($C223,CPI!$B$9:$I$63,8))</f>
        <v/>
      </c>
      <c r="AE223" s="31" t="str">
        <f>IF(HLOOKUP(AE$13,'MP (nominal)'!$D$12:$AM$244,ROW()-12,FALSE)="","",HLOOKUP(AE$13,'MP (nominal)'!$D$12:$AM$244,ROW()-12,FALSE))</f>
        <v/>
      </c>
      <c r="AF223" s="31" t="str">
        <f>IF(HLOOKUP(AF$13,'MP (nominal)'!$D$12:$AM$244,ROW()-12,FALSE)="","",HLOOKUP(AF$13,'MP (nominal)'!$D$12:$AM$244,ROW()-12,FALSE))</f>
        <v/>
      </c>
      <c r="AG223" s="281"/>
      <c r="AH223" s="281" t="str">
        <f>IF(HLOOKUP(AH$13,'MP (nominal)'!$D$12:$AM$244,ROW()-12,FALSE)="","",HLOOKUP(AH$13,'MP (nominal)'!$D$12:$AM$244,ROW()-12,FALSE)*VLOOKUP($C223,CPI!$B$9:$I$63,8))</f>
        <v/>
      </c>
      <c r="AI223" s="31" t="str">
        <f>IF(HLOOKUP(AI$13,'MP (nominal)'!$D$12:$AM$244,ROW()-12,FALSE)="","",HLOOKUP(AI$13,'MP (nominal)'!$D$12:$AM$244,ROW()-12,FALSE))</f>
        <v/>
      </c>
      <c r="AJ223" s="31" t="str">
        <f>IF(HLOOKUP(AJ$13,'MP (nominal)'!$D$12:$AM$244,ROW()-12,FALSE)="","",HLOOKUP(AJ$13,'MP (nominal)'!$D$12:$AM$244,ROW()-12,FALSE))</f>
        <v/>
      </c>
      <c r="AK223" s="281"/>
      <c r="AL223" s="281" t="str">
        <f>IF(HLOOKUP(AL$13,'MP (nominal)'!$D$12:$AM$244,ROW()-12,FALSE)="","",HLOOKUP(AL$13,'MP (nominal)'!$D$12:$AM$244,ROW()-12,FALSE)*VLOOKUP($C223,CPI!$B$9:$I$63,8))</f>
        <v/>
      </c>
      <c r="AM223" s="31" t="str">
        <f>IF(HLOOKUP(AM$13,'MP (nominal)'!$D$12:$AM$244,ROW()-12,FALSE)="","",HLOOKUP(AM$13,'MP (nominal)'!$D$12:$AM$244,ROW()-12,FALSE))</f>
        <v/>
      </c>
      <c r="AN223" s="31" t="str">
        <f>IF(HLOOKUP(AN$13,'MP (nominal)'!$D$12:$AM$244,ROW()-12,FALSE)="","",HLOOKUP(AN$13,'MP (nominal)'!$D$12:$AM$244,ROW()-12,FALSE))</f>
        <v/>
      </c>
      <c r="AO223" s="281"/>
      <c r="AP223" s="281" t="str">
        <f>IF(HLOOKUP(AP$13,'MP (nominal)'!$D$12:$AM$244,ROW()-12,FALSE)="","",HLOOKUP(AP$13,'MP (nominal)'!$D$12:$AM$244,ROW()-12,FALSE)*VLOOKUP($C223,CPI!$B$9:$I$63,8))</f>
        <v/>
      </c>
      <c r="AQ223" s="31" t="str">
        <f>IF(HLOOKUP(AQ$13,'MP (nominal)'!$D$12:$AM$244,ROW()-12,FALSE)="","",HLOOKUP(AQ$13,'MP (nominal)'!$D$12:$AM$244,ROW()-12,FALSE))</f>
        <v/>
      </c>
      <c r="AR223" s="281" t="str">
        <f>IF(HLOOKUP(AR$13,'MP (nominal)'!$D$12:$AM$244,ROW()-12,FALSE)="","",HLOOKUP(AR$13,'MP (nominal)'!$D$12:$AM$244,ROW()-12,FALSE))</f>
        <v/>
      </c>
    </row>
    <row r="224" spans="1:44" s="278" customFormat="1" hidden="1">
      <c r="A224" s="271">
        <f>References!E284</f>
        <v>601</v>
      </c>
      <c r="B224" s="292" t="s">
        <v>55</v>
      </c>
      <c r="C224" s="284">
        <v>2006</v>
      </c>
      <c r="D224" s="27" t="str">
        <f>IF(HLOOKUP(D$13,'MP (nominal)'!$D$12:$AM$244,ROW()-12,FALSE)="","",HLOOKUP(D$13,'MP (nominal)'!$D$12:$AM$244,ROW()-12,FALSE))</f>
        <v/>
      </c>
      <c r="E224" s="281" t="str">
        <f>IF(HLOOKUP(E$13,'MP (nominal)'!$D$12:$AM$244,ROW()-12,FALSE)="","",HLOOKUP(E$13,'MP (nominal)'!$D$12:$AM$244,ROW()-12,FALSE))</f>
        <v/>
      </c>
      <c r="F224" s="27">
        <f>IF(HLOOKUP(F$13,'MP (nominal)'!$D$12:$AM$244,ROW()-12,FALSE)="","",HLOOKUP(F$13,'MP (nominal)'!$D$12:$AM$244,ROW()-12,FALSE))</f>
        <v>1567.4</v>
      </c>
      <c r="G224" s="281" t="str">
        <f>IF(HLOOKUP(G$13,'MP (nominal)'!$D$12:$AM$244,ROW()-12,FALSE)="","",HLOOKUP(G$13,'MP (nominal)'!$D$12:$AM$244,ROW()-12,FALSE))</f>
        <v/>
      </c>
      <c r="H224" s="27">
        <f>IF(HLOOKUP(H$13,'MP (nominal)'!$D$12:$AM$244,ROW()-12,FALSE)="","",HLOOKUP(H$13,'MP (nominal)'!$D$12:$AM$244,ROW()-12,FALSE))</f>
        <v>4970.96</v>
      </c>
      <c r="I224" s="31" t="str">
        <f>IF(HLOOKUP(I$13,'MP (nominal)'!$D$12:$AM$244,ROW()-12,FALSE)="","",HLOOKUP(I$13,'MP (nominal)'!$D$12:$AM$244,ROW()-12,FALSE))</f>
        <v/>
      </c>
      <c r="J224" s="31">
        <f>IF(HLOOKUP(J$13,'MP (nominal)'!$D$12:$AM$244,ROW()-12,FALSE)="","",HLOOKUP(J$13,'MP (nominal)'!$D$12:$AM$244,ROW()-12,FALSE))</f>
        <v>3403.56</v>
      </c>
      <c r="K224" s="281"/>
      <c r="L224" s="27">
        <f>IF(HLOOKUP(L$13,'MP (nominal)'!$D$12:$AM$244,ROW()-12,FALSE)="","",HLOOKUP(L$13,'MP (nominal)'!$D$12:$AM$244,ROW()-12,FALSE))</f>
        <v>223</v>
      </c>
      <c r="M224" s="293">
        <f>IF(HLOOKUP(M$13,'MP (nominal)'!$D$12:$AM$244,ROW()-12,FALSE)="","",HLOOKUP(M$13,'MP (nominal)'!$D$12:$AM$244,ROW()-12,FALSE))</f>
        <v>1041.7008679999999</v>
      </c>
      <c r="N224" s="35"/>
      <c r="O224" s="27">
        <f>IF(HLOOKUP(O$13,'MP (nominal)'!$D$12:$AM$244,ROW()-12,FALSE)="","",HLOOKUP(O$13,'MP (nominal)'!$D$12:$AM$244,ROW()-12,FALSE))</f>
        <v>79195</v>
      </c>
      <c r="P224" s="31"/>
      <c r="Q224" s="281"/>
      <c r="R224" s="281">
        <f>IF(HLOOKUP(R$13,'MP (nominal)'!$D$12:$AM$244,ROW()-12,FALSE)="","",HLOOKUP(R$13,'MP (nominal)'!$D$12:$AM$244,ROW()-12,FALSE))</f>
        <v>69.63</v>
      </c>
      <c r="S224" s="281" t="str">
        <f>IF(HLOOKUP(S$13,'MP (nominal)'!$D$12:$AM$244,ROW()-12,FALSE)="","",HLOOKUP(S$13,'MP (nominal)'!$D$12:$AM$244,ROW()-12,FALSE))</f>
        <v/>
      </c>
      <c r="T224" s="281" t="str">
        <f>IF(HLOOKUP(T$13,'MP (nominal)'!$D$12:$AM$244,ROW()-12,FALSE)="","",HLOOKUP(T$13,'MP (nominal)'!$D$12:$AM$244,ROW()-12,FALSE))</f>
        <v/>
      </c>
      <c r="U224" s="281"/>
      <c r="V224" s="281">
        <f>IF(HLOOKUP(V$13,'MP (nominal)'!$D$12:$AM$244,ROW()-12,FALSE)="","",HLOOKUP(V$13,'MP (nominal)'!$D$12:$AM$244,ROW()-12,FALSE))</f>
        <v>1.53</v>
      </c>
      <c r="W224" s="281" t="str">
        <f>IF(HLOOKUP(W$13,'MP (nominal)'!$D$12:$AM$244,ROW()-12,FALSE)="","",HLOOKUP(W$13,'MP (nominal)'!$D$12:$AM$244,ROW()-12,FALSE))</f>
        <v/>
      </c>
      <c r="X224" s="281" t="str">
        <f>IF(HLOOKUP(X$13,'MP (nominal)'!$D$12:$AM$244,ROW()-12,FALSE)="","",HLOOKUP(X$13,'MP (nominal)'!$D$12:$AM$244,ROW()-12,FALSE))</f>
        <v/>
      </c>
      <c r="Y224" s="281"/>
      <c r="Z224" s="281" t="str">
        <f>IF(HLOOKUP(Z$13,'MP (nominal)'!$D$12:$AM$244,ROW()-12,FALSE)="","",HLOOKUP(Z$13,'MP (nominal)'!$D$12:$AM$244,ROW()-12,FALSE)*VLOOKUP($C224,CPI!$B$9:$I$63,8))</f>
        <v/>
      </c>
      <c r="AA224" s="281" t="str">
        <f>IF(HLOOKUP(AA$13,'MP (nominal)'!$D$12:$AM$244,ROW()-12,FALSE)="","",HLOOKUP(AA$13,'MP (nominal)'!$D$12:$AM$244,ROW()-12,FALSE))</f>
        <v/>
      </c>
      <c r="AB224" s="281" t="str">
        <f>IF(HLOOKUP(AB$13,'MP (nominal)'!$D$12:$AM$244,ROW()-12,FALSE)="","",HLOOKUP(AB$13,'MP (nominal)'!$D$12:$AM$244,ROW()-12,FALSE))</f>
        <v/>
      </c>
      <c r="AC224" s="281"/>
      <c r="AD224" s="281" t="str">
        <f>IF(HLOOKUP(AD$13,'MP (nominal)'!$D$12:$AM$244,ROW()-12,FALSE)="","",HLOOKUP(AD$13,'MP (nominal)'!$D$12:$AM$244,ROW()-12,FALSE)*VLOOKUP($C224,CPI!$B$9:$I$63,8))</f>
        <v/>
      </c>
      <c r="AE224" s="31" t="str">
        <f>IF(HLOOKUP(AE$13,'MP (nominal)'!$D$12:$AM$244,ROW()-12,FALSE)="","",HLOOKUP(AE$13,'MP (nominal)'!$D$12:$AM$244,ROW()-12,FALSE))</f>
        <v/>
      </c>
      <c r="AF224" s="31" t="str">
        <f>IF(HLOOKUP(AF$13,'MP (nominal)'!$D$12:$AM$244,ROW()-12,FALSE)="","",HLOOKUP(AF$13,'MP (nominal)'!$D$12:$AM$244,ROW()-12,FALSE))</f>
        <v/>
      </c>
      <c r="AG224" s="281"/>
      <c r="AH224" s="281" t="str">
        <f>IF(HLOOKUP(AH$13,'MP (nominal)'!$D$12:$AM$244,ROW()-12,FALSE)="","",HLOOKUP(AH$13,'MP (nominal)'!$D$12:$AM$244,ROW()-12,FALSE)*VLOOKUP($C224,CPI!$B$9:$I$63,8))</f>
        <v/>
      </c>
      <c r="AI224" s="31" t="str">
        <f>IF(HLOOKUP(AI$13,'MP (nominal)'!$D$12:$AM$244,ROW()-12,FALSE)="","",HLOOKUP(AI$13,'MP (nominal)'!$D$12:$AM$244,ROW()-12,FALSE))</f>
        <v/>
      </c>
      <c r="AJ224" s="31" t="str">
        <f>IF(HLOOKUP(AJ$13,'MP (nominal)'!$D$12:$AM$244,ROW()-12,FALSE)="","",HLOOKUP(AJ$13,'MP (nominal)'!$D$12:$AM$244,ROW()-12,FALSE))</f>
        <v/>
      </c>
      <c r="AK224" s="281"/>
      <c r="AL224" s="281" t="str">
        <f>IF(HLOOKUP(AL$13,'MP (nominal)'!$D$12:$AM$244,ROW()-12,FALSE)="","",HLOOKUP(AL$13,'MP (nominal)'!$D$12:$AM$244,ROW()-12,FALSE)*VLOOKUP($C224,CPI!$B$9:$I$63,8))</f>
        <v/>
      </c>
      <c r="AM224" s="31" t="str">
        <f>IF(HLOOKUP(AM$13,'MP (nominal)'!$D$12:$AM$244,ROW()-12,FALSE)="","",HLOOKUP(AM$13,'MP (nominal)'!$D$12:$AM$244,ROW()-12,FALSE))</f>
        <v/>
      </c>
      <c r="AN224" s="31" t="str">
        <f>IF(HLOOKUP(AN$13,'MP (nominal)'!$D$12:$AM$244,ROW()-12,FALSE)="","",HLOOKUP(AN$13,'MP (nominal)'!$D$12:$AM$244,ROW()-12,FALSE))</f>
        <v/>
      </c>
      <c r="AO224" s="281"/>
      <c r="AP224" s="281" t="str">
        <f>IF(HLOOKUP(AP$13,'MP (nominal)'!$D$12:$AM$244,ROW()-12,FALSE)="","",HLOOKUP(AP$13,'MP (nominal)'!$D$12:$AM$244,ROW()-12,FALSE)*VLOOKUP($C224,CPI!$B$9:$I$63,8))</f>
        <v/>
      </c>
      <c r="AQ224" s="31" t="str">
        <f>IF(HLOOKUP(AQ$13,'MP (nominal)'!$D$12:$AM$244,ROW()-12,FALSE)="","",HLOOKUP(AQ$13,'MP (nominal)'!$D$12:$AM$244,ROW()-12,FALSE))</f>
        <v/>
      </c>
      <c r="AR224" s="281" t="str">
        <f>IF(HLOOKUP(AR$13,'MP (nominal)'!$D$12:$AM$244,ROW()-12,FALSE)="","",HLOOKUP(AR$13,'MP (nominal)'!$D$12:$AM$244,ROW()-12,FALSE))</f>
        <v/>
      </c>
    </row>
    <row r="225" spans="1:44" s="278" customFormat="1" hidden="1">
      <c r="A225" s="271">
        <f>References!F284</f>
        <v>602</v>
      </c>
      <c r="B225" s="292" t="s">
        <v>55</v>
      </c>
      <c r="C225" s="284">
        <v>2007</v>
      </c>
      <c r="D225" s="27" t="str">
        <f>IF(HLOOKUP(D$13,'MP (nominal)'!$D$12:$AM$244,ROW()-12,FALSE)="","",HLOOKUP(D$13,'MP (nominal)'!$D$12:$AM$244,ROW()-12,FALSE))</f>
        <v/>
      </c>
      <c r="E225" s="281" t="str">
        <f>IF(HLOOKUP(E$13,'MP (nominal)'!$D$12:$AM$244,ROW()-12,FALSE)="","",HLOOKUP(E$13,'MP (nominal)'!$D$12:$AM$244,ROW()-12,FALSE))</f>
        <v/>
      </c>
      <c r="F225" s="27">
        <f>IF(HLOOKUP(F$13,'MP (nominal)'!$D$12:$AM$244,ROW()-12,FALSE)="","",HLOOKUP(F$13,'MP (nominal)'!$D$12:$AM$244,ROW()-12,FALSE))</f>
        <v>1607.22</v>
      </c>
      <c r="G225" s="281" t="str">
        <f>IF(HLOOKUP(G$13,'MP (nominal)'!$D$12:$AM$244,ROW()-12,FALSE)="","",HLOOKUP(G$13,'MP (nominal)'!$D$12:$AM$244,ROW()-12,FALSE))</f>
        <v/>
      </c>
      <c r="H225" s="27">
        <f>IF(HLOOKUP(H$13,'MP (nominal)'!$D$12:$AM$244,ROW()-12,FALSE)="","",HLOOKUP(H$13,'MP (nominal)'!$D$12:$AM$244,ROW()-12,FALSE))</f>
        <v>4995.8100000000004</v>
      </c>
      <c r="I225" s="31" t="str">
        <f>IF(HLOOKUP(I$13,'MP (nominal)'!$D$12:$AM$244,ROW()-12,FALSE)="","",HLOOKUP(I$13,'MP (nominal)'!$D$12:$AM$244,ROW()-12,FALSE))</f>
        <v/>
      </c>
      <c r="J225" s="31">
        <f>IF(HLOOKUP(J$13,'MP (nominal)'!$D$12:$AM$244,ROW()-12,FALSE)="","",HLOOKUP(J$13,'MP (nominal)'!$D$12:$AM$244,ROW()-12,FALSE))</f>
        <v>3388.59</v>
      </c>
      <c r="K225" s="281"/>
      <c r="L225" s="27">
        <f>IF(HLOOKUP(L$13,'MP (nominal)'!$D$12:$AM$244,ROW()-12,FALSE)="","",HLOOKUP(L$13,'MP (nominal)'!$D$12:$AM$244,ROW()-12,FALSE))</f>
        <v>231</v>
      </c>
      <c r="M225" s="293">
        <f>IF(HLOOKUP(M$13,'MP (nominal)'!$D$12:$AM$244,ROW()-12,FALSE)="","",HLOOKUP(M$13,'MP (nominal)'!$D$12:$AM$244,ROW()-12,FALSE))</f>
        <v>1102.8293980000001</v>
      </c>
      <c r="N225" s="35"/>
      <c r="O225" s="27">
        <f>IF(HLOOKUP(O$13,'MP (nominal)'!$D$12:$AM$244,ROW()-12,FALSE)="","",HLOOKUP(O$13,'MP (nominal)'!$D$12:$AM$244,ROW()-12,FALSE))</f>
        <v>81461</v>
      </c>
      <c r="P225" s="31"/>
      <c r="Q225" s="281"/>
      <c r="R225" s="281">
        <f>IF(HLOOKUP(R$13,'MP (nominal)'!$D$12:$AM$244,ROW()-12,FALSE)="","",HLOOKUP(R$13,'MP (nominal)'!$D$12:$AM$244,ROW()-12,FALSE))</f>
        <v>103.43</v>
      </c>
      <c r="S225" s="281" t="str">
        <f>IF(HLOOKUP(S$13,'MP (nominal)'!$D$12:$AM$244,ROW()-12,FALSE)="","",HLOOKUP(S$13,'MP (nominal)'!$D$12:$AM$244,ROW()-12,FALSE))</f>
        <v/>
      </c>
      <c r="T225" s="281" t="str">
        <f>IF(HLOOKUP(T$13,'MP (nominal)'!$D$12:$AM$244,ROW()-12,FALSE)="","",HLOOKUP(T$13,'MP (nominal)'!$D$12:$AM$244,ROW()-12,FALSE))</f>
        <v/>
      </c>
      <c r="U225" s="281"/>
      <c r="V225" s="281">
        <f>IF(HLOOKUP(V$13,'MP (nominal)'!$D$12:$AM$244,ROW()-12,FALSE)="","",HLOOKUP(V$13,'MP (nominal)'!$D$12:$AM$244,ROW()-12,FALSE))</f>
        <v>1.86</v>
      </c>
      <c r="W225" s="281" t="str">
        <f>IF(HLOOKUP(W$13,'MP (nominal)'!$D$12:$AM$244,ROW()-12,FALSE)="","",HLOOKUP(W$13,'MP (nominal)'!$D$12:$AM$244,ROW()-12,FALSE))</f>
        <v/>
      </c>
      <c r="X225" s="281" t="str">
        <f>IF(HLOOKUP(X$13,'MP (nominal)'!$D$12:$AM$244,ROW()-12,FALSE)="","",HLOOKUP(X$13,'MP (nominal)'!$D$12:$AM$244,ROW()-12,FALSE))</f>
        <v/>
      </c>
      <c r="Y225" s="281"/>
      <c r="Z225" s="281" t="str">
        <f>IF(HLOOKUP(Z$13,'MP (nominal)'!$D$12:$AM$244,ROW()-12,FALSE)="","",HLOOKUP(Z$13,'MP (nominal)'!$D$12:$AM$244,ROW()-12,FALSE)*VLOOKUP($C225,CPI!$B$9:$I$63,8))</f>
        <v/>
      </c>
      <c r="AA225" s="281" t="str">
        <f>IF(HLOOKUP(AA$13,'MP (nominal)'!$D$12:$AM$244,ROW()-12,FALSE)="","",HLOOKUP(AA$13,'MP (nominal)'!$D$12:$AM$244,ROW()-12,FALSE))</f>
        <v/>
      </c>
      <c r="AB225" s="281" t="str">
        <f>IF(HLOOKUP(AB$13,'MP (nominal)'!$D$12:$AM$244,ROW()-12,FALSE)="","",HLOOKUP(AB$13,'MP (nominal)'!$D$12:$AM$244,ROW()-12,FALSE))</f>
        <v/>
      </c>
      <c r="AC225" s="281"/>
      <c r="AD225" s="281" t="str">
        <f>IF(HLOOKUP(AD$13,'MP (nominal)'!$D$12:$AM$244,ROW()-12,FALSE)="","",HLOOKUP(AD$13,'MP (nominal)'!$D$12:$AM$244,ROW()-12,FALSE)*VLOOKUP($C225,CPI!$B$9:$I$63,8))</f>
        <v/>
      </c>
      <c r="AE225" s="31" t="str">
        <f>IF(HLOOKUP(AE$13,'MP (nominal)'!$D$12:$AM$244,ROW()-12,FALSE)="","",HLOOKUP(AE$13,'MP (nominal)'!$D$12:$AM$244,ROW()-12,FALSE))</f>
        <v/>
      </c>
      <c r="AF225" s="31" t="str">
        <f>IF(HLOOKUP(AF$13,'MP (nominal)'!$D$12:$AM$244,ROW()-12,FALSE)="","",HLOOKUP(AF$13,'MP (nominal)'!$D$12:$AM$244,ROW()-12,FALSE))</f>
        <v/>
      </c>
      <c r="AG225" s="281"/>
      <c r="AH225" s="281" t="str">
        <f>IF(HLOOKUP(AH$13,'MP (nominal)'!$D$12:$AM$244,ROW()-12,FALSE)="","",HLOOKUP(AH$13,'MP (nominal)'!$D$12:$AM$244,ROW()-12,FALSE)*VLOOKUP($C225,CPI!$B$9:$I$63,8))</f>
        <v/>
      </c>
      <c r="AI225" s="31" t="str">
        <f>IF(HLOOKUP(AI$13,'MP (nominal)'!$D$12:$AM$244,ROW()-12,FALSE)="","",HLOOKUP(AI$13,'MP (nominal)'!$D$12:$AM$244,ROW()-12,FALSE))</f>
        <v/>
      </c>
      <c r="AJ225" s="31" t="str">
        <f>IF(HLOOKUP(AJ$13,'MP (nominal)'!$D$12:$AM$244,ROW()-12,FALSE)="","",HLOOKUP(AJ$13,'MP (nominal)'!$D$12:$AM$244,ROW()-12,FALSE))</f>
        <v/>
      </c>
      <c r="AK225" s="281"/>
      <c r="AL225" s="281" t="str">
        <f>IF(HLOOKUP(AL$13,'MP (nominal)'!$D$12:$AM$244,ROW()-12,FALSE)="","",HLOOKUP(AL$13,'MP (nominal)'!$D$12:$AM$244,ROW()-12,FALSE)*VLOOKUP($C225,CPI!$B$9:$I$63,8))</f>
        <v/>
      </c>
      <c r="AM225" s="31" t="str">
        <f>IF(HLOOKUP(AM$13,'MP (nominal)'!$D$12:$AM$244,ROW()-12,FALSE)="","",HLOOKUP(AM$13,'MP (nominal)'!$D$12:$AM$244,ROW()-12,FALSE))</f>
        <v/>
      </c>
      <c r="AN225" s="31" t="str">
        <f>IF(HLOOKUP(AN$13,'MP (nominal)'!$D$12:$AM$244,ROW()-12,FALSE)="","",HLOOKUP(AN$13,'MP (nominal)'!$D$12:$AM$244,ROW()-12,FALSE))</f>
        <v/>
      </c>
      <c r="AO225" s="281"/>
      <c r="AP225" s="281" t="str">
        <f>IF(HLOOKUP(AP$13,'MP (nominal)'!$D$12:$AM$244,ROW()-12,FALSE)="","",HLOOKUP(AP$13,'MP (nominal)'!$D$12:$AM$244,ROW()-12,FALSE)*VLOOKUP($C225,CPI!$B$9:$I$63,8))</f>
        <v/>
      </c>
      <c r="AQ225" s="31" t="str">
        <f>IF(HLOOKUP(AQ$13,'MP (nominal)'!$D$12:$AM$244,ROW()-12,FALSE)="","",HLOOKUP(AQ$13,'MP (nominal)'!$D$12:$AM$244,ROW()-12,FALSE))</f>
        <v/>
      </c>
      <c r="AR225" s="281" t="str">
        <f>IF(HLOOKUP(AR$13,'MP (nominal)'!$D$12:$AM$244,ROW()-12,FALSE)="","",HLOOKUP(AR$13,'MP (nominal)'!$D$12:$AM$244,ROW()-12,FALSE))</f>
        <v/>
      </c>
    </row>
    <row r="226" spans="1:44" s="278" customFormat="1">
      <c r="A226" s="271">
        <f>References!G284</f>
        <v>603</v>
      </c>
      <c r="B226" s="292" t="s">
        <v>55</v>
      </c>
      <c r="C226" s="284">
        <v>2008</v>
      </c>
      <c r="D226" s="27">
        <f>IF(HLOOKUP(D$13,'MP (nominal)'!$D$12:$AM$244,ROW()-12,FALSE)="","",HLOOKUP(D$13,'MP (nominal)'!$D$12:$AM$244,ROW()-12,FALSE))</f>
        <v>3371.52</v>
      </c>
      <c r="E226" s="281">
        <f>IF(HLOOKUP(E$13,'MP (nominal)'!$D$12:$AM$244,ROW()-12,FALSE)="","",HLOOKUP(E$13,'MP (nominal)'!$D$12:$AM$244,ROW()-12,FALSE))</f>
        <v>256.13553999999999</v>
      </c>
      <c r="F226" s="27">
        <f>IF(HLOOKUP(F$13,'MP (nominal)'!$D$12:$AM$244,ROW()-12,FALSE)="","",HLOOKUP(F$13,'MP (nominal)'!$D$12:$AM$244,ROW()-12,FALSE))</f>
        <v>1680.93</v>
      </c>
      <c r="G226" s="281">
        <f>IF(HLOOKUP(G$13,'MP (nominal)'!$D$12:$AM$244,ROW()-12,FALSE)="","",HLOOKUP(G$13,'MP (nominal)'!$D$12:$AM$244,ROW()-12,FALSE))</f>
        <v>891.03849000000002</v>
      </c>
      <c r="H226" s="27">
        <f>IF(HLOOKUP(H$13,'MP (nominal)'!$D$12:$AM$244,ROW()-12,FALSE)="","",HLOOKUP(H$13,'MP (nominal)'!$D$12:$AM$244,ROW()-12,FALSE))</f>
        <v>5052.45</v>
      </c>
      <c r="I226" s="31">
        <f>IF(HLOOKUP(I$13,'MP (nominal)'!$D$12:$AM$244,ROW()-12,FALSE)="","",HLOOKUP(I$13,'MP (nominal)'!$D$12:$AM$244,ROW()-12,FALSE))</f>
        <v>1147.174</v>
      </c>
      <c r="J226" s="31">
        <f>IF(HLOOKUP(J$13,'MP (nominal)'!$D$12:$AM$244,ROW()-12,FALSE)="","",HLOOKUP(J$13,'MP (nominal)'!$D$12:$AM$244,ROW()-12,FALSE))</f>
        <v>3371.52</v>
      </c>
      <c r="K226" s="281"/>
      <c r="L226" s="27">
        <f>IF(HLOOKUP(L$13,'MP (nominal)'!$D$12:$AM$244,ROW()-12,FALSE)="","",HLOOKUP(L$13,'MP (nominal)'!$D$12:$AM$244,ROW()-12,FALSE))</f>
        <v>236.55221</v>
      </c>
      <c r="M226" s="283">
        <f>IF(HLOOKUP(M$13,'MP (nominal)'!$D$12:$AM$244,ROW()-12,FALSE)="","",HLOOKUP(M$13,'MP (nominal)'!$D$12:$AM$244,ROW()-12,FALSE))</f>
        <v>1160.2452000000001</v>
      </c>
      <c r="N226" s="35"/>
      <c r="O226" s="27">
        <f>IF(HLOOKUP(O$13,'MP (nominal)'!$D$12:$AM$244,ROW()-12,FALSE)="","",HLOOKUP(O$13,'MP (nominal)'!$D$12:$AM$244,ROW()-12,FALSE))</f>
        <v>81312</v>
      </c>
      <c r="P226" s="31"/>
      <c r="Q226" s="281"/>
      <c r="R226" s="281">
        <f>IF(HLOOKUP(R$13,'MP (nominal)'!$D$12:$AM$244,ROW()-12,FALSE)="","",HLOOKUP(R$13,'MP (nominal)'!$D$12:$AM$244,ROW()-12,FALSE))</f>
        <v>80.13</v>
      </c>
      <c r="S226" s="281">
        <f>IF(HLOOKUP(S$13,'MP (nominal)'!$D$12:$AM$244,ROW()-12,FALSE)="","",HLOOKUP(S$13,'MP (nominal)'!$D$12:$AM$244,ROW()-12,FALSE))</f>
        <v>2.71</v>
      </c>
      <c r="T226" s="281">
        <f>IF(HLOOKUP(T$13,'MP (nominal)'!$D$12:$AM$244,ROW()-12,FALSE)="","",HLOOKUP(T$13,'MP (nominal)'!$D$12:$AM$244,ROW()-12,FALSE))</f>
        <v>77.42</v>
      </c>
      <c r="U226" s="281"/>
      <c r="V226" s="281">
        <f>IF(HLOOKUP(V$13,'MP (nominal)'!$D$12:$AM$244,ROW()-12,FALSE)="","",HLOOKUP(V$13,'MP (nominal)'!$D$12:$AM$244,ROW()-12,FALSE))</f>
        <v>1.41</v>
      </c>
      <c r="W226" s="281">
        <f>IF(HLOOKUP(W$13,'MP (nominal)'!$D$12:$AM$244,ROW()-12,FALSE)="","",HLOOKUP(W$13,'MP (nominal)'!$D$12:$AM$244,ROW()-12,FALSE))</f>
        <v>1.9952879999999999E-2</v>
      </c>
      <c r="X226" s="281">
        <f>IF(HLOOKUP(X$13,'MP (nominal)'!$D$12:$AM$244,ROW()-12,FALSE)="","",HLOOKUP(X$13,'MP (nominal)'!$D$12:$AM$244,ROW()-12,FALSE))</f>
        <v>1.3909450000000001</v>
      </c>
      <c r="Y226" s="281"/>
      <c r="Z226" s="281">
        <f>IF(HLOOKUP(Z$13,'MP (nominal)'!$D$12:$AM$244,ROW()-12,FALSE)="","",HLOOKUP(Z$13,'MP (nominal)'!$D$12:$AM$244,ROW()-12,FALSE)*VLOOKUP($C226,CPI!$B$9:$I$63,8))</f>
        <v>51664.317753984767</v>
      </c>
      <c r="AA226" s="281">
        <f>IF(HLOOKUP(AA$13,'MP (nominal)'!$D$12:$AM$244,ROW()-12,FALSE)="","",HLOOKUP(AA$13,'MP (nominal)'!$D$12:$AM$244,ROW()-12,FALSE))</f>
        <v>710443.57</v>
      </c>
      <c r="AB226" s="281">
        <f>IF(HLOOKUP(AB$13,'MP (nominal)'!$D$12:$AM$244,ROW()-12,FALSE)="","",HLOOKUP(AB$13,'MP (nominal)'!$D$12:$AM$244,ROW()-12,FALSE))</f>
        <v>80749</v>
      </c>
      <c r="AC226" s="281"/>
      <c r="AD226" s="281">
        <f>IF(HLOOKUP(AD$13,'MP (nominal)'!$D$12:$AM$244,ROW()-12,FALSE)="","",HLOOKUP(AD$13,'MP (nominal)'!$D$12:$AM$244,ROW()-12,FALSE)*VLOOKUP($C226,CPI!$B$9:$I$63,8))</f>
        <v>1392.7665121895584</v>
      </c>
      <c r="AE226" s="31">
        <f>IF(HLOOKUP(AE$13,'MP (nominal)'!$D$12:$AM$244,ROW()-12,FALSE)="","",HLOOKUP(AE$13,'MP (nominal)'!$D$12:$AM$244,ROW()-12,FALSE))</f>
        <v>23295.066999999999</v>
      </c>
      <c r="AF226" s="31">
        <f>IF(HLOOKUP(AF$13,'MP (nominal)'!$D$12:$AM$244,ROW()-12,FALSE)="","",HLOOKUP(AF$13,'MP (nominal)'!$D$12:$AM$244,ROW()-12,FALSE))</f>
        <v>162</v>
      </c>
      <c r="AG226" s="281"/>
      <c r="AH226" s="281">
        <f>IF(HLOOKUP(AH$13,'MP (nominal)'!$D$12:$AM$244,ROW()-12,FALSE)="","",HLOOKUP(AH$13,'MP (nominal)'!$D$12:$AM$244,ROW()-12,FALSE)*VLOOKUP($C226,CPI!$B$9:$I$63,8))</f>
        <v>16191.831979983461</v>
      </c>
      <c r="AI226" s="31">
        <f>IF(HLOOKUP(AI$13,'MP (nominal)'!$D$12:$AM$244,ROW()-12,FALSE)="","",HLOOKUP(AI$13,'MP (nominal)'!$D$12:$AM$244,ROW()-12,FALSE))</f>
        <v>344612.45</v>
      </c>
      <c r="AJ226" s="31">
        <f>IF(HLOOKUP(AJ$13,'MP (nominal)'!$D$12:$AM$244,ROW()-12,FALSE)="","",HLOOKUP(AJ$13,'MP (nominal)'!$D$12:$AM$244,ROW()-12,FALSE))</f>
        <v>396</v>
      </c>
      <c r="AK226" s="281"/>
      <c r="AL226" s="281">
        <f>IF(HLOOKUP(AL$13,'MP (nominal)'!$D$12:$AM$244,ROW()-12,FALSE)="","",HLOOKUP(AL$13,'MP (nominal)'!$D$12:$AM$244,ROW()-12,FALSE)*VLOOKUP($C226,CPI!$B$9:$I$63,8))</f>
        <v>2638.8903607253851</v>
      </c>
      <c r="AM226" s="31">
        <f>IF(HLOOKUP(AM$13,'MP (nominal)'!$D$12:$AM$244,ROW()-12,FALSE)="","",HLOOKUP(AM$13,'MP (nominal)'!$D$12:$AM$244,ROW()-12,FALSE))</f>
        <v>81894.114000000001</v>
      </c>
      <c r="AN226" s="31">
        <f>IF(HLOOKUP(AN$13,'MP (nominal)'!$D$12:$AM$244,ROW()-12,FALSE)="","",HLOOKUP(AN$13,'MP (nominal)'!$D$12:$AM$244,ROW()-12,FALSE))</f>
        <v>5</v>
      </c>
      <c r="AO226" s="281"/>
      <c r="AP226" s="281">
        <f>IF(HLOOKUP(AP$13,'MP (nominal)'!$D$12:$AM$244,ROW()-12,FALSE)="","",HLOOKUP(AP$13,'MP (nominal)'!$D$12:$AM$244,ROW()-12,FALSE)*VLOOKUP($C226,CPI!$B$9:$I$63,8))</f>
        <v>71887.806606883183</v>
      </c>
      <c r="AQ226" s="31">
        <f>IF(HLOOKUP(AQ$13,'MP (nominal)'!$D$12:$AM$244,ROW()-12,FALSE)="","",HLOOKUP(AQ$13,'MP (nominal)'!$D$12:$AM$244,ROW()-12,FALSE))</f>
        <v>1160245.2</v>
      </c>
      <c r="AR226" s="281">
        <f>IF(HLOOKUP(AR$13,'MP (nominal)'!$D$12:$AM$244,ROW()-12,FALSE)="","",HLOOKUP(AR$13,'MP (nominal)'!$D$12:$AM$244,ROW()-12,FALSE))</f>
        <v>81312</v>
      </c>
    </row>
    <row r="227" spans="1:44" s="278" customFormat="1">
      <c r="A227" s="271">
        <f>References!H284</f>
        <v>604</v>
      </c>
      <c r="B227" s="292" t="s">
        <v>55</v>
      </c>
      <c r="C227" s="284">
        <v>2009</v>
      </c>
      <c r="D227" s="27">
        <f>IF(HLOOKUP(D$13,'MP (nominal)'!$D$12:$AM$244,ROW()-12,FALSE)="","",HLOOKUP(D$13,'MP (nominal)'!$D$12:$AM$244,ROW()-12,FALSE))</f>
        <v>3368.87</v>
      </c>
      <c r="E227" s="281">
        <f>IF(HLOOKUP(E$13,'MP (nominal)'!$D$12:$AM$244,ROW()-12,FALSE)="","",HLOOKUP(E$13,'MP (nominal)'!$D$12:$AM$244,ROW()-12,FALSE))</f>
        <v>258.66662000000002</v>
      </c>
      <c r="F227" s="27">
        <f>IF(HLOOKUP(F$13,'MP (nominal)'!$D$12:$AM$244,ROW()-12,FALSE)="","",HLOOKUP(F$13,'MP (nominal)'!$D$12:$AM$244,ROW()-12,FALSE))</f>
        <v>1799.43</v>
      </c>
      <c r="G227" s="281">
        <f>IF(HLOOKUP(G$13,'MP (nominal)'!$D$12:$AM$244,ROW()-12,FALSE)="","",HLOOKUP(G$13,'MP (nominal)'!$D$12:$AM$244,ROW()-12,FALSE))</f>
        <v>937.55115000000001</v>
      </c>
      <c r="H227" s="27">
        <f>IF(HLOOKUP(H$13,'MP (nominal)'!$D$12:$AM$244,ROW()-12,FALSE)="","",HLOOKUP(H$13,'MP (nominal)'!$D$12:$AM$244,ROW()-12,FALSE))</f>
        <v>5168.3</v>
      </c>
      <c r="I227" s="31">
        <f>IF(HLOOKUP(I$13,'MP (nominal)'!$D$12:$AM$244,ROW()-12,FALSE)="","",HLOOKUP(I$13,'MP (nominal)'!$D$12:$AM$244,ROW()-12,FALSE))</f>
        <v>1196.2177999999999</v>
      </c>
      <c r="J227" s="31">
        <f>IF(HLOOKUP(J$13,'MP (nominal)'!$D$12:$AM$244,ROW()-12,FALSE)="","",HLOOKUP(J$13,'MP (nominal)'!$D$12:$AM$244,ROW()-12,FALSE))</f>
        <v>3368.87</v>
      </c>
      <c r="K227" s="281"/>
      <c r="L227" s="27">
        <f>IF(HLOOKUP(L$13,'MP (nominal)'!$D$12:$AM$244,ROW()-12,FALSE)="","",HLOOKUP(L$13,'MP (nominal)'!$D$12:$AM$244,ROW()-12,FALSE))</f>
        <v>214.26786000000001</v>
      </c>
      <c r="M227" s="283">
        <f>IF(HLOOKUP(M$13,'MP (nominal)'!$D$12:$AM$244,ROW()-12,FALSE)="","",HLOOKUP(M$13,'MP (nominal)'!$D$12:$AM$244,ROW()-12,FALSE))</f>
        <v>1152.5418</v>
      </c>
      <c r="N227" s="35"/>
      <c r="O227" s="27">
        <f>IF(HLOOKUP(O$13,'MP (nominal)'!$D$12:$AM$244,ROW()-12,FALSE)="","",HLOOKUP(O$13,'MP (nominal)'!$D$12:$AM$244,ROW()-12,FALSE))</f>
        <v>83715</v>
      </c>
      <c r="P227" s="31"/>
      <c r="Q227" s="281"/>
      <c r="R227" s="281">
        <f>IF(HLOOKUP(R$13,'MP (nominal)'!$D$12:$AM$244,ROW()-12,FALSE)="","",HLOOKUP(R$13,'MP (nominal)'!$D$12:$AM$244,ROW()-12,FALSE))</f>
        <v>88.744136999999995</v>
      </c>
      <c r="S227" s="281">
        <f>IF(HLOOKUP(S$13,'MP (nominal)'!$D$12:$AM$244,ROW()-12,FALSE)="","",HLOOKUP(S$13,'MP (nominal)'!$D$12:$AM$244,ROW()-12,FALSE))</f>
        <v>2.4442824999999999</v>
      </c>
      <c r="T227" s="281">
        <f>IF(HLOOKUP(T$13,'MP (nominal)'!$D$12:$AM$244,ROW()-12,FALSE)="","",HLOOKUP(T$13,'MP (nominal)'!$D$12:$AM$244,ROW()-12,FALSE))</f>
        <v>81.717855</v>
      </c>
      <c r="U227" s="281"/>
      <c r="V227" s="281">
        <f>IF(HLOOKUP(V$13,'MP (nominal)'!$D$12:$AM$244,ROW()-12,FALSE)="","",HLOOKUP(V$13,'MP (nominal)'!$D$12:$AM$244,ROW()-12,FALSE))</f>
        <v>1.6834073000000001</v>
      </c>
      <c r="W227" s="281">
        <f>IF(HLOOKUP(W$13,'MP (nominal)'!$D$12:$AM$244,ROW()-12,FALSE)="","",HLOOKUP(W$13,'MP (nominal)'!$D$12:$AM$244,ROW()-12,FALSE))</f>
        <v>1.8751029999999998E-2</v>
      </c>
      <c r="X227" s="281">
        <f>IF(HLOOKUP(X$13,'MP (nominal)'!$D$12:$AM$244,ROW()-12,FALSE)="","",HLOOKUP(X$13,'MP (nominal)'!$D$12:$AM$244,ROW()-12,FALSE))</f>
        <v>1.6221129999999999</v>
      </c>
      <c r="Y227" s="281"/>
      <c r="Z227" s="281">
        <f>IF(HLOOKUP(Z$13,'MP (nominal)'!$D$12:$AM$244,ROW()-12,FALSE)="","",HLOOKUP(Z$13,'MP (nominal)'!$D$12:$AM$244,ROW()-12,FALSE)*VLOOKUP($C227,CPI!$B$9:$I$63,8))</f>
        <v>56901.032778090448</v>
      </c>
      <c r="AA227" s="281">
        <f>IF(HLOOKUP(AA$13,'MP (nominal)'!$D$12:$AM$244,ROW()-12,FALSE)="","",HLOOKUP(AA$13,'MP (nominal)'!$D$12:$AM$244,ROW()-12,FALSE))</f>
        <v>714638.26</v>
      </c>
      <c r="AB227" s="281">
        <f>IF(HLOOKUP(AB$13,'MP (nominal)'!$D$12:$AM$244,ROW()-12,FALSE)="","",HLOOKUP(AB$13,'MP (nominal)'!$D$12:$AM$244,ROW()-12,FALSE))</f>
        <v>83159</v>
      </c>
      <c r="AC227" s="281"/>
      <c r="AD227" s="281">
        <f>IF(HLOOKUP(AD$13,'MP (nominal)'!$D$12:$AM$244,ROW()-12,FALSE)="","",HLOOKUP(AD$13,'MP (nominal)'!$D$12:$AM$244,ROW()-12,FALSE)*VLOOKUP($C227,CPI!$B$9:$I$63,8))</f>
        <v>1407.5561841169604</v>
      </c>
      <c r="AE227" s="31">
        <f>IF(HLOOKUP(AE$13,'MP (nominal)'!$D$12:$AM$244,ROW()-12,FALSE)="","",HLOOKUP(AE$13,'MP (nominal)'!$D$12:$AM$244,ROW()-12,FALSE))</f>
        <v>22892.064999999999</v>
      </c>
      <c r="AF227" s="31">
        <f>IF(HLOOKUP(AF$13,'MP (nominal)'!$D$12:$AM$244,ROW()-12,FALSE)="","",HLOOKUP(AF$13,'MP (nominal)'!$D$12:$AM$244,ROW()-12,FALSE))</f>
        <v>153</v>
      </c>
      <c r="AG227" s="281"/>
      <c r="AH227" s="281">
        <f>IF(HLOOKUP(AH$13,'MP (nominal)'!$D$12:$AM$244,ROW()-12,FALSE)="","",HLOOKUP(AH$13,'MP (nominal)'!$D$12:$AM$244,ROW()-12,FALSE)*VLOOKUP($C227,CPI!$B$9:$I$63,8))</f>
        <v>16265.489843091491</v>
      </c>
      <c r="AI227" s="31">
        <f>IF(HLOOKUP(AI$13,'MP (nominal)'!$D$12:$AM$244,ROW()-12,FALSE)="","",HLOOKUP(AI$13,'MP (nominal)'!$D$12:$AM$244,ROW()-12,FALSE))</f>
        <v>336560.4</v>
      </c>
      <c r="AJ227" s="31">
        <f>IF(HLOOKUP(AJ$13,'MP (nominal)'!$D$12:$AM$244,ROW()-12,FALSE)="","",HLOOKUP(AJ$13,'MP (nominal)'!$D$12:$AM$244,ROW()-12,FALSE))</f>
        <v>398</v>
      </c>
      <c r="AK227" s="281"/>
      <c r="AL227" s="281">
        <f>IF(HLOOKUP(AL$13,'MP (nominal)'!$D$12:$AM$244,ROW()-12,FALSE)="","",HLOOKUP(AL$13,'MP (nominal)'!$D$12:$AM$244,ROW()-12,FALSE)*VLOOKUP($C227,CPI!$B$9:$I$63,8))</f>
        <v>2678.4912314091557</v>
      </c>
      <c r="AM227" s="31">
        <f>IF(HLOOKUP(AM$13,'MP (nominal)'!$D$12:$AM$244,ROW()-12,FALSE)="","",HLOOKUP(AM$13,'MP (nominal)'!$D$12:$AM$244,ROW()-12,FALSE))</f>
        <v>78451.085000000006</v>
      </c>
      <c r="AN227" s="31">
        <f>IF(HLOOKUP(AN$13,'MP (nominal)'!$D$12:$AM$244,ROW()-12,FALSE)="","",HLOOKUP(AN$13,'MP (nominal)'!$D$12:$AM$244,ROW()-12,FALSE))</f>
        <v>5</v>
      </c>
      <c r="AO227" s="281"/>
      <c r="AP227" s="281">
        <f>IF(HLOOKUP(AP$13,'MP (nominal)'!$D$12:$AM$244,ROW()-12,FALSE)="","",HLOOKUP(AP$13,'MP (nominal)'!$D$12:$AM$244,ROW()-12,FALSE)*VLOOKUP($C227,CPI!$B$9:$I$63,8))</f>
        <v>77252.569829089145</v>
      </c>
      <c r="AQ227" s="31">
        <f>IF(HLOOKUP(AQ$13,'MP (nominal)'!$D$12:$AM$244,ROW()-12,FALSE)="","",HLOOKUP(AQ$13,'MP (nominal)'!$D$12:$AM$244,ROW()-12,FALSE))</f>
        <v>1152541.8</v>
      </c>
      <c r="AR227" s="281">
        <f>IF(HLOOKUP(AR$13,'MP (nominal)'!$D$12:$AM$244,ROW()-12,FALSE)="","",HLOOKUP(AR$13,'MP (nominal)'!$D$12:$AM$244,ROW()-12,FALSE))</f>
        <v>83715</v>
      </c>
    </row>
    <row r="228" spans="1:44" s="278" customFormat="1">
      <c r="A228" s="271">
        <f>References!I284</f>
        <v>605</v>
      </c>
      <c r="B228" s="292" t="s">
        <v>55</v>
      </c>
      <c r="C228" s="284">
        <v>2010</v>
      </c>
      <c r="D228" s="27">
        <f>IF(HLOOKUP(D$13,'MP (nominal)'!$D$12:$AM$244,ROW()-12,FALSE)="","",HLOOKUP(D$13,'MP (nominal)'!$D$12:$AM$244,ROW()-12,FALSE))</f>
        <v>3241</v>
      </c>
      <c r="E228" s="281">
        <f>IF(HLOOKUP(E$13,'MP (nominal)'!$D$12:$AM$244,ROW()-12,FALSE)="","",HLOOKUP(E$13,'MP (nominal)'!$D$12:$AM$244,ROW()-12,FALSE))</f>
        <v>260</v>
      </c>
      <c r="F228" s="27">
        <f>IF(HLOOKUP(F$13,'MP (nominal)'!$D$12:$AM$244,ROW()-12,FALSE)="","",HLOOKUP(F$13,'MP (nominal)'!$D$12:$AM$244,ROW()-12,FALSE))</f>
        <v>1802</v>
      </c>
      <c r="G228" s="281">
        <f>IF(HLOOKUP(G$13,'MP (nominal)'!$D$12:$AM$244,ROW()-12,FALSE)="","",HLOOKUP(G$13,'MP (nominal)'!$D$12:$AM$244,ROW()-12,FALSE))</f>
        <v>1113</v>
      </c>
      <c r="H228" s="27">
        <f>IF(HLOOKUP(H$13,'MP (nominal)'!$D$12:$AM$244,ROW()-12,FALSE)="","",HLOOKUP(H$13,'MP (nominal)'!$D$12:$AM$244,ROW()-12,FALSE))</f>
        <v>5043</v>
      </c>
      <c r="I228" s="31">
        <f>IF(HLOOKUP(I$13,'MP (nominal)'!$D$12:$AM$244,ROW()-12,FALSE)="","",HLOOKUP(I$13,'MP (nominal)'!$D$12:$AM$244,ROW()-12,FALSE))</f>
        <v>1373</v>
      </c>
      <c r="J228" s="31">
        <f>IF(HLOOKUP(J$13,'MP (nominal)'!$D$12:$AM$244,ROW()-12,FALSE)="","",HLOOKUP(J$13,'MP (nominal)'!$D$12:$AM$244,ROW()-12,FALSE))</f>
        <v>3241</v>
      </c>
      <c r="K228" s="281"/>
      <c r="L228" s="27">
        <f>IF(HLOOKUP(L$13,'MP (nominal)'!$D$12:$AM$244,ROW()-12,FALSE)="","",HLOOKUP(L$13,'MP (nominal)'!$D$12:$AM$244,ROW()-12,FALSE))</f>
        <v>263.08897999999999</v>
      </c>
      <c r="M228" s="283">
        <f>IF(HLOOKUP(M$13,'MP (nominal)'!$D$12:$AM$244,ROW()-12,FALSE)="","",HLOOKUP(M$13,'MP (nominal)'!$D$12:$AM$244,ROW()-12,FALSE))</f>
        <v>1164.7189000000001</v>
      </c>
      <c r="N228" s="35"/>
      <c r="O228" s="27">
        <f>IF(HLOOKUP(O$13,'MP (nominal)'!$D$12:$AM$244,ROW()-12,FALSE)="","",HLOOKUP(O$13,'MP (nominal)'!$D$12:$AM$244,ROW()-12,FALSE))</f>
        <v>84276</v>
      </c>
      <c r="P228" s="31"/>
      <c r="Q228" s="281"/>
      <c r="R228" s="281">
        <f>IF(HLOOKUP(R$13,'MP (nominal)'!$D$12:$AM$244,ROW()-12,FALSE)="","",HLOOKUP(R$13,'MP (nominal)'!$D$12:$AM$244,ROW()-12,FALSE))</f>
        <v>74.980101000000005</v>
      </c>
      <c r="S228" s="281">
        <f>IF(HLOOKUP(S$13,'MP (nominal)'!$D$12:$AM$244,ROW()-12,FALSE)="","",HLOOKUP(S$13,'MP (nominal)'!$D$12:$AM$244,ROW()-12,FALSE))</f>
        <v>9.8352310000000003</v>
      </c>
      <c r="T228" s="281">
        <f>IF(HLOOKUP(T$13,'MP (nominal)'!$D$12:$AM$244,ROW()-12,FALSE)="","",HLOOKUP(T$13,'MP (nominal)'!$D$12:$AM$244,ROW()-12,FALSE))</f>
        <v>65.144869999999997</v>
      </c>
      <c r="U228" s="281"/>
      <c r="V228" s="281">
        <f>IF(HLOOKUP(V$13,'MP (nominal)'!$D$12:$AM$244,ROW()-12,FALSE)="","",HLOOKUP(V$13,'MP (nominal)'!$D$12:$AM$244,ROW()-12,FALSE))</f>
        <v>1.1609167</v>
      </c>
      <c r="W228" s="281">
        <f>IF(HLOOKUP(W$13,'MP (nominal)'!$D$12:$AM$244,ROW()-12,FALSE)="","",HLOOKUP(W$13,'MP (nominal)'!$D$12:$AM$244,ROW()-12,FALSE))</f>
        <v>7.6165159999999996E-2</v>
      </c>
      <c r="X228" s="281">
        <f>IF(HLOOKUP(X$13,'MP (nominal)'!$D$12:$AM$244,ROW()-12,FALSE)="","",HLOOKUP(X$13,'MP (nominal)'!$D$12:$AM$244,ROW()-12,FALSE))</f>
        <v>1.0847515999999999</v>
      </c>
      <c r="Y228" s="281"/>
      <c r="Z228" s="281">
        <f>IF(HLOOKUP(Z$13,'MP (nominal)'!$D$12:$AM$244,ROW()-12,FALSE)="","",HLOOKUP(Z$13,'MP (nominal)'!$D$12:$AM$244,ROW()-12,FALSE)*VLOOKUP($C228,CPI!$B$9:$I$63,8))</f>
        <v>60061.016382743655</v>
      </c>
      <c r="AA228" s="281">
        <f>IF(HLOOKUP(AA$13,'MP (nominal)'!$D$12:$AM$244,ROW()-12,FALSE)="","",HLOOKUP(AA$13,'MP (nominal)'!$D$12:$AM$244,ROW()-12,FALSE))</f>
        <v>747606.01</v>
      </c>
      <c r="AB228" s="281">
        <f>IF(HLOOKUP(AB$13,'MP (nominal)'!$D$12:$AM$244,ROW()-12,FALSE)="","",HLOOKUP(AB$13,'MP (nominal)'!$D$12:$AM$244,ROW()-12,FALSE))</f>
        <v>83745</v>
      </c>
      <c r="AC228" s="281"/>
      <c r="AD228" s="281">
        <f>IF(HLOOKUP(AD$13,'MP (nominal)'!$D$12:$AM$244,ROW()-12,FALSE)="","",HLOOKUP(AD$13,'MP (nominal)'!$D$12:$AM$244,ROW()-12,FALSE)*VLOOKUP($C228,CPI!$B$9:$I$63,8))</f>
        <v>1270.7252165395703</v>
      </c>
      <c r="AE228" s="31">
        <f>IF(HLOOKUP(AE$13,'MP (nominal)'!$D$12:$AM$244,ROW()-12,FALSE)="","",HLOOKUP(AE$13,'MP (nominal)'!$D$12:$AM$244,ROW()-12,FALSE))</f>
        <v>20049.767</v>
      </c>
      <c r="AF228" s="31">
        <f>IF(HLOOKUP(AF$13,'MP (nominal)'!$D$12:$AM$244,ROW()-12,FALSE)="","",HLOOKUP(AF$13,'MP (nominal)'!$D$12:$AM$244,ROW()-12,FALSE))</f>
        <v>148</v>
      </c>
      <c r="AG228" s="281"/>
      <c r="AH228" s="281">
        <f>IF(HLOOKUP(AH$13,'MP (nominal)'!$D$12:$AM$244,ROW()-12,FALSE)="","",HLOOKUP(AH$13,'MP (nominal)'!$D$12:$AM$244,ROW()-12,FALSE)*VLOOKUP($C228,CPI!$B$9:$I$63,8))</f>
        <v>16200.836665409175</v>
      </c>
      <c r="AI228" s="31">
        <f>IF(HLOOKUP(AI$13,'MP (nominal)'!$D$12:$AM$244,ROW()-12,FALSE)="","",HLOOKUP(AI$13,'MP (nominal)'!$D$12:$AM$244,ROW()-12,FALSE))</f>
        <v>322806.59000000003</v>
      </c>
      <c r="AJ228" s="31">
        <f>IF(HLOOKUP(AJ$13,'MP (nominal)'!$D$12:$AM$244,ROW()-12,FALSE)="","",HLOOKUP(AJ$13,'MP (nominal)'!$D$12:$AM$244,ROW()-12,FALSE))</f>
        <v>378</v>
      </c>
      <c r="AK228" s="281"/>
      <c r="AL228" s="281">
        <f>IF(HLOOKUP(AL$13,'MP (nominal)'!$D$12:$AM$244,ROW()-12,FALSE)="","",HLOOKUP(AL$13,'MP (nominal)'!$D$12:$AM$244,ROW()-12,FALSE)*VLOOKUP($C228,CPI!$B$9:$I$63,8))</f>
        <v>2786.7425915766207</v>
      </c>
      <c r="AM228" s="31">
        <f>IF(HLOOKUP(AM$13,'MP (nominal)'!$D$12:$AM$244,ROW()-12,FALSE)="","",HLOOKUP(AM$13,'MP (nominal)'!$D$12:$AM$244,ROW()-12,FALSE))</f>
        <v>74256.498999999996</v>
      </c>
      <c r="AN228" s="31">
        <f>IF(HLOOKUP(AN$13,'MP (nominal)'!$D$12:$AM$244,ROW()-12,FALSE)="","",HLOOKUP(AN$13,'MP (nominal)'!$D$12:$AM$244,ROW()-12,FALSE))</f>
        <v>5</v>
      </c>
      <c r="AO228" s="281"/>
      <c r="AP228" s="281">
        <f>IF(HLOOKUP(AP$13,'MP (nominal)'!$D$12:$AM$244,ROW()-12,FALSE)="","",HLOOKUP(AP$13,'MP (nominal)'!$D$12:$AM$244,ROW()-12,FALSE)*VLOOKUP($C228,CPI!$B$9:$I$63,8))</f>
        <v>80319.321161919637</v>
      </c>
      <c r="AQ228" s="31">
        <f>IF(HLOOKUP(AQ$13,'MP (nominal)'!$D$12:$AM$244,ROW()-12,FALSE)="","",HLOOKUP(AQ$13,'MP (nominal)'!$D$12:$AM$244,ROW()-12,FALSE))</f>
        <v>1164718.8999999999</v>
      </c>
      <c r="AR228" s="281">
        <f>IF(HLOOKUP(AR$13,'MP (nominal)'!$D$12:$AM$244,ROW()-12,FALSE)="","",HLOOKUP(AR$13,'MP (nominal)'!$D$12:$AM$244,ROW()-12,FALSE))</f>
        <v>84276</v>
      </c>
    </row>
    <row r="229" spans="1:44" s="278" customFormat="1">
      <c r="A229" s="271">
        <f>References!J284</f>
        <v>606</v>
      </c>
      <c r="B229" s="292" t="s">
        <v>55</v>
      </c>
      <c r="C229" s="284">
        <v>2011</v>
      </c>
      <c r="D229" s="27">
        <f>IF(HLOOKUP(D$13,'MP (nominal)'!$D$12:$AM$244,ROW()-12,FALSE)="","",HLOOKUP(D$13,'MP (nominal)'!$D$12:$AM$244,ROW()-12,FALSE))</f>
        <v>3161.4259000000002</v>
      </c>
      <c r="E229" s="281">
        <f>IF(HLOOKUP(E$13,'MP (nominal)'!$D$12:$AM$244,ROW()-12,FALSE)="","",HLOOKUP(E$13,'MP (nominal)'!$D$12:$AM$244,ROW()-12,FALSE))</f>
        <v>262.81808000000001</v>
      </c>
      <c r="F229" s="27">
        <f>IF(HLOOKUP(F$13,'MP (nominal)'!$D$12:$AM$244,ROW()-12,FALSE)="","",HLOOKUP(F$13,'MP (nominal)'!$D$12:$AM$244,ROW()-12,FALSE))</f>
        <v>1891.8894</v>
      </c>
      <c r="G229" s="281">
        <f>IF(HLOOKUP(G$13,'MP (nominal)'!$D$12:$AM$244,ROW()-12,FALSE)="","",HLOOKUP(G$13,'MP (nominal)'!$D$12:$AM$244,ROW()-12,FALSE))</f>
        <v>1133.317</v>
      </c>
      <c r="H229" s="27">
        <f>IF(HLOOKUP(H$13,'MP (nominal)'!$D$12:$AM$244,ROW()-12,FALSE)="","",HLOOKUP(H$13,'MP (nominal)'!$D$12:$AM$244,ROW()-12,FALSE))</f>
        <v>5053.3154000000004</v>
      </c>
      <c r="I229" s="31">
        <f>IF(HLOOKUP(I$13,'MP (nominal)'!$D$12:$AM$244,ROW()-12,FALSE)="","",HLOOKUP(I$13,'MP (nominal)'!$D$12:$AM$244,ROW()-12,FALSE))</f>
        <v>1396.1351</v>
      </c>
      <c r="J229" s="31">
        <f>IF(HLOOKUP(J$13,'MP (nominal)'!$D$12:$AM$244,ROW()-12,FALSE)="","",HLOOKUP(J$13,'MP (nominal)'!$D$12:$AM$244,ROW()-12,FALSE))</f>
        <v>3161.4259000000002</v>
      </c>
      <c r="K229" s="281"/>
      <c r="L229" s="27">
        <f>IF(HLOOKUP(L$13,'MP (nominal)'!$D$12:$AM$244,ROW()-12,FALSE)="","",HLOOKUP(L$13,'MP (nominal)'!$D$12:$AM$244,ROW()-12,FALSE))</f>
        <v>248.94558000000001</v>
      </c>
      <c r="M229" s="283">
        <f>IF(HLOOKUP(M$13,'MP (nominal)'!$D$12:$AM$244,ROW()-12,FALSE)="","",HLOOKUP(M$13,'MP (nominal)'!$D$12:$AM$244,ROW()-12,FALSE))</f>
        <v>1177.3904</v>
      </c>
      <c r="N229" s="35"/>
      <c r="O229" s="27">
        <f>IF(HLOOKUP(O$13,'MP (nominal)'!$D$12:$AM$244,ROW()-12,FALSE)="","",HLOOKUP(O$13,'MP (nominal)'!$D$12:$AM$244,ROW()-12,FALSE))</f>
        <v>83614</v>
      </c>
      <c r="P229" s="31"/>
      <c r="Q229" s="281"/>
      <c r="R229" s="281">
        <f>IF(HLOOKUP(R$13,'MP (nominal)'!$D$12:$AM$244,ROW()-12,FALSE)="","",HLOOKUP(R$13,'MP (nominal)'!$D$12:$AM$244,ROW()-12,FALSE))</f>
        <v>82.552322000000004</v>
      </c>
      <c r="S229" s="281">
        <f>IF(HLOOKUP(S$13,'MP (nominal)'!$D$12:$AM$244,ROW()-12,FALSE)="","",HLOOKUP(S$13,'MP (nominal)'!$D$12:$AM$244,ROW()-12,FALSE))</f>
        <v>16.729949000000001</v>
      </c>
      <c r="T229" s="281">
        <f>IF(HLOOKUP(T$13,'MP (nominal)'!$D$12:$AM$244,ROW()-12,FALSE)="","",HLOOKUP(T$13,'MP (nominal)'!$D$12:$AM$244,ROW()-12,FALSE))</f>
        <v>65.822372999999999</v>
      </c>
      <c r="U229" s="281"/>
      <c r="V229" s="281">
        <f>IF(HLOOKUP(V$13,'MP (nominal)'!$D$12:$AM$244,ROW()-12,FALSE)="","",HLOOKUP(V$13,'MP (nominal)'!$D$12:$AM$244,ROW()-12,FALSE))</f>
        <v>1.2553996999999999</v>
      </c>
      <c r="W229" s="281">
        <f>IF(HLOOKUP(W$13,'MP (nominal)'!$D$12:$AM$244,ROW()-12,FALSE)="","",HLOOKUP(W$13,'MP (nominal)'!$D$12:$AM$244,ROW()-12,FALSE))</f>
        <v>0.12565403999999999</v>
      </c>
      <c r="X229" s="281">
        <f>IF(HLOOKUP(X$13,'MP (nominal)'!$D$12:$AM$244,ROW()-12,FALSE)="","",HLOOKUP(X$13,'MP (nominal)'!$D$12:$AM$244,ROW()-12,FALSE))</f>
        <v>1.1297457</v>
      </c>
      <c r="Y229" s="281"/>
      <c r="Z229" s="281">
        <f>IF(HLOOKUP(Z$13,'MP (nominal)'!$D$12:$AM$244,ROW()-12,FALSE)="","",HLOOKUP(Z$13,'MP (nominal)'!$D$12:$AM$244,ROW()-12,FALSE)*VLOOKUP($C229,CPI!$B$9:$I$63,8))</f>
        <v>56916.506000000001</v>
      </c>
      <c r="AA229" s="281">
        <f>IF(HLOOKUP(AA$13,'MP (nominal)'!$D$12:$AM$244,ROW()-12,FALSE)="","",HLOOKUP(AA$13,'MP (nominal)'!$D$12:$AM$244,ROW()-12,FALSE))</f>
        <v>721340.31</v>
      </c>
      <c r="AB229" s="281">
        <f>IF(HLOOKUP(AB$13,'MP (nominal)'!$D$12:$AM$244,ROW()-12,FALSE)="","",HLOOKUP(AB$13,'MP (nominal)'!$D$12:$AM$244,ROW()-12,FALSE))</f>
        <v>83031</v>
      </c>
      <c r="AC229" s="281"/>
      <c r="AD229" s="281">
        <f>IF(HLOOKUP(AD$13,'MP (nominal)'!$D$12:$AM$244,ROW()-12,FALSE)="","",HLOOKUP(AD$13,'MP (nominal)'!$D$12:$AM$244,ROW()-12,FALSE)*VLOOKUP($C229,CPI!$B$9:$I$63,8))</f>
        <v>1569.3579999999999</v>
      </c>
      <c r="AE229" s="31">
        <f>IF(HLOOKUP(AE$13,'MP (nominal)'!$D$12:$AM$244,ROW()-12,FALSE)="","",HLOOKUP(AE$13,'MP (nominal)'!$D$12:$AM$244,ROW()-12,FALSE))</f>
        <v>24886.842000000001</v>
      </c>
      <c r="AF229" s="31">
        <f>IF(HLOOKUP(AF$13,'MP (nominal)'!$D$12:$AM$244,ROW()-12,FALSE)="","",HLOOKUP(AF$13,'MP (nominal)'!$D$12:$AM$244,ROW()-12,FALSE))</f>
        <v>179</v>
      </c>
      <c r="AG229" s="281"/>
      <c r="AH229" s="281">
        <f>IF(HLOOKUP(AH$13,'MP (nominal)'!$D$12:$AM$244,ROW()-12,FALSE)="","",HLOOKUP(AH$13,'MP (nominal)'!$D$12:$AM$244,ROW()-12,FALSE)*VLOOKUP($C229,CPI!$B$9:$I$63,8))</f>
        <v>17632.895</v>
      </c>
      <c r="AI229" s="31">
        <f>IF(HLOOKUP(AI$13,'MP (nominal)'!$D$12:$AM$244,ROW()-12,FALSE)="","",HLOOKUP(AI$13,'MP (nominal)'!$D$12:$AM$244,ROW()-12,FALSE))</f>
        <v>351937.41</v>
      </c>
      <c r="AJ229" s="31">
        <f>IF(HLOOKUP(AJ$13,'MP (nominal)'!$D$12:$AM$244,ROW()-12,FALSE)="","",HLOOKUP(AJ$13,'MP (nominal)'!$D$12:$AM$244,ROW()-12,FALSE))</f>
        <v>399</v>
      </c>
      <c r="AK229" s="281"/>
      <c r="AL229" s="281">
        <f>IF(HLOOKUP(AL$13,'MP (nominal)'!$D$12:$AM$244,ROW()-12,FALSE)="","",HLOOKUP(AL$13,'MP (nominal)'!$D$12:$AM$244,ROW()-12,FALSE)*VLOOKUP($C229,CPI!$B$9:$I$63,8))</f>
        <v>2997.2055</v>
      </c>
      <c r="AM229" s="31">
        <f>IF(HLOOKUP(AM$13,'MP (nominal)'!$D$12:$AM$244,ROW()-12,FALSE)="","",HLOOKUP(AM$13,'MP (nominal)'!$D$12:$AM$244,ROW()-12,FALSE))</f>
        <v>79225.827999999994</v>
      </c>
      <c r="AN229" s="31">
        <f>IF(HLOOKUP(AN$13,'MP (nominal)'!$D$12:$AM$244,ROW()-12,FALSE)="","",HLOOKUP(AN$13,'MP (nominal)'!$D$12:$AM$244,ROW()-12,FALSE))</f>
        <v>5</v>
      </c>
      <c r="AO229" s="281"/>
      <c r="AP229" s="281">
        <f>IF(HLOOKUP(AP$13,'MP (nominal)'!$D$12:$AM$244,ROW()-12,FALSE)="","",HLOOKUP(AP$13,'MP (nominal)'!$D$12:$AM$244,ROW()-12,FALSE)*VLOOKUP($C229,CPI!$B$9:$I$63,8))</f>
        <v>79115.964000000007</v>
      </c>
      <c r="AQ229" s="31">
        <f>IF(HLOOKUP(AQ$13,'MP (nominal)'!$D$12:$AM$244,ROW()-12,FALSE)="","",HLOOKUP(AQ$13,'MP (nominal)'!$D$12:$AM$244,ROW()-12,FALSE))</f>
        <v>1177390.3999999999</v>
      </c>
      <c r="AR229" s="281">
        <f>IF(HLOOKUP(AR$13,'MP (nominal)'!$D$12:$AM$244,ROW()-12,FALSE)="","",HLOOKUP(AR$13,'MP (nominal)'!$D$12:$AM$244,ROW()-12,FALSE))</f>
        <v>83614</v>
      </c>
    </row>
    <row r="230" spans="1:44" s="278" customFormat="1" hidden="1">
      <c r="A230" s="271">
        <f>References!C285</f>
        <v>622</v>
      </c>
      <c r="B230" s="292" t="s">
        <v>56</v>
      </c>
      <c r="C230" s="284">
        <v>2004</v>
      </c>
      <c r="D230" s="27" t="str">
        <f>IF(HLOOKUP(D$13,'MP (nominal)'!$D$12:$AM$244,ROW()-12,FALSE)="","",HLOOKUP(D$13,'MP (nominal)'!$D$12:$AM$244,ROW()-12,FALSE))</f>
        <v/>
      </c>
      <c r="E230" s="281" t="str">
        <f>IF(HLOOKUP(E$13,'MP (nominal)'!$D$12:$AM$244,ROW()-12,FALSE)="","",HLOOKUP(E$13,'MP (nominal)'!$D$12:$AM$244,ROW()-12,FALSE))</f>
        <v/>
      </c>
      <c r="F230" s="27" t="str">
        <f>IF(HLOOKUP(F$13,'MP (nominal)'!$D$12:$AM$244,ROW()-12,FALSE)="","",HLOOKUP(F$13,'MP (nominal)'!$D$12:$AM$244,ROW()-12,FALSE))</f>
        <v/>
      </c>
      <c r="G230" s="281" t="str">
        <f>IF(HLOOKUP(G$13,'MP (nominal)'!$D$12:$AM$244,ROW()-12,FALSE)="","",HLOOKUP(G$13,'MP (nominal)'!$D$12:$AM$244,ROW()-12,FALSE))</f>
        <v/>
      </c>
      <c r="H230" s="27" t="str">
        <f>IF(HLOOKUP(H$13,'MP (nominal)'!$D$12:$AM$244,ROW()-12,FALSE)="","",HLOOKUP(H$13,'MP (nominal)'!$D$12:$AM$244,ROW()-12,FALSE))</f>
        <v/>
      </c>
      <c r="I230" s="31" t="str">
        <f>IF(HLOOKUP(I$13,'MP (nominal)'!$D$12:$AM$244,ROW()-12,FALSE)="","",HLOOKUP(I$13,'MP (nominal)'!$D$12:$AM$244,ROW()-12,FALSE))</f>
        <v/>
      </c>
      <c r="J230" s="31" t="str">
        <f>IF(HLOOKUP(J$13,'MP (nominal)'!$D$12:$AM$244,ROW()-12,FALSE)="","",HLOOKUP(J$13,'MP (nominal)'!$D$12:$AM$244,ROW()-12,FALSE))</f>
        <v/>
      </c>
      <c r="K230" s="281"/>
      <c r="L230" s="27" t="str">
        <f>IF(HLOOKUP(L$13,'MP (nominal)'!$D$12:$AM$244,ROW()-12,FALSE)="","",HLOOKUP(L$13,'MP (nominal)'!$D$12:$AM$244,ROW()-12,FALSE))</f>
        <v/>
      </c>
      <c r="M230" s="283" t="str">
        <f>IF(HLOOKUP(M$13,'MP (nominal)'!$D$12:$AM$244,ROW()-12,FALSE)="","",HLOOKUP(M$13,'MP (nominal)'!$D$12:$AM$244,ROW()-12,FALSE))</f>
        <v/>
      </c>
      <c r="N230" s="35"/>
      <c r="O230" s="27" t="str">
        <f>IF(HLOOKUP(O$13,'MP (nominal)'!$D$12:$AM$244,ROW()-12,FALSE)="","",HLOOKUP(O$13,'MP (nominal)'!$D$12:$AM$244,ROW()-12,FALSE))</f>
        <v/>
      </c>
      <c r="P230" s="31"/>
      <c r="Q230" s="281"/>
      <c r="R230" s="281" t="str">
        <f>IF(HLOOKUP(R$13,'MP (nominal)'!$D$12:$AM$244,ROW()-12,FALSE)="","",HLOOKUP(R$13,'MP (nominal)'!$D$12:$AM$244,ROW()-12,FALSE))</f>
        <v/>
      </c>
      <c r="S230" s="281" t="str">
        <f>IF(HLOOKUP(S$13,'MP (nominal)'!$D$12:$AM$244,ROW()-12,FALSE)="","",HLOOKUP(S$13,'MP (nominal)'!$D$12:$AM$244,ROW()-12,FALSE))</f>
        <v/>
      </c>
      <c r="T230" s="281" t="str">
        <f>IF(HLOOKUP(T$13,'MP (nominal)'!$D$12:$AM$244,ROW()-12,FALSE)="","",HLOOKUP(T$13,'MP (nominal)'!$D$12:$AM$244,ROW()-12,FALSE))</f>
        <v/>
      </c>
      <c r="U230" s="281"/>
      <c r="V230" s="281" t="str">
        <f>IF(HLOOKUP(V$13,'MP (nominal)'!$D$12:$AM$244,ROW()-12,FALSE)="","",HLOOKUP(V$13,'MP (nominal)'!$D$12:$AM$244,ROW()-12,FALSE))</f>
        <v/>
      </c>
      <c r="W230" s="281" t="str">
        <f>IF(HLOOKUP(W$13,'MP (nominal)'!$D$12:$AM$244,ROW()-12,FALSE)="","",HLOOKUP(W$13,'MP (nominal)'!$D$12:$AM$244,ROW()-12,FALSE))</f>
        <v/>
      </c>
      <c r="X230" s="281" t="str">
        <f>IF(HLOOKUP(X$13,'MP (nominal)'!$D$12:$AM$244,ROW()-12,FALSE)="","",HLOOKUP(X$13,'MP (nominal)'!$D$12:$AM$244,ROW()-12,FALSE))</f>
        <v/>
      </c>
      <c r="Y230" s="281"/>
      <c r="Z230" s="281" t="str">
        <f>IF(HLOOKUP(Z$13,'MP (nominal)'!$D$12:$AM$244,ROW()-12,FALSE)="","",HLOOKUP(Z$13,'MP (nominal)'!$D$12:$AM$244,ROW()-12,FALSE)*VLOOKUP($C230,CPI!$B$9:$I$63,8))</f>
        <v/>
      </c>
      <c r="AA230" s="281" t="str">
        <f>IF(HLOOKUP(AA$13,'MP (nominal)'!$D$12:$AM$244,ROW()-12,FALSE)="","",HLOOKUP(AA$13,'MP (nominal)'!$D$12:$AM$244,ROW()-12,FALSE))</f>
        <v/>
      </c>
      <c r="AB230" s="281" t="str">
        <f>IF(HLOOKUP(AB$13,'MP (nominal)'!$D$12:$AM$244,ROW()-12,FALSE)="","",HLOOKUP(AB$13,'MP (nominal)'!$D$12:$AM$244,ROW()-12,FALSE))</f>
        <v/>
      </c>
      <c r="AC230" s="281"/>
      <c r="AD230" s="281" t="str">
        <f>IF(HLOOKUP(AD$13,'MP (nominal)'!$D$12:$AM$244,ROW()-12,FALSE)="","",HLOOKUP(AD$13,'MP (nominal)'!$D$12:$AM$244,ROW()-12,FALSE)*VLOOKUP($C230,CPI!$B$9:$I$63,8))</f>
        <v/>
      </c>
      <c r="AE230" s="31" t="str">
        <f>IF(HLOOKUP(AE$13,'MP (nominal)'!$D$12:$AM$244,ROW()-12,FALSE)="","",HLOOKUP(AE$13,'MP (nominal)'!$D$12:$AM$244,ROW()-12,FALSE))</f>
        <v/>
      </c>
      <c r="AF230" s="31" t="str">
        <f>IF(HLOOKUP(AF$13,'MP (nominal)'!$D$12:$AM$244,ROW()-12,FALSE)="","",HLOOKUP(AF$13,'MP (nominal)'!$D$12:$AM$244,ROW()-12,FALSE))</f>
        <v/>
      </c>
      <c r="AG230" s="281"/>
      <c r="AH230" s="281" t="str">
        <f>IF(HLOOKUP(AH$13,'MP (nominal)'!$D$12:$AM$244,ROW()-12,FALSE)="","",HLOOKUP(AH$13,'MP (nominal)'!$D$12:$AM$244,ROW()-12,FALSE)*VLOOKUP($C230,CPI!$B$9:$I$63,8))</f>
        <v/>
      </c>
      <c r="AI230" s="31" t="str">
        <f>IF(HLOOKUP(AI$13,'MP (nominal)'!$D$12:$AM$244,ROW()-12,FALSE)="","",HLOOKUP(AI$13,'MP (nominal)'!$D$12:$AM$244,ROW()-12,FALSE))</f>
        <v/>
      </c>
      <c r="AJ230" s="31" t="str">
        <f>IF(HLOOKUP(AJ$13,'MP (nominal)'!$D$12:$AM$244,ROW()-12,FALSE)="","",HLOOKUP(AJ$13,'MP (nominal)'!$D$12:$AM$244,ROW()-12,FALSE))</f>
        <v/>
      </c>
      <c r="AK230" s="281"/>
      <c r="AL230" s="281" t="str">
        <f>IF(HLOOKUP(AL$13,'MP (nominal)'!$D$12:$AM$244,ROW()-12,FALSE)="","",HLOOKUP(AL$13,'MP (nominal)'!$D$12:$AM$244,ROW()-12,FALSE)*VLOOKUP($C230,CPI!$B$9:$I$63,8))</f>
        <v/>
      </c>
      <c r="AM230" s="31" t="str">
        <f>IF(HLOOKUP(AM$13,'MP (nominal)'!$D$12:$AM$244,ROW()-12,FALSE)="","",HLOOKUP(AM$13,'MP (nominal)'!$D$12:$AM$244,ROW()-12,FALSE))</f>
        <v/>
      </c>
      <c r="AN230" s="31" t="str">
        <f>IF(HLOOKUP(AN$13,'MP (nominal)'!$D$12:$AM$244,ROW()-12,FALSE)="","",HLOOKUP(AN$13,'MP (nominal)'!$D$12:$AM$244,ROW()-12,FALSE))</f>
        <v/>
      </c>
      <c r="AO230" s="281"/>
      <c r="AP230" s="281" t="str">
        <f>IF(HLOOKUP(AP$13,'MP (nominal)'!$D$12:$AM$244,ROW()-12,FALSE)="","",HLOOKUP(AP$13,'MP (nominal)'!$D$12:$AM$244,ROW()-12,FALSE)*VLOOKUP($C230,CPI!$B$9:$I$63,8))</f>
        <v/>
      </c>
      <c r="AQ230" s="31" t="str">
        <f>IF(HLOOKUP(AQ$13,'MP (nominal)'!$D$12:$AM$244,ROW()-12,FALSE)="","",HLOOKUP(AQ$13,'MP (nominal)'!$D$12:$AM$244,ROW()-12,FALSE))</f>
        <v/>
      </c>
      <c r="AR230" s="281" t="str">
        <f>IF(HLOOKUP(AR$13,'MP (nominal)'!$D$12:$AM$244,ROW()-12,FALSE)="","",HLOOKUP(AR$13,'MP (nominal)'!$D$12:$AM$244,ROW()-12,FALSE))</f>
        <v/>
      </c>
    </row>
    <row r="231" spans="1:44" s="278" customFormat="1" hidden="1">
      <c r="A231" s="271">
        <f>References!D285</f>
        <v>623</v>
      </c>
      <c r="B231" s="292" t="s">
        <v>56</v>
      </c>
      <c r="C231" s="284">
        <v>2005</v>
      </c>
      <c r="D231" s="27" t="str">
        <f>IF(HLOOKUP(D$13,'MP (nominal)'!$D$12:$AM$244,ROW()-12,FALSE)="","",HLOOKUP(D$13,'MP (nominal)'!$D$12:$AM$244,ROW()-12,FALSE))</f>
        <v/>
      </c>
      <c r="E231" s="281" t="str">
        <f>IF(HLOOKUP(E$13,'MP (nominal)'!$D$12:$AM$244,ROW()-12,FALSE)="","",HLOOKUP(E$13,'MP (nominal)'!$D$12:$AM$244,ROW()-12,FALSE))</f>
        <v/>
      </c>
      <c r="F231" s="27" t="str">
        <f>IF(HLOOKUP(F$13,'MP (nominal)'!$D$12:$AM$244,ROW()-12,FALSE)="","",HLOOKUP(F$13,'MP (nominal)'!$D$12:$AM$244,ROW()-12,FALSE))</f>
        <v/>
      </c>
      <c r="G231" s="281" t="str">
        <f>IF(HLOOKUP(G$13,'MP (nominal)'!$D$12:$AM$244,ROW()-12,FALSE)="","",HLOOKUP(G$13,'MP (nominal)'!$D$12:$AM$244,ROW()-12,FALSE))</f>
        <v/>
      </c>
      <c r="H231" s="27" t="str">
        <f>IF(HLOOKUP(H$13,'MP (nominal)'!$D$12:$AM$244,ROW()-12,FALSE)="","",HLOOKUP(H$13,'MP (nominal)'!$D$12:$AM$244,ROW()-12,FALSE))</f>
        <v/>
      </c>
      <c r="I231" s="31" t="str">
        <f>IF(HLOOKUP(I$13,'MP (nominal)'!$D$12:$AM$244,ROW()-12,FALSE)="","",HLOOKUP(I$13,'MP (nominal)'!$D$12:$AM$244,ROW()-12,FALSE))</f>
        <v/>
      </c>
      <c r="J231" s="31" t="str">
        <f>IF(HLOOKUP(J$13,'MP (nominal)'!$D$12:$AM$244,ROW()-12,FALSE)="","",HLOOKUP(J$13,'MP (nominal)'!$D$12:$AM$244,ROW()-12,FALSE))</f>
        <v/>
      </c>
      <c r="K231" s="281"/>
      <c r="L231" s="27" t="str">
        <f>IF(HLOOKUP(L$13,'MP (nominal)'!$D$12:$AM$244,ROW()-12,FALSE)="","",HLOOKUP(L$13,'MP (nominal)'!$D$12:$AM$244,ROW()-12,FALSE))</f>
        <v/>
      </c>
      <c r="M231" s="283" t="str">
        <f>IF(HLOOKUP(M$13,'MP (nominal)'!$D$12:$AM$244,ROW()-12,FALSE)="","",HLOOKUP(M$13,'MP (nominal)'!$D$12:$AM$244,ROW()-12,FALSE))</f>
        <v/>
      </c>
      <c r="N231" s="35"/>
      <c r="O231" s="27" t="str">
        <f>IF(HLOOKUP(O$13,'MP (nominal)'!$D$12:$AM$244,ROW()-12,FALSE)="","",HLOOKUP(O$13,'MP (nominal)'!$D$12:$AM$244,ROW()-12,FALSE))</f>
        <v/>
      </c>
      <c r="P231" s="31"/>
      <c r="Q231" s="281"/>
      <c r="R231" s="281" t="str">
        <f>IF(HLOOKUP(R$13,'MP (nominal)'!$D$12:$AM$244,ROW()-12,FALSE)="","",HLOOKUP(R$13,'MP (nominal)'!$D$12:$AM$244,ROW()-12,FALSE))</f>
        <v/>
      </c>
      <c r="S231" s="281" t="str">
        <f>IF(HLOOKUP(S$13,'MP (nominal)'!$D$12:$AM$244,ROW()-12,FALSE)="","",HLOOKUP(S$13,'MP (nominal)'!$D$12:$AM$244,ROW()-12,FALSE))</f>
        <v/>
      </c>
      <c r="T231" s="281" t="str">
        <f>IF(HLOOKUP(T$13,'MP (nominal)'!$D$12:$AM$244,ROW()-12,FALSE)="","",HLOOKUP(T$13,'MP (nominal)'!$D$12:$AM$244,ROW()-12,FALSE))</f>
        <v/>
      </c>
      <c r="U231" s="281"/>
      <c r="V231" s="281" t="str">
        <f>IF(HLOOKUP(V$13,'MP (nominal)'!$D$12:$AM$244,ROW()-12,FALSE)="","",HLOOKUP(V$13,'MP (nominal)'!$D$12:$AM$244,ROW()-12,FALSE))</f>
        <v/>
      </c>
      <c r="W231" s="281" t="str">
        <f>IF(HLOOKUP(W$13,'MP (nominal)'!$D$12:$AM$244,ROW()-12,FALSE)="","",HLOOKUP(W$13,'MP (nominal)'!$D$12:$AM$244,ROW()-12,FALSE))</f>
        <v/>
      </c>
      <c r="X231" s="281" t="str">
        <f>IF(HLOOKUP(X$13,'MP (nominal)'!$D$12:$AM$244,ROW()-12,FALSE)="","",HLOOKUP(X$13,'MP (nominal)'!$D$12:$AM$244,ROW()-12,FALSE))</f>
        <v/>
      </c>
      <c r="Y231" s="281"/>
      <c r="Z231" s="281" t="str">
        <f>IF(HLOOKUP(Z$13,'MP (nominal)'!$D$12:$AM$244,ROW()-12,FALSE)="","",HLOOKUP(Z$13,'MP (nominal)'!$D$12:$AM$244,ROW()-12,FALSE)*VLOOKUP($C231,CPI!$B$9:$I$63,8))</f>
        <v/>
      </c>
      <c r="AA231" s="281" t="str">
        <f>IF(HLOOKUP(AA$13,'MP (nominal)'!$D$12:$AM$244,ROW()-12,FALSE)="","",HLOOKUP(AA$13,'MP (nominal)'!$D$12:$AM$244,ROW()-12,FALSE))</f>
        <v/>
      </c>
      <c r="AB231" s="281" t="str">
        <f>IF(HLOOKUP(AB$13,'MP (nominal)'!$D$12:$AM$244,ROW()-12,FALSE)="","",HLOOKUP(AB$13,'MP (nominal)'!$D$12:$AM$244,ROW()-12,FALSE))</f>
        <v/>
      </c>
      <c r="AC231" s="281"/>
      <c r="AD231" s="281" t="str">
        <f>IF(HLOOKUP(AD$13,'MP (nominal)'!$D$12:$AM$244,ROW()-12,FALSE)="","",HLOOKUP(AD$13,'MP (nominal)'!$D$12:$AM$244,ROW()-12,FALSE)*VLOOKUP($C231,CPI!$B$9:$I$63,8))</f>
        <v/>
      </c>
      <c r="AE231" s="31" t="str">
        <f>IF(HLOOKUP(AE$13,'MP (nominal)'!$D$12:$AM$244,ROW()-12,FALSE)="","",HLOOKUP(AE$13,'MP (nominal)'!$D$12:$AM$244,ROW()-12,FALSE))</f>
        <v/>
      </c>
      <c r="AF231" s="31" t="str">
        <f>IF(HLOOKUP(AF$13,'MP (nominal)'!$D$12:$AM$244,ROW()-12,FALSE)="","",HLOOKUP(AF$13,'MP (nominal)'!$D$12:$AM$244,ROW()-12,FALSE))</f>
        <v/>
      </c>
      <c r="AG231" s="281"/>
      <c r="AH231" s="281" t="str">
        <f>IF(HLOOKUP(AH$13,'MP (nominal)'!$D$12:$AM$244,ROW()-12,FALSE)="","",HLOOKUP(AH$13,'MP (nominal)'!$D$12:$AM$244,ROW()-12,FALSE)*VLOOKUP($C231,CPI!$B$9:$I$63,8))</f>
        <v/>
      </c>
      <c r="AI231" s="31" t="str">
        <f>IF(HLOOKUP(AI$13,'MP (nominal)'!$D$12:$AM$244,ROW()-12,FALSE)="","",HLOOKUP(AI$13,'MP (nominal)'!$D$12:$AM$244,ROW()-12,FALSE))</f>
        <v/>
      </c>
      <c r="AJ231" s="31" t="str">
        <f>IF(HLOOKUP(AJ$13,'MP (nominal)'!$D$12:$AM$244,ROW()-12,FALSE)="","",HLOOKUP(AJ$13,'MP (nominal)'!$D$12:$AM$244,ROW()-12,FALSE))</f>
        <v/>
      </c>
      <c r="AK231" s="281"/>
      <c r="AL231" s="281" t="str">
        <f>IF(HLOOKUP(AL$13,'MP (nominal)'!$D$12:$AM$244,ROW()-12,FALSE)="","",HLOOKUP(AL$13,'MP (nominal)'!$D$12:$AM$244,ROW()-12,FALSE)*VLOOKUP($C231,CPI!$B$9:$I$63,8))</f>
        <v/>
      </c>
      <c r="AM231" s="31" t="str">
        <f>IF(HLOOKUP(AM$13,'MP (nominal)'!$D$12:$AM$244,ROW()-12,FALSE)="","",HLOOKUP(AM$13,'MP (nominal)'!$D$12:$AM$244,ROW()-12,FALSE))</f>
        <v/>
      </c>
      <c r="AN231" s="31" t="str">
        <f>IF(HLOOKUP(AN$13,'MP (nominal)'!$D$12:$AM$244,ROW()-12,FALSE)="","",HLOOKUP(AN$13,'MP (nominal)'!$D$12:$AM$244,ROW()-12,FALSE))</f>
        <v/>
      </c>
      <c r="AO231" s="281"/>
      <c r="AP231" s="281" t="str">
        <f>IF(HLOOKUP(AP$13,'MP (nominal)'!$D$12:$AM$244,ROW()-12,FALSE)="","",HLOOKUP(AP$13,'MP (nominal)'!$D$12:$AM$244,ROW()-12,FALSE)*VLOOKUP($C231,CPI!$B$9:$I$63,8))</f>
        <v/>
      </c>
      <c r="AQ231" s="31" t="str">
        <f>IF(HLOOKUP(AQ$13,'MP (nominal)'!$D$12:$AM$244,ROW()-12,FALSE)="","",HLOOKUP(AQ$13,'MP (nominal)'!$D$12:$AM$244,ROW()-12,FALSE))</f>
        <v/>
      </c>
      <c r="AR231" s="281" t="str">
        <f>IF(HLOOKUP(AR$13,'MP (nominal)'!$D$12:$AM$244,ROW()-12,FALSE)="","",HLOOKUP(AR$13,'MP (nominal)'!$D$12:$AM$244,ROW()-12,FALSE))</f>
        <v/>
      </c>
    </row>
    <row r="232" spans="1:44" s="278" customFormat="1" hidden="1">
      <c r="A232" s="271">
        <f>References!E285</f>
        <v>624</v>
      </c>
      <c r="B232" s="292" t="s">
        <v>56</v>
      </c>
      <c r="C232" s="284">
        <v>2006</v>
      </c>
      <c r="D232" s="27" t="str">
        <f>IF(HLOOKUP(D$13,'MP (nominal)'!$D$12:$AM$244,ROW()-12,FALSE)="","",HLOOKUP(D$13,'MP (nominal)'!$D$12:$AM$244,ROW()-12,FALSE))</f>
        <v/>
      </c>
      <c r="E232" s="281" t="str">
        <f>IF(HLOOKUP(E$13,'MP (nominal)'!$D$12:$AM$244,ROW()-12,FALSE)="","",HLOOKUP(E$13,'MP (nominal)'!$D$12:$AM$244,ROW()-12,FALSE))</f>
        <v/>
      </c>
      <c r="F232" s="27" t="str">
        <f>IF(HLOOKUP(F$13,'MP (nominal)'!$D$12:$AM$244,ROW()-12,FALSE)="","",HLOOKUP(F$13,'MP (nominal)'!$D$12:$AM$244,ROW()-12,FALSE))</f>
        <v/>
      </c>
      <c r="G232" s="281" t="str">
        <f>IF(HLOOKUP(G$13,'MP (nominal)'!$D$12:$AM$244,ROW()-12,FALSE)="","",HLOOKUP(G$13,'MP (nominal)'!$D$12:$AM$244,ROW()-12,FALSE))</f>
        <v/>
      </c>
      <c r="H232" s="27" t="str">
        <f>IF(HLOOKUP(H$13,'MP (nominal)'!$D$12:$AM$244,ROW()-12,FALSE)="","",HLOOKUP(H$13,'MP (nominal)'!$D$12:$AM$244,ROW()-12,FALSE))</f>
        <v/>
      </c>
      <c r="I232" s="31" t="str">
        <f>IF(HLOOKUP(I$13,'MP (nominal)'!$D$12:$AM$244,ROW()-12,FALSE)="","",HLOOKUP(I$13,'MP (nominal)'!$D$12:$AM$244,ROW()-12,FALSE))</f>
        <v/>
      </c>
      <c r="J232" s="31" t="str">
        <f>IF(HLOOKUP(J$13,'MP (nominal)'!$D$12:$AM$244,ROW()-12,FALSE)="","",HLOOKUP(J$13,'MP (nominal)'!$D$12:$AM$244,ROW()-12,FALSE))</f>
        <v/>
      </c>
      <c r="K232" s="281"/>
      <c r="L232" s="27" t="str">
        <f>IF(HLOOKUP(L$13,'MP (nominal)'!$D$12:$AM$244,ROW()-12,FALSE)="","",HLOOKUP(L$13,'MP (nominal)'!$D$12:$AM$244,ROW()-12,FALSE))</f>
        <v/>
      </c>
      <c r="M232" s="283" t="str">
        <f>IF(HLOOKUP(M$13,'MP (nominal)'!$D$12:$AM$244,ROW()-12,FALSE)="","",HLOOKUP(M$13,'MP (nominal)'!$D$12:$AM$244,ROW()-12,FALSE))</f>
        <v/>
      </c>
      <c r="N232" s="35"/>
      <c r="O232" s="27" t="str">
        <f>IF(HLOOKUP(O$13,'MP (nominal)'!$D$12:$AM$244,ROW()-12,FALSE)="","",HLOOKUP(O$13,'MP (nominal)'!$D$12:$AM$244,ROW()-12,FALSE))</f>
        <v/>
      </c>
      <c r="P232" s="31"/>
      <c r="Q232" s="281"/>
      <c r="R232" s="281" t="str">
        <f>IF(HLOOKUP(R$13,'MP (nominal)'!$D$12:$AM$244,ROW()-12,FALSE)="","",HLOOKUP(R$13,'MP (nominal)'!$D$12:$AM$244,ROW()-12,FALSE))</f>
        <v/>
      </c>
      <c r="S232" s="281" t="str">
        <f>IF(HLOOKUP(S$13,'MP (nominal)'!$D$12:$AM$244,ROW()-12,FALSE)="","",HLOOKUP(S$13,'MP (nominal)'!$D$12:$AM$244,ROW()-12,FALSE))</f>
        <v/>
      </c>
      <c r="T232" s="281" t="str">
        <f>IF(HLOOKUP(T$13,'MP (nominal)'!$D$12:$AM$244,ROW()-12,FALSE)="","",HLOOKUP(T$13,'MP (nominal)'!$D$12:$AM$244,ROW()-12,FALSE))</f>
        <v/>
      </c>
      <c r="U232" s="281"/>
      <c r="V232" s="281" t="str">
        <f>IF(HLOOKUP(V$13,'MP (nominal)'!$D$12:$AM$244,ROW()-12,FALSE)="","",HLOOKUP(V$13,'MP (nominal)'!$D$12:$AM$244,ROW()-12,FALSE))</f>
        <v/>
      </c>
      <c r="W232" s="281" t="str">
        <f>IF(HLOOKUP(W$13,'MP (nominal)'!$D$12:$AM$244,ROW()-12,FALSE)="","",HLOOKUP(W$13,'MP (nominal)'!$D$12:$AM$244,ROW()-12,FALSE))</f>
        <v/>
      </c>
      <c r="X232" s="281" t="str">
        <f>IF(HLOOKUP(X$13,'MP (nominal)'!$D$12:$AM$244,ROW()-12,FALSE)="","",HLOOKUP(X$13,'MP (nominal)'!$D$12:$AM$244,ROW()-12,FALSE))</f>
        <v/>
      </c>
      <c r="Y232" s="281"/>
      <c r="Z232" s="281" t="str">
        <f>IF(HLOOKUP(Z$13,'MP (nominal)'!$D$12:$AM$244,ROW()-12,FALSE)="","",HLOOKUP(Z$13,'MP (nominal)'!$D$12:$AM$244,ROW()-12,FALSE)*VLOOKUP($C232,CPI!$B$9:$I$63,8))</f>
        <v/>
      </c>
      <c r="AA232" s="281" t="str">
        <f>IF(HLOOKUP(AA$13,'MP (nominal)'!$D$12:$AM$244,ROW()-12,FALSE)="","",HLOOKUP(AA$13,'MP (nominal)'!$D$12:$AM$244,ROW()-12,FALSE))</f>
        <v/>
      </c>
      <c r="AB232" s="281" t="str">
        <f>IF(HLOOKUP(AB$13,'MP (nominal)'!$D$12:$AM$244,ROW()-12,FALSE)="","",HLOOKUP(AB$13,'MP (nominal)'!$D$12:$AM$244,ROW()-12,FALSE))</f>
        <v/>
      </c>
      <c r="AC232" s="281"/>
      <c r="AD232" s="281" t="str">
        <f>IF(HLOOKUP(AD$13,'MP (nominal)'!$D$12:$AM$244,ROW()-12,FALSE)="","",HLOOKUP(AD$13,'MP (nominal)'!$D$12:$AM$244,ROW()-12,FALSE)*VLOOKUP($C232,CPI!$B$9:$I$63,8))</f>
        <v/>
      </c>
      <c r="AE232" s="31" t="str">
        <f>IF(HLOOKUP(AE$13,'MP (nominal)'!$D$12:$AM$244,ROW()-12,FALSE)="","",HLOOKUP(AE$13,'MP (nominal)'!$D$12:$AM$244,ROW()-12,FALSE))</f>
        <v/>
      </c>
      <c r="AF232" s="31" t="str">
        <f>IF(HLOOKUP(AF$13,'MP (nominal)'!$D$12:$AM$244,ROW()-12,FALSE)="","",HLOOKUP(AF$13,'MP (nominal)'!$D$12:$AM$244,ROW()-12,FALSE))</f>
        <v/>
      </c>
      <c r="AG232" s="281"/>
      <c r="AH232" s="281" t="str">
        <f>IF(HLOOKUP(AH$13,'MP (nominal)'!$D$12:$AM$244,ROW()-12,FALSE)="","",HLOOKUP(AH$13,'MP (nominal)'!$D$12:$AM$244,ROW()-12,FALSE)*VLOOKUP($C232,CPI!$B$9:$I$63,8))</f>
        <v/>
      </c>
      <c r="AI232" s="31" t="str">
        <f>IF(HLOOKUP(AI$13,'MP (nominal)'!$D$12:$AM$244,ROW()-12,FALSE)="","",HLOOKUP(AI$13,'MP (nominal)'!$D$12:$AM$244,ROW()-12,FALSE))</f>
        <v/>
      </c>
      <c r="AJ232" s="31" t="str">
        <f>IF(HLOOKUP(AJ$13,'MP (nominal)'!$D$12:$AM$244,ROW()-12,FALSE)="","",HLOOKUP(AJ$13,'MP (nominal)'!$D$12:$AM$244,ROW()-12,FALSE))</f>
        <v/>
      </c>
      <c r="AK232" s="281"/>
      <c r="AL232" s="281" t="str">
        <f>IF(HLOOKUP(AL$13,'MP (nominal)'!$D$12:$AM$244,ROW()-12,FALSE)="","",HLOOKUP(AL$13,'MP (nominal)'!$D$12:$AM$244,ROW()-12,FALSE)*VLOOKUP($C232,CPI!$B$9:$I$63,8))</f>
        <v/>
      </c>
      <c r="AM232" s="31" t="str">
        <f>IF(HLOOKUP(AM$13,'MP (nominal)'!$D$12:$AM$244,ROW()-12,FALSE)="","",HLOOKUP(AM$13,'MP (nominal)'!$D$12:$AM$244,ROW()-12,FALSE))</f>
        <v/>
      </c>
      <c r="AN232" s="31" t="str">
        <f>IF(HLOOKUP(AN$13,'MP (nominal)'!$D$12:$AM$244,ROW()-12,FALSE)="","",HLOOKUP(AN$13,'MP (nominal)'!$D$12:$AM$244,ROW()-12,FALSE))</f>
        <v/>
      </c>
      <c r="AO232" s="281"/>
      <c r="AP232" s="281" t="str">
        <f>IF(HLOOKUP(AP$13,'MP (nominal)'!$D$12:$AM$244,ROW()-12,FALSE)="","",HLOOKUP(AP$13,'MP (nominal)'!$D$12:$AM$244,ROW()-12,FALSE)*VLOOKUP($C232,CPI!$B$9:$I$63,8))</f>
        <v/>
      </c>
      <c r="AQ232" s="31" t="str">
        <f>IF(HLOOKUP(AQ$13,'MP (nominal)'!$D$12:$AM$244,ROW()-12,FALSE)="","",HLOOKUP(AQ$13,'MP (nominal)'!$D$12:$AM$244,ROW()-12,FALSE))</f>
        <v/>
      </c>
      <c r="AR232" s="281" t="str">
        <f>IF(HLOOKUP(AR$13,'MP (nominal)'!$D$12:$AM$244,ROW()-12,FALSE)="","",HLOOKUP(AR$13,'MP (nominal)'!$D$12:$AM$244,ROW()-12,FALSE))</f>
        <v/>
      </c>
    </row>
    <row r="233" spans="1:44" s="278" customFormat="1" hidden="1">
      <c r="A233" s="271">
        <f>References!F285</f>
        <v>625</v>
      </c>
      <c r="B233" s="292" t="s">
        <v>56</v>
      </c>
      <c r="C233" s="284">
        <v>2007</v>
      </c>
      <c r="D233" s="27" t="str">
        <f>IF(HLOOKUP(D$13,'MP (nominal)'!$D$12:$AM$244,ROW()-12,FALSE)="","",HLOOKUP(D$13,'MP (nominal)'!$D$12:$AM$244,ROW()-12,FALSE))</f>
        <v/>
      </c>
      <c r="E233" s="281" t="str">
        <f>IF(HLOOKUP(E$13,'MP (nominal)'!$D$12:$AM$244,ROW()-12,FALSE)="","",HLOOKUP(E$13,'MP (nominal)'!$D$12:$AM$244,ROW()-12,FALSE))</f>
        <v/>
      </c>
      <c r="F233" s="27" t="str">
        <f>IF(HLOOKUP(F$13,'MP (nominal)'!$D$12:$AM$244,ROW()-12,FALSE)="","",HLOOKUP(F$13,'MP (nominal)'!$D$12:$AM$244,ROW()-12,FALSE))</f>
        <v/>
      </c>
      <c r="G233" s="281" t="str">
        <f>IF(HLOOKUP(G$13,'MP (nominal)'!$D$12:$AM$244,ROW()-12,FALSE)="","",HLOOKUP(G$13,'MP (nominal)'!$D$12:$AM$244,ROW()-12,FALSE))</f>
        <v/>
      </c>
      <c r="H233" s="27" t="str">
        <f>IF(HLOOKUP(H$13,'MP (nominal)'!$D$12:$AM$244,ROW()-12,FALSE)="","",HLOOKUP(H$13,'MP (nominal)'!$D$12:$AM$244,ROW()-12,FALSE))</f>
        <v/>
      </c>
      <c r="I233" s="31" t="str">
        <f>IF(HLOOKUP(I$13,'MP (nominal)'!$D$12:$AM$244,ROW()-12,FALSE)="","",HLOOKUP(I$13,'MP (nominal)'!$D$12:$AM$244,ROW()-12,FALSE))</f>
        <v/>
      </c>
      <c r="J233" s="31" t="str">
        <f>IF(HLOOKUP(J$13,'MP (nominal)'!$D$12:$AM$244,ROW()-12,FALSE)="","",HLOOKUP(J$13,'MP (nominal)'!$D$12:$AM$244,ROW()-12,FALSE))</f>
        <v/>
      </c>
      <c r="K233" s="281"/>
      <c r="L233" s="27" t="str">
        <f>IF(HLOOKUP(L$13,'MP (nominal)'!$D$12:$AM$244,ROW()-12,FALSE)="","",HLOOKUP(L$13,'MP (nominal)'!$D$12:$AM$244,ROW()-12,FALSE))</f>
        <v/>
      </c>
      <c r="M233" s="283" t="str">
        <f>IF(HLOOKUP(M$13,'MP (nominal)'!$D$12:$AM$244,ROW()-12,FALSE)="","",HLOOKUP(M$13,'MP (nominal)'!$D$12:$AM$244,ROW()-12,FALSE))</f>
        <v/>
      </c>
      <c r="N233" s="35"/>
      <c r="O233" s="27" t="str">
        <f>IF(HLOOKUP(O$13,'MP (nominal)'!$D$12:$AM$244,ROW()-12,FALSE)="","",HLOOKUP(O$13,'MP (nominal)'!$D$12:$AM$244,ROW()-12,FALSE))</f>
        <v/>
      </c>
      <c r="P233" s="31"/>
      <c r="Q233" s="281"/>
      <c r="R233" s="281" t="str">
        <f>IF(HLOOKUP(R$13,'MP (nominal)'!$D$12:$AM$244,ROW()-12,FALSE)="","",HLOOKUP(R$13,'MP (nominal)'!$D$12:$AM$244,ROW()-12,FALSE))</f>
        <v/>
      </c>
      <c r="S233" s="281" t="str">
        <f>IF(HLOOKUP(S$13,'MP (nominal)'!$D$12:$AM$244,ROW()-12,FALSE)="","",HLOOKUP(S$13,'MP (nominal)'!$D$12:$AM$244,ROW()-12,FALSE))</f>
        <v/>
      </c>
      <c r="T233" s="281" t="str">
        <f>IF(HLOOKUP(T$13,'MP (nominal)'!$D$12:$AM$244,ROW()-12,FALSE)="","",HLOOKUP(T$13,'MP (nominal)'!$D$12:$AM$244,ROW()-12,FALSE))</f>
        <v/>
      </c>
      <c r="U233" s="281"/>
      <c r="V233" s="281" t="str">
        <f>IF(HLOOKUP(V$13,'MP (nominal)'!$D$12:$AM$244,ROW()-12,FALSE)="","",HLOOKUP(V$13,'MP (nominal)'!$D$12:$AM$244,ROW()-12,FALSE))</f>
        <v/>
      </c>
      <c r="W233" s="281" t="str">
        <f>IF(HLOOKUP(W$13,'MP (nominal)'!$D$12:$AM$244,ROW()-12,FALSE)="","",HLOOKUP(W$13,'MP (nominal)'!$D$12:$AM$244,ROW()-12,FALSE))</f>
        <v/>
      </c>
      <c r="X233" s="281" t="str">
        <f>IF(HLOOKUP(X$13,'MP (nominal)'!$D$12:$AM$244,ROW()-12,FALSE)="","",HLOOKUP(X$13,'MP (nominal)'!$D$12:$AM$244,ROW()-12,FALSE))</f>
        <v/>
      </c>
      <c r="Y233" s="281"/>
      <c r="Z233" s="281" t="str">
        <f>IF(HLOOKUP(Z$13,'MP (nominal)'!$D$12:$AM$244,ROW()-12,FALSE)="","",HLOOKUP(Z$13,'MP (nominal)'!$D$12:$AM$244,ROW()-12,FALSE)*VLOOKUP($C233,CPI!$B$9:$I$63,8))</f>
        <v/>
      </c>
      <c r="AA233" s="281" t="str">
        <f>IF(HLOOKUP(AA$13,'MP (nominal)'!$D$12:$AM$244,ROW()-12,FALSE)="","",HLOOKUP(AA$13,'MP (nominal)'!$D$12:$AM$244,ROW()-12,FALSE))</f>
        <v/>
      </c>
      <c r="AB233" s="281" t="str">
        <f>IF(HLOOKUP(AB$13,'MP (nominal)'!$D$12:$AM$244,ROW()-12,FALSE)="","",HLOOKUP(AB$13,'MP (nominal)'!$D$12:$AM$244,ROW()-12,FALSE))</f>
        <v/>
      </c>
      <c r="AC233" s="281"/>
      <c r="AD233" s="281" t="str">
        <f>IF(HLOOKUP(AD$13,'MP (nominal)'!$D$12:$AM$244,ROW()-12,FALSE)="","",HLOOKUP(AD$13,'MP (nominal)'!$D$12:$AM$244,ROW()-12,FALSE)*VLOOKUP($C233,CPI!$B$9:$I$63,8))</f>
        <v/>
      </c>
      <c r="AE233" s="31" t="str">
        <f>IF(HLOOKUP(AE$13,'MP (nominal)'!$D$12:$AM$244,ROW()-12,FALSE)="","",HLOOKUP(AE$13,'MP (nominal)'!$D$12:$AM$244,ROW()-12,FALSE))</f>
        <v/>
      </c>
      <c r="AF233" s="31" t="str">
        <f>IF(HLOOKUP(AF$13,'MP (nominal)'!$D$12:$AM$244,ROW()-12,FALSE)="","",HLOOKUP(AF$13,'MP (nominal)'!$D$12:$AM$244,ROW()-12,FALSE))</f>
        <v/>
      </c>
      <c r="AG233" s="281"/>
      <c r="AH233" s="281" t="str">
        <f>IF(HLOOKUP(AH$13,'MP (nominal)'!$D$12:$AM$244,ROW()-12,FALSE)="","",HLOOKUP(AH$13,'MP (nominal)'!$D$12:$AM$244,ROW()-12,FALSE)*VLOOKUP($C233,CPI!$B$9:$I$63,8))</f>
        <v/>
      </c>
      <c r="AI233" s="31" t="str">
        <f>IF(HLOOKUP(AI$13,'MP (nominal)'!$D$12:$AM$244,ROW()-12,FALSE)="","",HLOOKUP(AI$13,'MP (nominal)'!$D$12:$AM$244,ROW()-12,FALSE))</f>
        <v/>
      </c>
      <c r="AJ233" s="31" t="str">
        <f>IF(HLOOKUP(AJ$13,'MP (nominal)'!$D$12:$AM$244,ROW()-12,FALSE)="","",HLOOKUP(AJ$13,'MP (nominal)'!$D$12:$AM$244,ROW()-12,FALSE))</f>
        <v/>
      </c>
      <c r="AK233" s="281"/>
      <c r="AL233" s="281" t="str">
        <f>IF(HLOOKUP(AL$13,'MP (nominal)'!$D$12:$AM$244,ROW()-12,FALSE)="","",HLOOKUP(AL$13,'MP (nominal)'!$D$12:$AM$244,ROW()-12,FALSE)*VLOOKUP($C233,CPI!$B$9:$I$63,8))</f>
        <v/>
      </c>
      <c r="AM233" s="31" t="str">
        <f>IF(HLOOKUP(AM$13,'MP (nominal)'!$D$12:$AM$244,ROW()-12,FALSE)="","",HLOOKUP(AM$13,'MP (nominal)'!$D$12:$AM$244,ROW()-12,FALSE))</f>
        <v/>
      </c>
      <c r="AN233" s="31" t="str">
        <f>IF(HLOOKUP(AN$13,'MP (nominal)'!$D$12:$AM$244,ROW()-12,FALSE)="","",HLOOKUP(AN$13,'MP (nominal)'!$D$12:$AM$244,ROW()-12,FALSE))</f>
        <v/>
      </c>
      <c r="AO233" s="281"/>
      <c r="AP233" s="281" t="str">
        <f>IF(HLOOKUP(AP$13,'MP (nominal)'!$D$12:$AM$244,ROW()-12,FALSE)="","",HLOOKUP(AP$13,'MP (nominal)'!$D$12:$AM$244,ROW()-12,FALSE)*VLOOKUP($C233,CPI!$B$9:$I$63,8))</f>
        <v/>
      </c>
      <c r="AQ233" s="31" t="str">
        <f>IF(HLOOKUP(AQ$13,'MP (nominal)'!$D$12:$AM$244,ROW()-12,FALSE)="","",HLOOKUP(AQ$13,'MP (nominal)'!$D$12:$AM$244,ROW()-12,FALSE))</f>
        <v/>
      </c>
      <c r="AR233" s="281" t="str">
        <f>IF(HLOOKUP(AR$13,'MP (nominal)'!$D$12:$AM$244,ROW()-12,FALSE)="","",HLOOKUP(AR$13,'MP (nominal)'!$D$12:$AM$244,ROW()-12,FALSE))</f>
        <v/>
      </c>
    </row>
    <row r="234" spans="1:44" s="278" customFormat="1">
      <c r="A234" s="271">
        <f>References!G285</f>
        <v>626</v>
      </c>
      <c r="B234" s="292" t="s">
        <v>56</v>
      </c>
      <c r="C234" s="284">
        <v>2008</v>
      </c>
      <c r="D234" s="27" t="str">
        <f>IF(HLOOKUP(D$13,'MP (nominal)'!$D$12:$AM$244,ROW()-12,FALSE)="","",HLOOKUP(D$13,'MP (nominal)'!$D$12:$AM$244,ROW()-12,FALSE))</f>
        <v/>
      </c>
      <c r="E234" s="281" t="str">
        <f>IF(HLOOKUP(E$13,'MP (nominal)'!$D$12:$AM$244,ROW()-12,FALSE)="","",HLOOKUP(E$13,'MP (nominal)'!$D$12:$AM$244,ROW()-12,FALSE))</f>
        <v/>
      </c>
      <c r="F234" s="27" t="str">
        <f>IF(HLOOKUP(F$13,'MP (nominal)'!$D$12:$AM$244,ROW()-12,FALSE)="","",HLOOKUP(F$13,'MP (nominal)'!$D$12:$AM$244,ROW()-12,FALSE))</f>
        <v/>
      </c>
      <c r="G234" s="281" t="str">
        <f>IF(HLOOKUP(G$13,'MP (nominal)'!$D$12:$AM$244,ROW()-12,FALSE)="","",HLOOKUP(G$13,'MP (nominal)'!$D$12:$AM$244,ROW()-12,FALSE))</f>
        <v/>
      </c>
      <c r="H234" s="27" t="str">
        <f>IF(HLOOKUP(H$13,'MP (nominal)'!$D$12:$AM$244,ROW()-12,FALSE)="","",HLOOKUP(H$13,'MP (nominal)'!$D$12:$AM$244,ROW()-12,FALSE))</f>
        <v/>
      </c>
      <c r="I234" s="31" t="str">
        <f>IF(HLOOKUP(I$13,'MP (nominal)'!$D$12:$AM$244,ROW()-12,FALSE)="","",HLOOKUP(I$13,'MP (nominal)'!$D$12:$AM$244,ROW()-12,FALSE))</f>
        <v/>
      </c>
      <c r="J234" s="31" t="str">
        <f>IF(HLOOKUP(J$13,'MP (nominal)'!$D$12:$AM$244,ROW()-12,FALSE)="","",HLOOKUP(J$13,'MP (nominal)'!$D$12:$AM$244,ROW()-12,FALSE))</f>
        <v/>
      </c>
      <c r="K234" s="281"/>
      <c r="L234" s="27" t="str">
        <f>IF(HLOOKUP(L$13,'MP (nominal)'!$D$12:$AM$244,ROW()-12,FALSE)="","",HLOOKUP(L$13,'MP (nominal)'!$D$12:$AM$244,ROW()-12,FALSE))</f>
        <v/>
      </c>
      <c r="M234" s="283" t="str">
        <f>IF(HLOOKUP(M$13,'MP (nominal)'!$D$12:$AM$244,ROW()-12,FALSE)="","",HLOOKUP(M$13,'MP (nominal)'!$D$12:$AM$244,ROW()-12,FALSE))</f>
        <v/>
      </c>
      <c r="N234" s="35"/>
      <c r="O234" s="27" t="str">
        <f>IF(HLOOKUP(O$13,'MP (nominal)'!$D$12:$AM$244,ROW()-12,FALSE)="","",HLOOKUP(O$13,'MP (nominal)'!$D$12:$AM$244,ROW()-12,FALSE))</f>
        <v/>
      </c>
      <c r="P234" s="31"/>
      <c r="Q234" s="281"/>
      <c r="R234" s="281" t="str">
        <f>IF(HLOOKUP(R$13,'MP (nominal)'!$D$12:$AM$244,ROW()-12,FALSE)="","",HLOOKUP(R$13,'MP (nominal)'!$D$12:$AM$244,ROW()-12,FALSE))</f>
        <v/>
      </c>
      <c r="S234" s="281" t="str">
        <f>IF(HLOOKUP(S$13,'MP (nominal)'!$D$12:$AM$244,ROW()-12,FALSE)="","",HLOOKUP(S$13,'MP (nominal)'!$D$12:$AM$244,ROW()-12,FALSE))</f>
        <v/>
      </c>
      <c r="T234" s="281" t="str">
        <f>IF(HLOOKUP(T$13,'MP (nominal)'!$D$12:$AM$244,ROW()-12,FALSE)="","",HLOOKUP(T$13,'MP (nominal)'!$D$12:$AM$244,ROW()-12,FALSE))</f>
        <v/>
      </c>
      <c r="U234" s="281"/>
      <c r="V234" s="281" t="str">
        <f>IF(HLOOKUP(V$13,'MP (nominal)'!$D$12:$AM$244,ROW()-12,FALSE)="","",HLOOKUP(V$13,'MP (nominal)'!$D$12:$AM$244,ROW()-12,FALSE))</f>
        <v/>
      </c>
      <c r="W234" s="281" t="str">
        <f>IF(HLOOKUP(W$13,'MP (nominal)'!$D$12:$AM$244,ROW()-12,FALSE)="","",HLOOKUP(W$13,'MP (nominal)'!$D$12:$AM$244,ROW()-12,FALSE))</f>
        <v/>
      </c>
      <c r="X234" s="281" t="str">
        <f>IF(HLOOKUP(X$13,'MP (nominal)'!$D$12:$AM$244,ROW()-12,FALSE)="","",HLOOKUP(X$13,'MP (nominal)'!$D$12:$AM$244,ROW()-12,FALSE))</f>
        <v/>
      </c>
      <c r="Y234" s="281"/>
      <c r="Z234" s="281" t="str">
        <f>IF(HLOOKUP(Z$13,'MP (nominal)'!$D$12:$AM$244,ROW()-12,FALSE)="","",HLOOKUP(Z$13,'MP (nominal)'!$D$12:$AM$244,ROW()-12,FALSE)*VLOOKUP($C234,CPI!$B$9:$I$63,8))</f>
        <v/>
      </c>
      <c r="AA234" s="281" t="str">
        <f>IF(HLOOKUP(AA$13,'MP (nominal)'!$D$12:$AM$244,ROW()-12,FALSE)="","",HLOOKUP(AA$13,'MP (nominal)'!$D$12:$AM$244,ROW()-12,FALSE))</f>
        <v/>
      </c>
      <c r="AB234" s="281" t="str">
        <f>IF(HLOOKUP(AB$13,'MP (nominal)'!$D$12:$AM$244,ROW()-12,FALSE)="","",HLOOKUP(AB$13,'MP (nominal)'!$D$12:$AM$244,ROW()-12,FALSE))</f>
        <v/>
      </c>
      <c r="AC234" s="281"/>
      <c r="AD234" s="281" t="str">
        <f>IF(HLOOKUP(AD$13,'MP (nominal)'!$D$12:$AM$244,ROW()-12,FALSE)="","",HLOOKUP(AD$13,'MP (nominal)'!$D$12:$AM$244,ROW()-12,FALSE)*VLOOKUP($C234,CPI!$B$9:$I$63,8))</f>
        <v/>
      </c>
      <c r="AE234" s="31" t="str">
        <f>IF(HLOOKUP(AE$13,'MP (nominal)'!$D$12:$AM$244,ROW()-12,FALSE)="","",HLOOKUP(AE$13,'MP (nominal)'!$D$12:$AM$244,ROW()-12,FALSE))</f>
        <v/>
      </c>
      <c r="AF234" s="31" t="str">
        <f>IF(HLOOKUP(AF$13,'MP (nominal)'!$D$12:$AM$244,ROW()-12,FALSE)="","",HLOOKUP(AF$13,'MP (nominal)'!$D$12:$AM$244,ROW()-12,FALSE))</f>
        <v/>
      </c>
      <c r="AG234" s="281"/>
      <c r="AH234" s="281" t="str">
        <f>IF(HLOOKUP(AH$13,'MP (nominal)'!$D$12:$AM$244,ROW()-12,FALSE)="","",HLOOKUP(AH$13,'MP (nominal)'!$D$12:$AM$244,ROW()-12,FALSE)*VLOOKUP($C234,CPI!$B$9:$I$63,8))</f>
        <v/>
      </c>
      <c r="AI234" s="31" t="str">
        <f>IF(HLOOKUP(AI$13,'MP (nominal)'!$D$12:$AM$244,ROW()-12,FALSE)="","",HLOOKUP(AI$13,'MP (nominal)'!$D$12:$AM$244,ROW()-12,FALSE))</f>
        <v/>
      </c>
      <c r="AJ234" s="31" t="str">
        <f>IF(HLOOKUP(AJ$13,'MP (nominal)'!$D$12:$AM$244,ROW()-12,FALSE)="","",HLOOKUP(AJ$13,'MP (nominal)'!$D$12:$AM$244,ROW()-12,FALSE))</f>
        <v/>
      </c>
      <c r="AK234" s="281"/>
      <c r="AL234" s="281" t="str">
        <f>IF(HLOOKUP(AL$13,'MP (nominal)'!$D$12:$AM$244,ROW()-12,FALSE)="","",HLOOKUP(AL$13,'MP (nominal)'!$D$12:$AM$244,ROW()-12,FALSE)*VLOOKUP($C234,CPI!$B$9:$I$63,8))</f>
        <v/>
      </c>
      <c r="AM234" s="31" t="str">
        <f>IF(HLOOKUP(AM$13,'MP (nominal)'!$D$12:$AM$244,ROW()-12,FALSE)="","",HLOOKUP(AM$13,'MP (nominal)'!$D$12:$AM$244,ROW()-12,FALSE))</f>
        <v/>
      </c>
      <c r="AN234" s="31" t="str">
        <f>IF(HLOOKUP(AN$13,'MP (nominal)'!$D$12:$AM$244,ROW()-12,FALSE)="","",HLOOKUP(AN$13,'MP (nominal)'!$D$12:$AM$244,ROW()-12,FALSE))</f>
        <v/>
      </c>
      <c r="AO234" s="281"/>
      <c r="AP234" s="281" t="str">
        <f>IF(HLOOKUP(AP$13,'MP (nominal)'!$D$12:$AM$244,ROW()-12,FALSE)="","",HLOOKUP(AP$13,'MP (nominal)'!$D$12:$AM$244,ROW()-12,FALSE)*VLOOKUP($C234,CPI!$B$9:$I$63,8))</f>
        <v/>
      </c>
      <c r="AQ234" s="31" t="str">
        <f>IF(HLOOKUP(AQ$13,'MP (nominal)'!$D$12:$AM$244,ROW()-12,FALSE)="","",HLOOKUP(AQ$13,'MP (nominal)'!$D$12:$AM$244,ROW()-12,FALSE))</f>
        <v/>
      </c>
      <c r="AR234" s="281" t="str">
        <f>IF(HLOOKUP(AR$13,'MP (nominal)'!$D$12:$AM$244,ROW()-12,FALSE)="","",HLOOKUP(AR$13,'MP (nominal)'!$D$12:$AM$244,ROW()-12,FALSE))</f>
        <v/>
      </c>
    </row>
    <row r="235" spans="1:44" s="278" customFormat="1">
      <c r="A235" s="271">
        <f>References!H285</f>
        <v>627</v>
      </c>
      <c r="B235" s="292" t="s">
        <v>56</v>
      </c>
      <c r="C235" s="284">
        <v>2009</v>
      </c>
      <c r="D235" s="27">
        <f>IF(HLOOKUP(D$13,'MP (nominal)'!$D$12:$AM$244,ROW()-12,FALSE)="","",HLOOKUP(D$13,'MP (nominal)'!$D$12:$AM$244,ROW()-12,FALSE))</f>
        <v>1771.5</v>
      </c>
      <c r="E235" s="281">
        <f>IF(HLOOKUP(E$13,'MP (nominal)'!$D$12:$AM$244,ROW()-12,FALSE)="","",HLOOKUP(E$13,'MP (nominal)'!$D$12:$AM$244,ROW()-12,FALSE))</f>
        <v>90</v>
      </c>
      <c r="F235" s="27">
        <f>IF(HLOOKUP(F$13,'MP (nominal)'!$D$12:$AM$244,ROW()-12,FALSE)="","",HLOOKUP(F$13,'MP (nominal)'!$D$12:$AM$244,ROW()-12,FALSE))</f>
        <v>2818.2</v>
      </c>
      <c r="G235" s="281">
        <f>IF(HLOOKUP(G$13,'MP (nominal)'!$D$12:$AM$244,ROW()-12,FALSE)="","",HLOOKUP(G$13,'MP (nominal)'!$D$12:$AM$244,ROW()-12,FALSE))</f>
        <v>293</v>
      </c>
      <c r="H235" s="27">
        <f>IF(HLOOKUP(H$13,'MP (nominal)'!$D$12:$AM$244,ROW()-12,FALSE)="","",HLOOKUP(H$13,'MP (nominal)'!$D$12:$AM$244,ROW()-12,FALSE))</f>
        <v>4589.7</v>
      </c>
      <c r="I235" s="31">
        <f>IF(HLOOKUP(I$13,'MP (nominal)'!$D$12:$AM$244,ROW()-12,FALSE)="","",HLOOKUP(I$13,'MP (nominal)'!$D$12:$AM$244,ROW()-12,FALSE))</f>
        <v>383</v>
      </c>
      <c r="J235" s="31">
        <f>IF(HLOOKUP(J$13,'MP (nominal)'!$D$12:$AM$244,ROW()-12,FALSE)="","",HLOOKUP(J$13,'MP (nominal)'!$D$12:$AM$244,ROW()-12,FALSE))</f>
        <v>1772</v>
      </c>
      <c r="K235" s="281"/>
      <c r="L235" s="27">
        <f>IF(HLOOKUP(L$13,'MP (nominal)'!$D$12:$AM$244,ROW()-12,FALSE)="","",HLOOKUP(L$13,'MP (nominal)'!$D$12:$AM$244,ROW()-12,FALSE))</f>
        <v>529</v>
      </c>
      <c r="M235" s="283">
        <f>IF(HLOOKUP(M$13,'MP (nominal)'!$D$12:$AM$244,ROW()-12,FALSE)="","",HLOOKUP(M$13,'MP (nominal)'!$D$12:$AM$244,ROW()-12,FALSE))</f>
        <v>1603.075</v>
      </c>
      <c r="N235" s="35"/>
      <c r="O235" s="27">
        <f>IF(HLOOKUP(O$13,'MP (nominal)'!$D$12:$AM$244,ROW()-12,FALSE)="","",HLOOKUP(O$13,'MP (nominal)'!$D$12:$AM$244,ROW()-12,FALSE))</f>
        <v>162900</v>
      </c>
      <c r="P235" s="31"/>
      <c r="Q235" s="281"/>
      <c r="R235" s="281">
        <f>IF(HLOOKUP(R$13,'MP (nominal)'!$D$12:$AM$244,ROW()-12,FALSE)="","",HLOOKUP(R$13,'MP (nominal)'!$D$12:$AM$244,ROW()-12,FALSE))</f>
        <v>26.3</v>
      </c>
      <c r="S235" s="281">
        <f>IF(HLOOKUP(S$13,'MP (nominal)'!$D$12:$AM$244,ROW()-12,FALSE)="","",HLOOKUP(S$13,'MP (nominal)'!$D$12:$AM$244,ROW()-12,FALSE))</f>
        <v>0.56999999999999995</v>
      </c>
      <c r="T235" s="281">
        <f>IF(HLOOKUP(T$13,'MP (nominal)'!$D$12:$AM$244,ROW()-12,FALSE)="","",HLOOKUP(T$13,'MP (nominal)'!$D$12:$AM$244,ROW()-12,FALSE))</f>
        <v>25.78</v>
      </c>
      <c r="U235" s="281"/>
      <c r="V235" s="281">
        <f>IF(HLOOKUP(V$13,'MP (nominal)'!$D$12:$AM$244,ROW()-12,FALSE)="","",HLOOKUP(V$13,'MP (nominal)'!$D$12:$AM$244,ROW()-12,FALSE))</f>
        <v>0.38800000000000001</v>
      </c>
      <c r="W235" s="281">
        <f>IF(HLOOKUP(W$13,'MP (nominal)'!$D$12:$AM$244,ROW()-12,FALSE)="","",HLOOKUP(W$13,'MP (nominal)'!$D$12:$AM$244,ROW()-12,FALSE))</f>
        <v>5.0000000000000001E-3</v>
      </c>
      <c r="X235" s="281">
        <f>IF(HLOOKUP(X$13,'MP (nominal)'!$D$12:$AM$244,ROW()-12,FALSE)="","",HLOOKUP(X$13,'MP (nominal)'!$D$12:$AM$244,ROW()-12,FALSE))</f>
        <v>0.38300000000000001</v>
      </c>
      <c r="Y235" s="281"/>
      <c r="Z235" s="281">
        <f>IF(HLOOKUP(Z$13,'MP (nominal)'!$D$12:$AM$244,ROW()-12,FALSE)="","",HLOOKUP(Z$13,'MP (nominal)'!$D$12:$AM$244,ROW()-12,FALSE)*VLOOKUP($C235,CPI!$B$9:$I$63,8))</f>
        <v>57801.310963552729</v>
      </c>
      <c r="AA235" s="281">
        <f>IF(HLOOKUP(AA$13,'MP (nominal)'!$D$12:$AM$244,ROW()-12,FALSE)="","",HLOOKUP(AA$13,'MP (nominal)'!$D$12:$AM$244,ROW()-12,FALSE))</f>
        <v>737476</v>
      </c>
      <c r="AB235" s="281">
        <f>IF(HLOOKUP(AB$13,'MP (nominal)'!$D$12:$AM$244,ROW()-12,FALSE)="","",HLOOKUP(AB$13,'MP (nominal)'!$D$12:$AM$244,ROW()-12,FALSE))</f>
        <v>150575</v>
      </c>
      <c r="AC235" s="281"/>
      <c r="AD235" s="281">
        <f>IF(HLOOKUP(AD$13,'MP (nominal)'!$D$12:$AM$244,ROW()-12,FALSE)="","",HLOOKUP(AD$13,'MP (nominal)'!$D$12:$AM$244,ROW()-12,FALSE)*VLOOKUP($C235,CPI!$B$9:$I$63,8))</f>
        <v>12134.224273182783</v>
      </c>
      <c r="AE235" s="31">
        <f>IF(HLOOKUP(AE$13,'MP (nominal)'!$D$12:$AM$244,ROW()-12,FALSE)="","",HLOOKUP(AE$13,'MP (nominal)'!$D$12:$AM$244,ROW()-12,FALSE))</f>
        <v>260835</v>
      </c>
      <c r="AF235" s="31">
        <f>IF(HLOOKUP(AF$13,'MP (nominal)'!$D$12:$AM$244,ROW()-12,FALSE)="","",HLOOKUP(AF$13,'MP (nominal)'!$D$12:$AM$244,ROW()-12,FALSE))</f>
        <v>11121</v>
      </c>
      <c r="AG235" s="281"/>
      <c r="AH235" s="281">
        <f>IF(HLOOKUP(AH$13,'MP (nominal)'!$D$12:$AM$244,ROW()-12,FALSE)="","",HLOOKUP(AH$13,'MP (nominal)'!$D$12:$AM$244,ROW()-12,FALSE)*VLOOKUP($C235,CPI!$B$9:$I$63,8))</f>
        <v>20218.748144141664</v>
      </c>
      <c r="AI235" s="31">
        <f>IF(HLOOKUP(AI$13,'MP (nominal)'!$D$12:$AM$244,ROW()-12,FALSE)="","",HLOOKUP(AI$13,'MP (nominal)'!$D$12:$AM$244,ROW()-12,FALSE))</f>
        <v>551674</v>
      </c>
      <c r="AJ235" s="31">
        <f>IF(HLOOKUP(AJ$13,'MP (nominal)'!$D$12:$AM$244,ROW()-12,FALSE)="","",HLOOKUP(AJ$13,'MP (nominal)'!$D$12:$AM$244,ROW()-12,FALSE))</f>
        <v>1199</v>
      </c>
      <c r="AK235" s="281"/>
      <c r="AL235" s="281">
        <f>IF(HLOOKUP(AL$13,'MP (nominal)'!$D$12:$AM$244,ROW()-12,FALSE)="","",HLOOKUP(AL$13,'MP (nominal)'!$D$12:$AM$244,ROW()-12,FALSE)*VLOOKUP($C235,CPI!$B$9:$I$63,8))</f>
        <v>1369.3257558102816</v>
      </c>
      <c r="AM235" s="31">
        <f>IF(HLOOKUP(AM$13,'MP (nominal)'!$D$12:$AM$244,ROW()-12,FALSE)="","",HLOOKUP(AM$13,'MP (nominal)'!$D$12:$AM$244,ROW()-12,FALSE))</f>
        <v>53090</v>
      </c>
      <c r="AN235" s="31">
        <f>IF(HLOOKUP(AN$13,'MP (nominal)'!$D$12:$AM$244,ROW()-12,FALSE)="","",HLOOKUP(AN$13,'MP (nominal)'!$D$12:$AM$244,ROW()-12,FALSE))</f>
        <v>5</v>
      </c>
      <c r="AO235" s="281"/>
      <c r="AP235" s="281">
        <f>IF(HLOOKUP(AP$13,'MP (nominal)'!$D$12:$AM$244,ROW()-12,FALSE)="","",HLOOKUP(AP$13,'MP (nominal)'!$D$12:$AM$244,ROW()-12,FALSE)*VLOOKUP($C235,CPI!$B$9:$I$63,8))</f>
        <v>91523.609032877997</v>
      </c>
      <c r="AQ235" s="31">
        <f>IF(HLOOKUP(AQ$13,'MP (nominal)'!$D$12:$AM$244,ROW()-12,FALSE)="","",HLOOKUP(AQ$13,'MP (nominal)'!$D$12:$AM$244,ROW()-12,FALSE))</f>
        <v>1603075</v>
      </c>
      <c r="AR235" s="281">
        <f>IF(HLOOKUP(AR$13,'MP (nominal)'!$D$12:$AM$244,ROW()-12,FALSE)="","",HLOOKUP(AR$13,'MP (nominal)'!$D$12:$AM$244,ROW()-12,FALSE))</f>
        <v>162900</v>
      </c>
    </row>
    <row r="236" spans="1:44" s="278" customFormat="1">
      <c r="A236" s="271">
        <f>References!I285</f>
        <v>628</v>
      </c>
      <c r="B236" s="292" t="s">
        <v>56</v>
      </c>
      <c r="C236" s="284">
        <v>2010</v>
      </c>
      <c r="D236" s="27">
        <f>IF(HLOOKUP(D$13,'MP (nominal)'!$D$12:$AM$244,ROW()-12,FALSE)="","",HLOOKUP(D$13,'MP (nominal)'!$D$12:$AM$244,ROW()-12,FALSE))</f>
        <v>1772</v>
      </c>
      <c r="E236" s="281">
        <f>IF(HLOOKUP(E$13,'MP (nominal)'!$D$12:$AM$244,ROW()-12,FALSE)="","",HLOOKUP(E$13,'MP (nominal)'!$D$12:$AM$244,ROW()-12,FALSE))</f>
        <v>90</v>
      </c>
      <c r="F236" s="27">
        <f>IF(HLOOKUP(F$13,'MP (nominal)'!$D$12:$AM$244,ROW()-12,FALSE)="","",HLOOKUP(F$13,'MP (nominal)'!$D$12:$AM$244,ROW()-12,FALSE))</f>
        <v>2837.9</v>
      </c>
      <c r="G236" s="281">
        <f>IF(HLOOKUP(G$13,'MP (nominal)'!$D$12:$AM$244,ROW()-12,FALSE)="","",HLOOKUP(G$13,'MP (nominal)'!$D$12:$AM$244,ROW()-12,FALSE))</f>
        <v>296</v>
      </c>
      <c r="H236" s="27">
        <f>IF(HLOOKUP(H$13,'MP (nominal)'!$D$12:$AM$244,ROW()-12,FALSE)="","",HLOOKUP(H$13,'MP (nominal)'!$D$12:$AM$244,ROW()-12,FALSE))</f>
        <v>4609.8999999999996</v>
      </c>
      <c r="I236" s="31">
        <f>IF(HLOOKUP(I$13,'MP (nominal)'!$D$12:$AM$244,ROW()-12,FALSE)="","",HLOOKUP(I$13,'MP (nominal)'!$D$12:$AM$244,ROW()-12,FALSE))</f>
        <v>386</v>
      </c>
      <c r="J236" s="31">
        <f>IF(HLOOKUP(J$13,'MP (nominal)'!$D$12:$AM$244,ROW()-12,FALSE)="","",HLOOKUP(J$13,'MP (nominal)'!$D$12:$AM$244,ROW()-12,FALSE))</f>
        <v>1771.7</v>
      </c>
      <c r="K236" s="281"/>
      <c r="L236" s="27">
        <f>IF(HLOOKUP(L$13,'MP (nominal)'!$D$12:$AM$244,ROW()-12,FALSE)="","",HLOOKUP(L$13,'MP (nominal)'!$D$12:$AM$244,ROW()-12,FALSE))</f>
        <v>565.4</v>
      </c>
      <c r="M236" s="283">
        <f>IF(HLOOKUP(M$13,'MP (nominal)'!$D$12:$AM$244,ROW()-12,FALSE)="","",HLOOKUP(M$13,'MP (nominal)'!$D$12:$AM$244,ROW()-12,FALSE))</f>
        <v>2504</v>
      </c>
      <c r="N236" s="35"/>
      <c r="O236" s="27">
        <f>IF(HLOOKUP(O$13,'MP (nominal)'!$D$12:$AM$244,ROW()-12,FALSE)="","",HLOOKUP(O$13,'MP (nominal)'!$D$12:$AM$244,ROW()-12,FALSE))</f>
        <v>164058</v>
      </c>
      <c r="P236" s="31"/>
      <c r="Q236" s="281"/>
      <c r="R236" s="281">
        <f>IF(HLOOKUP(R$13,'MP (nominal)'!$D$12:$AM$244,ROW()-12,FALSE)="","",HLOOKUP(R$13,'MP (nominal)'!$D$12:$AM$244,ROW()-12,FALSE))</f>
        <v>40.628999999999998</v>
      </c>
      <c r="S236" s="281">
        <f>IF(HLOOKUP(S$13,'MP (nominal)'!$D$12:$AM$244,ROW()-12,FALSE)="","",HLOOKUP(S$13,'MP (nominal)'!$D$12:$AM$244,ROW()-12,FALSE))</f>
        <v>2.94</v>
      </c>
      <c r="T236" s="281">
        <f>IF(HLOOKUP(T$13,'MP (nominal)'!$D$12:$AM$244,ROW()-12,FALSE)="","",HLOOKUP(T$13,'MP (nominal)'!$D$12:$AM$244,ROW()-12,FALSE))</f>
        <v>37.69</v>
      </c>
      <c r="U236" s="281"/>
      <c r="V236" s="281">
        <f>IF(HLOOKUP(V$13,'MP (nominal)'!$D$12:$AM$244,ROW()-12,FALSE)="","",HLOOKUP(V$13,'MP (nominal)'!$D$12:$AM$244,ROW()-12,FALSE))</f>
        <v>0.58299999999999996</v>
      </c>
      <c r="W236" s="281">
        <f>IF(HLOOKUP(W$13,'MP (nominal)'!$D$12:$AM$244,ROW()-12,FALSE)="","",HLOOKUP(W$13,'MP (nominal)'!$D$12:$AM$244,ROW()-12,FALSE))</f>
        <v>0.03</v>
      </c>
      <c r="X236" s="281">
        <f>IF(HLOOKUP(X$13,'MP (nominal)'!$D$12:$AM$244,ROW()-12,FALSE)="","",HLOOKUP(X$13,'MP (nominal)'!$D$12:$AM$244,ROW()-12,FALSE))</f>
        <v>0.56000000000000005</v>
      </c>
      <c r="Y236" s="281"/>
      <c r="Z236" s="281">
        <f>IF(HLOOKUP(Z$13,'MP (nominal)'!$D$12:$AM$244,ROW()-12,FALSE)="","",HLOOKUP(Z$13,'MP (nominal)'!$D$12:$AM$244,ROW()-12,FALSE)*VLOOKUP($C236,CPI!$B$9:$I$63,8))</f>
        <v>97908.334285252335</v>
      </c>
      <c r="AA236" s="281">
        <f>IF(HLOOKUP(AA$13,'MP (nominal)'!$D$12:$AM$244,ROW()-12,FALSE)="","",HLOOKUP(AA$13,'MP (nominal)'!$D$12:$AM$244,ROW()-12,FALSE))</f>
        <v>1221078.7</v>
      </c>
      <c r="AB236" s="281">
        <f>IF(HLOOKUP(AB$13,'MP (nominal)'!$D$12:$AM$244,ROW()-12,FALSE)="","",HLOOKUP(AB$13,'MP (nominal)'!$D$12:$AM$244,ROW()-12,FALSE))</f>
        <v>151715</v>
      </c>
      <c r="AC236" s="281"/>
      <c r="AD236" s="281">
        <f>IF(HLOOKUP(AD$13,'MP (nominal)'!$D$12:$AM$244,ROW()-12,FALSE)="","",HLOOKUP(AD$13,'MP (nominal)'!$D$12:$AM$244,ROW()-12,FALSE)*VLOOKUP($C236,CPI!$B$9:$I$63,8))</f>
        <v>18651.613601897006</v>
      </c>
      <c r="AE236" s="31">
        <f>IF(HLOOKUP(AE$13,'MP (nominal)'!$D$12:$AM$244,ROW()-12,FALSE)="","",HLOOKUP(AE$13,'MP (nominal)'!$D$12:$AM$244,ROW()-12,FALSE))</f>
        <v>390288.17</v>
      </c>
      <c r="AF236" s="31">
        <f>IF(HLOOKUP(AF$13,'MP (nominal)'!$D$12:$AM$244,ROW()-12,FALSE)="","",HLOOKUP(AF$13,'MP (nominal)'!$D$12:$AM$244,ROW()-12,FALSE))</f>
        <v>11107</v>
      </c>
      <c r="AG236" s="281"/>
      <c r="AH236" s="281">
        <f>IF(HLOOKUP(AH$13,'MP (nominal)'!$D$12:$AM$244,ROW()-12,FALSE)="","",HLOOKUP(AH$13,'MP (nominal)'!$D$12:$AM$244,ROW()-12,FALSE)*VLOOKUP($C236,CPI!$B$9:$I$63,8))</f>
        <v>30775.225916574596</v>
      </c>
      <c r="AI236" s="31">
        <f>IF(HLOOKUP(AI$13,'MP (nominal)'!$D$12:$AM$244,ROW()-12,FALSE)="","",HLOOKUP(AI$13,'MP (nominal)'!$D$12:$AM$244,ROW()-12,FALSE))</f>
        <v>847197.32</v>
      </c>
      <c r="AJ236" s="31">
        <f>IF(HLOOKUP(AJ$13,'MP (nominal)'!$D$12:$AM$244,ROW()-12,FALSE)="","",HLOOKUP(AJ$13,'MP (nominal)'!$D$12:$AM$244,ROW()-12,FALSE))</f>
        <v>1231</v>
      </c>
      <c r="AK236" s="281"/>
      <c r="AL236" s="281">
        <f>IF(HLOOKUP(AL$13,'MP (nominal)'!$D$12:$AM$244,ROW()-12,FALSE)="","",HLOOKUP(AL$13,'MP (nominal)'!$D$12:$AM$244,ROW()-12,FALSE)*VLOOKUP($C236,CPI!$B$9:$I$63,8))</f>
        <v>2710.6029855298962</v>
      </c>
      <c r="AM236" s="31">
        <f>IF(HLOOKUP(AM$13,'MP (nominal)'!$D$12:$AM$244,ROW()-12,FALSE)="","",HLOOKUP(AM$13,'MP (nominal)'!$D$12:$AM$244,ROW()-12,FALSE))</f>
        <v>46256.267999999996</v>
      </c>
      <c r="AN236" s="31">
        <f>IF(HLOOKUP(AN$13,'MP (nominal)'!$D$12:$AM$244,ROW()-12,FALSE)="","",HLOOKUP(AN$13,'MP (nominal)'!$D$12:$AM$244,ROW()-12,FALSE))</f>
        <v>5</v>
      </c>
      <c r="AO236" s="281"/>
      <c r="AP236" s="281">
        <f>IF(HLOOKUP(AP$13,'MP (nominal)'!$D$12:$AM$244,ROW()-12,FALSE)="","",HLOOKUP(AP$13,'MP (nominal)'!$D$12:$AM$244,ROW()-12,FALSE)*VLOOKUP($C236,CPI!$B$9:$I$63,8))</f>
        <v>150045.77210261108</v>
      </c>
      <c r="AQ236" s="31">
        <f>IF(HLOOKUP(AQ$13,'MP (nominal)'!$D$12:$AM$244,ROW()-12,FALSE)="","",HLOOKUP(AQ$13,'MP (nominal)'!$D$12:$AM$244,ROW()-12,FALSE))</f>
        <v>2504820.5</v>
      </c>
      <c r="AR236" s="281">
        <f>IF(HLOOKUP(AR$13,'MP (nominal)'!$D$12:$AM$244,ROW()-12,FALSE)="","",HLOOKUP(AR$13,'MP (nominal)'!$D$12:$AM$244,ROW()-12,FALSE))</f>
        <v>164058</v>
      </c>
    </row>
    <row r="237" spans="1:44" s="278" customFormat="1">
      <c r="A237" s="271">
        <f>References!J285</f>
        <v>629</v>
      </c>
      <c r="B237" s="292" t="s">
        <v>56</v>
      </c>
      <c r="C237" s="284">
        <v>2011</v>
      </c>
      <c r="D237" s="27">
        <f>IF(HLOOKUP(D$13,'MP (nominal)'!$D$12:$AM$244,ROW()-12,FALSE)="","",HLOOKUP(D$13,'MP (nominal)'!$D$12:$AM$244,ROW()-12,FALSE))</f>
        <v>1758.9321</v>
      </c>
      <c r="E237" s="281">
        <f>IF(HLOOKUP(E$13,'MP (nominal)'!$D$12:$AM$244,ROW()-12,FALSE)="","",HLOOKUP(E$13,'MP (nominal)'!$D$12:$AM$244,ROW()-12,FALSE))</f>
        <v>90</v>
      </c>
      <c r="F237" s="27">
        <f>IF(HLOOKUP(F$13,'MP (nominal)'!$D$12:$AM$244,ROW()-12,FALSE)="","",HLOOKUP(F$13,'MP (nominal)'!$D$12:$AM$244,ROW()-12,FALSE))</f>
        <v>2845.4897000000001</v>
      </c>
      <c r="G237" s="281">
        <f>IF(HLOOKUP(G$13,'MP (nominal)'!$D$12:$AM$244,ROW()-12,FALSE)="","",HLOOKUP(G$13,'MP (nominal)'!$D$12:$AM$244,ROW()-12,FALSE))</f>
        <v>296</v>
      </c>
      <c r="H237" s="27">
        <f>IF(HLOOKUP(H$13,'MP (nominal)'!$D$12:$AM$244,ROW()-12,FALSE)="","",HLOOKUP(H$13,'MP (nominal)'!$D$12:$AM$244,ROW()-12,FALSE))</f>
        <v>4604.4216999999999</v>
      </c>
      <c r="I237" s="31">
        <f>IF(HLOOKUP(I$13,'MP (nominal)'!$D$12:$AM$244,ROW()-12,FALSE)="","",HLOOKUP(I$13,'MP (nominal)'!$D$12:$AM$244,ROW()-12,FALSE))</f>
        <v>386</v>
      </c>
      <c r="J237" s="31">
        <f>IF(HLOOKUP(J$13,'MP (nominal)'!$D$12:$AM$244,ROW()-12,FALSE)="","",HLOOKUP(J$13,'MP (nominal)'!$D$12:$AM$244,ROW()-12,FALSE))</f>
        <v>1758.9321</v>
      </c>
      <c r="K237" s="281"/>
      <c r="L237" s="27">
        <f>IF(HLOOKUP(L$13,'MP (nominal)'!$D$12:$AM$244,ROW()-12,FALSE)="","",HLOOKUP(L$13,'MP (nominal)'!$D$12:$AM$244,ROW()-12,FALSE))</f>
        <v>570.46</v>
      </c>
      <c r="M237" s="283">
        <f>IF(HLOOKUP(M$13,'MP (nominal)'!$D$12:$AM$244,ROW()-12,FALSE)="","",HLOOKUP(M$13,'MP (nominal)'!$D$12:$AM$244,ROW()-12,FALSE))</f>
        <v>2454.8793999999998</v>
      </c>
      <c r="N237" s="35"/>
      <c r="O237" s="27">
        <f>IF(HLOOKUP(O$13,'MP (nominal)'!$D$12:$AM$244,ROW()-12,FALSE)="","",HLOOKUP(O$13,'MP (nominal)'!$D$12:$AM$244,ROW()-12,FALSE))</f>
        <v>164250</v>
      </c>
      <c r="P237" s="31"/>
      <c r="Q237" s="281"/>
      <c r="R237" s="281">
        <f>IF(HLOOKUP(R$13,'MP (nominal)'!$D$12:$AM$244,ROW()-12,FALSE)="","",HLOOKUP(R$13,'MP (nominal)'!$D$12:$AM$244,ROW()-12,FALSE))</f>
        <v>34.738356000000003</v>
      </c>
      <c r="S237" s="281">
        <f>IF(HLOOKUP(S$13,'MP (nominal)'!$D$12:$AM$244,ROW()-12,FALSE)="","",HLOOKUP(S$13,'MP (nominal)'!$D$12:$AM$244,ROW()-12,FALSE))</f>
        <v>0.76</v>
      </c>
      <c r="T237" s="281">
        <f>IF(HLOOKUP(T$13,'MP (nominal)'!$D$12:$AM$244,ROW()-12,FALSE)="","",HLOOKUP(T$13,'MP (nominal)'!$D$12:$AM$244,ROW()-12,FALSE))</f>
        <v>33.978355999999998</v>
      </c>
      <c r="U237" s="281"/>
      <c r="V237" s="281">
        <f>IF(HLOOKUP(V$13,'MP (nominal)'!$D$12:$AM$244,ROW()-12,FALSE)="","",HLOOKUP(V$13,'MP (nominal)'!$D$12:$AM$244,ROW()-12,FALSE))</f>
        <v>0.53600000000000003</v>
      </c>
      <c r="W237" s="281">
        <f>IF(HLOOKUP(W$13,'MP (nominal)'!$D$12:$AM$244,ROW()-12,FALSE)="","",HLOOKUP(W$13,'MP (nominal)'!$D$12:$AM$244,ROW()-12,FALSE))</f>
        <v>5.0000000000000001E-3</v>
      </c>
      <c r="X237" s="281">
        <f>IF(HLOOKUP(X$13,'MP (nominal)'!$D$12:$AM$244,ROW()-12,FALSE)="","",HLOOKUP(X$13,'MP (nominal)'!$D$12:$AM$244,ROW()-12,FALSE))</f>
        <v>0.53100000000000003</v>
      </c>
      <c r="Y237" s="281"/>
      <c r="Z237" s="281">
        <f>IF(HLOOKUP(Z$13,'MP (nominal)'!$D$12:$AM$244,ROW()-12,FALSE)="","",HLOOKUP(Z$13,'MP (nominal)'!$D$12:$AM$244,ROW()-12,FALSE)*VLOOKUP($C237,CPI!$B$9:$I$63,8))</f>
        <v>95975.591</v>
      </c>
      <c r="AA237" s="281">
        <f>IF(HLOOKUP(AA$13,'MP (nominal)'!$D$12:$AM$244,ROW()-12,FALSE)="","",HLOOKUP(AA$13,'MP (nominal)'!$D$12:$AM$244,ROW()-12,FALSE))</f>
        <v>1164448.3</v>
      </c>
      <c r="AB237" s="281">
        <f>IF(HLOOKUP(AB$13,'MP (nominal)'!$D$12:$AM$244,ROW()-12,FALSE)="","",HLOOKUP(AB$13,'MP (nominal)'!$D$12:$AM$244,ROW()-12,FALSE))</f>
        <v>152379</v>
      </c>
      <c r="AC237" s="281"/>
      <c r="AD237" s="281">
        <f>IF(HLOOKUP(AD$13,'MP (nominal)'!$D$12:$AM$244,ROW()-12,FALSE)="","",HLOOKUP(AD$13,'MP (nominal)'!$D$12:$AM$244,ROW()-12,FALSE)*VLOOKUP($C237,CPI!$B$9:$I$63,8))</f>
        <v>18456.884999999998</v>
      </c>
      <c r="AE237" s="31">
        <f>IF(HLOOKUP(AE$13,'MP (nominal)'!$D$12:$AM$244,ROW()-12,FALSE)="","",HLOOKUP(AE$13,'MP (nominal)'!$D$12:$AM$244,ROW()-12,FALSE))</f>
        <v>380816.93</v>
      </c>
      <c r="AF237" s="31">
        <f>IF(HLOOKUP(AF$13,'MP (nominal)'!$D$12:$AM$244,ROW()-12,FALSE)="","",HLOOKUP(AF$13,'MP (nominal)'!$D$12:$AM$244,ROW()-12,FALSE))</f>
        <v>10831</v>
      </c>
      <c r="AG237" s="281"/>
      <c r="AH237" s="281">
        <f>IF(HLOOKUP(AH$13,'MP (nominal)'!$D$12:$AM$244,ROW()-12,FALSE)="","",HLOOKUP(AH$13,'MP (nominal)'!$D$12:$AM$244,ROW()-12,FALSE)*VLOOKUP($C237,CPI!$B$9:$I$63,8))</f>
        <v>31808.23</v>
      </c>
      <c r="AI237" s="31">
        <f>IF(HLOOKUP(AI$13,'MP (nominal)'!$D$12:$AM$244,ROW()-12,FALSE)="","",HLOOKUP(AI$13,'MP (nominal)'!$D$12:$AM$244,ROW()-12,FALSE))</f>
        <v>835335.47</v>
      </c>
      <c r="AJ237" s="31">
        <f>IF(HLOOKUP(AJ$13,'MP (nominal)'!$D$12:$AM$244,ROW()-12,FALSE)="","",HLOOKUP(AJ$13,'MP (nominal)'!$D$12:$AM$244,ROW()-12,FALSE))</f>
        <v>1035</v>
      </c>
      <c r="AK237" s="281"/>
      <c r="AL237" s="281">
        <f>IF(HLOOKUP(AL$13,'MP (nominal)'!$D$12:$AM$244,ROW()-12,FALSE)="","",HLOOKUP(AL$13,'MP (nominal)'!$D$12:$AM$244,ROW()-12,FALSE)*VLOOKUP($C237,CPI!$B$9:$I$63,8))</f>
        <v>1841.2909999999999</v>
      </c>
      <c r="AM237" s="31">
        <f>IF(HLOOKUP(AM$13,'MP (nominal)'!$D$12:$AM$244,ROW()-12,FALSE)="","",HLOOKUP(AM$13,'MP (nominal)'!$D$12:$AM$244,ROW()-12,FALSE))</f>
        <v>74278.695000000007</v>
      </c>
      <c r="AN237" s="31">
        <f>IF(HLOOKUP(AN$13,'MP (nominal)'!$D$12:$AM$244,ROW()-12,FALSE)="","",HLOOKUP(AN$13,'MP (nominal)'!$D$12:$AM$244,ROW()-12,FALSE))</f>
        <v>5</v>
      </c>
      <c r="AO237" s="281"/>
      <c r="AP237" s="281">
        <f>IF(HLOOKUP(AP$13,'MP (nominal)'!$D$12:$AM$244,ROW()-12,FALSE)="","",HLOOKUP(AP$13,'MP (nominal)'!$D$12:$AM$244,ROW()-12,FALSE)*VLOOKUP($C237,CPI!$B$9:$I$63,8))</f>
        <v>148082</v>
      </c>
      <c r="AQ237" s="31">
        <f>IF(HLOOKUP(AQ$13,'MP (nominal)'!$D$12:$AM$244,ROW()-12,FALSE)="","",HLOOKUP(AQ$13,'MP (nominal)'!$D$12:$AM$244,ROW()-12,FALSE))</f>
        <v>2454879.4</v>
      </c>
      <c r="AR237" s="281">
        <f>IF(HLOOKUP(AR$13,'MP (nominal)'!$D$12:$AM$244,ROW()-12,FALSE)="","",HLOOKUP(AR$13,'MP (nominal)'!$D$12:$AM$244,ROW()-12,FALSE))</f>
        <v>164250</v>
      </c>
    </row>
    <row r="238" spans="1:44" s="278" customFormat="1" hidden="1">
      <c r="A238" s="271">
        <f>References!C286</f>
        <v>645</v>
      </c>
      <c r="B238" s="292" t="s">
        <v>57</v>
      </c>
      <c r="C238" s="284">
        <v>2004</v>
      </c>
      <c r="D238" s="27" t="str">
        <f>IF(HLOOKUP(D$13,'MP (nominal)'!$D$12:$AM$244,ROW()-12,FALSE)="","",HLOOKUP(D$13,'MP (nominal)'!$D$12:$AM$244,ROW()-12,FALSE))</f>
        <v/>
      </c>
      <c r="E238" s="281" t="str">
        <f>IF(HLOOKUP(E$13,'MP (nominal)'!$D$12:$AM$244,ROW()-12,FALSE)="","",HLOOKUP(E$13,'MP (nominal)'!$D$12:$AM$244,ROW()-12,FALSE))</f>
        <v/>
      </c>
      <c r="F238" s="27">
        <f>IF(HLOOKUP(F$13,'MP (nominal)'!$D$12:$AM$244,ROW()-12,FALSE)="","",HLOOKUP(F$13,'MP (nominal)'!$D$12:$AM$244,ROW()-12,FALSE))</f>
        <v>122</v>
      </c>
      <c r="G238" s="281" t="str">
        <f>IF(HLOOKUP(G$13,'MP (nominal)'!$D$12:$AM$244,ROW()-12,FALSE)="","",HLOOKUP(G$13,'MP (nominal)'!$D$12:$AM$244,ROW()-12,FALSE))</f>
        <v/>
      </c>
      <c r="H238" s="27">
        <f>IF(HLOOKUP(H$13,'MP (nominal)'!$D$12:$AM$244,ROW()-12,FALSE)="","",HLOOKUP(H$13,'MP (nominal)'!$D$12:$AM$244,ROW()-12,FALSE))</f>
        <v>1978</v>
      </c>
      <c r="I238" s="31" t="str">
        <f>IF(HLOOKUP(I$13,'MP (nominal)'!$D$12:$AM$244,ROW()-12,FALSE)="","",HLOOKUP(I$13,'MP (nominal)'!$D$12:$AM$244,ROW()-12,FALSE))</f>
        <v/>
      </c>
      <c r="J238" s="31">
        <f>IF(HLOOKUP(J$13,'MP (nominal)'!$D$12:$AM$244,ROW()-12,FALSE)="","",HLOOKUP(J$13,'MP (nominal)'!$D$12:$AM$244,ROW()-12,FALSE))</f>
        <v>1856</v>
      </c>
      <c r="K238" s="281"/>
      <c r="L238" s="27">
        <f>IF(HLOOKUP(L$13,'MP (nominal)'!$D$12:$AM$244,ROW()-12,FALSE)="","",HLOOKUP(L$13,'MP (nominal)'!$D$12:$AM$244,ROW()-12,FALSE))</f>
        <v>36.024000000000001</v>
      </c>
      <c r="M238" s="293">
        <f>IF(HLOOKUP(M$13,'MP (nominal)'!$D$12:$AM$244,ROW()-12,FALSE)="","",HLOOKUP(M$13,'MP (nominal)'!$D$12:$AM$244,ROW()-12,FALSE))</f>
        <v>192.73146499999999</v>
      </c>
      <c r="N238" s="35"/>
      <c r="O238" s="27">
        <f>IF(HLOOKUP(O$13,'MP (nominal)'!$D$12:$AM$244,ROW()-12,FALSE)="","",HLOOKUP(O$13,'MP (nominal)'!$D$12:$AM$244,ROW()-12,FALSE))</f>
        <v>11931</v>
      </c>
      <c r="P238" s="31"/>
      <c r="Q238" s="281"/>
      <c r="R238" s="281">
        <f>IF(HLOOKUP(R$13,'MP (nominal)'!$D$12:$AM$244,ROW()-12,FALSE)="","",HLOOKUP(R$13,'MP (nominal)'!$D$12:$AM$244,ROW()-12,FALSE))</f>
        <v>205.49</v>
      </c>
      <c r="S238" s="281" t="str">
        <f>IF(HLOOKUP(S$13,'MP (nominal)'!$D$12:$AM$244,ROW()-12,FALSE)="","",HLOOKUP(S$13,'MP (nominal)'!$D$12:$AM$244,ROW()-12,FALSE))</f>
        <v/>
      </c>
      <c r="T238" s="281" t="str">
        <f>IF(HLOOKUP(T$13,'MP (nominal)'!$D$12:$AM$244,ROW()-12,FALSE)="","",HLOOKUP(T$13,'MP (nominal)'!$D$12:$AM$244,ROW()-12,FALSE))</f>
        <v/>
      </c>
      <c r="U238" s="281"/>
      <c r="V238" s="281">
        <f>IF(HLOOKUP(V$13,'MP (nominal)'!$D$12:$AM$244,ROW()-12,FALSE)="","",HLOOKUP(V$13,'MP (nominal)'!$D$12:$AM$244,ROW()-12,FALSE))</f>
        <v>2.4</v>
      </c>
      <c r="W238" s="281" t="str">
        <f>IF(HLOOKUP(W$13,'MP (nominal)'!$D$12:$AM$244,ROW()-12,FALSE)="","",HLOOKUP(W$13,'MP (nominal)'!$D$12:$AM$244,ROW()-12,FALSE))</f>
        <v/>
      </c>
      <c r="X238" s="281" t="str">
        <f>IF(HLOOKUP(X$13,'MP (nominal)'!$D$12:$AM$244,ROW()-12,FALSE)="","",HLOOKUP(X$13,'MP (nominal)'!$D$12:$AM$244,ROW()-12,FALSE))</f>
        <v/>
      </c>
      <c r="Y238" s="281"/>
      <c r="Z238" s="281" t="str">
        <f>IF(HLOOKUP(Z$13,'MP (nominal)'!$D$12:$AM$244,ROW()-12,FALSE)="","",HLOOKUP(Z$13,'MP (nominal)'!$D$12:$AM$244,ROW()-12,FALSE)*VLOOKUP($C238,CPI!$B$9:$I$63,8))</f>
        <v/>
      </c>
      <c r="AA238" s="281" t="str">
        <f>IF(HLOOKUP(AA$13,'MP (nominal)'!$D$12:$AM$244,ROW()-12,FALSE)="","",HLOOKUP(AA$13,'MP (nominal)'!$D$12:$AM$244,ROW()-12,FALSE))</f>
        <v/>
      </c>
      <c r="AB238" s="281" t="str">
        <f>IF(HLOOKUP(AB$13,'MP (nominal)'!$D$12:$AM$244,ROW()-12,FALSE)="","",HLOOKUP(AB$13,'MP (nominal)'!$D$12:$AM$244,ROW()-12,FALSE))</f>
        <v/>
      </c>
      <c r="AC238" s="281"/>
      <c r="AD238" s="281" t="str">
        <f>IF(HLOOKUP(AD$13,'MP (nominal)'!$D$12:$AM$244,ROW()-12,FALSE)="","",HLOOKUP(AD$13,'MP (nominal)'!$D$12:$AM$244,ROW()-12,FALSE)*VLOOKUP($C238,CPI!$B$9:$I$63,8))</f>
        <v/>
      </c>
      <c r="AE238" s="31" t="str">
        <f>IF(HLOOKUP(AE$13,'MP (nominal)'!$D$12:$AM$244,ROW()-12,FALSE)="","",HLOOKUP(AE$13,'MP (nominal)'!$D$12:$AM$244,ROW()-12,FALSE))</f>
        <v/>
      </c>
      <c r="AF238" s="31" t="str">
        <f>IF(HLOOKUP(AF$13,'MP (nominal)'!$D$12:$AM$244,ROW()-12,FALSE)="","",HLOOKUP(AF$13,'MP (nominal)'!$D$12:$AM$244,ROW()-12,FALSE))</f>
        <v/>
      </c>
      <c r="AG238" s="281"/>
      <c r="AH238" s="281" t="str">
        <f>IF(HLOOKUP(AH$13,'MP (nominal)'!$D$12:$AM$244,ROW()-12,FALSE)="","",HLOOKUP(AH$13,'MP (nominal)'!$D$12:$AM$244,ROW()-12,FALSE)*VLOOKUP($C238,CPI!$B$9:$I$63,8))</f>
        <v/>
      </c>
      <c r="AI238" s="31" t="str">
        <f>IF(HLOOKUP(AI$13,'MP (nominal)'!$D$12:$AM$244,ROW()-12,FALSE)="","",HLOOKUP(AI$13,'MP (nominal)'!$D$12:$AM$244,ROW()-12,FALSE))</f>
        <v/>
      </c>
      <c r="AJ238" s="31" t="str">
        <f>IF(HLOOKUP(AJ$13,'MP (nominal)'!$D$12:$AM$244,ROW()-12,FALSE)="","",HLOOKUP(AJ$13,'MP (nominal)'!$D$12:$AM$244,ROW()-12,FALSE))</f>
        <v/>
      </c>
      <c r="AK238" s="281"/>
      <c r="AL238" s="281" t="str">
        <f>IF(HLOOKUP(AL$13,'MP (nominal)'!$D$12:$AM$244,ROW()-12,FALSE)="","",HLOOKUP(AL$13,'MP (nominal)'!$D$12:$AM$244,ROW()-12,FALSE)*VLOOKUP($C238,CPI!$B$9:$I$63,8))</f>
        <v/>
      </c>
      <c r="AM238" s="31" t="str">
        <f>IF(HLOOKUP(AM$13,'MP (nominal)'!$D$12:$AM$244,ROW()-12,FALSE)="","",HLOOKUP(AM$13,'MP (nominal)'!$D$12:$AM$244,ROW()-12,FALSE))</f>
        <v/>
      </c>
      <c r="AN238" s="31" t="str">
        <f>IF(HLOOKUP(AN$13,'MP (nominal)'!$D$12:$AM$244,ROW()-12,FALSE)="","",HLOOKUP(AN$13,'MP (nominal)'!$D$12:$AM$244,ROW()-12,FALSE))</f>
        <v/>
      </c>
      <c r="AO238" s="281"/>
      <c r="AP238" s="281" t="str">
        <f>IF(HLOOKUP(AP$13,'MP (nominal)'!$D$12:$AM$244,ROW()-12,FALSE)="","",HLOOKUP(AP$13,'MP (nominal)'!$D$12:$AM$244,ROW()-12,FALSE)*VLOOKUP($C238,CPI!$B$9:$I$63,8))</f>
        <v/>
      </c>
      <c r="AQ238" s="31" t="str">
        <f>IF(HLOOKUP(AQ$13,'MP (nominal)'!$D$12:$AM$244,ROW()-12,FALSE)="","",HLOOKUP(AQ$13,'MP (nominal)'!$D$12:$AM$244,ROW()-12,FALSE))</f>
        <v/>
      </c>
      <c r="AR238" s="281" t="str">
        <f>IF(HLOOKUP(AR$13,'MP (nominal)'!$D$12:$AM$244,ROW()-12,FALSE)="","",HLOOKUP(AR$13,'MP (nominal)'!$D$12:$AM$244,ROW()-12,FALSE))</f>
        <v/>
      </c>
    </row>
    <row r="239" spans="1:44" s="278" customFormat="1" hidden="1">
      <c r="A239" s="271">
        <f>References!D286</f>
        <v>646</v>
      </c>
      <c r="B239" s="292" t="s">
        <v>57</v>
      </c>
      <c r="C239" s="284">
        <v>2005</v>
      </c>
      <c r="D239" s="27" t="str">
        <f>IF(HLOOKUP(D$13,'MP (nominal)'!$D$12:$AM$244,ROW()-12,FALSE)="","",HLOOKUP(D$13,'MP (nominal)'!$D$12:$AM$244,ROW()-12,FALSE))</f>
        <v/>
      </c>
      <c r="E239" s="281" t="str">
        <f>IF(HLOOKUP(E$13,'MP (nominal)'!$D$12:$AM$244,ROW()-12,FALSE)="","",HLOOKUP(E$13,'MP (nominal)'!$D$12:$AM$244,ROW()-12,FALSE))</f>
        <v/>
      </c>
      <c r="F239" s="27">
        <f>IF(HLOOKUP(F$13,'MP (nominal)'!$D$12:$AM$244,ROW()-12,FALSE)="","",HLOOKUP(F$13,'MP (nominal)'!$D$12:$AM$244,ROW()-12,FALSE))</f>
        <v>126</v>
      </c>
      <c r="G239" s="281" t="str">
        <f>IF(HLOOKUP(G$13,'MP (nominal)'!$D$12:$AM$244,ROW()-12,FALSE)="","",HLOOKUP(G$13,'MP (nominal)'!$D$12:$AM$244,ROW()-12,FALSE))</f>
        <v/>
      </c>
      <c r="H239" s="27">
        <f>IF(HLOOKUP(H$13,'MP (nominal)'!$D$12:$AM$244,ROW()-12,FALSE)="","",HLOOKUP(H$13,'MP (nominal)'!$D$12:$AM$244,ROW()-12,FALSE))</f>
        <v>2002</v>
      </c>
      <c r="I239" s="31" t="str">
        <f>IF(HLOOKUP(I$13,'MP (nominal)'!$D$12:$AM$244,ROW()-12,FALSE)="","",HLOOKUP(I$13,'MP (nominal)'!$D$12:$AM$244,ROW()-12,FALSE))</f>
        <v/>
      </c>
      <c r="J239" s="31">
        <f>IF(HLOOKUP(J$13,'MP (nominal)'!$D$12:$AM$244,ROW()-12,FALSE)="","",HLOOKUP(J$13,'MP (nominal)'!$D$12:$AM$244,ROW()-12,FALSE))</f>
        <v>1876</v>
      </c>
      <c r="K239" s="281"/>
      <c r="L239" s="27">
        <f>IF(HLOOKUP(L$13,'MP (nominal)'!$D$12:$AM$244,ROW()-12,FALSE)="","",HLOOKUP(L$13,'MP (nominal)'!$D$12:$AM$244,ROW()-12,FALSE))</f>
        <v>37.171999999999997</v>
      </c>
      <c r="M239" s="293">
        <f>IF(HLOOKUP(M$13,'MP (nominal)'!$D$12:$AM$244,ROW()-12,FALSE)="","",HLOOKUP(M$13,'MP (nominal)'!$D$12:$AM$244,ROW()-12,FALSE))</f>
        <v>196.81777500000001</v>
      </c>
      <c r="N239" s="35"/>
      <c r="O239" s="27">
        <f>IF(HLOOKUP(O$13,'MP (nominal)'!$D$12:$AM$244,ROW()-12,FALSE)="","",HLOOKUP(O$13,'MP (nominal)'!$D$12:$AM$244,ROW()-12,FALSE))</f>
        <v>12031</v>
      </c>
      <c r="P239" s="31"/>
      <c r="Q239" s="281"/>
      <c r="R239" s="281">
        <f>IF(HLOOKUP(R$13,'MP (nominal)'!$D$12:$AM$244,ROW()-12,FALSE)="","",HLOOKUP(R$13,'MP (nominal)'!$D$12:$AM$244,ROW()-12,FALSE))</f>
        <v>372.06</v>
      </c>
      <c r="S239" s="281" t="str">
        <f>IF(HLOOKUP(S$13,'MP (nominal)'!$D$12:$AM$244,ROW()-12,FALSE)="","",HLOOKUP(S$13,'MP (nominal)'!$D$12:$AM$244,ROW()-12,FALSE))</f>
        <v/>
      </c>
      <c r="T239" s="281" t="str">
        <f>IF(HLOOKUP(T$13,'MP (nominal)'!$D$12:$AM$244,ROW()-12,FALSE)="","",HLOOKUP(T$13,'MP (nominal)'!$D$12:$AM$244,ROW()-12,FALSE))</f>
        <v/>
      </c>
      <c r="U239" s="281"/>
      <c r="V239" s="281">
        <f>IF(HLOOKUP(V$13,'MP (nominal)'!$D$12:$AM$244,ROW()-12,FALSE)="","",HLOOKUP(V$13,'MP (nominal)'!$D$12:$AM$244,ROW()-12,FALSE))</f>
        <v>4.2300000000000004</v>
      </c>
      <c r="W239" s="281" t="str">
        <f>IF(HLOOKUP(W$13,'MP (nominal)'!$D$12:$AM$244,ROW()-12,FALSE)="","",HLOOKUP(W$13,'MP (nominal)'!$D$12:$AM$244,ROW()-12,FALSE))</f>
        <v/>
      </c>
      <c r="X239" s="281" t="str">
        <f>IF(HLOOKUP(X$13,'MP (nominal)'!$D$12:$AM$244,ROW()-12,FALSE)="","",HLOOKUP(X$13,'MP (nominal)'!$D$12:$AM$244,ROW()-12,FALSE))</f>
        <v/>
      </c>
      <c r="Y239" s="281"/>
      <c r="Z239" s="281" t="str">
        <f>IF(HLOOKUP(Z$13,'MP (nominal)'!$D$12:$AM$244,ROW()-12,FALSE)="","",HLOOKUP(Z$13,'MP (nominal)'!$D$12:$AM$244,ROW()-12,FALSE)*VLOOKUP($C239,CPI!$B$9:$I$63,8))</f>
        <v/>
      </c>
      <c r="AA239" s="281" t="str">
        <f>IF(HLOOKUP(AA$13,'MP (nominal)'!$D$12:$AM$244,ROW()-12,FALSE)="","",HLOOKUP(AA$13,'MP (nominal)'!$D$12:$AM$244,ROW()-12,FALSE))</f>
        <v/>
      </c>
      <c r="AB239" s="281" t="str">
        <f>IF(HLOOKUP(AB$13,'MP (nominal)'!$D$12:$AM$244,ROW()-12,FALSE)="","",HLOOKUP(AB$13,'MP (nominal)'!$D$12:$AM$244,ROW()-12,FALSE))</f>
        <v/>
      </c>
      <c r="AC239" s="281"/>
      <c r="AD239" s="281" t="str">
        <f>IF(HLOOKUP(AD$13,'MP (nominal)'!$D$12:$AM$244,ROW()-12,FALSE)="","",HLOOKUP(AD$13,'MP (nominal)'!$D$12:$AM$244,ROW()-12,FALSE)*VLOOKUP($C239,CPI!$B$9:$I$63,8))</f>
        <v/>
      </c>
      <c r="AE239" s="31" t="str">
        <f>IF(HLOOKUP(AE$13,'MP (nominal)'!$D$12:$AM$244,ROW()-12,FALSE)="","",HLOOKUP(AE$13,'MP (nominal)'!$D$12:$AM$244,ROW()-12,FALSE))</f>
        <v/>
      </c>
      <c r="AF239" s="31" t="str">
        <f>IF(HLOOKUP(AF$13,'MP (nominal)'!$D$12:$AM$244,ROW()-12,FALSE)="","",HLOOKUP(AF$13,'MP (nominal)'!$D$12:$AM$244,ROW()-12,FALSE))</f>
        <v/>
      </c>
      <c r="AG239" s="281"/>
      <c r="AH239" s="281" t="str">
        <f>IF(HLOOKUP(AH$13,'MP (nominal)'!$D$12:$AM$244,ROW()-12,FALSE)="","",HLOOKUP(AH$13,'MP (nominal)'!$D$12:$AM$244,ROW()-12,FALSE)*VLOOKUP($C239,CPI!$B$9:$I$63,8))</f>
        <v/>
      </c>
      <c r="AI239" s="31" t="str">
        <f>IF(HLOOKUP(AI$13,'MP (nominal)'!$D$12:$AM$244,ROW()-12,FALSE)="","",HLOOKUP(AI$13,'MP (nominal)'!$D$12:$AM$244,ROW()-12,FALSE))</f>
        <v/>
      </c>
      <c r="AJ239" s="31" t="str">
        <f>IF(HLOOKUP(AJ$13,'MP (nominal)'!$D$12:$AM$244,ROW()-12,FALSE)="","",HLOOKUP(AJ$13,'MP (nominal)'!$D$12:$AM$244,ROW()-12,FALSE))</f>
        <v/>
      </c>
      <c r="AK239" s="281"/>
      <c r="AL239" s="281" t="str">
        <f>IF(HLOOKUP(AL$13,'MP (nominal)'!$D$12:$AM$244,ROW()-12,FALSE)="","",HLOOKUP(AL$13,'MP (nominal)'!$D$12:$AM$244,ROW()-12,FALSE)*VLOOKUP($C239,CPI!$B$9:$I$63,8))</f>
        <v/>
      </c>
      <c r="AM239" s="31" t="str">
        <f>IF(HLOOKUP(AM$13,'MP (nominal)'!$D$12:$AM$244,ROW()-12,FALSE)="","",HLOOKUP(AM$13,'MP (nominal)'!$D$12:$AM$244,ROW()-12,FALSE))</f>
        <v/>
      </c>
      <c r="AN239" s="31" t="str">
        <f>IF(HLOOKUP(AN$13,'MP (nominal)'!$D$12:$AM$244,ROW()-12,FALSE)="","",HLOOKUP(AN$13,'MP (nominal)'!$D$12:$AM$244,ROW()-12,FALSE))</f>
        <v/>
      </c>
      <c r="AO239" s="281"/>
      <c r="AP239" s="281" t="str">
        <f>IF(HLOOKUP(AP$13,'MP (nominal)'!$D$12:$AM$244,ROW()-12,FALSE)="","",HLOOKUP(AP$13,'MP (nominal)'!$D$12:$AM$244,ROW()-12,FALSE)*VLOOKUP($C239,CPI!$B$9:$I$63,8))</f>
        <v/>
      </c>
      <c r="AQ239" s="31" t="str">
        <f>IF(HLOOKUP(AQ$13,'MP (nominal)'!$D$12:$AM$244,ROW()-12,FALSE)="","",HLOOKUP(AQ$13,'MP (nominal)'!$D$12:$AM$244,ROW()-12,FALSE))</f>
        <v/>
      </c>
      <c r="AR239" s="281" t="str">
        <f>IF(HLOOKUP(AR$13,'MP (nominal)'!$D$12:$AM$244,ROW()-12,FALSE)="","",HLOOKUP(AR$13,'MP (nominal)'!$D$12:$AM$244,ROW()-12,FALSE))</f>
        <v/>
      </c>
    </row>
    <row r="240" spans="1:44" s="278" customFormat="1" hidden="1">
      <c r="A240" s="271">
        <f>References!E286</f>
        <v>647</v>
      </c>
      <c r="B240" s="292" t="s">
        <v>57</v>
      </c>
      <c r="C240" s="284">
        <v>2006</v>
      </c>
      <c r="D240" s="27" t="str">
        <f>IF(HLOOKUP(D$13,'MP (nominal)'!$D$12:$AM$244,ROW()-12,FALSE)="","",HLOOKUP(D$13,'MP (nominal)'!$D$12:$AM$244,ROW()-12,FALSE))</f>
        <v/>
      </c>
      <c r="E240" s="281" t="str">
        <f>IF(HLOOKUP(E$13,'MP (nominal)'!$D$12:$AM$244,ROW()-12,FALSE)="","",HLOOKUP(E$13,'MP (nominal)'!$D$12:$AM$244,ROW()-12,FALSE))</f>
        <v/>
      </c>
      <c r="F240" s="27">
        <f>IF(HLOOKUP(F$13,'MP (nominal)'!$D$12:$AM$244,ROW()-12,FALSE)="","",HLOOKUP(F$13,'MP (nominal)'!$D$12:$AM$244,ROW()-12,FALSE))</f>
        <v>129</v>
      </c>
      <c r="G240" s="281" t="str">
        <f>IF(HLOOKUP(G$13,'MP (nominal)'!$D$12:$AM$244,ROW()-12,FALSE)="","",HLOOKUP(G$13,'MP (nominal)'!$D$12:$AM$244,ROW()-12,FALSE))</f>
        <v/>
      </c>
      <c r="H240" s="27">
        <f>IF(HLOOKUP(H$13,'MP (nominal)'!$D$12:$AM$244,ROW()-12,FALSE)="","",HLOOKUP(H$13,'MP (nominal)'!$D$12:$AM$244,ROW()-12,FALSE))</f>
        <v>2021</v>
      </c>
      <c r="I240" s="31" t="str">
        <f>IF(HLOOKUP(I$13,'MP (nominal)'!$D$12:$AM$244,ROW()-12,FALSE)="","",HLOOKUP(I$13,'MP (nominal)'!$D$12:$AM$244,ROW()-12,FALSE))</f>
        <v/>
      </c>
      <c r="J240" s="31">
        <f>IF(HLOOKUP(J$13,'MP (nominal)'!$D$12:$AM$244,ROW()-12,FALSE)="","",HLOOKUP(J$13,'MP (nominal)'!$D$12:$AM$244,ROW()-12,FALSE))</f>
        <v>1892</v>
      </c>
      <c r="K240" s="281"/>
      <c r="L240" s="27">
        <f>IF(HLOOKUP(L$13,'MP (nominal)'!$D$12:$AM$244,ROW()-12,FALSE)="","",HLOOKUP(L$13,'MP (nominal)'!$D$12:$AM$244,ROW()-12,FALSE))</f>
        <v>39.292000000000002</v>
      </c>
      <c r="M240" s="293">
        <f>IF(HLOOKUP(M$13,'MP (nominal)'!$D$12:$AM$244,ROW()-12,FALSE)="","",HLOOKUP(M$13,'MP (nominal)'!$D$12:$AM$244,ROW()-12,FALSE))</f>
        <v>210.98400000000001</v>
      </c>
      <c r="N240" s="35"/>
      <c r="O240" s="27">
        <f>IF(HLOOKUP(O$13,'MP (nominal)'!$D$12:$AM$244,ROW()-12,FALSE)="","",HLOOKUP(O$13,'MP (nominal)'!$D$12:$AM$244,ROW()-12,FALSE))</f>
        <v>12010</v>
      </c>
      <c r="P240" s="31"/>
      <c r="Q240" s="281"/>
      <c r="R240" s="281">
        <f>IF(HLOOKUP(R$13,'MP (nominal)'!$D$12:$AM$244,ROW()-12,FALSE)="","",HLOOKUP(R$13,'MP (nominal)'!$D$12:$AM$244,ROW()-12,FALSE))</f>
        <v>151.12</v>
      </c>
      <c r="S240" s="281" t="str">
        <f>IF(HLOOKUP(S$13,'MP (nominal)'!$D$12:$AM$244,ROW()-12,FALSE)="","",HLOOKUP(S$13,'MP (nominal)'!$D$12:$AM$244,ROW()-12,FALSE))</f>
        <v/>
      </c>
      <c r="T240" s="281" t="str">
        <f>IF(HLOOKUP(T$13,'MP (nominal)'!$D$12:$AM$244,ROW()-12,FALSE)="","",HLOOKUP(T$13,'MP (nominal)'!$D$12:$AM$244,ROW()-12,FALSE))</f>
        <v/>
      </c>
      <c r="U240" s="281"/>
      <c r="V240" s="281">
        <f>IF(HLOOKUP(V$13,'MP (nominal)'!$D$12:$AM$244,ROW()-12,FALSE)="","",HLOOKUP(V$13,'MP (nominal)'!$D$12:$AM$244,ROW()-12,FALSE))</f>
        <v>2.04</v>
      </c>
      <c r="W240" s="281" t="str">
        <f>IF(HLOOKUP(W$13,'MP (nominal)'!$D$12:$AM$244,ROW()-12,FALSE)="","",HLOOKUP(W$13,'MP (nominal)'!$D$12:$AM$244,ROW()-12,FALSE))</f>
        <v/>
      </c>
      <c r="X240" s="281" t="str">
        <f>IF(HLOOKUP(X$13,'MP (nominal)'!$D$12:$AM$244,ROW()-12,FALSE)="","",HLOOKUP(X$13,'MP (nominal)'!$D$12:$AM$244,ROW()-12,FALSE))</f>
        <v/>
      </c>
      <c r="Y240" s="281"/>
      <c r="Z240" s="281" t="str">
        <f>IF(HLOOKUP(Z$13,'MP (nominal)'!$D$12:$AM$244,ROW()-12,FALSE)="","",HLOOKUP(Z$13,'MP (nominal)'!$D$12:$AM$244,ROW()-12,FALSE)*VLOOKUP($C240,CPI!$B$9:$I$63,8))</f>
        <v/>
      </c>
      <c r="AA240" s="281" t="str">
        <f>IF(HLOOKUP(AA$13,'MP (nominal)'!$D$12:$AM$244,ROW()-12,FALSE)="","",HLOOKUP(AA$13,'MP (nominal)'!$D$12:$AM$244,ROW()-12,FALSE))</f>
        <v/>
      </c>
      <c r="AB240" s="281" t="str">
        <f>IF(HLOOKUP(AB$13,'MP (nominal)'!$D$12:$AM$244,ROW()-12,FALSE)="","",HLOOKUP(AB$13,'MP (nominal)'!$D$12:$AM$244,ROW()-12,FALSE))</f>
        <v/>
      </c>
      <c r="AC240" s="281"/>
      <c r="AD240" s="281" t="str">
        <f>IF(HLOOKUP(AD$13,'MP (nominal)'!$D$12:$AM$244,ROW()-12,FALSE)="","",HLOOKUP(AD$13,'MP (nominal)'!$D$12:$AM$244,ROW()-12,FALSE)*VLOOKUP($C240,CPI!$B$9:$I$63,8))</f>
        <v/>
      </c>
      <c r="AE240" s="31" t="str">
        <f>IF(HLOOKUP(AE$13,'MP (nominal)'!$D$12:$AM$244,ROW()-12,FALSE)="","",HLOOKUP(AE$13,'MP (nominal)'!$D$12:$AM$244,ROW()-12,FALSE))</f>
        <v/>
      </c>
      <c r="AF240" s="31" t="str">
        <f>IF(HLOOKUP(AF$13,'MP (nominal)'!$D$12:$AM$244,ROW()-12,FALSE)="","",HLOOKUP(AF$13,'MP (nominal)'!$D$12:$AM$244,ROW()-12,FALSE))</f>
        <v/>
      </c>
      <c r="AG240" s="281"/>
      <c r="AH240" s="281" t="str">
        <f>IF(HLOOKUP(AH$13,'MP (nominal)'!$D$12:$AM$244,ROW()-12,FALSE)="","",HLOOKUP(AH$13,'MP (nominal)'!$D$12:$AM$244,ROW()-12,FALSE)*VLOOKUP($C240,CPI!$B$9:$I$63,8))</f>
        <v/>
      </c>
      <c r="AI240" s="31" t="str">
        <f>IF(HLOOKUP(AI$13,'MP (nominal)'!$D$12:$AM$244,ROW()-12,FALSE)="","",HLOOKUP(AI$13,'MP (nominal)'!$D$12:$AM$244,ROW()-12,FALSE))</f>
        <v/>
      </c>
      <c r="AJ240" s="31" t="str">
        <f>IF(HLOOKUP(AJ$13,'MP (nominal)'!$D$12:$AM$244,ROW()-12,FALSE)="","",HLOOKUP(AJ$13,'MP (nominal)'!$D$12:$AM$244,ROW()-12,FALSE))</f>
        <v/>
      </c>
      <c r="AK240" s="281"/>
      <c r="AL240" s="281" t="str">
        <f>IF(HLOOKUP(AL$13,'MP (nominal)'!$D$12:$AM$244,ROW()-12,FALSE)="","",HLOOKUP(AL$13,'MP (nominal)'!$D$12:$AM$244,ROW()-12,FALSE)*VLOOKUP($C240,CPI!$B$9:$I$63,8))</f>
        <v/>
      </c>
      <c r="AM240" s="31" t="str">
        <f>IF(HLOOKUP(AM$13,'MP (nominal)'!$D$12:$AM$244,ROW()-12,FALSE)="","",HLOOKUP(AM$13,'MP (nominal)'!$D$12:$AM$244,ROW()-12,FALSE))</f>
        <v/>
      </c>
      <c r="AN240" s="31" t="str">
        <f>IF(HLOOKUP(AN$13,'MP (nominal)'!$D$12:$AM$244,ROW()-12,FALSE)="","",HLOOKUP(AN$13,'MP (nominal)'!$D$12:$AM$244,ROW()-12,FALSE))</f>
        <v/>
      </c>
      <c r="AO240" s="281"/>
      <c r="AP240" s="281" t="str">
        <f>IF(HLOOKUP(AP$13,'MP (nominal)'!$D$12:$AM$244,ROW()-12,FALSE)="","",HLOOKUP(AP$13,'MP (nominal)'!$D$12:$AM$244,ROW()-12,FALSE)*VLOOKUP($C240,CPI!$B$9:$I$63,8))</f>
        <v/>
      </c>
      <c r="AQ240" s="31" t="str">
        <f>IF(HLOOKUP(AQ$13,'MP (nominal)'!$D$12:$AM$244,ROW()-12,FALSE)="","",HLOOKUP(AQ$13,'MP (nominal)'!$D$12:$AM$244,ROW()-12,FALSE))</f>
        <v/>
      </c>
      <c r="AR240" s="281" t="str">
        <f>IF(HLOOKUP(AR$13,'MP (nominal)'!$D$12:$AM$244,ROW()-12,FALSE)="","",HLOOKUP(AR$13,'MP (nominal)'!$D$12:$AM$244,ROW()-12,FALSE))</f>
        <v/>
      </c>
    </row>
    <row r="241" spans="1:44" s="278" customFormat="1" hidden="1">
      <c r="A241" s="271">
        <f>References!F286</f>
        <v>648</v>
      </c>
      <c r="B241" s="292" t="s">
        <v>57</v>
      </c>
      <c r="C241" s="284">
        <v>2007</v>
      </c>
      <c r="D241" s="27" t="str">
        <f>IF(HLOOKUP(D$13,'MP (nominal)'!$D$12:$AM$244,ROW()-12,FALSE)="","",HLOOKUP(D$13,'MP (nominal)'!$D$12:$AM$244,ROW()-12,FALSE))</f>
        <v/>
      </c>
      <c r="E241" s="281" t="str">
        <f>IF(HLOOKUP(E$13,'MP (nominal)'!$D$12:$AM$244,ROW()-12,FALSE)="","",HLOOKUP(E$13,'MP (nominal)'!$D$12:$AM$244,ROW()-12,FALSE))</f>
        <v/>
      </c>
      <c r="F241" s="27">
        <f>IF(HLOOKUP(F$13,'MP (nominal)'!$D$12:$AM$244,ROW()-12,FALSE)="","",HLOOKUP(F$13,'MP (nominal)'!$D$12:$AM$244,ROW()-12,FALSE))</f>
        <v>148</v>
      </c>
      <c r="G241" s="281" t="str">
        <f>IF(HLOOKUP(G$13,'MP (nominal)'!$D$12:$AM$244,ROW()-12,FALSE)="","",HLOOKUP(G$13,'MP (nominal)'!$D$12:$AM$244,ROW()-12,FALSE))</f>
        <v/>
      </c>
      <c r="H241" s="27">
        <f>IF(HLOOKUP(H$13,'MP (nominal)'!$D$12:$AM$244,ROW()-12,FALSE)="","",HLOOKUP(H$13,'MP (nominal)'!$D$12:$AM$244,ROW()-12,FALSE))</f>
        <v>2085</v>
      </c>
      <c r="I241" s="31" t="str">
        <f>IF(HLOOKUP(I$13,'MP (nominal)'!$D$12:$AM$244,ROW()-12,FALSE)="","",HLOOKUP(I$13,'MP (nominal)'!$D$12:$AM$244,ROW()-12,FALSE))</f>
        <v/>
      </c>
      <c r="J241" s="31">
        <f>IF(HLOOKUP(J$13,'MP (nominal)'!$D$12:$AM$244,ROW()-12,FALSE)="","",HLOOKUP(J$13,'MP (nominal)'!$D$12:$AM$244,ROW()-12,FALSE))</f>
        <v>1937</v>
      </c>
      <c r="K241" s="281"/>
      <c r="L241" s="27">
        <f>IF(HLOOKUP(L$13,'MP (nominal)'!$D$12:$AM$244,ROW()-12,FALSE)="","",HLOOKUP(L$13,'MP (nominal)'!$D$12:$AM$244,ROW()-12,FALSE))</f>
        <v>42.103000000000002</v>
      </c>
      <c r="M241" s="293">
        <f>IF(HLOOKUP(M$13,'MP (nominal)'!$D$12:$AM$244,ROW()-12,FALSE)="","",HLOOKUP(M$13,'MP (nominal)'!$D$12:$AM$244,ROW()-12,FALSE))</f>
        <v>215.66679099999999</v>
      </c>
      <c r="N241" s="35"/>
      <c r="O241" s="27">
        <f>IF(HLOOKUP(O$13,'MP (nominal)'!$D$12:$AM$244,ROW()-12,FALSE)="","",HLOOKUP(O$13,'MP (nominal)'!$D$12:$AM$244,ROW()-12,FALSE))</f>
        <v>12192</v>
      </c>
      <c r="P241" s="31"/>
      <c r="Q241" s="281"/>
      <c r="R241" s="281">
        <f>IF(HLOOKUP(R$13,'MP (nominal)'!$D$12:$AM$244,ROW()-12,FALSE)="","",HLOOKUP(R$13,'MP (nominal)'!$D$12:$AM$244,ROW()-12,FALSE))</f>
        <v>309.87</v>
      </c>
      <c r="S241" s="281" t="str">
        <f>IF(HLOOKUP(S$13,'MP (nominal)'!$D$12:$AM$244,ROW()-12,FALSE)="","",HLOOKUP(S$13,'MP (nominal)'!$D$12:$AM$244,ROW()-12,FALSE))</f>
        <v/>
      </c>
      <c r="T241" s="281" t="str">
        <f>IF(HLOOKUP(T$13,'MP (nominal)'!$D$12:$AM$244,ROW()-12,FALSE)="","",HLOOKUP(T$13,'MP (nominal)'!$D$12:$AM$244,ROW()-12,FALSE))</f>
        <v/>
      </c>
      <c r="U241" s="281"/>
      <c r="V241" s="281">
        <f>IF(HLOOKUP(V$13,'MP (nominal)'!$D$12:$AM$244,ROW()-12,FALSE)="","",HLOOKUP(V$13,'MP (nominal)'!$D$12:$AM$244,ROW()-12,FALSE))</f>
        <v>7.88</v>
      </c>
      <c r="W241" s="281" t="str">
        <f>IF(HLOOKUP(W$13,'MP (nominal)'!$D$12:$AM$244,ROW()-12,FALSE)="","",HLOOKUP(W$13,'MP (nominal)'!$D$12:$AM$244,ROW()-12,FALSE))</f>
        <v/>
      </c>
      <c r="X241" s="281" t="str">
        <f>IF(HLOOKUP(X$13,'MP (nominal)'!$D$12:$AM$244,ROW()-12,FALSE)="","",HLOOKUP(X$13,'MP (nominal)'!$D$12:$AM$244,ROW()-12,FALSE))</f>
        <v/>
      </c>
      <c r="Y241" s="281"/>
      <c r="Z241" s="281" t="str">
        <f>IF(HLOOKUP(Z$13,'MP (nominal)'!$D$12:$AM$244,ROW()-12,FALSE)="","",HLOOKUP(Z$13,'MP (nominal)'!$D$12:$AM$244,ROW()-12,FALSE)*VLOOKUP($C241,CPI!$B$9:$I$63,8))</f>
        <v/>
      </c>
      <c r="AA241" s="281" t="str">
        <f>IF(HLOOKUP(AA$13,'MP (nominal)'!$D$12:$AM$244,ROW()-12,FALSE)="","",HLOOKUP(AA$13,'MP (nominal)'!$D$12:$AM$244,ROW()-12,FALSE))</f>
        <v/>
      </c>
      <c r="AB241" s="281" t="str">
        <f>IF(HLOOKUP(AB$13,'MP (nominal)'!$D$12:$AM$244,ROW()-12,FALSE)="","",HLOOKUP(AB$13,'MP (nominal)'!$D$12:$AM$244,ROW()-12,FALSE))</f>
        <v/>
      </c>
      <c r="AC241" s="281"/>
      <c r="AD241" s="281" t="str">
        <f>IF(HLOOKUP(AD$13,'MP (nominal)'!$D$12:$AM$244,ROW()-12,FALSE)="","",HLOOKUP(AD$13,'MP (nominal)'!$D$12:$AM$244,ROW()-12,FALSE)*VLOOKUP($C241,CPI!$B$9:$I$63,8))</f>
        <v/>
      </c>
      <c r="AE241" s="31" t="str">
        <f>IF(HLOOKUP(AE$13,'MP (nominal)'!$D$12:$AM$244,ROW()-12,FALSE)="","",HLOOKUP(AE$13,'MP (nominal)'!$D$12:$AM$244,ROW()-12,FALSE))</f>
        <v/>
      </c>
      <c r="AF241" s="31" t="str">
        <f>IF(HLOOKUP(AF$13,'MP (nominal)'!$D$12:$AM$244,ROW()-12,FALSE)="","",HLOOKUP(AF$13,'MP (nominal)'!$D$12:$AM$244,ROW()-12,FALSE))</f>
        <v/>
      </c>
      <c r="AG241" s="281"/>
      <c r="AH241" s="281" t="str">
        <f>IF(HLOOKUP(AH$13,'MP (nominal)'!$D$12:$AM$244,ROW()-12,FALSE)="","",HLOOKUP(AH$13,'MP (nominal)'!$D$12:$AM$244,ROW()-12,FALSE)*VLOOKUP($C241,CPI!$B$9:$I$63,8))</f>
        <v/>
      </c>
      <c r="AI241" s="31" t="str">
        <f>IF(HLOOKUP(AI$13,'MP (nominal)'!$D$12:$AM$244,ROW()-12,FALSE)="","",HLOOKUP(AI$13,'MP (nominal)'!$D$12:$AM$244,ROW()-12,FALSE))</f>
        <v/>
      </c>
      <c r="AJ241" s="31" t="str">
        <f>IF(HLOOKUP(AJ$13,'MP (nominal)'!$D$12:$AM$244,ROW()-12,FALSE)="","",HLOOKUP(AJ$13,'MP (nominal)'!$D$12:$AM$244,ROW()-12,FALSE))</f>
        <v/>
      </c>
      <c r="AK241" s="281"/>
      <c r="AL241" s="281" t="str">
        <f>IF(HLOOKUP(AL$13,'MP (nominal)'!$D$12:$AM$244,ROW()-12,FALSE)="","",HLOOKUP(AL$13,'MP (nominal)'!$D$12:$AM$244,ROW()-12,FALSE)*VLOOKUP($C241,CPI!$B$9:$I$63,8))</f>
        <v/>
      </c>
      <c r="AM241" s="31" t="str">
        <f>IF(HLOOKUP(AM$13,'MP (nominal)'!$D$12:$AM$244,ROW()-12,FALSE)="","",HLOOKUP(AM$13,'MP (nominal)'!$D$12:$AM$244,ROW()-12,FALSE))</f>
        <v/>
      </c>
      <c r="AN241" s="31" t="str">
        <f>IF(HLOOKUP(AN$13,'MP (nominal)'!$D$12:$AM$244,ROW()-12,FALSE)="","",HLOOKUP(AN$13,'MP (nominal)'!$D$12:$AM$244,ROW()-12,FALSE))</f>
        <v/>
      </c>
      <c r="AO241" s="281"/>
      <c r="AP241" s="281" t="str">
        <f>IF(HLOOKUP(AP$13,'MP (nominal)'!$D$12:$AM$244,ROW()-12,FALSE)="","",HLOOKUP(AP$13,'MP (nominal)'!$D$12:$AM$244,ROW()-12,FALSE)*VLOOKUP($C241,CPI!$B$9:$I$63,8))</f>
        <v/>
      </c>
      <c r="AQ241" s="31" t="str">
        <f>IF(HLOOKUP(AQ$13,'MP (nominal)'!$D$12:$AM$244,ROW()-12,FALSE)="","",HLOOKUP(AQ$13,'MP (nominal)'!$D$12:$AM$244,ROW()-12,FALSE))</f>
        <v/>
      </c>
      <c r="AR241" s="281" t="str">
        <f>IF(HLOOKUP(AR$13,'MP (nominal)'!$D$12:$AM$244,ROW()-12,FALSE)="","",HLOOKUP(AR$13,'MP (nominal)'!$D$12:$AM$244,ROW()-12,FALSE))</f>
        <v/>
      </c>
    </row>
    <row r="242" spans="1:44" s="278" customFormat="1">
      <c r="A242" s="271">
        <f>References!G286</f>
        <v>649</v>
      </c>
      <c r="B242" s="292" t="s">
        <v>57</v>
      </c>
      <c r="C242" s="284">
        <v>2008</v>
      </c>
      <c r="D242" s="27">
        <f>IF(HLOOKUP(D$13,'MP (nominal)'!$D$12:$AM$244,ROW()-12,FALSE)="","",HLOOKUP(D$13,'MP (nominal)'!$D$12:$AM$244,ROW()-12,FALSE))</f>
        <v>1937</v>
      </c>
      <c r="E242" s="281">
        <f>IF(HLOOKUP(E$13,'MP (nominal)'!$D$12:$AM$244,ROW()-12,FALSE)="","",HLOOKUP(E$13,'MP (nominal)'!$D$12:$AM$244,ROW()-12,FALSE))</f>
        <v>0</v>
      </c>
      <c r="F242" s="27">
        <f>IF(HLOOKUP(F$13,'MP (nominal)'!$D$12:$AM$244,ROW()-12,FALSE)="","",HLOOKUP(F$13,'MP (nominal)'!$D$12:$AM$244,ROW()-12,FALSE))</f>
        <v>147</v>
      </c>
      <c r="G242" s="281">
        <f>IF(HLOOKUP(G$13,'MP (nominal)'!$D$12:$AM$244,ROW()-12,FALSE)="","",HLOOKUP(G$13,'MP (nominal)'!$D$12:$AM$244,ROW()-12,FALSE))</f>
        <v>0</v>
      </c>
      <c r="H242" s="27">
        <f>IF(HLOOKUP(H$13,'MP (nominal)'!$D$12:$AM$244,ROW()-12,FALSE)="","",HLOOKUP(H$13,'MP (nominal)'!$D$12:$AM$244,ROW()-12,FALSE))</f>
        <v>2084</v>
      </c>
      <c r="I242" s="31">
        <f>IF(HLOOKUP(I$13,'MP (nominal)'!$D$12:$AM$244,ROW()-12,FALSE)="","",HLOOKUP(I$13,'MP (nominal)'!$D$12:$AM$244,ROW()-12,FALSE))</f>
        <v>0</v>
      </c>
      <c r="J242" s="31">
        <f>IF(HLOOKUP(J$13,'MP (nominal)'!$D$12:$AM$244,ROW()-12,FALSE)="","",HLOOKUP(J$13,'MP (nominal)'!$D$12:$AM$244,ROW()-12,FALSE))</f>
        <v>1937</v>
      </c>
      <c r="K242" s="281"/>
      <c r="L242" s="27">
        <f>IF(HLOOKUP(L$13,'MP (nominal)'!$D$12:$AM$244,ROW()-12,FALSE)="","",HLOOKUP(L$13,'MP (nominal)'!$D$12:$AM$244,ROW()-12,FALSE))</f>
        <v>44</v>
      </c>
      <c r="M242" s="283">
        <f>IF(HLOOKUP(M$13,'MP (nominal)'!$D$12:$AM$244,ROW()-12,FALSE)="","",HLOOKUP(M$13,'MP (nominal)'!$D$12:$AM$244,ROW()-12,FALSE))</f>
        <v>245.12299999999999</v>
      </c>
      <c r="N242" s="35"/>
      <c r="O242" s="27">
        <f>IF(HLOOKUP(O$13,'MP (nominal)'!$D$12:$AM$244,ROW()-12,FALSE)="","",HLOOKUP(O$13,'MP (nominal)'!$D$12:$AM$244,ROW()-12,FALSE))</f>
        <v>12414</v>
      </c>
      <c r="P242" s="31"/>
      <c r="Q242" s="281"/>
      <c r="R242" s="281">
        <f>IF(HLOOKUP(R$13,'MP (nominal)'!$D$12:$AM$244,ROW()-12,FALSE)="","",HLOOKUP(R$13,'MP (nominal)'!$D$12:$AM$244,ROW()-12,FALSE))</f>
        <v>150.52000000000001</v>
      </c>
      <c r="S242" s="281">
        <f>IF(HLOOKUP(S$13,'MP (nominal)'!$D$12:$AM$244,ROW()-12,FALSE)="","",HLOOKUP(S$13,'MP (nominal)'!$D$12:$AM$244,ROW()-12,FALSE))</f>
        <v>44.46</v>
      </c>
      <c r="T242" s="281">
        <f>IF(HLOOKUP(T$13,'MP (nominal)'!$D$12:$AM$244,ROW()-12,FALSE)="","",HLOOKUP(T$13,'MP (nominal)'!$D$12:$AM$244,ROW()-12,FALSE))</f>
        <v>106.06</v>
      </c>
      <c r="U242" s="281"/>
      <c r="V242" s="281">
        <f>IF(HLOOKUP(V$13,'MP (nominal)'!$D$12:$AM$244,ROW()-12,FALSE)="","",HLOOKUP(V$13,'MP (nominal)'!$D$12:$AM$244,ROW()-12,FALSE))</f>
        <v>1.41</v>
      </c>
      <c r="W242" s="281">
        <f>IF(HLOOKUP(W$13,'MP (nominal)'!$D$12:$AM$244,ROW()-12,FALSE)="","",HLOOKUP(W$13,'MP (nominal)'!$D$12:$AM$244,ROW()-12,FALSE))</f>
        <v>0.23</v>
      </c>
      <c r="X242" s="281">
        <f>IF(HLOOKUP(X$13,'MP (nominal)'!$D$12:$AM$244,ROW()-12,FALSE)="","",HLOOKUP(X$13,'MP (nominal)'!$D$12:$AM$244,ROW()-12,FALSE))</f>
        <v>1.18</v>
      </c>
      <c r="Y242" s="281"/>
      <c r="Z242" s="281">
        <f>IF(HLOOKUP(Z$13,'MP (nominal)'!$D$12:$AM$244,ROW()-12,FALSE)="","",HLOOKUP(Z$13,'MP (nominal)'!$D$12:$AM$244,ROW()-12,FALSE)*VLOOKUP($C242,CPI!$B$9:$I$63,8))</f>
        <v>7569.331071255453</v>
      </c>
      <c r="AA242" s="281">
        <f>IF(HLOOKUP(AA$13,'MP (nominal)'!$D$12:$AM$244,ROW()-12,FALSE)="","",HLOOKUP(AA$13,'MP (nominal)'!$D$12:$AM$244,ROW()-12,FALSE))</f>
        <v>78562</v>
      </c>
      <c r="AB242" s="281">
        <f>IF(HLOOKUP(AB$13,'MP (nominal)'!$D$12:$AM$244,ROW()-12,FALSE)="","",HLOOKUP(AB$13,'MP (nominal)'!$D$12:$AM$244,ROW()-12,FALSE))</f>
        <v>11577</v>
      </c>
      <c r="AC242" s="281"/>
      <c r="AD242" s="281">
        <f>IF(HLOOKUP(AD$13,'MP (nominal)'!$D$12:$AM$244,ROW()-12,FALSE)="","",HLOOKUP(AD$13,'MP (nominal)'!$D$12:$AM$244,ROW()-12,FALSE)*VLOOKUP($C242,CPI!$B$9:$I$63,8))</f>
        <v>4599.1691140828598</v>
      </c>
      <c r="AE242" s="31">
        <f>IF(HLOOKUP(AE$13,'MP (nominal)'!$D$12:$AM$244,ROW()-12,FALSE)="","",HLOOKUP(AE$13,'MP (nominal)'!$D$12:$AM$244,ROW()-12,FALSE))</f>
        <v>56536</v>
      </c>
      <c r="AF242" s="31">
        <f>IF(HLOOKUP(AF$13,'MP (nominal)'!$D$12:$AM$244,ROW()-12,FALSE)="","",HLOOKUP(AF$13,'MP (nominal)'!$D$12:$AM$244,ROW()-12,FALSE))</f>
        <v>812</v>
      </c>
      <c r="AG242" s="281"/>
      <c r="AH242" s="281">
        <f>IF(HLOOKUP(AH$13,'MP (nominal)'!$D$12:$AM$244,ROW()-12,FALSE)="","",HLOOKUP(AH$13,'MP (nominal)'!$D$12:$AM$244,ROW()-12,FALSE)*VLOOKUP($C242,CPI!$B$9:$I$63,8))</f>
        <v>2185.306093353483</v>
      </c>
      <c r="AI242" s="31">
        <f>IF(HLOOKUP(AI$13,'MP (nominal)'!$D$12:$AM$244,ROW()-12,FALSE)="","",HLOOKUP(AI$13,'MP (nominal)'!$D$12:$AM$244,ROW()-12,FALSE))</f>
        <v>23202</v>
      </c>
      <c r="AJ242" s="31">
        <f>IF(HLOOKUP(AJ$13,'MP (nominal)'!$D$12:$AM$244,ROW()-12,FALSE)="","",HLOOKUP(AJ$13,'MP (nominal)'!$D$12:$AM$244,ROW()-12,FALSE))</f>
        <v>20</v>
      </c>
      <c r="AK242" s="281"/>
      <c r="AL242" s="281">
        <f>IF(HLOOKUP(AL$13,'MP (nominal)'!$D$12:$AM$244,ROW()-12,FALSE)="","",HLOOKUP(AL$13,'MP (nominal)'!$D$12:$AM$244,ROW()-12,FALSE)*VLOOKUP($C242,CPI!$B$9:$I$63,8))</f>
        <v>2536.7662741296226</v>
      </c>
      <c r="AM242" s="31">
        <f>IF(HLOOKUP(AM$13,'MP (nominal)'!$D$12:$AM$244,ROW()-12,FALSE)="","",HLOOKUP(AM$13,'MP (nominal)'!$D$12:$AM$244,ROW()-12,FALSE))</f>
        <v>86823</v>
      </c>
      <c r="AN242" s="31">
        <f>IF(HLOOKUP(AN$13,'MP (nominal)'!$D$12:$AM$244,ROW()-12,FALSE)="","",HLOOKUP(AN$13,'MP (nominal)'!$D$12:$AM$244,ROW()-12,FALSE))</f>
        <v>5</v>
      </c>
      <c r="AO242" s="281"/>
      <c r="AP242" s="281">
        <f>IF(HLOOKUP(AP$13,'MP (nominal)'!$D$12:$AM$244,ROW()-12,FALSE)="","",HLOOKUP(AP$13,'MP (nominal)'!$D$12:$AM$244,ROW()-12,FALSE)*VLOOKUP($C242,CPI!$B$9:$I$63,8))</f>
        <v>16890.572552821417</v>
      </c>
      <c r="AQ242" s="31">
        <f>IF(HLOOKUP(AQ$13,'MP (nominal)'!$D$12:$AM$244,ROW()-12,FALSE)="","",HLOOKUP(AQ$13,'MP (nominal)'!$D$12:$AM$244,ROW()-12,FALSE))</f>
        <v>245123</v>
      </c>
      <c r="AR242" s="281">
        <f>IF(HLOOKUP(AR$13,'MP (nominal)'!$D$12:$AM$244,ROW()-12,FALSE)="","",HLOOKUP(AR$13,'MP (nominal)'!$D$12:$AM$244,ROW()-12,FALSE))</f>
        <v>12414</v>
      </c>
    </row>
    <row r="243" spans="1:44" s="278" customFormat="1">
      <c r="A243" s="271">
        <f>References!H286</f>
        <v>650</v>
      </c>
      <c r="B243" s="292" t="s">
        <v>57</v>
      </c>
      <c r="C243" s="284">
        <v>2009</v>
      </c>
      <c r="D243" s="27">
        <f>IF(HLOOKUP(D$13,'MP (nominal)'!$D$12:$AM$244,ROW()-12,FALSE)="","",HLOOKUP(D$13,'MP (nominal)'!$D$12:$AM$244,ROW()-12,FALSE))</f>
        <v>1970</v>
      </c>
      <c r="E243" s="281">
        <f>IF(HLOOKUP(E$13,'MP (nominal)'!$D$12:$AM$244,ROW()-12,FALSE)="","",HLOOKUP(E$13,'MP (nominal)'!$D$12:$AM$244,ROW()-12,FALSE))</f>
        <v>0</v>
      </c>
      <c r="F243" s="27">
        <f>IF(HLOOKUP(F$13,'MP (nominal)'!$D$12:$AM$244,ROW()-12,FALSE)="","",HLOOKUP(F$13,'MP (nominal)'!$D$12:$AM$244,ROW()-12,FALSE))</f>
        <v>147</v>
      </c>
      <c r="G243" s="281">
        <f>IF(HLOOKUP(G$13,'MP (nominal)'!$D$12:$AM$244,ROW()-12,FALSE)="","",HLOOKUP(G$13,'MP (nominal)'!$D$12:$AM$244,ROW()-12,FALSE))</f>
        <v>0</v>
      </c>
      <c r="H243" s="27">
        <f>IF(HLOOKUP(H$13,'MP (nominal)'!$D$12:$AM$244,ROW()-12,FALSE)="","",HLOOKUP(H$13,'MP (nominal)'!$D$12:$AM$244,ROW()-12,FALSE))</f>
        <v>2117</v>
      </c>
      <c r="I243" s="31">
        <f>IF(HLOOKUP(I$13,'MP (nominal)'!$D$12:$AM$244,ROW()-12,FALSE)="","",HLOOKUP(I$13,'MP (nominal)'!$D$12:$AM$244,ROW()-12,FALSE))</f>
        <v>0</v>
      </c>
      <c r="J243" s="31">
        <f>IF(HLOOKUP(J$13,'MP (nominal)'!$D$12:$AM$244,ROW()-12,FALSE)="","",HLOOKUP(J$13,'MP (nominal)'!$D$12:$AM$244,ROW()-12,FALSE))</f>
        <v>1970</v>
      </c>
      <c r="K243" s="281"/>
      <c r="L243" s="27">
        <f>IF(HLOOKUP(L$13,'MP (nominal)'!$D$12:$AM$244,ROW()-12,FALSE)="","",HLOOKUP(L$13,'MP (nominal)'!$D$12:$AM$244,ROW()-12,FALSE))</f>
        <v>47.292999999999999</v>
      </c>
      <c r="M243" s="283">
        <f>IF(HLOOKUP(M$13,'MP (nominal)'!$D$12:$AM$244,ROW()-12,FALSE)="","",HLOOKUP(M$13,'MP (nominal)'!$D$12:$AM$244,ROW()-12,FALSE))</f>
        <v>271.91500000000002</v>
      </c>
      <c r="N243" s="35"/>
      <c r="O243" s="27">
        <f>IF(HLOOKUP(O$13,'MP (nominal)'!$D$12:$AM$244,ROW()-12,FALSE)="","",HLOOKUP(O$13,'MP (nominal)'!$D$12:$AM$244,ROW()-12,FALSE))</f>
        <v>12617</v>
      </c>
      <c r="P243" s="31"/>
      <c r="Q243" s="281"/>
      <c r="R243" s="281">
        <f>IF(HLOOKUP(R$13,'MP (nominal)'!$D$12:$AM$244,ROW()-12,FALSE)="","",HLOOKUP(R$13,'MP (nominal)'!$D$12:$AM$244,ROW()-12,FALSE))</f>
        <v>382.47</v>
      </c>
      <c r="S243" s="281">
        <f>IF(HLOOKUP(S$13,'MP (nominal)'!$D$12:$AM$244,ROW()-12,FALSE)="","",HLOOKUP(S$13,'MP (nominal)'!$D$12:$AM$244,ROW()-12,FALSE))</f>
        <v>43.45</v>
      </c>
      <c r="T243" s="281">
        <f>IF(HLOOKUP(T$13,'MP (nominal)'!$D$12:$AM$244,ROW()-12,FALSE)="","",HLOOKUP(T$13,'MP (nominal)'!$D$12:$AM$244,ROW()-12,FALSE))</f>
        <v>339.02</v>
      </c>
      <c r="U243" s="281"/>
      <c r="V243" s="281">
        <f>IF(HLOOKUP(V$13,'MP (nominal)'!$D$12:$AM$244,ROW()-12,FALSE)="","",HLOOKUP(V$13,'MP (nominal)'!$D$12:$AM$244,ROW()-12,FALSE))</f>
        <v>3.09</v>
      </c>
      <c r="W243" s="281">
        <f>IF(HLOOKUP(W$13,'MP (nominal)'!$D$12:$AM$244,ROW()-12,FALSE)="","",HLOOKUP(W$13,'MP (nominal)'!$D$12:$AM$244,ROW()-12,FALSE))</f>
        <v>0.19189999999999999</v>
      </c>
      <c r="X243" s="281">
        <f>IF(HLOOKUP(X$13,'MP (nominal)'!$D$12:$AM$244,ROW()-12,FALSE)="","",HLOOKUP(X$13,'MP (nominal)'!$D$12:$AM$244,ROW()-12,FALSE))</f>
        <v>2.9001000000000001</v>
      </c>
      <c r="Y243" s="281"/>
      <c r="Z243" s="281">
        <f>IF(HLOOKUP(Z$13,'MP (nominal)'!$D$12:$AM$244,ROW()-12,FALSE)="","",HLOOKUP(Z$13,'MP (nominal)'!$D$12:$AM$244,ROW()-12,FALSE)*VLOOKUP($C243,CPI!$B$9:$I$63,8))</f>
        <v>7680.8618299128266</v>
      </c>
      <c r="AA243" s="281">
        <f>IF(HLOOKUP(AA$13,'MP (nominal)'!$D$12:$AM$244,ROW()-12,FALSE)="","",HLOOKUP(AA$13,'MP (nominal)'!$D$12:$AM$244,ROW()-12,FALSE))</f>
        <v>80816</v>
      </c>
      <c r="AB243" s="281">
        <f>IF(HLOOKUP(AB$13,'MP (nominal)'!$D$12:$AM$244,ROW()-12,FALSE)="","",HLOOKUP(AB$13,'MP (nominal)'!$D$12:$AM$244,ROW()-12,FALSE))</f>
        <v>11767</v>
      </c>
      <c r="AC243" s="281"/>
      <c r="AD243" s="281">
        <f>IF(HLOOKUP(AD$13,'MP (nominal)'!$D$12:$AM$244,ROW()-12,FALSE)="","",HLOOKUP(AD$13,'MP (nominal)'!$D$12:$AM$244,ROW()-12,FALSE)*VLOOKUP($C243,CPI!$B$9:$I$63,8))</f>
        <v>4784.577939460497</v>
      </c>
      <c r="AE243" s="31">
        <f>IF(HLOOKUP(AE$13,'MP (nominal)'!$D$12:$AM$244,ROW()-12,FALSE)="","",HLOOKUP(AE$13,'MP (nominal)'!$D$12:$AM$244,ROW()-12,FALSE))</f>
        <v>59367</v>
      </c>
      <c r="AF243" s="31">
        <f>IF(HLOOKUP(AF$13,'MP (nominal)'!$D$12:$AM$244,ROW()-12,FALSE)="","",HLOOKUP(AF$13,'MP (nominal)'!$D$12:$AM$244,ROW()-12,FALSE))</f>
        <v>824</v>
      </c>
      <c r="AG243" s="281"/>
      <c r="AH243" s="281">
        <f>IF(HLOOKUP(AH$13,'MP (nominal)'!$D$12:$AM$244,ROW()-12,FALSE)="","",HLOOKUP(AH$13,'MP (nominal)'!$D$12:$AM$244,ROW()-12,FALSE)*VLOOKUP($C243,CPI!$B$9:$I$63,8))</f>
        <v>1524.9609444711368</v>
      </c>
      <c r="AI243" s="31">
        <f>IF(HLOOKUP(AI$13,'MP (nominal)'!$D$12:$AM$244,ROW()-12,FALSE)="","",HLOOKUP(AI$13,'MP (nominal)'!$D$12:$AM$244,ROW()-12,FALSE))</f>
        <v>23968</v>
      </c>
      <c r="AJ243" s="31">
        <f>IF(HLOOKUP(AJ$13,'MP (nominal)'!$D$12:$AM$244,ROW()-12,FALSE)="","",HLOOKUP(AJ$13,'MP (nominal)'!$D$12:$AM$244,ROW()-12,FALSE))</f>
        <v>21</v>
      </c>
      <c r="AK243" s="281"/>
      <c r="AL243" s="281">
        <f>IF(HLOOKUP(AL$13,'MP (nominal)'!$D$12:$AM$244,ROW()-12,FALSE)="","",HLOOKUP(AL$13,'MP (nominal)'!$D$12:$AM$244,ROW()-12,FALSE)*VLOOKUP($C243,CPI!$B$9:$I$63,8))</f>
        <v>3387.3026288695164</v>
      </c>
      <c r="AM243" s="31">
        <f>IF(HLOOKUP(AM$13,'MP (nominal)'!$D$12:$AM$244,ROW()-12,FALSE)="","",HLOOKUP(AM$13,'MP (nominal)'!$D$12:$AM$244,ROW()-12,FALSE))</f>
        <v>107764</v>
      </c>
      <c r="AN243" s="31">
        <f>IF(HLOOKUP(AN$13,'MP (nominal)'!$D$12:$AM$244,ROW()-12,FALSE)="","",HLOOKUP(AN$13,'MP (nominal)'!$D$12:$AM$244,ROW()-12,FALSE))</f>
        <v>5</v>
      </c>
      <c r="AO243" s="281"/>
      <c r="AP243" s="281">
        <f>IF(HLOOKUP(AP$13,'MP (nominal)'!$D$12:$AM$244,ROW()-12,FALSE)="","",HLOOKUP(AP$13,'MP (nominal)'!$D$12:$AM$244,ROW()-12,FALSE)*VLOOKUP($C243,CPI!$B$9:$I$63,8))</f>
        <v>17377.703342713976</v>
      </c>
      <c r="AQ243" s="31">
        <f>IF(HLOOKUP(AQ$13,'MP (nominal)'!$D$12:$AM$244,ROW()-12,FALSE)="","",HLOOKUP(AQ$13,'MP (nominal)'!$D$12:$AM$244,ROW()-12,FALSE))</f>
        <v>271915</v>
      </c>
      <c r="AR243" s="281">
        <f>IF(HLOOKUP(AR$13,'MP (nominal)'!$D$12:$AM$244,ROW()-12,FALSE)="","",HLOOKUP(AR$13,'MP (nominal)'!$D$12:$AM$244,ROW()-12,FALSE))</f>
        <v>12617</v>
      </c>
    </row>
    <row r="244" spans="1:44" s="278" customFormat="1">
      <c r="A244" s="271">
        <f>References!I286</f>
        <v>651</v>
      </c>
      <c r="B244" s="292" t="s">
        <v>57</v>
      </c>
      <c r="C244" s="284">
        <v>2010</v>
      </c>
      <c r="D244" s="27">
        <f>IF(HLOOKUP(D$13,'MP (nominal)'!$D$12:$AM$244,ROW()-12,FALSE)="","",HLOOKUP(D$13,'MP (nominal)'!$D$12:$AM$244,ROW()-12,FALSE))</f>
        <v>1976</v>
      </c>
      <c r="E244" s="281">
        <f>IF(HLOOKUP(E$13,'MP (nominal)'!$D$12:$AM$244,ROW()-12,FALSE)="","",HLOOKUP(E$13,'MP (nominal)'!$D$12:$AM$244,ROW()-12,FALSE))</f>
        <v>0</v>
      </c>
      <c r="F244" s="27">
        <f>IF(HLOOKUP(F$13,'MP (nominal)'!$D$12:$AM$244,ROW()-12,FALSE)="","",HLOOKUP(F$13,'MP (nominal)'!$D$12:$AM$244,ROW()-12,FALSE))</f>
        <v>154</v>
      </c>
      <c r="G244" s="281">
        <f>IF(HLOOKUP(G$13,'MP (nominal)'!$D$12:$AM$244,ROW()-12,FALSE)="","",HLOOKUP(G$13,'MP (nominal)'!$D$12:$AM$244,ROW()-12,FALSE))</f>
        <v>0</v>
      </c>
      <c r="H244" s="27">
        <f>IF(HLOOKUP(H$13,'MP (nominal)'!$D$12:$AM$244,ROW()-12,FALSE)="","",HLOOKUP(H$13,'MP (nominal)'!$D$12:$AM$244,ROW()-12,FALSE))</f>
        <v>2130</v>
      </c>
      <c r="I244" s="31">
        <f>IF(HLOOKUP(I$13,'MP (nominal)'!$D$12:$AM$244,ROW()-12,FALSE)="","",HLOOKUP(I$13,'MP (nominal)'!$D$12:$AM$244,ROW()-12,FALSE))</f>
        <v>0</v>
      </c>
      <c r="J244" s="31">
        <f>IF(HLOOKUP(J$13,'MP (nominal)'!$D$12:$AM$244,ROW()-12,FALSE)="","",HLOOKUP(J$13,'MP (nominal)'!$D$12:$AM$244,ROW()-12,FALSE))</f>
        <v>1976</v>
      </c>
      <c r="K244" s="281"/>
      <c r="L244" s="27">
        <f>IF(HLOOKUP(L$13,'MP (nominal)'!$D$12:$AM$244,ROW()-12,FALSE)="","",HLOOKUP(L$13,'MP (nominal)'!$D$12:$AM$244,ROW()-12,FALSE))</f>
        <v>53</v>
      </c>
      <c r="M244" s="283">
        <f>IF(HLOOKUP(M$13,'MP (nominal)'!$D$12:$AM$244,ROW()-12,FALSE)="","",HLOOKUP(M$13,'MP (nominal)'!$D$12:$AM$244,ROW()-12,FALSE))</f>
        <v>294.37299999999999</v>
      </c>
      <c r="N244" s="35"/>
      <c r="O244" s="27">
        <f>IF(HLOOKUP(O$13,'MP (nominal)'!$D$12:$AM$244,ROW()-12,FALSE)="","",HLOOKUP(O$13,'MP (nominal)'!$D$12:$AM$244,ROW()-12,FALSE))</f>
        <v>12782</v>
      </c>
      <c r="P244" s="31"/>
      <c r="Q244" s="281"/>
      <c r="R244" s="281">
        <f>IF(HLOOKUP(R$13,'MP (nominal)'!$D$12:$AM$244,ROW()-12,FALSE)="","",HLOOKUP(R$13,'MP (nominal)'!$D$12:$AM$244,ROW()-12,FALSE))</f>
        <v>279.31</v>
      </c>
      <c r="S244" s="281">
        <f>IF(HLOOKUP(S$13,'MP (nominal)'!$D$12:$AM$244,ROW()-12,FALSE)="","",HLOOKUP(S$13,'MP (nominal)'!$D$12:$AM$244,ROW()-12,FALSE))</f>
        <v>54.18</v>
      </c>
      <c r="T244" s="281">
        <f>IF(HLOOKUP(T$13,'MP (nominal)'!$D$12:$AM$244,ROW()-12,FALSE)="","",HLOOKUP(T$13,'MP (nominal)'!$D$12:$AM$244,ROW()-12,FALSE))</f>
        <v>225.12</v>
      </c>
      <c r="U244" s="281"/>
      <c r="V244" s="281">
        <f>IF(HLOOKUP(V$13,'MP (nominal)'!$D$12:$AM$244,ROW()-12,FALSE)="","",HLOOKUP(V$13,'MP (nominal)'!$D$12:$AM$244,ROW()-12,FALSE))</f>
        <v>2.02</v>
      </c>
      <c r="W244" s="281">
        <f>IF(HLOOKUP(W$13,'MP (nominal)'!$D$12:$AM$244,ROW()-12,FALSE)="","",HLOOKUP(W$13,'MP (nominal)'!$D$12:$AM$244,ROW()-12,FALSE))</f>
        <v>0.18</v>
      </c>
      <c r="X244" s="281">
        <f>IF(HLOOKUP(X$13,'MP (nominal)'!$D$12:$AM$244,ROW()-12,FALSE)="","",HLOOKUP(X$13,'MP (nominal)'!$D$12:$AM$244,ROW()-12,FALSE))</f>
        <v>1.84</v>
      </c>
      <c r="Y244" s="281"/>
      <c r="Z244" s="281">
        <f>IF(HLOOKUP(Z$13,'MP (nominal)'!$D$12:$AM$244,ROW()-12,FALSE)="","",HLOOKUP(Z$13,'MP (nominal)'!$D$12:$AM$244,ROW()-12,FALSE)*VLOOKUP($C244,CPI!$B$9:$I$63,8))</f>
        <v>8041.6676996038896</v>
      </c>
      <c r="AA244" s="281">
        <f>IF(HLOOKUP(AA$13,'MP (nominal)'!$D$12:$AM$244,ROW()-12,FALSE)="","",HLOOKUP(AA$13,'MP (nominal)'!$D$12:$AM$244,ROW()-12,FALSE))</f>
        <v>82831</v>
      </c>
      <c r="AB244" s="281">
        <f>IF(HLOOKUP(AB$13,'MP (nominal)'!$D$12:$AM$244,ROW()-12,FALSE)="","",HLOOKUP(AB$13,'MP (nominal)'!$D$12:$AM$244,ROW()-12,FALSE))</f>
        <v>11911</v>
      </c>
      <c r="AC244" s="281"/>
      <c r="AD244" s="281">
        <f>IF(HLOOKUP(AD$13,'MP (nominal)'!$D$12:$AM$244,ROW()-12,FALSE)="","",HLOOKUP(AD$13,'MP (nominal)'!$D$12:$AM$244,ROW()-12,FALSE)*VLOOKUP($C244,CPI!$B$9:$I$63,8))</f>
        <v>5122.7043194740099</v>
      </c>
      <c r="AE244" s="31">
        <f>IF(HLOOKUP(AE$13,'MP (nominal)'!$D$12:$AM$244,ROW()-12,FALSE)="","",HLOOKUP(AE$13,'MP (nominal)'!$D$12:$AM$244,ROW()-12,FALSE))</f>
        <v>61628</v>
      </c>
      <c r="AF244" s="31">
        <f>IF(HLOOKUP(AF$13,'MP (nominal)'!$D$12:$AM$244,ROW()-12,FALSE)="","",HLOOKUP(AF$13,'MP (nominal)'!$D$12:$AM$244,ROW()-12,FALSE))</f>
        <v>845</v>
      </c>
      <c r="AG244" s="281"/>
      <c r="AH244" s="281">
        <f>IF(HLOOKUP(AH$13,'MP (nominal)'!$D$12:$AM$244,ROW()-12,FALSE)="","",HLOOKUP(AH$13,'MP (nominal)'!$D$12:$AM$244,ROW()-12,FALSE)*VLOOKUP($C244,CPI!$B$9:$I$63,8))</f>
        <v>1922.5423728813557</v>
      </c>
      <c r="AI244" s="31">
        <f>IF(HLOOKUP(AI$13,'MP (nominal)'!$D$12:$AM$244,ROW()-12,FALSE)="","",HLOOKUP(AI$13,'MP (nominal)'!$D$12:$AM$244,ROW()-12,FALSE))</f>
        <v>24994</v>
      </c>
      <c r="AJ244" s="31">
        <f>IF(HLOOKUP(AJ$13,'MP (nominal)'!$D$12:$AM$244,ROW()-12,FALSE)="","",HLOOKUP(AJ$13,'MP (nominal)'!$D$12:$AM$244,ROW()-12,FALSE))</f>
        <v>21</v>
      </c>
      <c r="AK244" s="281"/>
      <c r="AL244" s="281">
        <f>IF(HLOOKUP(AL$13,'MP (nominal)'!$D$12:$AM$244,ROW()-12,FALSE)="","",HLOOKUP(AL$13,'MP (nominal)'!$D$12:$AM$244,ROW()-12,FALSE)*VLOOKUP($C244,CPI!$B$9:$I$63,8))</f>
        <v>3556.7543315997946</v>
      </c>
      <c r="AM244" s="31">
        <f>IF(HLOOKUP(AM$13,'MP (nominal)'!$D$12:$AM$244,ROW()-12,FALSE)="","",HLOOKUP(AM$13,'MP (nominal)'!$D$12:$AM$244,ROW()-12,FALSE))</f>
        <v>124920</v>
      </c>
      <c r="AN244" s="31">
        <f>IF(HLOOKUP(AN$13,'MP (nominal)'!$D$12:$AM$244,ROW()-12,FALSE)="","",HLOOKUP(AN$13,'MP (nominal)'!$D$12:$AM$244,ROW()-12,FALSE))</f>
        <v>5</v>
      </c>
      <c r="AO244" s="281"/>
      <c r="AP244" s="281">
        <f>IF(HLOOKUP(AP$13,'MP (nominal)'!$D$12:$AM$244,ROW()-12,FALSE)="","",HLOOKUP(AP$13,'MP (nominal)'!$D$12:$AM$244,ROW()-12,FALSE)*VLOOKUP($C244,CPI!$B$9:$I$63,8))</f>
        <v>18643.668723559051</v>
      </c>
      <c r="AQ244" s="31">
        <f>IF(HLOOKUP(AQ$13,'MP (nominal)'!$D$12:$AM$244,ROW()-12,FALSE)="","",HLOOKUP(AQ$13,'MP (nominal)'!$D$12:$AM$244,ROW()-12,FALSE))</f>
        <v>294373</v>
      </c>
      <c r="AR244" s="281">
        <f>IF(HLOOKUP(AR$13,'MP (nominal)'!$D$12:$AM$244,ROW()-12,FALSE)="","",HLOOKUP(AR$13,'MP (nominal)'!$D$12:$AM$244,ROW()-12,FALSE))</f>
        <v>12782</v>
      </c>
    </row>
    <row r="245" spans="1:44" s="278" customFormat="1">
      <c r="A245" s="271">
        <f>References!J286</f>
        <v>652</v>
      </c>
      <c r="B245" s="295" t="s">
        <v>57</v>
      </c>
      <c r="C245" s="296">
        <v>2011</v>
      </c>
      <c r="D245" s="28">
        <f>IF(HLOOKUP(D$13,'MP (nominal)'!$D$12:$AM$244,ROW()-12,FALSE)="","",HLOOKUP(D$13,'MP (nominal)'!$D$12:$AM$244,ROW()-12,FALSE))</f>
        <v>1972</v>
      </c>
      <c r="E245" s="297">
        <f>IF(HLOOKUP(E$13,'MP (nominal)'!$D$12:$AM$244,ROW()-12,FALSE)="","",HLOOKUP(E$13,'MP (nominal)'!$D$12:$AM$244,ROW()-12,FALSE))</f>
        <v>0</v>
      </c>
      <c r="F245" s="28">
        <f>IF(HLOOKUP(F$13,'MP (nominal)'!$D$12:$AM$244,ROW()-12,FALSE)="","",HLOOKUP(F$13,'MP (nominal)'!$D$12:$AM$244,ROW()-12,FALSE))</f>
        <v>179</v>
      </c>
      <c r="G245" s="297">
        <f>IF(HLOOKUP(G$13,'MP (nominal)'!$D$12:$AM$244,ROW()-12,FALSE)="","",HLOOKUP(G$13,'MP (nominal)'!$D$12:$AM$244,ROW()-12,FALSE))</f>
        <v>0</v>
      </c>
      <c r="H245" s="28">
        <f>IF(HLOOKUP(H$13,'MP (nominal)'!$D$12:$AM$244,ROW()-12,FALSE)="","",HLOOKUP(H$13,'MP (nominal)'!$D$12:$AM$244,ROW()-12,FALSE))</f>
        <v>2151</v>
      </c>
      <c r="I245" s="36">
        <f>IF(HLOOKUP(I$13,'MP (nominal)'!$D$12:$AM$244,ROW()-12,FALSE)="","",HLOOKUP(I$13,'MP (nominal)'!$D$12:$AM$244,ROW()-12,FALSE))</f>
        <v>0</v>
      </c>
      <c r="J245" s="36">
        <f>IF(HLOOKUP(J$13,'MP (nominal)'!$D$12:$AM$244,ROW()-12,FALSE)="","",HLOOKUP(J$13,'MP (nominal)'!$D$12:$AM$244,ROW()-12,FALSE))</f>
        <v>1972</v>
      </c>
      <c r="K245" s="297"/>
      <c r="L245" s="28">
        <f>IF(HLOOKUP(L$13,'MP (nominal)'!$D$12:$AM$244,ROW()-12,FALSE)="","",HLOOKUP(L$13,'MP (nominal)'!$D$12:$AM$244,ROW()-12,FALSE))</f>
        <v>55</v>
      </c>
      <c r="M245" s="298">
        <f>IF(HLOOKUP(M$13,'MP (nominal)'!$D$12:$AM$244,ROW()-12,FALSE)="","",HLOOKUP(M$13,'MP (nominal)'!$D$12:$AM$244,ROW()-12,FALSE))</f>
        <v>293.46600000000001</v>
      </c>
      <c r="N245" s="37"/>
      <c r="O245" s="28">
        <f>IF(HLOOKUP(O$13,'MP (nominal)'!$D$12:$AM$244,ROW()-12,FALSE)="","",HLOOKUP(O$13,'MP (nominal)'!$D$12:$AM$244,ROW()-12,FALSE))</f>
        <v>12876</v>
      </c>
      <c r="P245" s="36"/>
      <c r="Q245" s="297"/>
      <c r="R245" s="297">
        <f>IF(HLOOKUP(R$13,'MP (nominal)'!$D$12:$AM$244,ROW()-12,FALSE)="","",HLOOKUP(R$13,'MP (nominal)'!$D$12:$AM$244,ROW()-12,FALSE))</f>
        <v>330.82</v>
      </c>
      <c r="S245" s="297">
        <f>IF(HLOOKUP(S$13,'MP (nominal)'!$D$12:$AM$244,ROW()-12,FALSE)="","",HLOOKUP(S$13,'MP (nominal)'!$D$12:$AM$244,ROW()-12,FALSE))</f>
        <v>46.92</v>
      </c>
      <c r="T245" s="297">
        <f>IF(HLOOKUP(T$13,'MP (nominal)'!$D$12:$AM$244,ROW()-12,FALSE)="","",HLOOKUP(T$13,'MP (nominal)'!$D$12:$AM$244,ROW()-12,FALSE))</f>
        <v>250.36</v>
      </c>
      <c r="U245" s="297"/>
      <c r="V245" s="297">
        <f>IF(HLOOKUP(V$13,'MP (nominal)'!$D$12:$AM$244,ROW()-12,FALSE)="","",HLOOKUP(V$13,'MP (nominal)'!$D$12:$AM$244,ROW()-12,FALSE))</f>
        <v>3.73</v>
      </c>
      <c r="W245" s="297">
        <f>IF(HLOOKUP(W$13,'MP (nominal)'!$D$12:$AM$244,ROW()-12,FALSE)="","",HLOOKUP(W$13,'MP (nominal)'!$D$12:$AM$244,ROW()-12,FALSE))</f>
        <v>0.17</v>
      </c>
      <c r="X245" s="297">
        <f>IF(HLOOKUP(X$13,'MP (nominal)'!$D$12:$AM$244,ROW()-12,FALSE)="","",HLOOKUP(X$13,'MP (nominal)'!$D$12:$AM$244,ROW()-12,FALSE))</f>
        <v>2.4500000000000002</v>
      </c>
      <c r="Y245" s="297"/>
      <c r="Z245" s="297">
        <f>IF(HLOOKUP(Z$13,'MP (nominal)'!$D$12:$AM$244,ROW()-12,FALSE)="","",HLOOKUP(Z$13,'MP (nominal)'!$D$12:$AM$244,ROW()-12,FALSE)*VLOOKUP($C245,CPI!$B$9:$I$63,8))</f>
        <v>8157</v>
      </c>
      <c r="AA245" s="297">
        <f>IF(HLOOKUP(AA$13,'MP (nominal)'!$D$12:$AM$244,ROW()-12,FALSE)="","",HLOOKUP(AA$13,'MP (nominal)'!$D$12:$AM$244,ROW()-12,FALSE))</f>
        <v>81583</v>
      </c>
      <c r="AB245" s="297">
        <f>IF(HLOOKUP(AB$13,'MP (nominal)'!$D$12:$AM$244,ROW()-12,FALSE)="","",HLOOKUP(AB$13,'MP (nominal)'!$D$12:$AM$244,ROW()-12,FALSE))</f>
        <v>12027</v>
      </c>
      <c r="AC245" s="297"/>
      <c r="AD245" s="297">
        <f>IF(HLOOKUP(AD$13,'MP (nominal)'!$D$12:$AM$244,ROW()-12,FALSE)="","",HLOOKUP(AD$13,'MP (nominal)'!$D$12:$AM$244,ROW()-12,FALSE)*VLOOKUP($C245,CPI!$B$9:$I$63,8))</f>
        <v>5255</v>
      </c>
      <c r="AE245" s="36">
        <f>IF(HLOOKUP(AE$13,'MP (nominal)'!$D$12:$AM$244,ROW()-12,FALSE)="","",HLOOKUP(AE$13,'MP (nominal)'!$D$12:$AM$244,ROW()-12,FALSE))</f>
        <v>62168</v>
      </c>
      <c r="AF245" s="36">
        <f>IF(HLOOKUP(AF$13,'MP (nominal)'!$D$12:$AM$244,ROW()-12,FALSE)="","",HLOOKUP(AF$13,'MP (nominal)'!$D$12:$AM$244,ROW()-12,FALSE))</f>
        <v>827</v>
      </c>
      <c r="AG245" s="297"/>
      <c r="AH245" s="297">
        <f>IF(HLOOKUP(AH$13,'MP (nominal)'!$D$12:$AM$244,ROW()-12,FALSE)="","",HLOOKUP(AH$13,'MP (nominal)'!$D$12:$AM$244,ROW()-12,FALSE)*VLOOKUP($C245,CPI!$B$9:$I$63,8))</f>
        <v>1562</v>
      </c>
      <c r="AI245" s="36">
        <f>IF(HLOOKUP(AI$13,'MP (nominal)'!$D$12:$AM$244,ROW()-12,FALSE)="","",HLOOKUP(AI$13,'MP (nominal)'!$D$12:$AM$244,ROW()-12,FALSE))</f>
        <v>25195</v>
      </c>
      <c r="AJ245" s="36">
        <f>IF(HLOOKUP(AJ$13,'MP (nominal)'!$D$12:$AM$244,ROW()-12,FALSE)="","",HLOOKUP(AJ$13,'MP (nominal)'!$D$12:$AM$244,ROW()-12,FALSE))</f>
        <v>17</v>
      </c>
      <c r="AK245" s="297"/>
      <c r="AL245" s="297">
        <f>IF(HLOOKUP(AL$13,'MP (nominal)'!$D$12:$AM$244,ROW()-12,FALSE)="","",HLOOKUP(AL$13,'MP (nominal)'!$D$12:$AM$244,ROW()-12,FALSE)*VLOOKUP($C245,CPI!$B$9:$I$63,8))</f>
        <v>3043</v>
      </c>
      <c r="AM245" s="36">
        <f>IF(HLOOKUP(AM$13,'MP (nominal)'!$D$12:$AM$244,ROW()-12,FALSE)="","",HLOOKUP(AM$13,'MP (nominal)'!$D$12:$AM$244,ROW()-12,FALSE))</f>
        <v>124520</v>
      </c>
      <c r="AN245" s="36">
        <f>IF(HLOOKUP(AN$13,'MP (nominal)'!$D$12:$AM$244,ROW()-12,FALSE)="","",HLOOKUP(AN$13,'MP (nominal)'!$D$12:$AM$244,ROW()-12,FALSE))</f>
        <v>5</v>
      </c>
      <c r="AO245" s="297"/>
      <c r="AP245" s="297">
        <f>IF(HLOOKUP(AP$13,'MP (nominal)'!$D$12:$AM$244,ROW()-12,FALSE)="","",HLOOKUP(AP$13,'MP (nominal)'!$D$12:$AM$244,ROW()-12,FALSE)*VLOOKUP($C245,CPI!$B$9:$I$63,8))</f>
        <v>18017</v>
      </c>
      <c r="AQ245" s="36">
        <f>IF(HLOOKUP(AQ$13,'MP (nominal)'!$D$12:$AM$244,ROW()-12,FALSE)="","",HLOOKUP(AQ$13,'MP (nominal)'!$D$12:$AM$244,ROW()-12,FALSE))</f>
        <v>293466</v>
      </c>
      <c r="AR245" s="297">
        <f>IF(HLOOKUP(AR$13,'MP (nominal)'!$D$12:$AM$244,ROW()-12,FALSE)="","",HLOOKUP(AR$13,'MP (nominal)'!$D$12:$AM$244,ROW()-12,FALSE))</f>
        <v>12876</v>
      </c>
    </row>
    <row r="246" spans="1:44" s="299" customFormat="1" hidden="1">
      <c r="A246" s="271">
        <v>1</v>
      </c>
      <c r="B246" s="299">
        <f>A246+1</f>
        <v>2</v>
      </c>
      <c r="C246" s="299">
        <f t="shared" ref="C246" si="0">B246+1</f>
        <v>3</v>
      </c>
      <c r="D246" s="299">
        <f t="shared" ref="D246" si="1">C246+1</f>
        <v>4</v>
      </c>
      <c r="E246" s="299">
        <f t="shared" ref="E246" si="2">D246+1</f>
        <v>5</v>
      </c>
      <c r="F246" s="299">
        <f t="shared" ref="F246" si="3">E246+1</f>
        <v>6</v>
      </c>
      <c r="G246" s="299">
        <f t="shared" ref="G246" si="4">F246+1</f>
        <v>7</v>
      </c>
      <c r="H246" s="299">
        <f t="shared" ref="H246" si="5">G246+1</f>
        <v>8</v>
      </c>
      <c r="I246" s="299">
        <f t="shared" ref="I246" si="6">H246+1</f>
        <v>9</v>
      </c>
      <c r="J246" s="299">
        <f t="shared" ref="J246" si="7">I246+1</f>
        <v>10</v>
      </c>
      <c r="K246" s="299">
        <f t="shared" ref="K246" si="8">J246+1</f>
        <v>11</v>
      </c>
      <c r="L246" s="299">
        <f t="shared" ref="L246" si="9">K246+1</f>
        <v>12</v>
      </c>
      <c r="M246" s="299">
        <f t="shared" ref="M246" si="10">L246+1</f>
        <v>13</v>
      </c>
      <c r="N246" s="299">
        <f t="shared" ref="N246" si="11">M246+1</f>
        <v>14</v>
      </c>
      <c r="O246" s="299">
        <f t="shared" ref="O246" si="12">N246+1</f>
        <v>15</v>
      </c>
      <c r="P246" s="299">
        <f t="shared" ref="P246" si="13">O246+1</f>
        <v>16</v>
      </c>
      <c r="Q246" s="299">
        <f t="shared" ref="Q246" si="14">P246+1</f>
        <v>17</v>
      </c>
      <c r="R246" s="299">
        <f t="shared" ref="R246" si="15">Q246+1</f>
        <v>18</v>
      </c>
      <c r="S246" s="299">
        <f t="shared" ref="S246" si="16">R246+1</f>
        <v>19</v>
      </c>
      <c r="T246" s="299">
        <f t="shared" ref="T246" si="17">S246+1</f>
        <v>20</v>
      </c>
      <c r="U246" s="299">
        <f t="shared" ref="U246" si="18">T246+1</f>
        <v>21</v>
      </c>
      <c r="V246" s="299">
        <f t="shared" ref="V246" si="19">U246+1</f>
        <v>22</v>
      </c>
      <c r="W246" s="299">
        <f t="shared" ref="W246" si="20">V246+1</f>
        <v>23</v>
      </c>
      <c r="X246" s="299">
        <f t="shared" ref="X246" si="21">W246+1</f>
        <v>24</v>
      </c>
      <c r="Y246" s="299">
        <f t="shared" ref="Y246" si="22">X246+1</f>
        <v>25</v>
      </c>
      <c r="Z246" s="299">
        <f t="shared" ref="Z246" si="23">Y246+1</f>
        <v>26</v>
      </c>
      <c r="AA246" s="299">
        <f t="shared" ref="AA246" si="24">Z246+1</f>
        <v>27</v>
      </c>
      <c r="AB246" s="299">
        <f t="shared" ref="AB246" si="25">AA246+1</f>
        <v>28</v>
      </c>
      <c r="AC246" s="299">
        <f t="shared" ref="AC246" si="26">AB246+1</f>
        <v>29</v>
      </c>
      <c r="AD246" s="299">
        <f t="shared" ref="AD246" si="27">AC246+1</f>
        <v>30</v>
      </c>
      <c r="AE246" s="299">
        <f t="shared" ref="AE246" si="28">AD246+1</f>
        <v>31</v>
      </c>
      <c r="AF246" s="299">
        <f t="shared" ref="AF246" si="29">AE246+1</f>
        <v>32</v>
      </c>
      <c r="AG246" s="299">
        <f t="shared" ref="AG246" si="30">AF246+1</f>
        <v>33</v>
      </c>
      <c r="AH246" s="299">
        <f t="shared" ref="AH246" si="31">AG246+1</f>
        <v>34</v>
      </c>
      <c r="AI246" s="299">
        <f t="shared" ref="AI246" si="32">AH246+1</f>
        <v>35</v>
      </c>
      <c r="AJ246" s="299">
        <f t="shared" ref="AJ246" si="33">AI246+1</f>
        <v>36</v>
      </c>
      <c r="AK246" s="299">
        <f t="shared" ref="AK246" si="34">AJ246+1</f>
        <v>37</v>
      </c>
      <c r="AL246" s="299">
        <f t="shared" ref="AL246" si="35">AK246+1</f>
        <v>38</v>
      </c>
      <c r="AM246" s="299">
        <f t="shared" ref="AM246" si="36">AL246+1</f>
        <v>39</v>
      </c>
      <c r="AN246" s="299">
        <f t="shared" ref="AN246" si="37">AM246+1</f>
        <v>40</v>
      </c>
      <c r="AO246" s="299">
        <f t="shared" ref="AO246" si="38">AN246+1</f>
        <v>41</v>
      </c>
      <c r="AP246" s="299">
        <f t="shared" ref="AP246" si="39">AO246+1</f>
        <v>42</v>
      </c>
      <c r="AQ246" s="299">
        <f t="shared" ref="AQ246" si="40">AP246+1</f>
        <v>43</v>
      </c>
      <c r="AR246" s="299">
        <f t="shared" ref="AR246" si="41">AQ246+1</f>
        <v>44</v>
      </c>
    </row>
  </sheetData>
  <sheetProtection password="80F5" sheet="1" objects="1" scenarios="1" formatCells="0" formatColumns="0" formatRows="0"/>
  <autoFilter ref="A11:AR246">
    <filterColumn colId="2">
      <filters blank="1">
        <filter val="2008"/>
        <filter val="2009"/>
        <filter val="2010"/>
        <filter val="2011"/>
        <filter val="Disclosure Year"/>
      </filters>
    </filterColumn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</autoFilter>
  <mergeCells count="11">
    <mergeCell ref="D11:P11"/>
    <mergeCell ref="D12:E12"/>
    <mergeCell ref="F12:G12"/>
    <mergeCell ref="H12:I12"/>
    <mergeCell ref="R11:AR11"/>
    <mergeCell ref="R12:T12"/>
    <mergeCell ref="V12:X12"/>
    <mergeCell ref="Z12:AB12"/>
    <mergeCell ref="AD12:AF12"/>
    <mergeCell ref="AH12:AJ12"/>
    <mergeCell ref="AL12:AN12"/>
  </mergeCells>
  <pageMargins left="0.7" right="0.7" top="0.75" bottom="0.75" header="0.3" footer="0.3"/>
  <pageSetup paperSize="9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00B050"/>
  </sheetPr>
  <dimension ref="A2:N445"/>
  <sheetViews>
    <sheetView showGridLines="0" zoomScale="70" zoomScaleNormal="70" workbookViewId="0">
      <pane xSplit="4" ySplit="9" topLeftCell="E157" activePane="bottomRight" state="frozen"/>
      <selection activeCell="F253" sqref="F253"/>
      <selection pane="topRight" activeCell="F253" sqref="F253"/>
      <selection pane="bottomLeft" activeCell="F253" sqref="F253"/>
      <selection pane="bottomRight"/>
    </sheetView>
  </sheetViews>
  <sheetFormatPr defaultColWidth="9.140625" defaultRowHeight="15"/>
  <cols>
    <col min="1" max="1" width="4.42578125" style="271" customWidth="1"/>
    <col min="2" max="2" width="15.5703125" style="273" customWidth="1"/>
    <col min="3" max="3" width="9.5703125" style="273" customWidth="1"/>
    <col min="4" max="4" width="13.42578125" style="273" customWidth="1"/>
    <col min="5" max="5" width="15.28515625" style="30" customWidth="1"/>
    <col min="6" max="6" width="11.7109375" style="30" customWidth="1"/>
    <col min="7" max="7" width="17.28515625" style="30" customWidth="1"/>
    <col min="8" max="8" width="16.7109375" style="30" customWidth="1"/>
    <col min="9" max="9" width="11.7109375" style="30" customWidth="1"/>
    <col min="10" max="10" width="17.85546875" style="30" customWidth="1"/>
    <col min="11" max="11" width="12.7109375" style="30" customWidth="1"/>
    <col min="12" max="12" width="18.42578125" style="30" customWidth="1"/>
    <col min="13" max="14" width="16.28515625" style="30" customWidth="1"/>
    <col min="15" max="16384" width="9.140625" style="273"/>
  </cols>
  <sheetData>
    <row r="2" spans="1:14" ht="15.75">
      <c r="B2" s="264" t="s">
        <v>324</v>
      </c>
    </row>
    <row r="4" spans="1:14">
      <c r="B4" s="266" t="s">
        <v>325</v>
      </c>
    </row>
    <row r="5" spans="1:14">
      <c r="B5" s="266" t="s">
        <v>503</v>
      </c>
    </row>
    <row r="6" spans="1:14">
      <c r="B6" s="266" t="s">
        <v>327</v>
      </c>
    </row>
    <row r="7" spans="1:14" ht="15.75" thickBot="1">
      <c r="B7" s="266"/>
    </row>
    <row r="8" spans="1:14" ht="15.75" hidden="1" thickBot="1">
      <c r="B8" s="300"/>
      <c r="E8" s="301"/>
      <c r="F8" s="273"/>
      <c r="H8" s="301"/>
      <c r="I8" s="273"/>
      <c r="J8" s="273"/>
      <c r="K8" s="38"/>
      <c r="L8" s="39"/>
      <c r="M8" s="40"/>
      <c r="N8" s="273"/>
    </row>
    <row r="9" spans="1:14" ht="75">
      <c r="B9" s="302" t="s">
        <v>28</v>
      </c>
      <c r="C9" s="303" t="s">
        <v>139</v>
      </c>
      <c r="D9" s="303" t="s">
        <v>140</v>
      </c>
      <c r="E9" s="41" t="s">
        <v>93</v>
      </c>
      <c r="F9" s="41" t="s">
        <v>94</v>
      </c>
      <c r="G9" s="41" t="s">
        <v>96</v>
      </c>
      <c r="H9" s="41" t="s">
        <v>95</v>
      </c>
      <c r="I9" s="41" t="s">
        <v>97</v>
      </c>
      <c r="J9" s="42" t="s">
        <v>328</v>
      </c>
      <c r="K9" s="41" t="s">
        <v>98</v>
      </c>
      <c r="L9" s="41" t="s">
        <v>99</v>
      </c>
      <c r="M9" s="41" t="s">
        <v>100</v>
      </c>
      <c r="N9" s="638" t="s">
        <v>329</v>
      </c>
    </row>
    <row r="10" spans="1:14" s="278" customFormat="1">
      <c r="A10" s="271">
        <f>References!K258</f>
        <v>9</v>
      </c>
      <c r="B10" s="305" t="s">
        <v>29</v>
      </c>
      <c r="C10" s="284">
        <v>2009</v>
      </c>
      <c r="D10" s="284">
        <v>2010</v>
      </c>
      <c r="E10" s="31">
        <f>VLOOKUP('AM (2011)'!$C10+1,CPI!$B$50:$I$63,8,FALSE)*'AM (nominal)'!E10</f>
        <v>3311.2150036377348</v>
      </c>
      <c r="F10" s="31">
        <f>VLOOKUP('AM (2011)'!$C10+1,CPI!$B$50:$I$63,8,FALSE)*'AM (nominal)'!F10</f>
        <v>7972.3868933739313</v>
      </c>
      <c r="G10" s="31">
        <f>VLOOKUP('AM (2011)'!$C10+1,CPI!$B$50:$I$63,8,FALSE)*'AM (nominal)'!G10</f>
        <v>2832.3623723424316</v>
      </c>
      <c r="H10" s="31">
        <f>VLOOKUP('AM (2011)'!$C10+1,CPI!$B$50:$I$63,8,FALSE)*'AM (nominal)'!H10</f>
        <v>224.1437848616313</v>
      </c>
      <c r="I10" s="31">
        <f>VLOOKUP('AM (2011)'!$C10+1,CPI!$B$50:$I$63,8,FALSE)*'AM (nominal)'!I10</f>
        <v>1324.4860014550941</v>
      </c>
      <c r="J10" s="27">
        <f>VLOOKUP('AM (2011)'!$C10+1,CPI!$B$50:$I$63,8,FALSE)*'AM (nominal)'!J10</f>
        <v>15664.594055670823</v>
      </c>
      <c r="K10" s="31">
        <f>VLOOKUP('AM (2011)'!$C10+1,CPI!$B$50:$I$63,8,FALSE)*'AM (nominal)'!K10</f>
        <v>1086.078521193177</v>
      </c>
      <c r="L10" s="31">
        <f>VLOOKUP('AM (2011)'!$C10+1,CPI!$B$50:$I$63,8,FALSE)*'AM (nominal)'!L10</f>
        <v>761.07003314381166</v>
      </c>
      <c r="M10" s="31">
        <f>VLOOKUP('AM (2011)'!$C10+1,CPI!$B$50:$I$63,8,FALSE)*'AM (nominal)'!M10</f>
        <v>399.38347120799756</v>
      </c>
      <c r="N10" s="639">
        <f>VLOOKUP('AM (2011)'!$C10+1,CPI!$B$50:$I$63,8,FALSE)*'AM (nominal)'!N10</f>
        <v>2246.5320255449865</v>
      </c>
    </row>
    <row r="11" spans="1:14" s="278" customFormat="1">
      <c r="A11" s="271">
        <f>References!L258</f>
        <v>10</v>
      </c>
      <c r="B11" s="305" t="s">
        <v>29</v>
      </c>
      <c r="C11" s="284">
        <v>2009</v>
      </c>
      <c r="D11" s="284">
        <v>2011</v>
      </c>
      <c r="E11" s="31">
        <f>VLOOKUP('AM (2011)'!$C11+1,CPI!$B$50:$I$63,8,FALSE)*'AM (nominal)'!E11</f>
        <v>3097.2595726334507</v>
      </c>
      <c r="F11" s="31">
        <f>VLOOKUP('AM (2011)'!$C11+1,CPI!$B$50:$I$63,8,FALSE)*'AM (nominal)'!F11</f>
        <v>14498.027539004606</v>
      </c>
      <c r="G11" s="31">
        <f>VLOOKUP('AM (2011)'!$C11+1,CPI!$B$50:$I$63,8,FALSE)*'AM (nominal)'!G11</f>
        <v>2545.0507935652499</v>
      </c>
      <c r="H11" s="31">
        <f>VLOOKUP('AM (2011)'!$C11+1,CPI!$B$50:$I$63,8,FALSE)*'AM (nominal)'!H11</f>
        <v>489.04098515265008</v>
      </c>
      <c r="I11" s="31">
        <f>VLOOKUP('AM (2011)'!$C11+1,CPI!$B$50:$I$63,8,FALSE)*'AM (nominal)'!I11</f>
        <v>1900.1279943951924</v>
      </c>
      <c r="J11" s="27">
        <f>VLOOKUP('AM (2011)'!$C11+1,CPI!$B$50:$I$63,8,FALSE)*'AM (nominal)'!J11</f>
        <v>22529.50688475115</v>
      </c>
      <c r="K11" s="31">
        <f>VLOOKUP('AM (2011)'!$C11+1,CPI!$B$50:$I$63,8,FALSE)*'AM (nominal)'!K11</f>
        <v>1129.8884427797686</v>
      </c>
      <c r="L11" s="31">
        <f>VLOOKUP('AM (2011)'!$C11+1,CPI!$B$50:$I$63,8,FALSE)*'AM (nominal)'!L11</f>
        <v>791.63509471585235</v>
      </c>
      <c r="M11" s="31">
        <f>VLOOKUP('AM (2011)'!$C11+1,CPI!$B$50:$I$63,8,FALSE)*'AM (nominal)'!M11</f>
        <v>415.68483737975259</v>
      </c>
      <c r="N11" s="639">
        <f>VLOOKUP('AM (2011)'!$C11+1,CPI!$B$50:$I$63,8,FALSE)*'AM (nominal)'!N11</f>
        <v>2337.2083748753735</v>
      </c>
    </row>
    <row r="12" spans="1:14" s="278" customFormat="1">
      <c r="A12" s="271">
        <f>References!M258</f>
        <v>11</v>
      </c>
      <c r="B12" s="305" t="s">
        <v>29</v>
      </c>
      <c r="C12" s="284">
        <v>2009</v>
      </c>
      <c r="D12" s="284">
        <v>2012</v>
      </c>
      <c r="E12" s="31">
        <f>VLOOKUP('AM (2011)'!$C12+1,CPI!$B$50:$I$63,8,FALSE)*'AM (nominal)'!E12</f>
        <v>3199.1431112069195</v>
      </c>
      <c r="F12" s="31">
        <f>VLOOKUP('AM (2011)'!$C12+1,CPI!$B$50:$I$63,8,FALSE)*'AM (nominal)'!F12</f>
        <v>14378.823798873647</v>
      </c>
      <c r="G12" s="31">
        <f>VLOOKUP('AM (2011)'!$C12+1,CPI!$B$50:$I$63,8,FALSE)*'AM (nominal)'!G12</f>
        <v>3093.1842310905117</v>
      </c>
      <c r="H12" s="31">
        <f>VLOOKUP('AM (2011)'!$C12+1,CPI!$B$50:$I$63,8,FALSE)*'AM (nominal)'!H12</f>
        <v>1029.0237395920346</v>
      </c>
      <c r="I12" s="31">
        <f>VLOOKUP('AM (2011)'!$C12+1,CPI!$B$50:$I$63,8,FALSE)*'AM (nominal)'!I12</f>
        <v>1459.9911077578074</v>
      </c>
      <c r="J12" s="27">
        <f>VLOOKUP('AM (2011)'!$C12+1,CPI!$B$50:$I$63,8,FALSE)*'AM (nominal)'!J12</f>
        <v>23160.165988520919</v>
      </c>
      <c r="K12" s="31">
        <f>VLOOKUP('AM (2011)'!$C12+1,CPI!$B$50:$I$63,8,FALSE)*'AM (nominal)'!K12</f>
        <v>1174.717199752095</v>
      </c>
      <c r="L12" s="31">
        <f>VLOOKUP('AM (2011)'!$C12+1,CPI!$B$50:$I$63,8,FALSE)*'AM (nominal)'!L12</f>
        <v>823.21899167362767</v>
      </c>
      <c r="M12" s="31">
        <f>VLOOKUP('AM (2011)'!$C12+1,CPI!$B$50:$I$63,8,FALSE)*'AM (nominal)'!M12</f>
        <v>431.98620355150757</v>
      </c>
      <c r="N12" s="639">
        <f>VLOOKUP('AM (2011)'!$C12+1,CPI!$B$50:$I$63,8,FALSE)*'AM (nominal)'!N12</f>
        <v>2429.9223949772299</v>
      </c>
    </row>
    <row r="13" spans="1:14" s="278" customFormat="1">
      <c r="A13" s="271">
        <f>References!N258</f>
        <v>12</v>
      </c>
      <c r="B13" s="305" t="s">
        <v>29</v>
      </c>
      <c r="C13" s="284">
        <v>2009</v>
      </c>
      <c r="D13" s="284">
        <v>2013</v>
      </c>
      <c r="E13" s="31">
        <f>VLOOKUP('AM (2011)'!$C13+1,CPI!$B$50:$I$63,8,FALSE)*'AM (nominal)'!E13</f>
        <v>4983.1238716283578</v>
      </c>
      <c r="F13" s="31">
        <f>VLOOKUP('AM (2011)'!$C13+1,CPI!$B$50:$I$63,8,FALSE)*'AM (nominal)'!F13</f>
        <v>5298.9628412061111</v>
      </c>
      <c r="G13" s="31">
        <f>VLOOKUP('AM (2011)'!$C13+1,CPI!$B$50:$I$63,8,FALSE)*'AM (nominal)'!G13</f>
        <v>5026.9337932149492</v>
      </c>
      <c r="H13" s="31">
        <f>VLOOKUP('AM (2011)'!$C13+1,CPI!$B$50:$I$63,8,FALSE)*'AM (nominal)'!H13</f>
        <v>853.78405324566825</v>
      </c>
      <c r="I13" s="31">
        <f>VLOOKUP('AM (2011)'!$C13+1,CPI!$B$50:$I$63,8,FALSE)*'AM (nominal)'!I13</f>
        <v>511.4553636388132</v>
      </c>
      <c r="J13" s="27">
        <f>VLOOKUP('AM (2011)'!$C13+1,CPI!$B$50:$I$63,8,FALSE)*'AM (nominal)'!J13</f>
        <v>16674.259922933899</v>
      </c>
      <c r="K13" s="31">
        <f>VLOOKUP('AM (2011)'!$C13+1,CPI!$B$50:$I$63,8,FALSE)*'AM (nominal)'!K13</f>
        <v>1245.0168413677884</v>
      </c>
      <c r="L13" s="31">
        <f>VLOOKUP('AM (2011)'!$C13+1,CPI!$B$50:$I$63,8,FALSE)*'AM (nominal)'!L13</f>
        <v>872.12309018889266</v>
      </c>
      <c r="M13" s="31">
        <f>VLOOKUP('AM (2011)'!$C13+1,CPI!$B$50:$I$63,8,FALSE)*'AM (nominal)'!M13</f>
        <v>458.47592358060945</v>
      </c>
      <c r="N13" s="639">
        <f>VLOOKUP('AM (2011)'!$C13+1,CPI!$B$50:$I$63,8,FALSE)*'AM (nominal)'!N13</f>
        <v>2575.6158551372905</v>
      </c>
    </row>
    <row r="14" spans="1:14" s="278" customFormat="1">
      <c r="A14" s="271">
        <f>References!O258</f>
        <v>13</v>
      </c>
      <c r="B14" s="305" t="s">
        <v>29</v>
      </c>
      <c r="C14" s="284">
        <v>2009</v>
      </c>
      <c r="D14" s="284">
        <v>2014</v>
      </c>
      <c r="E14" s="31">
        <f>VLOOKUP('AM (2011)'!$C14+1,CPI!$B$50:$I$63,8,FALSE)*'AM (nominal)'!E14</f>
        <v>3526.189270027754</v>
      </c>
      <c r="F14" s="31">
        <f>VLOOKUP('AM (2011)'!$C14+1,CPI!$B$50:$I$63,8,FALSE)*'AM (nominal)'!F14</f>
        <v>5557.7470291827212</v>
      </c>
      <c r="G14" s="31">
        <f>VLOOKUP('AM (2011)'!$C14+1,CPI!$B$50:$I$63,8,FALSE)*'AM (nominal)'!G14</f>
        <v>1989.7855083398451</v>
      </c>
      <c r="H14" s="31">
        <f>VLOOKUP('AM (2011)'!$C14+1,CPI!$B$50:$I$63,8,FALSE)*'AM (nominal)'!H14</f>
        <v>2201.7032685726599</v>
      </c>
      <c r="I14" s="31">
        <f>VLOOKUP('AM (2011)'!$C14+1,CPI!$B$50:$I$63,8,FALSE)*'AM (nominal)'!I14</f>
        <v>203.76707714693754</v>
      </c>
      <c r="J14" s="27">
        <f>VLOOKUP('AM (2011)'!$C14+1,CPI!$B$50:$I$63,8,FALSE)*'AM (nominal)'!J14</f>
        <v>13479.192153269918</v>
      </c>
      <c r="K14" s="31">
        <f>VLOOKUP('AM (2011)'!$C14+1,CPI!$B$50:$I$63,8,FALSE)*'AM (nominal)'!K14</f>
        <v>1320.4106599121553</v>
      </c>
      <c r="L14" s="31">
        <f>VLOOKUP('AM (2011)'!$C14+1,CPI!$B$50:$I$63,8,FALSE)*'AM (nominal)'!L14</f>
        <v>925.10253024709641</v>
      </c>
      <c r="M14" s="31">
        <f>VLOOKUP('AM (2011)'!$C14+1,CPI!$B$50:$I$63,8,FALSE)*'AM (nominal)'!M14</f>
        <v>485.98447899544601</v>
      </c>
      <c r="N14" s="639">
        <f>VLOOKUP('AM (2011)'!$C14+1,CPI!$B$50:$I$63,8,FALSE)*'AM (nominal)'!N14</f>
        <v>2731.4976691546976</v>
      </c>
    </row>
    <row r="15" spans="1:14" s="278" customFormat="1">
      <c r="A15" s="271">
        <f>References!P258</f>
        <v>14</v>
      </c>
      <c r="B15" s="305" t="s">
        <v>29</v>
      </c>
      <c r="C15" s="284">
        <v>2010</v>
      </c>
      <c r="D15" s="284">
        <v>2011</v>
      </c>
      <c r="E15" s="31">
        <f>VLOOKUP('AM (2011)'!$C15+1,CPI!$B$50:$I$63,8,FALSE)*'AM (nominal)'!E15</f>
        <v>2463</v>
      </c>
      <c r="F15" s="31">
        <f>VLOOKUP('AM (2011)'!$C15+1,CPI!$B$50:$I$63,8,FALSE)*'AM (nominal)'!F15</f>
        <v>15850</v>
      </c>
      <c r="G15" s="31">
        <f>VLOOKUP('AM (2011)'!$C15+1,CPI!$B$50:$I$63,8,FALSE)*'AM (nominal)'!G15</f>
        <v>1535</v>
      </c>
      <c r="H15" s="31">
        <f>VLOOKUP('AM (2011)'!$C15+1,CPI!$B$50:$I$63,8,FALSE)*'AM (nominal)'!H15</f>
        <v>3790</v>
      </c>
      <c r="I15" s="31">
        <f>VLOOKUP('AM (2011)'!$C15+1,CPI!$B$50:$I$63,8,FALSE)*'AM (nominal)'!I15</f>
        <v>0</v>
      </c>
      <c r="J15" s="27">
        <f>VLOOKUP('AM (2011)'!$C15+1,CPI!$B$50:$I$63,8,FALSE)*'AM (nominal)'!J15</f>
        <v>23638</v>
      </c>
      <c r="K15" s="31">
        <f>VLOOKUP('AM (2011)'!$C15+1,CPI!$B$50:$I$63,8,FALSE)*'AM (nominal)'!K15</f>
        <v>1602</v>
      </c>
      <c r="L15" s="31">
        <f>VLOOKUP('AM (2011)'!$C15+1,CPI!$B$50:$I$63,8,FALSE)*'AM (nominal)'!L15</f>
        <v>1134</v>
      </c>
      <c r="M15" s="31">
        <f>VLOOKUP('AM (2011)'!$C15+1,CPI!$B$50:$I$63,8,FALSE)*'AM (nominal)'!M15</f>
        <v>1600</v>
      </c>
      <c r="N15" s="639">
        <f>VLOOKUP('AM (2011)'!$C15+1,CPI!$B$50:$I$63,8,FALSE)*'AM (nominal)'!N15</f>
        <v>4336</v>
      </c>
    </row>
    <row r="16" spans="1:14" s="278" customFormat="1">
      <c r="A16" s="271">
        <f>References!Q258</f>
        <v>15</v>
      </c>
      <c r="B16" s="305" t="s">
        <v>29</v>
      </c>
      <c r="C16" s="284">
        <v>2010</v>
      </c>
      <c r="D16" s="284">
        <v>2012</v>
      </c>
      <c r="E16" s="31">
        <f>VLOOKUP('AM (2011)'!$C16+1,CPI!$B$50:$I$63,8,FALSE)*'AM (nominal)'!E16</f>
        <v>7013</v>
      </c>
      <c r="F16" s="31">
        <f>VLOOKUP('AM (2011)'!$C16+1,CPI!$B$50:$I$63,8,FALSE)*'AM (nominal)'!F16</f>
        <v>8502</v>
      </c>
      <c r="G16" s="31">
        <f>VLOOKUP('AM (2011)'!$C16+1,CPI!$B$50:$I$63,8,FALSE)*'AM (nominal)'!G16</f>
        <v>2918</v>
      </c>
      <c r="H16" s="31">
        <f>VLOOKUP('AM (2011)'!$C16+1,CPI!$B$50:$I$63,8,FALSE)*'AM (nominal)'!H16</f>
        <v>2991</v>
      </c>
      <c r="I16" s="31">
        <f>VLOOKUP('AM (2011)'!$C16+1,CPI!$B$50:$I$63,8,FALSE)*'AM (nominal)'!I16</f>
        <v>150</v>
      </c>
      <c r="J16" s="27">
        <f>VLOOKUP('AM (2011)'!$C16+1,CPI!$B$50:$I$63,8,FALSE)*'AM (nominal)'!J16</f>
        <v>21574</v>
      </c>
      <c r="K16" s="31">
        <f>VLOOKUP('AM (2011)'!$C16+1,CPI!$B$50:$I$63,8,FALSE)*'AM (nominal)'!K16</f>
        <v>1698</v>
      </c>
      <c r="L16" s="31">
        <f>VLOOKUP('AM (2011)'!$C16+1,CPI!$B$50:$I$63,8,FALSE)*'AM (nominal)'!L16</f>
        <v>1202</v>
      </c>
      <c r="M16" s="31">
        <f>VLOOKUP('AM (2011)'!$C16+1,CPI!$B$50:$I$63,8,FALSE)*'AM (nominal)'!M16</f>
        <v>1696</v>
      </c>
      <c r="N16" s="639">
        <f>VLOOKUP('AM (2011)'!$C16+1,CPI!$B$50:$I$63,8,FALSE)*'AM (nominal)'!N16</f>
        <v>4596</v>
      </c>
    </row>
    <row r="17" spans="1:14" s="278" customFormat="1">
      <c r="A17" s="271">
        <f>References!R258</f>
        <v>16</v>
      </c>
      <c r="B17" s="305" t="s">
        <v>29</v>
      </c>
      <c r="C17" s="284">
        <v>2010</v>
      </c>
      <c r="D17" s="284">
        <v>2013</v>
      </c>
      <c r="E17" s="31">
        <f>VLOOKUP('AM (2011)'!$C17+1,CPI!$B$50:$I$63,8,FALSE)*'AM (nominal)'!E17</f>
        <v>10924</v>
      </c>
      <c r="F17" s="31">
        <f>VLOOKUP('AM (2011)'!$C17+1,CPI!$B$50:$I$63,8,FALSE)*'AM (nominal)'!F17</f>
        <v>9282</v>
      </c>
      <c r="G17" s="31">
        <f>VLOOKUP('AM (2011)'!$C17+1,CPI!$B$50:$I$63,8,FALSE)*'AM (nominal)'!G17</f>
        <v>4013</v>
      </c>
      <c r="H17" s="31">
        <f>VLOOKUP('AM (2011)'!$C17+1,CPI!$B$50:$I$63,8,FALSE)*'AM (nominal)'!H17</f>
        <v>4154</v>
      </c>
      <c r="I17" s="31">
        <f>VLOOKUP('AM (2011)'!$C17+1,CPI!$B$50:$I$63,8,FALSE)*'AM (nominal)'!I17</f>
        <v>0</v>
      </c>
      <c r="J17" s="27">
        <f>VLOOKUP('AM (2011)'!$C17+1,CPI!$B$50:$I$63,8,FALSE)*'AM (nominal)'!J17</f>
        <v>28373</v>
      </c>
      <c r="K17" s="31">
        <f>VLOOKUP('AM (2011)'!$C17+1,CPI!$B$50:$I$63,8,FALSE)*'AM (nominal)'!K17</f>
        <v>1799</v>
      </c>
      <c r="L17" s="31">
        <f>VLOOKUP('AM (2011)'!$C17+1,CPI!$B$50:$I$63,8,FALSE)*'AM (nominal)'!L17</f>
        <v>1274</v>
      </c>
      <c r="M17" s="31">
        <f>VLOOKUP('AM (2011)'!$C17+1,CPI!$B$50:$I$63,8,FALSE)*'AM (nominal)'!M17</f>
        <v>1799</v>
      </c>
      <c r="N17" s="639">
        <f>VLOOKUP('AM (2011)'!$C17+1,CPI!$B$50:$I$63,8,FALSE)*'AM (nominal)'!N17</f>
        <v>4872</v>
      </c>
    </row>
    <row r="18" spans="1:14" s="278" customFormat="1">
      <c r="A18" s="271">
        <f>References!S258</f>
        <v>17</v>
      </c>
      <c r="B18" s="305" t="s">
        <v>29</v>
      </c>
      <c r="C18" s="284">
        <v>2010</v>
      </c>
      <c r="D18" s="284">
        <v>2014</v>
      </c>
      <c r="E18" s="31">
        <f>VLOOKUP('AM (2011)'!$C18+1,CPI!$B$50:$I$63,8,FALSE)*'AM (nominal)'!E18</f>
        <v>2940</v>
      </c>
      <c r="F18" s="31">
        <f>VLOOKUP('AM (2011)'!$C18+1,CPI!$B$50:$I$63,8,FALSE)*'AM (nominal)'!F18</f>
        <v>11380</v>
      </c>
      <c r="G18" s="31">
        <f>VLOOKUP('AM (2011)'!$C18+1,CPI!$B$50:$I$63,8,FALSE)*'AM (nominal)'!G18</f>
        <v>3506</v>
      </c>
      <c r="H18" s="31">
        <f>VLOOKUP('AM (2011)'!$C18+1,CPI!$B$50:$I$63,8,FALSE)*'AM (nominal)'!H18</f>
        <v>1217</v>
      </c>
      <c r="I18" s="31">
        <f>VLOOKUP('AM (2011)'!$C18+1,CPI!$B$50:$I$63,8,FALSE)*'AM (nominal)'!I18</f>
        <v>0</v>
      </c>
      <c r="J18" s="27">
        <f>VLOOKUP('AM (2011)'!$C18+1,CPI!$B$50:$I$63,8,FALSE)*'AM (nominal)'!J18</f>
        <v>19043</v>
      </c>
      <c r="K18" s="31">
        <f>VLOOKUP('AM (2011)'!$C18+1,CPI!$B$50:$I$63,8,FALSE)*'AM (nominal)'!K18</f>
        <v>1890</v>
      </c>
      <c r="L18" s="31">
        <f>VLOOKUP('AM (2011)'!$C18+1,CPI!$B$50:$I$63,8,FALSE)*'AM (nominal)'!L18</f>
        <v>1338</v>
      </c>
      <c r="M18" s="31">
        <f>VLOOKUP('AM (2011)'!$C18+1,CPI!$B$50:$I$63,8,FALSE)*'AM (nominal)'!M18</f>
        <v>1888</v>
      </c>
      <c r="N18" s="639">
        <f>VLOOKUP('AM (2011)'!$C18+1,CPI!$B$50:$I$63,8,FALSE)*'AM (nominal)'!N18</f>
        <v>5116</v>
      </c>
    </row>
    <row r="19" spans="1:14" s="278" customFormat="1">
      <c r="A19" s="271">
        <f>References!T258</f>
        <v>18</v>
      </c>
      <c r="B19" s="305" t="s">
        <v>29</v>
      </c>
      <c r="C19" s="284">
        <v>2010</v>
      </c>
      <c r="D19" s="284">
        <v>2015</v>
      </c>
      <c r="E19" s="31">
        <f>VLOOKUP('AM (2011)'!$C19+1,CPI!$B$50:$I$63,8,FALSE)*'AM (nominal)'!E19</f>
        <v>3146</v>
      </c>
      <c r="F19" s="31">
        <f>VLOOKUP('AM (2011)'!$C19+1,CPI!$B$50:$I$63,8,FALSE)*'AM (nominal)'!F19</f>
        <v>7162</v>
      </c>
      <c r="G19" s="31">
        <f>VLOOKUP('AM (2011)'!$C19+1,CPI!$B$50:$I$63,8,FALSE)*'AM (nominal)'!G19</f>
        <v>815</v>
      </c>
      <c r="H19" s="31">
        <f>VLOOKUP('AM (2011)'!$C19+1,CPI!$B$50:$I$63,8,FALSE)*'AM (nominal)'!H19</f>
        <v>1273</v>
      </c>
      <c r="I19" s="31">
        <f>VLOOKUP('AM (2011)'!$C19+1,CPI!$B$50:$I$63,8,FALSE)*'AM (nominal)'!I19</f>
        <v>0</v>
      </c>
      <c r="J19" s="27">
        <f>VLOOKUP('AM (2011)'!$C19+1,CPI!$B$50:$I$63,8,FALSE)*'AM (nominal)'!J19</f>
        <v>12396</v>
      </c>
      <c r="K19" s="31">
        <f>VLOOKUP('AM (2011)'!$C19+1,CPI!$B$50:$I$63,8,FALSE)*'AM (nominal)'!K19</f>
        <v>1964</v>
      </c>
      <c r="L19" s="31">
        <f>VLOOKUP('AM (2011)'!$C19+1,CPI!$B$50:$I$63,8,FALSE)*'AM (nominal)'!L19</f>
        <v>1392</v>
      </c>
      <c r="M19" s="31">
        <f>VLOOKUP('AM (2011)'!$C19+1,CPI!$B$50:$I$63,8,FALSE)*'AM (nominal)'!M19</f>
        <v>1964</v>
      </c>
      <c r="N19" s="639">
        <f>VLOOKUP('AM (2011)'!$C19+1,CPI!$B$50:$I$63,8,FALSE)*'AM (nominal)'!N19</f>
        <v>5320</v>
      </c>
    </row>
    <row r="20" spans="1:14" s="278" customFormat="1">
      <c r="A20" s="271">
        <f>References!U258</f>
        <v>19</v>
      </c>
      <c r="B20" s="305" t="s">
        <v>29</v>
      </c>
      <c r="C20" s="284">
        <v>2011</v>
      </c>
      <c r="D20" s="284">
        <v>2012</v>
      </c>
      <c r="E20" s="31">
        <f>VLOOKUP('AM (2011)'!$C20+1,CPI!$B$50:$I$63,8,FALSE)*'AM (nominal)'!E20</f>
        <v>2246.6032320620557</v>
      </c>
      <c r="F20" s="31">
        <f>VLOOKUP('AM (2011)'!$C20+1,CPI!$B$50:$I$63,8,FALSE)*'AM (nominal)'!F20</f>
        <v>13583.248610213315</v>
      </c>
      <c r="G20" s="31">
        <f>VLOOKUP('AM (2011)'!$C20+1,CPI!$B$50:$I$63,8,FALSE)*'AM (nominal)'!G20</f>
        <v>2251.4914027149321</v>
      </c>
      <c r="H20" s="31">
        <f>VLOOKUP('AM (2011)'!$C20+1,CPI!$B$50:$I$63,8,FALSE)*'AM (nominal)'!H20</f>
        <v>2026.6355526826114</v>
      </c>
      <c r="I20" s="31">
        <f>VLOOKUP('AM (2011)'!$C20+1,CPI!$B$50:$I$63,8,FALSE)*'AM (nominal)'!I20</f>
        <v>0</v>
      </c>
      <c r="J20" s="27">
        <f>VLOOKUP('AM (2011)'!$C20+1,CPI!$B$50:$I$63,8,FALSE)*'AM (nominal)'!J20</f>
        <v>20107.978797672913</v>
      </c>
      <c r="K20" s="31">
        <f>VLOOKUP('AM (2011)'!$C20+1,CPI!$B$50:$I$63,8,FALSE)*'AM (nominal)'!K20</f>
        <v>2222.1623787976728</v>
      </c>
      <c r="L20" s="31">
        <f>VLOOKUP('AM (2011)'!$C20+1,CPI!$B$50:$I$63,8,FALSE)*'AM (nominal)'!L20</f>
        <v>740.06903684550741</v>
      </c>
      <c r="M20" s="31">
        <f>VLOOKUP('AM (2011)'!$C20+1,CPI!$B$50:$I$63,8,FALSE)*'AM (nominal)'!M20</f>
        <v>1974.8209437621201</v>
      </c>
      <c r="N20" s="639">
        <f>VLOOKUP('AM (2011)'!$C20+1,CPI!$B$50:$I$63,8,FALSE)*'AM (nominal)'!N20</f>
        <v>4937.0523594053002</v>
      </c>
    </row>
    <row r="21" spans="1:14" s="278" customFormat="1">
      <c r="A21" s="271">
        <f>References!V258</f>
        <v>20</v>
      </c>
      <c r="B21" s="305" t="s">
        <v>29</v>
      </c>
      <c r="C21" s="284">
        <v>2011</v>
      </c>
      <c r="D21" s="284">
        <v>2013</v>
      </c>
      <c r="E21" s="31">
        <f>VLOOKUP('AM (2011)'!$C21+1,CPI!$B$50:$I$63,8,FALSE)*'AM (nominal)'!E21</f>
        <v>2394.2259857789268</v>
      </c>
      <c r="F21" s="31">
        <f>VLOOKUP('AM (2011)'!$C21+1,CPI!$B$50:$I$63,8,FALSE)*'AM (nominal)'!F21</f>
        <v>9303.1663865546216</v>
      </c>
      <c r="G21" s="31">
        <f>VLOOKUP('AM (2011)'!$C21+1,CPI!$B$50:$I$63,8,FALSE)*'AM (nominal)'!G21</f>
        <v>3268.2308985132513</v>
      </c>
      <c r="H21" s="31">
        <f>VLOOKUP('AM (2011)'!$C21+1,CPI!$B$50:$I$63,8,FALSE)*'AM (nominal)'!H21</f>
        <v>537.69877181641891</v>
      </c>
      <c r="I21" s="31">
        <f>VLOOKUP('AM (2011)'!$C21+1,CPI!$B$50:$I$63,8,FALSE)*'AM (nominal)'!I21</f>
        <v>0</v>
      </c>
      <c r="J21" s="27">
        <f>VLOOKUP('AM (2011)'!$C21+1,CPI!$B$50:$I$63,8,FALSE)*'AM (nominal)'!J21</f>
        <v>15503.322042663218</v>
      </c>
      <c r="K21" s="31">
        <f>VLOOKUP('AM (2011)'!$C21+1,CPI!$B$50:$I$63,8,FALSE)*'AM (nominal)'!K21</f>
        <v>2354.1429864253391</v>
      </c>
      <c r="L21" s="31">
        <f>VLOOKUP('AM (2011)'!$C21+1,CPI!$B$50:$I$63,8,FALSE)*'AM (nominal)'!L21</f>
        <v>785.04020685197156</v>
      </c>
      <c r="M21" s="31">
        <f>VLOOKUP('AM (2011)'!$C21+1,CPI!$B$50:$I$63,8,FALSE)*'AM (nominal)'!M21</f>
        <v>2093.1146735617322</v>
      </c>
      <c r="N21" s="639">
        <f>VLOOKUP('AM (2011)'!$C21+1,CPI!$B$50:$I$63,8,FALSE)*'AM (nominal)'!N21</f>
        <v>5232.2978668390433</v>
      </c>
    </row>
    <row r="22" spans="1:14" s="278" customFormat="1">
      <c r="A22" s="271">
        <f>References!W258</f>
        <v>21</v>
      </c>
      <c r="B22" s="305" t="s">
        <v>29</v>
      </c>
      <c r="C22" s="284">
        <v>2011</v>
      </c>
      <c r="D22" s="284">
        <v>2014</v>
      </c>
      <c r="E22" s="31">
        <f>VLOOKUP('AM (2011)'!$C22+1,CPI!$B$50:$I$63,8,FALSE)*'AM (nominal)'!E22</f>
        <v>2540.8711053652228</v>
      </c>
      <c r="F22" s="31">
        <f>VLOOKUP('AM (2011)'!$C22+1,CPI!$B$50:$I$63,8,FALSE)*'AM (nominal)'!F22</f>
        <v>10352.167808661927</v>
      </c>
      <c r="G22" s="31">
        <f>VLOOKUP('AM (2011)'!$C22+1,CPI!$B$50:$I$63,8,FALSE)*'AM (nominal)'!G22</f>
        <v>1669.7990950226244</v>
      </c>
      <c r="H22" s="31">
        <f>VLOOKUP('AM (2011)'!$C22+1,CPI!$B$50:$I$63,8,FALSE)*'AM (nominal)'!H22</f>
        <v>342.17194570135746</v>
      </c>
      <c r="I22" s="31">
        <f>VLOOKUP('AM (2011)'!$C22+1,CPI!$B$50:$I$63,8,FALSE)*'AM (nominal)'!I22</f>
        <v>0</v>
      </c>
      <c r="J22" s="27">
        <f>VLOOKUP('AM (2011)'!$C22+1,CPI!$B$50:$I$63,8,FALSE)*'AM (nominal)'!J22</f>
        <v>14905.009954751131</v>
      </c>
      <c r="K22" s="31">
        <f>VLOOKUP('AM (2011)'!$C22+1,CPI!$B$50:$I$63,8,FALSE)*'AM (nominal)'!K22</f>
        <v>2473.4143503555269</v>
      </c>
      <c r="L22" s="31">
        <f>VLOOKUP('AM (2011)'!$C22+1,CPI!$B$50:$I$63,8,FALSE)*'AM (nominal)'!L22</f>
        <v>824.14557207498376</v>
      </c>
      <c r="M22" s="31">
        <f>VLOOKUP('AM (2011)'!$C22+1,CPI!$B$50:$I$63,8,FALSE)*'AM (nominal)'!M22</f>
        <v>2197.7215255332903</v>
      </c>
      <c r="N22" s="639">
        <f>VLOOKUP('AM (2011)'!$C22+1,CPI!$B$50:$I$63,8,FALSE)*'AM (nominal)'!N22</f>
        <v>5495.2814479638009</v>
      </c>
    </row>
    <row r="23" spans="1:14" s="278" customFormat="1">
      <c r="A23" s="271">
        <f>References!X258</f>
        <v>22</v>
      </c>
      <c r="B23" s="305" t="s">
        <v>29</v>
      </c>
      <c r="C23" s="284">
        <v>2011</v>
      </c>
      <c r="D23" s="284">
        <v>2015</v>
      </c>
      <c r="E23" s="31">
        <f>VLOOKUP('AM (2011)'!$C23+1,CPI!$B$50:$I$63,8,FALSE)*'AM (nominal)'!E23</f>
        <v>2718.8005171299287</v>
      </c>
      <c r="F23" s="31">
        <f>VLOOKUP('AM (2011)'!$C23+1,CPI!$B$50:$I$63,8,FALSE)*'AM (nominal)'!F23</f>
        <v>5735.7794440853258</v>
      </c>
      <c r="G23" s="31">
        <f>VLOOKUP('AM (2011)'!$C23+1,CPI!$B$50:$I$63,8,FALSE)*'AM (nominal)'!G23</f>
        <v>1310.0297349709115</v>
      </c>
      <c r="H23" s="31">
        <f>VLOOKUP('AM (2011)'!$C23+1,CPI!$B$50:$I$63,8,FALSE)*'AM (nominal)'!H23</f>
        <v>293.29023917259212</v>
      </c>
      <c r="I23" s="31">
        <f>VLOOKUP('AM (2011)'!$C23+1,CPI!$B$50:$I$63,8,FALSE)*'AM (nominal)'!I23</f>
        <v>0</v>
      </c>
      <c r="J23" s="27">
        <f>VLOOKUP('AM (2011)'!$C23+1,CPI!$B$50:$I$63,8,FALSE)*'AM (nominal)'!J23</f>
        <v>10057.899935358759</v>
      </c>
      <c r="K23" s="31">
        <f>VLOOKUP('AM (2011)'!$C23+1,CPI!$B$50:$I$63,8,FALSE)*'AM (nominal)'!K23</f>
        <v>2572.1553975436327</v>
      </c>
      <c r="L23" s="31">
        <f>VLOOKUP('AM (2011)'!$C23+1,CPI!$B$50:$I$63,8,FALSE)*'AM (nominal)'!L23</f>
        <v>857.38513251454424</v>
      </c>
      <c r="M23" s="31">
        <f>VLOOKUP('AM (2011)'!$C23+1,CPI!$B$50:$I$63,8,FALSE)*'AM (nominal)'!M23</f>
        <v>2285.7085972850678</v>
      </c>
      <c r="N23" s="639">
        <f>VLOOKUP('AM (2011)'!$C23+1,CPI!$B$50:$I$63,8,FALSE)*'AM (nominal)'!N23</f>
        <v>5715.2491273432452</v>
      </c>
    </row>
    <row r="24" spans="1:14" s="278" customFormat="1">
      <c r="A24" s="271">
        <f>References!Y258</f>
        <v>23</v>
      </c>
      <c r="B24" s="305" t="s">
        <v>29</v>
      </c>
      <c r="C24" s="284">
        <v>2011</v>
      </c>
      <c r="D24" s="284">
        <v>2016</v>
      </c>
      <c r="E24" s="31">
        <f>VLOOKUP('AM (2011)'!$C24+1,CPI!$B$50:$I$63,8,FALSE)*'AM (nominal)'!E24</f>
        <v>2909.4391725921137</v>
      </c>
      <c r="F24" s="31">
        <f>VLOOKUP('AM (2011)'!$C24+1,CPI!$B$50:$I$63,8,FALSE)*'AM (nominal)'!F24</f>
        <v>6811.1769877181641</v>
      </c>
      <c r="G24" s="31">
        <f>VLOOKUP('AM (2011)'!$C24+1,CPI!$B$50:$I$63,8,FALSE)*'AM (nominal)'!G24</f>
        <v>1114.5029088558499</v>
      </c>
      <c r="H24" s="31">
        <f>VLOOKUP('AM (2011)'!$C24+1,CPI!$B$50:$I$63,8,FALSE)*'AM (nominal)'!H24</f>
        <v>293.29023917259212</v>
      </c>
      <c r="I24" s="31">
        <f>VLOOKUP('AM (2011)'!$C24+1,CPI!$B$50:$I$63,8,FALSE)*'AM (nominal)'!I24</f>
        <v>0</v>
      </c>
      <c r="J24" s="27">
        <f>VLOOKUP('AM (2011)'!$C24+1,CPI!$B$50:$I$63,8,FALSE)*'AM (nominal)'!J24</f>
        <v>11128.40930833872</v>
      </c>
      <c r="K24" s="31">
        <f>VLOOKUP('AM (2011)'!$C24+1,CPI!$B$50:$I$63,8,FALSE)*'AM (nominal)'!K24</f>
        <v>2648.4108597285067</v>
      </c>
      <c r="L24" s="31">
        <f>VLOOKUP('AM (2011)'!$C24+1,CPI!$B$50:$I$63,8,FALSE)*'AM (nominal)'!L24</f>
        <v>882.80361990950223</v>
      </c>
      <c r="M24" s="31">
        <f>VLOOKUP('AM (2011)'!$C24+1,CPI!$B$50:$I$63,8,FALSE)*'AM (nominal)'!M24</f>
        <v>2354.1429864253391</v>
      </c>
      <c r="N24" s="639">
        <f>VLOOKUP('AM (2011)'!$C24+1,CPI!$B$50:$I$63,8,FALSE)*'AM (nominal)'!N24</f>
        <v>5885.3574660633485</v>
      </c>
    </row>
    <row r="25" spans="1:14" s="278" customFormat="1">
      <c r="A25" s="271">
        <f>References!K265</f>
        <v>170</v>
      </c>
      <c r="B25" s="305" t="s">
        <v>36</v>
      </c>
      <c r="C25" s="284">
        <v>2009</v>
      </c>
      <c r="D25" s="284">
        <v>2010</v>
      </c>
      <c r="E25" s="31">
        <f>VLOOKUP('AM (2011)'!$C25+1,CPI!$B$50:$I$63,8,FALSE)*'AM (nominal)'!E25</f>
        <v>682.61970844224072</v>
      </c>
      <c r="F25" s="31">
        <f>VLOOKUP('AM (2011)'!$C25+1,CPI!$B$50:$I$63,8,FALSE)*'AM (nominal)'!F25</f>
        <v>10739.543801029344</v>
      </c>
      <c r="G25" s="31">
        <f>VLOOKUP('AM (2011)'!$C25+1,CPI!$B$50:$I$63,8,FALSE)*'AM (nominal)'!G25</f>
        <v>321.95198189216131</v>
      </c>
      <c r="H25" s="31">
        <f>VLOOKUP('AM (2011)'!$C25+1,CPI!$B$50:$I$63,8,FALSE)*'AM (nominal)'!H25</f>
        <v>2032.576594540702</v>
      </c>
      <c r="I25" s="31">
        <f>VLOOKUP('AM (2011)'!$C25+1,CPI!$B$50:$I$63,8,FALSE)*'AM (nominal)'!I25</f>
        <v>0</v>
      </c>
      <c r="J25" s="27">
        <f>VLOOKUP('AM (2011)'!$C25+1,CPI!$B$50:$I$63,8,FALSE)*'AM (nominal)'!J25</f>
        <v>13776.692085904448</v>
      </c>
      <c r="K25" s="31">
        <f>VLOOKUP('AM (2011)'!$C25+1,CPI!$B$50:$I$63,8,FALSE)*'AM (nominal)'!K25</f>
        <v>1365.2394168844814</v>
      </c>
      <c r="L25" s="31">
        <f>VLOOKUP('AM (2011)'!$C25+1,CPI!$B$50:$I$63,8,FALSE)*'AM (nominal)'!L25</f>
        <v>0</v>
      </c>
      <c r="M25" s="31">
        <f>VLOOKUP('AM (2011)'!$C25+1,CPI!$B$50:$I$63,8,FALSE)*'AM (nominal)'!M25</f>
        <v>457.45708819487476</v>
      </c>
      <c r="N25" s="639">
        <f>VLOOKUP('AM (2011)'!$C25+1,CPI!$B$50:$I$63,8,FALSE)*'AM (nominal)'!N25</f>
        <v>1822.6965050793563</v>
      </c>
    </row>
    <row r="26" spans="1:14" s="278" customFormat="1">
      <c r="A26" s="271">
        <f>References!L265</f>
        <v>171</v>
      </c>
      <c r="B26" s="305" t="s">
        <v>36</v>
      </c>
      <c r="C26" s="284">
        <v>2009</v>
      </c>
      <c r="D26" s="284">
        <v>2011</v>
      </c>
      <c r="E26" s="31">
        <f>VLOOKUP('AM (2011)'!$C26+1,CPI!$B$50:$I$63,8,FALSE)*'AM (nominal)'!E26</f>
        <v>234.33213871897817</v>
      </c>
      <c r="F26" s="31">
        <f>VLOOKUP('AM (2011)'!$C26+1,CPI!$B$50:$I$63,8,FALSE)*'AM (nominal)'!F26</f>
        <v>6243.4232437821665</v>
      </c>
      <c r="G26" s="31">
        <f>VLOOKUP('AM (2011)'!$C26+1,CPI!$B$50:$I$63,8,FALSE)*'AM (nominal)'!G26</f>
        <v>815.06830858775015</v>
      </c>
      <c r="H26" s="31">
        <f>VLOOKUP('AM (2011)'!$C26+1,CPI!$B$50:$I$63,8,FALSE)*'AM (nominal)'!H26</f>
        <v>1156.3781628088705</v>
      </c>
      <c r="I26" s="31">
        <f>VLOOKUP('AM (2011)'!$C26+1,CPI!$B$50:$I$63,8,FALSE)*'AM (nominal)'!I26</f>
        <v>0</v>
      </c>
      <c r="J26" s="27">
        <f>VLOOKUP('AM (2011)'!$C26+1,CPI!$B$50:$I$63,8,FALSE)*'AM (nominal)'!J26</f>
        <v>8449.2018538977645</v>
      </c>
      <c r="K26" s="31">
        <f>VLOOKUP('AM (2011)'!$C26+1,CPI!$B$50:$I$63,8,FALSE)*'AM (nominal)'!K26</f>
        <v>1362.1829107272774</v>
      </c>
      <c r="L26" s="31">
        <f>VLOOKUP('AM (2011)'!$C26+1,CPI!$B$50:$I$63,8,FALSE)*'AM (nominal)'!L26</f>
        <v>0</v>
      </c>
      <c r="M26" s="31">
        <f>VLOOKUP('AM (2011)'!$C26+1,CPI!$B$50:$I$63,8,FALSE)*'AM (nominal)'!M26</f>
        <v>457.45708819487476</v>
      </c>
      <c r="N26" s="639">
        <f>VLOOKUP('AM (2011)'!$C26+1,CPI!$B$50:$I$63,8,FALSE)*'AM (nominal)'!N26</f>
        <v>1819.6399989221522</v>
      </c>
    </row>
    <row r="27" spans="1:14" s="278" customFormat="1">
      <c r="A27" s="271">
        <f>References!M265</f>
        <v>172</v>
      </c>
      <c r="B27" s="305" t="s">
        <v>36</v>
      </c>
      <c r="C27" s="284">
        <v>2009</v>
      </c>
      <c r="D27" s="284">
        <v>2012</v>
      </c>
      <c r="E27" s="31">
        <f>VLOOKUP('AM (2011)'!$C27+1,CPI!$B$50:$I$63,8,FALSE)*'AM (nominal)'!E27</f>
        <v>234.33213871897817</v>
      </c>
      <c r="F27" s="31">
        <f>VLOOKUP('AM (2011)'!$C27+1,CPI!$B$50:$I$63,8,FALSE)*'AM (nominal)'!F27</f>
        <v>8083.4399504190123</v>
      </c>
      <c r="G27" s="31">
        <f>VLOOKUP('AM (2011)'!$C27+1,CPI!$B$50:$I$63,8,FALSE)*'AM (nominal)'!G27</f>
        <v>815.06830858775015</v>
      </c>
      <c r="H27" s="31">
        <f>VLOOKUP('AM (2011)'!$C27+1,CPI!$B$50:$I$63,8,FALSE)*'AM (nominal)'!H27</f>
        <v>947.51690873325958</v>
      </c>
      <c r="I27" s="31">
        <f>VLOOKUP('AM (2011)'!$C27+1,CPI!$B$50:$I$63,8,FALSE)*'AM (nominal)'!I27</f>
        <v>0</v>
      </c>
      <c r="J27" s="27">
        <f>VLOOKUP('AM (2011)'!$C27+1,CPI!$B$50:$I$63,8,FALSE)*'AM (nominal)'!J27</f>
        <v>10080.357306459</v>
      </c>
      <c r="K27" s="31">
        <f>VLOOKUP('AM (2011)'!$C27+1,CPI!$B$50:$I$63,8,FALSE)*'AM (nominal)'!K27</f>
        <v>1364.2205814987467</v>
      </c>
      <c r="L27" s="31">
        <f>VLOOKUP('AM (2011)'!$C27+1,CPI!$B$50:$I$63,8,FALSE)*'AM (nominal)'!L27</f>
        <v>0</v>
      </c>
      <c r="M27" s="31">
        <f>VLOOKUP('AM (2011)'!$C27+1,CPI!$B$50:$I$63,8,FALSE)*'AM (nominal)'!M27</f>
        <v>456.43825280914007</v>
      </c>
      <c r="N27" s="639">
        <f>VLOOKUP('AM (2011)'!$C27+1,CPI!$B$50:$I$63,8,FALSE)*'AM (nominal)'!N27</f>
        <v>1820.658834307887</v>
      </c>
    </row>
    <row r="28" spans="1:14" s="278" customFormat="1">
      <c r="A28" s="271">
        <f>References!N265</f>
        <v>173</v>
      </c>
      <c r="B28" s="305" t="s">
        <v>36</v>
      </c>
      <c r="C28" s="284">
        <v>2009</v>
      </c>
      <c r="D28" s="284">
        <v>2013</v>
      </c>
      <c r="E28" s="31">
        <f>VLOOKUP('AM (2011)'!$C28+1,CPI!$B$50:$I$63,8,FALSE)*'AM (nominal)'!E28</f>
        <v>234.33213871897817</v>
      </c>
      <c r="F28" s="31">
        <f>VLOOKUP('AM (2011)'!$C28+1,CPI!$B$50:$I$63,8,FALSE)*'AM (nominal)'!F28</f>
        <v>4451.2918002748502</v>
      </c>
      <c r="G28" s="31">
        <f>VLOOKUP('AM (2011)'!$C28+1,CPI!$B$50:$I$63,8,FALSE)*'AM (nominal)'!G28</f>
        <v>815.06830858775015</v>
      </c>
      <c r="H28" s="31">
        <f>VLOOKUP('AM (2011)'!$C28+1,CPI!$B$50:$I$63,8,FALSE)*'AM (nominal)'!H28</f>
        <v>891.48096251785171</v>
      </c>
      <c r="I28" s="31">
        <f>VLOOKUP('AM (2011)'!$C28+1,CPI!$B$50:$I$63,8,FALSE)*'AM (nominal)'!I28</f>
        <v>0</v>
      </c>
      <c r="J28" s="27">
        <f>VLOOKUP('AM (2011)'!$C28+1,CPI!$B$50:$I$63,8,FALSE)*'AM (nominal)'!J28</f>
        <v>6392.1732100994304</v>
      </c>
      <c r="K28" s="31">
        <f>VLOOKUP('AM (2011)'!$C28+1,CPI!$B$50:$I$63,8,FALSE)*'AM (nominal)'!K28</f>
        <v>1363.2017461130122</v>
      </c>
      <c r="L28" s="31">
        <f>VLOOKUP('AM (2011)'!$C28+1,CPI!$B$50:$I$63,8,FALSE)*'AM (nominal)'!L28</f>
        <v>0</v>
      </c>
      <c r="M28" s="31">
        <f>VLOOKUP('AM (2011)'!$C28+1,CPI!$B$50:$I$63,8,FALSE)*'AM (nominal)'!M28</f>
        <v>456.43825280914007</v>
      </c>
      <c r="N28" s="639">
        <f>VLOOKUP('AM (2011)'!$C28+1,CPI!$B$50:$I$63,8,FALSE)*'AM (nominal)'!N28</f>
        <v>1819.6399989221522</v>
      </c>
    </row>
    <row r="29" spans="1:14" s="278" customFormat="1">
      <c r="A29" s="271">
        <f>References!O265</f>
        <v>174</v>
      </c>
      <c r="B29" s="305" t="s">
        <v>36</v>
      </c>
      <c r="C29" s="284">
        <v>2009</v>
      </c>
      <c r="D29" s="284">
        <v>2014</v>
      </c>
      <c r="E29" s="31">
        <f>VLOOKUP('AM (2011)'!$C29+1,CPI!$B$50:$I$63,8,FALSE)*'AM (nominal)'!E29</f>
        <v>234.33213871897817</v>
      </c>
      <c r="F29" s="31">
        <f>VLOOKUP('AM (2011)'!$C29+1,CPI!$B$50:$I$63,8,FALSE)*'AM (nominal)'!F29</f>
        <v>6420.7006009000015</v>
      </c>
      <c r="G29" s="31">
        <f>VLOOKUP('AM (2011)'!$C29+1,CPI!$B$50:$I$63,8,FALSE)*'AM (nominal)'!G29</f>
        <v>815.06830858775015</v>
      </c>
      <c r="H29" s="31">
        <f>VLOOKUP('AM (2011)'!$C29+1,CPI!$B$50:$I$63,8,FALSE)*'AM (nominal)'!H29</f>
        <v>1405.992832313869</v>
      </c>
      <c r="I29" s="31">
        <f>VLOOKUP('AM (2011)'!$C29+1,CPI!$B$50:$I$63,8,FALSE)*'AM (nominal)'!I29</f>
        <v>0</v>
      </c>
      <c r="J29" s="27">
        <f>VLOOKUP('AM (2011)'!$C29+1,CPI!$B$50:$I$63,8,FALSE)*'AM (nominal)'!J29</f>
        <v>8876.0938805205988</v>
      </c>
      <c r="K29" s="31">
        <f>VLOOKUP('AM (2011)'!$C29+1,CPI!$B$50:$I$63,8,FALSE)*'AM (nominal)'!K29</f>
        <v>1360.1452399558082</v>
      </c>
      <c r="L29" s="31">
        <f>VLOOKUP('AM (2011)'!$C29+1,CPI!$B$50:$I$63,8,FALSE)*'AM (nominal)'!L29</f>
        <v>0</v>
      </c>
      <c r="M29" s="31">
        <f>VLOOKUP('AM (2011)'!$C29+1,CPI!$B$50:$I$63,8,FALSE)*'AM (nominal)'!M29</f>
        <v>455.41941742340538</v>
      </c>
      <c r="N29" s="639">
        <f>VLOOKUP('AM (2011)'!$C29+1,CPI!$B$50:$I$63,8,FALSE)*'AM (nominal)'!N29</f>
        <v>1815.5646573792135</v>
      </c>
    </row>
    <row r="30" spans="1:14" s="278" customFormat="1">
      <c r="A30" s="271">
        <f>References!P265</f>
        <v>175</v>
      </c>
      <c r="B30" s="305" t="s">
        <v>36</v>
      </c>
      <c r="C30" s="284">
        <v>2010</v>
      </c>
      <c r="D30" s="284">
        <v>2011</v>
      </c>
      <c r="E30" s="31">
        <f>VLOOKUP('AM (2011)'!$C30+1,CPI!$B$50:$I$63,8,FALSE)*'AM (nominal)'!E30</f>
        <v>3299</v>
      </c>
      <c r="F30" s="31">
        <f>VLOOKUP('AM (2011)'!$C30+1,CPI!$B$50:$I$63,8,FALSE)*'AM (nominal)'!F30</f>
        <v>5701</v>
      </c>
      <c r="G30" s="31">
        <f>VLOOKUP('AM (2011)'!$C30+1,CPI!$B$50:$I$63,8,FALSE)*'AM (nominal)'!G30</f>
        <v>3327</v>
      </c>
      <c r="H30" s="31">
        <f>VLOOKUP('AM (2011)'!$C30+1,CPI!$B$50:$I$63,8,FALSE)*'AM (nominal)'!H30</f>
        <v>433</v>
      </c>
      <c r="I30" s="31">
        <f>VLOOKUP('AM (2011)'!$C30+1,CPI!$B$50:$I$63,8,FALSE)*'AM (nominal)'!I30</f>
        <v>0</v>
      </c>
      <c r="J30" s="27">
        <f>VLOOKUP('AM (2011)'!$C30+1,CPI!$B$50:$I$63,8,FALSE)*'AM (nominal)'!J30</f>
        <v>12760</v>
      </c>
      <c r="K30" s="31">
        <f>VLOOKUP('AM (2011)'!$C30+1,CPI!$B$50:$I$63,8,FALSE)*'AM (nominal)'!K30</f>
        <v>1339.6</v>
      </c>
      <c r="L30" s="31">
        <f>VLOOKUP('AM (2011)'!$C30+1,CPI!$B$50:$I$63,8,FALSE)*'AM (nominal)'!L30</f>
        <v>0</v>
      </c>
      <c r="M30" s="31">
        <f>VLOOKUP('AM (2011)'!$C30+1,CPI!$B$50:$I$63,8,FALSE)*'AM (nominal)'!M30</f>
        <v>448.9</v>
      </c>
      <c r="N30" s="639">
        <f>VLOOKUP('AM (2011)'!$C30+1,CPI!$B$50:$I$63,8,FALSE)*'AM (nominal)'!N30</f>
        <v>1788.5</v>
      </c>
    </row>
    <row r="31" spans="1:14" s="278" customFormat="1">
      <c r="A31" s="271">
        <f>References!Q265</f>
        <v>176</v>
      </c>
      <c r="B31" s="305" t="s">
        <v>36</v>
      </c>
      <c r="C31" s="284">
        <v>2010</v>
      </c>
      <c r="D31" s="284">
        <v>2012</v>
      </c>
      <c r="E31" s="31">
        <f>VLOOKUP('AM (2011)'!$C31+1,CPI!$B$50:$I$63,8,FALSE)*'AM (nominal)'!E31</f>
        <v>3340</v>
      </c>
      <c r="F31" s="31">
        <f>VLOOKUP('AM (2011)'!$C31+1,CPI!$B$50:$I$63,8,FALSE)*'AM (nominal)'!F31</f>
        <v>10384.1</v>
      </c>
      <c r="G31" s="31">
        <f>VLOOKUP('AM (2011)'!$C31+1,CPI!$B$50:$I$63,8,FALSE)*'AM (nominal)'!G31</f>
        <v>2325</v>
      </c>
      <c r="H31" s="31">
        <f>VLOOKUP('AM (2011)'!$C31+1,CPI!$B$50:$I$63,8,FALSE)*'AM (nominal)'!H31</f>
        <v>200</v>
      </c>
      <c r="I31" s="31">
        <f>VLOOKUP('AM (2011)'!$C31+1,CPI!$B$50:$I$63,8,FALSE)*'AM (nominal)'!I31</f>
        <v>0</v>
      </c>
      <c r="J31" s="27">
        <f>VLOOKUP('AM (2011)'!$C31+1,CPI!$B$50:$I$63,8,FALSE)*'AM (nominal)'!J31</f>
        <v>16249.1</v>
      </c>
      <c r="K31" s="31">
        <f>VLOOKUP('AM (2011)'!$C31+1,CPI!$B$50:$I$63,8,FALSE)*'AM (nominal)'!K31</f>
        <v>1337.1</v>
      </c>
      <c r="L31" s="31">
        <f>VLOOKUP('AM (2011)'!$C31+1,CPI!$B$50:$I$63,8,FALSE)*'AM (nominal)'!L31</f>
        <v>0</v>
      </c>
      <c r="M31" s="31">
        <f>VLOOKUP('AM (2011)'!$C31+1,CPI!$B$50:$I$63,8,FALSE)*'AM (nominal)'!M31</f>
        <v>448.9</v>
      </c>
      <c r="N31" s="639">
        <f>VLOOKUP('AM (2011)'!$C31+1,CPI!$B$50:$I$63,8,FALSE)*'AM (nominal)'!N31</f>
        <v>1786</v>
      </c>
    </row>
    <row r="32" spans="1:14" s="278" customFormat="1">
      <c r="A32" s="271">
        <f>References!R265</f>
        <v>177</v>
      </c>
      <c r="B32" s="305" t="s">
        <v>36</v>
      </c>
      <c r="C32" s="284">
        <v>2010</v>
      </c>
      <c r="D32" s="284">
        <v>2013</v>
      </c>
      <c r="E32" s="31">
        <f>VLOOKUP('AM (2011)'!$C32+1,CPI!$B$50:$I$63,8,FALSE)*'AM (nominal)'!E32</f>
        <v>1230</v>
      </c>
      <c r="F32" s="31">
        <f>VLOOKUP('AM (2011)'!$C32+1,CPI!$B$50:$I$63,8,FALSE)*'AM (nominal)'!F32</f>
        <v>4003.1</v>
      </c>
      <c r="G32" s="31">
        <f>VLOOKUP('AM (2011)'!$C32+1,CPI!$B$50:$I$63,8,FALSE)*'AM (nominal)'!G32</f>
        <v>3150</v>
      </c>
      <c r="H32" s="31">
        <f>VLOOKUP('AM (2011)'!$C32+1,CPI!$B$50:$I$63,8,FALSE)*'AM (nominal)'!H32</f>
        <v>1310.0999999999999</v>
      </c>
      <c r="I32" s="31">
        <f>VLOOKUP('AM (2011)'!$C32+1,CPI!$B$50:$I$63,8,FALSE)*'AM (nominal)'!I32</f>
        <v>0</v>
      </c>
      <c r="J32" s="27">
        <f>VLOOKUP('AM (2011)'!$C32+1,CPI!$B$50:$I$63,8,FALSE)*'AM (nominal)'!J32</f>
        <v>9693.2000000000007</v>
      </c>
      <c r="K32" s="31">
        <f>VLOOKUP('AM (2011)'!$C32+1,CPI!$B$50:$I$63,8,FALSE)*'AM (nominal)'!K32</f>
        <v>1338.6</v>
      </c>
      <c r="L32" s="31">
        <f>VLOOKUP('AM (2011)'!$C32+1,CPI!$B$50:$I$63,8,FALSE)*'AM (nominal)'!L32</f>
        <v>0</v>
      </c>
      <c r="M32" s="31">
        <f>VLOOKUP('AM (2011)'!$C32+1,CPI!$B$50:$I$63,8,FALSE)*'AM (nominal)'!M32</f>
        <v>447.9</v>
      </c>
      <c r="N32" s="639">
        <f>VLOOKUP('AM (2011)'!$C32+1,CPI!$B$50:$I$63,8,FALSE)*'AM (nominal)'!N32</f>
        <v>1786.5</v>
      </c>
    </row>
    <row r="33" spans="1:14" s="278" customFormat="1">
      <c r="A33" s="271">
        <f>References!S265</f>
        <v>178</v>
      </c>
      <c r="B33" s="305" t="s">
        <v>36</v>
      </c>
      <c r="C33" s="284">
        <v>2010</v>
      </c>
      <c r="D33" s="284">
        <v>2014</v>
      </c>
      <c r="E33" s="31">
        <f>VLOOKUP('AM (2011)'!$C33+1,CPI!$B$50:$I$63,8,FALSE)*'AM (nominal)'!E33</f>
        <v>1230</v>
      </c>
      <c r="F33" s="31">
        <f>VLOOKUP('AM (2011)'!$C33+1,CPI!$B$50:$I$63,8,FALSE)*'AM (nominal)'!F33</f>
        <v>5791.1</v>
      </c>
      <c r="G33" s="31">
        <f>VLOOKUP('AM (2011)'!$C33+1,CPI!$B$50:$I$63,8,FALSE)*'AM (nominal)'!G33</f>
        <v>3800</v>
      </c>
      <c r="H33" s="31">
        <f>VLOOKUP('AM (2011)'!$C33+1,CPI!$B$50:$I$63,8,FALSE)*'AM (nominal)'!H33</f>
        <v>200.1</v>
      </c>
      <c r="I33" s="31">
        <f>VLOOKUP('AM (2011)'!$C33+1,CPI!$B$50:$I$63,8,FALSE)*'AM (nominal)'!I33</f>
        <v>0</v>
      </c>
      <c r="J33" s="27">
        <f>VLOOKUP('AM (2011)'!$C33+1,CPI!$B$50:$I$63,8,FALSE)*'AM (nominal)'!J33</f>
        <v>11021.2</v>
      </c>
      <c r="K33" s="31">
        <f>VLOOKUP('AM (2011)'!$C33+1,CPI!$B$50:$I$63,8,FALSE)*'AM (nominal)'!K33</f>
        <v>1337.8</v>
      </c>
      <c r="L33" s="31">
        <f>VLOOKUP('AM (2011)'!$C33+1,CPI!$B$50:$I$63,8,FALSE)*'AM (nominal)'!L33</f>
        <v>0</v>
      </c>
      <c r="M33" s="31">
        <f>VLOOKUP('AM (2011)'!$C33+1,CPI!$B$50:$I$63,8,FALSE)*'AM (nominal)'!M33</f>
        <v>447.9</v>
      </c>
      <c r="N33" s="639">
        <f>VLOOKUP('AM (2011)'!$C33+1,CPI!$B$50:$I$63,8,FALSE)*'AM (nominal)'!N33</f>
        <v>1785.6999999999998</v>
      </c>
    </row>
    <row r="34" spans="1:14" s="278" customFormat="1">
      <c r="A34" s="271">
        <f>References!T265</f>
        <v>179</v>
      </c>
      <c r="B34" s="305" t="s">
        <v>36</v>
      </c>
      <c r="C34" s="284">
        <v>2010</v>
      </c>
      <c r="D34" s="284">
        <v>2015</v>
      </c>
      <c r="E34" s="31">
        <f>VLOOKUP('AM (2011)'!$C34+1,CPI!$B$50:$I$63,8,FALSE)*'AM (nominal)'!E34</f>
        <v>1230</v>
      </c>
      <c r="F34" s="31">
        <f>VLOOKUP('AM (2011)'!$C34+1,CPI!$B$50:$I$63,8,FALSE)*'AM (nominal)'!F34</f>
        <v>7349.1</v>
      </c>
      <c r="G34" s="31">
        <f>VLOOKUP('AM (2011)'!$C34+1,CPI!$B$50:$I$63,8,FALSE)*'AM (nominal)'!G34</f>
        <v>2325</v>
      </c>
      <c r="H34" s="31">
        <f>VLOOKUP('AM (2011)'!$C34+1,CPI!$B$50:$I$63,8,FALSE)*'AM (nominal)'!H34</f>
        <v>1310.0999999999999</v>
      </c>
      <c r="I34" s="31">
        <f>VLOOKUP('AM (2011)'!$C34+1,CPI!$B$50:$I$63,8,FALSE)*'AM (nominal)'!I34</f>
        <v>0</v>
      </c>
      <c r="J34" s="27">
        <f>VLOOKUP('AM (2011)'!$C34+1,CPI!$B$50:$I$63,8,FALSE)*'AM (nominal)'!J34</f>
        <v>12214.2</v>
      </c>
      <c r="K34" s="31">
        <f>VLOOKUP('AM (2011)'!$C34+1,CPI!$B$50:$I$63,8,FALSE)*'AM (nominal)'!K34</f>
        <v>1334.6</v>
      </c>
      <c r="L34" s="31">
        <f>VLOOKUP('AM (2011)'!$C34+1,CPI!$B$50:$I$63,8,FALSE)*'AM (nominal)'!L34</f>
        <v>0</v>
      </c>
      <c r="M34" s="31">
        <f>VLOOKUP('AM (2011)'!$C34+1,CPI!$B$50:$I$63,8,FALSE)*'AM (nominal)'!M34</f>
        <v>447.3</v>
      </c>
      <c r="N34" s="639">
        <f>VLOOKUP('AM (2011)'!$C34+1,CPI!$B$50:$I$63,8,FALSE)*'AM (nominal)'!N34</f>
        <v>1781.8999999999999</v>
      </c>
    </row>
    <row r="35" spans="1:14" s="278" customFormat="1">
      <c r="A35" s="271">
        <f>References!U265</f>
        <v>180</v>
      </c>
      <c r="B35" s="305" t="s">
        <v>36</v>
      </c>
      <c r="C35" s="284">
        <v>2011</v>
      </c>
      <c r="D35" s="284">
        <v>2012</v>
      </c>
      <c r="E35" s="31">
        <f>VLOOKUP('AM (2011)'!$C35+1,CPI!$B$50:$I$63,8,FALSE)*'AM (nominal)'!E35</f>
        <v>2121.4660633484164</v>
      </c>
      <c r="F35" s="31">
        <f>VLOOKUP('AM (2011)'!$C35+1,CPI!$B$50:$I$63,8,FALSE)*'AM (nominal)'!F35</f>
        <v>7443.7062702003877</v>
      </c>
      <c r="G35" s="31">
        <f>VLOOKUP('AM (2011)'!$C35+1,CPI!$B$50:$I$63,8,FALSE)*'AM (nominal)'!G35</f>
        <v>2604.4173238526178</v>
      </c>
      <c r="H35" s="31">
        <f>VLOOKUP('AM (2011)'!$C35+1,CPI!$B$50:$I$63,8,FALSE)*'AM (nominal)'!H35</f>
        <v>349.99301874595989</v>
      </c>
      <c r="I35" s="31">
        <f>VLOOKUP('AM (2011)'!$C35+1,CPI!$B$50:$I$63,8,FALSE)*'AM (nominal)'!I35</f>
        <v>0</v>
      </c>
      <c r="J35" s="27">
        <f>VLOOKUP('AM (2011)'!$C35+1,CPI!$B$50:$I$63,8,FALSE)*'AM (nominal)'!J35</f>
        <v>12519.582676147382</v>
      </c>
      <c r="K35" s="31">
        <f>VLOOKUP('AM (2011)'!$C35+1,CPI!$B$50:$I$63,8,FALSE)*'AM (nominal)'!K35</f>
        <v>1450.8090497737555</v>
      </c>
      <c r="L35" s="31">
        <f>VLOOKUP('AM (2011)'!$C35+1,CPI!$B$50:$I$63,8,FALSE)*'AM (nominal)'!L35</f>
        <v>0</v>
      </c>
      <c r="M35" s="31">
        <f>VLOOKUP('AM (2011)'!$C35+1,CPI!$B$50:$I$63,8,FALSE)*'AM (nominal)'!M35</f>
        <v>438.95772462831286</v>
      </c>
      <c r="N35" s="639">
        <f>VLOOKUP('AM (2011)'!$C35+1,CPI!$B$50:$I$63,8,FALSE)*'AM (nominal)'!N35</f>
        <v>1889.7667744020684</v>
      </c>
    </row>
    <row r="36" spans="1:14" s="278" customFormat="1">
      <c r="A36" s="271">
        <f>References!V265</f>
        <v>181</v>
      </c>
      <c r="B36" s="305" t="s">
        <v>36</v>
      </c>
      <c r="C36" s="284">
        <v>2011</v>
      </c>
      <c r="D36" s="284">
        <v>2013</v>
      </c>
      <c r="E36" s="31">
        <f>VLOOKUP('AM (2011)'!$C36+1,CPI!$B$50:$I$63,8,FALSE)*'AM (nominal)'!E36</f>
        <v>3265.2979961215256</v>
      </c>
      <c r="F36" s="31">
        <f>VLOOKUP('AM (2011)'!$C36+1,CPI!$B$50:$I$63,8,FALSE)*'AM (nominal)'!F36</f>
        <v>6363.4205559146731</v>
      </c>
      <c r="G36" s="31">
        <f>VLOOKUP('AM (2011)'!$C36+1,CPI!$B$50:$I$63,8,FALSE)*'AM (nominal)'!G36</f>
        <v>3079.547511312217</v>
      </c>
      <c r="H36" s="31">
        <f>VLOOKUP('AM (2011)'!$C36+1,CPI!$B$50:$I$63,8,FALSE)*'AM (nominal)'!H36</f>
        <v>1280.7007110536522</v>
      </c>
      <c r="I36" s="31">
        <f>VLOOKUP('AM (2011)'!$C36+1,CPI!$B$50:$I$63,8,FALSE)*'AM (nominal)'!I36</f>
        <v>0</v>
      </c>
      <c r="J36" s="27">
        <f>VLOOKUP('AM (2011)'!$C36+1,CPI!$B$50:$I$63,8,FALSE)*'AM (nominal)'!J36</f>
        <v>13988.966774402068</v>
      </c>
      <c r="K36" s="31">
        <f>VLOOKUP('AM (2011)'!$C36+1,CPI!$B$50:$I$63,8,FALSE)*'AM (nominal)'!K36</f>
        <v>1340.3363930187459</v>
      </c>
      <c r="L36" s="31">
        <f>VLOOKUP('AM (2011)'!$C36+1,CPI!$B$50:$I$63,8,FALSE)*'AM (nominal)'!L36</f>
        <v>0</v>
      </c>
      <c r="M36" s="31">
        <f>VLOOKUP('AM (2011)'!$C36+1,CPI!$B$50:$I$63,8,FALSE)*'AM (nominal)'!M36</f>
        <v>437.98009049773754</v>
      </c>
      <c r="N36" s="639">
        <f>VLOOKUP('AM (2011)'!$C36+1,CPI!$B$50:$I$63,8,FALSE)*'AM (nominal)'!N36</f>
        <v>1778.3164835164835</v>
      </c>
    </row>
    <row r="37" spans="1:14" s="278" customFormat="1">
      <c r="A37" s="271">
        <f>References!W265</f>
        <v>182</v>
      </c>
      <c r="B37" s="305" t="s">
        <v>36</v>
      </c>
      <c r="C37" s="284">
        <v>2011</v>
      </c>
      <c r="D37" s="284">
        <v>2014</v>
      </c>
      <c r="E37" s="31">
        <f>VLOOKUP('AM (2011)'!$C37+1,CPI!$B$50:$I$63,8,FALSE)*'AM (nominal)'!E37</f>
        <v>1202.4899806076276</v>
      </c>
      <c r="F37" s="31">
        <f>VLOOKUP('AM (2011)'!$C37+1,CPI!$B$50:$I$63,8,FALSE)*'AM (nominal)'!F37</f>
        <v>8183.7753070458948</v>
      </c>
      <c r="G37" s="31">
        <f>VLOOKUP('AM (2011)'!$C37+1,CPI!$B$50:$I$63,8,FALSE)*'AM (nominal)'!G37</f>
        <v>3715.0096961861668</v>
      </c>
      <c r="H37" s="31">
        <f>VLOOKUP('AM (2011)'!$C37+1,CPI!$B$50:$I$63,8,FALSE)*'AM (nominal)'!H37</f>
        <v>312.84292178409822</v>
      </c>
      <c r="I37" s="31">
        <f>VLOOKUP('AM (2011)'!$C37+1,CPI!$B$50:$I$63,8,FALSE)*'AM (nominal)'!I37</f>
        <v>0</v>
      </c>
      <c r="J37" s="27">
        <f>VLOOKUP('AM (2011)'!$C37+1,CPI!$B$50:$I$63,8,FALSE)*'AM (nominal)'!J37</f>
        <v>13414.117905623787</v>
      </c>
      <c r="K37" s="31">
        <f>VLOOKUP('AM (2011)'!$C37+1,CPI!$B$50:$I$63,8,FALSE)*'AM (nominal)'!K37</f>
        <v>1341.3140271493212</v>
      </c>
      <c r="L37" s="31">
        <f>VLOOKUP('AM (2011)'!$C37+1,CPI!$B$50:$I$63,8,FALSE)*'AM (nominal)'!L37</f>
        <v>0</v>
      </c>
      <c r="M37" s="31">
        <f>VLOOKUP('AM (2011)'!$C37+1,CPI!$B$50:$I$63,8,FALSE)*'AM (nominal)'!M37</f>
        <v>437.00245636716221</v>
      </c>
      <c r="N37" s="639">
        <f>VLOOKUP('AM (2011)'!$C37+1,CPI!$B$50:$I$63,8,FALSE)*'AM (nominal)'!N37</f>
        <v>1778.3164835164835</v>
      </c>
    </row>
    <row r="38" spans="1:14" s="278" customFormat="1">
      <c r="A38" s="271">
        <f>References!X265</f>
        <v>183</v>
      </c>
      <c r="B38" s="305" t="s">
        <v>36</v>
      </c>
      <c r="C38" s="284">
        <v>2011</v>
      </c>
      <c r="D38" s="284">
        <v>2015</v>
      </c>
      <c r="E38" s="31">
        <f>VLOOKUP('AM (2011)'!$C38+1,CPI!$B$50:$I$63,8,FALSE)*'AM (nominal)'!E38</f>
        <v>1202.4899806076276</v>
      </c>
      <c r="F38" s="31">
        <f>VLOOKUP('AM (2011)'!$C38+1,CPI!$B$50:$I$63,8,FALSE)*'AM (nominal)'!F38</f>
        <v>6974.44188752424</v>
      </c>
      <c r="G38" s="31">
        <f>VLOOKUP('AM (2011)'!$C38+1,CPI!$B$50:$I$63,8,FALSE)*'AM (nominal)'!G38</f>
        <v>2272.9993535875888</v>
      </c>
      <c r="H38" s="31">
        <f>VLOOKUP('AM (2011)'!$C38+1,CPI!$B$50:$I$63,8,FALSE)*'AM (nominal)'!H38</f>
        <v>1280.7007110536522</v>
      </c>
      <c r="I38" s="31">
        <f>VLOOKUP('AM (2011)'!$C38+1,CPI!$B$50:$I$63,8,FALSE)*'AM (nominal)'!I38</f>
        <v>0</v>
      </c>
      <c r="J38" s="27">
        <f>VLOOKUP('AM (2011)'!$C38+1,CPI!$B$50:$I$63,8,FALSE)*'AM (nominal)'!J38</f>
        <v>11730.631932773109</v>
      </c>
      <c r="K38" s="31">
        <f>VLOOKUP('AM (2011)'!$C38+1,CPI!$B$50:$I$63,8,FALSE)*'AM (nominal)'!K38</f>
        <v>1345.2245636716225</v>
      </c>
      <c r="L38" s="31">
        <f>VLOOKUP('AM (2011)'!$C38+1,CPI!$B$50:$I$63,8,FALSE)*'AM (nominal)'!L38</f>
        <v>0</v>
      </c>
      <c r="M38" s="31">
        <f>VLOOKUP('AM (2011)'!$C38+1,CPI!$B$50:$I$63,8,FALSE)*'AM (nominal)'!M38</f>
        <v>437.00245636716221</v>
      </c>
      <c r="N38" s="639">
        <f>VLOOKUP('AM (2011)'!$C38+1,CPI!$B$50:$I$63,8,FALSE)*'AM (nominal)'!N38</f>
        <v>1782.2270200387848</v>
      </c>
    </row>
    <row r="39" spans="1:14" s="278" customFormat="1">
      <c r="A39" s="271">
        <f>References!Y265</f>
        <v>184</v>
      </c>
      <c r="B39" s="305" t="s">
        <v>36</v>
      </c>
      <c r="C39" s="284">
        <v>2011</v>
      </c>
      <c r="D39" s="284">
        <v>2016</v>
      </c>
      <c r="E39" s="31">
        <f>VLOOKUP('AM (2011)'!$C39+1,CPI!$B$50:$I$63,8,FALSE)*'AM (nominal)'!E39</f>
        <v>1202.4899806076276</v>
      </c>
      <c r="F39" s="31">
        <f>VLOOKUP('AM (2011)'!$C39+1,CPI!$B$50:$I$63,8,FALSE)*'AM (nominal)'!F39</f>
        <v>4824.6244343891403</v>
      </c>
      <c r="G39" s="31">
        <f>VLOOKUP('AM (2011)'!$C39+1,CPI!$B$50:$I$63,8,FALSE)*'AM (nominal)'!G39</f>
        <v>2272.9993535875888</v>
      </c>
      <c r="H39" s="31">
        <f>VLOOKUP('AM (2011)'!$C39+1,CPI!$B$50:$I$63,8,FALSE)*'AM (nominal)'!H39</f>
        <v>1078.3304460245636</v>
      </c>
      <c r="I39" s="31">
        <f>VLOOKUP('AM (2011)'!$C39+1,CPI!$B$50:$I$63,8,FALSE)*'AM (nominal)'!I39</f>
        <v>0</v>
      </c>
      <c r="J39" s="27">
        <f>VLOOKUP('AM (2011)'!$C39+1,CPI!$B$50:$I$63,8,FALSE)*'AM (nominal)'!J39</f>
        <v>9378.4442146089204</v>
      </c>
      <c r="K39" s="31">
        <f>VLOOKUP('AM (2011)'!$C39+1,CPI!$B$50:$I$63,8,FALSE)*'AM (nominal)'!K39</f>
        <v>1344.2469295410472</v>
      </c>
      <c r="L39" s="31">
        <f>VLOOKUP('AM (2011)'!$C39+1,CPI!$B$50:$I$63,8,FALSE)*'AM (nominal)'!L39</f>
        <v>0</v>
      </c>
      <c r="M39" s="31">
        <f>VLOOKUP('AM (2011)'!$C39+1,CPI!$B$50:$I$63,8,FALSE)*'AM (nominal)'!M39</f>
        <v>437.00245636716221</v>
      </c>
      <c r="N39" s="639">
        <f>VLOOKUP('AM (2011)'!$C39+1,CPI!$B$50:$I$63,8,FALSE)*'AM (nominal)'!N39</f>
        <v>1781.2493859082094</v>
      </c>
    </row>
    <row r="40" spans="1:14" s="278" customFormat="1">
      <c r="A40" s="271">
        <f>References!K259</f>
        <v>32</v>
      </c>
      <c r="B40" s="305" t="s">
        <v>30</v>
      </c>
      <c r="C40" s="284">
        <v>2009</v>
      </c>
      <c r="D40" s="284">
        <v>2010</v>
      </c>
      <c r="E40" s="31">
        <f>VLOOKUP('AM (2011)'!$C40+1,CPI!$B$50:$I$63,8,FALSE)*'AM (nominal)'!E40</f>
        <v>5094.1769286734389</v>
      </c>
      <c r="F40" s="31">
        <f>VLOOKUP('AM (2011)'!$C40+1,CPI!$B$50:$I$63,8,FALSE)*'AM (nominal)'!F40</f>
        <v>3718.7491579316102</v>
      </c>
      <c r="G40" s="31">
        <f>VLOOKUP('AM (2011)'!$C40+1,CPI!$B$50:$I$63,8,FALSE)*'AM (nominal)'!G40</f>
        <v>5562.841206111395</v>
      </c>
      <c r="H40" s="31">
        <f>VLOOKUP('AM (2011)'!$C40+1,CPI!$B$50:$I$63,8,FALSE)*'AM (nominal)'!H40</f>
        <v>509.41769286734382</v>
      </c>
      <c r="I40" s="31">
        <f>VLOOKUP('AM (2011)'!$C40+1,CPI!$B$50:$I$63,8,FALSE)*'AM (nominal)'!I40</f>
        <v>407.53415429387508</v>
      </c>
      <c r="J40" s="27">
        <f>VLOOKUP('AM (2011)'!$C40+1,CPI!$B$50:$I$63,8,FALSE)*'AM (nominal)'!J40</f>
        <v>15292.719139877661</v>
      </c>
      <c r="K40" s="31">
        <f>VLOOKUP('AM (2011)'!$C40+1,CPI!$B$50:$I$63,8,FALSE)*'AM (nominal)'!K40</f>
        <v>3474.2286653552851</v>
      </c>
      <c r="L40" s="31">
        <f>VLOOKUP('AM (2011)'!$C40+1,CPI!$B$50:$I$63,8,FALSE)*'AM (nominal)'!L40</f>
        <v>974.0066287623614</v>
      </c>
      <c r="M40" s="31">
        <f>VLOOKUP('AM (2011)'!$C40+1,CPI!$B$50:$I$63,8,FALSE)*'AM (nominal)'!M40</f>
        <v>4232.2421923418924</v>
      </c>
      <c r="N40" s="639">
        <f>VLOOKUP('AM (2011)'!$C40+1,CPI!$B$50:$I$63,8,FALSE)*'AM (nominal)'!N40</f>
        <v>8680.4774864595383</v>
      </c>
    </row>
    <row r="41" spans="1:14" s="278" customFormat="1">
      <c r="A41" s="271">
        <f>References!L259</f>
        <v>33</v>
      </c>
      <c r="B41" s="305" t="s">
        <v>30</v>
      </c>
      <c r="C41" s="284">
        <v>2009</v>
      </c>
      <c r="D41" s="284">
        <v>2011</v>
      </c>
      <c r="E41" s="31">
        <f>VLOOKUP('AM (2011)'!$C41+1,CPI!$B$50:$I$63,8,FALSE)*'AM (nominal)'!E41</f>
        <v>5094.1769286734389</v>
      </c>
      <c r="F41" s="31">
        <f>VLOOKUP('AM (2011)'!$C41+1,CPI!$B$50:$I$63,8,FALSE)*'AM (nominal)'!F41</f>
        <v>4075.3415429387505</v>
      </c>
      <c r="G41" s="31">
        <f>VLOOKUP('AM (2011)'!$C41+1,CPI!$B$50:$I$63,8,FALSE)*'AM (nominal)'!G41</f>
        <v>5155.30705181752</v>
      </c>
      <c r="H41" s="31">
        <f>VLOOKUP('AM (2011)'!$C41+1,CPI!$B$50:$I$63,8,FALSE)*'AM (nominal)'!H41</f>
        <v>509.41769286734382</v>
      </c>
      <c r="I41" s="31">
        <f>VLOOKUP('AM (2011)'!$C41+1,CPI!$B$50:$I$63,8,FALSE)*'AM (nominal)'!I41</f>
        <v>407.53415429387508</v>
      </c>
      <c r="J41" s="27">
        <f>VLOOKUP('AM (2011)'!$C41+1,CPI!$B$50:$I$63,8,FALSE)*'AM (nominal)'!J41</f>
        <v>15241.777370590928</v>
      </c>
      <c r="K41" s="31">
        <f>VLOOKUP('AM (2011)'!$C41+1,CPI!$B$50:$I$63,8,FALSE)*'AM (nominal)'!K41</f>
        <v>3566.9426854571416</v>
      </c>
      <c r="L41" s="31">
        <f>VLOOKUP('AM (2011)'!$C41+1,CPI!$B$50:$I$63,8,FALSE)*'AM (nominal)'!L41</f>
        <v>1000.4963487914633</v>
      </c>
      <c r="M41" s="31">
        <f>VLOOKUP('AM (2011)'!$C41+1,CPI!$B$50:$I$63,8,FALSE)*'AM (nominal)'!M41</f>
        <v>4330.0503893724226</v>
      </c>
      <c r="N41" s="639">
        <f>VLOOKUP('AM (2011)'!$C41+1,CPI!$B$50:$I$63,8,FALSE)*'AM (nominal)'!N41</f>
        <v>8897.4894236210275</v>
      </c>
    </row>
    <row r="42" spans="1:14" s="278" customFormat="1">
      <c r="A42" s="271">
        <f>References!M259</f>
        <v>34</v>
      </c>
      <c r="B42" s="305" t="s">
        <v>30</v>
      </c>
      <c r="C42" s="284">
        <v>2009</v>
      </c>
      <c r="D42" s="284">
        <v>2012</v>
      </c>
      <c r="E42" s="31">
        <f>VLOOKUP('AM (2011)'!$C42+1,CPI!$B$50:$I$63,8,FALSE)*'AM (nominal)'!E42</f>
        <v>8354.4501630244395</v>
      </c>
      <c r="F42" s="31">
        <f>VLOOKUP('AM (2011)'!$C42+1,CPI!$B$50:$I$63,8,FALSE)*'AM (nominal)'!F42</f>
        <v>6826.1970844224079</v>
      </c>
      <c r="G42" s="31">
        <f>VLOOKUP('AM (2011)'!$C42+1,CPI!$B$50:$I$63,8,FALSE)*'AM (nominal)'!G42</f>
        <v>3301.0266497803882</v>
      </c>
      <c r="H42" s="31">
        <f>VLOOKUP('AM (2011)'!$C42+1,CPI!$B$50:$I$63,8,FALSE)*'AM (nominal)'!H42</f>
        <v>509.41769286734382</v>
      </c>
      <c r="I42" s="31">
        <f>VLOOKUP('AM (2011)'!$C42+1,CPI!$B$50:$I$63,8,FALSE)*'AM (nominal)'!I42</f>
        <v>407.53415429387508</v>
      </c>
      <c r="J42" s="27">
        <f>VLOOKUP('AM (2011)'!$C42+1,CPI!$B$50:$I$63,8,FALSE)*'AM (nominal)'!J42</f>
        <v>19398.625744388453</v>
      </c>
      <c r="K42" s="31">
        <f>VLOOKUP('AM (2011)'!$C42+1,CPI!$B$50:$I$63,8,FALSE)*'AM (nominal)'!K42</f>
        <v>3663.732047101937</v>
      </c>
      <c r="L42" s="31">
        <f>VLOOKUP('AM (2011)'!$C42+1,CPI!$B$50:$I$63,8,FALSE)*'AM (nominal)'!L42</f>
        <v>1028.0049042062999</v>
      </c>
      <c r="M42" s="31">
        <f>VLOOKUP('AM (2011)'!$C42+1,CPI!$B$50:$I$63,8,FALSE)*'AM (nominal)'!M42</f>
        <v>4426.8397510172181</v>
      </c>
      <c r="N42" s="639">
        <f>VLOOKUP('AM (2011)'!$C42+1,CPI!$B$50:$I$63,8,FALSE)*'AM (nominal)'!N42</f>
        <v>9118.5767023254539</v>
      </c>
    </row>
    <row r="43" spans="1:14" s="278" customFormat="1">
      <c r="A43" s="271">
        <f>References!N259</f>
        <v>35</v>
      </c>
      <c r="B43" s="305" t="s">
        <v>30</v>
      </c>
      <c r="C43" s="284">
        <v>2009</v>
      </c>
      <c r="D43" s="284">
        <v>2013</v>
      </c>
      <c r="E43" s="31">
        <f>VLOOKUP('AM (2011)'!$C43+1,CPI!$B$50:$I$63,8,FALSE)*'AM (nominal)'!E43</f>
        <v>8354.4501630244395</v>
      </c>
      <c r="F43" s="31">
        <f>VLOOKUP('AM (2011)'!$C43+1,CPI!$B$50:$I$63,8,FALSE)*'AM (nominal)'!F43</f>
        <v>6113.0123144081263</v>
      </c>
      <c r="G43" s="31">
        <f>VLOOKUP('AM (2011)'!$C43+1,CPI!$B$50:$I$63,8,FALSE)*'AM (nominal)'!G43</f>
        <v>4452.3106356605849</v>
      </c>
      <c r="H43" s="31">
        <f>VLOOKUP('AM (2011)'!$C43+1,CPI!$B$50:$I$63,8,FALSE)*'AM (nominal)'!H43</f>
        <v>509.41769286734382</v>
      </c>
      <c r="I43" s="31">
        <f>VLOOKUP('AM (2011)'!$C43+1,CPI!$B$50:$I$63,8,FALSE)*'AM (nominal)'!I43</f>
        <v>407.53415429387508</v>
      </c>
      <c r="J43" s="27">
        <f>VLOOKUP('AM (2011)'!$C43+1,CPI!$B$50:$I$63,8,FALSE)*'AM (nominal)'!J43</f>
        <v>19836.724960254371</v>
      </c>
      <c r="K43" s="31">
        <f>VLOOKUP('AM (2011)'!$C43+1,CPI!$B$50:$I$63,8,FALSE)*'AM (nominal)'!K43</f>
        <v>3761.5402441324668</v>
      </c>
      <c r="L43" s="31">
        <f>VLOOKUP('AM (2011)'!$C43+1,CPI!$B$50:$I$63,8,FALSE)*'AM (nominal)'!L43</f>
        <v>1056.5322950068712</v>
      </c>
      <c r="M43" s="31">
        <f>VLOOKUP('AM (2011)'!$C43+1,CPI!$B$50:$I$63,8,FALSE)*'AM (nominal)'!M43</f>
        <v>4525.666783433483</v>
      </c>
      <c r="N43" s="639">
        <f>VLOOKUP('AM (2011)'!$C43+1,CPI!$B$50:$I$63,8,FALSE)*'AM (nominal)'!N43</f>
        <v>9343.739322572821</v>
      </c>
    </row>
    <row r="44" spans="1:14" s="278" customFormat="1">
      <c r="A44" s="271">
        <f>References!O259</f>
        <v>36</v>
      </c>
      <c r="B44" s="305" t="s">
        <v>30</v>
      </c>
      <c r="C44" s="284">
        <v>2009</v>
      </c>
      <c r="D44" s="284">
        <v>2014</v>
      </c>
      <c r="E44" s="31">
        <f>VLOOKUP('AM (2011)'!$C44+1,CPI!$B$50:$I$63,8,FALSE)*'AM (nominal)'!E44</f>
        <v>8354.4501630244395</v>
      </c>
      <c r="F44" s="31">
        <f>VLOOKUP('AM (2011)'!$C44+1,CPI!$B$50:$I$63,8,FALSE)*'AM (nominal)'!F44</f>
        <v>7335.6147772897511</v>
      </c>
      <c r="G44" s="31">
        <f>VLOOKUP('AM (2011)'!$C44+1,CPI!$B$50:$I$63,8,FALSE)*'AM (nominal)'!G44</f>
        <v>3698.3724502169161</v>
      </c>
      <c r="H44" s="31">
        <f>VLOOKUP('AM (2011)'!$C44+1,CPI!$B$50:$I$63,8,FALSE)*'AM (nominal)'!H44</f>
        <v>509.41769286734382</v>
      </c>
      <c r="I44" s="31">
        <f>VLOOKUP('AM (2011)'!$C44+1,CPI!$B$50:$I$63,8,FALSE)*'AM (nominal)'!I44</f>
        <v>407.53415429387508</v>
      </c>
      <c r="J44" s="27">
        <f>VLOOKUP('AM (2011)'!$C44+1,CPI!$B$50:$I$63,8,FALSE)*'AM (nominal)'!J44</f>
        <v>20305.389237692325</v>
      </c>
      <c r="K44" s="31">
        <f>VLOOKUP('AM (2011)'!$C44+1,CPI!$B$50:$I$63,8,FALSE)*'AM (nominal)'!K44</f>
        <v>3863.4237827059355</v>
      </c>
      <c r="L44" s="31">
        <f>VLOOKUP('AM (2011)'!$C44+1,CPI!$B$50:$I$63,8,FALSE)*'AM (nominal)'!L44</f>
        <v>1086.078521193177</v>
      </c>
      <c r="M44" s="31">
        <f>VLOOKUP('AM (2011)'!$C44+1,CPI!$B$50:$I$63,8,FALSE)*'AM (nominal)'!M44</f>
        <v>4627.5503220069513</v>
      </c>
      <c r="N44" s="639">
        <f>VLOOKUP('AM (2011)'!$C44+1,CPI!$B$50:$I$63,8,FALSE)*'AM (nominal)'!N44</f>
        <v>9577.0526259060643</v>
      </c>
    </row>
    <row r="45" spans="1:14" s="278" customFormat="1">
      <c r="A45" s="271">
        <f>References!P259</f>
        <v>37</v>
      </c>
      <c r="B45" s="305" t="s">
        <v>30</v>
      </c>
      <c r="C45" s="284">
        <v>2010</v>
      </c>
      <c r="D45" s="284">
        <v>2011</v>
      </c>
      <c r="E45" s="31">
        <f>VLOOKUP('AM (2011)'!$C45+1,CPI!$B$50:$I$63,8,FALSE)*'AM (nominal)'!E45</f>
        <v>5400</v>
      </c>
      <c r="F45" s="31">
        <f>VLOOKUP('AM (2011)'!$C45+1,CPI!$B$50:$I$63,8,FALSE)*'AM (nominal)'!F45</f>
        <v>4300</v>
      </c>
      <c r="G45" s="31">
        <f>VLOOKUP('AM (2011)'!$C45+1,CPI!$B$50:$I$63,8,FALSE)*'AM (nominal)'!G45</f>
        <v>9960</v>
      </c>
      <c r="H45" s="31">
        <f>VLOOKUP('AM (2011)'!$C45+1,CPI!$B$50:$I$63,8,FALSE)*'AM (nominal)'!H45</f>
        <v>3750</v>
      </c>
      <c r="I45" s="31">
        <f>VLOOKUP('AM (2011)'!$C45+1,CPI!$B$50:$I$63,8,FALSE)*'AM (nominal)'!I45</f>
        <v>600</v>
      </c>
      <c r="J45" s="27">
        <f>VLOOKUP('AM (2011)'!$C45+1,CPI!$B$50:$I$63,8,FALSE)*'AM (nominal)'!J45</f>
        <v>24010</v>
      </c>
      <c r="K45" s="31">
        <f>VLOOKUP('AM (2011)'!$C45+1,CPI!$B$50:$I$63,8,FALSE)*'AM (nominal)'!K45</f>
        <v>3426</v>
      </c>
      <c r="L45" s="31">
        <f>VLOOKUP('AM (2011)'!$C45+1,CPI!$B$50:$I$63,8,FALSE)*'AM (nominal)'!L45</f>
        <v>1782</v>
      </c>
      <c r="M45" s="31">
        <f>VLOOKUP('AM (2011)'!$C45+1,CPI!$B$50:$I$63,8,FALSE)*'AM (nominal)'!M45</f>
        <v>4172</v>
      </c>
      <c r="N45" s="639">
        <f>VLOOKUP('AM (2011)'!$C45+1,CPI!$B$50:$I$63,8,FALSE)*'AM (nominal)'!N45</f>
        <v>9380</v>
      </c>
    </row>
    <row r="46" spans="1:14" s="278" customFormat="1">
      <c r="A46" s="271">
        <f>References!Q259</f>
        <v>38</v>
      </c>
      <c r="B46" s="305" t="s">
        <v>30</v>
      </c>
      <c r="C46" s="284">
        <v>2010</v>
      </c>
      <c r="D46" s="284">
        <v>2012</v>
      </c>
      <c r="E46" s="31">
        <f>VLOOKUP('AM (2011)'!$C46+1,CPI!$B$50:$I$63,8,FALSE)*'AM (nominal)'!E46</f>
        <v>8200</v>
      </c>
      <c r="F46" s="31">
        <f>VLOOKUP('AM (2011)'!$C46+1,CPI!$B$50:$I$63,8,FALSE)*'AM (nominal)'!F46</f>
        <v>6600</v>
      </c>
      <c r="G46" s="31">
        <f>VLOOKUP('AM (2011)'!$C46+1,CPI!$B$50:$I$63,8,FALSE)*'AM (nominal)'!G46</f>
        <v>9240</v>
      </c>
      <c r="H46" s="31">
        <f>VLOOKUP('AM (2011)'!$C46+1,CPI!$B$50:$I$63,8,FALSE)*'AM (nominal)'!H46</f>
        <v>1100</v>
      </c>
      <c r="I46" s="31">
        <f>VLOOKUP('AM (2011)'!$C46+1,CPI!$B$50:$I$63,8,FALSE)*'AM (nominal)'!I46</f>
        <v>900</v>
      </c>
      <c r="J46" s="27">
        <f>VLOOKUP('AM (2011)'!$C46+1,CPI!$B$50:$I$63,8,FALSE)*'AM (nominal)'!J46</f>
        <v>26040</v>
      </c>
      <c r="K46" s="31">
        <f>VLOOKUP('AM (2011)'!$C46+1,CPI!$B$50:$I$63,8,FALSE)*'AM (nominal)'!K46</f>
        <v>3521</v>
      </c>
      <c r="L46" s="31">
        <f>VLOOKUP('AM (2011)'!$C46+1,CPI!$B$50:$I$63,8,FALSE)*'AM (nominal)'!L46</f>
        <v>1809</v>
      </c>
      <c r="M46" s="31">
        <f>VLOOKUP('AM (2011)'!$C46+1,CPI!$B$50:$I$63,8,FALSE)*'AM (nominal)'!M46</f>
        <v>4284</v>
      </c>
      <c r="N46" s="639">
        <f>VLOOKUP('AM (2011)'!$C46+1,CPI!$B$50:$I$63,8,FALSE)*'AM (nominal)'!N46</f>
        <v>9614</v>
      </c>
    </row>
    <row r="47" spans="1:14" s="278" customFormat="1">
      <c r="A47" s="271">
        <f>References!R259</f>
        <v>39</v>
      </c>
      <c r="B47" s="305" t="s">
        <v>30</v>
      </c>
      <c r="C47" s="284">
        <v>2010</v>
      </c>
      <c r="D47" s="284">
        <v>2013</v>
      </c>
      <c r="E47" s="31">
        <f>VLOOKUP('AM (2011)'!$C47+1,CPI!$B$50:$I$63,8,FALSE)*'AM (nominal)'!E47</f>
        <v>8200</v>
      </c>
      <c r="F47" s="31">
        <f>VLOOKUP('AM (2011)'!$C47+1,CPI!$B$50:$I$63,8,FALSE)*'AM (nominal)'!F47</f>
        <v>4200</v>
      </c>
      <c r="G47" s="31">
        <f>VLOOKUP('AM (2011)'!$C47+1,CPI!$B$50:$I$63,8,FALSE)*'AM (nominal)'!G47</f>
        <v>9200</v>
      </c>
      <c r="H47" s="31">
        <f>VLOOKUP('AM (2011)'!$C47+1,CPI!$B$50:$I$63,8,FALSE)*'AM (nominal)'!H47</f>
        <v>200</v>
      </c>
      <c r="I47" s="31">
        <f>VLOOKUP('AM (2011)'!$C47+1,CPI!$B$50:$I$63,8,FALSE)*'AM (nominal)'!I47</f>
        <v>700</v>
      </c>
      <c r="J47" s="27">
        <f>VLOOKUP('AM (2011)'!$C47+1,CPI!$B$50:$I$63,8,FALSE)*'AM (nominal)'!J47</f>
        <v>22500</v>
      </c>
      <c r="K47" s="31">
        <f>VLOOKUP('AM (2011)'!$C47+1,CPI!$B$50:$I$63,8,FALSE)*'AM (nominal)'!K47</f>
        <v>3617</v>
      </c>
      <c r="L47" s="31">
        <f>VLOOKUP('AM (2011)'!$C47+1,CPI!$B$50:$I$63,8,FALSE)*'AM (nominal)'!L47</f>
        <v>1837</v>
      </c>
      <c r="M47" s="31">
        <f>VLOOKUP('AM (2011)'!$C47+1,CPI!$B$50:$I$63,8,FALSE)*'AM (nominal)'!M47</f>
        <v>4395</v>
      </c>
      <c r="N47" s="639">
        <f>VLOOKUP('AM (2011)'!$C47+1,CPI!$B$50:$I$63,8,FALSE)*'AM (nominal)'!N47</f>
        <v>9849</v>
      </c>
    </row>
    <row r="48" spans="1:14" s="278" customFormat="1">
      <c r="A48" s="271">
        <f>References!S259</f>
        <v>40</v>
      </c>
      <c r="B48" s="305" t="s">
        <v>30</v>
      </c>
      <c r="C48" s="284">
        <v>2010</v>
      </c>
      <c r="D48" s="284">
        <v>2014</v>
      </c>
      <c r="E48" s="31">
        <f>VLOOKUP('AM (2011)'!$C48+1,CPI!$B$50:$I$63,8,FALSE)*'AM (nominal)'!E48</f>
        <v>8200</v>
      </c>
      <c r="F48" s="31">
        <f>VLOOKUP('AM (2011)'!$C48+1,CPI!$B$50:$I$63,8,FALSE)*'AM (nominal)'!F48</f>
        <v>15400</v>
      </c>
      <c r="G48" s="31">
        <f>VLOOKUP('AM (2011)'!$C48+1,CPI!$B$50:$I$63,8,FALSE)*'AM (nominal)'!G48</f>
        <v>1800</v>
      </c>
      <c r="H48" s="31">
        <f>VLOOKUP('AM (2011)'!$C48+1,CPI!$B$50:$I$63,8,FALSE)*'AM (nominal)'!H48</f>
        <v>200</v>
      </c>
      <c r="I48" s="31">
        <f>VLOOKUP('AM (2011)'!$C48+1,CPI!$B$50:$I$63,8,FALSE)*'AM (nominal)'!I48</f>
        <v>400</v>
      </c>
      <c r="J48" s="27">
        <f>VLOOKUP('AM (2011)'!$C48+1,CPI!$B$50:$I$63,8,FALSE)*'AM (nominal)'!J48</f>
        <v>26000</v>
      </c>
      <c r="K48" s="31">
        <f>VLOOKUP('AM (2011)'!$C48+1,CPI!$B$50:$I$63,8,FALSE)*'AM (nominal)'!K48</f>
        <v>3717</v>
      </c>
      <c r="L48" s="31">
        <f>VLOOKUP('AM (2011)'!$C48+1,CPI!$B$50:$I$63,8,FALSE)*'AM (nominal)'!L48</f>
        <v>1866</v>
      </c>
      <c r="M48" s="31">
        <f>VLOOKUP('AM (2011)'!$C48+1,CPI!$B$50:$I$63,8,FALSE)*'AM (nominal)'!M48</f>
        <v>4510</v>
      </c>
      <c r="N48" s="639">
        <f>VLOOKUP('AM (2011)'!$C48+1,CPI!$B$50:$I$63,8,FALSE)*'AM (nominal)'!N48</f>
        <v>10093</v>
      </c>
    </row>
    <row r="49" spans="1:14" s="278" customFormat="1">
      <c r="A49" s="271">
        <f>References!T259</f>
        <v>41</v>
      </c>
      <c r="B49" s="305" t="s">
        <v>30</v>
      </c>
      <c r="C49" s="284">
        <v>2010</v>
      </c>
      <c r="D49" s="284">
        <v>2015</v>
      </c>
      <c r="E49" s="31">
        <f>VLOOKUP('AM (2011)'!$C49+1,CPI!$B$50:$I$63,8,FALSE)*'AM (nominal)'!E49</f>
        <v>8200</v>
      </c>
      <c r="F49" s="31">
        <f>VLOOKUP('AM (2011)'!$C49+1,CPI!$B$50:$I$63,8,FALSE)*'AM (nominal)'!F49</f>
        <v>6300</v>
      </c>
      <c r="G49" s="31">
        <f>VLOOKUP('AM (2011)'!$C49+1,CPI!$B$50:$I$63,8,FALSE)*'AM (nominal)'!G49</f>
        <v>9500</v>
      </c>
      <c r="H49" s="31">
        <f>VLOOKUP('AM (2011)'!$C49+1,CPI!$B$50:$I$63,8,FALSE)*'AM (nominal)'!H49</f>
        <v>200</v>
      </c>
      <c r="I49" s="31">
        <f>VLOOKUP('AM (2011)'!$C49+1,CPI!$B$50:$I$63,8,FALSE)*'AM (nominal)'!I49</f>
        <v>400</v>
      </c>
      <c r="J49" s="27">
        <f>VLOOKUP('AM (2011)'!$C49+1,CPI!$B$50:$I$63,8,FALSE)*'AM (nominal)'!J49</f>
        <v>24600</v>
      </c>
      <c r="K49" s="31">
        <f>VLOOKUP('AM (2011)'!$C49+1,CPI!$B$50:$I$63,8,FALSE)*'AM (nominal)'!K49</f>
        <v>3819</v>
      </c>
      <c r="L49" s="31">
        <f>VLOOKUP('AM (2011)'!$C49+1,CPI!$B$50:$I$63,8,FALSE)*'AM (nominal)'!L49</f>
        <v>1895</v>
      </c>
      <c r="M49" s="31">
        <f>VLOOKUP('AM (2011)'!$C49+1,CPI!$B$50:$I$63,8,FALSE)*'AM (nominal)'!M49</f>
        <v>4628</v>
      </c>
      <c r="N49" s="639">
        <f>VLOOKUP('AM (2011)'!$C49+1,CPI!$B$50:$I$63,8,FALSE)*'AM (nominal)'!N49</f>
        <v>10342</v>
      </c>
    </row>
    <row r="50" spans="1:14" s="278" customFormat="1">
      <c r="A50" s="271">
        <f>References!U259</f>
        <v>42</v>
      </c>
      <c r="B50" s="305" t="s">
        <v>30</v>
      </c>
      <c r="C50" s="284">
        <v>2011</v>
      </c>
      <c r="D50" s="284">
        <v>2012</v>
      </c>
      <c r="E50" s="31">
        <f>VLOOKUP('AM (2011)'!$C50+1,CPI!$B$50:$I$63,8,FALSE)*'AM (nominal)'!E50</f>
        <v>5474.7511312217193</v>
      </c>
      <c r="F50" s="31">
        <f>VLOOKUP('AM (2011)'!$C50+1,CPI!$B$50:$I$63,8,FALSE)*'AM (nominal)'!F50</f>
        <v>6931.4259857789266</v>
      </c>
      <c r="G50" s="31">
        <f>VLOOKUP('AM (2011)'!$C50+1,CPI!$B$50:$I$63,8,FALSE)*'AM (nominal)'!G50</f>
        <v>8300.1137685843569</v>
      </c>
      <c r="H50" s="31">
        <f>VLOOKUP('AM (2011)'!$C50+1,CPI!$B$50:$I$63,8,FALSE)*'AM (nominal)'!H50</f>
        <v>1974.8209437621201</v>
      </c>
      <c r="I50" s="31">
        <f>VLOOKUP('AM (2011)'!$C50+1,CPI!$B$50:$I$63,8,FALSE)*'AM (nominal)'!I50</f>
        <v>391.05365223012279</v>
      </c>
      <c r="J50" s="27">
        <f>VLOOKUP('AM (2011)'!$C50+1,CPI!$B$50:$I$63,8,FALSE)*'AM (nominal)'!J50</f>
        <v>23072.165481577245</v>
      </c>
      <c r="K50" s="31">
        <f>VLOOKUP('AM (2011)'!$C50+1,CPI!$B$50:$I$63,8,FALSE)*'AM (nominal)'!K50</f>
        <v>3460.8248222365869</v>
      </c>
      <c r="L50" s="31">
        <f>VLOOKUP('AM (2011)'!$C50+1,CPI!$B$50:$I$63,8,FALSE)*'AM (nominal)'!L50</f>
        <v>1280.7007110536522</v>
      </c>
      <c r="M50" s="31">
        <f>VLOOKUP('AM (2011)'!$C50+1,CPI!$B$50:$I$63,8,FALSE)*'AM (nominal)'!M50</f>
        <v>4174.4977375565613</v>
      </c>
      <c r="N50" s="639">
        <f>VLOOKUP('AM (2011)'!$C50+1,CPI!$B$50:$I$63,8,FALSE)*'AM (nominal)'!N50</f>
        <v>8916.0232708467993</v>
      </c>
    </row>
    <row r="51" spans="1:14" s="278" customFormat="1">
      <c r="A51" s="271">
        <f>References!V259</f>
        <v>43</v>
      </c>
      <c r="B51" s="305" t="s">
        <v>30</v>
      </c>
      <c r="C51" s="284">
        <v>2011</v>
      </c>
      <c r="D51" s="284">
        <v>2013</v>
      </c>
      <c r="E51" s="31">
        <f>VLOOKUP('AM (2011)'!$C51+1,CPI!$B$50:$I$63,8,FALSE)*'AM (nominal)'!E51</f>
        <v>5865.804783451842</v>
      </c>
      <c r="F51" s="31">
        <f>VLOOKUP('AM (2011)'!$C51+1,CPI!$B$50:$I$63,8,FALSE)*'AM (nominal)'!F51</f>
        <v>2620.059469941823</v>
      </c>
      <c r="G51" s="31">
        <f>VLOOKUP('AM (2011)'!$C51+1,CPI!$B$50:$I$63,8,FALSE)*'AM (nominal)'!G51</f>
        <v>7957.9418228829991</v>
      </c>
      <c r="H51" s="31">
        <f>VLOOKUP('AM (2011)'!$C51+1,CPI!$B$50:$I$63,8,FALSE)*'AM (nominal)'!H51</f>
        <v>1446.8985132514545</v>
      </c>
      <c r="I51" s="31">
        <f>VLOOKUP('AM (2011)'!$C51+1,CPI!$B$50:$I$63,8,FALSE)*'AM (nominal)'!I51</f>
        <v>488.81706528765352</v>
      </c>
      <c r="J51" s="27">
        <f>VLOOKUP('AM (2011)'!$C51+1,CPI!$B$50:$I$63,8,FALSE)*'AM (nominal)'!J51</f>
        <v>18379.521654815773</v>
      </c>
      <c r="K51" s="31">
        <f>VLOOKUP('AM (2011)'!$C51+1,CPI!$B$50:$I$63,8,FALSE)*'AM (nominal)'!K51</f>
        <v>3558.5882352941176</v>
      </c>
      <c r="L51" s="31">
        <f>VLOOKUP('AM (2011)'!$C51+1,CPI!$B$50:$I$63,8,FALSE)*'AM (nominal)'!L51</f>
        <v>1310.0297349709115</v>
      </c>
      <c r="M51" s="31">
        <f>VLOOKUP('AM (2011)'!$C51+1,CPI!$B$50:$I$63,8,FALSE)*'AM (nominal)'!M51</f>
        <v>4272.261150614092</v>
      </c>
      <c r="N51" s="639">
        <f>VLOOKUP('AM (2011)'!$C51+1,CPI!$B$50:$I$63,8,FALSE)*'AM (nominal)'!N51</f>
        <v>9140.8791208791208</v>
      </c>
    </row>
    <row r="52" spans="1:14" s="278" customFormat="1">
      <c r="A52" s="271">
        <f>References!W259</f>
        <v>44</v>
      </c>
      <c r="B52" s="305" t="s">
        <v>30</v>
      </c>
      <c r="C52" s="284">
        <v>2011</v>
      </c>
      <c r="D52" s="284">
        <v>2014</v>
      </c>
      <c r="E52" s="31">
        <f>VLOOKUP('AM (2011)'!$C52+1,CPI!$B$50:$I$63,8,FALSE)*'AM (nominal)'!E52</f>
        <v>6256.8584356819647</v>
      </c>
      <c r="F52" s="31">
        <f>VLOOKUP('AM (2011)'!$C52+1,CPI!$B$50:$I$63,8,FALSE)*'AM (nominal)'!F52</f>
        <v>9903.4337427278606</v>
      </c>
      <c r="G52" s="31">
        <f>VLOOKUP('AM (2011)'!$C52+1,CPI!$B$50:$I$63,8,FALSE)*'AM (nominal)'!G52</f>
        <v>7938.3891402714926</v>
      </c>
      <c r="H52" s="31">
        <f>VLOOKUP('AM (2011)'!$C52+1,CPI!$B$50:$I$63,8,FALSE)*'AM (nominal)'!H52</f>
        <v>1104.7265675500969</v>
      </c>
      <c r="I52" s="31">
        <f>VLOOKUP('AM (2011)'!$C52+1,CPI!$B$50:$I$63,8,FALSE)*'AM (nominal)'!I52</f>
        <v>586.58047834518425</v>
      </c>
      <c r="J52" s="27">
        <f>VLOOKUP('AM (2011)'!$C52+1,CPI!$B$50:$I$63,8,FALSE)*'AM (nominal)'!J52</f>
        <v>25789.988364576599</v>
      </c>
      <c r="K52" s="31">
        <f>VLOOKUP('AM (2011)'!$C52+1,CPI!$B$50:$I$63,8,FALSE)*'AM (nominal)'!K52</f>
        <v>3656.3516483516482</v>
      </c>
      <c r="L52" s="31">
        <f>VLOOKUP('AM (2011)'!$C52+1,CPI!$B$50:$I$63,8,FALSE)*'AM (nominal)'!L52</f>
        <v>1339.3587588881705</v>
      </c>
      <c r="M52" s="31">
        <f>VLOOKUP('AM (2011)'!$C52+1,CPI!$B$50:$I$63,8,FALSE)*'AM (nominal)'!M52</f>
        <v>4370.0245636716227</v>
      </c>
      <c r="N52" s="639">
        <f>VLOOKUP('AM (2011)'!$C52+1,CPI!$B$50:$I$63,8,FALSE)*'AM (nominal)'!N52</f>
        <v>9365.7349709114405</v>
      </c>
    </row>
    <row r="53" spans="1:14" s="278" customFormat="1">
      <c r="A53" s="271">
        <f>References!X259</f>
        <v>45</v>
      </c>
      <c r="B53" s="305" t="s">
        <v>30</v>
      </c>
      <c r="C53" s="284">
        <v>2011</v>
      </c>
      <c r="D53" s="284">
        <v>2015</v>
      </c>
      <c r="E53" s="31">
        <f>VLOOKUP('AM (2011)'!$C53+1,CPI!$B$50:$I$63,8,FALSE)*'AM (nominal)'!E53</f>
        <v>6647.9120879120874</v>
      </c>
      <c r="F53" s="31">
        <f>VLOOKUP('AM (2011)'!$C53+1,CPI!$B$50:$I$63,8,FALSE)*'AM (nominal)'!F53</f>
        <v>13862.851971557853</v>
      </c>
      <c r="G53" s="31">
        <f>VLOOKUP('AM (2011)'!$C53+1,CPI!$B$50:$I$63,8,FALSE)*'AM (nominal)'!G53</f>
        <v>4624.2094376212026</v>
      </c>
      <c r="H53" s="31">
        <f>VLOOKUP('AM (2011)'!$C53+1,CPI!$B$50:$I$63,8,FALSE)*'AM (nominal)'!H53</f>
        <v>1046.0685197155785</v>
      </c>
      <c r="I53" s="31">
        <f>VLOOKUP('AM (2011)'!$C53+1,CPI!$B$50:$I$63,8,FALSE)*'AM (nominal)'!I53</f>
        <v>488.81706528765352</v>
      </c>
      <c r="J53" s="27">
        <f>VLOOKUP('AM (2011)'!$C53+1,CPI!$B$50:$I$63,8,FALSE)*'AM (nominal)'!J53</f>
        <v>26669.859082094375</v>
      </c>
      <c r="K53" s="31">
        <f>VLOOKUP('AM (2011)'!$C53+1,CPI!$B$50:$I$63,8,FALSE)*'AM (nominal)'!K53</f>
        <v>3763.8914027149322</v>
      </c>
      <c r="L53" s="31">
        <f>VLOOKUP('AM (2011)'!$C53+1,CPI!$B$50:$I$63,8,FALSE)*'AM (nominal)'!L53</f>
        <v>1358.9114414996768</v>
      </c>
      <c r="M53" s="31">
        <f>VLOOKUP('AM (2011)'!$C53+1,CPI!$B$50:$I$63,8,FALSE)*'AM (nominal)'!M53</f>
        <v>4467.7879767291533</v>
      </c>
      <c r="N53" s="639">
        <f>VLOOKUP('AM (2011)'!$C53+1,CPI!$B$50:$I$63,8,FALSE)*'AM (nominal)'!N53</f>
        <v>9590.5908209437621</v>
      </c>
    </row>
    <row r="54" spans="1:14" s="278" customFormat="1">
      <c r="A54" s="271">
        <f>References!Y259</f>
        <v>46</v>
      </c>
      <c r="B54" s="305" t="s">
        <v>30</v>
      </c>
      <c r="C54" s="284">
        <v>2011</v>
      </c>
      <c r="D54" s="284">
        <v>2016</v>
      </c>
      <c r="E54" s="31">
        <f>VLOOKUP('AM (2011)'!$C54+1,CPI!$B$50:$I$63,8,FALSE)*'AM (nominal)'!E54</f>
        <v>7038.9657401422101</v>
      </c>
      <c r="F54" s="31">
        <f>VLOOKUP('AM (2011)'!$C54+1,CPI!$B$50:$I$63,8,FALSE)*'AM (nominal)'!F54</f>
        <v>10832.186166774401</v>
      </c>
      <c r="G54" s="31">
        <f>VLOOKUP('AM (2011)'!$C54+1,CPI!$B$50:$I$63,8,FALSE)*'AM (nominal)'!G54</f>
        <v>9805.670329670329</v>
      </c>
      <c r="H54" s="31">
        <f>VLOOKUP('AM (2011)'!$C54+1,CPI!$B$50:$I$63,8,FALSE)*'AM (nominal)'!H54</f>
        <v>1642.4253393665158</v>
      </c>
      <c r="I54" s="31">
        <f>VLOOKUP('AM (2011)'!$C54+1,CPI!$B$50:$I$63,8,FALSE)*'AM (nominal)'!I54</f>
        <v>488.81706528765352</v>
      </c>
      <c r="J54" s="27">
        <f>VLOOKUP('AM (2011)'!$C54+1,CPI!$B$50:$I$63,8,FALSE)*'AM (nominal)'!J54</f>
        <v>29808.064641241112</v>
      </c>
      <c r="K54" s="31">
        <f>VLOOKUP('AM (2011)'!$C54+1,CPI!$B$50:$I$63,8,FALSE)*'AM (nominal)'!K54</f>
        <v>3861.6548157724628</v>
      </c>
      <c r="L54" s="31">
        <f>VLOOKUP('AM (2011)'!$C54+1,CPI!$B$50:$I$63,8,FALSE)*'AM (nominal)'!L54</f>
        <v>1398.0168067226891</v>
      </c>
      <c r="M54" s="31">
        <f>VLOOKUP('AM (2011)'!$C54+1,CPI!$B$50:$I$63,8,FALSE)*'AM (nominal)'!M54</f>
        <v>4565.551389786684</v>
      </c>
      <c r="N54" s="639">
        <f>VLOOKUP('AM (2011)'!$C54+1,CPI!$B$50:$I$63,8,FALSE)*'AM (nominal)'!N54</f>
        <v>9825.2230122818346</v>
      </c>
    </row>
    <row r="55" spans="1:14" s="278" customFormat="1">
      <c r="A55" s="271">
        <f>References!K260</f>
        <v>55</v>
      </c>
      <c r="B55" s="305" t="s">
        <v>31</v>
      </c>
      <c r="C55" s="284">
        <v>2009</v>
      </c>
      <c r="D55" s="284">
        <v>2010</v>
      </c>
      <c r="E55" s="31">
        <f>VLOOKUP('AM (2011)'!$C55+1,CPI!$B$50:$I$63,8,FALSE)*'AM (nominal)'!E55</f>
        <v>193.57872328959067</v>
      </c>
      <c r="F55" s="31">
        <f>VLOOKUP('AM (2011)'!$C55+1,CPI!$B$50:$I$63,8,FALSE)*'AM (nominal)'!F55</f>
        <v>866.01007787448452</v>
      </c>
      <c r="G55" s="31">
        <f>VLOOKUP('AM (2011)'!$C55+1,CPI!$B$50:$I$63,8,FALSE)*'AM (nominal)'!G55</f>
        <v>371.87491579316099</v>
      </c>
      <c r="H55" s="31">
        <f>VLOOKUP('AM (2011)'!$C55+1,CPI!$B$50:$I$63,8,FALSE)*'AM (nominal)'!H55</f>
        <v>385.11977580771196</v>
      </c>
      <c r="I55" s="31">
        <f>VLOOKUP('AM (2011)'!$C55+1,CPI!$B$50:$I$63,8,FALSE)*'AM (nominal)'!I55</f>
        <v>30.56506157204063</v>
      </c>
      <c r="J55" s="27">
        <f>VLOOKUP('AM (2011)'!$C55+1,CPI!$B$50:$I$63,8,FALSE)*'AM (nominal)'!J55</f>
        <v>1847.1485543369888</v>
      </c>
      <c r="K55" s="31">
        <f>VLOOKUP('AM (2011)'!$C55+1,CPI!$B$50:$I$63,8,FALSE)*'AM (nominal)'!K55</f>
        <v>264.37759424429413</v>
      </c>
      <c r="L55" s="31">
        <f>VLOOKUP('AM (2011)'!$C55+1,CPI!$B$50:$I$63,8,FALSE)*'AM (nominal)'!L55</f>
        <v>611.89317479992451</v>
      </c>
      <c r="M55" s="31">
        <f>VLOOKUP('AM (2011)'!$C55+1,CPI!$B$50:$I$63,8,FALSE)*'AM (nominal)'!M55</f>
        <v>243.80730780631077</v>
      </c>
      <c r="N55" s="639">
        <f>VLOOKUP('AM (2011)'!$C55+1,CPI!$B$50:$I$63,8,FALSE)*'AM (nominal)'!N55</f>
        <v>1120.0780768505294</v>
      </c>
    </row>
    <row r="56" spans="1:14" s="278" customFormat="1">
      <c r="A56" s="271">
        <f>References!L260</f>
        <v>56</v>
      </c>
      <c r="B56" s="305" t="s">
        <v>31</v>
      </c>
      <c r="C56" s="284">
        <v>2009</v>
      </c>
      <c r="D56" s="284">
        <v>2011</v>
      </c>
      <c r="E56" s="31">
        <f>VLOOKUP('AM (2011)'!$C56+1,CPI!$B$50:$I$63,8,FALSE)*'AM (nominal)'!E56</f>
        <v>193.57872328959067</v>
      </c>
      <c r="F56" s="31">
        <f>VLOOKUP('AM (2011)'!$C56+1,CPI!$B$50:$I$63,8,FALSE)*'AM (nominal)'!F56</f>
        <v>30.56506157204063</v>
      </c>
      <c r="G56" s="31">
        <f>VLOOKUP('AM (2011)'!$C56+1,CPI!$B$50:$I$63,8,FALSE)*'AM (nominal)'!G56</f>
        <v>338.25334806391629</v>
      </c>
      <c r="H56" s="31">
        <f>VLOOKUP('AM (2011)'!$C56+1,CPI!$B$50:$I$63,8,FALSE)*'AM (nominal)'!H56</f>
        <v>246.55816334779442</v>
      </c>
      <c r="I56" s="31">
        <f>VLOOKUP('AM (2011)'!$C56+1,CPI!$B$50:$I$63,8,FALSE)*'AM (nominal)'!I56</f>
        <v>30.56506157204063</v>
      </c>
      <c r="J56" s="27">
        <f>VLOOKUP('AM (2011)'!$C56+1,CPI!$B$50:$I$63,8,FALSE)*'AM (nominal)'!J56</f>
        <v>839.5203578453827</v>
      </c>
      <c r="K56" s="31">
        <f>VLOOKUP('AM (2011)'!$C56+1,CPI!$B$50:$I$63,8,FALSE)*'AM (nominal)'!K56</f>
        <v>232.79369728651881</v>
      </c>
      <c r="L56" s="31">
        <f>VLOOKUP('AM (2011)'!$C56+1,CPI!$B$50:$I$63,8,FALSE)*'AM (nominal)'!L56</f>
        <v>606.798997871251</v>
      </c>
      <c r="M56" s="31">
        <f>VLOOKUP('AM (2011)'!$C56+1,CPI!$B$50:$I$63,8,FALSE)*'AM (nominal)'!M56</f>
        <v>248.90148473498422</v>
      </c>
      <c r="N56" s="639">
        <f>VLOOKUP('AM (2011)'!$C56+1,CPI!$B$50:$I$63,8,FALSE)*'AM (nominal)'!N56</f>
        <v>1088.4941798927541</v>
      </c>
    </row>
    <row r="57" spans="1:14" s="278" customFormat="1">
      <c r="A57" s="271">
        <f>References!M260</f>
        <v>57</v>
      </c>
      <c r="B57" s="305" t="s">
        <v>31</v>
      </c>
      <c r="C57" s="284">
        <v>2009</v>
      </c>
      <c r="D57" s="284">
        <v>2012</v>
      </c>
      <c r="E57" s="31">
        <f>VLOOKUP('AM (2011)'!$C57+1,CPI!$B$50:$I$63,8,FALSE)*'AM (nominal)'!E57</f>
        <v>193.57872328959067</v>
      </c>
      <c r="F57" s="31">
        <f>VLOOKUP('AM (2011)'!$C57+1,CPI!$B$50:$I$63,8,FALSE)*'AM (nominal)'!F57</f>
        <v>30.56506157204063</v>
      </c>
      <c r="G57" s="31">
        <f>VLOOKUP('AM (2011)'!$C57+1,CPI!$B$50:$I$63,8,FALSE)*'AM (nominal)'!G57</f>
        <v>401.42114197946694</v>
      </c>
      <c r="H57" s="31">
        <f>VLOOKUP('AM (2011)'!$C57+1,CPI!$B$50:$I$63,8,FALSE)*'AM (nominal)'!H57</f>
        <v>199.69173560399878</v>
      </c>
      <c r="I57" s="31">
        <f>VLOOKUP('AM (2011)'!$C57+1,CPI!$B$50:$I$63,8,FALSE)*'AM (nominal)'!I57</f>
        <v>30.56506157204063</v>
      </c>
      <c r="J57" s="27">
        <f>VLOOKUP('AM (2011)'!$C57+1,CPI!$B$50:$I$63,8,FALSE)*'AM (nominal)'!J57</f>
        <v>855.82172401713763</v>
      </c>
      <c r="K57" s="31">
        <f>VLOOKUP('AM (2011)'!$C57+1,CPI!$B$50:$I$63,8,FALSE)*'AM (nominal)'!K57</f>
        <v>222.60534342917191</v>
      </c>
      <c r="L57" s="31">
        <f>VLOOKUP('AM (2011)'!$C57+1,CPI!$B$50:$I$63,8,FALSE)*'AM (nominal)'!L57</f>
        <v>689.05976691546971</v>
      </c>
      <c r="M57" s="31">
        <f>VLOOKUP('AM (2011)'!$C57+1,CPI!$B$50:$I$63,8,FALSE)*'AM (nominal)'!M57</f>
        <v>248.90148473498422</v>
      </c>
      <c r="N57" s="639">
        <f>VLOOKUP('AM (2011)'!$C57+1,CPI!$B$50:$I$63,8,FALSE)*'AM (nominal)'!N57</f>
        <v>1160.5665950796258</v>
      </c>
    </row>
    <row r="58" spans="1:14" s="278" customFormat="1">
      <c r="A58" s="271">
        <f>References!N260</f>
        <v>58</v>
      </c>
      <c r="B58" s="305" t="s">
        <v>31</v>
      </c>
      <c r="C58" s="284">
        <v>2009</v>
      </c>
      <c r="D58" s="284">
        <v>2013</v>
      </c>
      <c r="E58" s="31">
        <f>VLOOKUP('AM (2011)'!$C58+1,CPI!$B$50:$I$63,8,FALSE)*'AM (nominal)'!E58</f>
        <v>193.57872328959067</v>
      </c>
      <c r="F58" s="31">
        <f>VLOOKUP('AM (2011)'!$C58+1,CPI!$B$50:$I$63,8,FALSE)*'AM (nominal)'!F58</f>
        <v>30.56506157204063</v>
      </c>
      <c r="G58" s="31">
        <f>VLOOKUP('AM (2011)'!$C58+1,CPI!$B$50:$I$63,8,FALSE)*'AM (nominal)'!G58</f>
        <v>343.34752499258974</v>
      </c>
      <c r="H58" s="31">
        <f>VLOOKUP('AM (2011)'!$C58+1,CPI!$B$50:$I$63,8,FALSE)*'AM (nominal)'!H58</f>
        <v>200.71057098973347</v>
      </c>
      <c r="I58" s="31">
        <f>VLOOKUP('AM (2011)'!$C58+1,CPI!$B$50:$I$63,8,FALSE)*'AM (nominal)'!I58</f>
        <v>30.56506157204063</v>
      </c>
      <c r="J58" s="27">
        <f>VLOOKUP('AM (2011)'!$C58+1,CPI!$B$50:$I$63,8,FALSE)*'AM (nominal)'!J58</f>
        <v>798.76694241599512</v>
      </c>
      <c r="K58" s="31">
        <f>VLOOKUP('AM (2011)'!$C58+1,CPI!$B$50:$I$63,8,FALSE)*'AM (nominal)'!K58</f>
        <v>222.60534342917191</v>
      </c>
      <c r="L58" s="31">
        <f>VLOOKUP('AM (2011)'!$C58+1,CPI!$B$50:$I$63,8,FALSE)*'AM (nominal)'!L58</f>
        <v>599.66715017110823</v>
      </c>
      <c r="M58" s="31">
        <f>VLOOKUP('AM (2011)'!$C58+1,CPI!$B$50:$I$63,8,FALSE)*'AM (nominal)'!M58</f>
        <v>248.90148473498422</v>
      </c>
      <c r="N58" s="639">
        <f>VLOOKUP('AM (2011)'!$C58+1,CPI!$B$50:$I$63,8,FALSE)*'AM (nominal)'!N58</f>
        <v>1071.1739783352643</v>
      </c>
    </row>
    <row r="59" spans="1:14" s="278" customFormat="1">
      <c r="A59" s="271">
        <f>References!O260</f>
        <v>59</v>
      </c>
      <c r="B59" s="305" t="s">
        <v>31</v>
      </c>
      <c r="C59" s="284">
        <v>2009</v>
      </c>
      <c r="D59" s="284">
        <v>2014</v>
      </c>
      <c r="E59" s="31">
        <f>VLOOKUP('AM (2011)'!$C59+1,CPI!$B$50:$I$63,8,FALSE)*'AM (nominal)'!E59</f>
        <v>193.57872328959067</v>
      </c>
      <c r="F59" s="31">
        <f>VLOOKUP('AM (2011)'!$C59+1,CPI!$B$50:$I$63,8,FALSE)*'AM (nominal)'!F59</f>
        <v>30.56506157204063</v>
      </c>
      <c r="G59" s="31">
        <f>VLOOKUP('AM (2011)'!$C59+1,CPI!$B$50:$I$63,8,FALSE)*'AM (nominal)'!G59</f>
        <v>338.25334806391629</v>
      </c>
      <c r="H59" s="31">
        <f>VLOOKUP('AM (2011)'!$C59+1,CPI!$B$50:$I$63,8,FALSE)*'AM (nominal)'!H59</f>
        <v>153.84414324593783</v>
      </c>
      <c r="I59" s="31">
        <f>VLOOKUP('AM (2011)'!$C59+1,CPI!$B$50:$I$63,8,FALSE)*'AM (nominal)'!I59</f>
        <v>30.56506157204063</v>
      </c>
      <c r="J59" s="27">
        <f>VLOOKUP('AM (2011)'!$C59+1,CPI!$B$50:$I$63,8,FALSE)*'AM (nominal)'!J59</f>
        <v>746.80633774352611</v>
      </c>
      <c r="K59" s="31">
        <f>VLOOKUP('AM (2011)'!$C59+1,CPI!$B$50:$I$63,8,FALSE)*'AM (nominal)'!K59</f>
        <v>222.60534342917191</v>
      </c>
      <c r="L59" s="31">
        <f>VLOOKUP('AM (2011)'!$C59+1,CPI!$B$50:$I$63,8,FALSE)*'AM (nominal)'!L59</f>
        <v>379.5548969308291</v>
      </c>
      <c r="M59" s="31">
        <f>VLOOKUP('AM (2011)'!$C59+1,CPI!$B$50:$I$63,8,FALSE)*'AM (nominal)'!M59</f>
        <v>248.90148473498422</v>
      </c>
      <c r="N59" s="639">
        <f>VLOOKUP('AM (2011)'!$C59+1,CPI!$B$50:$I$63,8,FALSE)*'AM (nominal)'!N59</f>
        <v>851.06172509498515</v>
      </c>
    </row>
    <row r="60" spans="1:14" s="278" customFormat="1">
      <c r="A60" s="271">
        <f>References!P260</f>
        <v>60</v>
      </c>
      <c r="B60" s="305" t="s">
        <v>31</v>
      </c>
      <c r="C60" s="284">
        <v>2010</v>
      </c>
      <c r="D60" s="284">
        <v>2011</v>
      </c>
      <c r="E60" s="31">
        <f>VLOOKUP('AM (2011)'!$C60+1,CPI!$B$50:$I$63,8,FALSE)*'AM (nominal)'!E60</f>
        <v>630</v>
      </c>
      <c r="F60" s="31">
        <f>VLOOKUP('AM (2011)'!$C60+1,CPI!$B$50:$I$63,8,FALSE)*'AM (nominal)'!F60</f>
        <v>75</v>
      </c>
      <c r="G60" s="31">
        <f>VLOOKUP('AM (2011)'!$C60+1,CPI!$B$50:$I$63,8,FALSE)*'AM (nominal)'!G60</f>
        <v>477</v>
      </c>
      <c r="H60" s="31">
        <f>VLOOKUP('AM (2011)'!$C60+1,CPI!$B$50:$I$63,8,FALSE)*'AM (nominal)'!H60</f>
        <v>504</v>
      </c>
      <c r="I60" s="31">
        <f>VLOOKUP('AM (2011)'!$C60+1,CPI!$B$50:$I$63,8,FALSE)*'AM (nominal)'!I60</f>
        <v>50</v>
      </c>
      <c r="J60" s="27">
        <f>VLOOKUP('AM (2011)'!$C60+1,CPI!$B$50:$I$63,8,FALSE)*'AM (nominal)'!J60</f>
        <v>1736</v>
      </c>
      <c r="K60" s="31">
        <f>VLOOKUP('AM (2011)'!$C60+1,CPI!$B$50:$I$63,8,FALSE)*'AM (nominal)'!K60</f>
        <v>387</v>
      </c>
      <c r="L60" s="31">
        <f>VLOOKUP('AM (2011)'!$C60+1,CPI!$B$50:$I$63,8,FALSE)*'AM (nominal)'!L60</f>
        <v>773</v>
      </c>
      <c r="M60" s="31">
        <f>VLOOKUP('AM (2011)'!$C60+1,CPI!$B$50:$I$63,8,FALSE)*'AM (nominal)'!M60</f>
        <v>259</v>
      </c>
      <c r="N60" s="639">
        <f>VLOOKUP('AM (2011)'!$C60+1,CPI!$B$50:$I$63,8,FALSE)*'AM (nominal)'!N60</f>
        <v>1419</v>
      </c>
    </row>
    <row r="61" spans="1:14" s="278" customFormat="1">
      <c r="A61" s="271">
        <f>References!Q260</f>
        <v>61</v>
      </c>
      <c r="B61" s="305" t="s">
        <v>31</v>
      </c>
      <c r="C61" s="284">
        <v>2010</v>
      </c>
      <c r="D61" s="284">
        <v>2012</v>
      </c>
      <c r="E61" s="31">
        <f>VLOOKUP('AM (2011)'!$C61+1,CPI!$B$50:$I$63,8,FALSE)*'AM (nominal)'!E61</f>
        <v>200</v>
      </c>
      <c r="F61" s="31">
        <f>VLOOKUP('AM (2011)'!$C61+1,CPI!$B$50:$I$63,8,FALSE)*'AM (nominal)'!F61</f>
        <v>60</v>
      </c>
      <c r="G61" s="31">
        <f>VLOOKUP('AM (2011)'!$C61+1,CPI!$B$50:$I$63,8,FALSE)*'AM (nominal)'!G61</f>
        <v>461</v>
      </c>
      <c r="H61" s="31">
        <f>VLOOKUP('AM (2011)'!$C61+1,CPI!$B$50:$I$63,8,FALSE)*'AM (nominal)'!H61</f>
        <v>297</v>
      </c>
      <c r="I61" s="31">
        <f>VLOOKUP('AM (2011)'!$C61+1,CPI!$B$50:$I$63,8,FALSE)*'AM (nominal)'!I61</f>
        <v>50</v>
      </c>
      <c r="J61" s="27">
        <f>VLOOKUP('AM (2011)'!$C61+1,CPI!$B$50:$I$63,8,FALSE)*'AM (nominal)'!J61</f>
        <v>1068</v>
      </c>
      <c r="K61" s="31">
        <f>VLOOKUP('AM (2011)'!$C61+1,CPI!$B$50:$I$63,8,FALSE)*'AM (nominal)'!K61</f>
        <v>378</v>
      </c>
      <c r="L61" s="31">
        <f>VLOOKUP('AM (2011)'!$C61+1,CPI!$B$50:$I$63,8,FALSE)*'AM (nominal)'!L61</f>
        <v>738</v>
      </c>
      <c r="M61" s="31">
        <f>VLOOKUP('AM (2011)'!$C61+1,CPI!$B$50:$I$63,8,FALSE)*'AM (nominal)'!M61</f>
        <v>274</v>
      </c>
      <c r="N61" s="639">
        <f>VLOOKUP('AM (2011)'!$C61+1,CPI!$B$50:$I$63,8,FALSE)*'AM (nominal)'!N61</f>
        <v>1390</v>
      </c>
    </row>
    <row r="62" spans="1:14" s="278" customFormat="1">
      <c r="A62" s="271">
        <f>References!R260</f>
        <v>62</v>
      </c>
      <c r="B62" s="305" t="s">
        <v>31</v>
      </c>
      <c r="C62" s="284">
        <v>2010</v>
      </c>
      <c r="D62" s="284">
        <v>2013</v>
      </c>
      <c r="E62" s="31">
        <f>VLOOKUP('AM (2011)'!$C62+1,CPI!$B$50:$I$63,8,FALSE)*'AM (nominal)'!E62</f>
        <v>200</v>
      </c>
      <c r="F62" s="31">
        <f>VLOOKUP('AM (2011)'!$C62+1,CPI!$B$50:$I$63,8,FALSE)*'AM (nominal)'!F62</f>
        <v>30</v>
      </c>
      <c r="G62" s="31">
        <f>VLOOKUP('AM (2011)'!$C62+1,CPI!$B$50:$I$63,8,FALSE)*'AM (nominal)'!G62</f>
        <v>486</v>
      </c>
      <c r="H62" s="31">
        <f>VLOOKUP('AM (2011)'!$C62+1,CPI!$B$50:$I$63,8,FALSE)*'AM (nominal)'!H62</f>
        <v>265</v>
      </c>
      <c r="I62" s="31">
        <f>VLOOKUP('AM (2011)'!$C62+1,CPI!$B$50:$I$63,8,FALSE)*'AM (nominal)'!I62</f>
        <v>50</v>
      </c>
      <c r="J62" s="27">
        <f>VLOOKUP('AM (2011)'!$C62+1,CPI!$B$50:$I$63,8,FALSE)*'AM (nominal)'!J62</f>
        <v>1031</v>
      </c>
      <c r="K62" s="31">
        <f>VLOOKUP('AM (2011)'!$C62+1,CPI!$B$50:$I$63,8,FALSE)*'AM (nominal)'!K62</f>
        <v>378</v>
      </c>
      <c r="L62" s="31">
        <f>VLOOKUP('AM (2011)'!$C62+1,CPI!$B$50:$I$63,8,FALSE)*'AM (nominal)'!L62</f>
        <v>738</v>
      </c>
      <c r="M62" s="31">
        <f>VLOOKUP('AM (2011)'!$C62+1,CPI!$B$50:$I$63,8,FALSE)*'AM (nominal)'!M62</f>
        <v>274</v>
      </c>
      <c r="N62" s="639">
        <f>VLOOKUP('AM (2011)'!$C62+1,CPI!$B$50:$I$63,8,FALSE)*'AM (nominal)'!N62</f>
        <v>1390</v>
      </c>
    </row>
    <row r="63" spans="1:14" s="278" customFormat="1">
      <c r="A63" s="271">
        <f>References!S260</f>
        <v>63</v>
      </c>
      <c r="B63" s="305" t="s">
        <v>31</v>
      </c>
      <c r="C63" s="284">
        <v>2010</v>
      </c>
      <c r="D63" s="284">
        <v>2014</v>
      </c>
      <c r="E63" s="31">
        <f>VLOOKUP('AM (2011)'!$C63+1,CPI!$B$50:$I$63,8,FALSE)*'AM (nominal)'!E63</f>
        <v>200</v>
      </c>
      <c r="F63" s="31">
        <f>VLOOKUP('AM (2011)'!$C63+1,CPI!$B$50:$I$63,8,FALSE)*'AM (nominal)'!F63</f>
        <v>30</v>
      </c>
      <c r="G63" s="31">
        <f>VLOOKUP('AM (2011)'!$C63+1,CPI!$B$50:$I$63,8,FALSE)*'AM (nominal)'!G63</f>
        <v>445</v>
      </c>
      <c r="H63" s="31">
        <f>VLOOKUP('AM (2011)'!$C63+1,CPI!$B$50:$I$63,8,FALSE)*'AM (nominal)'!H63</f>
        <v>265</v>
      </c>
      <c r="I63" s="31">
        <f>VLOOKUP('AM (2011)'!$C63+1,CPI!$B$50:$I$63,8,FALSE)*'AM (nominal)'!I63</f>
        <v>50</v>
      </c>
      <c r="J63" s="27">
        <f>VLOOKUP('AM (2011)'!$C63+1,CPI!$B$50:$I$63,8,FALSE)*'AM (nominal)'!J63</f>
        <v>990</v>
      </c>
      <c r="K63" s="31">
        <f>VLOOKUP('AM (2011)'!$C63+1,CPI!$B$50:$I$63,8,FALSE)*'AM (nominal)'!K63</f>
        <v>378</v>
      </c>
      <c r="L63" s="31">
        <f>VLOOKUP('AM (2011)'!$C63+1,CPI!$B$50:$I$63,8,FALSE)*'AM (nominal)'!L63</f>
        <v>746</v>
      </c>
      <c r="M63" s="31">
        <f>VLOOKUP('AM (2011)'!$C63+1,CPI!$B$50:$I$63,8,FALSE)*'AM (nominal)'!M63</f>
        <v>274</v>
      </c>
      <c r="N63" s="639">
        <f>VLOOKUP('AM (2011)'!$C63+1,CPI!$B$50:$I$63,8,FALSE)*'AM (nominal)'!N63</f>
        <v>1398</v>
      </c>
    </row>
    <row r="64" spans="1:14" s="278" customFormat="1">
      <c r="A64" s="271">
        <f>References!T260</f>
        <v>64</v>
      </c>
      <c r="B64" s="305" t="s">
        <v>31</v>
      </c>
      <c r="C64" s="284">
        <v>2010</v>
      </c>
      <c r="D64" s="284">
        <v>2015</v>
      </c>
      <c r="E64" s="31">
        <f>VLOOKUP('AM (2011)'!$C64+1,CPI!$B$50:$I$63,8,FALSE)*'AM (nominal)'!E64</f>
        <v>200</v>
      </c>
      <c r="F64" s="31">
        <f>VLOOKUP('AM (2011)'!$C64+1,CPI!$B$50:$I$63,8,FALSE)*'AM (nominal)'!F64</f>
        <v>30</v>
      </c>
      <c r="G64" s="31">
        <f>VLOOKUP('AM (2011)'!$C64+1,CPI!$B$50:$I$63,8,FALSE)*'AM (nominal)'!G64</f>
        <v>445</v>
      </c>
      <c r="H64" s="31">
        <f>VLOOKUP('AM (2011)'!$C64+1,CPI!$B$50:$I$63,8,FALSE)*'AM (nominal)'!H64</f>
        <v>265</v>
      </c>
      <c r="I64" s="31">
        <f>VLOOKUP('AM (2011)'!$C64+1,CPI!$B$50:$I$63,8,FALSE)*'AM (nominal)'!I64</f>
        <v>50</v>
      </c>
      <c r="J64" s="27">
        <f>VLOOKUP('AM (2011)'!$C64+1,CPI!$B$50:$I$63,8,FALSE)*'AM (nominal)'!J64</f>
        <v>990</v>
      </c>
      <c r="K64" s="31">
        <f>VLOOKUP('AM (2011)'!$C64+1,CPI!$B$50:$I$63,8,FALSE)*'AM (nominal)'!K64</f>
        <v>388</v>
      </c>
      <c r="L64" s="31">
        <f>VLOOKUP('AM (2011)'!$C64+1,CPI!$B$50:$I$63,8,FALSE)*'AM (nominal)'!L64</f>
        <v>753</v>
      </c>
      <c r="M64" s="31">
        <f>VLOOKUP('AM (2011)'!$C64+1,CPI!$B$50:$I$63,8,FALSE)*'AM (nominal)'!M64</f>
        <v>274</v>
      </c>
      <c r="N64" s="639">
        <f>VLOOKUP('AM (2011)'!$C64+1,CPI!$B$50:$I$63,8,FALSE)*'AM (nominal)'!N64</f>
        <v>1415</v>
      </c>
    </row>
    <row r="65" spans="1:14" s="278" customFormat="1">
      <c r="A65" s="271">
        <f>References!U260</f>
        <v>65</v>
      </c>
      <c r="B65" s="305" t="s">
        <v>31</v>
      </c>
      <c r="C65" s="284">
        <v>2011</v>
      </c>
      <c r="D65" s="284">
        <v>2012</v>
      </c>
      <c r="E65" s="31">
        <f>VLOOKUP('AM (2011)'!$C65+1,CPI!$B$50:$I$63,8,FALSE)*'AM (nominal)'!E65</f>
        <v>303.0665804783452</v>
      </c>
      <c r="F65" s="31">
        <f>VLOOKUP('AM (2011)'!$C65+1,CPI!$B$50:$I$63,8,FALSE)*'AM (nominal)'!F65</f>
        <v>193.57155785391078</v>
      </c>
      <c r="G65" s="31">
        <f>VLOOKUP('AM (2011)'!$C65+1,CPI!$B$50:$I$63,8,FALSE)*'AM (nominal)'!G65</f>
        <v>457.53277310924369</v>
      </c>
      <c r="H65" s="31">
        <f>VLOOKUP('AM (2011)'!$C65+1,CPI!$B$50:$I$63,8,FALSE)*'AM (nominal)'!H65</f>
        <v>541.6093083387201</v>
      </c>
      <c r="I65" s="31">
        <f>VLOOKUP('AM (2011)'!$C65+1,CPI!$B$50:$I$63,8,FALSE)*'AM (nominal)'!I65</f>
        <v>97.763413057530698</v>
      </c>
      <c r="J65" s="27">
        <f>VLOOKUP('AM (2011)'!$C65+1,CPI!$B$50:$I$63,8,FALSE)*'AM (nominal)'!J65</f>
        <v>1593.5436328377505</v>
      </c>
      <c r="K65" s="31">
        <f>VLOOKUP('AM (2011)'!$C65+1,CPI!$B$50:$I$63,8,FALSE)*'AM (nominal)'!K65</f>
        <v>350.97065287653521</v>
      </c>
      <c r="L65" s="31">
        <f>VLOOKUP('AM (2011)'!$C65+1,CPI!$B$50:$I$63,8,FALSE)*'AM (nominal)'!L65</f>
        <v>548.45274725274726</v>
      </c>
      <c r="M65" s="31">
        <f>VLOOKUP('AM (2011)'!$C65+1,CPI!$B$50:$I$63,8,FALSE)*'AM (nominal)'!M65</f>
        <v>246.36380090497738</v>
      </c>
      <c r="N65" s="639">
        <f>VLOOKUP('AM (2011)'!$C65+1,CPI!$B$50:$I$63,8,FALSE)*'AM (nominal)'!N65</f>
        <v>1145.7872010342599</v>
      </c>
    </row>
    <row r="66" spans="1:14" s="278" customFormat="1">
      <c r="A66" s="271">
        <f>References!V260</f>
        <v>66</v>
      </c>
      <c r="B66" s="305" t="s">
        <v>31</v>
      </c>
      <c r="C66" s="284">
        <v>2011</v>
      </c>
      <c r="D66" s="284">
        <v>2013</v>
      </c>
      <c r="E66" s="31">
        <f>VLOOKUP('AM (2011)'!$C66+1,CPI!$B$50:$I$63,8,FALSE)*'AM (nominal)'!E66</f>
        <v>97.763413057530698</v>
      </c>
      <c r="F66" s="31">
        <f>VLOOKUP('AM (2011)'!$C66+1,CPI!$B$50:$I$63,8,FALSE)*'AM (nominal)'!F66</f>
        <v>29.32902391725921</v>
      </c>
      <c r="G66" s="31">
        <f>VLOOKUP('AM (2011)'!$C66+1,CPI!$B$50:$I$63,8,FALSE)*'AM (nominal)'!G66</f>
        <v>589.51338073691011</v>
      </c>
      <c r="H66" s="31">
        <f>VLOOKUP('AM (2011)'!$C66+1,CPI!$B$50:$I$63,8,FALSE)*'AM (nominal)'!H66</f>
        <v>645.2385261797026</v>
      </c>
      <c r="I66" s="31">
        <f>VLOOKUP('AM (2011)'!$C66+1,CPI!$B$50:$I$63,8,FALSE)*'AM (nominal)'!I66</f>
        <v>97.763413057530698</v>
      </c>
      <c r="J66" s="27">
        <f>VLOOKUP('AM (2011)'!$C66+1,CPI!$B$50:$I$63,8,FALSE)*'AM (nominal)'!J66</f>
        <v>1459.6077569489335</v>
      </c>
      <c r="K66" s="31">
        <f>VLOOKUP('AM (2011)'!$C66+1,CPI!$B$50:$I$63,8,FALSE)*'AM (nominal)'!K66</f>
        <v>341.19431157078213</v>
      </c>
      <c r="L66" s="31">
        <f>VLOOKUP('AM (2011)'!$C66+1,CPI!$B$50:$I$63,8,FALSE)*'AM (nominal)'!L66</f>
        <v>548.45274725274726</v>
      </c>
      <c r="M66" s="31">
        <f>VLOOKUP('AM (2011)'!$C66+1,CPI!$B$50:$I$63,8,FALSE)*'AM (nominal)'!M66</f>
        <v>246.36380090497738</v>
      </c>
      <c r="N66" s="639">
        <f>VLOOKUP('AM (2011)'!$C66+1,CPI!$B$50:$I$63,8,FALSE)*'AM (nominal)'!N66</f>
        <v>1136.0108597285068</v>
      </c>
    </row>
    <row r="67" spans="1:14" s="278" customFormat="1">
      <c r="A67" s="271">
        <f>References!W260</f>
        <v>67</v>
      </c>
      <c r="B67" s="305" t="s">
        <v>31</v>
      </c>
      <c r="C67" s="284">
        <v>2011</v>
      </c>
      <c r="D67" s="284">
        <v>2014</v>
      </c>
      <c r="E67" s="31">
        <f>VLOOKUP('AM (2011)'!$C67+1,CPI!$B$50:$I$63,8,FALSE)*'AM (nominal)'!E67</f>
        <v>97.763413057530698</v>
      </c>
      <c r="F67" s="31">
        <f>VLOOKUP('AM (2011)'!$C67+1,CPI!$B$50:$I$63,8,FALSE)*'AM (nominal)'!F67</f>
        <v>29.32902391725921</v>
      </c>
      <c r="G67" s="31">
        <f>VLOOKUP('AM (2011)'!$C67+1,CPI!$B$50:$I$63,8,FALSE)*'AM (nominal)'!G67</f>
        <v>506.41447963800903</v>
      </c>
      <c r="H67" s="31">
        <f>VLOOKUP('AM (2011)'!$C67+1,CPI!$B$50:$I$63,8,FALSE)*'AM (nominal)'!H67</f>
        <v>239.52036199095022</v>
      </c>
      <c r="I67" s="31">
        <f>VLOOKUP('AM (2011)'!$C67+1,CPI!$B$50:$I$63,8,FALSE)*'AM (nominal)'!I67</f>
        <v>97.763413057530698</v>
      </c>
      <c r="J67" s="27">
        <f>VLOOKUP('AM (2011)'!$C67+1,CPI!$B$50:$I$63,8,FALSE)*'AM (nominal)'!J67</f>
        <v>970.79069166127988</v>
      </c>
      <c r="K67" s="31">
        <f>VLOOKUP('AM (2011)'!$C67+1,CPI!$B$50:$I$63,8,FALSE)*'AM (nominal)'!K67</f>
        <v>336.30614091790562</v>
      </c>
      <c r="L67" s="31">
        <f>VLOOKUP('AM (2011)'!$C67+1,CPI!$B$50:$I$63,8,FALSE)*'AM (nominal)'!L67</f>
        <v>556.27382029734974</v>
      </c>
      <c r="M67" s="31">
        <f>VLOOKUP('AM (2011)'!$C67+1,CPI!$B$50:$I$63,8,FALSE)*'AM (nominal)'!M67</f>
        <v>246.36380090497738</v>
      </c>
      <c r="N67" s="639">
        <f>VLOOKUP('AM (2011)'!$C67+1,CPI!$B$50:$I$63,8,FALSE)*'AM (nominal)'!N67</f>
        <v>1138.9437621202326</v>
      </c>
    </row>
    <row r="68" spans="1:14" s="278" customFormat="1">
      <c r="A68" s="271">
        <f>References!X260</f>
        <v>68</v>
      </c>
      <c r="B68" s="305" t="s">
        <v>31</v>
      </c>
      <c r="C68" s="284">
        <v>2011</v>
      </c>
      <c r="D68" s="284">
        <v>2015</v>
      </c>
      <c r="E68" s="31">
        <f>VLOOKUP('AM (2011)'!$C68+1,CPI!$B$50:$I$63,8,FALSE)*'AM (nominal)'!E68</f>
        <v>97.763413057530698</v>
      </c>
      <c r="F68" s="31">
        <f>VLOOKUP('AM (2011)'!$C68+1,CPI!$B$50:$I$63,8,FALSE)*'AM (nominal)'!F68</f>
        <v>29.32902391725921</v>
      </c>
      <c r="G68" s="31">
        <f>VLOOKUP('AM (2011)'!$C68+1,CPI!$B$50:$I$63,8,FALSE)*'AM (nominal)'!G68</f>
        <v>506.41447963800903</v>
      </c>
      <c r="H68" s="31">
        <f>VLOOKUP('AM (2011)'!$C68+1,CPI!$B$50:$I$63,8,FALSE)*'AM (nominal)'!H68</f>
        <v>239.52036199095022</v>
      </c>
      <c r="I68" s="31">
        <f>VLOOKUP('AM (2011)'!$C68+1,CPI!$B$50:$I$63,8,FALSE)*'AM (nominal)'!I68</f>
        <v>97.763413057530698</v>
      </c>
      <c r="J68" s="27">
        <f>VLOOKUP('AM (2011)'!$C68+1,CPI!$B$50:$I$63,8,FALSE)*'AM (nominal)'!J68</f>
        <v>970.79069166127988</v>
      </c>
      <c r="K68" s="31">
        <f>VLOOKUP('AM (2011)'!$C68+1,CPI!$B$50:$I$63,8,FALSE)*'AM (nominal)'!K68</f>
        <v>324.57453135100195</v>
      </c>
      <c r="L68" s="31">
        <f>VLOOKUP('AM (2011)'!$C68+1,CPI!$B$50:$I$63,8,FALSE)*'AM (nominal)'!L68</f>
        <v>563.11725921137679</v>
      </c>
      <c r="M68" s="31">
        <f>VLOOKUP('AM (2011)'!$C68+1,CPI!$B$50:$I$63,8,FALSE)*'AM (nominal)'!M68</f>
        <v>246.36380090497738</v>
      </c>
      <c r="N68" s="639">
        <f>VLOOKUP('AM (2011)'!$C68+1,CPI!$B$50:$I$63,8,FALSE)*'AM (nominal)'!N68</f>
        <v>1134.0555914673562</v>
      </c>
    </row>
    <row r="69" spans="1:14" s="278" customFormat="1">
      <c r="A69" s="271">
        <f>References!Y260</f>
        <v>69</v>
      </c>
      <c r="B69" s="305" t="s">
        <v>31</v>
      </c>
      <c r="C69" s="284">
        <v>2011</v>
      </c>
      <c r="D69" s="284">
        <v>2016</v>
      </c>
      <c r="E69" s="31">
        <f>VLOOKUP('AM (2011)'!$C69+1,CPI!$B$50:$I$63,8,FALSE)*'AM (nominal)'!E69</f>
        <v>97.763413057530698</v>
      </c>
      <c r="F69" s="31">
        <f>VLOOKUP('AM (2011)'!$C69+1,CPI!$B$50:$I$63,8,FALSE)*'AM (nominal)'!F69</f>
        <v>29.32902391725921</v>
      </c>
      <c r="G69" s="31">
        <f>VLOOKUP('AM (2011)'!$C69+1,CPI!$B$50:$I$63,8,FALSE)*'AM (nominal)'!G69</f>
        <v>605.15552682611508</v>
      </c>
      <c r="H69" s="31">
        <f>VLOOKUP('AM (2011)'!$C69+1,CPI!$B$50:$I$63,8,FALSE)*'AM (nominal)'!H69</f>
        <v>239.52036199095022</v>
      </c>
      <c r="I69" s="31">
        <f>VLOOKUP('AM (2011)'!$C69+1,CPI!$B$50:$I$63,8,FALSE)*'AM (nominal)'!I69</f>
        <v>97.763413057530698</v>
      </c>
      <c r="J69" s="27">
        <f>VLOOKUP('AM (2011)'!$C69+1,CPI!$B$50:$I$63,8,FALSE)*'AM (nominal)'!J69</f>
        <v>1069.5317388493859</v>
      </c>
      <c r="K69" s="31">
        <f>VLOOKUP('AM (2011)'!$C69+1,CPI!$B$50:$I$63,8,FALSE)*'AM (nominal)'!K69</f>
        <v>384.21021331609563</v>
      </c>
      <c r="L69" s="31">
        <f>VLOOKUP('AM (2011)'!$C69+1,CPI!$B$50:$I$63,8,FALSE)*'AM (nominal)'!L69</f>
        <v>376.3891402714932</v>
      </c>
      <c r="M69" s="31">
        <f>VLOOKUP('AM (2011)'!$C69+1,CPI!$B$50:$I$63,8,FALSE)*'AM (nominal)'!M69</f>
        <v>246.36380090497738</v>
      </c>
      <c r="N69" s="639">
        <f>VLOOKUP('AM (2011)'!$C69+1,CPI!$B$50:$I$63,8,FALSE)*'AM (nominal)'!N69</f>
        <v>1006.9631544925662</v>
      </c>
    </row>
    <row r="70" spans="1:14" s="278" customFormat="1">
      <c r="A70" s="271">
        <f>References!K261</f>
        <v>78</v>
      </c>
      <c r="B70" s="305" t="s">
        <v>32</v>
      </c>
      <c r="C70" s="284">
        <v>2009</v>
      </c>
      <c r="D70" s="284">
        <v>2010</v>
      </c>
      <c r="E70" s="31">
        <f>VLOOKUP('AM (2011)'!$C70+1,CPI!$B$50:$I$63,8,FALSE)*'AM (nominal)'!E70</f>
        <v>509.41769286734382</v>
      </c>
      <c r="F70" s="31">
        <f>VLOOKUP('AM (2011)'!$C70+1,CPI!$B$50:$I$63,8,FALSE)*'AM (nominal)'!F70</f>
        <v>707.19401794616147</v>
      </c>
      <c r="G70" s="31">
        <f>VLOOKUP('AM (2011)'!$C70+1,CPI!$B$50:$I$63,8,FALSE)*'AM (nominal)'!G70</f>
        <v>1920.7156010347335</v>
      </c>
      <c r="H70" s="31">
        <f>VLOOKUP('AM (2011)'!$C70+1,CPI!$B$50:$I$63,8,FALSE)*'AM (nominal)'!H70</f>
        <v>3034.4544841152215</v>
      </c>
      <c r="I70" s="31">
        <f>VLOOKUP('AM (2011)'!$C70+1,CPI!$B$50:$I$63,8,FALSE)*'AM (nominal)'!I70</f>
        <v>203.76707714693754</v>
      </c>
      <c r="J70" s="27">
        <f>VLOOKUP('AM (2011)'!$C70+1,CPI!$B$50:$I$63,8,FALSE)*'AM (nominal)'!J70</f>
        <v>6375.5488731103987</v>
      </c>
      <c r="K70" s="31">
        <f>VLOOKUP('AM (2011)'!$C70+1,CPI!$B$50:$I$63,8,FALSE)*'AM (nominal)'!K70</f>
        <v>636.87807496429627</v>
      </c>
      <c r="L70" s="31">
        <f>VLOOKUP('AM (2011)'!$C70+1,CPI!$B$50:$I$63,8,FALSE)*'AM (nominal)'!L70</f>
        <v>101.88353857346877</v>
      </c>
      <c r="M70" s="31">
        <f>VLOOKUP('AM (2011)'!$C70+1,CPI!$B$50:$I$63,8,FALSE)*'AM (nominal)'!M70</f>
        <v>338.85649861227125</v>
      </c>
      <c r="N70" s="639">
        <f>VLOOKUP('AM (2011)'!$C70+1,CPI!$B$50:$I$63,8,FALSE)*'AM (nominal)'!N70</f>
        <v>1077.618112150036</v>
      </c>
    </row>
    <row r="71" spans="1:14" s="278" customFormat="1">
      <c r="A71" s="271">
        <f>References!L261</f>
        <v>79</v>
      </c>
      <c r="B71" s="305" t="s">
        <v>32</v>
      </c>
      <c r="C71" s="284">
        <v>2009</v>
      </c>
      <c r="D71" s="284">
        <v>2011</v>
      </c>
      <c r="E71" s="31">
        <f>VLOOKUP('AM (2011)'!$C71+1,CPI!$B$50:$I$63,8,FALSE)*'AM (nominal)'!E71</f>
        <v>509.41769286734382</v>
      </c>
      <c r="F71" s="31">
        <f>VLOOKUP('AM (2011)'!$C71+1,CPI!$B$50:$I$63,8,FALSE)*'AM (nominal)'!F71</f>
        <v>713.18477001428141</v>
      </c>
      <c r="G71" s="31">
        <f>VLOOKUP('AM (2011)'!$C71+1,CPI!$B$50:$I$63,8,FALSE)*'AM (nominal)'!G71</f>
        <v>560.35946215407819</v>
      </c>
      <c r="H71" s="31">
        <f>VLOOKUP('AM (2011)'!$C71+1,CPI!$B$50:$I$63,8,FALSE)*'AM (nominal)'!H71</f>
        <v>3107.4479264907973</v>
      </c>
      <c r="I71" s="31">
        <f>VLOOKUP('AM (2011)'!$C71+1,CPI!$B$50:$I$63,8,FALSE)*'AM (nominal)'!I71</f>
        <v>203.76707714693754</v>
      </c>
      <c r="J71" s="27">
        <f>VLOOKUP('AM (2011)'!$C71+1,CPI!$B$50:$I$63,8,FALSE)*'AM (nominal)'!J71</f>
        <v>5094.1769286734389</v>
      </c>
      <c r="K71" s="31">
        <f>VLOOKUP('AM (2011)'!$C71+1,CPI!$B$50:$I$63,8,FALSE)*'AM (nominal)'!K71</f>
        <v>668.72177494543394</v>
      </c>
      <c r="L71" s="31">
        <f>VLOOKUP('AM (2011)'!$C71+1,CPI!$B$50:$I$63,8,FALSE)*'AM (nominal)'!L71</f>
        <v>208.86125407561099</v>
      </c>
      <c r="M71" s="31">
        <f>VLOOKUP('AM (2011)'!$C71+1,CPI!$B$50:$I$63,8,FALSE)*'AM (nominal)'!M71</f>
        <v>355.7997310770391</v>
      </c>
      <c r="N71" s="639">
        <f>VLOOKUP('AM (2011)'!$C71+1,CPI!$B$50:$I$63,8,FALSE)*'AM (nominal)'!N71</f>
        <v>1233.3827600980842</v>
      </c>
    </row>
    <row r="72" spans="1:14" s="278" customFormat="1">
      <c r="A72" s="271">
        <f>References!M261</f>
        <v>80</v>
      </c>
      <c r="B72" s="305" t="s">
        <v>32</v>
      </c>
      <c r="C72" s="284">
        <v>2009</v>
      </c>
      <c r="D72" s="284">
        <v>2012</v>
      </c>
      <c r="E72" s="31">
        <f>VLOOKUP('AM (2011)'!$C72+1,CPI!$B$50:$I$63,8,FALSE)*'AM (nominal)'!E72</f>
        <v>509.41769286734382</v>
      </c>
      <c r="F72" s="31">
        <f>VLOOKUP('AM (2011)'!$C72+1,CPI!$B$50:$I$63,8,FALSE)*'AM (nominal)'!F72</f>
        <v>713.18477001428141</v>
      </c>
      <c r="G72" s="31">
        <f>VLOOKUP('AM (2011)'!$C72+1,CPI!$B$50:$I$63,8,FALSE)*'AM (nominal)'!G72</f>
        <v>458.47592358060945</v>
      </c>
      <c r="H72" s="31">
        <f>VLOOKUP('AM (2011)'!$C72+1,CPI!$B$50:$I$63,8,FALSE)*'AM (nominal)'!H72</f>
        <v>2954.6226186305944</v>
      </c>
      <c r="I72" s="31">
        <f>VLOOKUP('AM (2011)'!$C72+1,CPI!$B$50:$I$63,8,FALSE)*'AM (nominal)'!I72</f>
        <v>203.76707714693754</v>
      </c>
      <c r="J72" s="27">
        <f>VLOOKUP('AM (2011)'!$C72+1,CPI!$B$50:$I$63,8,FALSE)*'AM (nominal)'!J72</f>
        <v>4839.4680822397668</v>
      </c>
      <c r="K72" s="31">
        <f>VLOOKUP('AM (2011)'!$C72+1,CPI!$B$50:$I$63,8,FALSE)*'AM (nominal)'!K72</f>
        <v>702.15791463447488</v>
      </c>
      <c r="L72" s="31">
        <f>VLOOKUP('AM (2011)'!$C72+1,CPI!$B$50:$I$63,8,FALSE)*'AM (nominal)'!L72</f>
        <v>112.32660127724931</v>
      </c>
      <c r="M72" s="31">
        <f>VLOOKUP('AM (2011)'!$C72+1,CPI!$B$50:$I$63,8,FALSE)*'AM (nominal)'!M72</f>
        <v>373.58961574735247</v>
      </c>
      <c r="N72" s="639">
        <f>VLOOKUP('AM (2011)'!$C72+1,CPI!$B$50:$I$63,8,FALSE)*'AM (nominal)'!N72</f>
        <v>1188.0741316590768</v>
      </c>
    </row>
    <row r="73" spans="1:14" s="278" customFormat="1">
      <c r="A73" s="271">
        <f>References!N261</f>
        <v>81</v>
      </c>
      <c r="B73" s="305" t="s">
        <v>32</v>
      </c>
      <c r="C73" s="284">
        <v>2009</v>
      </c>
      <c r="D73" s="284">
        <v>2013</v>
      </c>
      <c r="E73" s="31">
        <f>VLOOKUP('AM (2011)'!$C73+1,CPI!$B$50:$I$63,8,FALSE)*'AM (nominal)'!E73</f>
        <v>509.41769286734382</v>
      </c>
      <c r="F73" s="31">
        <f>VLOOKUP('AM (2011)'!$C73+1,CPI!$B$50:$I$63,8,FALSE)*'AM (nominal)'!F73</f>
        <v>713.18477001428141</v>
      </c>
      <c r="G73" s="31">
        <f>VLOOKUP('AM (2011)'!$C73+1,CPI!$B$50:$I$63,8,FALSE)*'AM (nominal)'!G73</f>
        <v>101.88353857346877</v>
      </c>
      <c r="H73" s="31">
        <f>VLOOKUP('AM (2011)'!$C73+1,CPI!$B$50:$I$63,8,FALSE)*'AM (nominal)'!H73</f>
        <v>1782.9619250357034</v>
      </c>
      <c r="I73" s="31">
        <f>VLOOKUP('AM (2011)'!$C73+1,CPI!$B$50:$I$63,8,FALSE)*'AM (nominal)'!I73</f>
        <v>203.76707714693754</v>
      </c>
      <c r="J73" s="27">
        <f>VLOOKUP('AM (2011)'!$C73+1,CPI!$B$50:$I$63,8,FALSE)*'AM (nominal)'!J73</f>
        <v>3311.2150036377348</v>
      </c>
      <c r="K73" s="31">
        <f>VLOOKUP('AM (2011)'!$C73+1,CPI!$B$50:$I$63,8,FALSE)*'AM (nominal)'!K73</f>
        <v>737.26596319150644</v>
      </c>
      <c r="L73" s="31">
        <f>VLOOKUP('AM (2011)'!$C73+1,CPI!$B$50:$I$63,8,FALSE)*'AM (nominal)'!L73</f>
        <v>117.94344075880466</v>
      </c>
      <c r="M73" s="31">
        <f>VLOOKUP('AM (2011)'!$C73+1,CPI!$B$50:$I$63,8,FALSE)*'AM (nominal)'!M73</f>
        <v>392.26894370941227</v>
      </c>
      <c r="N73" s="639">
        <f>VLOOKUP('AM (2011)'!$C73+1,CPI!$B$50:$I$63,8,FALSE)*'AM (nominal)'!N73</f>
        <v>1247.4783476597233</v>
      </c>
    </row>
    <row r="74" spans="1:14" s="278" customFormat="1">
      <c r="A74" s="271">
        <f>References!O261</f>
        <v>82</v>
      </c>
      <c r="B74" s="305" t="s">
        <v>32</v>
      </c>
      <c r="C74" s="284">
        <v>2009</v>
      </c>
      <c r="D74" s="284">
        <v>2014</v>
      </c>
      <c r="E74" s="31">
        <f>VLOOKUP('AM (2011)'!$C74+1,CPI!$B$50:$I$63,8,FALSE)*'AM (nominal)'!E74</f>
        <v>509.41769286734382</v>
      </c>
      <c r="F74" s="31">
        <f>VLOOKUP('AM (2011)'!$C74+1,CPI!$B$50:$I$63,8,FALSE)*'AM (nominal)'!F74</f>
        <v>713.18477001428141</v>
      </c>
      <c r="G74" s="31">
        <f>VLOOKUP('AM (2011)'!$C74+1,CPI!$B$50:$I$63,8,FALSE)*'AM (nominal)'!G74</f>
        <v>101.88353857346877</v>
      </c>
      <c r="H74" s="31">
        <f>VLOOKUP('AM (2011)'!$C74+1,CPI!$B$50:$I$63,8,FALSE)*'AM (nominal)'!H74</f>
        <v>1782.9619250357034</v>
      </c>
      <c r="I74" s="31">
        <f>VLOOKUP('AM (2011)'!$C74+1,CPI!$B$50:$I$63,8,FALSE)*'AM (nominal)'!I74</f>
        <v>203.76707714693754</v>
      </c>
      <c r="J74" s="27">
        <f>VLOOKUP('AM (2011)'!$C74+1,CPI!$B$50:$I$63,8,FALSE)*'AM (nominal)'!J74</f>
        <v>3311.2150036377348</v>
      </c>
      <c r="K74" s="31">
        <f>VLOOKUP('AM (2011)'!$C74+1,CPI!$B$50:$I$63,8,FALSE)*'AM (nominal)'!K74</f>
        <v>774.12946511815892</v>
      </c>
      <c r="L74" s="31">
        <f>VLOOKUP('AM (2011)'!$C74+1,CPI!$B$50:$I$63,8,FALSE)*'AM (nominal)'!L74</f>
        <v>123.84045997143703</v>
      </c>
      <c r="M74" s="31">
        <f>VLOOKUP('AM (2011)'!$C74+1,CPI!$B$50:$I$63,8,FALSE)*'AM (nominal)'!M74</f>
        <v>411.88254372019071</v>
      </c>
      <c r="N74" s="639">
        <f>VLOOKUP('AM (2011)'!$C74+1,CPI!$B$50:$I$63,8,FALSE)*'AM (nominal)'!N74</f>
        <v>1309.8524688097866</v>
      </c>
    </row>
    <row r="75" spans="1:14" s="278" customFormat="1">
      <c r="A75" s="271">
        <f>References!P261</f>
        <v>83</v>
      </c>
      <c r="B75" s="305" t="s">
        <v>32</v>
      </c>
      <c r="C75" s="284">
        <v>2010</v>
      </c>
      <c r="D75" s="284">
        <v>2011</v>
      </c>
      <c r="E75" s="31">
        <f>VLOOKUP('AM (2011)'!$C75+1,CPI!$B$50:$I$63,8,FALSE)*'AM (nominal)'!E75</f>
        <v>240</v>
      </c>
      <c r="F75" s="31">
        <f>VLOOKUP('AM (2011)'!$C75+1,CPI!$B$50:$I$63,8,FALSE)*'AM (nominal)'!F75</f>
        <v>683</v>
      </c>
      <c r="G75" s="31">
        <f>VLOOKUP('AM (2011)'!$C75+1,CPI!$B$50:$I$63,8,FALSE)*'AM (nominal)'!G75</f>
        <v>1327</v>
      </c>
      <c r="H75" s="31">
        <f>VLOOKUP('AM (2011)'!$C75+1,CPI!$B$50:$I$63,8,FALSE)*'AM (nominal)'!H75</f>
        <v>3694</v>
      </c>
      <c r="I75" s="31">
        <f>VLOOKUP('AM (2011)'!$C75+1,CPI!$B$50:$I$63,8,FALSE)*'AM (nominal)'!I75</f>
        <v>115</v>
      </c>
      <c r="J75" s="27">
        <f>VLOOKUP('AM (2011)'!$C75+1,CPI!$B$50:$I$63,8,FALSE)*'AM (nominal)'!J75</f>
        <v>6059</v>
      </c>
      <c r="K75" s="31">
        <f>VLOOKUP('AM (2011)'!$C75+1,CPI!$B$50:$I$63,8,FALSE)*'AM (nominal)'!K75</f>
        <v>534.30600000000004</v>
      </c>
      <c r="L75" s="31">
        <f>VLOOKUP('AM (2011)'!$C75+1,CPI!$B$50:$I$63,8,FALSE)*'AM (nominal)'!L75</f>
        <v>593.20000000000005</v>
      </c>
      <c r="M75" s="31">
        <f>VLOOKUP('AM (2011)'!$C75+1,CPI!$B$50:$I$63,8,FALSE)*'AM (nominal)'!M75</f>
        <v>177</v>
      </c>
      <c r="N75" s="639">
        <f>VLOOKUP('AM (2011)'!$C75+1,CPI!$B$50:$I$63,8,FALSE)*'AM (nominal)'!N75</f>
        <v>1304.5060000000001</v>
      </c>
    </row>
    <row r="76" spans="1:14" s="278" customFormat="1">
      <c r="A76" s="271">
        <f>References!Q261</f>
        <v>84</v>
      </c>
      <c r="B76" s="305" t="s">
        <v>32</v>
      </c>
      <c r="C76" s="284">
        <v>2010</v>
      </c>
      <c r="D76" s="284">
        <v>2012</v>
      </c>
      <c r="E76" s="31">
        <f>VLOOKUP('AM (2011)'!$C76+1,CPI!$B$50:$I$63,8,FALSE)*'AM (nominal)'!E76</f>
        <v>400</v>
      </c>
      <c r="F76" s="31">
        <f>VLOOKUP('AM (2011)'!$C76+1,CPI!$B$50:$I$63,8,FALSE)*'AM (nominal)'!F76</f>
        <v>250</v>
      </c>
      <c r="G76" s="31">
        <f>VLOOKUP('AM (2011)'!$C76+1,CPI!$B$50:$I$63,8,FALSE)*'AM (nominal)'!G76</f>
        <v>695</v>
      </c>
      <c r="H76" s="31">
        <f>VLOOKUP('AM (2011)'!$C76+1,CPI!$B$50:$I$63,8,FALSE)*'AM (nominal)'!H76</f>
        <v>1918</v>
      </c>
      <c r="I76" s="31">
        <f>VLOOKUP('AM (2011)'!$C76+1,CPI!$B$50:$I$63,8,FALSE)*'AM (nominal)'!I76</f>
        <v>115</v>
      </c>
      <c r="J76" s="27">
        <f>VLOOKUP('AM (2011)'!$C76+1,CPI!$B$50:$I$63,8,FALSE)*'AM (nominal)'!J76</f>
        <v>3378</v>
      </c>
      <c r="K76" s="31">
        <f>VLOOKUP('AM (2011)'!$C76+1,CPI!$B$50:$I$63,8,FALSE)*'AM (nominal)'!K76</f>
        <v>541.12400000000002</v>
      </c>
      <c r="L76" s="31">
        <f>VLOOKUP('AM (2011)'!$C76+1,CPI!$B$50:$I$63,8,FALSE)*'AM (nominal)'!L76</f>
        <v>609.25199999999995</v>
      </c>
      <c r="M76" s="31">
        <f>VLOOKUP('AM (2011)'!$C76+1,CPI!$B$50:$I$63,8,FALSE)*'AM (nominal)'!M76</f>
        <v>180.87</v>
      </c>
      <c r="N76" s="639">
        <f>VLOOKUP('AM (2011)'!$C76+1,CPI!$B$50:$I$63,8,FALSE)*'AM (nominal)'!N76</f>
        <v>1331.2460000000001</v>
      </c>
    </row>
    <row r="77" spans="1:14" s="278" customFormat="1">
      <c r="A77" s="271">
        <f>References!R261</f>
        <v>85</v>
      </c>
      <c r="B77" s="305" t="s">
        <v>32</v>
      </c>
      <c r="C77" s="284">
        <v>2010</v>
      </c>
      <c r="D77" s="284">
        <v>2013</v>
      </c>
      <c r="E77" s="31">
        <f>VLOOKUP('AM (2011)'!$C77+1,CPI!$B$50:$I$63,8,FALSE)*'AM (nominal)'!E77</f>
        <v>500</v>
      </c>
      <c r="F77" s="31">
        <f>VLOOKUP('AM (2011)'!$C77+1,CPI!$B$50:$I$63,8,FALSE)*'AM (nominal)'!F77</f>
        <v>250</v>
      </c>
      <c r="G77" s="31">
        <f>VLOOKUP('AM (2011)'!$C77+1,CPI!$B$50:$I$63,8,FALSE)*'AM (nominal)'!G77</f>
        <v>120</v>
      </c>
      <c r="H77" s="31">
        <f>VLOOKUP('AM (2011)'!$C77+1,CPI!$B$50:$I$63,8,FALSE)*'AM (nominal)'!H77</f>
        <v>3144</v>
      </c>
      <c r="I77" s="31">
        <f>VLOOKUP('AM (2011)'!$C77+1,CPI!$B$50:$I$63,8,FALSE)*'AM (nominal)'!I77</f>
        <v>115</v>
      </c>
      <c r="J77" s="27">
        <f>VLOOKUP('AM (2011)'!$C77+1,CPI!$B$50:$I$63,8,FALSE)*'AM (nominal)'!J77</f>
        <v>4129</v>
      </c>
      <c r="K77" s="31">
        <f>VLOOKUP('AM (2011)'!$C77+1,CPI!$B$50:$I$63,8,FALSE)*'AM (nominal)'!K77</f>
        <v>548.05399999999997</v>
      </c>
      <c r="L77" s="31">
        <f>VLOOKUP('AM (2011)'!$C77+1,CPI!$B$50:$I$63,8,FALSE)*'AM (nominal)'!L77</f>
        <v>625.76800000000003</v>
      </c>
      <c r="M77" s="31">
        <f>VLOOKUP('AM (2011)'!$C77+1,CPI!$B$50:$I$63,8,FALSE)*'AM (nominal)'!M77</f>
        <v>184.84200000000001</v>
      </c>
      <c r="N77" s="639">
        <f>VLOOKUP('AM (2011)'!$C77+1,CPI!$B$50:$I$63,8,FALSE)*'AM (nominal)'!N77</f>
        <v>1358.6640000000002</v>
      </c>
    </row>
    <row r="78" spans="1:14" s="278" customFormat="1">
      <c r="A78" s="271">
        <f>References!S261</f>
        <v>86</v>
      </c>
      <c r="B78" s="305" t="s">
        <v>32</v>
      </c>
      <c r="C78" s="284">
        <v>2010</v>
      </c>
      <c r="D78" s="284">
        <v>2014</v>
      </c>
      <c r="E78" s="31">
        <f>VLOOKUP('AM (2011)'!$C78+1,CPI!$B$50:$I$63,8,FALSE)*'AM (nominal)'!E78</f>
        <v>500</v>
      </c>
      <c r="F78" s="31">
        <f>VLOOKUP('AM (2011)'!$C78+1,CPI!$B$50:$I$63,8,FALSE)*'AM (nominal)'!F78</f>
        <v>250</v>
      </c>
      <c r="G78" s="31">
        <f>VLOOKUP('AM (2011)'!$C78+1,CPI!$B$50:$I$63,8,FALSE)*'AM (nominal)'!G78</f>
        <v>120</v>
      </c>
      <c r="H78" s="31">
        <f>VLOOKUP('AM (2011)'!$C78+1,CPI!$B$50:$I$63,8,FALSE)*'AM (nominal)'!H78</f>
        <v>2499</v>
      </c>
      <c r="I78" s="31">
        <f>VLOOKUP('AM (2011)'!$C78+1,CPI!$B$50:$I$63,8,FALSE)*'AM (nominal)'!I78</f>
        <v>115</v>
      </c>
      <c r="J78" s="27">
        <f>VLOOKUP('AM (2011)'!$C78+1,CPI!$B$50:$I$63,8,FALSE)*'AM (nominal)'!J78</f>
        <v>3484</v>
      </c>
      <c r="K78" s="31">
        <f>VLOOKUP('AM (2011)'!$C78+1,CPI!$B$50:$I$63,8,FALSE)*'AM (nominal)'!K78</f>
        <v>555.09900000000005</v>
      </c>
      <c r="L78" s="31">
        <f>VLOOKUP('AM (2011)'!$C78+1,CPI!$B$50:$I$63,8,FALSE)*'AM (nominal)'!L78</f>
        <v>642.76199999999994</v>
      </c>
      <c r="M78" s="31">
        <f>VLOOKUP('AM (2011)'!$C78+1,CPI!$B$50:$I$63,8,FALSE)*'AM (nominal)'!M78</f>
        <v>188.91800000000001</v>
      </c>
      <c r="N78" s="639">
        <f>VLOOKUP('AM (2011)'!$C78+1,CPI!$B$50:$I$63,8,FALSE)*'AM (nominal)'!N78</f>
        <v>1386.779</v>
      </c>
    </row>
    <row r="79" spans="1:14" s="278" customFormat="1">
      <c r="A79" s="271">
        <f>References!T261</f>
        <v>87</v>
      </c>
      <c r="B79" s="305" t="s">
        <v>32</v>
      </c>
      <c r="C79" s="284">
        <v>2010</v>
      </c>
      <c r="D79" s="284">
        <v>2015</v>
      </c>
      <c r="E79" s="31">
        <f>VLOOKUP('AM (2011)'!$C79+1,CPI!$B$50:$I$63,8,FALSE)*'AM (nominal)'!E79</f>
        <v>500</v>
      </c>
      <c r="F79" s="31">
        <f>VLOOKUP('AM (2011)'!$C79+1,CPI!$B$50:$I$63,8,FALSE)*'AM (nominal)'!F79</f>
        <v>250</v>
      </c>
      <c r="G79" s="31">
        <f>VLOOKUP('AM (2011)'!$C79+1,CPI!$B$50:$I$63,8,FALSE)*'AM (nominal)'!G79</f>
        <v>250</v>
      </c>
      <c r="H79" s="31">
        <f>VLOOKUP('AM (2011)'!$C79+1,CPI!$B$50:$I$63,8,FALSE)*'AM (nominal)'!H79</f>
        <v>2538</v>
      </c>
      <c r="I79" s="31">
        <f>VLOOKUP('AM (2011)'!$C79+1,CPI!$B$50:$I$63,8,FALSE)*'AM (nominal)'!I79</f>
        <v>115</v>
      </c>
      <c r="J79" s="27">
        <f>VLOOKUP('AM (2011)'!$C79+1,CPI!$B$50:$I$63,8,FALSE)*'AM (nominal)'!J79</f>
        <v>3653</v>
      </c>
      <c r="K79" s="31">
        <f>VLOOKUP('AM (2011)'!$C79+1,CPI!$B$50:$I$63,8,FALSE)*'AM (nominal)'!K79</f>
        <v>562.26199999999994</v>
      </c>
      <c r="L79" s="31">
        <f>VLOOKUP('AM (2011)'!$C79+1,CPI!$B$50:$I$63,8,FALSE)*'AM (nominal)'!L79</f>
        <v>660.24800000000005</v>
      </c>
      <c r="M79" s="31">
        <f>VLOOKUP('AM (2011)'!$C79+1,CPI!$B$50:$I$63,8,FALSE)*'AM (nominal)'!M79</f>
        <v>193.102</v>
      </c>
      <c r="N79" s="639">
        <f>VLOOKUP('AM (2011)'!$C79+1,CPI!$B$50:$I$63,8,FALSE)*'AM (nominal)'!N79</f>
        <v>1415.6120000000001</v>
      </c>
    </row>
    <row r="80" spans="1:14" s="278" customFormat="1">
      <c r="A80" s="271">
        <f>References!U261</f>
        <v>88</v>
      </c>
      <c r="B80" s="305" t="s">
        <v>32</v>
      </c>
      <c r="C80" s="284">
        <v>2011</v>
      </c>
      <c r="D80" s="284">
        <v>2012</v>
      </c>
      <c r="E80" s="31">
        <f>VLOOKUP('AM (2011)'!$C80+1,CPI!$B$50:$I$63,8,FALSE)*'AM (nominal)'!E80</f>
        <v>508.36974789915962</v>
      </c>
      <c r="F80" s="31">
        <f>VLOOKUP('AM (2011)'!$C80+1,CPI!$B$50:$I$63,8,FALSE)*'AM (nominal)'!F80</f>
        <v>205.30316742081448</v>
      </c>
      <c r="G80" s="31">
        <f>VLOOKUP('AM (2011)'!$C80+1,CPI!$B$50:$I$63,8,FALSE)*'AM (nominal)'!G80</f>
        <v>1647.3135100193924</v>
      </c>
      <c r="H80" s="31">
        <f>VLOOKUP('AM (2011)'!$C80+1,CPI!$B$50:$I$63,8,FALSE)*'AM (nominal)'!H80</f>
        <v>796.77181641887523</v>
      </c>
      <c r="I80" s="31">
        <f>VLOOKUP('AM (2011)'!$C80+1,CPI!$B$50:$I$63,8,FALSE)*'AM (nominal)'!I80</f>
        <v>112.4279250161603</v>
      </c>
      <c r="J80" s="27">
        <f>VLOOKUP('AM (2011)'!$C80+1,CPI!$B$50:$I$63,8,FALSE)*'AM (nominal)'!J80</f>
        <v>3270.186166774402</v>
      </c>
      <c r="K80" s="31">
        <f>VLOOKUP('AM (2011)'!$C80+1,CPI!$B$50:$I$63,8,FALSE)*'AM (nominal)'!K80</f>
        <v>816.32449903038139</v>
      </c>
      <c r="L80" s="31">
        <f>VLOOKUP('AM (2011)'!$C80+1,CPI!$B$50:$I$63,8,FALSE)*'AM (nominal)'!L80</f>
        <v>182.8175824175824</v>
      </c>
      <c r="M80" s="31">
        <f>VLOOKUP('AM (2011)'!$C80+1,CPI!$B$50:$I$63,8,FALSE)*'AM (nominal)'!M80</f>
        <v>233.65455720749839</v>
      </c>
      <c r="N80" s="639">
        <f>VLOOKUP('AM (2011)'!$C80+1,CPI!$B$50:$I$63,8,FALSE)*'AM (nominal)'!N80</f>
        <v>1232.7966386554622</v>
      </c>
    </row>
    <row r="81" spans="1:14" s="278" customFormat="1">
      <c r="A81" s="271">
        <f>References!V261</f>
        <v>89</v>
      </c>
      <c r="B81" s="305" t="s">
        <v>32</v>
      </c>
      <c r="C81" s="284">
        <v>2011</v>
      </c>
      <c r="D81" s="284">
        <v>2013</v>
      </c>
      <c r="E81" s="31">
        <f>VLOOKUP('AM (2011)'!$C81+1,CPI!$B$50:$I$63,8,FALSE)*'AM (nominal)'!E81</f>
        <v>503.48157724628311</v>
      </c>
      <c r="F81" s="31">
        <f>VLOOKUP('AM (2011)'!$C81+1,CPI!$B$50:$I$63,8,FALSE)*'AM (nominal)'!F81</f>
        <v>252.22960568842922</v>
      </c>
      <c r="G81" s="31">
        <f>VLOOKUP('AM (2011)'!$C81+1,CPI!$B$50:$I$63,8,FALSE)*'AM (nominal)'!G81</f>
        <v>3165.5793148028442</v>
      </c>
      <c r="H81" s="31">
        <f>VLOOKUP('AM (2011)'!$C81+1,CPI!$B$50:$I$63,8,FALSE)*'AM (nominal)'!H81</f>
        <v>121.22663219133807</v>
      </c>
      <c r="I81" s="31">
        <f>VLOOKUP('AM (2011)'!$C81+1,CPI!$B$50:$I$63,8,FALSE)*'AM (nominal)'!I81</f>
        <v>115.36082740788623</v>
      </c>
      <c r="J81" s="27">
        <f>VLOOKUP('AM (2011)'!$C81+1,CPI!$B$50:$I$63,8,FALSE)*'AM (nominal)'!J81</f>
        <v>4157.877957336781</v>
      </c>
      <c r="K81" s="31">
        <f>VLOOKUP('AM (2011)'!$C81+1,CPI!$B$50:$I$63,8,FALSE)*'AM (nominal)'!K81</f>
        <v>551.38564964447312</v>
      </c>
      <c r="L81" s="31">
        <f>VLOOKUP('AM (2011)'!$C81+1,CPI!$B$50:$I$63,8,FALSE)*'AM (nominal)'!L81</f>
        <v>630.57401422107307</v>
      </c>
      <c r="M81" s="31">
        <f>VLOOKUP('AM (2011)'!$C81+1,CPI!$B$50:$I$63,8,FALSE)*'AM (nominal)'!M81</f>
        <v>185.75048480930835</v>
      </c>
      <c r="N81" s="639">
        <f>VLOOKUP('AM (2011)'!$C81+1,CPI!$B$50:$I$63,8,FALSE)*'AM (nominal)'!N81</f>
        <v>1367.7101486748545</v>
      </c>
    </row>
    <row r="82" spans="1:14" s="278" customFormat="1">
      <c r="A82" s="271">
        <f>References!W261</f>
        <v>90</v>
      </c>
      <c r="B82" s="305" t="s">
        <v>32</v>
      </c>
      <c r="C82" s="284">
        <v>2011</v>
      </c>
      <c r="D82" s="284">
        <v>2014</v>
      </c>
      <c r="E82" s="31">
        <f>VLOOKUP('AM (2011)'!$C82+1,CPI!$B$50:$I$63,8,FALSE)*'AM (nominal)'!E82</f>
        <v>503.48157724628311</v>
      </c>
      <c r="F82" s="31">
        <f>VLOOKUP('AM (2011)'!$C82+1,CPI!$B$50:$I$63,8,FALSE)*'AM (nominal)'!F82</f>
        <v>252.22960568842922</v>
      </c>
      <c r="G82" s="31">
        <f>VLOOKUP('AM (2011)'!$C82+1,CPI!$B$50:$I$63,8,FALSE)*'AM (nominal)'!G82</f>
        <v>2516.4302521008403</v>
      </c>
      <c r="H82" s="31">
        <f>VLOOKUP('AM (2011)'!$C82+1,CPI!$B$50:$I$63,8,FALSE)*'AM (nominal)'!H82</f>
        <v>11.731609566903684</v>
      </c>
      <c r="I82" s="31">
        <f>VLOOKUP('AM (2011)'!$C82+1,CPI!$B$50:$I$63,8,FALSE)*'AM (nominal)'!I82</f>
        <v>115.36082740788623</v>
      </c>
      <c r="J82" s="27">
        <f>VLOOKUP('AM (2011)'!$C82+1,CPI!$B$50:$I$63,8,FALSE)*'AM (nominal)'!J82</f>
        <v>3399.2338720103426</v>
      </c>
      <c r="K82" s="31">
        <f>VLOOKUP('AM (2011)'!$C82+1,CPI!$B$50:$I$63,8,FALSE)*'AM (nominal)'!K82</f>
        <v>559.2067226890756</v>
      </c>
      <c r="L82" s="31">
        <f>VLOOKUP('AM (2011)'!$C82+1,CPI!$B$50:$I$63,8,FALSE)*'AM (nominal)'!L82</f>
        <v>647.19379444085325</v>
      </c>
      <c r="M82" s="31">
        <f>VLOOKUP('AM (2011)'!$C82+1,CPI!$B$50:$I$63,8,FALSE)*'AM (nominal)'!M82</f>
        <v>190.63865546218486</v>
      </c>
      <c r="N82" s="639">
        <f>VLOOKUP('AM (2011)'!$C82+1,CPI!$B$50:$I$63,8,FALSE)*'AM (nominal)'!N82</f>
        <v>1397.0391725921138</v>
      </c>
    </row>
    <row r="83" spans="1:14" s="278" customFormat="1">
      <c r="A83" s="271">
        <f>References!X261</f>
        <v>91</v>
      </c>
      <c r="B83" s="305" t="s">
        <v>32</v>
      </c>
      <c r="C83" s="284">
        <v>2011</v>
      </c>
      <c r="D83" s="284">
        <v>2015</v>
      </c>
      <c r="E83" s="31">
        <f>VLOOKUP('AM (2011)'!$C83+1,CPI!$B$50:$I$63,8,FALSE)*'AM (nominal)'!E83</f>
        <v>503.48157724628311</v>
      </c>
      <c r="F83" s="31">
        <f>VLOOKUP('AM (2011)'!$C83+1,CPI!$B$50:$I$63,8,FALSE)*'AM (nominal)'!F83</f>
        <v>252.22960568842922</v>
      </c>
      <c r="G83" s="31">
        <f>VLOOKUP('AM (2011)'!$C83+1,CPI!$B$50:$I$63,8,FALSE)*'AM (nominal)'!G83</f>
        <v>2555.5356173238524</v>
      </c>
      <c r="H83" s="31">
        <f>VLOOKUP('AM (2011)'!$C83+1,CPI!$B$50:$I$63,8,FALSE)*'AM (nominal)'!H83</f>
        <v>252.22960568842922</v>
      </c>
      <c r="I83" s="31">
        <f>VLOOKUP('AM (2011)'!$C83+1,CPI!$B$50:$I$63,8,FALSE)*'AM (nominal)'!I83</f>
        <v>115.36082740788623</v>
      </c>
      <c r="J83" s="27">
        <f>VLOOKUP('AM (2011)'!$C83+1,CPI!$B$50:$I$63,8,FALSE)*'AM (nominal)'!J83</f>
        <v>3678.8372333548805</v>
      </c>
      <c r="K83" s="31">
        <f>VLOOKUP('AM (2011)'!$C83+1,CPI!$B$50:$I$63,8,FALSE)*'AM (nominal)'!K83</f>
        <v>566.05016160310277</v>
      </c>
      <c r="L83" s="31">
        <f>VLOOKUP('AM (2011)'!$C83+1,CPI!$B$50:$I$63,8,FALSE)*'AM (nominal)'!L83</f>
        <v>664.79120879120876</v>
      </c>
      <c r="M83" s="31">
        <f>VLOOKUP('AM (2011)'!$C83+1,CPI!$B$50:$I$63,8,FALSE)*'AM (nominal)'!M83</f>
        <v>194.5491919844861</v>
      </c>
      <c r="N83" s="639">
        <f>VLOOKUP('AM (2011)'!$C83+1,CPI!$B$50:$I$63,8,FALSE)*'AM (nominal)'!N83</f>
        <v>1425.3905623787975</v>
      </c>
    </row>
    <row r="84" spans="1:14" s="278" customFormat="1">
      <c r="A84" s="271">
        <f>References!Y261</f>
        <v>92</v>
      </c>
      <c r="B84" s="305" t="s">
        <v>32</v>
      </c>
      <c r="C84" s="284">
        <v>2011</v>
      </c>
      <c r="D84" s="284">
        <v>2016</v>
      </c>
      <c r="E84" s="31">
        <f>VLOOKUP('AM (2011)'!$C84+1,CPI!$B$50:$I$63,8,FALSE)*'AM (nominal)'!E84</f>
        <v>503.48157724628311</v>
      </c>
      <c r="F84" s="31">
        <f>VLOOKUP('AM (2011)'!$C84+1,CPI!$B$50:$I$63,8,FALSE)*'AM (nominal)'!F84</f>
        <v>252.22960568842922</v>
      </c>
      <c r="G84" s="31">
        <f>VLOOKUP('AM (2011)'!$C84+1,CPI!$B$50:$I$63,8,FALSE)*'AM (nominal)'!G84</f>
        <v>1944.5142857142857</v>
      </c>
      <c r="H84" s="31">
        <f>VLOOKUP('AM (2011)'!$C84+1,CPI!$B$50:$I$63,8,FALSE)*'AM (nominal)'!H84</f>
        <v>151.5332902391726</v>
      </c>
      <c r="I84" s="31">
        <f>VLOOKUP('AM (2011)'!$C84+1,CPI!$B$50:$I$63,8,FALSE)*'AM (nominal)'!I84</f>
        <v>115.36082740788623</v>
      </c>
      <c r="J84" s="27">
        <f>VLOOKUP('AM (2011)'!$C84+1,CPI!$B$50:$I$63,8,FALSE)*'AM (nominal)'!J84</f>
        <v>2967.1195862960567</v>
      </c>
      <c r="K84" s="31">
        <f>VLOOKUP('AM (2011)'!$C84+1,CPI!$B$50:$I$63,8,FALSE)*'AM (nominal)'!K84</f>
        <v>573.87123464770525</v>
      </c>
      <c r="L84" s="31">
        <f>VLOOKUP('AM (2011)'!$C84+1,CPI!$B$50:$I$63,8,FALSE)*'AM (nominal)'!L84</f>
        <v>683.36625727213959</v>
      </c>
      <c r="M84" s="31">
        <f>VLOOKUP('AM (2011)'!$C84+1,CPI!$B$50:$I$63,8,FALSE)*'AM (nominal)'!M84</f>
        <v>198.45972850678731</v>
      </c>
      <c r="N84" s="639">
        <f>VLOOKUP('AM (2011)'!$C84+1,CPI!$B$50:$I$63,8,FALSE)*'AM (nominal)'!N84</f>
        <v>1455.6972204266322</v>
      </c>
    </row>
    <row r="85" spans="1:14" s="278" customFormat="1">
      <c r="A85" s="271">
        <f>References!K262</f>
        <v>101</v>
      </c>
      <c r="B85" s="305" t="s">
        <v>33</v>
      </c>
      <c r="C85" s="284">
        <v>2009</v>
      </c>
      <c r="D85" s="284">
        <v>2010</v>
      </c>
      <c r="E85" s="31">
        <f>VLOOKUP('AM (2011)'!$C85+1,CPI!$B$50:$I$63,8,FALSE)*'AM (nominal)'!E85</f>
        <v>1655.6075018188674</v>
      </c>
      <c r="F85" s="31">
        <f>VLOOKUP('AM (2011)'!$C85+1,CPI!$B$50:$I$63,8,FALSE)*'AM (nominal)'!F85</f>
        <v>4589.8534127347684</v>
      </c>
      <c r="G85" s="31">
        <f>VLOOKUP('AM (2011)'!$C85+1,CPI!$B$50:$I$63,8,FALSE)*'AM (nominal)'!G85</f>
        <v>4449.2541295033807</v>
      </c>
      <c r="H85" s="31">
        <f>VLOOKUP('AM (2011)'!$C85+1,CPI!$B$50:$I$63,8,FALSE)*'AM (nominal)'!H85</f>
        <v>1349.9568860984612</v>
      </c>
      <c r="I85" s="31">
        <f>VLOOKUP('AM (2011)'!$C85+1,CPI!$B$50:$I$63,8,FALSE)*'AM (nominal)'!I85</f>
        <v>456.84578696343391</v>
      </c>
      <c r="J85" s="27">
        <f>VLOOKUP('AM (2011)'!$C85+1,CPI!$B$50:$I$63,8,FALSE)*'AM (nominal)'!J85</f>
        <v>12501.517717118912</v>
      </c>
      <c r="K85" s="31">
        <f>VLOOKUP('AM (2011)'!$C85+1,CPI!$B$50:$I$63,8,FALSE)*'AM (nominal)'!K85</f>
        <v>1250.9143479304419</v>
      </c>
      <c r="L85" s="31">
        <f>VLOOKUP('AM (2011)'!$C85+1,CPI!$B$50:$I$63,8,FALSE)*'AM (nominal)'!L85</f>
        <v>834.23415251417009</v>
      </c>
      <c r="M85" s="31">
        <f>VLOOKUP('AM (2011)'!$C85+1,CPI!$B$50:$I$63,8,FALSE)*'AM (nominal)'!M85</f>
        <v>1317.9221544824982</v>
      </c>
      <c r="N85" s="639">
        <f>VLOOKUP('AM (2011)'!$C85+1,CPI!$B$50:$I$63,8,FALSE)*'AM (nominal)'!N85</f>
        <v>3403.0706549271104</v>
      </c>
    </row>
    <row r="86" spans="1:14" s="278" customFormat="1">
      <c r="A86" s="271">
        <f>References!L262</f>
        <v>102</v>
      </c>
      <c r="B86" s="305" t="s">
        <v>33</v>
      </c>
      <c r="C86" s="284">
        <v>2009</v>
      </c>
      <c r="D86" s="284">
        <v>2011</v>
      </c>
      <c r="E86" s="31">
        <f>VLOOKUP('AM (2011)'!$C86+1,CPI!$B$50:$I$63,8,FALSE)*'AM (nominal)'!E86</f>
        <v>1655.6075018188674</v>
      </c>
      <c r="F86" s="31">
        <f>VLOOKUP('AM (2011)'!$C86+1,CPI!$B$50:$I$63,8,FALSE)*'AM (nominal)'!F86</f>
        <v>5468.089515238069</v>
      </c>
      <c r="G86" s="31">
        <f>VLOOKUP('AM (2011)'!$C86+1,CPI!$B$50:$I$63,8,FALSE)*'AM (nominal)'!G86</f>
        <v>4777.3191237099509</v>
      </c>
      <c r="H86" s="31">
        <f>VLOOKUP('AM (2011)'!$C86+1,CPI!$B$50:$I$63,8,FALSE)*'AM (nominal)'!H86</f>
        <v>1319.3918245264206</v>
      </c>
      <c r="I86" s="31">
        <f>VLOOKUP('AM (2011)'!$C86+1,CPI!$B$50:$I$63,8,FALSE)*'AM (nominal)'!I86</f>
        <v>456.84578696343391</v>
      </c>
      <c r="J86" s="27">
        <f>VLOOKUP('AM (2011)'!$C86+1,CPI!$B$50:$I$63,8,FALSE)*'AM (nominal)'!J86</f>
        <v>13677.253752256742</v>
      </c>
      <c r="K86" s="31">
        <f>VLOOKUP('AM (2011)'!$C86+1,CPI!$B$50:$I$63,8,FALSE)*'AM (nominal)'!K86</f>
        <v>1305.1589640720804</v>
      </c>
      <c r="L86" s="31">
        <f>VLOOKUP('AM (2011)'!$C86+1,CPI!$B$50:$I$63,8,FALSE)*'AM (nominal)'!L86</f>
        <v>870.40985986794999</v>
      </c>
      <c r="M86" s="31">
        <f>VLOOKUP('AM (2011)'!$C86+1,CPI!$B$50:$I$63,8,FALSE)*'AM (nominal)'!M86</f>
        <v>1375.0724953453559</v>
      </c>
      <c r="N86" s="639">
        <f>VLOOKUP('AM (2011)'!$C86+1,CPI!$B$50:$I$63,8,FALSE)*'AM (nominal)'!N86</f>
        <v>3550.6413192853861</v>
      </c>
    </row>
    <row r="87" spans="1:14" s="278" customFormat="1">
      <c r="A87" s="271">
        <f>References!M262</f>
        <v>103</v>
      </c>
      <c r="B87" s="305" t="s">
        <v>33</v>
      </c>
      <c r="C87" s="284">
        <v>2009</v>
      </c>
      <c r="D87" s="284">
        <v>2012</v>
      </c>
      <c r="E87" s="31">
        <f>VLOOKUP('AM (2011)'!$C87+1,CPI!$B$50:$I$63,8,FALSE)*'AM (nominal)'!E87</f>
        <v>1655.6075018188674</v>
      </c>
      <c r="F87" s="31">
        <f>VLOOKUP('AM (2011)'!$C87+1,CPI!$B$50:$I$63,8,FALSE)*'AM (nominal)'!F87</f>
        <v>9244.9122901565552</v>
      </c>
      <c r="G87" s="31">
        <f>VLOOKUP('AM (2011)'!$C87+1,CPI!$B$50:$I$63,8,FALSE)*'AM (nominal)'!G87</f>
        <v>3218.5009835358783</v>
      </c>
      <c r="H87" s="31">
        <f>VLOOKUP('AM (2011)'!$C87+1,CPI!$B$50:$I$63,8,FALSE)*'AM (nominal)'!H87</f>
        <v>1319.3918245264206</v>
      </c>
      <c r="I87" s="31">
        <f>VLOOKUP('AM (2011)'!$C87+1,CPI!$B$50:$I$63,8,FALSE)*'AM (nominal)'!I87</f>
        <v>456.84578696343391</v>
      </c>
      <c r="J87" s="27">
        <f>VLOOKUP('AM (2011)'!$C87+1,CPI!$B$50:$I$63,8,FALSE)*'AM (nominal)'!J87</f>
        <v>15895.258387001157</v>
      </c>
      <c r="K87" s="31">
        <f>VLOOKUP('AM (2011)'!$C87+1,CPI!$B$50:$I$63,8,FALSE)*'AM (nominal)'!K87</f>
        <v>1337.7411247246691</v>
      </c>
      <c r="L87" s="31">
        <f>VLOOKUP('AM (2011)'!$C87+1,CPI!$B$50:$I$63,8,FALSE)*'AM (nominal)'!L87</f>
        <v>892.13888649880005</v>
      </c>
      <c r="M87" s="31">
        <f>VLOOKUP('AM (2011)'!$C87+1,CPI!$B$50:$I$63,8,FALSE)*'AM (nominal)'!M87</f>
        <v>1409.3999866208355</v>
      </c>
      <c r="N87" s="639">
        <f>VLOOKUP('AM (2011)'!$C87+1,CPI!$B$50:$I$63,8,FALSE)*'AM (nominal)'!N87</f>
        <v>3639.2799978443049</v>
      </c>
    </row>
    <row r="88" spans="1:14" s="278" customFormat="1">
      <c r="A88" s="271">
        <f>References!N262</f>
        <v>104</v>
      </c>
      <c r="B88" s="305" t="s">
        <v>33</v>
      </c>
      <c r="C88" s="284">
        <v>2009</v>
      </c>
      <c r="D88" s="284">
        <v>2013</v>
      </c>
      <c r="E88" s="31">
        <f>VLOOKUP('AM (2011)'!$C88+1,CPI!$B$50:$I$63,8,FALSE)*'AM (nominal)'!E88</f>
        <v>2092.4331734526149</v>
      </c>
      <c r="F88" s="31">
        <f>VLOOKUP('AM (2011)'!$C88+1,CPI!$B$50:$I$63,8,FALSE)*'AM (nominal)'!F88</f>
        <v>6281.1201530543494</v>
      </c>
      <c r="G88" s="31">
        <f>VLOOKUP('AM (2011)'!$C88+1,CPI!$B$50:$I$63,8,FALSE)*'AM (nominal)'!G88</f>
        <v>2734.5541753119019</v>
      </c>
      <c r="H88" s="31">
        <f>VLOOKUP('AM (2011)'!$C88+1,CPI!$B$50:$I$63,8,FALSE)*'AM (nominal)'!H88</f>
        <v>1319.3918245264206</v>
      </c>
      <c r="I88" s="31">
        <f>VLOOKUP('AM (2011)'!$C88+1,CPI!$B$50:$I$63,8,FALSE)*'AM (nominal)'!I88</f>
        <v>456.84578696343391</v>
      </c>
      <c r="J88" s="27">
        <f>VLOOKUP('AM (2011)'!$C88+1,CPI!$B$50:$I$63,8,FALSE)*'AM (nominal)'!J88</f>
        <v>12884.34511330872</v>
      </c>
      <c r="K88" s="31">
        <f>VLOOKUP('AM (2011)'!$C88+1,CPI!$B$50:$I$63,8,FALSE)*'AM (nominal)'!K88</f>
        <v>1371.0723005646732</v>
      </c>
      <c r="L88" s="31">
        <f>VLOOKUP('AM (2011)'!$C88+1,CPI!$B$50:$I$63,8,FALSE)*'AM (nominal)'!L88</f>
        <v>914.36743098323245</v>
      </c>
      <c r="M88" s="31">
        <f>VLOOKUP('AM (2011)'!$C88+1,CPI!$B$50:$I$63,8,FALSE)*'AM (nominal)'!M88</f>
        <v>1444.5166156267856</v>
      </c>
      <c r="N88" s="639">
        <f>VLOOKUP('AM (2011)'!$C88+1,CPI!$B$50:$I$63,8,FALSE)*'AM (nominal)'!N88</f>
        <v>3729.956347174691</v>
      </c>
    </row>
    <row r="89" spans="1:14" s="278" customFormat="1">
      <c r="A89" s="271">
        <f>References!O262</f>
        <v>105</v>
      </c>
      <c r="B89" s="305" t="s">
        <v>33</v>
      </c>
      <c r="C89" s="284">
        <v>2009</v>
      </c>
      <c r="D89" s="284">
        <v>2014</v>
      </c>
      <c r="E89" s="31">
        <f>VLOOKUP('AM (2011)'!$C89+1,CPI!$B$50:$I$63,8,FALSE)*'AM (nominal)'!E89</f>
        <v>2092.4331734526149</v>
      </c>
      <c r="F89" s="31">
        <f>VLOOKUP('AM (2011)'!$C89+1,CPI!$B$50:$I$63,8,FALSE)*'AM (nominal)'!F89</f>
        <v>5225.606693433213</v>
      </c>
      <c r="G89" s="31">
        <f>VLOOKUP('AM (2011)'!$C89+1,CPI!$B$50:$I$63,8,FALSE)*'AM (nominal)'!G89</f>
        <v>2699.9137721969223</v>
      </c>
      <c r="H89" s="31">
        <f>VLOOKUP('AM (2011)'!$C89+1,CPI!$B$50:$I$63,8,FALSE)*'AM (nominal)'!H89</f>
        <v>1319.3918245264206</v>
      </c>
      <c r="I89" s="31">
        <f>VLOOKUP('AM (2011)'!$C89+1,CPI!$B$50:$I$63,8,FALSE)*'AM (nominal)'!I89</f>
        <v>456.84578696343391</v>
      </c>
      <c r="J89" s="27">
        <f>VLOOKUP('AM (2011)'!$C89+1,CPI!$B$50:$I$63,8,FALSE)*'AM (nominal)'!J89</f>
        <v>11794.191250572605</v>
      </c>
      <c r="K89" s="31">
        <f>VLOOKUP('AM (2011)'!$C89+1,CPI!$B$50:$I$63,8,FALSE)*'AM (nominal)'!K89</f>
        <v>1404.4034764046773</v>
      </c>
      <c r="L89" s="31">
        <f>VLOOKUP('AM (2011)'!$C89+1,CPI!$B$50:$I$63,8,FALSE)*'AM (nominal)'!L89</f>
        <v>936.59597546766497</v>
      </c>
      <c r="M89" s="31">
        <f>VLOOKUP('AM (2011)'!$C89+1,CPI!$B$50:$I$63,8,FALSE)*'AM (nominal)'!M89</f>
        <v>1479.6332446327356</v>
      </c>
      <c r="N89" s="639">
        <f>VLOOKUP('AM (2011)'!$C89+1,CPI!$B$50:$I$63,8,FALSE)*'AM (nominal)'!N89</f>
        <v>3820.632696505078</v>
      </c>
    </row>
    <row r="90" spans="1:14" s="278" customFormat="1">
      <c r="A90" s="271">
        <f>References!P262</f>
        <v>106</v>
      </c>
      <c r="B90" s="305" t="s">
        <v>33</v>
      </c>
      <c r="C90" s="284">
        <v>2010</v>
      </c>
      <c r="D90" s="284">
        <v>2011</v>
      </c>
      <c r="E90" s="31">
        <f>VLOOKUP('AM (2011)'!$C90+1,CPI!$B$50:$I$63,8,FALSE)*'AM (nominal)'!E90</f>
        <v>1625</v>
      </c>
      <c r="F90" s="31">
        <f>VLOOKUP('AM (2011)'!$C90+1,CPI!$B$50:$I$63,8,FALSE)*'AM (nominal)'!F90</f>
        <v>3402</v>
      </c>
      <c r="G90" s="31">
        <f>VLOOKUP('AM (2011)'!$C90+1,CPI!$B$50:$I$63,8,FALSE)*'AM (nominal)'!G90</f>
        <v>4802</v>
      </c>
      <c r="H90" s="31">
        <f>VLOOKUP('AM (2011)'!$C90+1,CPI!$B$50:$I$63,8,FALSE)*'AM (nominal)'!H90</f>
        <v>1395</v>
      </c>
      <c r="I90" s="31">
        <f>VLOOKUP('AM (2011)'!$C90+1,CPI!$B$50:$I$63,8,FALSE)*'AM (nominal)'!I90</f>
        <v>400</v>
      </c>
      <c r="J90" s="27">
        <f>VLOOKUP('AM (2011)'!$C90+1,CPI!$B$50:$I$63,8,FALSE)*'AM (nominal)'!J90</f>
        <v>11624</v>
      </c>
      <c r="K90" s="31">
        <f>VLOOKUP('AM (2011)'!$C90+1,CPI!$B$50:$I$63,8,FALSE)*'AM (nominal)'!K90</f>
        <v>1281</v>
      </c>
      <c r="L90" s="31">
        <f>VLOOKUP('AM (2011)'!$C90+1,CPI!$B$50:$I$63,8,FALSE)*'AM (nominal)'!L90</f>
        <v>854</v>
      </c>
      <c r="M90" s="31">
        <f>VLOOKUP('AM (2011)'!$C90+1,CPI!$B$50:$I$63,8,FALSE)*'AM (nominal)'!M90</f>
        <v>1350</v>
      </c>
      <c r="N90" s="639">
        <f>VLOOKUP('AM (2011)'!$C90+1,CPI!$B$50:$I$63,8,FALSE)*'AM (nominal)'!N90</f>
        <v>3485</v>
      </c>
    </row>
    <row r="91" spans="1:14" s="278" customFormat="1">
      <c r="A91" s="271">
        <f>References!Q262</f>
        <v>107</v>
      </c>
      <c r="B91" s="305" t="s">
        <v>33</v>
      </c>
      <c r="C91" s="284">
        <v>2010</v>
      </c>
      <c r="D91" s="284">
        <v>2012</v>
      </c>
      <c r="E91" s="31">
        <f>VLOOKUP('AM (2011)'!$C91+1,CPI!$B$50:$I$63,8,FALSE)*'AM (nominal)'!E91</f>
        <v>1625</v>
      </c>
      <c r="F91" s="31">
        <f>VLOOKUP('AM (2011)'!$C91+1,CPI!$B$50:$I$63,8,FALSE)*'AM (nominal)'!F91</f>
        <v>7185</v>
      </c>
      <c r="G91" s="31">
        <f>VLOOKUP('AM (2011)'!$C91+1,CPI!$B$50:$I$63,8,FALSE)*'AM (nominal)'!G91</f>
        <v>3407</v>
      </c>
      <c r="H91" s="31">
        <f>VLOOKUP('AM (2011)'!$C91+1,CPI!$B$50:$I$63,8,FALSE)*'AM (nominal)'!H91</f>
        <v>1295</v>
      </c>
      <c r="I91" s="31">
        <f>VLOOKUP('AM (2011)'!$C91+1,CPI!$B$50:$I$63,8,FALSE)*'AM (nominal)'!I91</f>
        <v>448.4</v>
      </c>
      <c r="J91" s="27">
        <f>VLOOKUP('AM (2011)'!$C91+1,CPI!$B$50:$I$63,8,FALSE)*'AM (nominal)'!J91</f>
        <v>13960.4</v>
      </c>
      <c r="K91" s="31">
        <f>VLOOKUP('AM (2011)'!$C91+1,CPI!$B$50:$I$63,8,FALSE)*'AM (nominal)'!K91</f>
        <v>1312.9790530846485</v>
      </c>
      <c r="L91" s="31">
        <f>VLOOKUP('AM (2011)'!$C91+1,CPI!$B$50:$I$63,8,FALSE)*'AM (nominal)'!L91</f>
        <v>875.31936872309905</v>
      </c>
      <c r="M91" s="31">
        <f>VLOOKUP('AM (2011)'!$C91+1,CPI!$B$50:$I$63,8,FALSE)*'AM (nominal)'!M91</f>
        <v>1383.7015781922526</v>
      </c>
      <c r="N91" s="639">
        <f>VLOOKUP('AM (2011)'!$C91+1,CPI!$B$50:$I$63,8,FALSE)*'AM (nominal)'!N91</f>
        <v>3572</v>
      </c>
    </row>
    <row r="92" spans="1:14" s="278" customFormat="1">
      <c r="A92" s="271">
        <f>References!R262</f>
        <v>108</v>
      </c>
      <c r="B92" s="305" t="s">
        <v>33</v>
      </c>
      <c r="C92" s="284">
        <v>2010</v>
      </c>
      <c r="D92" s="284">
        <v>2013</v>
      </c>
      <c r="E92" s="31">
        <f>VLOOKUP('AM (2011)'!$C92+1,CPI!$B$50:$I$63,8,FALSE)*'AM (nominal)'!E92</f>
        <v>2053.75</v>
      </c>
      <c r="F92" s="31">
        <f>VLOOKUP('AM (2011)'!$C92+1,CPI!$B$50:$I$63,8,FALSE)*'AM (nominal)'!F92</f>
        <v>8037.5</v>
      </c>
      <c r="G92" s="31">
        <f>VLOOKUP('AM (2011)'!$C92+1,CPI!$B$50:$I$63,8,FALSE)*'AM (nominal)'!G92</f>
        <v>2965</v>
      </c>
      <c r="H92" s="31">
        <f>VLOOKUP('AM (2011)'!$C92+1,CPI!$B$50:$I$63,8,FALSE)*'AM (nominal)'!H92</f>
        <v>1295</v>
      </c>
      <c r="I92" s="31">
        <f>VLOOKUP('AM (2011)'!$C92+1,CPI!$B$50:$I$63,8,FALSE)*'AM (nominal)'!I92</f>
        <v>448.4</v>
      </c>
      <c r="J92" s="27">
        <f>VLOOKUP('AM (2011)'!$C92+1,CPI!$B$50:$I$63,8,FALSE)*'AM (nominal)'!J92</f>
        <v>14799.65</v>
      </c>
      <c r="K92" s="31">
        <f>VLOOKUP('AM (2011)'!$C92+1,CPI!$B$50:$I$63,8,FALSE)*'AM (nominal)'!K92</f>
        <v>1345.6932568149209</v>
      </c>
      <c r="L92" s="31">
        <f>VLOOKUP('AM (2011)'!$C92+1,CPI!$B$50:$I$63,8,FALSE)*'AM (nominal)'!L92</f>
        <v>897.12883787661406</v>
      </c>
      <c r="M92" s="31">
        <f>VLOOKUP('AM (2011)'!$C92+1,CPI!$B$50:$I$63,8,FALSE)*'AM (nominal)'!M92</f>
        <v>1418.1779053084649</v>
      </c>
      <c r="N92" s="639">
        <f>VLOOKUP('AM (2011)'!$C92+1,CPI!$B$50:$I$63,8,FALSE)*'AM (nominal)'!N92</f>
        <v>3661</v>
      </c>
    </row>
    <row r="93" spans="1:14" s="278" customFormat="1">
      <c r="A93" s="271">
        <f>References!S262</f>
        <v>109</v>
      </c>
      <c r="B93" s="305" t="s">
        <v>33</v>
      </c>
      <c r="C93" s="284">
        <v>2010</v>
      </c>
      <c r="D93" s="284">
        <v>2014</v>
      </c>
      <c r="E93" s="31">
        <f>VLOOKUP('AM (2011)'!$C93+1,CPI!$B$50:$I$63,8,FALSE)*'AM (nominal)'!E93</f>
        <v>2053.75</v>
      </c>
      <c r="F93" s="31">
        <f>VLOOKUP('AM (2011)'!$C93+1,CPI!$B$50:$I$63,8,FALSE)*'AM (nominal)'!F93</f>
        <v>5588</v>
      </c>
      <c r="G93" s="31">
        <f>VLOOKUP('AM (2011)'!$C93+1,CPI!$B$50:$I$63,8,FALSE)*'AM (nominal)'!G93</f>
        <v>2740</v>
      </c>
      <c r="H93" s="31">
        <f>VLOOKUP('AM (2011)'!$C93+1,CPI!$B$50:$I$63,8,FALSE)*'AM (nominal)'!H93</f>
        <v>1295</v>
      </c>
      <c r="I93" s="31">
        <f>VLOOKUP('AM (2011)'!$C93+1,CPI!$B$50:$I$63,8,FALSE)*'AM (nominal)'!I93</f>
        <v>448.4</v>
      </c>
      <c r="J93" s="27">
        <f>VLOOKUP('AM (2011)'!$C93+1,CPI!$B$50:$I$63,8,FALSE)*'AM (nominal)'!J93</f>
        <v>12125.15</v>
      </c>
      <c r="K93" s="31">
        <f>VLOOKUP('AM (2011)'!$C93+1,CPI!$B$50:$I$63,8,FALSE)*'AM (nominal)'!K93</f>
        <v>1378.4074605451933</v>
      </c>
      <c r="L93" s="31">
        <f>VLOOKUP('AM (2011)'!$C93+1,CPI!$B$50:$I$63,8,FALSE)*'AM (nominal)'!L93</f>
        <v>918.93830703012907</v>
      </c>
      <c r="M93" s="31">
        <f>VLOOKUP('AM (2011)'!$C93+1,CPI!$B$50:$I$63,8,FALSE)*'AM (nominal)'!M93</f>
        <v>1452.6542324246773</v>
      </c>
      <c r="N93" s="639">
        <f>VLOOKUP('AM (2011)'!$C93+1,CPI!$B$50:$I$63,8,FALSE)*'AM (nominal)'!N93</f>
        <v>3750</v>
      </c>
    </row>
    <row r="94" spans="1:14" s="278" customFormat="1">
      <c r="A94" s="271">
        <f>References!T262</f>
        <v>110</v>
      </c>
      <c r="B94" s="305" t="s">
        <v>33</v>
      </c>
      <c r="C94" s="284">
        <v>2010</v>
      </c>
      <c r="D94" s="284">
        <v>2015</v>
      </c>
      <c r="E94" s="31">
        <f>VLOOKUP('AM (2011)'!$C94+1,CPI!$B$50:$I$63,8,FALSE)*'AM (nominal)'!E94</f>
        <v>2207.75</v>
      </c>
      <c r="F94" s="31">
        <f>VLOOKUP('AM (2011)'!$C94+1,CPI!$B$50:$I$63,8,FALSE)*'AM (nominal)'!F94</f>
        <v>8495</v>
      </c>
      <c r="G94" s="31">
        <f>VLOOKUP('AM (2011)'!$C94+1,CPI!$B$50:$I$63,8,FALSE)*'AM (nominal)'!G94</f>
        <v>1755.25</v>
      </c>
      <c r="H94" s="31">
        <f>VLOOKUP('AM (2011)'!$C94+1,CPI!$B$50:$I$63,8,FALSE)*'AM (nominal)'!H94</f>
        <v>1295</v>
      </c>
      <c r="I94" s="31">
        <f>VLOOKUP('AM (2011)'!$C94+1,CPI!$B$50:$I$63,8,FALSE)*'AM (nominal)'!I94</f>
        <v>448.4</v>
      </c>
      <c r="J94" s="27">
        <f>VLOOKUP('AM (2011)'!$C94+1,CPI!$B$50:$I$63,8,FALSE)*'AM (nominal)'!J94</f>
        <v>14201.4</v>
      </c>
      <c r="K94" s="31">
        <f>VLOOKUP('AM (2011)'!$C94+1,CPI!$B$50:$I$63,8,FALSE)*'AM (nominal)'!K94</f>
        <v>1411.1216642754657</v>
      </c>
      <c r="L94" s="31">
        <f>VLOOKUP('AM (2011)'!$C94+1,CPI!$B$50:$I$63,8,FALSE)*'AM (nominal)'!L94</f>
        <v>940.74777618364408</v>
      </c>
      <c r="M94" s="31">
        <f>VLOOKUP('AM (2011)'!$C94+1,CPI!$B$50:$I$63,8,FALSE)*'AM (nominal)'!M94</f>
        <v>1487.1305595408896</v>
      </c>
      <c r="N94" s="639">
        <f>VLOOKUP('AM (2011)'!$C94+1,CPI!$B$50:$I$63,8,FALSE)*'AM (nominal)'!N94</f>
        <v>3838.9999999999991</v>
      </c>
    </row>
    <row r="95" spans="1:14" s="278" customFormat="1">
      <c r="A95" s="271">
        <f>References!U262</f>
        <v>111</v>
      </c>
      <c r="B95" s="305" t="s">
        <v>33</v>
      </c>
      <c r="C95" s="284">
        <v>2011</v>
      </c>
      <c r="D95" s="284">
        <v>2012</v>
      </c>
      <c r="E95" s="31">
        <f>VLOOKUP('AM (2011)'!$C95+1,CPI!$B$50:$I$63,8,FALSE)*'AM (nominal)'!E95</f>
        <v>1329.5824175824175</v>
      </c>
      <c r="F95" s="31">
        <f>VLOOKUP('AM (2011)'!$C95+1,CPI!$B$50:$I$63,8,FALSE)*'AM (nominal)'!F95</f>
        <v>5494.3038138332258</v>
      </c>
      <c r="G95" s="31">
        <f>VLOOKUP('AM (2011)'!$C95+1,CPI!$B$50:$I$63,8,FALSE)*'AM (nominal)'!G95</f>
        <v>3785.3993535875888</v>
      </c>
      <c r="H95" s="31">
        <f>VLOOKUP('AM (2011)'!$C95+1,CPI!$B$50:$I$63,8,FALSE)*'AM (nominal)'!H95</f>
        <v>1886.8338720103425</v>
      </c>
      <c r="I95" s="31">
        <f>VLOOKUP('AM (2011)'!$C95+1,CPI!$B$50:$I$63,8,FALSE)*'AM (nominal)'!I95</f>
        <v>293.29023917259212</v>
      </c>
      <c r="J95" s="27">
        <f>VLOOKUP('AM (2011)'!$C95+1,CPI!$B$50:$I$63,8,FALSE)*'AM (nominal)'!J95</f>
        <v>12789.409696186167</v>
      </c>
      <c r="K95" s="31">
        <f>VLOOKUP('AM (2011)'!$C95+1,CPI!$B$50:$I$63,8,FALSE)*'AM (nominal)'!K95</f>
        <v>1401.5738942895928</v>
      </c>
      <c r="L95" s="31">
        <f>VLOOKUP('AM (2011)'!$C95+1,CPI!$B$50:$I$63,8,FALSE)*'AM (nominal)'!L95</f>
        <v>820.16614675919845</v>
      </c>
      <c r="M95" s="31">
        <f>VLOOKUP('AM (2011)'!$C95+1,CPI!$B$50:$I$63,8,FALSE)*'AM (nominal)'!M95</f>
        <v>1270.4316421460892</v>
      </c>
      <c r="N95" s="639">
        <f>VLOOKUP('AM (2011)'!$C95+1,CPI!$B$50:$I$63,8,FALSE)*'AM (nominal)'!N95</f>
        <v>3492.1716829993534</v>
      </c>
    </row>
    <row r="96" spans="1:14" s="278" customFormat="1">
      <c r="A96" s="271">
        <f>References!V262</f>
        <v>112</v>
      </c>
      <c r="B96" s="305" t="s">
        <v>33</v>
      </c>
      <c r="C96" s="284">
        <v>2011</v>
      </c>
      <c r="D96" s="284">
        <v>2013</v>
      </c>
      <c r="E96" s="31">
        <f>VLOOKUP('AM (2011)'!$C96+1,CPI!$B$50:$I$63,8,FALSE)*'AM (nominal)'!E96</f>
        <v>1813.5113122171945</v>
      </c>
      <c r="F96" s="31">
        <f>VLOOKUP('AM (2011)'!$C96+1,CPI!$B$50:$I$63,8,FALSE)*'AM (nominal)'!F96</f>
        <v>6809.221719457013</v>
      </c>
      <c r="G96" s="31">
        <f>VLOOKUP('AM (2011)'!$C96+1,CPI!$B$50:$I$63,8,FALSE)*'AM (nominal)'!G96</f>
        <v>2543.804007756949</v>
      </c>
      <c r="H96" s="31">
        <f>VLOOKUP('AM (2011)'!$C96+1,CPI!$B$50:$I$63,8,FALSE)*'AM (nominal)'!H96</f>
        <v>2053.0316742081445</v>
      </c>
      <c r="I96" s="31">
        <f>VLOOKUP('AM (2011)'!$C96+1,CPI!$B$50:$I$63,8,FALSE)*'AM (nominal)'!I96</f>
        <v>219.77215255332902</v>
      </c>
      <c r="J96" s="27">
        <f>VLOOKUP('AM (2011)'!$C96+1,CPI!$B$50:$I$63,8,FALSE)*'AM (nominal)'!J96</f>
        <v>13439.34086619263</v>
      </c>
      <c r="K96" s="31">
        <f>VLOOKUP('AM (2011)'!$C96+1,CPI!$B$50:$I$63,8,FALSE)*'AM (nominal)'!K96</f>
        <v>1436.4697908245635</v>
      </c>
      <c r="L96" s="31">
        <f>VLOOKUP('AM (2011)'!$C96+1,CPI!$B$50:$I$63,8,FALSE)*'AM (nominal)'!L96</f>
        <v>840.5863565774531</v>
      </c>
      <c r="M96" s="31">
        <f>VLOOKUP('AM (2011)'!$C96+1,CPI!$B$50:$I$63,8,FALSE)*'AM (nominal)'!M96</f>
        <v>1302.0624049274725</v>
      </c>
      <c r="N96" s="639">
        <f>VLOOKUP('AM (2011)'!$C96+1,CPI!$B$50:$I$63,8,FALSE)*'AM (nominal)'!N96</f>
        <v>3579.1185520361992</v>
      </c>
    </row>
    <row r="97" spans="1:14" s="278" customFormat="1">
      <c r="A97" s="271">
        <f>References!W262</f>
        <v>113</v>
      </c>
      <c r="B97" s="305" t="s">
        <v>33</v>
      </c>
      <c r="C97" s="284">
        <v>2011</v>
      </c>
      <c r="D97" s="284">
        <v>2014</v>
      </c>
      <c r="E97" s="31">
        <f>VLOOKUP('AM (2011)'!$C97+1,CPI!$B$50:$I$63,8,FALSE)*'AM (nominal)'!E97</f>
        <v>2007.8160956690367</v>
      </c>
      <c r="F97" s="31">
        <f>VLOOKUP('AM (2011)'!$C97+1,CPI!$B$50:$I$63,8,FALSE)*'AM (nominal)'!F97</f>
        <v>5772.9295410471877</v>
      </c>
      <c r="G97" s="31">
        <f>VLOOKUP('AM (2011)'!$C97+1,CPI!$B$50:$I$63,8,FALSE)*'AM (nominal)'!G97</f>
        <v>3110.831803490627</v>
      </c>
      <c r="H97" s="31">
        <f>VLOOKUP('AM (2011)'!$C97+1,CPI!$B$50:$I$63,8,FALSE)*'AM (nominal)'!H97</f>
        <v>1852.6166774402068</v>
      </c>
      <c r="I97" s="31">
        <f>VLOOKUP('AM (2011)'!$C97+1,CPI!$B$50:$I$63,8,FALSE)*'AM (nominal)'!I97</f>
        <v>219.77215255332902</v>
      </c>
      <c r="J97" s="27">
        <f>VLOOKUP('AM (2011)'!$C97+1,CPI!$B$50:$I$63,8,FALSE)*'AM (nominal)'!J97</f>
        <v>12963.966270200386</v>
      </c>
      <c r="K97" s="31">
        <f>VLOOKUP('AM (2011)'!$C97+1,CPI!$B$50:$I$63,8,FALSE)*'AM (nominal)'!K97</f>
        <v>1471.3907988698127</v>
      </c>
      <c r="L97" s="31">
        <f>VLOOKUP('AM (2011)'!$C97+1,CPI!$B$50:$I$63,8,FALSE)*'AM (nominal)'!L97</f>
        <v>861.02126121432445</v>
      </c>
      <c r="M97" s="31">
        <f>VLOOKUP('AM (2011)'!$C97+1,CPI!$B$50:$I$63,8,FALSE)*'AM (nominal)'!M97</f>
        <v>1333.7159299643179</v>
      </c>
      <c r="N97" s="639">
        <f>VLOOKUP('AM (2011)'!$C97+1,CPI!$B$50:$I$63,8,FALSE)*'AM (nominal)'!N97</f>
        <v>3666.1279896574015</v>
      </c>
    </row>
    <row r="98" spans="1:14" s="278" customFormat="1">
      <c r="A98" s="271">
        <f>References!X262</f>
        <v>114</v>
      </c>
      <c r="B98" s="305" t="s">
        <v>33</v>
      </c>
      <c r="C98" s="284">
        <v>2011</v>
      </c>
      <c r="D98" s="284">
        <v>2015</v>
      </c>
      <c r="E98" s="31">
        <f>VLOOKUP('AM (2011)'!$C98+1,CPI!$B$50:$I$63,8,FALSE)*'AM (nominal)'!E98</f>
        <v>2007.8160956690367</v>
      </c>
      <c r="F98" s="31">
        <f>VLOOKUP('AM (2011)'!$C98+1,CPI!$B$50:$I$63,8,FALSE)*'AM (nominal)'!F98</f>
        <v>8661.8383968972194</v>
      </c>
      <c r="G98" s="31">
        <f>VLOOKUP('AM (2011)'!$C98+1,CPI!$B$50:$I$63,8,FALSE)*'AM (nominal)'!G98</f>
        <v>1588.8998707175176</v>
      </c>
      <c r="H98" s="31">
        <f>VLOOKUP('AM (2011)'!$C98+1,CPI!$B$50:$I$63,8,FALSE)*'AM (nominal)'!H98</f>
        <v>1852.6166774402068</v>
      </c>
      <c r="I98" s="31">
        <f>VLOOKUP('AM (2011)'!$C98+1,CPI!$B$50:$I$63,8,FALSE)*'AM (nominal)'!I98</f>
        <v>219.77215255332902</v>
      </c>
      <c r="J98" s="27">
        <f>VLOOKUP('AM (2011)'!$C98+1,CPI!$B$50:$I$63,8,FALSE)*'AM (nominal)'!J98</f>
        <v>14330.94319327731</v>
      </c>
      <c r="K98" s="31">
        <f>VLOOKUP('AM (2011)'!$C98+1,CPI!$B$50:$I$63,8,FALSE)*'AM (nominal)'!K98</f>
        <v>1506.3118069150614</v>
      </c>
      <c r="L98" s="31">
        <f>VLOOKUP('AM (2011)'!$C98+1,CPI!$B$50:$I$63,8,FALSE)*'AM (nominal)'!L98</f>
        <v>881.45616585119592</v>
      </c>
      <c r="M98" s="31">
        <f>VLOOKUP('AM (2011)'!$C98+1,CPI!$B$50:$I$63,8,FALSE)*'AM (nominal)'!M98</f>
        <v>1365.3694540235292</v>
      </c>
      <c r="N98" s="639">
        <f>VLOOKUP('AM (2011)'!$C98+1,CPI!$B$50:$I$63,8,FALSE)*'AM (nominal)'!N98</f>
        <v>3753.1374272786038</v>
      </c>
    </row>
    <row r="99" spans="1:14" s="278" customFormat="1">
      <c r="A99" s="271">
        <f>References!Y262</f>
        <v>115</v>
      </c>
      <c r="B99" s="305" t="s">
        <v>33</v>
      </c>
      <c r="C99" s="284">
        <v>2011</v>
      </c>
      <c r="D99" s="284">
        <v>2016</v>
      </c>
      <c r="E99" s="31">
        <f>VLOOKUP('AM (2011)'!$C99+1,CPI!$B$50:$I$63,8,FALSE)*'AM (nominal)'!E99</f>
        <v>2158.371751777634</v>
      </c>
      <c r="F99" s="31">
        <f>VLOOKUP('AM (2011)'!$C99+1,CPI!$B$50:$I$63,8,FALSE)*'AM (nominal)'!F99</f>
        <v>4765.9663865546217</v>
      </c>
      <c r="G99" s="31">
        <f>VLOOKUP('AM (2011)'!$C99+1,CPI!$B$50:$I$63,8,FALSE)*'AM (nominal)'!G99</f>
        <v>2996.448610213316</v>
      </c>
      <c r="H99" s="31">
        <f>VLOOKUP('AM (2011)'!$C99+1,CPI!$B$50:$I$63,8,FALSE)*'AM (nominal)'!H99</f>
        <v>1852.6166774402068</v>
      </c>
      <c r="I99" s="31">
        <f>VLOOKUP('AM (2011)'!$C99+1,CPI!$B$50:$I$63,8,FALSE)*'AM (nominal)'!I99</f>
        <v>219.77215255332902</v>
      </c>
      <c r="J99" s="27">
        <f>VLOOKUP('AM (2011)'!$C99+1,CPI!$B$50:$I$63,8,FALSE)*'AM (nominal)'!J99</f>
        <v>11993.175578539107</v>
      </c>
      <c r="K99" s="31">
        <f>VLOOKUP('AM (2011)'!$C99+1,CPI!$B$50:$I$63,8,FALSE)*'AM (nominal)'!K99</f>
        <v>1541.2328159379445</v>
      </c>
      <c r="L99" s="31">
        <f>VLOOKUP('AM (2011)'!$C99+1,CPI!$B$50:$I$63,8,FALSE)*'AM (nominal)'!L99</f>
        <v>901.89107039030375</v>
      </c>
      <c r="M99" s="31">
        <f>VLOOKUP('AM (2011)'!$C99+1,CPI!$B$50:$I$63,8,FALSE)*'AM (nominal)'!M99</f>
        <v>1397.0229790603748</v>
      </c>
      <c r="N99" s="639">
        <f>VLOOKUP('AM (2011)'!$C99+1,CPI!$B$50:$I$63,8,FALSE)*'AM (nominal)'!N99</f>
        <v>3840.1468648998061</v>
      </c>
    </row>
    <row r="100" spans="1:14" s="278" customFormat="1">
      <c r="A100" s="271">
        <f>References!K263</f>
        <v>124</v>
      </c>
      <c r="B100" s="305" t="s">
        <v>34</v>
      </c>
      <c r="C100" s="284">
        <v>2009</v>
      </c>
      <c r="D100" s="284">
        <v>2010</v>
      </c>
      <c r="E100" s="31">
        <f>VLOOKUP('AM (2011)'!$C100+1,CPI!$B$50:$I$63,8,FALSE)*'AM (nominal)'!E100</f>
        <v>101.88353857346877</v>
      </c>
      <c r="F100" s="31">
        <f>VLOOKUP('AM (2011)'!$C100+1,CPI!$B$50:$I$63,8,FALSE)*'AM (nominal)'!F100</f>
        <v>1118.6812535366871</v>
      </c>
      <c r="G100" s="31">
        <f>VLOOKUP('AM (2011)'!$C100+1,CPI!$B$50:$I$63,8,FALSE)*'AM (nominal)'!G100</f>
        <v>4227.1480154132196</v>
      </c>
      <c r="H100" s="31">
        <f>VLOOKUP('AM (2011)'!$C100+1,CPI!$B$50:$I$63,8,FALSE)*'AM (nominal)'!H100</f>
        <v>112.07189243081565</v>
      </c>
      <c r="I100" s="31">
        <f>VLOOKUP('AM (2011)'!$C100+1,CPI!$B$50:$I$63,8,FALSE)*'AM (nominal)'!I100</f>
        <v>50.941769286734385</v>
      </c>
      <c r="J100" s="27">
        <f>VLOOKUP('AM (2011)'!$C100+1,CPI!$B$50:$I$63,8,FALSE)*'AM (nominal)'!J100</f>
        <v>5610.7264692409253</v>
      </c>
      <c r="K100" s="31">
        <f>VLOOKUP('AM (2011)'!$C100+1,CPI!$B$50:$I$63,8,FALSE)*'AM (nominal)'!K100</f>
        <v>1051.3769879550537</v>
      </c>
      <c r="L100" s="31">
        <f>VLOOKUP('AM (2011)'!$C100+1,CPI!$B$50:$I$63,8,FALSE)*'AM (nominal)'!L100</f>
        <v>247.57699873352911</v>
      </c>
      <c r="M100" s="31">
        <f>VLOOKUP('AM (2011)'!$C100+1,CPI!$B$50:$I$63,8,FALSE)*'AM (nominal)'!M100</f>
        <v>945.75738002209573</v>
      </c>
      <c r="N100" s="639">
        <f>VLOOKUP('AM (2011)'!$C100+1,CPI!$B$50:$I$63,8,FALSE)*'AM (nominal)'!N100</f>
        <v>2244.7113667106787</v>
      </c>
    </row>
    <row r="101" spans="1:14" s="278" customFormat="1">
      <c r="A101" s="271">
        <f>References!L263</f>
        <v>125</v>
      </c>
      <c r="B101" s="305" t="s">
        <v>34</v>
      </c>
      <c r="C101" s="284">
        <v>2009</v>
      </c>
      <c r="D101" s="284">
        <v>2011</v>
      </c>
      <c r="E101" s="31">
        <f>VLOOKUP('AM (2011)'!$C101+1,CPI!$B$50:$I$63,8,FALSE)*'AM (nominal)'!E101</f>
        <v>101.88353857346877</v>
      </c>
      <c r="F101" s="31">
        <f>VLOOKUP('AM (2011)'!$C101+1,CPI!$B$50:$I$63,8,FALSE)*'AM (nominal)'!F101</f>
        <v>1302.0716229689308</v>
      </c>
      <c r="G101" s="31">
        <f>VLOOKUP('AM (2011)'!$C101+1,CPI!$B$50:$I$63,8,FALSE)*'AM (nominal)'!G101</f>
        <v>4281.1462908571575</v>
      </c>
      <c r="H101" s="31">
        <f>VLOOKUP('AM (2011)'!$C101+1,CPI!$B$50:$I$63,8,FALSE)*'AM (nominal)'!H101</f>
        <v>163.01366171755004</v>
      </c>
      <c r="I101" s="31">
        <f>VLOOKUP('AM (2011)'!$C101+1,CPI!$B$50:$I$63,8,FALSE)*'AM (nominal)'!I101</f>
        <v>50.941769286734385</v>
      </c>
      <c r="J101" s="27">
        <f>VLOOKUP('AM (2011)'!$C101+1,CPI!$B$50:$I$63,8,FALSE)*'AM (nominal)'!J101</f>
        <v>5899.0568834038413</v>
      </c>
      <c r="K101" s="31">
        <f>VLOOKUP('AM (2011)'!$C101+1,CPI!$B$50:$I$63,8,FALSE)*'AM (nominal)'!K101</f>
        <v>1051.3769879550537</v>
      </c>
      <c r="L101" s="31">
        <f>VLOOKUP('AM (2011)'!$C101+1,CPI!$B$50:$I$63,8,FALSE)*'AM (nominal)'!L101</f>
        <v>247.57699873352911</v>
      </c>
      <c r="M101" s="31">
        <f>VLOOKUP('AM (2011)'!$C101+1,CPI!$B$50:$I$63,8,FALSE)*'AM (nominal)'!M101</f>
        <v>945.75738002209573</v>
      </c>
      <c r="N101" s="639">
        <f>VLOOKUP('AM (2011)'!$C101+1,CPI!$B$50:$I$63,8,FALSE)*'AM (nominal)'!N101</f>
        <v>2244.7113667106787</v>
      </c>
    </row>
    <row r="102" spans="1:14" s="278" customFormat="1">
      <c r="A102" s="271">
        <f>References!M263</f>
        <v>126</v>
      </c>
      <c r="B102" s="305" t="s">
        <v>34</v>
      </c>
      <c r="C102" s="284">
        <v>2009</v>
      </c>
      <c r="D102" s="284">
        <v>2012</v>
      </c>
      <c r="E102" s="31">
        <f>VLOOKUP('AM (2011)'!$C102+1,CPI!$B$50:$I$63,8,FALSE)*'AM (nominal)'!E102</f>
        <v>101.88353857346877</v>
      </c>
      <c r="F102" s="31">
        <f>VLOOKUP('AM (2011)'!$C102+1,CPI!$B$50:$I$63,8,FALSE)*'AM (nominal)'!F102</f>
        <v>1098.3045458219933</v>
      </c>
      <c r="G102" s="31">
        <f>VLOOKUP('AM (2011)'!$C102+1,CPI!$B$50:$I$63,8,FALSE)*'AM (nominal)'!G102</f>
        <v>5136.9680148742955</v>
      </c>
      <c r="H102" s="31">
        <f>VLOOKUP('AM (2011)'!$C102+1,CPI!$B$50:$I$63,8,FALSE)*'AM (nominal)'!H102</f>
        <v>101.88353857346877</v>
      </c>
      <c r="I102" s="31">
        <f>VLOOKUP('AM (2011)'!$C102+1,CPI!$B$50:$I$63,8,FALSE)*'AM (nominal)'!I102</f>
        <v>50.941769286734385</v>
      </c>
      <c r="J102" s="27">
        <f>VLOOKUP('AM (2011)'!$C102+1,CPI!$B$50:$I$63,8,FALSE)*'AM (nominal)'!J102</f>
        <v>6489.9814071299606</v>
      </c>
      <c r="K102" s="31">
        <f>VLOOKUP('AM (2011)'!$C102+1,CPI!$B$50:$I$63,8,FALSE)*'AM (nominal)'!K102</f>
        <v>1051.3769879550537</v>
      </c>
      <c r="L102" s="31">
        <f>VLOOKUP('AM (2011)'!$C102+1,CPI!$B$50:$I$63,8,FALSE)*'AM (nominal)'!L102</f>
        <v>247.57699873352911</v>
      </c>
      <c r="M102" s="31">
        <f>VLOOKUP('AM (2011)'!$C102+1,CPI!$B$50:$I$63,8,FALSE)*'AM (nominal)'!M102</f>
        <v>945.75738002209573</v>
      </c>
      <c r="N102" s="639">
        <f>VLOOKUP('AM (2011)'!$C102+1,CPI!$B$50:$I$63,8,FALSE)*'AM (nominal)'!N102</f>
        <v>2244.7113667106787</v>
      </c>
    </row>
    <row r="103" spans="1:14" s="278" customFormat="1">
      <c r="A103" s="271">
        <f>References!N263</f>
        <v>127</v>
      </c>
      <c r="B103" s="305" t="s">
        <v>34</v>
      </c>
      <c r="C103" s="284">
        <v>2009</v>
      </c>
      <c r="D103" s="284">
        <v>2013</v>
      </c>
      <c r="E103" s="31">
        <f>VLOOKUP('AM (2011)'!$C103+1,CPI!$B$50:$I$63,8,FALSE)*'AM (nominal)'!E103</f>
        <v>101.88353857346877</v>
      </c>
      <c r="F103" s="31">
        <f>VLOOKUP('AM (2011)'!$C103+1,CPI!$B$50:$I$63,8,FALSE)*'AM (nominal)'!F103</f>
        <v>996.42100724852457</v>
      </c>
      <c r="G103" s="31">
        <f>VLOOKUP('AM (2011)'!$C103+1,CPI!$B$50:$I$63,8,FALSE)*'AM (nominal)'!G103</f>
        <v>4250.5812292851169</v>
      </c>
      <c r="H103" s="31">
        <f>VLOOKUP('AM (2011)'!$C103+1,CPI!$B$50:$I$63,8,FALSE)*'AM (nominal)'!H103</f>
        <v>157.91948478887659</v>
      </c>
      <c r="I103" s="31">
        <f>VLOOKUP('AM (2011)'!$C103+1,CPI!$B$50:$I$63,8,FALSE)*'AM (nominal)'!I103</f>
        <v>50.941769286734385</v>
      </c>
      <c r="J103" s="27">
        <f>VLOOKUP('AM (2011)'!$C103+1,CPI!$B$50:$I$63,8,FALSE)*'AM (nominal)'!J103</f>
        <v>5557.7470291827212</v>
      </c>
      <c r="K103" s="31">
        <f>VLOOKUP('AM (2011)'!$C103+1,CPI!$B$50:$I$63,8,FALSE)*'AM (nominal)'!K103</f>
        <v>1051.3769879550537</v>
      </c>
      <c r="L103" s="31">
        <f>VLOOKUP('AM (2011)'!$C103+1,CPI!$B$50:$I$63,8,FALSE)*'AM (nominal)'!L103</f>
        <v>247.57699873352911</v>
      </c>
      <c r="M103" s="31">
        <f>VLOOKUP('AM (2011)'!$C103+1,CPI!$B$50:$I$63,8,FALSE)*'AM (nominal)'!M103</f>
        <v>945.75738002209573</v>
      </c>
      <c r="N103" s="639">
        <f>VLOOKUP('AM (2011)'!$C103+1,CPI!$B$50:$I$63,8,FALSE)*'AM (nominal)'!N103</f>
        <v>2244.7113667106787</v>
      </c>
    </row>
    <row r="104" spans="1:14" s="278" customFormat="1">
      <c r="A104" s="271">
        <f>References!O263</f>
        <v>128</v>
      </c>
      <c r="B104" s="305" t="s">
        <v>34</v>
      </c>
      <c r="C104" s="284">
        <v>2009</v>
      </c>
      <c r="D104" s="284">
        <v>2014</v>
      </c>
      <c r="E104" s="31">
        <f>VLOOKUP('AM (2011)'!$C104+1,CPI!$B$50:$I$63,8,FALSE)*'AM (nominal)'!E104</f>
        <v>101.88353857346877</v>
      </c>
      <c r="F104" s="31">
        <f>VLOOKUP('AM (2011)'!$C104+1,CPI!$B$50:$I$63,8,FALSE)*'AM (nominal)'!F104</f>
        <v>1235.8473228961761</v>
      </c>
      <c r="G104" s="31">
        <f>VLOOKUP('AM (2011)'!$C104+1,CPI!$B$50:$I$63,8,FALSE)*'AM (nominal)'!G104</f>
        <v>4362.6531217159327</v>
      </c>
      <c r="H104" s="31">
        <f>VLOOKUP('AM (2011)'!$C104+1,CPI!$B$50:$I$63,8,FALSE)*'AM (nominal)'!H104</f>
        <v>91.695184716121886</v>
      </c>
      <c r="I104" s="31">
        <f>VLOOKUP('AM (2011)'!$C104+1,CPI!$B$50:$I$63,8,FALSE)*'AM (nominal)'!I104</f>
        <v>50.941769286734385</v>
      </c>
      <c r="J104" s="27">
        <f>VLOOKUP('AM (2011)'!$C104+1,CPI!$B$50:$I$63,8,FALSE)*'AM (nominal)'!J104</f>
        <v>5843.0209371884339</v>
      </c>
      <c r="K104" s="31">
        <f>VLOOKUP('AM (2011)'!$C104+1,CPI!$B$50:$I$63,8,FALSE)*'AM (nominal)'!K104</f>
        <v>1051.3769879550537</v>
      </c>
      <c r="L104" s="31">
        <f>VLOOKUP('AM (2011)'!$C104+1,CPI!$B$50:$I$63,8,FALSE)*'AM (nominal)'!L104</f>
        <v>247.57699873352911</v>
      </c>
      <c r="M104" s="31">
        <f>VLOOKUP('AM (2011)'!$C104+1,CPI!$B$50:$I$63,8,FALSE)*'AM (nominal)'!M104</f>
        <v>945.75738002209573</v>
      </c>
      <c r="N104" s="639">
        <f>VLOOKUP('AM (2011)'!$C104+1,CPI!$B$50:$I$63,8,FALSE)*'AM (nominal)'!N104</f>
        <v>2244.7113667106787</v>
      </c>
    </row>
    <row r="105" spans="1:14" s="278" customFormat="1">
      <c r="A105" s="271">
        <f>References!P263</f>
        <v>129</v>
      </c>
      <c r="B105" s="305" t="s">
        <v>34</v>
      </c>
      <c r="C105" s="284">
        <v>2010</v>
      </c>
      <c r="D105" s="284">
        <v>2011</v>
      </c>
      <c r="E105" s="31">
        <f>VLOOKUP('AM (2011)'!$C105+1,CPI!$B$50:$I$63,8,FALSE)*'AM (nominal)'!E105</f>
        <v>90</v>
      </c>
      <c r="F105" s="31">
        <f>VLOOKUP('AM (2011)'!$C105+1,CPI!$B$50:$I$63,8,FALSE)*'AM (nominal)'!F105</f>
        <v>1028</v>
      </c>
      <c r="G105" s="31">
        <f>VLOOKUP('AM (2011)'!$C105+1,CPI!$B$50:$I$63,8,FALSE)*'AM (nominal)'!G105</f>
        <v>3999</v>
      </c>
      <c r="H105" s="31">
        <f>VLOOKUP('AM (2011)'!$C105+1,CPI!$B$50:$I$63,8,FALSE)*'AM (nominal)'!H105</f>
        <v>110</v>
      </c>
      <c r="I105" s="31">
        <f>VLOOKUP('AM (2011)'!$C105+1,CPI!$B$50:$I$63,8,FALSE)*'AM (nominal)'!I105</f>
        <v>50</v>
      </c>
      <c r="J105" s="27">
        <f>VLOOKUP('AM (2011)'!$C105+1,CPI!$B$50:$I$63,8,FALSE)*'AM (nominal)'!J105</f>
        <v>5277</v>
      </c>
      <c r="K105" s="31">
        <f>VLOOKUP('AM (2011)'!$C105+1,CPI!$B$50:$I$63,8,FALSE)*'AM (nominal)'!K105</f>
        <v>1537</v>
      </c>
      <c r="L105" s="31">
        <f>VLOOKUP('AM (2011)'!$C105+1,CPI!$B$50:$I$63,8,FALSE)*'AM (nominal)'!L105</f>
        <v>230</v>
      </c>
      <c r="M105" s="31">
        <f>VLOOKUP('AM (2011)'!$C105+1,CPI!$B$50:$I$63,8,FALSE)*'AM (nominal)'!M105</f>
        <v>987</v>
      </c>
      <c r="N105" s="639">
        <f>VLOOKUP('AM (2011)'!$C105+1,CPI!$B$50:$I$63,8,FALSE)*'AM (nominal)'!N105</f>
        <v>2754</v>
      </c>
    </row>
    <row r="106" spans="1:14" s="278" customFormat="1">
      <c r="A106" s="271">
        <f>References!Q263</f>
        <v>130</v>
      </c>
      <c r="B106" s="305" t="s">
        <v>34</v>
      </c>
      <c r="C106" s="284">
        <v>2010</v>
      </c>
      <c r="D106" s="284">
        <v>2012</v>
      </c>
      <c r="E106" s="31">
        <f>VLOOKUP('AM (2011)'!$C106+1,CPI!$B$50:$I$63,8,FALSE)*'AM (nominal)'!E106</f>
        <v>90</v>
      </c>
      <c r="F106" s="31">
        <f>VLOOKUP('AM (2011)'!$C106+1,CPI!$B$50:$I$63,8,FALSE)*'AM (nominal)'!F106</f>
        <v>1278</v>
      </c>
      <c r="G106" s="31">
        <f>VLOOKUP('AM (2011)'!$C106+1,CPI!$B$50:$I$63,8,FALSE)*'AM (nominal)'!G106</f>
        <v>4052</v>
      </c>
      <c r="H106" s="31">
        <f>VLOOKUP('AM (2011)'!$C106+1,CPI!$B$50:$I$63,8,FALSE)*'AM (nominal)'!H106</f>
        <v>160</v>
      </c>
      <c r="I106" s="31">
        <f>VLOOKUP('AM (2011)'!$C106+1,CPI!$B$50:$I$63,8,FALSE)*'AM (nominal)'!I106</f>
        <v>50</v>
      </c>
      <c r="J106" s="27">
        <f>VLOOKUP('AM (2011)'!$C106+1,CPI!$B$50:$I$63,8,FALSE)*'AM (nominal)'!J106</f>
        <v>5630</v>
      </c>
      <c r="K106" s="31">
        <f>VLOOKUP('AM (2011)'!$C106+1,CPI!$B$50:$I$63,8,FALSE)*'AM (nominal)'!K106</f>
        <v>1537</v>
      </c>
      <c r="L106" s="31">
        <f>VLOOKUP('AM (2011)'!$C106+1,CPI!$B$50:$I$63,8,FALSE)*'AM (nominal)'!L106</f>
        <v>230</v>
      </c>
      <c r="M106" s="31">
        <f>VLOOKUP('AM (2011)'!$C106+1,CPI!$B$50:$I$63,8,FALSE)*'AM (nominal)'!M106</f>
        <v>987</v>
      </c>
      <c r="N106" s="639">
        <f>VLOOKUP('AM (2011)'!$C106+1,CPI!$B$50:$I$63,8,FALSE)*'AM (nominal)'!N106</f>
        <v>2754</v>
      </c>
    </row>
    <row r="107" spans="1:14" s="278" customFormat="1">
      <c r="A107" s="271">
        <f>References!R263</f>
        <v>131</v>
      </c>
      <c r="B107" s="305" t="s">
        <v>34</v>
      </c>
      <c r="C107" s="284">
        <v>2010</v>
      </c>
      <c r="D107" s="284">
        <v>2013</v>
      </c>
      <c r="E107" s="31">
        <f>VLOOKUP('AM (2011)'!$C107+1,CPI!$B$50:$I$63,8,FALSE)*'AM (nominal)'!E107</f>
        <v>90</v>
      </c>
      <c r="F107" s="31">
        <f>VLOOKUP('AM (2011)'!$C107+1,CPI!$B$50:$I$63,8,FALSE)*'AM (nominal)'!F107</f>
        <v>1078</v>
      </c>
      <c r="G107" s="31">
        <f>VLOOKUP('AM (2011)'!$C107+1,CPI!$B$50:$I$63,8,FALSE)*'AM (nominal)'!G107</f>
        <v>4257</v>
      </c>
      <c r="H107" s="31">
        <f>VLOOKUP('AM (2011)'!$C107+1,CPI!$B$50:$I$63,8,FALSE)*'AM (nominal)'!H107</f>
        <v>100</v>
      </c>
      <c r="I107" s="31">
        <f>VLOOKUP('AM (2011)'!$C107+1,CPI!$B$50:$I$63,8,FALSE)*'AM (nominal)'!I107</f>
        <v>50</v>
      </c>
      <c r="J107" s="27">
        <f>VLOOKUP('AM (2011)'!$C107+1,CPI!$B$50:$I$63,8,FALSE)*'AM (nominal)'!J107</f>
        <v>5575</v>
      </c>
      <c r="K107" s="31">
        <f>VLOOKUP('AM (2011)'!$C107+1,CPI!$B$50:$I$63,8,FALSE)*'AM (nominal)'!K107</f>
        <v>1537</v>
      </c>
      <c r="L107" s="31">
        <f>VLOOKUP('AM (2011)'!$C107+1,CPI!$B$50:$I$63,8,FALSE)*'AM (nominal)'!L107</f>
        <v>230</v>
      </c>
      <c r="M107" s="31">
        <f>VLOOKUP('AM (2011)'!$C107+1,CPI!$B$50:$I$63,8,FALSE)*'AM (nominal)'!M107</f>
        <v>987</v>
      </c>
      <c r="N107" s="639">
        <f>VLOOKUP('AM (2011)'!$C107+1,CPI!$B$50:$I$63,8,FALSE)*'AM (nominal)'!N107</f>
        <v>2754</v>
      </c>
    </row>
    <row r="108" spans="1:14" s="278" customFormat="1">
      <c r="A108" s="271">
        <f>References!S263</f>
        <v>132</v>
      </c>
      <c r="B108" s="305" t="s">
        <v>34</v>
      </c>
      <c r="C108" s="284">
        <v>2010</v>
      </c>
      <c r="D108" s="284">
        <v>2014</v>
      </c>
      <c r="E108" s="31">
        <f>VLOOKUP('AM (2011)'!$C108+1,CPI!$B$50:$I$63,8,FALSE)*'AM (nominal)'!E108</f>
        <v>90</v>
      </c>
      <c r="F108" s="31">
        <f>VLOOKUP('AM (2011)'!$C108+1,CPI!$B$50:$I$63,8,FALSE)*'AM (nominal)'!F108</f>
        <v>978</v>
      </c>
      <c r="G108" s="31">
        <f>VLOOKUP('AM (2011)'!$C108+1,CPI!$B$50:$I$63,8,FALSE)*'AM (nominal)'!G108</f>
        <v>4272</v>
      </c>
      <c r="H108" s="31">
        <f>VLOOKUP('AM (2011)'!$C108+1,CPI!$B$50:$I$63,8,FALSE)*'AM (nominal)'!H108</f>
        <v>155</v>
      </c>
      <c r="I108" s="31">
        <f>VLOOKUP('AM (2011)'!$C108+1,CPI!$B$50:$I$63,8,FALSE)*'AM (nominal)'!I108</f>
        <v>50</v>
      </c>
      <c r="J108" s="27">
        <f>VLOOKUP('AM (2011)'!$C108+1,CPI!$B$50:$I$63,8,FALSE)*'AM (nominal)'!J108</f>
        <v>5545</v>
      </c>
      <c r="K108" s="31">
        <f>VLOOKUP('AM (2011)'!$C108+1,CPI!$B$50:$I$63,8,FALSE)*'AM (nominal)'!K108</f>
        <v>1337</v>
      </c>
      <c r="L108" s="31">
        <f>VLOOKUP('AM (2011)'!$C108+1,CPI!$B$50:$I$63,8,FALSE)*'AM (nominal)'!L108</f>
        <v>230</v>
      </c>
      <c r="M108" s="31">
        <f>VLOOKUP('AM (2011)'!$C108+1,CPI!$B$50:$I$63,8,FALSE)*'AM (nominal)'!M108</f>
        <v>987</v>
      </c>
      <c r="N108" s="639">
        <f>VLOOKUP('AM (2011)'!$C108+1,CPI!$B$50:$I$63,8,FALSE)*'AM (nominal)'!N108</f>
        <v>2554</v>
      </c>
    </row>
    <row r="109" spans="1:14" s="278" customFormat="1">
      <c r="A109" s="271">
        <f>References!T263</f>
        <v>133</v>
      </c>
      <c r="B109" s="305" t="s">
        <v>34</v>
      </c>
      <c r="C109" s="284">
        <v>2010</v>
      </c>
      <c r="D109" s="284">
        <v>2015</v>
      </c>
      <c r="E109" s="31">
        <f>VLOOKUP('AM (2011)'!$C109+1,CPI!$B$50:$I$63,8,FALSE)*'AM (nominal)'!E109</f>
        <v>90</v>
      </c>
      <c r="F109" s="31">
        <f>VLOOKUP('AM (2011)'!$C109+1,CPI!$B$50:$I$63,8,FALSE)*'AM (nominal)'!F109</f>
        <v>1213</v>
      </c>
      <c r="G109" s="31">
        <f>VLOOKUP('AM (2011)'!$C109+1,CPI!$B$50:$I$63,8,FALSE)*'AM (nominal)'!G109</f>
        <v>4132</v>
      </c>
      <c r="H109" s="31">
        <f>VLOOKUP('AM (2011)'!$C109+1,CPI!$B$50:$I$63,8,FALSE)*'AM (nominal)'!H109</f>
        <v>90</v>
      </c>
      <c r="I109" s="31">
        <f>VLOOKUP('AM (2011)'!$C109+1,CPI!$B$50:$I$63,8,FALSE)*'AM (nominal)'!I109</f>
        <v>50</v>
      </c>
      <c r="J109" s="27">
        <f>VLOOKUP('AM (2011)'!$C109+1,CPI!$B$50:$I$63,8,FALSE)*'AM (nominal)'!J109</f>
        <v>5575</v>
      </c>
      <c r="K109" s="31">
        <f>VLOOKUP('AM (2011)'!$C109+1,CPI!$B$50:$I$63,8,FALSE)*'AM (nominal)'!K109</f>
        <v>1337</v>
      </c>
      <c r="L109" s="31">
        <f>VLOOKUP('AM (2011)'!$C109+1,CPI!$B$50:$I$63,8,FALSE)*'AM (nominal)'!L109</f>
        <v>230</v>
      </c>
      <c r="M109" s="31">
        <f>VLOOKUP('AM (2011)'!$C109+1,CPI!$B$50:$I$63,8,FALSE)*'AM (nominal)'!M109</f>
        <v>987</v>
      </c>
      <c r="N109" s="639">
        <f>VLOOKUP('AM (2011)'!$C109+1,CPI!$B$50:$I$63,8,FALSE)*'AM (nominal)'!N109</f>
        <v>2554</v>
      </c>
    </row>
    <row r="110" spans="1:14" s="278" customFormat="1">
      <c r="A110" s="271">
        <f>References!U263</f>
        <v>134</v>
      </c>
      <c r="B110" s="305" t="s">
        <v>34</v>
      </c>
      <c r="C110" s="284">
        <v>2011</v>
      </c>
      <c r="D110" s="284">
        <v>2012</v>
      </c>
      <c r="E110" s="31">
        <f>VLOOKUP('AM (2011)'!$C110+1,CPI!$B$50:$I$63,8,FALSE)*'AM (nominal)'!E110</f>
        <v>92.875242404654173</v>
      </c>
      <c r="F110" s="31">
        <f>VLOOKUP('AM (2011)'!$C110+1,CPI!$B$50:$I$63,8,FALSE)*'AM (nominal)'!F110</f>
        <v>1311.9850032320621</v>
      </c>
      <c r="G110" s="31">
        <f>VLOOKUP('AM (2011)'!$C110+1,CPI!$B$50:$I$63,8,FALSE)*'AM (nominal)'!G110</f>
        <v>4159.8332255979312</v>
      </c>
      <c r="H110" s="31">
        <f>VLOOKUP('AM (2011)'!$C110+1,CPI!$B$50:$I$63,8,FALSE)*'AM (nominal)'!H110</f>
        <v>164.24253393665157</v>
      </c>
      <c r="I110" s="31">
        <f>VLOOKUP('AM (2011)'!$C110+1,CPI!$B$50:$I$63,8,FALSE)*'AM (nominal)'!I110</f>
        <v>50.836974789915963</v>
      </c>
      <c r="J110" s="27">
        <f>VLOOKUP('AM (2011)'!$C110+1,CPI!$B$50:$I$63,8,FALSE)*'AM (nominal)'!J110</f>
        <v>5779.7729799612152</v>
      </c>
      <c r="K110" s="31">
        <f>VLOOKUP('AM (2011)'!$C110+1,CPI!$B$50:$I$63,8,FALSE)*'AM (nominal)'!K110</f>
        <v>1502.6236586942468</v>
      </c>
      <c r="L110" s="31">
        <f>VLOOKUP('AM (2011)'!$C110+1,CPI!$B$50:$I$63,8,FALSE)*'AM (nominal)'!L110</f>
        <v>224.8558500323206</v>
      </c>
      <c r="M110" s="31">
        <f>VLOOKUP('AM (2011)'!$C110+1,CPI!$B$50:$I$63,8,FALSE)*'AM (nominal)'!M110</f>
        <v>964.92488687782804</v>
      </c>
      <c r="N110" s="639">
        <f>VLOOKUP('AM (2011)'!$C110+1,CPI!$B$50:$I$63,8,FALSE)*'AM (nominal)'!N110</f>
        <v>2692.4043956043956</v>
      </c>
    </row>
    <row r="111" spans="1:14" s="278" customFormat="1">
      <c r="A111" s="271">
        <f>References!V263</f>
        <v>135</v>
      </c>
      <c r="B111" s="305" t="s">
        <v>34</v>
      </c>
      <c r="C111" s="284">
        <v>2011</v>
      </c>
      <c r="D111" s="284">
        <v>2013</v>
      </c>
      <c r="E111" s="31">
        <f>VLOOKUP('AM (2011)'!$C111+1,CPI!$B$50:$I$63,8,FALSE)*'AM (nominal)'!E111</f>
        <v>92.875242404654173</v>
      </c>
      <c r="F111" s="31">
        <f>VLOOKUP('AM (2011)'!$C111+1,CPI!$B$50:$I$63,8,FALSE)*'AM (nominal)'!F111</f>
        <v>1106.6818358112475</v>
      </c>
      <c r="G111" s="31">
        <f>VLOOKUP('AM (2011)'!$C111+1,CPI!$B$50:$I$63,8,FALSE)*'AM (nominal)'!G111</f>
        <v>4370.0245636716227</v>
      </c>
      <c r="H111" s="31">
        <f>VLOOKUP('AM (2011)'!$C111+1,CPI!$B$50:$I$63,8,FALSE)*'AM (nominal)'!H111</f>
        <v>102.65158371040724</v>
      </c>
      <c r="I111" s="31">
        <f>VLOOKUP('AM (2011)'!$C111+1,CPI!$B$50:$I$63,8,FALSE)*'AM (nominal)'!I111</f>
        <v>50.836974789915963</v>
      </c>
      <c r="J111" s="27">
        <f>VLOOKUP('AM (2011)'!$C111+1,CPI!$B$50:$I$63,8,FALSE)*'AM (nominal)'!J111</f>
        <v>5723.0702003878469</v>
      </c>
      <c r="K111" s="31">
        <f>VLOOKUP('AM (2011)'!$C111+1,CPI!$B$50:$I$63,8,FALSE)*'AM (nominal)'!K111</f>
        <v>1502.6236586942468</v>
      </c>
      <c r="L111" s="31">
        <f>VLOOKUP('AM (2011)'!$C111+1,CPI!$B$50:$I$63,8,FALSE)*'AM (nominal)'!L111</f>
        <v>224.8558500323206</v>
      </c>
      <c r="M111" s="31">
        <f>VLOOKUP('AM (2011)'!$C111+1,CPI!$B$50:$I$63,8,FALSE)*'AM (nominal)'!M111</f>
        <v>964.92488687782804</v>
      </c>
      <c r="N111" s="639">
        <f>VLOOKUP('AM (2011)'!$C111+1,CPI!$B$50:$I$63,8,FALSE)*'AM (nominal)'!N111</f>
        <v>2692.4043956043956</v>
      </c>
    </row>
    <row r="112" spans="1:14" s="278" customFormat="1">
      <c r="A112" s="271">
        <f>References!W263</f>
        <v>136</v>
      </c>
      <c r="B112" s="305" t="s">
        <v>34</v>
      </c>
      <c r="C112" s="284">
        <v>2011</v>
      </c>
      <c r="D112" s="284">
        <v>2014</v>
      </c>
      <c r="E112" s="31">
        <f>VLOOKUP('AM (2011)'!$C112+1,CPI!$B$50:$I$63,8,FALSE)*'AM (nominal)'!E112</f>
        <v>92.875242404654173</v>
      </c>
      <c r="F112" s="31">
        <f>VLOOKUP('AM (2011)'!$C112+1,CPI!$B$50:$I$63,8,FALSE)*'AM (nominal)'!F112</f>
        <v>1004.0302521008404</v>
      </c>
      <c r="G112" s="31">
        <f>VLOOKUP('AM (2011)'!$C112+1,CPI!$B$50:$I$63,8,FALSE)*'AM (nominal)'!G112</f>
        <v>4385.666709760827</v>
      </c>
      <c r="H112" s="31">
        <f>VLOOKUP('AM (2011)'!$C112+1,CPI!$B$50:$I$63,8,FALSE)*'AM (nominal)'!H112</f>
        <v>159.35436328377503</v>
      </c>
      <c r="I112" s="31">
        <f>VLOOKUP('AM (2011)'!$C112+1,CPI!$B$50:$I$63,8,FALSE)*'AM (nominal)'!I112</f>
        <v>50.836974789915963</v>
      </c>
      <c r="J112" s="27">
        <f>VLOOKUP('AM (2011)'!$C112+1,CPI!$B$50:$I$63,8,FALSE)*'AM (nominal)'!J112</f>
        <v>5692.7635423400125</v>
      </c>
      <c r="K112" s="31">
        <f>VLOOKUP('AM (2011)'!$C112+1,CPI!$B$50:$I$63,8,FALSE)*'AM (nominal)'!K112</f>
        <v>1307.0968325791855</v>
      </c>
      <c r="L112" s="31">
        <f>VLOOKUP('AM (2011)'!$C112+1,CPI!$B$50:$I$63,8,FALSE)*'AM (nominal)'!L112</f>
        <v>224.8558500323206</v>
      </c>
      <c r="M112" s="31">
        <f>VLOOKUP('AM (2011)'!$C112+1,CPI!$B$50:$I$63,8,FALSE)*'AM (nominal)'!M112</f>
        <v>964.92488687782804</v>
      </c>
      <c r="N112" s="639">
        <f>VLOOKUP('AM (2011)'!$C112+1,CPI!$B$50:$I$63,8,FALSE)*'AM (nominal)'!N112</f>
        <v>2496.8775694893343</v>
      </c>
    </row>
    <row r="113" spans="1:14" s="278" customFormat="1">
      <c r="A113" s="271">
        <f>References!X263</f>
        <v>137</v>
      </c>
      <c r="B113" s="305" t="s">
        <v>34</v>
      </c>
      <c r="C113" s="284">
        <v>2011</v>
      </c>
      <c r="D113" s="284">
        <v>2015</v>
      </c>
      <c r="E113" s="31">
        <f>VLOOKUP('AM (2011)'!$C113+1,CPI!$B$50:$I$63,8,FALSE)*'AM (nominal)'!E113</f>
        <v>92.875242404654173</v>
      </c>
      <c r="F113" s="31">
        <f>VLOOKUP('AM (2011)'!$C113+1,CPI!$B$50:$I$63,8,FALSE)*'AM (nominal)'!F113</f>
        <v>1245.5058823529412</v>
      </c>
      <c r="G113" s="31">
        <f>VLOOKUP('AM (2011)'!$C113+1,CPI!$B$50:$I$63,8,FALSE)*'AM (nominal)'!G113</f>
        <v>4240.9768584356816</v>
      </c>
      <c r="H113" s="31">
        <f>VLOOKUP('AM (2011)'!$C113+1,CPI!$B$50:$I$63,8,FALSE)*'AM (nominal)'!H113</f>
        <v>92.875242404654173</v>
      </c>
      <c r="I113" s="31">
        <f>VLOOKUP('AM (2011)'!$C113+1,CPI!$B$50:$I$63,8,FALSE)*'AM (nominal)'!I113</f>
        <v>50.836974789915963</v>
      </c>
      <c r="J113" s="27">
        <f>VLOOKUP('AM (2011)'!$C113+1,CPI!$B$50:$I$63,8,FALSE)*'AM (nominal)'!J113</f>
        <v>5723.0702003878469</v>
      </c>
      <c r="K113" s="31">
        <f>VLOOKUP('AM (2011)'!$C113+1,CPI!$B$50:$I$63,8,FALSE)*'AM (nominal)'!K113</f>
        <v>1307.0968325791855</v>
      </c>
      <c r="L113" s="31">
        <f>VLOOKUP('AM (2011)'!$C113+1,CPI!$B$50:$I$63,8,FALSE)*'AM (nominal)'!L113</f>
        <v>224.8558500323206</v>
      </c>
      <c r="M113" s="31">
        <f>VLOOKUP('AM (2011)'!$C113+1,CPI!$B$50:$I$63,8,FALSE)*'AM (nominal)'!M113</f>
        <v>964.92488687782804</v>
      </c>
      <c r="N113" s="639">
        <f>VLOOKUP('AM (2011)'!$C113+1,CPI!$B$50:$I$63,8,FALSE)*'AM (nominal)'!N113</f>
        <v>2496.8775694893343</v>
      </c>
    </row>
    <row r="114" spans="1:14" s="278" customFormat="1">
      <c r="A114" s="271">
        <f>References!Y263</f>
        <v>138</v>
      </c>
      <c r="B114" s="305" t="s">
        <v>34</v>
      </c>
      <c r="C114" s="284">
        <v>2011</v>
      </c>
      <c r="D114" s="284">
        <v>2016</v>
      </c>
      <c r="E114" s="31">
        <f>VLOOKUP('AM (2011)'!$C114+1,CPI!$B$50:$I$63,8,FALSE)*'AM (nominal)'!E114</f>
        <v>92.875242404654173</v>
      </c>
      <c r="F114" s="31">
        <f>VLOOKUP('AM (2011)'!$C114+1,CPI!$B$50:$I$63,8,FALSE)*'AM (nominal)'!F114</f>
        <v>1506.5341952165481</v>
      </c>
      <c r="G114" s="31">
        <f>VLOOKUP('AM (2011)'!$C114+1,CPI!$B$50:$I$63,8,FALSE)*'AM (nominal)'!G114</f>
        <v>3681.7701357466062</v>
      </c>
      <c r="H114" s="31">
        <f>VLOOKUP('AM (2011)'!$C114+1,CPI!$B$50:$I$63,8,FALSE)*'AM (nominal)'!H114</f>
        <v>426.24848093083386</v>
      </c>
      <c r="I114" s="31">
        <f>VLOOKUP('AM (2011)'!$C114+1,CPI!$B$50:$I$63,8,FALSE)*'AM (nominal)'!I114</f>
        <v>50.836974789915963</v>
      </c>
      <c r="J114" s="27">
        <f>VLOOKUP('AM (2011)'!$C114+1,CPI!$B$50:$I$63,8,FALSE)*'AM (nominal)'!J114</f>
        <v>5758.2650290885585</v>
      </c>
      <c r="K114" s="31">
        <f>VLOOKUP('AM (2011)'!$C114+1,CPI!$B$50:$I$63,8,FALSE)*'AM (nominal)'!K114</f>
        <v>1307.0968325791855</v>
      </c>
      <c r="L114" s="31">
        <f>VLOOKUP('AM (2011)'!$C114+1,CPI!$B$50:$I$63,8,FALSE)*'AM (nominal)'!L114</f>
        <v>224.8558500323206</v>
      </c>
      <c r="M114" s="31">
        <f>VLOOKUP('AM (2011)'!$C114+1,CPI!$B$50:$I$63,8,FALSE)*'AM (nominal)'!M114</f>
        <v>964.92488687782804</v>
      </c>
      <c r="N114" s="639">
        <f>VLOOKUP('AM (2011)'!$C114+1,CPI!$B$50:$I$63,8,FALSE)*'AM (nominal)'!N114</f>
        <v>2496.8775694893343</v>
      </c>
    </row>
    <row r="115" spans="1:14" s="278" customFormat="1">
      <c r="A115" s="271">
        <f>References!K264</f>
        <v>147</v>
      </c>
      <c r="B115" s="305" t="s">
        <v>35</v>
      </c>
      <c r="C115" s="284">
        <v>2009</v>
      </c>
      <c r="D115" s="284">
        <v>2010</v>
      </c>
      <c r="E115" s="31">
        <f>VLOOKUP('AM (2011)'!$C115+1,CPI!$B$50:$I$63,8,FALSE)*'AM (nominal)'!E115</f>
        <v>312.78246342054911</v>
      </c>
      <c r="F115" s="31">
        <f>VLOOKUP('AM (2011)'!$C115+1,CPI!$B$50:$I$63,8,FALSE)*'AM (nominal)'!F115</f>
        <v>1161.472339737544</v>
      </c>
      <c r="G115" s="31">
        <f>VLOOKUP('AM (2011)'!$C115+1,CPI!$B$50:$I$63,8,FALSE)*'AM (nominal)'!G115</f>
        <v>3773.7662687612833</v>
      </c>
      <c r="H115" s="31">
        <f>VLOOKUP('AM (2011)'!$C115+1,CPI!$B$50:$I$63,8,FALSE)*'AM (nominal)'!H115</f>
        <v>794.69160087305636</v>
      </c>
      <c r="I115" s="31">
        <f>VLOOKUP('AM (2011)'!$C115+1,CPI!$B$50:$I$63,8,FALSE)*'AM (nominal)'!I115</f>
        <v>0</v>
      </c>
      <c r="J115" s="27">
        <f>VLOOKUP('AM (2011)'!$C115+1,CPI!$B$50:$I$63,8,FALSE)*'AM (nominal)'!J115</f>
        <v>6042.7126727924324</v>
      </c>
      <c r="K115" s="31">
        <f>VLOOKUP('AM (2011)'!$C115+1,CPI!$B$50:$I$63,8,FALSE)*'AM (nominal)'!K115</f>
        <v>2472.713481178087</v>
      </c>
      <c r="L115" s="31">
        <f>VLOOKUP('AM (2011)'!$C115+1,CPI!$B$50:$I$63,8,FALSE)*'AM (nominal)'!L115</f>
        <v>827.29433321656643</v>
      </c>
      <c r="M115" s="31">
        <f>VLOOKUP('AM (2011)'!$C115+1,CPI!$B$50:$I$63,8,FALSE)*'AM (nominal)'!M115</f>
        <v>1523.1589016733581</v>
      </c>
      <c r="N115" s="639">
        <f>VLOOKUP('AM (2011)'!$C115+1,CPI!$B$50:$I$63,8,FALSE)*'AM (nominal)'!N115</f>
        <v>4823.1667160680117</v>
      </c>
    </row>
    <row r="116" spans="1:14" s="278" customFormat="1">
      <c r="A116" s="271">
        <f>References!L264</f>
        <v>148</v>
      </c>
      <c r="B116" s="305" t="s">
        <v>35</v>
      </c>
      <c r="C116" s="284">
        <v>2009</v>
      </c>
      <c r="D116" s="284">
        <v>2011</v>
      </c>
      <c r="E116" s="31">
        <f>VLOOKUP('AM (2011)'!$C116+1,CPI!$B$50:$I$63,8,FALSE)*'AM (nominal)'!E116</f>
        <v>316.85780496348787</v>
      </c>
      <c r="F116" s="31">
        <f>VLOOKUP('AM (2011)'!$C116+1,CPI!$B$50:$I$63,8,FALSE)*'AM (nominal)'!F116</f>
        <v>2493.0901888927806</v>
      </c>
      <c r="G116" s="31">
        <f>VLOOKUP('AM (2011)'!$C116+1,CPI!$B$50:$I$63,8,FALSE)*'AM (nominal)'!G116</f>
        <v>3266.3862466654086</v>
      </c>
      <c r="H116" s="31">
        <f>VLOOKUP('AM (2011)'!$C116+1,CPI!$B$50:$I$63,8,FALSE)*'AM (nominal)'!H116</f>
        <v>1380.5219476705017</v>
      </c>
      <c r="I116" s="31">
        <f>VLOOKUP('AM (2011)'!$C116+1,CPI!$B$50:$I$63,8,FALSE)*'AM (nominal)'!I116</f>
        <v>0</v>
      </c>
      <c r="J116" s="27">
        <f>VLOOKUP('AM (2011)'!$C116+1,CPI!$B$50:$I$63,8,FALSE)*'AM (nominal)'!J116</f>
        <v>7456.8561881921787</v>
      </c>
      <c r="K116" s="31">
        <f>VLOOKUP('AM (2011)'!$C116+1,CPI!$B$50:$I$63,8,FALSE)*'AM (nominal)'!K116</f>
        <v>2107.9704130850687</v>
      </c>
      <c r="L116" s="31">
        <f>VLOOKUP('AM (2011)'!$C116+1,CPI!$B$50:$I$63,8,FALSE)*'AM (nominal)'!L116</f>
        <v>827.29433321656643</v>
      </c>
      <c r="M116" s="31">
        <f>VLOOKUP('AM (2011)'!$C116+1,CPI!$B$50:$I$63,8,FALSE)*'AM (nominal)'!M116</f>
        <v>1523.1589016733581</v>
      </c>
      <c r="N116" s="639">
        <f>VLOOKUP('AM (2011)'!$C116+1,CPI!$B$50:$I$63,8,FALSE)*'AM (nominal)'!N116</f>
        <v>4458.4236479749934</v>
      </c>
    </row>
    <row r="117" spans="1:14" s="278" customFormat="1">
      <c r="A117" s="271">
        <f>References!M264</f>
        <v>149</v>
      </c>
      <c r="B117" s="305" t="s">
        <v>35</v>
      </c>
      <c r="C117" s="284">
        <v>2009</v>
      </c>
      <c r="D117" s="284">
        <v>2012</v>
      </c>
      <c r="E117" s="31">
        <f>VLOOKUP('AM (2011)'!$C117+1,CPI!$B$50:$I$63,8,FALSE)*'AM (nominal)'!E117</f>
        <v>316.85780496348787</v>
      </c>
      <c r="F117" s="31">
        <f>VLOOKUP('AM (2011)'!$C117+1,CPI!$B$50:$I$63,8,FALSE)*'AM (nominal)'!F117</f>
        <v>2307.6621486890676</v>
      </c>
      <c r="G117" s="31">
        <f>VLOOKUP('AM (2011)'!$C117+1,CPI!$B$50:$I$63,8,FALSE)*'AM (nominal)'!G117</f>
        <v>3505.8125623130604</v>
      </c>
      <c r="H117" s="31">
        <f>VLOOKUP('AM (2011)'!$C117+1,CPI!$B$50:$I$63,8,FALSE)*'AM (nominal)'!H117</f>
        <v>683.63854382797547</v>
      </c>
      <c r="I117" s="31">
        <f>VLOOKUP('AM (2011)'!$C117+1,CPI!$B$50:$I$63,8,FALSE)*'AM (nominal)'!I117</f>
        <v>0</v>
      </c>
      <c r="J117" s="27">
        <f>VLOOKUP('AM (2011)'!$C117+1,CPI!$B$50:$I$63,8,FALSE)*'AM (nominal)'!J117</f>
        <v>6813.9710597935909</v>
      </c>
      <c r="K117" s="31">
        <f>VLOOKUP('AM (2011)'!$C117+1,CPI!$B$50:$I$63,8,FALSE)*'AM (nominal)'!K117</f>
        <v>2107.9704130850687</v>
      </c>
      <c r="L117" s="31">
        <f>VLOOKUP('AM (2011)'!$C117+1,CPI!$B$50:$I$63,8,FALSE)*'AM (nominal)'!L117</f>
        <v>827.29433321656643</v>
      </c>
      <c r="M117" s="31">
        <f>VLOOKUP('AM (2011)'!$C117+1,CPI!$B$50:$I$63,8,FALSE)*'AM (nominal)'!M117</f>
        <v>1523.1589016733581</v>
      </c>
      <c r="N117" s="639">
        <f>VLOOKUP('AM (2011)'!$C117+1,CPI!$B$50:$I$63,8,FALSE)*'AM (nominal)'!N117</f>
        <v>4458.4236479749934</v>
      </c>
    </row>
    <row r="118" spans="1:14" s="278" customFormat="1">
      <c r="A118" s="271">
        <f>References!N264</f>
        <v>150</v>
      </c>
      <c r="B118" s="305" t="s">
        <v>35</v>
      </c>
      <c r="C118" s="284">
        <v>2009</v>
      </c>
      <c r="D118" s="284">
        <v>2013</v>
      </c>
      <c r="E118" s="31">
        <f>VLOOKUP('AM (2011)'!$C118+1,CPI!$B$50:$I$63,8,FALSE)*'AM (nominal)'!E118</f>
        <v>316.85780496348787</v>
      </c>
      <c r="F118" s="31">
        <f>VLOOKUP('AM (2011)'!$C118+1,CPI!$B$50:$I$63,8,FALSE)*'AM (nominal)'!F118</f>
        <v>1516.0270539732153</v>
      </c>
      <c r="G118" s="31">
        <f>VLOOKUP('AM (2011)'!$C118+1,CPI!$B$50:$I$63,8,FALSE)*'AM (nominal)'!G118</f>
        <v>2469.6569750208828</v>
      </c>
      <c r="H118" s="31">
        <f>VLOOKUP('AM (2011)'!$C118+1,CPI!$B$50:$I$63,8,FALSE)*'AM (nominal)'!H118</f>
        <v>1339.7685322411144</v>
      </c>
      <c r="I118" s="31">
        <f>VLOOKUP('AM (2011)'!$C118+1,CPI!$B$50:$I$63,8,FALSE)*'AM (nominal)'!I118</f>
        <v>0</v>
      </c>
      <c r="J118" s="27">
        <f>VLOOKUP('AM (2011)'!$C118+1,CPI!$B$50:$I$63,8,FALSE)*'AM (nominal)'!J118</f>
        <v>5642.3103661987006</v>
      </c>
      <c r="K118" s="31">
        <f>VLOOKUP('AM (2011)'!$C118+1,CPI!$B$50:$I$63,8,FALSE)*'AM (nominal)'!K118</f>
        <v>2107.9704130850687</v>
      </c>
      <c r="L118" s="31">
        <f>VLOOKUP('AM (2011)'!$C118+1,CPI!$B$50:$I$63,8,FALSE)*'AM (nominal)'!L118</f>
        <v>827.29433321656643</v>
      </c>
      <c r="M118" s="31">
        <f>VLOOKUP('AM (2011)'!$C118+1,CPI!$B$50:$I$63,8,FALSE)*'AM (nominal)'!M118</f>
        <v>1523.1589016733581</v>
      </c>
      <c r="N118" s="639">
        <f>VLOOKUP('AM (2011)'!$C118+1,CPI!$B$50:$I$63,8,FALSE)*'AM (nominal)'!N118</f>
        <v>4458.4236479749934</v>
      </c>
    </row>
    <row r="119" spans="1:14" s="278" customFormat="1">
      <c r="A119" s="271">
        <f>References!O264</f>
        <v>151</v>
      </c>
      <c r="B119" s="305" t="s">
        <v>35</v>
      </c>
      <c r="C119" s="284">
        <v>2009</v>
      </c>
      <c r="D119" s="284">
        <v>2014</v>
      </c>
      <c r="E119" s="31">
        <f>VLOOKUP('AM (2011)'!$C119+1,CPI!$B$50:$I$63,8,FALSE)*'AM (nominal)'!E119</f>
        <v>316.85780496348787</v>
      </c>
      <c r="F119" s="31">
        <f>VLOOKUP('AM (2011)'!$C119+1,CPI!$B$50:$I$63,8,FALSE)*'AM (nominal)'!F119</f>
        <v>1034.1179165207079</v>
      </c>
      <c r="G119" s="31">
        <f>VLOOKUP('AM (2011)'!$C119+1,CPI!$B$50:$I$63,8,FALSE)*'AM (nominal)'!G119</f>
        <v>2358.6039179758018</v>
      </c>
      <c r="H119" s="31">
        <f>VLOOKUP('AM (2011)'!$C119+1,CPI!$B$50:$I$63,8,FALSE)*'AM (nominal)'!H119</f>
        <v>1207.3199320956048</v>
      </c>
      <c r="I119" s="31">
        <f>VLOOKUP('AM (2011)'!$C119+1,CPI!$B$50:$I$63,8,FALSE)*'AM (nominal)'!I119</f>
        <v>0</v>
      </c>
      <c r="J119" s="27">
        <f>VLOOKUP('AM (2011)'!$C119+1,CPI!$B$50:$I$63,8,FALSE)*'AM (nominal)'!J119</f>
        <v>4916.899571555603</v>
      </c>
      <c r="K119" s="31">
        <f>VLOOKUP('AM (2011)'!$C119+1,CPI!$B$50:$I$63,8,FALSE)*'AM (nominal)'!K119</f>
        <v>2194.5714208725171</v>
      </c>
      <c r="L119" s="31">
        <f>VLOOKUP('AM (2011)'!$C119+1,CPI!$B$50:$I$63,8,FALSE)*'AM (nominal)'!L119</f>
        <v>827.29433321656643</v>
      </c>
      <c r="M119" s="31">
        <f>VLOOKUP('AM (2011)'!$C119+1,CPI!$B$50:$I$63,8,FALSE)*'AM (nominal)'!M119</f>
        <v>1523.1589016733581</v>
      </c>
      <c r="N119" s="639">
        <f>VLOOKUP('AM (2011)'!$C119+1,CPI!$B$50:$I$63,8,FALSE)*'AM (nominal)'!N119</f>
        <v>4545.0246557624414</v>
      </c>
    </row>
    <row r="120" spans="1:14" s="278" customFormat="1">
      <c r="A120" s="271">
        <f>References!P264</f>
        <v>152</v>
      </c>
      <c r="B120" s="305" t="s">
        <v>35</v>
      </c>
      <c r="C120" s="284">
        <v>2010</v>
      </c>
      <c r="D120" s="284">
        <v>2011</v>
      </c>
      <c r="E120" s="31">
        <f>VLOOKUP('AM (2011)'!$C120+1,CPI!$B$50:$I$63,8,FALSE)*'AM (nominal)'!E120</f>
        <v>210</v>
      </c>
      <c r="F120" s="31">
        <f>VLOOKUP('AM (2011)'!$C120+1,CPI!$B$50:$I$63,8,FALSE)*'AM (nominal)'!F120</f>
        <v>1381</v>
      </c>
      <c r="G120" s="31">
        <f>VLOOKUP('AM (2011)'!$C120+1,CPI!$B$50:$I$63,8,FALSE)*'AM (nominal)'!G120</f>
        <v>3700</v>
      </c>
      <c r="H120" s="31">
        <f>VLOOKUP('AM (2011)'!$C120+1,CPI!$B$50:$I$63,8,FALSE)*'AM (nominal)'!H120</f>
        <v>2137</v>
      </c>
      <c r="I120" s="31">
        <f>VLOOKUP('AM (2011)'!$C120+1,CPI!$B$50:$I$63,8,FALSE)*'AM (nominal)'!I120</f>
        <v>30</v>
      </c>
      <c r="J120" s="27">
        <f>VLOOKUP('AM (2011)'!$C120+1,CPI!$B$50:$I$63,8,FALSE)*'AM (nominal)'!J120</f>
        <v>7458</v>
      </c>
      <c r="K120" s="31">
        <f>VLOOKUP('AM (2011)'!$C120+1,CPI!$B$50:$I$63,8,FALSE)*'AM (nominal)'!K120</f>
        <v>1945</v>
      </c>
      <c r="L120" s="31">
        <f>VLOOKUP('AM (2011)'!$C120+1,CPI!$B$50:$I$63,8,FALSE)*'AM (nominal)'!L120</f>
        <v>1230</v>
      </c>
      <c r="M120" s="31">
        <f>VLOOKUP('AM (2011)'!$C120+1,CPI!$B$50:$I$63,8,FALSE)*'AM (nominal)'!M120</f>
        <v>1783</v>
      </c>
      <c r="N120" s="639">
        <f>VLOOKUP('AM (2011)'!$C120+1,CPI!$B$50:$I$63,8,FALSE)*'AM (nominal)'!N120</f>
        <v>4958</v>
      </c>
    </row>
    <row r="121" spans="1:14" s="278" customFormat="1">
      <c r="A121" s="271">
        <f>References!Q264</f>
        <v>153</v>
      </c>
      <c r="B121" s="305" t="s">
        <v>35</v>
      </c>
      <c r="C121" s="284">
        <v>2010</v>
      </c>
      <c r="D121" s="284">
        <v>2012</v>
      </c>
      <c r="E121" s="31">
        <f>VLOOKUP('AM (2011)'!$C121+1,CPI!$B$50:$I$63,8,FALSE)*'AM (nominal)'!E121</f>
        <v>311</v>
      </c>
      <c r="F121" s="31">
        <f>VLOOKUP('AM (2011)'!$C121+1,CPI!$B$50:$I$63,8,FALSE)*'AM (nominal)'!F121</f>
        <v>3400</v>
      </c>
      <c r="G121" s="31">
        <f>VLOOKUP('AM (2011)'!$C121+1,CPI!$B$50:$I$63,8,FALSE)*'AM (nominal)'!G121</f>
        <v>2634</v>
      </c>
      <c r="H121" s="31">
        <f>VLOOKUP('AM (2011)'!$C121+1,CPI!$B$50:$I$63,8,FALSE)*'AM (nominal)'!H121</f>
        <v>691</v>
      </c>
      <c r="I121" s="31">
        <f>VLOOKUP('AM (2011)'!$C121+1,CPI!$B$50:$I$63,8,FALSE)*'AM (nominal)'!I121</f>
        <v>50</v>
      </c>
      <c r="J121" s="27">
        <f>VLOOKUP('AM (2011)'!$C121+1,CPI!$B$50:$I$63,8,FALSE)*'AM (nominal)'!J121</f>
        <v>7086</v>
      </c>
      <c r="K121" s="31">
        <f>VLOOKUP('AM (2011)'!$C121+1,CPI!$B$50:$I$63,8,FALSE)*'AM (nominal)'!K121</f>
        <v>1764</v>
      </c>
      <c r="L121" s="31">
        <f>VLOOKUP('AM (2011)'!$C121+1,CPI!$B$50:$I$63,8,FALSE)*'AM (nominal)'!L121</f>
        <v>1230</v>
      </c>
      <c r="M121" s="31">
        <f>VLOOKUP('AM (2011)'!$C121+1,CPI!$B$50:$I$63,8,FALSE)*'AM (nominal)'!M121</f>
        <v>1514</v>
      </c>
      <c r="N121" s="639">
        <f>VLOOKUP('AM (2011)'!$C121+1,CPI!$B$50:$I$63,8,FALSE)*'AM (nominal)'!N121</f>
        <v>4508</v>
      </c>
    </row>
    <row r="122" spans="1:14" s="278" customFormat="1">
      <c r="A122" s="271">
        <f>References!R264</f>
        <v>154</v>
      </c>
      <c r="B122" s="305" t="s">
        <v>35</v>
      </c>
      <c r="C122" s="284">
        <v>2010</v>
      </c>
      <c r="D122" s="284">
        <v>2013</v>
      </c>
      <c r="E122" s="31">
        <f>VLOOKUP('AM (2011)'!$C122+1,CPI!$B$50:$I$63,8,FALSE)*'AM (nominal)'!E122</f>
        <v>311</v>
      </c>
      <c r="F122" s="31">
        <f>VLOOKUP('AM (2011)'!$C122+1,CPI!$B$50:$I$63,8,FALSE)*'AM (nominal)'!F122</f>
        <v>1863</v>
      </c>
      <c r="G122" s="31">
        <f>VLOOKUP('AM (2011)'!$C122+1,CPI!$B$50:$I$63,8,FALSE)*'AM (nominal)'!G122</f>
        <v>3432</v>
      </c>
      <c r="H122" s="31">
        <f>VLOOKUP('AM (2011)'!$C122+1,CPI!$B$50:$I$63,8,FALSE)*'AM (nominal)'!H122</f>
        <v>1335</v>
      </c>
      <c r="I122" s="31">
        <f>VLOOKUP('AM (2011)'!$C122+1,CPI!$B$50:$I$63,8,FALSE)*'AM (nominal)'!I122</f>
        <v>0</v>
      </c>
      <c r="J122" s="27">
        <f>VLOOKUP('AM (2011)'!$C122+1,CPI!$B$50:$I$63,8,FALSE)*'AM (nominal)'!J122</f>
        <v>6941</v>
      </c>
      <c r="K122" s="31">
        <f>VLOOKUP('AM (2011)'!$C122+1,CPI!$B$50:$I$63,8,FALSE)*'AM (nominal)'!K122</f>
        <v>1764</v>
      </c>
      <c r="L122" s="31">
        <f>VLOOKUP('AM (2011)'!$C122+1,CPI!$B$50:$I$63,8,FALSE)*'AM (nominal)'!L122</f>
        <v>1230</v>
      </c>
      <c r="M122" s="31">
        <f>VLOOKUP('AM (2011)'!$C122+1,CPI!$B$50:$I$63,8,FALSE)*'AM (nominal)'!M122</f>
        <v>1514</v>
      </c>
      <c r="N122" s="639">
        <f>VLOOKUP('AM (2011)'!$C122+1,CPI!$B$50:$I$63,8,FALSE)*'AM (nominal)'!N122</f>
        <v>4508</v>
      </c>
    </row>
    <row r="123" spans="1:14" s="278" customFormat="1">
      <c r="A123" s="271">
        <f>References!S264</f>
        <v>155</v>
      </c>
      <c r="B123" s="305" t="s">
        <v>35</v>
      </c>
      <c r="C123" s="284">
        <v>2010</v>
      </c>
      <c r="D123" s="284">
        <v>2014</v>
      </c>
      <c r="E123" s="31">
        <f>VLOOKUP('AM (2011)'!$C123+1,CPI!$B$50:$I$63,8,FALSE)*'AM (nominal)'!E123</f>
        <v>311</v>
      </c>
      <c r="F123" s="31">
        <f>VLOOKUP('AM (2011)'!$C123+1,CPI!$B$50:$I$63,8,FALSE)*'AM (nominal)'!F123</f>
        <v>1015</v>
      </c>
      <c r="G123" s="31">
        <f>VLOOKUP('AM (2011)'!$C123+1,CPI!$B$50:$I$63,8,FALSE)*'AM (nominal)'!G123</f>
        <v>2665</v>
      </c>
      <c r="H123" s="31">
        <f>VLOOKUP('AM (2011)'!$C123+1,CPI!$B$50:$I$63,8,FALSE)*'AM (nominal)'!H123</f>
        <v>1255</v>
      </c>
      <c r="I123" s="31">
        <f>VLOOKUP('AM (2011)'!$C123+1,CPI!$B$50:$I$63,8,FALSE)*'AM (nominal)'!I123</f>
        <v>0</v>
      </c>
      <c r="J123" s="27">
        <f>VLOOKUP('AM (2011)'!$C123+1,CPI!$B$50:$I$63,8,FALSE)*'AM (nominal)'!J123</f>
        <v>5246</v>
      </c>
      <c r="K123" s="31">
        <f>VLOOKUP('AM (2011)'!$C123+1,CPI!$B$50:$I$63,8,FALSE)*'AM (nominal)'!K123</f>
        <v>1764</v>
      </c>
      <c r="L123" s="31">
        <f>VLOOKUP('AM (2011)'!$C123+1,CPI!$B$50:$I$63,8,FALSE)*'AM (nominal)'!L123</f>
        <v>1230</v>
      </c>
      <c r="M123" s="31">
        <f>VLOOKUP('AM (2011)'!$C123+1,CPI!$B$50:$I$63,8,FALSE)*'AM (nominal)'!M123</f>
        <v>1514</v>
      </c>
      <c r="N123" s="639">
        <f>VLOOKUP('AM (2011)'!$C123+1,CPI!$B$50:$I$63,8,FALSE)*'AM (nominal)'!N123</f>
        <v>4508</v>
      </c>
    </row>
    <row r="124" spans="1:14" s="278" customFormat="1">
      <c r="A124" s="271">
        <f>References!T264</f>
        <v>156</v>
      </c>
      <c r="B124" s="305" t="s">
        <v>35</v>
      </c>
      <c r="C124" s="284">
        <v>2010</v>
      </c>
      <c r="D124" s="284">
        <v>2015</v>
      </c>
      <c r="E124" s="31">
        <f>VLOOKUP('AM (2011)'!$C124+1,CPI!$B$50:$I$63,8,FALSE)*'AM (nominal)'!E124</f>
        <v>311</v>
      </c>
      <c r="F124" s="31">
        <f>VLOOKUP('AM (2011)'!$C124+1,CPI!$B$50:$I$63,8,FALSE)*'AM (nominal)'!F124</f>
        <v>765</v>
      </c>
      <c r="G124" s="31">
        <f>VLOOKUP('AM (2011)'!$C124+1,CPI!$B$50:$I$63,8,FALSE)*'AM (nominal)'!G124</f>
        <v>2736</v>
      </c>
      <c r="H124" s="31">
        <f>VLOOKUP('AM (2011)'!$C124+1,CPI!$B$50:$I$63,8,FALSE)*'AM (nominal)'!H124</f>
        <v>205</v>
      </c>
      <c r="I124" s="31">
        <f>VLOOKUP('AM (2011)'!$C124+1,CPI!$B$50:$I$63,8,FALSE)*'AM (nominal)'!I124</f>
        <v>0</v>
      </c>
      <c r="J124" s="27">
        <f>VLOOKUP('AM (2011)'!$C124+1,CPI!$B$50:$I$63,8,FALSE)*'AM (nominal)'!J124</f>
        <v>4017</v>
      </c>
      <c r="K124" s="31">
        <f>VLOOKUP('AM (2011)'!$C124+1,CPI!$B$50:$I$63,8,FALSE)*'AM (nominal)'!K124</f>
        <v>1764</v>
      </c>
      <c r="L124" s="31">
        <f>VLOOKUP('AM (2011)'!$C124+1,CPI!$B$50:$I$63,8,FALSE)*'AM (nominal)'!L124</f>
        <v>1230</v>
      </c>
      <c r="M124" s="31">
        <f>VLOOKUP('AM (2011)'!$C124+1,CPI!$B$50:$I$63,8,FALSE)*'AM (nominal)'!M124</f>
        <v>1514</v>
      </c>
      <c r="N124" s="639">
        <f>VLOOKUP('AM (2011)'!$C124+1,CPI!$B$50:$I$63,8,FALSE)*'AM (nominal)'!N124</f>
        <v>4508</v>
      </c>
    </row>
    <row r="125" spans="1:14" s="278" customFormat="1">
      <c r="A125" s="271">
        <f>References!U264</f>
        <v>157</v>
      </c>
      <c r="B125" s="305" t="s">
        <v>35</v>
      </c>
      <c r="C125" s="284">
        <v>2011</v>
      </c>
      <c r="D125" s="284">
        <v>2012</v>
      </c>
      <c r="E125" s="31">
        <f>VLOOKUP('AM (2011)'!$C125+1,CPI!$B$50:$I$63,8,FALSE)*'AM (nominal)'!E125</f>
        <v>293.29023917259212</v>
      </c>
      <c r="F125" s="31">
        <f>VLOOKUP('AM (2011)'!$C125+1,CPI!$B$50:$I$63,8,FALSE)*'AM (nominal)'!F125</f>
        <v>254.18487394957981</v>
      </c>
      <c r="G125" s="31">
        <f>VLOOKUP('AM (2011)'!$C125+1,CPI!$B$50:$I$63,8,FALSE)*'AM (nominal)'!G125</f>
        <v>5010.3749191984489</v>
      </c>
      <c r="H125" s="31">
        <f>VLOOKUP('AM (2011)'!$C125+1,CPI!$B$50:$I$63,8,FALSE)*'AM (nominal)'!H125</f>
        <v>2233.8939883645767</v>
      </c>
      <c r="I125" s="31">
        <f>VLOOKUP('AM (2011)'!$C125+1,CPI!$B$50:$I$63,8,FALSE)*'AM (nominal)'!I125</f>
        <v>9.7763413057530695</v>
      </c>
      <c r="J125" s="27">
        <f>VLOOKUP('AM (2011)'!$C125+1,CPI!$B$50:$I$63,8,FALSE)*'AM (nominal)'!J125</f>
        <v>7801.5203619909498</v>
      </c>
      <c r="K125" s="31">
        <f>VLOOKUP('AM (2011)'!$C125+1,CPI!$B$50:$I$63,8,FALSE)*'AM (nominal)'!K125</f>
        <v>2328.7244990303811</v>
      </c>
      <c r="L125" s="31">
        <f>VLOOKUP('AM (2011)'!$C125+1,CPI!$B$50:$I$63,8,FALSE)*'AM (nominal)'!L125</f>
        <v>1046.0685197155785</v>
      </c>
      <c r="M125" s="31">
        <f>VLOOKUP('AM (2011)'!$C125+1,CPI!$B$50:$I$63,8,FALSE)*'AM (nominal)'!M125</f>
        <v>1290.4770523594052</v>
      </c>
      <c r="N125" s="639">
        <f>VLOOKUP('AM (2011)'!$C125+1,CPI!$B$50:$I$63,8,FALSE)*'AM (nominal)'!N125</f>
        <v>4665.2700711053649</v>
      </c>
    </row>
    <row r="126" spans="1:14" s="278" customFormat="1">
      <c r="A126" s="271">
        <f>References!V264</f>
        <v>158</v>
      </c>
      <c r="B126" s="305" t="s">
        <v>35</v>
      </c>
      <c r="C126" s="284">
        <v>2011</v>
      </c>
      <c r="D126" s="284">
        <v>2013</v>
      </c>
      <c r="E126" s="31">
        <f>VLOOKUP('AM (2011)'!$C126+1,CPI!$B$50:$I$63,8,FALSE)*'AM (nominal)'!E126</f>
        <v>304.04421460892047</v>
      </c>
      <c r="F126" s="31">
        <f>VLOOKUP('AM (2011)'!$C126+1,CPI!$B$50:$I$63,8,FALSE)*'AM (nominal)'!F126</f>
        <v>3199.7965093729799</v>
      </c>
      <c r="G126" s="31">
        <f>VLOOKUP('AM (2011)'!$C126+1,CPI!$B$50:$I$63,8,FALSE)*'AM (nominal)'!G126</f>
        <v>3061.9500969618616</v>
      </c>
      <c r="H126" s="31">
        <f>VLOOKUP('AM (2011)'!$C126+1,CPI!$B$50:$I$63,8,FALSE)*'AM (nominal)'!H126</f>
        <v>1207.3781512605042</v>
      </c>
      <c r="I126" s="31">
        <f>VLOOKUP('AM (2011)'!$C126+1,CPI!$B$50:$I$63,8,FALSE)*'AM (nominal)'!I126</f>
        <v>0</v>
      </c>
      <c r="J126" s="27">
        <f>VLOOKUP('AM (2011)'!$C126+1,CPI!$B$50:$I$63,8,FALSE)*'AM (nominal)'!J126</f>
        <v>7773.1689722042656</v>
      </c>
      <c r="K126" s="31">
        <f>VLOOKUP('AM (2011)'!$C126+1,CPI!$B$50:$I$63,8,FALSE)*'AM (nominal)'!K126</f>
        <v>1701.0833872010342</v>
      </c>
      <c r="L126" s="31">
        <f>VLOOKUP('AM (2011)'!$C126+1,CPI!$B$50:$I$63,8,FALSE)*'AM (nominal)'!L126</f>
        <v>1202.4899806076276</v>
      </c>
      <c r="M126" s="31">
        <f>VLOOKUP('AM (2011)'!$C126+1,CPI!$B$50:$I$63,8,FALSE)*'AM (nominal)'!M126</f>
        <v>1480.1380736910148</v>
      </c>
      <c r="N126" s="639">
        <f>VLOOKUP('AM (2011)'!$C126+1,CPI!$B$50:$I$63,8,FALSE)*'AM (nominal)'!N126</f>
        <v>4383.7114414996768</v>
      </c>
    </row>
    <row r="127" spans="1:14" s="278" customFormat="1">
      <c r="A127" s="271">
        <f>References!W264</f>
        <v>159</v>
      </c>
      <c r="B127" s="305" t="s">
        <v>35</v>
      </c>
      <c r="C127" s="284">
        <v>2011</v>
      </c>
      <c r="D127" s="284">
        <v>2014</v>
      </c>
      <c r="E127" s="31">
        <f>VLOOKUP('AM (2011)'!$C127+1,CPI!$B$50:$I$63,8,FALSE)*'AM (nominal)'!E127</f>
        <v>304.04421460892047</v>
      </c>
      <c r="F127" s="31">
        <f>VLOOKUP('AM (2011)'!$C127+1,CPI!$B$50:$I$63,8,FALSE)*'AM (nominal)'!F127</f>
        <v>1637.5371687136392</v>
      </c>
      <c r="G127" s="31">
        <f>VLOOKUP('AM (2011)'!$C127+1,CPI!$B$50:$I$63,8,FALSE)*'AM (nominal)'!G127</f>
        <v>2434.3089851325144</v>
      </c>
      <c r="H127" s="31">
        <f>VLOOKUP('AM (2011)'!$C127+1,CPI!$B$50:$I$63,8,FALSE)*'AM (nominal)'!H127</f>
        <v>1080.2857142857142</v>
      </c>
      <c r="I127" s="31">
        <f>VLOOKUP('AM (2011)'!$C127+1,CPI!$B$50:$I$63,8,FALSE)*'AM (nominal)'!I127</f>
        <v>0</v>
      </c>
      <c r="J127" s="27">
        <f>VLOOKUP('AM (2011)'!$C127+1,CPI!$B$50:$I$63,8,FALSE)*'AM (nominal)'!J127</f>
        <v>5456.1760827407888</v>
      </c>
      <c r="K127" s="31">
        <f>VLOOKUP('AM (2011)'!$C127+1,CPI!$B$50:$I$63,8,FALSE)*'AM (nominal)'!K127</f>
        <v>1724.5466063348415</v>
      </c>
      <c r="L127" s="31">
        <f>VLOOKUP('AM (2011)'!$C127+1,CPI!$B$50:$I$63,8,FALSE)*'AM (nominal)'!L127</f>
        <v>1202.4899806076276</v>
      </c>
      <c r="M127" s="31">
        <f>VLOOKUP('AM (2011)'!$C127+1,CPI!$B$50:$I$63,8,FALSE)*'AM (nominal)'!M127</f>
        <v>1480.1380736910148</v>
      </c>
      <c r="N127" s="639">
        <f>VLOOKUP('AM (2011)'!$C127+1,CPI!$B$50:$I$63,8,FALSE)*'AM (nominal)'!N127</f>
        <v>4407.1746606334837</v>
      </c>
    </row>
    <row r="128" spans="1:14" s="278" customFormat="1">
      <c r="A128" s="271">
        <f>References!X264</f>
        <v>160</v>
      </c>
      <c r="B128" s="305" t="s">
        <v>35</v>
      </c>
      <c r="C128" s="284">
        <v>2011</v>
      </c>
      <c r="D128" s="284">
        <v>2015</v>
      </c>
      <c r="E128" s="31">
        <f>VLOOKUP('AM (2011)'!$C128+1,CPI!$B$50:$I$63,8,FALSE)*'AM (nominal)'!E128</f>
        <v>304.04421460892047</v>
      </c>
      <c r="F128" s="31">
        <f>VLOOKUP('AM (2011)'!$C128+1,CPI!$B$50:$I$63,8,FALSE)*'AM (nominal)'!F128</f>
        <v>488.81706528765352</v>
      </c>
      <c r="G128" s="31">
        <f>VLOOKUP('AM (2011)'!$C128+1,CPI!$B$50:$I$63,8,FALSE)*'AM (nominal)'!G128</f>
        <v>2405.9575953458307</v>
      </c>
      <c r="H128" s="31">
        <f>VLOOKUP('AM (2011)'!$C128+1,CPI!$B$50:$I$63,8,FALSE)*'AM (nominal)'!H128</f>
        <v>200.41499676793794</v>
      </c>
      <c r="I128" s="31">
        <f>VLOOKUP('AM (2011)'!$C128+1,CPI!$B$50:$I$63,8,FALSE)*'AM (nominal)'!I128</f>
        <v>0</v>
      </c>
      <c r="J128" s="27">
        <f>VLOOKUP('AM (2011)'!$C128+1,CPI!$B$50:$I$63,8,FALSE)*'AM (nominal)'!J128</f>
        <v>3399.2338720103426</v>
      </c>
      <c r="K128" s="31">
        <f>VLOOKUP('AM (2011)'!$C128+1,CPI!$B$50:$I$63,8,FALSE)*'AM (nominal)'!K128</f>
        <v>1724.5466063348415</v>
      </c>
      <c r="L128" s="31">
        <f>VLOOKUP('AM (2011)'!$C128+1,CPI!$B$50:$I$63,8,FALSE)*'AM (nominal)'!L128</f>
        <v>1202.4899806076276</v>
      </c>
      <c r="M128" s="31">
        <f>VLOOKUP('AM (2011)'!$C128+1,CPI!$B$50:$I$63,8,FALSE)*'AM (nominal)'!M128</f>
        <v>1480.1380736910148</v>
      </c>
      <c r="N128" s="639">
        <f>VLOOKUP('AM (2011)'!$C128+1,CPI!$B$50:$I$63,8,FALSE)*'AM (nominal)'!N128</f>
        <v>4407.1746606334837</v>
      </c>
    </row>
    <row r="129" spans="1:14" s="278" customFormat="1">
      <c r="A129" s="271">
        <f>References!Y264</f>
        <v>161</v>
      </c>
      <c r="B129" s="305" t="s">
        <v>35</v>
      </c>
      <c r="C129" s="284">
        <v>2011</v>
      </c>
      <c r="D129" s="284">
        <v>2016</v>
      </c>
      <c r="E129" s="31">
        <f>VLOOKUP('AM (2011)'!$C129+1,CPI!$B$50:$I$63,8,FALSE)*'AM (nominal)'!E129</f>
        <v>304.04421460892047</v>
      </c>
      <c r="F129" s="31">
        <f>VLOOKUP('AM (2011)'!$C129+1,CPI!$B$50:$I$63,8,FALSE)*'AM (nominal)'!F129</f>
        <v>635.46218487394958</v>
      </c>
      <c r="G129" s="31">
        <f>VLOOKUP('AM (2011)'!$C129+1,CPI!$B$50:$I$63,8,FALSE)*'AM (nominal)'!G129</f>
        <v>3278.0072398190046</v>
      </c>
      <c r="H129" s="31">
        <f>VLOOKUP('AM (2011)'!$C129+1,CPI!$B$50:$I$63,8,FALSE)*'AM (nominal)'!H129</f>
        <v>568.00542986425341</v>
      </c>
      <c r="I129" s="31">
        <f>VLOOKUP('AM (2011)'!$C129+1,CPI!$B$50:$I$63,8,FALSE)*'AM (nominal)'!I129</f>
        <v>0</v>
      </c>
      <c r="J129" s="27">
        <f>VLOOKUP('AM (2011)'!$C129+1,CPI!$B$50:$I$63,8,FALSE)*'AM (nominal)'!J129</f>
        <v>4785.5190691661282</v>
      </c>
      <c r="K129" s="31">
        <f>VLOOKUP('AM (2011)'!$C129+1,CPI!$B$50:$I$63,8,FALSE)*'AM (nominal)'!K129</f>
        <v>1724.5466063348415</v>
      </c>
      <c r="L129" s="31">
        <f>VLOOKUP('AM (2011)'!$C129+1,CPI!$B$50:$I$63,8,FALSE)*'AM (nominal)'!L129</f>
        <v>1202.4899806076276</v>
      </c>
      <c r="M129" s="31">
        <f>VLOOKUP('AM (2011)'!$C129+1,CPI!$B$50:$I$63,8,FALSE)*'AM (nominal)'!M129</f>
        <v>1480.1380736910148</v>
      </c>
      <c r="N129" s="639">
        <f>VLOOKUP('AM (2011)'!$C129+1,CPI!$B$50:$I$63,8,FALSE)*'AM (nominal)'!N129</f>
        <v>4407.1746606334837</v>
      </c>
    </row>
    <row r="130" spans="1:14" s="278" customFormat="1">
      <c r="A130" s="271">
        <f>References!K267</f>
        <v>216</v>
      </c>
      <c r="B130" s="305" t="s">
        <v>38</v>
      </c>
      <c r="C130" s="284">
        <v>2009</v>
      </c>
      <c r="D130" s="284">
        <v>2010</v>
      </c>
      <c r="E130" s="31">
        <f>VLOOKUP('AM (2011)'!$C130+1,CPI!$B$50:$I$63,8,FALSE)*'AM (nominal)'!E130</f>
        <v>136.60825383615506</v>
      </c>
      <c r="F130" s="31">
        <f>VLOOKUP('AM (2011)'!$C130+1,CPI!$B$50:$I$63,8,FALSE)*'AM (nominal)'!F130</f>
        <v>1509.3915849582258</v>
      </c>
      <c r="G130" s="31">
        <f>VLOOKUP('AM (2011)'!$C130+1,CPI!$B$50:$I$63,8,FALSE)*'AM (nominal)'!G130</f>
        <v>1403.621665372973</v>
      </c>
      <c r="H130" s="31">
        <f>VLOOKUP('AM (2011)'!$C130+1,CPI!$B$50:$I$63,8,FALSE)*'AM (nominal)'!H130</f>
        <v>2254.6939208734589</v>
      </c>
      <c r="I130" s="31">
        <f>VLOOKUP('AM (2011)'!$C130+1,CPI!$B$50:$I$63,8,FALSE)*'AM (nominal)'!I130</f>
        <v>39.432619153002584</v>
      </c>
      <c r="J130" s="27">
        <f>VLOOKUP('AM (2011)'!$C130+1,CPI!$B$50:$I$63,8,FALSE)*'AM (nominal)'!J130</f>
        <v>5343.7480441938151</v>
      </c>
      <c r="K130" s="31">
        <f>VLOOKUP('AM (2011)'!$C130+1,CPI!$B$50:$I$63,8,FALSE)*'AM (nominal)'!K130</f>
        <v>771.31224340848541</v>
      </c>
      <c r="L130" s="31">
        <f>VLOOKUP('AM (2011)'!$C130+1,CPI!$B$50:$I$63,8,FALSE)*'AM (nominal)'!L130</f>
        <v>874.58184665524982</v>
      </c>
      <c r="M130" s="31">
        <f>VLOOKUP('AM (2011)'!$C130+1,CPI!$B$50:$I$63,8,FALSE)*'AM (nominal)'!M130</f>
        <v>563.31657497680669</v>
      </c>
      <c r="N130" s="639">
        <f>VLOOKUP('AM (2011)'!$C130+1,CPI!$B$50:$I$63,8,FALSE)*'AM (nominal)'!N130</f>
        <v>2209.2106650405422</v>
      </c>
    </row>
    <row r="131" spans="1:14" s="278" customFormat="1">
      <c r="A131" s="271">
        <f>References!L267</f>
        <v>217</v>
      </c>
      <c r="B131" s="305" t="s">
        <v>38</v>
      </c>
      <c r="C131" s="284">
        <v>2009</v>
      </c>
      <c r="D131" s="284">
        <v>2011</v>
      </c>
      <c r="E131" s="31">
        <f>VLOOKUP('AM (2011)'!$C131+1,CPI!$B$50:$I$63,8,FALSE)*'AM (nominal)'!E131</f>
        <v>136.60825383615506</v>
      </c>
      <c r="F131" s="31">
        <f>VLOOKUP('AM (2011)'!$C131+1,CPI!$B$50:$I$63,8,FALSE)*'AM (nominal)'!F131</f>
        <v>943.93794587547404</v>
      </c>
      <c r="G131" s="31">
        <f>VLOOKUP('AM (2011)'!$C131+1,CPI!$B$50:$I$63,8,FALSE)*'AM (nominal)'!G131</f>
        <v>1777.5342519376034</v>
      </c>
      <c r="H131" s="31">
        <f>VLOOKUP('AM (2011)'!$C131+1,CPI!$B$50:$I$63,8,FALSE)*'AM (nominal)'!H131</f>
        <v>1943.9491282243791</v>
      </c>
      <c r="I131" s="31">
        <f>VLOOKUP('AM (2011)'!$C131+1,CPI!$B$50:$I$63,8,FALSE)*'AM (nominal)'!I131</f>
        <v>39.432619153002584</v>
      </c>
      <c r="J131" s="27">
        <f>VLOOKUP('AM (2011)'!$C131+1,CPI!$B$50:$I$63,8,FALSE)*'AM (nominal)'!J131</f>
        <v>4841.4621990266141</v>
      </c>
      <c r="K131" s="31">
        <f>VLOOKUP('AM (2011)'!$C131+1,CPI!$B$50:$I$63,8,FALSE)*'AM (nominal)'!K131</f>
        <v>777.89167408607682</v>
      </c>
      <c r="L131" s="31">
        <f>VLOOKUP('AM (2011)'!$C131+1,CPI!$B$50:$I$63,8,FALSE)*'AM (nominal)'!L131</f>
        <v>885.20271529262573</v>
      </c>
      <c r="M131" s="31">
        <f>VLOOKUP('AM (2011)'!$C131+1,CPI!$B$50:$I$63,8,FALSE)*'AM (nominal)'!M131</f>
        <v>568.39775349229524</v>
      </c>
      <c r="N131" s="639">
        <f>VLOOKUP('AM (2011)'!$C131+1,CPI!$B$50:$I$63,8,FALSE)*'AM (nominal)'!N131</f>
        <v>2231.4921428709977</v>
      </c>
    </row>
    <row r="132" spans="1:14" s="278" customFormat="1">
      <c r="A132" s="271">
        <f>References!M267</f>
        <v>218</v>
      </c>
      <c r="B132" s="305" t="s">
        <v>38</v>
      </c>
      <c r="C132" s="284">
        <v>2009</v>
      </c>
      <c r="D132" s="284">
        <v>2012</v>
      </c>
      <c r="E132" s="31">
        <f>VLOOKUP('AM (2011)'!$C132+1,CPI!$B$50:$I$63,8,FALSE)*'AM (nominal)'!E132</f>
        <v>136.60825383615506</v>
      </c>
      <c r="F132" s="31">
        <f>VLOOKUP('AM (2011)'!$C132+1,CPI!$B$50:$I$63,8,FALSE)*'AM (nominal)'!F132</f>
        <v>1432.9789310281242</v>
      </c>
      <c r="G132" s="31">
        <f>VLOOKUP('AM (2011)'!$C132+1,CPI!$B$50:$I$63,8,FALSE)*'AM (nominal)'!G132</f>
        <v>1420.9418669304625</v>
      </c>
      <c r="H132" s="31">
        <f>VLOOKUP('AM (2011)'!$C132+1,CPI!$B$50:$I$63,8,FALSE)*'AM (nominal)'!H132</f>
        <v>1475.2848507864228</v>
      </c>
      <c r="I132" s="31">
        <f>VLOOKUP('AM (2011)'!$C132+1,CPI!$B$50:$I$63,8,FALSE)*'AM (nominal)'!I132</f>
        <v>39.432619153002584</v>
      </c>
      <c r="J132" s="27">
        <f>VLOOKUP('AM (2011)'!$C132+1,CPI!$B$50:$I$63,8,FALSE)*'AM (nominal)'!J132</f>
        <v>4505.2465217341669</v>
      </c>
      <c r="K132" s="31">
        <f>VLOOKUP('AM (2011)'!$C132+1,CPI!$B$50:$I$63,8,FALSE)*'AM (nominal)'!K132</f>
        <v>784.37343920359149</v>
      </c>
      <c r="L132" s="31">
        <f>VLOOKUP('AM (2011)'!$C132+1,CPI!$B$50:$I$63,8,FALSE)*'AM (nominal)'!L132</f>
        <v>895.74024319544867</v>
      </c>
      <c r="M132" s="31">
        <f>VLOOKUP('AM (2011)'!$C132+1,CPI!$B$50:$I$63,8,FALSE)*'AM (nominal)'!M132</f>
        <v>573.27573547845293</v>
      </c>
      <c r="N132" s="639">
        <f>VLOOKUP('AM (2011)'!$C132+1,CPI!$B$50:$I$63,8,FALSE)*'AM (nominal)'!N132</f>
        <v>2253.3894178774931</v>
      </c>
    </row>
    <row r="133" spans="1:14" s="278" customFormat="1">
      <c r="A133" s="271">
        <f>References!N267</f>
        <v>219</v>
      </c>
      <c r="B133" s="305" t="s">
        <v>38</v>
      </c>
      <c r="C133" s="284">
        <v>2009</v>
      </c>
      <c r="D133" s="284">
        <v>2013</v>
      </c>
      <c r="E133" s="31">
        <f>VLOOKUP('AM (2011)'!$C133+1,CPI!$B$50:$I$63,8,FALSE)*'AM (nominal)'!E133</f>
        <v>136.60825383615506</v>
      </c>
      <c r="F133" s="31">
        <f>VLOOKUP('AM (2011)'!$C133+1,CPI!$B$50:$I$63,8,FALSE)*'AM (nominal)'!F133</f>
        <v>821.67769958731162</v>
      </c>
      <c r="G133" s="31">
        <f>VLOOKUP('AM (2011)'!$C133+1,CPI!$B$50:$I$63,8,FALSE)*'AM (nominal)'!G133</f>
        <v>1564.5976563190536</v>
      </c>
      <c r="H133" s="31">
        <f>VLOOKUP('AM (2011)'!$C133+1,CPI!$B$50:$I$63,8,FALSE)*'AM (nominal)'!H133</f>
        <v>1037.185634920507</v>
      </c>
      <c r="I133" s="31">
        <f>VLOOKUP('AM (2011)'!$C133+1,CPI!$B$50:$I$63,8,FALSE)*'AM (nominal)'!I133</f>
        <v>39.432619153002584</v>
      </c>
      <c r="J133" s="27">
        <f>VLOOKUP('AM (2011)'!$C133+1,CPI!$B$50:$I$63,8,FALSE)*'AM (nominal)'!J133</f>
        <v>3599.5018638160295</v>
      </c>
      <c r="K133" s="31">
        <f>VLOOKUP('AM (2011)'!$C133+1,CPI!$B$50:$I$63,8,FALSE)*'AM (nominal)'!K133</f>
        <v>790.77773207837492</v>
      </c>
      <c r="L133" s="31">
        <f>VLOOKUP('AM (2011)'!$C133+1,CPI!$B$50:$I$63,8,FALSE)*'AM (nominal)'!L133</f>
        <v>905.87716502460046</v>
      </c>
      <c r="M133" s="31">
        <f>VLOOKUP('AM (2011)'!$C133+1,CPI!$B$50:$I$63,8,FALSE)*'AM (nominal)'!M133</f>
        <v>578.00887982617462</v>
      </c>
      <c r="N133" s="639">
        <f>VLOOKUP('AM (2011)'!$C133+1,CPI!$B$50:$I$63,8,FALSE)*'AM (nominal)'!N133</f>
        <v>2274.6637769291501</v>
      </c>
    </row>
    <row r="134" spans="1:14" s="278" customFormat="1">
      <c r="A134" s="271">
        <f>References!O267</f>
        <v>220</v>
      </c>
      <c r="B134" s="305" t="s">
        <v>38</v>
      </c>
      <c r="C134" s="284">
        <v>2009</v>
      </c>
      <c r="D134" s="284">
        <v>2014</v>
      </c>
      <c r="E134" s="31">
        <f>VLOOKUP('AM (2011)'!$C134+1,CPI!$B$50:$I$63,8,FALSE)*'AM (nominal)'!E134</f>
        <v>136.60825383615506</v>
      </c>
      <c r="F134" s="31">
        <f>VLOOKUP('AM (2011)'!$C134+1,CPI!$B$50:$I$63,8,FALSE)*'AM (nominal)'!F134</f>
        <v>312.26000671996775</v>
      </c>
      <c r="G134" s="31">
        <f>VLOOKUP('AM (2011)'!$C134+1,CPI!$B$50:$I$63,8,FALSE)*'AM (nominal)'!G134</f>
        <v>3036.8147887056775</v>
      </c>
      <c r="H134" s="31">
        <f>VLOOKUP('AM (2011)'!$C134+1,CPI!$B$50:$I$63,8,FALSE)*'AM (nominal)'!H134</f>
        <v>741.72337305744759</v>
      </c>
      <c r="I134" s="31">
        <f>VLOOKUP('AM (2011)'!$C134+1,CPI!$B$50:$I$63,8,FALSE)*'AM (nominal)'!I134</f>
        <v>39.432619153002584</v>
      </c>
      <c r="J134" s="27">
        <f>VLOOKUP('AM (2011)'!$C134+1,CPI!$B$50:$I$63,8,FALSE)*'AM (nominal)'!J134</f>
        <v>4266.8390414722498</v>
      </c>
      <c r="K134" s="31">
        <f>VLOOKUP('AM (2011)'!$C134+1,CPI!$B$50:$I$63,8,FALSE)*'AM (nominal)'!K134</f>
        <v>797.2743518158137</v>
      </c>
      <c r="L134" s="31">
        <f>VLOOKUP('AM (2011)'!$C134+1,CPI!$B$50:$I$63,8,FALSE)*'AM (nominal)'!L134</f>
        <v>916.33053712456194</v>
      </c>
      <c r="M134" s="31">
        <f>VLOOKUP('AM (2011)'!$C134+1,CPI!$B$50:$I$63,8,FALSE)*'AM (nominal)'!M134</f>
        <v>582.91265872429915</v>
      </c>
      <c r="N134" s="639">
        <f>VLOOKUP('AM (2011)'!$C134+1,CPI!$B$50:$I$63,8,FALSE)*'AM (nominal)'!N134</f>
        <v>2296.517547664675</v>
      </c>
    </row>
    <row r="135" spans="1:14" s="278" customFormat="1">
      <c r="A135" s="271">
        <f>References!P267</f>
        <v>221</v>
      </c>
      <c r="B135" s="305" t="s">
        <v>38</v>
      </c>
      <c r="C135" s="284">
        <v>2010</v>
      </c>
      <c r="D135" s="284">
        <v>2011</v>
      </c>
      <c r="E135" s="31">
        <f>VLOOKUP('AM (2011)'!$C135+1,CPI!$B$50:$I$63,8,FALSE)*'AM (nominal)'!E135</f>
        <v>545</v>
      </c>
      <c r="F135" s="31">
        <f>VLOOKUP('AM (2011)'!$C135+1,CPI!$B$50:$I$63,8,FALSE)*'AM (nominal)'!F135</f>
        <v>216.75</v>
      </c>
      <c r="G135" s="31">
        <f>VLOOKUP('AM (2011)'!$C135+1,CPI!$B$50:$I$63,8,FALSE)*'AM (nominal)'!G135</f>
        <v>1758</v>
      </c>
      <c r="H135" s="31">
        <f>VLOOKUP('AM (2011)'!$C135+1,CPI!$B$50:$I$63,8,FALSE)*'AM (nominal)'!H135</f>
        <v>3674.6278198400046</v>
      </c>
      <c r="I135" s="31">
        <f>VLOOKUP('AM (2011)'!$C135+1,CPI!$B$50:$I$63,8,FALSE)*'AM (nominal)'!I135</f>
        <v>19.75</v>
      </c>
      <c r="J135" s="27">
        <f>VLOOKUP('AM (2011)'!$C135+1,CPI!$B$50:$I$63,8,FALSE)*'AM (nominal)'!J135</f>
        <v>6214.127819840005</v>
      </c>
      <c r="K135" s="31">
        <f>VLOOKUP('AM (2011)'!$C135+1,CPI!$B$50:$I$63,8,FALSE)*'AM (nominal)'!K135</f>
        <v>1055.05</v>
      </c>
      <c r="L135" s="31">
        <f>VLOOKUP('AM (2011)'!$C135+1,CPI!$B$50:$I$63,8,FALSE)*'AM (nominal)'!L135</f>
        <v>252.75</v>
      </c>
      <c r="M135" s="31">
        <f>VLOOKUP('AM (2011)'!$C135+1,CPI!$B$50:$I$63,8,FALSE)*'AM (nominal)'!M135</f>
        <v>694.2</v>
      </c>
      <c r="N135" s="639">
        <f>VLOOKUP('AM (2011)'!$C135+1,CPI!$B$50:$I$63,8,FALSE)*'AM (nominal)'!N135</f>
        <v>2002</v>
      </c>
    </row>
    <row r="136" spans="1:14" s="278" customFormat="1">
      <c r="A136" s="271">
        <f>References!Q267</f>
        <v>222</v>
      </c>
      <c r="B136" s="305" t="s">
        <v>38</v>
      </c>
      <c r="C136" s="284">
        <v>2010</v>
      </c>
      <c r="D136" s="284">
        <v>2012</v>
      </c>
      <c r="E136" s="31">
        <f>VLOOKUP('AM (2011)'!$C136+1,CPI!$B$50:$I$63,8,FALSE)*'AM (nominal)'!E136</f>
        <v>545</v>
      </c>
      <c r="F136" s="31">
        <f>VLOOKUP('AM (2011)'!$C136+1,CPI!$B$50:$I$63,8,FALSE)*'AM (nominal)'!F136</f>
        <v>491.75</v>
      </c>
      <c r="G136" s="31">
        <f>VLOOKUP('AM (2011)'!$C136+1,CPI!$B$50:$I$63,8,FALSE)*'AM (nominal)'!G136</f>
        <v>2258.11</v>
      </c>
      <c r="H136" s="31">
        <f>VLOOKUP('AM (2011)'!$C136+1,CPI!$B$50:$I$63,8,FALSE)*'AM (nominal)'!H136</f>
        <v>3015.4264862</v>
      </c>
      <c r="I136" s="31">
        <f>VLOOKUP('AM (2011)'!$C136+1,CPI!$B$50:$I$63,8,FALSE)*'AM (nominal)'!I136</f>
        <v>20</v>
      </c>
      <c r="J136" s="27">
        <f>VLOOKUP('AM (2011)'!$C136+1,CPI!$B$50:$I$63,8,FALSE)*'AM (nominal)'!J136</f>
        <v>6330.2864862000006</v>
      </c>
      <c r="K136" s="31">
        <f>VLOOKUP('AM (2011)'!$C136+1,CPI!$B$50:$I$63,8,FALSE)*'AM (nominal)'!K136</f>
        <v>1076.1510000000001</v>
      </c>
      <c r="L136" s="31">
        <f>VLOOKUP('AM (2011)'!$C136+1,CPI!$B$50:$I$63,8,FALSE)*'AM (nominal)'!L136</f>
        <v>178.88749999999999</v>
      </c>
      <c r="M136" s="31">
        <f>VLOOKUP('AM (2011)'!$C136+1,CPI!$B$50:$I$63,8,FALSE)*'AM (nominal)'!M136</f>
        <v>680.31600000000003</v>
      </c>
      <c r="N136" s="639">
        <f>VLOOKUP('AM (2011)'!$C136+1,CPI!$B$50:$I$63,8,FALSE)*'AM (nominal)'!N136</f>
        <v>1935.3545000000001</v>
      </c>
    </row>
    <row r="137" spans="1:14" s="278" customFormat="1">
      <c r="A137" s="271">
        <f>References!R267</f>
        <v>223</v>
      </c>
      <c r="B137" s="305" t="s">
        <v>38</v>
      </c>
      <c r="C137" s="284">
        <v>2010</v>
      </c>
      <c r="D137" s="284">
        <v>2013</v>
      </c>
      <c r="E137" s="31">
        <f>VLOOKUP('AM (2011)'!$C137+1,CPI!$B$50:$I$63,8,FALSE)*'AM (nominal)'!E137</f>
        <v>545</v>
      </c>
      <c r="F137" s="31">
        <f>VLOOKUP('AM (2011)'!$C137+1,CPI!$B$50:$I$63,8,FALSE)*'AM (nominal)'!F137</f>
        <v>829.75</v>
      </c>
      <c r="G137" s="31">
        <f>VLOOKUP('AM (2011)'!$C137+1,CPI!$B$50:$I$63,8,FALSE)*'AM (nominal)'!G137</f>
        <v>1687.8833</v>
      </c>
      <c r="H137" s="31">
        <f>VLOOKUP('AM (2011)'!$C137+1,CPI!$B$50:$I$63,8,FALSE)*'AM (nominal)'!H137</f>
        <v>2759.0124833200007</v>
      </c>
      <c r="I137" s="31">
        <f>VLOOKUP('AM (2011)'!$C137+1,CPI!$B$50:$I$63,8,FALSE)*'AM (nominal)'!I137</f>
        <v>20</v>
      </c>
      <c r="J137" s="27">
        <f>VLOOKUP('AM (2011)'!$C137+1,CPI!$B$50:$I$63,8,FALSE)*'AM (nominal)'!J137</f>
        <v>5841.6457833200002</v>
      </c>
      <c r="K137" s="31">
        <f>VLOOKUP('AM (2011)'!$C137+1,CPI!$B$50:$I$63,8,FALSE)*'AM (nominal)'!K137</f>
        <v>1097.6740199999999</v>
      </c>
      <c r="L137" s="31">
        <f>VLOOKUP('AM (2011)'!$C137+1,CPI!$B$50:$I$63,8,FALSE)*'AM (nominal)'!L137</f>
        <v>435.33187500000003</v>
      </c>
      <c r="M137" s="31">
        <f>VLOOKUP('AM (2011)'!$C137+1,CPI!$B$50:$I$63,8,FALSE)*'AM (nominal)'!M137</f>
        <v>666.70967999999993</v>
      </c>
      <c r="N137" s="639">
        <f>VLOOKUP('AM (2011)'!$C137+1,CPI!$B$50:$I$63,8,FALSE)*'AM (nominal)'!N137</f>
        <v>2199.7155750000002</v>
      </c>
    </row>
    <row r="138" spans="1:14" s="278" customFormat="1">
      <c r="A138" s="271">
        <f>References!S267</f>
        <v>224</v>
      </c>
      <c r="B138" s="305" t="s">
        <v>38</v>
      </c>
      <c r="C138" s="284">
        <v>2010</v>
      </c>
      <c r="D138" s="284">
        <v>2014</v>
      </c>
      <c r="E138" s="31">
        <f>VLOOKUP('AM (2011)'!$C138+1,CPI!$B$50:$I$63,8,FALSE)*'AM (nominal)'!E138</f>
        <v>545</v>
      </c>
      <c r="F138" s="31">
        <f>VLOOKUP('AM (2011)'!$C138+1,CPI!$B$50:$I$63,8,FALSE)*'AM (nominal)'!F138</f>
        <v>1224.75</v>
      </c>
      <c r="G138" s="31">
        <f>VLOOKUP('AM (2011)'!$C138+1,CPI!$B$50:$I$63,8,FALSE)*'AM (nominal)'!G138</f>
        <v>1586.8397990000001</v>
      </c>
      <c r="H138" s="31">
        <f>VLOOKUP('AM (2011)'!$C138+1,CPI!$B$50:$I$63,8,FALSE)*'AM (nominal)'!H138</f>
        <v>1154.3817848000001</v>
      </c>
      <c r="I138" s="31">
        <f>VLOOKUP('AM (2011)'!$C138+1,CPI!$B$50:$I$63,8,FALSE)*'AM (nominal)'!I138</f>
        <v>20</v>
      </c>
      <c r="J138" s="27">
        <f>VLOOKUP('AM (2011)'!$C138+1,CPI!$B$50:$I$63,8,FALSE)*'AM (nominal)'!J138</f>
        <v>4530.9715838000002</v>
      </c>
      <c r="K138" s="31">
        <f>VLOOKUP('AM (2011)'!$C138+1,CPI!$B$50:$I$63,8,FALSE)*'AM (nominal)'!K138</f>
        <v>1119.6275003999999</v>
      </c>
      <c r="L138" s="31">
        <f>VLOOKUP('AM (2011)'!$C138+1,CPI!$B$50:$I$63,8,FALSE)*'AM (nominal)'!L138</f>
        <v>449.59846874999999</v>
      </c>
      <c r="M138" s="31">
        <f>VLOOKUP('AM (2011)'!$C138+1,CPI!$B$50:$I$63,8,FALSE)*'AM (nominal)'!M138</f>
        <v>653.37548639999989</v>
      </c>
      <c r="N138" s="639">
        <f>VLOOKUP('AM (2011)'!$C138+1,CPI!$B$50:$I$63,8,FALSE)*'AM (nominal)'!N138</f>
        <v>2222.6014555499996</v>
      </c>
    </row>
    <row r="139" spans="1:14" s="278" customFormat="1">
      <c r="A139" s="271">
        <f>References!T267</f>
        <v>225</v>
      </c>
      <c r="B139" s="305" t="s">
        <v>38</v>
      </c>
      <c r="C139" s="284">
        <v>2010</v>
      </c>
      <c r="D139" s="284">
        <v>2015</v>
      </c>
      <c r="E139" s="31">
        <f>VLOOKUP('AM (2011)'!$C139+1,CPI!$B$50:$I$63,8,FALSE)*'AM (nominal)'!E139</f>
        <v>545</v>
      </c>
      <c r="F139" s="31">
        <f>VLOOKUP('AM (2011)'!$C139+1,CPI!$B$50:$I$63,8,FALSE)*'AM (nominal)'!F139</f>
        <v>1139.75</v>
      </c>
      <c r="G139" s="31">
        <f>VLOOKUP('AM (2011)'!$C139+1,CPI!$B$50:$I$63,8,FALSE)*'AM (nominal)'!G139</f>
        <v>1673.7249929700001</v>
      </c>
      <c r="H139" s="31">
        <f>VLOOKUP('AM (2011)'!$C139+1,CPI!$B$50:$I$63,8,FALSE)*'AM (nominal)'!H139</f>
        <v>1021.69303012</v>
      </c>
      <c r="I139" s="31">
        <f>VLOOKUP('AM (2011)'!$C139+1,CPI!$B$50:$I$63,8,FALSE)*'AM (nominal)'!I139</f>
        <v>320</v>
      </c>
      <c r="J139" s="27">
        <f>VLOOKUP('AM (2011)'!$C139+1,CPI!$B$50:$I$63,8,FALSE)*'AM (nominal)'!J139</f>
        <v>4700.1680230900001</v>
      </c>
      <c r="K139" s="31">
        <f>VLOOKUP('AM (2011)'!$C139+1,CPI!$B$50:$I$63,8,FALSE)*'AM (nominal)'!K139</f>
        <v>1142.0200504080001</v>
      </c>
      <c r="L139" s="31">
        <f>VLOOKUP('AM (2011)'!$C139+1,CPI!$B$50:$I$63,8,FALSE)*'AM (nominal)'!L139</f>
        <v>464.42839218750004</v>
      </c>
      <c r="M139" s="31">
        <f>VLOOKUP('AM (2011)'!$C139+1,CPI!$B$50:$I$63,8,FALSE)*'AM (nominal)'!M139</f>
        <v>640.30797667199988</v>
      </c>
      <c r="N139" s="639">
        <f>VLOOKUP('AM (2011)'!$C139+1,CPI!$B$50:$I$63,8,FALSE)*'AM (nominal)'!N139</f>
        <v>2246.7564192675</v>
      </c>
    </row>
    <row r="140" spans="1:14" s="278" customFormat="1">
      <c r="A140" s="271">
        <f>References!U267</f>
        <v>226</v>
      </c>
      <c r="B140" s="305" t="s">
        <v>38</v>
      </c>
      <c r="C140" s="284">
        <v>2011</v>
      </c>
      <c r="D140" s="284">
        <v>2012</v>
      </c>
      <c r="E140" s="31">
        <f>VLOOKUP('AM (2011)'!$C140+1,CPI!$B$50:$I$63,8,FALSE)*'AM (nominal)'!E140</f>
        <v>164.24253393665157</v>
      </c>
      <c r="F140" s="31">
        <f>VLOOKUP('AM (2011)'!$C140+1,CPI!$B$50:$I$63,8,FALSE)*'AM (nominal)'!F140</f>
        <v>698.03076923076924</v>
      </c>
      <c r="G140" s="31">
        <f>VLOOKUP('AM (2011)'!$C140+1,CPI!$B$50:$I$63,8,FALSE)*'AM (nominal)'!G140</f>
        <v>1867.2811893988364</v>
      </c>
      <c r="H140" s="31">
        <f>VLOOKUP('AM (2011)'!$C140+1,CPI!$B$50:$I$63,8,FALSE)*'AM (nominal)'!H140</f>
        <v>3986.7919844861021</v>
      </c>
      <c r="I140" s="31">
        <f>VLOOKUP('AM (2011)'!$C140+1,CPI!$B$50:$I$63,8,FALSE)*'AM (nominal)'!I140</f>
        <v>0</v>
      </c>
      <c r="J140" s="27">
        <f>VLOOKUP('AM (2011)'!$C140+1,CPI!$B$50:$I$63,8,FALSE)*'AM (nominal)'!J140</f>
        <v>6716.3464770523588</v>
      </c>
      <c r="K140" s="31">
        <f>VLOOKUP('AM (2011)'!$C140+1,CPI!$B$50:$I$63,8,FALSE)*'AM (nominal)'!K140</f>
        <v>1345.2245636716225</v>
      </c>
      <c r="L140" s="31">
        <f>VLOOKUP('AM (2011)'!$C140+1,CPI!$B$50:$I$63,8,FALSE)*'AM (nominal)'!L140</f>
        <v>504.45921137685843</v>
      </c>
      <c r="M140" s="31">
        <f>VLOOKUP('AM (2011)'!$C140+1,CPI!$B$50:$I$63,8,FALSE)*'AM (nominal)'!M140</f>
        <v>594.40155138978662</v>
      </c>
      <c r="N140" s="639">
        <f>VLOOKUP('AM (2011)'!$C140+1,CPI!$B$50:$I$63,8,FALSE)*'AM (nominal)'!N140</f>
        <v>2444.0853264382677</v>
      </c>
    </row>
    <row r="141" spans="1:14" s="278" customFormat="1">
      <c r="A141" s="271">
        <f>References!V267</f>
        <v>227</v>
      </c>
      <c r="B141" s="305" t="s">
        <v>38</v>
      </c>
      <c r="C141" s="284">
        <v>2011</v>
      </c>
      <c r="D141" s="284">
        <v>2013</v>
      </c>
      <c r="E141" s="31">
        <f>VLOOKUP('AM (2011)'!$C141+1,CPI!$B$50:$I$63,8,FALSE)*'AM (nominal)'!E141</f>
        <v>195.5268261150614</v>
      </c>
      <c r="F141" s="31">
        <f>VLOOKUP('AM (2011)'!$C141+1,CPI!$B$50:$I$63,8,FALSE)*'AM (nominal)'!F141</f>
        <v>515.21318681318678</v>
      </c>
      <c r="G141" s="31">
        <f>VLOOKUP('AM (2011)'!$C141+1,CPI!$B$50:$I$63,8,FALSE)*'AM (nominal)'!G141</f>
        <v>2078.4501616031025</v>
      </c>
      <c r="H141" s="31">
        <f>VLOOKUP('AM (2011)'!$C141+1,CPI!$B$50:$I$63,8,FALSE)*'AM (nominal)'!H141</f>
        <v>3746.2939883645763</v>
      </c>
      <c r="I141" s="31">
        <f>VLOOKUP('AM (2011)'!$C141+1,CPI!$B$50:$I$63,8,FALSE)*'AM (nominal)'!I141</f>
        <v>0</v>
      </c>
      <c r="J141" s="27">
        <f>VLOOKUP('AM (2011)'!$C141+1,CPI!$B$50:$I$63,8,FALSE)*'AM (nominal)'!J141</f>
        <v>6535.4841628959275</v>
      </c>
      <c r="K141" s="31">
        <f>VLOOKUP('AM (2011)'!$C141+1,CPI!$B$50:$I$63,8,FALSE)*'AM (nominal)'!K141</f>
        <v>1254.3045895281189</v>
      </c>
      <c r="L141" s="31">
        <f>VLOOKUP('AM (2011)'!$C141+1,CPI!$B$50:$I$63,8,FALSE)*'AM (nominal)'!L141</f>
        <v>645.2385261797026</v>
      </c>
      <c r="M141" s="31">
        <f>VLOOKUP('AM (2011)'!$C141+1,CPI!$B$50:$I$63,8,FALSE)*'AM (nominal)'!M141</f>
        <v>588.53574660633478</v>
      </c>
      <c r="N141" s="639">
        <f>VLOOKUP('AM (2011)'!$C141+1,CPI!$B$50:$I$63,8,FALSE)*'AM (nominal)'!N141</f>
        <v>2488.0788623141561</v>
      </c>
    </row>
    <row r="142" spans="1:14" s="278" customFormat="1">
      <c r="A142" s="271">
        <f>References!W267</f>
        <v>228</v>
      </c>
      <c r="B142" s="305" t="s">
        <v>38</v>
      </c>
      <c r="C142" s="284">
        <v>2011</v>
      </c>
      <c r="D142" s="284">
        <v>2014</v>
      </c>
      <c r="E142" s="31">
        <f>VLOOKUP('AM (2011)'!$C142+1,CPI!$B$50:$I$63,8,FALSE)*'AM (nominal)'!E142</f>
        <v>195.5268261150614</v>
      </c>
      <c r="F142" s="31">
        <f>VLOOKUP('AM (2011)'!$C142+1,CPI!$B$50:$I$63,8,FALSE)*'AM (nominal)'!F142</f>
        <v>1359.8890756302521</v>
      </c>
      <c r="G142" s="31">
        <f>VLOOKUP('AM (2011)'!$C142+1,CPI!$B$50:$I$63,8,FALSE)*'AM (nominal)'!G142</f>
        <v>1967.9775048480931</v>
      </c>
      <c r="H142" s="31">
        <f>VLOOKUP('AM (2011)'!$C142+1,CPI!$B$50:$I$63,8,FALSE)*'AM (nominal)'!H142</f>
        <v>4184.2740788623141</v>
      </c>
      <c r="I142" s="31">
        <f>VLOOKUP('AM (2011)'!$C142+1,CPI!$B$50:$I$63,8,FALSE)*'AM (nominal)'!I142</f>
        <v>0</v>
      </c>
      <c r="J142" s="27">
        <f>VLOOKUP('AM (2011)'!$C142+1,CPI!$B$50:$I$63,8,FALSE)*'AM (nominal)'!J142</f>
        <v>7707.6674854557205</v>
      </c>
      <c r="K142" s="31">
        <f>VLOOKUP('AM (2011)'!$C142+1,CPI!$B$50:$I$63,8,FALSE)*'AM (nominal)'!K142</f>
        <v>1407.7931480284421</v>
      </c>
      <c r="L142" s="31">
        <f>VLOOKUP('AM (2011)'!$C142+1,CPI!$B$50:$I$63,8,FALSE)*'AM (nominal)'!L142</f>
        <v>501.52630898513252</v>
      </c>
      <c r="M142" s="31">
        <f>VLOOKUP('AM (2011)'!$C142+1,CPI!$B$50:$I$63,8,FALSE)*'AM (nominal)'!M142</f>
        <v>582.66994182288295</v>
      </c>
      <c r="N142" s="639">
        <f>VLOOKUP('AM (2011)'!$C142+1,CPI!$B$50:$I$63,8,FALSE)*'AM (nominal)'!N142</f>
        <v>2491.9893988364574</v>
      </c>
    </row>
    <row r="143" spans="1:14" s="278" customFormat="1">
      <c r="A143" s="271">
        <f>References!X267</f>
        <v>229</v>
      </c>
      <c r="B143" s="305" t="s">
        <v>38</v>
      </c>
      <c r="C143" s="284">
        <v>2011</v>
      </c>
      <c r="D143" s="284">
        <v>2015</v>
      </c>
      <c r="E143" s="31">
        <f>VLOOKUP('AM (2011)'!$C143+1,CPI!$B$50:$I$63,8,FALSE)*'AM (nominal)'!E143</f>
        <v>195.5268261150614</v>
      </c>
      <c r="F143" s="31">
        <f>VLOOKUP('AM (2011)'!$C143+1,CPI!$B$50:$I$63,8,FALSE)*'AM (nominal)'!F143</f>
        <v>3375.7706528765352</v>
      </c>
      <c r="G143" s="31">
        <f>VLOOKUP('AM (2011)'!$C143+1,CPI!$B$50:$I$63,8,FALSE)*'AM (nominal)'!G143</f>
        <v>1983.6196509372978</v>
      </c>
      <c r="H143" s="31">
        <f>VLOOKUP('AM (2011)'!$C143+1,CPI!$B$50:$I$63,8,FALSE)*'AM (nominal)'!H143</f>
        <v>2090.1817711700064</v>
      </c>
      <c r="I143" s="31">
        <f>VLOOKUP('AM (2011)'!$C143+1,CPI!$B$50:$I$63,8,FALSE)*'AM (nominal)'!I143</f>
        <v>0</v>
      </c>
      <c r="J143" s="27">
        <f>VLOOKUP('AM (2011)'!$C143+1,CPI!$B$50:$I$63,8,FALSE)*'AM (nominal)'!J143</f>
        <v>7645.0989010989006</v>
      </c>
      <c r="K143" s="31">
        <f>VLOOKUP('AM (2011)'!$C143+1,CPI!$B$50:$I$63,8,FALSE)*'AM (nominal)'!K143</f>
        <v>1434.1892695539755</v>
      </c>
      <c r="L143" s="31">
        <f>VLOOKUP('AM (2011)'!$C143+1,CPI!$B$50:$I$63,8,FALSE)*'AM (nominal)'!L143</f>
        <v>563.11725921137679</v>
      </c>
      <c r="M143" s="31">
        <f>VLOOKUP('AM (2011)'!$C143+1,CPI!$B$50:$I$63,8,FALSE)*'AM (nominal)'!M143</f>
        <v>576.80413703943111</v>
      </c>
      <c r="N143" s="639">
        <f>VLOOKUP('AM (2011)'!$C143+1,CPI!$B$50:$I$63,8,FALSE)*'AM (nominal)'!N143</f>
        <v>2574.1106658047834</v>
      </c>
    </row>
    <row r="144" spans="1:14" s="278" customFormat="1">
      <c r="A144" s="271">
        <f>References!Y267</f>
        <v>230</v>
      </c>
      <c r="B144" s="305" t="s">
        <v>38</v>
      </c>
      <c r="C144" s="284">
        <v>2011</v>
      </c>
      <c r="D144" s="284">
        <v>2016</v>
      </c>
      <c r="E144" s="31">
        <f>VLOOKUP('AM (2011)'!$C144+1,CPI!$B$50:$I$63,8,FALSE)*'AM (nominal)'!E144</f>
        <v>195.5268261150614</v>
      </c>
      <c r="F144" s="31">
        <f>VLOOKUP('AM (2011)'!$C144+1,CPI!$B$50:$I$63,8,FALSE)*'AM (nominal)'!F144</f>
        <v>2566.2895927601808</v>
      </c>
      <c r="G144" s="31">
        <f>VLOOKUP('AM (2011)'!$C144+1,CPI!$B$50:$I$63,8,FALSE)*'AM (nominal)'!G144</f>
        <v>2526.2065934065931</v>
      </c>
      <c r="H144" s="31">
        <f>VLOOKUP('AM (2011)'!$C144+1,CPI!$B$50:$I$63,8,FALSE)*'AM (nominal)'!H144</f>
        <v>2150.7950872656756</v>
      </c>
      <c r="I144" s="31">
        <f>VLOOKUP('AM (2011)'!$C144+1,CPI!$B$50:$I$63,8,FALSE)*'AM (nominal)'!I144</f>
        <v>0</v>
      </c>
      <c r="J144" s="27">
        <f>VLOOKUP('AM (2011)'!$C144+1,CPI!$B$50:$I$63,8,FALSE)*'AM (nominal)'!J144</f>
        <v>7438.8180995475113</v>
      </c>
      <c r="K144" s="31">
        <f>VLOOKUP('AM (2011)'!$C144+1,CPI!$B$50:$I$63,8,FALSE)*'AM (nominal)'!K144</f>
        <v>1460.5853910795088</v>
      </c>
      <c r="L144" s="31">
        <f>VLOOKUP('AM (2011)'!$C144+1,CPI!$B$50:$I$63,8,FALSE)*'AM (nominal)'!L144</f>
        <v>526.94479638009045</v>
      </c>
      <c r="M144" s="31">
        <f>VLOOKUP('AM (2011)'!$C144+1,CPI!$B$50:$I$63,8,FALSE)*'AM (nominal)'!M144</f>
        <v>570.93833225597928</v>
      </c>
      <c r="N144" s="639">
        <f>VLOOKUP('AM (2011)'!$C144+1,CPI!$B$50:$I$63,8,FALSE)*'AM (nominal)'!N144</f>
        <v>2558.4685197155786</v>
      </c>
    </row>
    <row r="145" spans="1:14" s="278" customFormat="1">
      <c r="A145" s="271">
        <f>References!K266</f>
        <v>193</v>
      </c>
      <c r="B145" s="305" t="s">
        <v>37</v>
      </c>
      <c r="C145" s="284">
        <v>2009</v>
      </c>
      <c r="D145" s="284">
        <v>2010</v>
      </c>
      <c r="E145" s="31">
        <f>VLOOKUP('AM (2011)'!$C145+1,CPI!$B$50:$I$63,8,FALSE)*'AM (nominal)'!E145</f>
        <v>356.59238500714071</v>
      </c>
      <c r="F145" s="31">
        <f>VLOOKUP('AM (2011)'!$C145+1,CPI!$B$50:$I$63,8,FALSE)*'AM (nominal)'!F145</f>
        <v>254.70884643367191</v>
      </c>
      <c r="G145" s="31">
        <f>VLOOKUP('AM (2011)'!$C145+1,CPI!$B$50:$I$63,8,FALSE)*'AM (nominal)'!G145</f>
        <v>771.25838700115855</v>
      </c>
      <c r="H145" s="31">
        <f>VLOOKUP('AM (2011)'!$C145+1,CPI!$B$50:$I$63,8,FALSE)*'AM (nominal)'!H145</f>
        <v>1632.1742879469696</v>
      </c>
      <c r="I145" s="31">
        <f>VLOOKUP('AM (2011)'!$C145+1,CPI!$B$50:$I$63,8,FALSE)*'AM (nominal)'!I145</f>
        <v>0</v>
      </c>
      <c r="J145" s="27">
        <f>VLOOKUP('AM (2011)'!$C145+1,CPI!$B$50:$I$63,8,FALSE)*'AM (nominal)'!J145</f>
        <v>3014.7339063889408</v>
      </c>
      <c r="K145" s="31">
        <f>VLOOKUP('AM (2011)'!$C145+1,CPI!$B$50:$I$63,8,FALSE)*'AM (nominal)'!K145</f>
        <v>682.61970844224072</v>
      </c>
      <c r="L145" s="31">
        <f>VLOOKUP('AM (2011)'!$C145+1,CPI!$B$50:$I$63,8,FALSE)*'AM (nominal)'!L145</f>
        <v>554.24644983967005</v>
      </c>
      <c r="M145" s="31">
        <f>VLOOKUP('AM (2011)'!$C145+1,CPI!$B$50:$I$63,8,FALSE)*'AM (nominal)'!M145</f>
        <v>793.67276548732173</v>
      </c>
      <c r="N145" s="639">
        <f>VLOOKUP('AM (2011)'!$C145+1,CPI!$B$50:$I$63,8,FALSE)*'AM (nominal)'!N145</f>
        <v>2030.5389237692325</v>
      </c>
    </row>
    <row r="146" spans="1:14" s="278" customFormat="1">
      <c r="A146" s="271">
        <f>References!L266</f>
        <v>194</v>
      </c>
      <c r="B146" s="305" t="s">
        <v>37</v>
      </c>
      <c r="C146" s="284">
        <v>2009</v>
      </c>
      <c r="D146" s="284">
        <v>2011</v>
      </c>
      <c r="E146" s="31">
        <f>VLOOKUP('AM (2011)'!$C146+1,CPI!$B$50:$I$63,8,FALSE)*'AM (nominal)'!E146</f>
        <v>356.59238500714071</v>
      </c>
      <c r="F146" s="31">
        <f>VLOOKUP('AM (2011)'!$C146+1,CPI!$B$50:$I$63,8,FALSE)*'AM (nominal)'!F146</f>
        <v>254.70884643367191</v>
      </c>
      <c r="G146" s="31">
        <f>VLOOKUP('AM (2011)'!$C146+1,CPI!$B$50:$I$63,8,FALSE)*'AM (nominal)'!G146</f>
        <v>1528.2530786020316</v>
      </c>
      <c r="H146" s="31">
        <f>VLOOKUP('AM (2011)'!$C146+1,CPI!$B$50:$I$63,8,FALSE)*'AM (nominal)'!H146</f>
        <v>1928.6553851957638</v>
      </c>
      <c r="I146" s="31">
        <f>VLOOKUP('AM (2011)'!$C146+1,CPI!$B$50:$I$63,8,FALSE)*'AM (nominal)'!I146</f>
        <v>0</v>
      </c>
      <c r="J146" s="27">
        <f>VLOOKUP('AM (2011)'!$C146+1,CPI!$B$50:$I$63,8,FALSE)*'AM (nominal)'!J146</f>
        <v>4068.2096952386078</v>
      </c>
      <c r="K146" s="31">
        <f>VLOOKUP('AM (2011)'!$C146+1,CPI!$B$50:$I$63,8,FALSE)*'AM (nominal)'!K146</f>
        <v>678.54436689930196</v>
      </c>
      <c r="L146" s="31">
        <f>VLOOKUP('AM (2011)'!$C146+1,CPI!$B$50:$I$63,8,FALSE)*'AM (nominal)'!L146</f>
        <v>583.79267602597599</v>
      </c>
      <c r="M146" s="31">
        <f>VLOOKUP('AM (2011)'!$C146+1,CPI!$B$50:$I$63,8,FALSE)*'AM (nominal)'!M146</f>
        <v>788.57858855864822</v>
      </c>
      <c r="N146" s="639">
        <f>VLOOKUP('AM (2011)'!$C146+1,CPI!$B$50:$I$63,8,FALSE)*'AM (nominal)'!N146</f>
        <v>2050.9156314839265</v>
      </c>
    </row>
    <row r="147" spans="1:14" s="278" customFormat="1">
      <c r="A147" s="271">
        <f>References!M266</f>
        <v>195</v>
      </c>
      <c r="B147" s="305" t="s">
        <v>37</v>
      </c>
      <c r="C147" s="284">
        <v>2009</v>
      </c>
      <c r="D147" s="284">
        <v>2012</v>
      </c>
      <c r="E147" s="31">
        <f>VLOOKUP('AM (2011)'!$C147+1,CPI!$B$50:$I$63,8,FALSE)*'AM (nominal)'!E147</f>
        <v>356.59238500714071</v>
      </c>
      <c r="F147" s="31">
        <f>VLOOKUP('AM (2011)'!$C147+1,CPI!$B$50:$I$63,8,FALSE)*'AM (nominal)'!F147</f>
        <v>1619.9482633181535</v>
      </c>
      <c r="G147" s="31">
        <f>VLOOKUP('AM (2011)'!$C147+1,CPI!$B$50:$I$63,8,FALSE)*'AM (nominal)'!G147</f>
        <v>794.69160087305636</v>
      </c>
      <c r="H147" s="31">
        <f>VLOOKUP('AM (2011)'!$C147+1,CPI!$B$50:$I$63,8,FALSE)*'AM (nominal)'!H147</f>
        <v>266.93487106248818</v>
      </c>
      <c r="I147" s="31">
        <f>VLOOKUP('AM (2011)'!$C147+1,CPI!$B$50:$I$63,8,FALSE)*'AM (nominal)'!I147</f>
        <v>0</v>
      </c>
      <c r="J147" s="27">
        <f>VLOOKUP('AM (2011)'!$C147+1,CPI!$B$50:$I$63,8,FALSE)*'AM (nominal)'!J147</f>
        <v>3038.1671202608386</v>
      </c>
      <c r="K147" s="31">
        <f>VLOOKUP('AM (2011)'!$C147+1,CPI!$B$50:$I$63,8,FALSE)*'AM (nominal)'!K147</f>
        <v>679.56320228503671</v>
      </c>
      <c r="L147" s="31">
        <f>VLOOKUP('AM (2011)'!$C147+1,CPI!$B$50:$I$63,8,FALSE)*'AM (nominal)'!L147</f>
        <v>527.75672981056823</v>
      </c>
      <c r="M147" s="31">
        <f>VLOOKUP('AM (2011)'!$C147+1,CPI!$B$50:$I$63,8,FALSE)*'AM (nominal)'!M147</f>
        <v>799.78577780172986</v>
      </c>
      <c r="N147" s="639">
        <f>VLOOKUP('AM (2011)'!$C147+1,CPI!$B$50:$I$63,8,FALSE)*'AM (nominal)'!N147</f>
        <v>2007.1057098973347</v>
      </c>
    </row>
    <row r="148" spans="1:14" s="278" customFormat="1">
      <c r="A148" s="271">
        <f>References!N266</f>
        <v>196</v>
      </c>
      <c r="B148" s="305" t="s">
        <v>37</v>
      </c>
      <c r="C148" s="284">
        <v>2009</v>
      </c>
      <c r="D148" s="284">
        <v>2013</v>
      </c>
      <c r="E148" s="31">
        <f>VLOOKUP('AM (2011)'!$C148+1,CPI!$B$50:$I$63,8,FALSE)*'AM (nominal)'!E148</f>
        <v>356.59238500714071</v>
      </c>
      <c r="F148" s="31">
        <f>VLOOKUP('AM (2011)'!$C148+1,CPI!$B$50:$I$63,8,FALSE)*'AM (nominal)'!F148</f>
        <v>611.30123144081256</v>
      </c>
      <c r="G148" s="31">
        <f>VLOOKUP('AM (2011)'!$C148+1,CPI!$B$50:$I$63,8,FALSE)*'AM (nominal)'!G148</f>
        <v>1463.0476139150114</v>
      </c>
      <c r="H148" s="31">
        <f>VLOOKUP('AM (2011)'!$C148+1,CPI!$B$50:$I$63,8,FALSE)*'AM (nominal)'!H148</f>
        <v>622.5084206838942</v>
      </c>
      <c r="I148" s="31">
        <f>VLOOKUP('AM (2011)'!$C148+1,CPI!$B$50:$I$63,8,FALSE)*'AM (nominal)'!I148</f>
        <v>0</v>
      </c>
      <c r="J148" s="27">
        <f>VLOOKUP('AM (2011)'!$C148+1,CPI!$B$50:$I$63,8,FALSE)*'AM (nominal)'!J148</f>
        <v>3053.4496510468589</v>
      </c>
      <c r="K148" s="31">
        <f>VLOOKUP('AM (2011)'!$C148+1,CPI!$B$50:$I$63,8,FALSE)*'AM (nominal)'!K148</f>
        <v>675.48786074209795</v>
      </c>
      <c r="L148" s="31">
        <f>VLOOKUP('AM (2011)'!$C148+1,CPI!$B$50:$I$63,8,FALSE)*'AM (nominal)'!L148</f>
        <v>523.68138826762947</v>
      </c>
      <c r="M148" s="31">
        <f>VLOOKUP('AM (2011)'!$C148+1,CPI!$B$50:$I$63,8,FALSE)*'AM (nominal)'!M148</f>
        <v>800.8046131874645</v>
      </c>
      <c r="N148" s="639">
        <f>VLOOKUP('AM (2011)'!$C148+1,CPI!$B$50:$I$63,8,FALSE)*'AM (nominal)'!N148</f>
        <v>1999.9738621971919</v>
      </c>
    </row>
    <row r="149" spans="1:14" s="278" customFormat="1">
      <c r="A149" s="271">
        <f>References!O266</f>
        <v>197</v>
      </c>
      <c r="B149" s="305" t="s">
        <v>37</v>
      </c>
      <c r="C149" s="284">
        <v>2009</v>
      </c>
      <c r="D149" s="284">
        <v>2014</v>
      </c>
      <c r="E149" s="31">
        <f>VLOOKUP('AM (2011)'!$C149+1,CPI!$B$50:$I$63,8,FALSE)*'AM (nominal)'!E149</f>
        <v>356.59238500714071</v>
      </c>
      <c r="F149" s="31">
        <f>VLOOKUP('AM (2011)'!$C149+1,CPI!$B$50:$I$63,8,FALSE)*'AM (nominal)'!F149</f>
        <v>1094.2292042790546</v>
      </c>
      <c r="G149" s="31">
        <f>VLOOKUP('AM (2011)'!$C149+1,CPI!$B$50:$I$63,8,FALSE)*'AM (nominal)'!G149</f>
        <v>1340.7873676268489</v>
      </c>
      <c r="H149" s="31">
        <f>VLOOKUP('AM (2011)'!$C149+1,CPI!$B$50:$I$63,8,FALSE)*'AM (nominal)'!H149</f>
        <v>29.546226186305944</v>
      </c>
      <c r="I149" s="31">
        <f>VLOOKUP('AM (2011)'!$C149+1,CPI!$B$50:$I$63,8,FALSE)*'AM (nominal)'!I149</f>
        <v>0</v>
      </c>
      <c r="J149" s="27">
        <f>VLOOKUP('AM (2011)'!$C149+1,CPI!$B$50:$I$63,8,FALSE)*'AM (nominal)'!J149</f>
        <v>2821.1551830993503</v>
      </c>
      <c r="K149" s="31">
        <f>VLOOKUP('AM (2011)'!$C149+1,CPI!$B$50:$I$63,8,FALSE)*'AM (nominal)'!K149</f>
        <v>670.39368381342445</v>
      </c>
      <c r="L149" s="31">
        <f>VLOOKUP('AM (2011)'!$C149+1,CPI!$B$50:$I$63,8,FALSE)*'AM (nominal)'!L149</f>
        <v>519.60604672469071</v>
      </c>
      <c r="M149" s="31">
        <f>VLOOKUP('AM (2011)'!$C149+1,CPI!$B$50:$I$63,8,FALSE)*'AM (nominal)'!M149</f>
        <v>802.84228395893388</v>
      </c>
      <c r="N149" s="639">
        <f>VLOOKUP('AM (2011)'!$C149+1,CPI!$B$50:$I$63,8,FALSE)*'AM (nominal)'!N149</f>
        <v>1992.8420144970491</v>
      </c>
    </row>
    <row r="150" spans="1:14" s="278" customFormat="1">
      <c r="A150" s="271">
        <f>References!P266</f>
        <v>198</v>
      </c>
      <c r="B150" s="305" t="s">
        <v>37</v>
      </c>
      <c r="C150" s="284">
        <v>2010</v>
      </c>
      <c r="D150" s="284">
        <v>2011</v>
      </c>
      <c r="E150" s="31">
        <f>VLOOKUP('AM (2011)'!$C150+1,CPI!$B$50:$I$63,8,FALSE)*'AM (nominal)'!E150</f>
        <v>559</v>
      </c>
      <c r="F150" s="31">
        <f>VLOOKUP('AM (2011)'!$C150+1,CPI!$B$50:$I$63,8,FALSE)*'AM (nominal)'!F150</f>
        <v>216</v>
      </c>
      <c r="G150" s="31">
        <f>VLOOKUP('AM (2011)'!$C150+1,CPI!$B$50:$I$63,8,FALSE)*'AM (nominal)'!G150</f>
        <v>1970</v>
      </c>
      <c r="H150" s="31">
        <f>VLOOKUP('AM (2011)'!$C150+1,CPI!$B$50:$I$63,8,FALSE)*'AM (nominal)'!H150</f>
        <v>1199</v>
      </c>
      <c r="I150" s="31">
        <f>VLOOKUP('AM (2011)'!$C150+1,CPI!$B$50:$I$63,8,FALSE)*'AM (nominal)'!I150</f>
        <v>8</v>
      </c>
      <c r="J150" s="27">
        <f>VLOOKUP('AM (2011)'!$C150+1,CPI!$B$50:$I$63,8,FALSE)*'AM (nominal)'!J150</f>
        <v>3952</v>
      </c>
      <c r="K150" s="31">
        <f>VLOOKUP('AM (2011)'!$C150+1,CPI!$B$50:$I$63,8,FALSE)*'AM (nominal)'!K150</f>
        <v>559</v>
      </c>
      <c r="L150" s="31">
        <f>VLOOKUP('AM (2011)'!$C150+1,CPI!$B$50:$I$63,8,FALSE)*'AM (nominal)'!L150</f>
        <v>240</v>
      </c>
      <c r="M150" s="31">
        <f>VLOOKUP('AM (2011)'!$C150+1,CPI!$B$50:$I$63,8,FALSE)*'AM (nominal)'!M150</f>
        <v>674</v>
      </c>
      <c r="N150" s="639">
        <f>VLOOKUP('AM (2011)'!$C150+1,CPI!$B$50:$I$63,8,FALSE)*'AM (nominal)'!N150</f>
        <v>1473</v>
      </c>
    </row>
    <row r="151" spans="1:14" s="278" customFormat="1">
      <c r="A151" s="271">
        <f>References!Q266</f>
        <v>199</v>
      </c>
      <c r="B151" s="305" t="s">
        <v>37</v>
      </c>
      <c r="C151" s="284">
        <v>2010</v>
      </c>
      <c r="D151" s="284">
        <v>2012</v>
      </c>
      <c r="E151" s="31">
        <f>VLOOKUP('AM (2011)'!$C151+1,CPI!$B$50:$I$63,8,FALSE)*'AM (nominal)'!E151</f>
        <v>419</v>
      </c>
      <c r="F151" s="31">
        <f>VLOOKUP('AM (2011)'!$C151+1,CPI!$B$50:$I$63,8,FALSE)*'AM (nominal)'!F151</f>
        <v>402</v>
      </c>
      <c r="G151" s="31">
        <f>VLOOKUP('AM (2011)'!$C151+1,CPI!$B$50:$I$63,8,FALSE)*'AM (nominal)'!G151</f>
        <v>1632</v>
      </c>
      <c r="H151" s="31">
        <f>VLOOKUP('AM (2011)'!$C151+1,CPI!$B$50:$I$63,8,FALSE)*'AM (nominal)'!H151</f>
        <v>990</v>
      </c>
      <c r="I151" s="31">
        <f>VLOOKUP('AM (2011)'!$C151+1,CPI!$B$50:$I$63,8,FALSE)*'AM (nominal)'!I151</f>
        <v>8</v>
      </c>
      <c r="J151" s="27">
        <f>VLOOKUP('AM (2011)'!$C151+1,CPI!$B$50:$I$63,8,FALSE)*'AM (nominal)'!J151</f>
        <v>3451</v>
      </c>
      <c r="K151" s="31">
        <f>VLOOKUP('AM (2011)'!$C151+1,CPI!$B$50:$I$63,8,FALSE)*'AM (nominal)'!K151</f>
        <v>534</v>
      </c>
      <c r="L151" s="31">
        <f>VLOOKUP('AM (2011)'!$C151+1,CPI!$B$50:$I$63,8,FALSE)*'AM (nominal)'!L151</f>
        <v>238</v>
      </c>
      <c r="M151" s="31">
        <f>VLOOKUP('AM (2011)'!$C151+1,CPI!$B$50:$I$63,8,FALSE)*'AM (nominal)'!M151</f>
        <v>670</v>
      </c>
      <c r="N151" s="639">
        <f>VLOOKUP('AM (2011)'!$C151+1,CPI!$B$50:$I$63,8,FALSE)*'AM (nominal)'!N151</f>
        <v>1442</v>
      </c>
    </row>
    <row r="152" spans="1:14" s="278" customFormat="1">
      <c r="A152" s="271">
        <f>References!R266</f>
        <v>200</v>
      </c>
      <c r="B152" s="305" t="s">
        <v>37</v>
      </c>
      <c r="C152" s="284">
        <v>2010</v>
      </c>
      <c r="D152" s="284">
        <v>2013</v>
      </c>
      <c r="E152" s="31">
        <f>VLOOKUP('AM (2011)'!$C152+1,CPI!$B$50:$I$63,8,FALSE)*'AM (nominal)'!E152</f>
        <v>420</v>
      </c>
      <c r="F152" s="31">
        <f>VLOOKUP('AM (2011)'!$C152+1,CPI!$B$50:$I$63,8,FALSE)*'AM (nominal)'!F152</f>
        <v>1276</v>
      </c>
      <c r="G152" s="31">
        <f>VLOOKUP('AM (2011)'!$C152+1,CPI!$B$50:$I$63,8,FALSE)*'AM (nominal)'!G152</f>
        <v>1000</v>
      </c>
      <c r="H152" s="31">
        <f>VLOOKUP('AM (2011)'!$C152+1,CPI!$B$50:$I$63,8,FALSE)*'AM (nominal)'!H152</f>
        <v>640</v>
      </c>
      <c r="I152" s="31">
        <f>VLOOKUP('AM (2011)'!$C152+1,CPI!$B$50:$I$63,8,FALSE)*'AM (nominal)'!I152</f>
        <v>8</v>
      </c>
      <c r="J152" s="27">
        <f>VLOOKUP('AM (2011)'!$C152+1,CPI!$B$50:$I$63,8,FALSE)*'AM (nominal)'!J152</f>
        <v>3344</v>
      </c>
      <c r="K152" s="31">
        <f>VLOOKUP('AM (2011)'!$C152+1,CPI!$B$50:$I$63,8,FALSE)*'AM (nominal)'!K152</f>
        <v>529</v>
      </c>
      <c r="L152" s="31">
        <f>VLOOKUP('AM (2011)'!$C152+1,CPI!$B$50:$I$63,8,FALSE)*'AM (nominal)'!L152</f>
        <v>235</v>
      </c>
      <c r="M152" s="31">
        <f>VLOOKUP('AM (2011)'!$C152+1,CPI!$B$50:$I$63,8,FALSE)*'AM (nominal)'!M152</f>
        <v>668</v>
      </c>
      <c r="N152" s="639">
        <f>VLOOKUP('AM (2011)'!$C152+1,CPI!$B$50:$I$63,8,FALSE)*'AM (nominal)'!N152</f>
        <v>1432</v>
      </c>
    </row>
    <row r="153" spans="1:14" s="278" customFormat="1">
      <c r="A153" s="271">
        <f>References!S266</f>
        <v>201</v>
      </c>
      <c r="B153" s="305" t="s">
        <v>37</v>
      </c>
      <c r="C153" s="284">
        <v>2010</v>
      </c>
      <c r="D153" s="284">
        <v>2014</v>
      </c>
      <c r="E153" s="31">
        <f>VLOOKUP('AM (2011)'!$C153+1,CPI!$B$50:$I$63,8,FALSE)*'AM (nominal)'!E153</f>
        <v>420</v>
      </c>
      <c r="F153" s="31">
        <f>VLOOKUP('AM (2011)'!$C153+1,CPI!$B$50:$I$63,8,FALSE)*'AM (nominal)'!F153</f>
        <v>577</v>
      </c>
      <c r="G153" s="31">
        <f>VLOOKUP('AM (2011)'!$C153+1,CPI!$B$50:$I$63,8,FALSE)*'AM (nominal)'!G153</f>
        <v>1882</v>
      </c>
      <c r="H153" s="31">
        <f>VLOOKUP('AM (2011)'!$C153+1,CPI!$B$50:$I$63,8,FALSE)*'AM (nominal)'!H153</f>
        <v>58</v>
      </c>
      <c r="I153" s="31">
        <f>VLOOKUP('AM (2011)'!$C153+1,CPI!$B$50:$I$63,8,FALSE)*'AM (nominal)'!I153</f>
        <v>8</v>
      </c>
      <c r="J153" s="27">
        <f>VLOOKUP('AM (2011)'!$C153+1,CPI!$B$50:$I$63,8,FALSE)*'AM (nominal)'!J153</f>
        <v>2945</v>
      </c>
      <c r="K153" s="31">
        <f>VLOOKUP('AM (2011)'!$C153+1,CPI!$B$50:$I$63,8,FALSE)*'AM (nominal)'!K153</f>
        <v>523</v>
      </c>
      <c r="L153" s="31">
        <f>VLOOKUP('AM (2011)'!$C153+1,CPI!$B$50:$I$63,8,FALSE)*'AM (nominal)'!L153</f>
        <v>233</v>
      </c>
      <c r="M153" s="31">
        <f>VLOOKUP('AM (2011)'!$C153+1,CPI!$B$50:$I$63,8,FALSE)*'AM (nominal)'!M153</f>
        <v>665</v>
      </c>
      <c r="N153" s="639">
        <f>VLOOKUP('AM (2011)'!$C153+1,CPI!$B$50:$I$63,8,FALSE)*'AM (nominal)'!N153</f>
        <v>1421</v>
      </c>
    </row>
    <row r="154" spans="1:14" s="278" customFormat="1">
      <c r="A154" s="271">
        <f>References!T266</f>
        <v>202</v>
      </c>
      <c r="B154" s="305" t="s">
        <v>37</v>
      </c>
      <c r="C154" s="284">
        <v>2010</v>
      </c>
      <c r="D154" s="284">
        <v>2015</v>
      </c>
      <c r="E154" s="31">
        <f>VLOOKUP('AM (2011)'!$C154+1,CPI!$B$50:$I$63,8,FALSE)*'AM (nominal)'!E154</f>
        <v>420</v>
      </c>
      <c r="F154" s="31">
        <f>VLOOKUP('AM (2011)'!$C154+1,CPI!$B$50:$I$63,8,FALSE)*'AM (nominal)'!F154</f>
        <v>1509</v>
      </c>
      <c r="G154" s="31">
        <f>VLOOKUP('AM (2011)'!$C154+1,CPI!$B$50:$I$63,8,FALSE)*'AM (nominal)'!G154</f>
        <v>912</v>
      </c>
      <c r="H154" s="31">
        <f>VLOOKUP('AM (2011)'!$C154+1,CPI!$B$50:$I$63,8,FALSE)*'AM (nominal)'!H154</f>
        <v>58</v>
      </c>
      <c r="I154" s="31">
        <f>VLOOKUP('AM (2011)'!$C154+1,CPI!$B$50:$I$63,8,FALSE)*'AM (nominal)'!I154</f>
        <v>8</v>
      </c>
      <c r="J154" s="27">
        <f>VLOOKUP('AM (2011)'!$C154+1,CPI!$B$50:$I$63,8,FALSE)*'AM (nominal)'!J154</f>
        <v>2907</v>
      </c>
      <c r="K154" s="31">
        <f>VLOOKUP('AM (2011)'!$C154+1,CPI!$B$50:$I$63,8,FALSE)*'AM (nominal)'!K154</f>
        <v>518</v>
      </c>
      <c r="L154" s="31">
        <f>VLOOKUP('AM (2011)'!$C154+1,CPI!$B$50:$I$63,8,FALSE)*'AM (nominal)'!L154</f>
        <v>231</v>
      </c>
      <c r="M154" s="31">
        <f>VLOOKUP('AM (2011)'!$C154+1,CPI!$B$50:$I$63,8,FALSE)*'AM (nominal)'!M154</f>
        <v>662</v>
      </c>
      <c r="N154" s="639">
        <f>VLOOKUP('AM (2011)'!$C154+1,CPI!$B$50:$I$63,8,FALSE)*'AM (nominal)'!N154</f>
        <v>1411</v>
      </c>
    </row>
    <row r="155" spans="1:14" s="278" customFormat="1">
      <c r="A155" s="271">
        <f>References!U266</f>
        <v>203</v>
      </c>
      <c r="B155" s="305" t="s">
        <v>37</v>
      </c>
      <c r="C155" s="284">
        <v>2011</v>
      </c>
      <c r="D155" s="284">
        <v>2012</v>
      </c>
      <c r="E155" s="31">
        <f>VLOOKUP('AM (2011)'!$C155+1,CPI!$B$50:$I$63,8,FALSE)*'AM (nominal)'!E155</f>
        <v>189.66102133160956</v>
      </c>
      <c r="F155" s="31">
        <f>VLOOKUP('AM (2011)'!$C155+1,CPI!$B$50:$I$63,8,FALSE)*'AM (nominal)'!F155</f>
        <v>6.843438914027149</v>
      </c>
      <c r="G155" s="31">
        <f>VLOOKUP('AM (2011)'!$C155+1,CPI!$B$50:$I$63,8,FALSE)*'AM (nominal)'!G155</f>
        <v>3468.6458952811895</v>
      </c>
      <c r="H155" s="31">
        <f>VLOOKUP('AM (2011)'!$C155+1,CPI!$B$50:$I$63,8,FALSE)*'AM (nominal)'!H155</f>
        <v>893.55759534583058</v>
      </c>
      <c r="I155" s="31">
        <f>VLOOKUP('AM (2011)'!$C155+1,CPI!$B$50:$I$63,8,FALSE)*'AM (nominal)'!I155</f>
        <v>0</v>
      </c>
      <c r="J155" s="27">
        <f>VLOOKUP('AM (2011)'!$C155+1,CPI!$B$50:$I$63,8,FALSE)*'AM (nominal)'!J155</f>
        <v>4558.7079508726565</v>
      </c>
      <c r="K155" s="31">
        <f>VLOOKUP('AM (2011)'!$C155+1,CPI!$B$50:$I$63,8,FALSE)*'AM (nominal)'!K155</f>
        <v>823.16793794440855</v>
      </c>
      <c r="L155" s="31">
        <f>VLOOKUP('AM (2011)'!$C155+1,CPI!$B$50:$I$63,8,FALSE)*'AM (nominal)'!L155</f>
        <v>215.07950872656755</v>
      </c>
      <c r="M155" s="31">
        <f>VLOOKUP('AM (2011)'!$C155+1,CPI!$B$50:$I$63,8,FALSE)*'AM (nominal)'!M155</f>
        <v>543.56457659987075</v>
      </c>
      <c r="N155" s="639">
        <f>VLOOKUP('AM (2011)'!$C155+1,CPI!$B$50:$I$63,8,FALSE)*'AM (nominal)'!N155</f>
        <v>1581.8120232708468</v>
      </c>
    </row>
    <row r="156" spans="1:14" s="278" customFormat="1">
      <c r="A156" s="271">
        <f>References!V266</f>
        <v>204</v>
      </c>
      <c r="B156" s="305" t="s">
        <v>37</v>
      </c>
      <c r="C156" s="284">
        <v>2011</v>
      </c>
      <c r="D156" s="284">
        <v>2013</v>
      </c>
      <c r="E156" s="31">
        <f>VLOOKUP('AM (2011)'!$C156+1,CPI!$B$50:$I$63,8,FALSE)*'AM (nominal)'!E156</f>
        <v>189.66102133160956</v>
      </c>
      <c r="F156" s="31">
        <f>VLOOKUP('AM (2011)'!$C156+1,CPI!$B$50:$I$63,8,FALSE)*'AM (nominal)'!F156</f>
        <v>43.015901745313506</v>
      </c>
      <c r="G156" s="31">
        <f>VLOOKUP('AM (2011)'!$C156+1,CPI!$B$50:$I$63,8,FALSE)*'AM (nominal)'!G156</f>
        <v>4728.8162895927599</v>
      </c>
      <c r="H156" s="31">
        <f>VLOOKUP('AM (2011)'!$C156+1,CPI!$B$50:$I$63,8,FALSE)*'AM (nominal)'!H156</f>
        <v>151.5332902391726</v>
      </c>
      <c r="I156" s="31">
        <f>VLOOKUP('AM (2011)'!$C156+1,CPI!$B$50:$I$63,8,FALSE)*'AM (nominal)'!I156</f>
        <v>7.8210730446024561</v>
      </c>
      <c r="J156" s="27">
        <f>VLOOKUP('AM (2011)'!$C156+1,CPI!$B$50:$I$63,8,FALSE)*'AM (nominal)'!J156</f>
        <v>5120.8475759534585</v>
      </c>
      <c r="K156" s="31">
        <f>VLOOKUP('AM (2011)'!$C156+1,CPI!$B$50:$I$63,8,FALSE)*'AM (nominal)'!K156</f>
        <v>803.61525533290239</v>
      </c>
      <c r="L156" s="31">
        <f>VLOOKUP('AM (2011)'!$C156+1,CPI!$B$50:$I$63,8,FALSE)*'AM (nominal)'!L156</f>
        <v>215.07950872656755</v>
      </c>
      <c r="M156" s="31">
        <f>VLOOKUP('AM (2011)'!$C156+1,CPI!$B$50:$I$63,8,FALSE)*'AM (nominal)'!M156</f>
        <v>543.56457659987075</v>
      </c>
      <c r="N156" s="639">
        <f>VLOOKUP('AM (2011)'!$C156+1,CPI!$B$50:$I$63,8,FALSE)*'AM (nominal)'!N156</f>
        <v>1562.2593406593405</v>
      </c>
    </row>
    <row r="157" spans="1:14" s="278" customFormat="1">
      <c r="A157" s="271">
        <f>References!W266</f>
        <v>205</v>
      </c>
      <c r="B157" s="305" t="s">
        <v>37</v>
      </c>
      <c r="C157" s="284">
        <v>2011</v>
      </c>
      <c r="D157" s="284">
        <v>2014</v>
      </c>
      <c r="E157" s="31">
        <f>VLOOKUP('AM (2011)'!$C157+1,CPI!$B$50:$I$63,8,FALSE)*'AM (nominal)'!E157</f>
        <v>189.66102133160956</v>
      </c>
      <c r="F157" s="31">
        <f>VLOOKUP('AM (2011)'!$C157+1,CPI!$B$50:$I$63,8,FALSE)*'AM (nominal)'!F157</f>
        <v>126.11480284421461</v>
      </c>
      <c r="G157" s="31">
        <f>VLOOKUP('AM (2011)'!$C157+1,CPI!$B$50:$I$63,8,FALSE)*'AM (nominal)'!G157</f>
        <v>4379.8009049773755</v>
      </c>
      <c r="H157" s="31">
        <f>VLOOKUP('AM (2011)'!$C157+1,CPI!$B$50:$I$63,8,FALSE)*'AM (nominal)'!H157</f>
        <v>151.5332902391726</v>
      </c>
      <c r="I157" s="31">
        <f>VLOOKUP('AM (2011)'!$C157+1,CPI!$B$50:$I$63,8,FALSE)*'AM (nominal)'!I157</f>
        <v>7.8210730446024561</v>
      </c>
      <c r="J157" s="27">
        <f>VLOOKUP('AM (2011)'!$C157+1,CPI!$B$50:$I$63,8,FALSE)*'AM (nominal)'!J157</f>
        <v>4854.9310924369747</v>
      </c>
      <c r="K157" s="31">
        <f>VLOOKUP('AM (2011)'!$C157+1,CPI!$B$50:$I$63,8,FALSE)*'AM (nominal)'!K157</f>
        <v>810.45869424692955</v>
      </c>
      <c r="L157" s="31">
        <f>VLOOKUP('AM (2011)'!$C157+1,CPI!$B$50:$I$63,8,FALSE)*'AM (nominal)'!L157</f>
        <v>215.07950872656755</v>
      </c>
      <c r="M157" s="31">
        <f>VLOOKUP('AM (2011)'!$C157+1,CPI!$B$50:$I$63,8,FALSE)*'AM (nominal)'!M157</f>
        <v>543.56457659987075</v>
      </c>
      <c r="N157" s="639">
        <f>VLOOKUP('AM (2011)'!$C157+1,CPI!$B$50:$I$63,8,FALSE)*'AM (nominal)'!N157</f>
        <v>1569.1027795733678</v>
      </c>
    </row>
    <row r="158" spans="1:14" s="278" customFormat="1">
      <c r="A158" s="271">
        <f>References!X266</f>
        <v>206</v>
      </c>
      <c r="B158" s="305" t="s">
        <v>37</v>
      </c>
      <c r="C158" s="284">
        <v>2011</v>
      </c>
      <c r="D158" s="284">
        <v>2015</v>
      </c>
      <c r="E158" s="31">
        <f>VLOOKUP('AM (2011)'!$C158+1,CPI!$B$50:$I$63,8,FALSE)*'AM (nominal)'!E158</f>
        <v>189.66102133160956</v>
      </c>
      <c r="F158" s="31">
        <f>VLOOKUP('AM (2011)'!$C158+1,CPI!$B$50:$I$63,8,FALSE)*'AM (nominal)'!F158</f>
        <v>6.843438914027149</v>
      </c>
      <c r="G158" s="31">
        <f>VLOOKUP('AM (2011)'!$C158+1,CPI!$B$50:$I$63,8,FALSE)*'AM (nominal)'!G158</f>
        <v>2387.3825468648997</v>
      </c>
      <c r="H158" s="31">
        <f>VLOOKUP('AM (2011)'!$C158+1,CPI!$B$50:$I$63,8,FALSE)*'AM (nominal)'!H158</f>
        <v>1065.6212023270846</v>
      </c>
      <c r="I158" s="31">
        <f>VLOOKUP('AM (2011)'!$C158+1,CPI!$B$50:$I$63,8,FALSE)*'AM (nominal)'!I158</f>
        <v>7.8210730446024561</v>
      </c>
      <c r="J158" s="27">
        <f>VLOOKUP('AM (2011)'!$C158+1,CPI!$B$50:$I$63,8,FALSE)*'AM (nominal)'!J158</f>
        <v>3657.3292824822233</v>
      </c>
      <c r="K158" s="31">
        <f>VLOOKUP('AM (2011)'!$C158+1,CPI!$B$50:$I$63,8,FALSE)*'AM (nominal)'!K158</f>
        <v>803.61525533290239</v>
      </c>
      <c r="L158" s="31">
        <f>VLOOKUP('AM (2011)'!$C158+1,CPI!$B$50:$I$63,8,FALSE)*'AM (nominal)'!L158</f>
        <v>215.07950872656755</v>
      </c>
      <c r="M158" s="31">
        <f>VLOOKUP('AM (2011)'!$C158+1,CPI!$B$50:$I$63,8,FALSE)*'AM (nominal)'!M158</f>
        <v>543.56457659987075</v>
      </c>
      <c r="N158" s="639">
        <f>VLOOKUP('AM (2011)'!$C158+1,CPI!$B$50:$I$63,8,FALSE)*'AM (nominal)'!N158</f>
        <v>1562.2593406593405</v>
      </c>
    </row>
    <row r="159" spans="1:14" s="278" customFormat="1">
      <c r="A159" s="271">
        <f>References!Y266</f>
        <v>207</v>
      </c>
      <c r="B159" s="305" t="s">
        <v>37</v>
      </c>
      <c r="C159" s="284">
        <v>2011</v>
      </c>
      <c r="D159" s="284">
        <v>2016</v>
      </c>
      <c r="E159" s="31">
        <f>VLOOKUP('AM (2011)'!$C159+1,CPI!$B$50:$I$63,8,FALSE)*'AM (nominal)'!E159</f>
        <v>189.66102133160956</v>
      </c>
      <c r="F159" s="31">
        <f>VLOOKUP('AM (2011)'!$C159+1,CPI!$B$50:$I$63,8,FALSE)*'AM (nominal)'!F159</f>
        <v>6.843438914027149</v>
      </c>
      <c r="G159" s="31">
        <f>VLOOKUP('AM (2011)'!$C159+1,CPI!$B$50:$I$63,8,FALSE)*'AM (nominal)'!G159</f>
        <v>1487.9591467356172</v>
      </c>
      <c r="H159" s="31">
        <f>VLOOKUP('AM (2011)'!$C159+1,CPI!$B$50:$I$63,8,FALSE)*'AM (nominal)'!H159</f>
        <v>1065.6212023270846</v>
      </c>
      <c r="I159" s="31">
        <f>VLOOKUP('AM (2011)'!$C159+1,CPI!$B$50:$I$63,8,FALSE)*'AM (nominal)'!I159</f>
        <v>7.8210730446024561</v>
      </c>
      <c r="J159" s="27">
        <f>VLOOKUP('AM (2011)'!$C159+1,CPI!$B$50:$I$63,8,FALSE)*'AM (nominal)'!J159</f>
        <v>2757.9058823529413</v>
      </c>
      <c r="K159" s="31">
        <f>VLOOKUP('AM (2011)'!$C159+1,CPI!$B$50:$I$63,8,FALSE)*'AM (nominal)'!K159</f>
        <v>803.61525533290239</v>
      </c>
      <c r="L159" s="31">
        <f>VLOOKUP('AM (2011)'!$C159+1,CPI!$B$50:$I$63,8,FALSE)*'AM (nominal)'!L159</f>
        <v>215.07950872656755</v>
      </c>
      <c r="M159" s="31">
        <f>VLOOKUP('AM (2011)'!$C159+1,CPI!$B$50:$I$63,8,FALSE)*'AM (nominal)'!M159</f>
        <v>543.56457659987075</v>
      </c>
      <c r="N159" s="639">
        <f>VLOOKUP('AM (2011)'!$C159+1,CPI!$B$50:$I$63,8,FALSE)*'AM (nominal)'!N159</f>
        <v>1562.2593406593405</v>
      </c>
    </row>
    <row r="160" spans="1:14" s="278" customFormat="1">
      <c r="A160" s="271">
        <f>References!K268</f>
        <v>239</v>
      </c>
      <c r="B160" s="305" t="s">
        <v>39</v>
      </c>
      <c r="C160" s="284">
        <v>2009</v>
      </c>
      <c r="D160" s="284">
        <v>2010</v>
      </c>
      <c r="E160" s="31">
        <f>VLOOKUP('AM (2011)'!$C160+1,CPI!$B$50:$I$63,8,FALSE)*'AM (nominal)'!E160</f>
        <v>4478.8003556896874</v>
      </c>
      <c r="F160" s="31">
        <f>VLOOKUP('AM (2011)'!$C160+1,CPI!$B$50:$I$63,8,FALSE)*'AM (nominal)'!F160</f>
        <v>2902.662013958125</v>
      </c>
      <c r="G160" s="31">
        <f>VLOOKUP('AM (2011)'!$C160+1,CPI!$B$50:$I$63,8,FALSE)*'AM (nominal)'!G160</f>
        <v>2746.7801999407179</v>
      </c>
      <c r="H160" s="31">
        <f>VLOOKUP('AM (2011)'!$C160+1,CPI!$B$50:$I$63,8,FALSE)*'AM (nominal)'!H160</f>
        <v>1780.9242542642342</v>
      </c>
      <c r="I160" s="31">
        <f>VLOOKUP('AM (2011)'!$C160+1,CPI!$B$50:$I$63,8,FALSE)*'AM (nominal)'!I160</f>
        <v>0</v>
      </c>
      <c r="J160" s="27">
        <f>VLOOKUP('AM (2011)'!$C160+1,CPI!$B$50:$I$63,8,FALSE)*'AM (nominal)'!J160</f>
        <v>11909.166823852764</v>
      </c>
      <c r="K160" s="31">
        <f>VLOOKUP('AM (2011)'!$C160+1,CPI!$B$50:$I$63,8,FALSE)*'AM (nominal)'!K160</f>
        <v>3116.6174449624095</v>
      </c>
      <c r="L160" s="31">
        <f>VLOOKUP('AM (2011)'!$C160+1,CPI!$B$50:$I$63,8,FALSE)*'AM (nominal)'!L160</f>
        <v>36.678073886448757</v>
      </c>
      <c r="M160" s="31">
        <f>VLOOKUP('AM (2011)'!$C160+1,CPI!$B$50:$I$63,8,FALSE)*'AM (nominal)'!M160</f>
        <v>815.06830858775015</v>
      </c>
      <c r="N160" s="639">
        <f>VLOOKUP('AM (2011)'!$C160+1,CPI!$B$50:$I$63,8,FALSE)*'AM (nominal)'!N160</f>
        <v>3968.3638274366085</v>
      </c>
    </row>
    <row r="161" spans="1:14" s="278" customFormat="1">
      <c r="A161" s="271">
        <f>References!L268</f>
        <v>240</v>
      </c>
      <c r="B161" s="305" t="s">
        <v>39</v>
      </c>
      <c r="C161" s="284">
        <v>2009</v>
      </c>
      <c r="D161" s="284">
        <v>2011</v>
      </c>
      <c r="E161" s="31">
        <f>VLOOKUP('AM (2011)'!$C161+1,CPI!$B$50:$I$63,8,FALSE)*'AM (nominal)'!E161</f>
        <v>4988.2180485570307</v>
      </c>
      <c r="F161" s="31">
        <f>VLOOKUP('AM (2011)'!$C161+1,CPI!$B$50:$I$63,8,FALSE)*'AM (nominal)'!F161</f>
        <v>5870.5294926032702</v>
      </c>
      <c r="G161" s="31">
        <f>VLOOKUP('AM (2011)'!$C161+1,CPI!$B$50:$I$63,8,FALSE)*'AM (nominal)'!G161</f>
        <v>2664.2545336962085</v>
      </c>
      <c r="H161" s="31">
        <f>VLOOKUP('AM (2011)'!$C161+1,CPI!$B$50:$I$63,8,FALSE)*'AM (nominal)'!H161</f>
        <v>514.51186979601732</v>
      </c>
      <c r="I161" s="31">
        <f>VLOOKUP('AM (2011)'!$C161+1,CPI!$B$50:$I$63,8,FALSE)*'AM (nominal)'!I161</f>
        <v>0</v>
      </c>
      <c r="J161" s="27">
        <f>VLOOKUP('AM (2011)'!$C161+1,CPI!$B$50:$I$63,8,FALSE)*'AM (nominal)'!J161</f>
        <v>14037.513944652526</v>
      </c>
      <c r="K161" s="31">
        <f>VLOOKUP('AM (2011)'!$C161+1,CPI!$B$50:$I$63,8,FALSE)*'AM (nominal)'!K161</f>
        <v>3172.6533911778174</v>
      </c>
      <c r="L161" s="31">
        <f>VLOOKUP('AM (2011)'!$C161+1,CPI!$B$50:$I$63,8,FALSE)*'AM (nominal)'!L161</f>
        <v>81.506830858775018</v>
      </c>
      <c r="M161" s="31">
        <f>VLOOKUP('AM (2011)'!$C161+1,CPI!$B$50:$I$63,8,FALSE)*'AM (nominal)'!M161</f>
        <v>831.36967475950519</v>
      </c>
      <c r="N161" s="639">
        <f>VLOOKUP('AM (2011)'!$C161+1,CPI!$B$50:$I$63,8,FALSE)*'AM (nominal)'!N161</f>
        <v>4085.5298967960975</v>
      </c>
    </row>
    <row r="162" spans="1:14" s="278" customFormat="1">
      <c r="A162" s="271">
        <f>References!M268</f>
        <v>241</v>
      </c>
      <c r="B162" s="305" t="s">
        <v>39</v>
      </c>
      <c r="C162" s="284">
        <v>2009</v>
      </c>
      <c r="D162" s="284">
        <v>2012</v>
      </c>
      <c r="E162" s="31">
        <f>VLOOKUP('AM (2011)'!$C162+1,CPI!$B$50:$I$63,8,FALSE)*'AM (nominal)'!E162</f>
        <v>5766.6082832583324</v>
      </c>
      <c r="F162" s="31">
        <f>VLOOKUP('AM (2011)'!$C162+1,CPI!$B$50:$I$63,8,FALSE)*'AM (nominal)'!F162</f>
        <v>1408.0305030853383</v>
      </c>
      <c r="G162" s="31">
        <f>VLOOKUP('AM (2011)'!$C162+1,CPI!$B$50:$I$63,8,FALSE)*'AM (nominal)'!G162</f>
        <v>2522.6364150790869</v>
      </c>
      <c r="H162" s="31">
        <f>VLOOKUP('AM (2011)'!$C162+1,CPI!$B$50:$I$63,8,FALSE)*'AM (nominal)'!H162</f>
        <v>331.12150036377352</v>
      </c>
      <c r="I162" s="31">
        <f>VLOOKUP('AM (2011)'!$C162+1,CPI!$B$50:$I$63,8,FALSE)*'AM (nominal)'!I162</f>
        <v>0</v>
      </c>
      <c r="J162" s="27">
        <f>VLOOKUP('AM (2011)'!$C162+1,CPI!$B$50:$I$63,8,FALSE)*'AM (nominal)'!J162</f>
        <v>10028.396701786531</v>
      </c>
      <c r="K162" s="31">
        <f>VLOOKUP('AM (2011)'!$C162+1,CPI!$B$50:$I$63,8,FALSE)*'AM (nominal)'!K162</f>
        <v>3229.70817277896</v>
      </c>
      <c r="L162" s="31">
        <f>VLOOKUP('AM (2011)'!$C162+1,CPI!$B$50:$I$63,8,FALSE)*'AM (nominal)'!L162</f>
        <v>81.506830858775018</v>
      </c>
      <c r="M162" s="31">
        <f>VLOOKUP('AM (2011)'!$C162+1,CPI!$B$50:$I$63,8,FALSE)*'AM (nominal)'!M162</f>
        <v>848.68987631699486</v>
      </c>
      <c r="N162" s="639">
        <f>VLOOKUP('AM (2011)'!$C162+1,CPI!$B$50:$I$63,8,FALSE)*'AM (nominal)'!N162</f>
        <v>4159.9048799547299</v>
      </c>
    </row>
    <row r="163" spans="1:14" s="278" customFormat="1">
      <c r="A163" s="271">
        <f>References!N268</f>
        <v>242</v>
      </c>
      <c r="B163" s="305" t="s">
        <v>39</v>
      </c>
      <c r="C163" s="284">
        <v>2009</v>
      </c>
      <c r="D163" s="284">
        <v>2013</v>
      </c>
      <c r="E163" s="31">
        <f>VLOOKUP('AM (2011)'!$C163+1,CPI!$B$50:$I$63,8,FALSE)*'AM (nominal)'!E163</f>
        <v>5766.6082832583324</v>
      </c>
      <c r="F163" s="31">
        <f>VLOOKUP('AM (2011)'!$C163+1,CPI!$B$50:$I$63,8,FALSE)*'AM (nominal)'!F163</f>
        <v>3038.1671202608386</v>
      </c>
      <c r="G163" s="31">
        <f>VLOOKUP('AM (2011)'!$C163+1,CPI!$B$50:$I$63,8,FALSE)*'AM (nominal)'!G163</f>
        <v>2206.7974455013336</v>
      </c>
      <c r="H163" s="31">
        <f>VLOOKUP('AM (2011)'!$C163+1,CPI!$B$50:$I$63,8,FALSE)*'AM (nominal)'!H163</f>
        <v>280.17973107703909</v>
      </c>
      <c r="I163" s="31">
        <f>VLOOKUP('AM (2011)'!$C163+1,CPI!$B$50:$I$63,8,FALSE)*'AM (nominal)'!I163</f>
        <v>0</v>
      </c>
      <c r="J163" s="27">
        <f>VLOOKUP('AM (2011)'!$C163+1,CPI!$B$50:$I$63,8,FALSE)*'AM (nominal)'!J163</f>
        <v>11291.752580097544</v>
      </c>
      <c r="K163" s="31">
        <f>VLOOKUP('AM (2011)'!$C163+1,CPI!$B$50:$I$63,8,FALSE)*'AM (nominal)'!K163</f>
        <v>3289.8194605373064</v>
      </c>
      <c r="L163" s="31">
        <f>VLOOKUP('AM (2011)'!$C163+1,CPI!$B$50:$I$63,8,FALSE)*'AM (nominal)'!L163</f>
        <v>81.506830858775018</v>
      </c>
      <c r="M163" s="31">
        <f>VLOOKUP('AM (2011)'!$C163+1,CPI!$B$50:$I$63,8,FALSE)*'AM (nominal)'!M163</f>
        <v>864.99124248874989</v>
      </c>
      <c r="N163" s="639">
        <f>VLOOKUP('AM (2011)'!$C163+1,CPI!$B$50:$I$63,8,FALSE)*'AM (nominal)'!N163</f>
        <v>4236.3175338848314</v>
      </c>
    </row>
    <row r="164" spans="1:14" s="278" customFormat="1">
      <c r="A164" s="271">
        <f>References!O268</f>
        <v>243</v>
      </c>
      <c r="B164" s="305" t="s">
        <v>39</v>
      </c>
      <c r="C164" s="284">
        <v>2009</v>
      </c>
      <c r="D164" s="284">
        <v>2014</v>
      </c>
      <c r="E164" s="31">
        <f>VLOOKUP('AM (2011)'!$C164+1,CPI!$B$50:$I$63,8,FALSE)*'AM (nominal)'!E164</f>
        <v>4987.1992131712959</v>
      </c>
      <c r="F164" s="31">
        <f>VLOOKUP('AM (2011)'!$C164+1,CPI!$B$50:$I$63,8,FALSE)*'AM (nominal)'!F164</f>
        <v>1560.8558109455416</v>
      </c>
      <c r="G164" s="31">
        <f>VLOOKUP('AM (2011)'!$C164+1,CPI!$B$50:$I$63,8,FALSE)*'AM (nominal)'!G164</f>
        <v>2125.2906146425585</v>
      </c>
      <c r="H164" s="31">
        <f>VLOOKUP('AM (2011)'!$C164+1,CPI!$B$50:$I$63,8,FALSE)*'AM (nominal)'!H164</f>
        <v>280.17973107703909</v>
      </c>
      <c r="I164" s="31">
        <f>VLOOKUP('AM (2011)'!$C164+1,CPI!$B$50:$I$63,8,FALSE)*'AM (nominal)'!I164</f>
        <v>0</v>
      </c>
      <c r="J164" s="27">
        <f>VLOOKUP('AM (2011)'!$C164+1,CPI!$B$50:$I$63,8,FALSE)*'AM (nominal)'!J164</f>
        <v>8953.5253698364359</v>
      </c>
      <c r="K164" s="31">
        <f>VLOOKUP('AM (2011)'!$C164+1,CPI!$B$50:$I$63,8,FALSE)*'AM (nominal)'!K164</f>
        <v>3351.9684190671223</v>
      </c>
      <c r="L164" s="31">
        <f>VLOOKUP('AM (2011)'!$C164+1,CPI!$B$50:$I$63,8,FALSE)*'AM (nominal)'!L164</f>
        <v>81.506830858775018</v>
      </c>
      <c r="M164" s="31">
        <f>VLOOKUP('AM (2011)'!$C164+1,CPI!$B$50:$I$63,8,FALSE)*'AM (nominal)'!M164</f>
        <v>882.31144404623956</v>
      </c>
      <c r="N164" s="639">
        <f>VLOOKUP('AM (2011)'!$C164+1,CPI!$B$50:$I$63,8,FALSE)*'AM (nominal)'!N164</f>
        <v>4315.7866939721371</v>
      </c>
    </row>
    <row r="165" spans="1:14" s="278" customFormat="1">
      <c r="A165" s="271">
        <f>References!P268</f>
        <v>244</v>
      </c>
      <c r="B165" s="305" t="s">
        <v>39</v>
      </c>
      <c r="C165" s="284">
        <v>2010</v>
      </c>
      <c r="D165" s="284">
        <v>2011</v>
      </c>
      <c r="E165" s="31">
        <f>VLOOKUP('AM (2011)'!$C165+1,CPI!$B$50:$I$63,8,FALSE)*'AM (nominal)'!E165</f>
        <v>4379</v>
      </c>
      <c r="F165" s="31">
        <f>VLOOKUP('AM (2011)'!$C165+1,CPI!$B$50:$I$63,8,FALSE)*'AM (nominal)'!F165</f>
        <v>3211</v>
      </c>
      <c r="G165" s="31">
        <f>VLOOKUP('AM (2011)'!$C165+1,CPI!$B$50:$I$63,8,FALSE)*'AM (nominal)'!G165</f>
        <v>3020</v>
      </c>
      <c r="H165" s="31">
        <f>VLOOKUP('AM (2011)'!$C165+1,CPI!$B$50:$I$63,8,FALSE)*'AM (nominal)'!H165</f>
        <v>1026</v>
      </c>
      <c r="I165" s="31">
        <f>VLOOKUP('AM (2011)'!$C165+1,CPI!$B$50:$I$63,8,FALSE)*'AM (nominal)'!I165</f>
        <v>0</v>
      </c>
      <c r="J165" s="27">
        <f>VLOOKUP('AM (2011)'!$C165+1,CPI!$B$50:$I$63,8,FALSE)*'AM (nominal)'!J165</f>
        <v>11636</v>
      </c>
      <c r="K165" s="31">
        <f>VLOOKUP('AM (2011)'!$C165+1,CPI!$B$50:$I$63,8,FALSE)*'AM (nominal)'!K165</f>
        <v>2400</v>
      </c>
      <c r="L165" s="31">
        <f>VLOOKUP('AM (2011)'!$C165+1,CPI!$B$50:$I$63,8,FALSE)*'AM (nominal)'!L165</f>
        <v>53</v>
      </c>
      <c r="M165" s="31">
        <f>VLOOKUP('AM (2011)'!$C165+1,CPI!$B$50:$I$63,8,FALSE)*'AM (nominal)'!M165</f>
        <v>746</v>
      </c>
      <c r="N165" s="639">
        <f>VLOOKUP('AM (2011)'!$C165+1,CPI!$B$50:$I$63,8,FALSE)*'AM (nominal)'!N165</f>
        <v>3199</v>
      </c>
    </row>
    <row r="166" spans="1:14" s="278" customFormat="1">
      <c r="A166" s="271">
        <f>References!Q268</f>
        <v>245</v>
      </c>
      <c r="B166" s="305" t="s">
        <v>39</v>
      </c>
      <c r="C166" s="284">
        <v>2010</v>
      </c>
      <c r="D166" s="284">
        <v>2012</v>
      </c>
      <c r="E166" s="31">
        <f>VLOOKUP('AM (2011)'!$C166+1,CPI!$B$50:$I$63,8,FALSE)*'AM (nominal)'!E166</f>
        <v>4601</v>
      </c>
      <c r="F166" s="31">
        <f>VLOOKUP('AM (2011)'!$C166+1,CPI!$B$50:$I$63,8,FALSE)*'AM (nominal)'!F166</f>
        <v>5542</v>
      </c>
      <c r="G166" s="31">
        <f>VLOOKUP('AM (2011)'!$C166+1,CPI!$B$50:$I$63,8,FALSE)*'AM (nominal)'!G166</f>
        <v>3117</v>
      </c>
      <c r="H166" s="31">
        <f>VLOOKUP('AM (2011)'!$C166+1,CPI!$B$50:$I$63,8,FALSE)*'AM (nominal)'!H166</f>
        <v>606</v>
      </c>
      <c r="I166" s="31">
        <f>VLOOKUP('AM (2011)'!$C166+1,CPI!$B$50:$I$63,8,FALSE)*'AM (nominal)'!I166</f>
        <v>0</v>
      </c>
      <c r="J166" s="27">
        <f>VLOOKUP('AM (2011)'!$C166+1,CPI!$B$50:$I$63,8,FALSE)*'AM (nominal)'!J166</f>
        <v>13866</v>
      </c>
      <c r="K166" s="31">
        <f>VLOOKUP('AM (2011)'!$C166+1,CPI!$B$50:$I$63,8,FALSE)*'AM (nominal)'!K166</f>
        <v>2421</v>
      </c>
      <c r="L166" s="31">
        <f>VLOOKUP('AM (2011)'!$C166+1,CPI!$B$50:$I$63,8,FALSE)*'AM (nominal)'!L166</f>
        <v>73</v>
      </c>
      <c r="M166" s="31">
        <f>VLOOKUP('AM (2011)'!$C166+1,CPI!$B$50:$I$63,8,FALSE)*'AM (nominal)'!M166</f>
        <v>818</v>
      </c>
      <c r="N166" s="639">
        <f>VLOOKUP('AM (2011)'!$C166+1,CPI!$B$50:$I$63,8,FALSE)*'AM (nominal)'!N166</f>
        <v>3312</v>
      </c>
    </row>
    <row r="167" spans="1:14" s="278" customFormat="1">
      <c r="A167" s="271">
        <f>References!R268</f>
        <v>246</v>
      </c>
      <c r="B167" s="305" t="s">
        <v>39</v>
      </c>
      <c r="C167" s="284">
        <v>2010</v>
      </c>
      <c r="D167" s="284">
        <v>2013</v>
      </c>
      <c r="E167" s="31">
        <f>VLOOKUP('AM (2011)'!$C167+1,CPI!$B$50:$I$63,8,FALSE)*'AM (nominal)'!E167</f>
        <v>4601</v>
      </c>
      <c r="F167" s="31">
        <f>VLOOKUP('AM (2011)'!$C167+1,CPI!$B$50:$I$63,8,FALSE)*'AM (nominal)'!F167</f>
        <v>5857</v>
      </c>
      <c r="G167" s="31">
        <f>VLOOKUP('AM (2011)'!$C167+1,CPI!$B$50:$I$63,8,FALSE)*'AM (nominal)'!G167</f>
        <v>2807</v>
      </c>
      <c r="H167" s="31">
        <f>VLOOKUP('AM (2011)'!$C167+1,CPI!$B$50:$I$63,8,FALSE)*'AM (nominal)'!H167</f>
        <v>606</v>
      </c>
      <c r="I167" s="31">
        <f>VLOOKUP('AM (2011)'!$C167+1,CPI!$B$50:$I$63,8,FALSE)*'AM (nominal)'!I167</f>
        <v>0</v>
      </c>
      <c r="J167" s="27">
        <f>VLOOKUP('AM (2011)'!$C167+1,CPI!$B$50:$I$63,8,FALSE)*'AM (nominal)'!J167</f>
        <v>13871</v>
      </c>
      <c r="K167" s="31">
        <f>VLOOKUP('AM (2011)'!$C167+1,CPI!$B$50:$I$63,8,FALSE)*'AM (nominal)'!K167</f>
        <v>2468</v>
      </c>
      <c r="L167" s="31">
        <f>VLOOKUP('AM (2011)'!$C167+1,CPI!$B$50:$I$63,8,FALSE)*'AM (nominal)'!L167</f>
        <v>73</v>
      </c>
      <c r="M167" s="31">
        <f>VLOOKUP('AM (2011)'!$C167+1,CPI!$B$50:$I$63,8,FALSE)*'AM (nominal)'!M167</f>
        <v>833</v>
      </c>
      <c r="N167" s="639">
        <f>VLOOKUP('AM (2011)'!$C167+1,CPI!$B$50:$I$63,8,FALSE)*'AM (nominal)'!N167</f>
        <v>3374</v>
      </c>
    </row>
    <row r="168" spans="1:14" s="278" customFormat="1">
      <c r="A168" s="271">
        <f>References!S268</f>
        <v>247</v>
      </c>
      <c r="B168" s="305" t="s">
        <v>39</v>
      </c>
      <c r="C168" s="284">
        <v>2010</v>
      </c>
      <c r="D168" s="284">
        <v>2014</v>
      </c>
      <c r="E168" s="31">
        <f>VLOOKUP('AM (2011)'!$C168+1,CPI!$B$50:$I$63,8,FALSE)*'AM (nominal)'!E168</f>
        <v>4771</v>
      </c>
      <c r="F168" s="31">
        <f>VLOOKUP('AM (2011)'!$C168+1,CPI!$B$50:$I$63,8,FALSE)*'AM (nominal)'!F168</f>
        <v>5972</v>
      </c>
      <c r="G168" s="31">
        <f>VLOOKUP('AM (2011)'!$C168+1,CPI!$B$50:$I$63,8,FALSE)*'AM (nominal)'!G168</f>
        <v>2853</v>
      </c>
      <c r="H168" s="31">
        <f>VLOOKUP('AM (2011)'!$C168+1,CPI!$B$50:$I$63,8,FALSE)*'AM (nominal)'!H168</f>
        <v>606</v>
      </c>
      <c r="I168" s="31">
        <f>VLOOKUP('AM (2011)'!$C168+1,CPI!$B$50:$I$63,8,FALSE)*'AM (nominal)'!I168</f>
        <v>0</v>
      </c>
      <c r="J168" s="27">
        <f>VLOOKUP('AM (2011)'!$C168+1,CPI!$B$50:$I$63,8,FALSE)*'AM (nominal)'!J168</f>
        <v>14202</v>
      </c>
      <c r="K168" s="31">
        <f>VLOOKUP('AM (2011)'!$C168+1,CPI!$B$50:$I$63,8,FALSE)*'AM (nominal)'!K168</f>
        <v>2517</v>
      </c>
      <c r="L168" s="31">
        <f>VLOOKUP('AM (2011)'!$C168+1,CPI!$B$50:$I$63,8,FALSE)*'AM (nominal)'!L168</f>
        <v>73</v>
      </c>
      <c r="M168" s="31">
        <f>VLOOKUP('AM (2011)'!$C168+1,CPI!$B$50:$I$63,8,FALSE)*'AM (nominal)'!M168</f>
        <v>849</v>
      </c>
      <c r="N168" s="639">
        <f>VLOOKUP('AM (2011)'!$C168+1,CPI!$B$50:$I$63,8,FALSE)*'AM (nominal)'!N168</f>
        <v>3439</v>
      </c>
    </row>
    <row r="169" spans="1:14" s="278" customFormat="1">
      <c r="A169" s="271">
        <f>References!T268</f>
        <v>248</v>
      </c>
      <c r="B169" s="305" t="s">
        <v>39</v>
      </c>
      <c r="C169" s="284">
        <v>2010</v>
      </c>
      <c r="D169" s="284">
        <v>2015</v>
      </c>
      <c r="E169" s="31">
        <f>VLOOKUP('AM (2011)'!$C169+1,CPI!$B$50:$I$63,8,FALSE)*'AM (nominal)'!E169</f>
        <v>5271</v>
      </c>
      <c r="F169" s="31">
        <f>VLOOKUP('AM (2011)'!$C169+1,CPI!$B$50:$I$63,8,FALSE)*'AM (nominal)'!F169</f>
        <v>3622</v>
      </c>
      <c r="G169" s="31">
        <f>VLOOKUP('AM (2011)'!$C169+1,CPI!$B$50:$I$63,8,FALSE)*'AM (nominal)'!G169</f>
        <v>2827</v>
      </c>
      <c r="H169" s="31">
        <f>VLOOKUP('AM (2011)'!$C169+1,CPI!$B$50:$I$63,8,FALSE)*'AM (nominal)'!H169</f>
        <v>1106</v>
      </c>
      <c r="I169" s="31">
        <f>VLOOKUP('AM (2011)'!$C169+1,CPI!$B$50:$I$63,8,FALSE)*'AM (nominal)'!I169</f>
        <v>0</v>
      </c>
      <c r="J169" s="27">
        <f>VLOOKUP('AM (2011)'!$C169+1,CPI!$B$50:$I$63,8,FALSE)*'AM (nominal)'!J169</f>
        <v>12826</v>
      </c>
      <c r="K169" s="31">
        <f>VLOOKUP('AM (2011)'!$C169+1,CPI!$B$50:$I$63,8,FALSE)*'AM (nominal)'!K169</f>
        <v>2569</v>
      </c>
      <c r="L169" s="31">
        <f>VLOOKUP('AM (2011)'!$C169+1,CPI!$B$50:$I$63,8,FALSE)*'AM (nominal)'!L169</f>
        <v>73</v>
      </c>
      <c r="M169" s="31">
        <f>VLOOKUP('AM (2011)'!$C169+1,CPI!$B$50:$I$63,8,FALSE)*'AM (nominal)'!M169</f>
        <v>868</v>
      </c>
      <c r="N169" s="639">
        <f>VLOOKUP('AM (2011)'!$C169+1,CPI!$B$50:$I$63,8,FALSE)*'AM (nominal)'!N169</f>
        <v>3510</v>
      </c>
    </row>
    <row r="170" spans="1:14" s="278" customFormat="1">
      <c r="A170" s="271">
        <f>References!U268</f>
        <v>249</v>
      </c>
      <c r="B170" s="305" t="s">
        <v>39</v>
      </c>
      <c r="C170" s="284">
        <v>2011</v>
      </c>
      <c r="D170" s="284">
        <v>2012</v>
      </c>
      <c r="E170" s="31">
        <f>VLOOKUP('AM (2011)'!$C170+1,CPI!$B$50:$I$63,8,FALSE)*'AM (nominal)'!E170</f>
        <v>3672.9714285714285</v>
      </c>
      <c r="F170" s="31">
        <f>VLOOKUP('AM (2011)'!$C170+1,CPI!$B$50:$I$63,8,FALSE)*'AM (nominal)'!F170</f>
        <v>2459.7274725274724</v>
      </c>
      <c r="G170" s="31">
        <f>VLOOKUP('AM (2011)'!$C170+1,CPI!$B$50:$I$63,8,FALSE)*'AM (nominal)'!G170</f>
        <v>3174.3780219780219</v>
      </c>
      <c r="H170" s="31">
        <f>VLOOKUP('AM (2011)'!$C170+1,CPI!$B$50:$I$63,8,FALSE)*'AM (nominal)'!H170</f>
        <v>1806.6678733031674</v>
      </c>
      <c r="I170" s="31">
        <f>VLOOKUP('AM (2011)'!$C170+1,CPI!$B$50:$I$63,8,FALSE)*'AM (nominal)'!I170</f>
        <v>0</v>
      </c>
      <c r="J170" s="27">
        <f>VLOOKUP('AM (2011)'!$C170+1,CPI!$B$50:$I$63,8,FALSE)*'AM (nominal)'!J170</f>
        <v>11113.74479638009</v>
      </c>
      <c r="K170" s="31">
        <f>VLOOKUP('AM (2011)'!$C170+1,CPI!$B$50:$I$63,8,FALSE)*'AM (nominal)'!K170</f>
        <v>2527.1842275371687</v>
      </c>
      <c r="L170" s="31">
        <f>VLOOKUP('AM (2011)'!$C170+1,CPI!$B$50:$I$63,8,FALSE)*'AM (nominal)'!L170</f>
        <v>51.814608920491274</v>
      </c>
      <c r="M170" s="31">
        <f>VLOOKUP('AM (2011)'!$C170+1,CPI!$B$50:$I$63,8,FALSE)*'AM (nominal)'!M170</f>
        <v>730.29269553975439</v>
      </c>
      <c r="N170" s="639">
        <f>VLOOKUP('AM (2011)'!$C170+1,CPI!$B$50:$I$63,8,FALSE)*'AM (nominal)'!N170</f>
        <v>3309.291531997414</v>
      </c>
    </row>
    <row r="171" spans="1:14" s="278" customFormat="1">
      <c r="A171" s="271">
        <f>References!V268</f>
        <v>250</v>
      </c>
      <c r="B171" s="305" t="s">
        <v>39</v>
      </c>
      <c r="C171" s="284">
        <v>2011</v>
      </c>
      <c r="D171" s="284">
        <v>2013</v>
      </c>
      <c r="E171" s="31">
        <f>VLOOKUP('AM (2011)'!$C171+1,CPI!$B$50:$I$63,8,FALSE)*'AM (nominal)'!E171</f>
        <v>3960.3958629605686</v>
      </c>
      <c r="F171" s="31">
        <f>VLOOKUP('AM (2011)'!$C171+1,CPI!$B$50:$I$63,8,FALSE)*'AM (nominal)'!F171</f>
        <v>7671.4950226244346</v>
      </c>
      <c r="G171" s="31">
        <f>VLOOKUP('AM (2011)'!$C171+1,CPI!$B$50:$I$63,8,FALSE)*'AM (nominal)'!G171</f>
        <v>3192.9530704589529</v>
      </c>
      <c r="H171" s="31">
        <f>VLOOKUP('AM (2011)'!$C171+1,CPI!$B$50:$I$63,8,FALSE)*'AM (nominal)'!H171</f>
        <v>1524.1316095669035</v>
      </c>
      <c r="I171" s="31">
        <f>VLOOKUP('AM (2011)'!$C171+1,CPI!$B$50:$I$63,8,FALSE)*'AM (nominal)'!I171</f>
        <v>0</v>
      </c>
      <c r="J171" s="27">
        <f>VLOOKUP('AM (2011)'!$C171+1,CPI!$B$50:$I$63,8,FALSE)*'AM (nominal)'!J171</f>
        <v>16348.975565610859</v>
      </c>
      <c r="K171" s="31">
        <f>VLOOKUP('AM (2011)'!$C171+1,CPI!$B$50:$I$63,8,FALSE)*'AM (nominal)'!K171</f>
        <v>2475.3696186166771</v>
      </c>
      <c r="L171" s="31">
        <f>VLOOKUP('AM (2011)'!$C171+1,CPI!$B$50:$I$63,8,FALSE)*'AM (nominal)'!L171</f>
        <v>71.367291531997409</v>
      </c>
      <c r="M171" s="31">
        <f>VLOOKUP('AM (2011)'!$C171+1,CPI!$B$50:$I$63,8,FALSE)*'AM (nominal)'!M171</f>
        <v>814.36923076923074</v>
      </c>
      <c r="N171" s="639">
        <f>VLOOKUP('AM (2011)'!$C171+1,CPI!$B$50:$I$63,8,FALSE)*'AM (nominal)'!N171</f>
        <v>3361.1061409179056</v>
      </c>
    </row>
    <row r="172" spans="1:14" s="278" customFormat="1">
      <c r="A172" s="271">
        <f>References!W268</f>
        <v>251</v>
      </c>
      <c r="B172" s="305" t="s">
        <v>39</v>
      </c>
      <c r="C172" s="284">
        <v>2011</v>
      </c>
      <c r="D172" s="284">
        <v>2014</v>
      </c>
      <c r="E172" s="31">
        <f>VLOOKUP('AM (2011)'!$C172+1,CPI!$B$50:$I$63,8,FALSE)*'AM (nominal)'!E172</f>
        <v>3931.0668390433093</v>
      </c>
      <c r="F172" s="31">
        <f>VLOOKUP('AM (2011)'!$C172+1,CPI!$B$50:$I$63,8,FALSE)*'AM (nominal)'!F172</f>
        <v>4523.5131221719457</v>
      </c>
      <c r="G172" s="31">
        <f>VLOOKUP('AM (2011)'!$C172+1,CPI!$B$50:$I$63,8,FALSE)*'AM (nominal)'!G172</f>
        <v>3192.9530704589529</v>
      </c>
      <c r="H172" s="31">
        <f>VLOOKUP('AM (2011)'!$C172+1,CPI!$B$50:$I$63,8,FALSE)*'AM (nominal)'!H172</f>
        <v>592.44628312863608</v>
      </c>
      <c r="I172" s="31">
        <f>VLOOKUP('AM (2011)'!$C172+1,CPI!$B$50:$I$63,8,FALSE)*'AM (nominal)'!I172</f>
        <v>0</v>
      </c>
      <c r="J172" s="27">
        <f>VLOOKUP('AM (2011)'!$C172+1,CPI!$B$50:$I$63,8,FALSE)*'AM (nominal)'!J172</f>
        <v>12239.979314802844</v>
      </c>
      <c r="K172" s="31">
        <f>VLOOKUP('AM (2011)'!$C172+1,CPI!$B$50:$I$63,8,FALSE)*'AM (nominal)'!K172</f>
        <v>2519.3631544925661</v>
      </c>
      <c r="L172" s="31">
        <f>VLOOKUP('AM (2011)'!$C172+1,CPI!$B$50:$I$63,8,FALSE)*'AM (nominal)'!L172</f>
        <v>71.367291531997409</v>
      </c>
      <c r="M172" s="31">
        <f>VLOOKUP('AM (2011)'!$C172+1,CPI!$B$50:$I$63,8,FALSE)*'AM (nominal)'!M172</f>
        <v>809.48106011635423</v>
      </c>
      <c r="N172" s="639">
        <f>VLOOKUP('AM (2011)'!$C172+1,CPI!$B$50:$I$63,8,FALSE)*'AM (nominal)'!N172</f>
        <v>3400.2115061409177</v>
      </c>
    </row>
    <row r="173" spans="1:14" s="278" customFormat="1">
      <c r="A173" s="271">
        <f>References!X268</f>
        <v>252</v>
      </c>
      <c r="B173" s="305" t="s">
        <v>39</v>
      </c>
      <c r="C173" s="284">
        <v>2011</v>
      </c>
      <c r="D173" s="284">
        <v>2015</v>
      </c>
      <c r="E173" s="31">
        <f>VLOOKUP('AM (2011)'!$C173+1,CPI!$B$50:$I$63,8,FALSE)*'AM (nominal)'!E173</f>
        <v>4077.7119586296058</v>
      </c>
      <c r="F173" s="31">
        <f>VLOOKUP('AM (2011)'!$C173+1,CPI!$B$50:$I$63,8,FALSE)*'AM (nominal)'!F173</f>
        <v>4670.1582417582413</v>
      </c>
      <c r="G173" s="31">
        <f>VLOOKUP('AM (2011)'!$C173+1,CPI!$B$50:$I$63,8,FALSE)*'AM (nominal)'!G173</f>
        <v>3290.7164835164835</v>
      </c>
      <c r="H173" s="31">
        <f>VLOOKUP('AM (2011)'!$C173+1,CPI!$B$50:$I$63,8,FALSE)*'AM (nominal)'!H173</f>
        <v>1081.2633484162895</v>
      </c>
      <c r="I173" s="31">
        <f>VLOOKUP('AM (2011)'!$C173+1,CPI!$B$50:$I$63,8,FALSE)*'AM (nominal)'!I173</f>
        <v>0</v>
      </c>
      <c r="J173" s="27">
        <f>VLOOKUP('AM (2011)'!$C173+1,CPI!$B$50:$I$63,8,FALSE)*'AM (nominal)'!J173</f>
        <v>13119.850032320621</v>
      </c>
      <c r="K173" s="31">
        <f>VLOOKUP('AM (2011)'!$C173+1,CPI!$B$50:$I$63,8,FALSE)*'AM (nominal)'!K173</f>
        <v>2566.2895927601808</v>
      </c>
      <c r="L173" s="31">
        <f>VLOOKUP('AM (2011)'!$C173+1,CPI!$B$50:$I$63,8,FALSE)*'AM (nominal)'!L173</f>
        <v>71.367291531997409</v>
      </c>
      <c r="M173" s="31">
        <f>VLOOKUP('AM (2011)'!$C173+1,CPI!$B$50:$I$63,8,FALSE)*'AM (nominal)'!M173</f>
        <v>792.86127989657393</v>
      </c>
      <c r="N173" s="639">
        <f>VLOOKUP('AM (2011)'!$C173+1,CPI!$B$50:$I$63,8,FALSE)*'AM (nominal)'!N173</f>
        <v>3430.5181641887525</v>
      </c>
    </row>
    <row r="174" spans="1:14" s="278" customFormat="1">
      <c r="A174" s="271">
        <f>References!Y268</f>
        <v>253</v>
      </c>
      <c r="B174" s="305" t="s">
        <v>39</v>
      </c>
      <c r="C174" s="284">
        <v>2011</v>
      </c>
      <c r="D174" s="284">
        <v>2016</v>
      </c>
      <c r="E174" s="31">
        <f>VLOOKUP('AM (2011)'!$C174+1,CPI!$B$50:$I$63,8,FALSE)*'AM (nominal)'!E174</f>
        <v>4077.7119586296058</v>
      </c>
      <c r="F174" s="31">
        <f>VLOOKUP('AM (2011)'!$C174+1,CPI!$B$50:$I$63,8,FALSE)*'AM (nominal)'!F174</f>
        <v>4093.3541047188105</v>
      </c>
      <c r="G174" s="31">
        <f>VLOOKUP('AM (2011)'!$C174+1,CPI!$B$50:$I$63,8,FALSE)*'AM (nominal)'!G174</f>
        <v>3095.1896574014222</v>
      </c>
      <c r="H174" s="31">
        <f>VLOOKUP('AM (2011)'!$C174+1,CPI!$B$50:$I$63,8,FALSE)*'AM (nominal)'!H174</f>
        <v>558.22908855850028</v>
      </c>
      <c r="I174" s="31">
        <f>VLOOKUP('AM (2011)'!$C174+1,CPI!$B$50:$I$63,8,FALSE)*'AM (nominal)'!I174</f>
        <v>0</v>
      </c>
      <c r="J174" s="27">
        <f>VLOOKUP('AM (2011)'!$C174+1,CPI!$B$50:$I$63,8,FALSE)*'AM (nominal)'!J174</f>
        <v>11824.484809308338</v>
      </c>
      <c r="K174" s="31">
        <f>VLOOKUP('AM (2011)'!$C174+1,CPI!$B$50:$I$63,8,FALSE)*'AM (nominal)'!K174</f>
        <v>2444.0853264382677</v>
      </c>
      <c r="L174" s="31">
        <f>VLOOKUP('AM (2011)'!$C174+1,CPI!$B$50:$I$63,8,FALSE)*'AM (nominal)'!L174</f>
        <v>71.367291531997409</v>
      </c>
      <c r="M174" s="31">
        <f>VLOOKUP('AM (2011)'!$C174+1,CPI!$B$50:$I$63,8,FALSE)*'AM (nominal)'!M174</f>
        <v>807.52579185520358</v>
      </c>
      <c r="N174" s="639">
        <f>VLOOKUP('AM (2011)'!$C174+1,CPI!$B$50:$I$63,8,FALSE)*'AM (nominal)'!N174</f>
        <v>3322.9784098254686</v>
      </c>
    </row>
    <row r="175" spans="1:14" s="278" customFormat="1">
      <c r="A175" s="271">
        <f>References!K269</f>
        <v>262</v>
      </c>
      <c r="B175" s="305" t="s">
        <v>40</v>
      </c>
      <c r="C175" s="284">
        <v>2009</v>
      </c>
      <c r="D175" s="284">
        <v>2010</v>
      </c>
      <c r="E175" s="31">
        <f>VLOOKUP('AM (2011)'!$C175+1,CPI!$B$50:$I$63,8,FALSE)*'AM (nominal)'!E175</f>
        <v>254.70884643367191</v>
      </c>
      <c r="F175" s="31">
        <f>VLOOKUP('AM (2011)'!$C175+1,CPI!$B$50:$I$63,8,FALSE)*'AM (nominal)'!F175</f>
        <v>6484.37781250842</v>
      </c>
      <c r="G175" s="31">
        <f>VLOOKUP('AM (2011)'!$C175+1,CPI!$B$50:$I$63,8,FALSE)*'AM (nominal)'!G175</f>
        <v>2617.3881059524128</v>
      </c>
      <c r="H175" s="31">
        <f>VLOOKUP('AM (2011)'!$C175+1,CPI!$B$50:$I$63,8,FALSE)*'AM (nominal)'!H175</f>
        <v>4504.7806580259212</v>
      </c>
      <c r="I175" s="31">
        <f>VLOOKUP('AM (2011)'!$C175+1,CPI!$B$50:$I$63,8,FALSE)*'AM (nominal)'!I175</f>
        <v>50.941769286734385</v>
      </c>
      <c r="J175" s="27">
        <f>VLOOKUP('AM (2011)'!$C175+1,CPI!$B$50:$I$63,8,FALSE)*'AM (nominal)'!J175</f>
        <v>13912.197192207161</v>
      </c>
      <c r="K175" s="31">
        <f>VLOOKUP('AM (2011)'!$C175+1,CPI!$B$50:$I$63,8,FALSE)*'AM (nominal)'!K175</f>
        <v>2710.1021260542693</v>
      </c>
      <c r="L175" s="31">
        <f>VLOOKUP('AM (2011)'!$C175+1,CPI!$B$50:$I$63,8,FALSE)*'AM (nominal)'!L175</f>
        <v>2608.2185874808006</v>
      </c>
      <c r="M175" s="31">
        <f>VLOOKUP('AM (2011)'!$C175+1,CPI!$B$50:$I$63,8,FALSE)*'AM (nominal)'!M175</f>
        <v>1029.0237395920346</v>
      </c>
      <c r="N175" s="639">
        <f>VLOOKUP('AM (2011)'!$C175+1,CPI!$B$50:$I$63,8,FALSE)*'AM (nominal)'!N175</f>
        <v>6347.3444531271043</v>
      </c>
    </row>
    <row r="176" spans="1:14" s="278" customFormat="1">
      <c r="A176" s="271">
        <f>References!L269</f>
        <v>263</v>
      </c>
      <c r="B176" s="305" t="s">
        <v>40</v>
      </c>
      <c r="C176" s="284">
        <v>2009</v>
      </c>
      <c r="D176" s="284">
        <v>2011</v>
      </c>
      <c r="E176" s="31">
        <f>VLOOKUP('AM (2011)'!$C176+1,CPI!$B$50:$I$63,8,FALSE)*'AM (nominal)'!E176</f>
        <v>240.44515103338628</v>
      </c>
      <c r="F176" s="31">
        <f>VLOOKUP('AM (2011)'!$C176+1,CPI!$B$50:$I$63,8,FALSE)*'AM (nominal)'!F176</f>
        <v>3723.3339171674161</v>
      </c>
      <c r="G176" s="31">
        <f>VLOOKUP('AM (2011)'!$C176+1,CPI!$B$50:$I$63,8,FALSE)*'AM (nominal)'!G176</f>
        <v>4979.5579477782858</v>
      </c>
      <c r="H176" s="31">
        <f>VLOOKUP('AM (2011)'!$C176+1,CPI!$B$50:$I$63,8,FALSE)*'AM (nominal)'!H176</f>
        <v>1153.3216566516664</v>
      </c>
      <c r="I176" s="31">
        <f>VLOOKUP('AM (2011)'!$C176+1,CPI!$B$50:$I$63,8,FALSE)*'AM (nominal)'!I176</f>
        <v>168.10783864622346</v>
      </c>
      <c r="J176" s="27">
        <f>VLOOKUP('AM (2011)'!$C176+1,CPI!$B$50:$I$63,8,FALSE)*'AM (nominal)'!J176</f>
        <v>10264.766511276979</v>
      </c>
      <c r="K176" s="31">
        <f>VLOOKUP('AM (2011)'!$C176+1,CPI!$B$50:$I$63,8,FALSE)*'AM (nominal)'!K176</f>
        <v>2811.9856646277381</v>
      </c>
      <c r="L176" s="31">
        <f>VLOOKUP('AM (2011)'!$C176+1,CPI!$B$50:$I$63,8,FALSE)*'AM (nominal)'!L176</f>
        <v>2710.1021260542693</v>
      </c>
      <c r="M176" s="31">
        <f>VLOOKUP('AM (2011)'!$C176+1,CPI!$B$50:$I$63,8,FALSE)*'AM (nominal)'!M176</f>
        <v>1069.777155021422</v>
      </c>
      <c r="N176" s="639">
        <f>VLOOKUP('AM (2011)'!$C176+1,CPI!$B$50:$I$63,8,FALSE)*'AM (nominal)'!N176</f>
        <v>6591.8649457034289</v>
      </c>
    </row>
    <row r="177" spans="1:14" s="278" customFormat="1">
      <c r="A177" s="271">
        <f>References!M269</f>
        <v>264</v>
      </c>
      <c r="B177" s="305" t="s">
        <v>40</v>
      </c>
      <c r="C177" s="284">
        <v>2009</v>
      </c>
      <c r="D177" s="284">
        <v>2012</v>
      </c>
      <c r="E177" s="31">
        <f>VLOOKUP('AM (2011)'!$C177+1,CPI!$B$50:$I$63,8,FALSE)*'AM (nominal)'!E177</f>
        <v>209.88008946134568</v>
      </c>
      <c r="F177" s="31">
        <f>VLOOKUP('AM (2011)'!$C177+1,CPI!$B$50:$I$63,8,FALSE)*'AM (nominal)'!F177</f>
        <v>4451.801217967718</v>
      </c>
      <c r="G177" s="31">
        <f>VLOOKUP('AM (2011)'!$C177+1,CPI!$B$50:$I$63,8,FALSE)*'AM (nominal)'!G177</f>
        <v>4959.1812400635927</v>
      </c>
      <c r="H177" s="31">
        <f>VLOOKUP('AM (2011)'!$C177+1,CPI!$B$50:$I$63,8,FALSE)*'AM (nominal)'!H177</f>
        <v>1087.0973565789118</v>
      </c>
      <c r="I177" s="31">
        <f>VLOOKUP('AM (2011)'!$C177+1,CPI!$B$50:$I$63,8,FALSE)*'AM (nominal)'!I177</f>
        <v>157.91948478887659</v>
      </c>
      <c r="J177" s="27">
        <f>VLOOKUP('AM (2011)'!$C177+1,CPI!$B$50:$I$63,8,FALSE)*'AM (nominal)'!J177</f>
        <v>10865.879388860445</v>
      </c>
      <c r="K177" s="31">
        <f>VLOOKUP('AM (2011)'!$C177+1,CPI!$B$50:$I$63,8,FALSE)*'AM (nominal)'!K177</f>
        <v>2924.0575570585538</v>
      </c>
      <c r="L177" s="31">
        <f>VLOOKUP('AM (2011)'!$C177+1,CPI!$B$50:$I$63,8,FALSE)*'AM (nominal)'!L177</f>
        <v>2811.9856646277381</v>
      </c>
      <c r="M177" s="31">
        <f>VLOOKUP('AM (2011)'!$C177+1,CPI!$B$50:$I$63,8,FALSE)*'AM (nominal)'!M177</f>
        <v>1110.5305704508096</v>
      </c>
      <c r="N177" s="639">
        <f>VLOOKUP('AM (2011)'!$C177+1,CPI!$B$50:$I$63,8,FALSE)*'AM (nominal)'!N177</f>
        <v>6846.573792137101</v>
      </c>
    </row>
    <row r="178" spans="1:14" s="278" customFormat="1">
      <c r="A178" s="271">
        <f>References!N269</f>
        <v>265</v>
      </c>
      <c r="B178" s="305" t="s">
        <v>40</v>
      </c>
      <c r="C178" s="284">
        <v>2009</v>
      </c>
      <c r="D178" s="284">
        <v>2013</v>
      </c>
      <c r="E178" s="31">
        <f>VLOOKUP('AM (2011)'!$C178+1,CPI!$B$50:$I$63,8,FALSE)*'AM (nominal)'!E178</f>
        <v>220.06844331869254</v>
      </c>
      <c r="F178" s="31">
        <f>VLOOKUP('AM (2011)'!$C178+1,CPI!$B$50:$I$63,8,FALSE)*'AM (nominal)'!F178</f>
        <v>4286.2404677858312</v>
      </c>
      <c r="G178" s="31">
        <f>VLOOKUP('AM (2011)'!$C178+1,CPI!$B$50:$I$63,8,FALSE)*'AM (nominal)'!G178</f>
        <v>5290.3027404273662</v>
      </c>
      <c r="H178" s="31">
        <f>VLOOKUP('AM (2011)'!$C178+1,CPI!$B$50:$I$63,8,FALSE)*'AM (nominal)'!H178</f>
        <v>1275.581902939829</v>
      </c>
      <c r="I178" s="31">
        <f>VLOOKUP('AM (2011)'!$C178+1,CPI!$B$50:$I$63,8,FALSE)*'AM (nominal)'!I178</f>
        <v>201.21998868260081</v>
      </c>
      <c r="J178" s="27">
        <f>VLOOKUP('AM (2011)'!$C178+1,CPI!$B$50:$I$63,8,FALSE)*'AM (nominal)'!J178</f>
        <v>11273.41354315432</v>
      </c>
      <c r="K178" s="31">
        <f>VLOOKUP('AM (2011)'!$C178+1,CPI!$B$50:$I$63,8,FALSE)*'AM (nominal)'!K178</f>
        <v>3036.1294494893691</v>
      </c>
      <c r="L178" s="31">
        <f>VLOOKUP('AM (2011)'!$C178+1,CPI!$B$50:$I$63,8,FALSE)*'AM (nominal)'!L178</f>
        <v>2924.0575570585538</v>
      </c>
      <c r="M178" s="31">
        <f>VLOOKUP('AM (2011)'!$C178+1,CPI!$B$50:$I$63,8,FALSE)*'AM (nominal)'!M178</f>
        <v>1151.2839858801972</v>
      </c>
      <c r="N178" s="639">
        <f>VLOOKUP('AM (2011)'!$C178+1,CPI!$B$50:$I$63,8,FALSE)*'AM (nominal)'!N178</f>
        <v>7111.4709924281196</v>
      </c>
    </row>
    <row r="179" spans="1:14" s="278" customFormat="1">
      <c r="A179" s="271">
        <f>References!O269</f>
        <v>266</v>
      </c>
      <c r="B179" s="305" t="s">
        <v>40</v>
      </c>
      <c r="C179" s="284">
        <v>2009</v>
      </c>
      <c r="D179" s="284">
        <v>2014</v>
      </c>
      <c r="E179" s="31">
        <f>VLOOKUP('AM (2011)'!$C179+1,CPI!$B$50:$I$63,8,FALSE)*'AM (nominal)'!E179</f>
        <v>286.29274339144723</v>
      </c>
      <c r="F179" s="31">
        <f>VLOOKUP('AM (2011)'!$C179+1,CPI!$B$50:$I$63,8,FALSE)*'AM (nominal)'!F179</f>
        <v>3700.4101209883856</v>
      </c>
      <c r="G179" s="31">
        <f>VLOOKUP('AM (2011)'!$C179+1,CPI!$B$50:$I$63,8,FALSE)*'AM (nominal)'!G179</f>
        <v>4890.4098515265005</v>
      </c>
      <c r="H179" s="31">
        <f>VLOOKUP('AM (2011)'!$C179+1,CPI!$B$50:$I$63,8,FALSE)*'AM (nominal)'!H179</f>
        <v>957.19584489773911</v>
      </c>
      <c r="I179" s="31">
        <f>VLOOKUP('AM (2011)'!$C179+1,CPI!$B$50:$I$63,8,FALSE)*'AM (nominal)'!I179</f>
        <v>104.43062703780549</v>
      </c>
      <c r="J179" s="27">
        <f>VLOOKUP('AM (2011)'!$C179+1,CPI!$B$50:$I$63,8,FALSE)*'AM (nominal)'!J179</f>
        <v>9938.7391878418784</v>
      </c>
      <c r="K179" s="31">
        <f>VLOOKUP('AM (2011)'!$C179+1,CPI!$B$50:$I$63,8,FALSE)*'AM (nominal)'!K179</f>
        <v>3148.2013419201849</v>
      </c>
      <c r="L179" s="31">
        <f>VLOOKUP('AM (2011)'!$C179+1,CPI!$B$50:$I$63,8,FALSE)*'AM (nominal)'!L179</f>
        <v>3036.1294494893691</v>
      </c>
      <c r="M179" s="31">
        <f>VLOOKUP('AM (2011)'!$C179+1,CPI!$B$50:$I$63,8,FALSE)*'AM (nominal)'!M179</f>
        <v>1192.0374013095845</v>
      </c>
      <c r="N179" s="639">
        <f>VLOOKUP('AM (2011)'!$C179+1,CPI!$B$50:$I$63,8,FALSE)*'AM (nominal)'!N179</f>
        <v>7376.3681927191392</v>
      </c>
    </row>
    <row r="180" spans="1:14" s="278" customFormat="1">
      <c r="A180" s="271">
        <f>References!P269</f>
        <v>267</v>
      </c>
      <c r="B180" s="305" t="s">
        <v>40</v>
      </c>
      <c r="C180" s="284">
        <v>2010</v>
      </c>
      <c r="D180" s="284">
        <v>2011</v>
      </c>
      <c r="E180" s="31">
        <f>VLOOKUP('AM (2011)'!$C180+1,CPI!$B$50:$I$63,8,FALSE)*'AM (nominal)'!E180</f>
        <v>277</v>
      </c>
      <c r="F180" s="31">
        <f>VLOOKUP('AM (2011)'!$C180+1,CPI!$B$50:$I$63,8,FALSE)*'AM (nominal)'!F180</f>
        <v>5045</v>
      </c>
      <c r="G180" s="31">
        <f>VLOOKUP('AM (2011)'!$C180+1,CPI!$B$50:$I$63,8,FALSE)*'AM (nominal)'!G180</f>
        <v>4033</v>
      </c>
      <c r="H180" s="31">
        <f>VLOOKUP('AM (2011)'!$C180+1,CPI!$B$50:$I$63,8,FALSE)*'AM (nominal)'!H180</f>
        <v>4075</v>
      </c>
      <c r="I180" s="31">
        <f>VLOOKUP('AM (2011)'!$C180+1,CPI!$B$50:$I$63,8,FALSE)*'AM (nominal)'!I180</f>
        <v>294</v>
      </c>
      <c r="J180" s="27">
        <f>VLOOKUP('AM (2011)'!$C180+1,CPI!$B$50:$I$63,8,FALSE)*'AM (nominal)'!J180</f>
        <v>13724</v>
      </c>
      <c r="K180" s="31">
        <f>VLOOKUP('AM (2011)'!$C180+1,CPI!$B$50:$I$63,8,FALSE)*'AM (nominal)'!K180</f>
        <v>3870</v>
      </c>
      <c r="L180" s="31">
        <f>VLOOKUP('AM (2011)'!$C180+1,CPI!$B$50:$I$63,8,FALSE)*'AM (nominal)'!L180</f>
        <v>1190</v>
      </c>
      <c r="M180" s="31">
        <f>VLOOKUP('AM (2011)'!$C180+1,CPI!$B$50:$I$63,8,FALSE)*'AM (nominal)'!M180</f>
        <v>890</v>
      </c>
      <c r="N180" s="639">
        <f>VLOOKUP('AM (2011)'!$C180+1,CPI!$B$50:$I$63,8,FALSE)*'AM (nominal)'!N180</f>
        <v>5950</v>
      </c>
    </row>
    <row r="181" spans="1:14" s="278" customFormat="1">
      <c r="A181" s="271">
        <f>References!Q269</f>
        <v>268</v>
      </c>
      <c r="B181" s="305" t="s">
        <v>40</v>
      </c>
      <c r="C181" s="284">
        <v>2010</v>
      </c>
      <c r="D181" s="284">
        <v>2012</v>
      </c>
      <c r="E181" s="31">
        <f>VLOOKUP('AM (2011)'!$C181+1,CPI!$B$50:$I$63,8,FALSE)*'AM (nominal)'!E181</f>
        <v>303</v>
      </c>
      <c r="F181" s="31">
        <f>VLOOKUP('AM (2011)'!$C181+1,CPI!$B$50:$I$63,8,FALSE)*'AM (nominal)'!F181</f>
        <v>5624</v>
      </c>
      <c r="G181" s="31">
        <f>VLOOKUP('AM (2011)'!$C181+1,CPI!$B$50:$I$63,8,FALSE)*'AM (nominal)'!G181</f>
        <v>3387</v>
      </c>
      <c r="H181" s="31">
        <f>VLOOKUP('AM (2011)'!$C181+1,CPI!$B$50:$I$63,8,FALSE)*'AM (nominal)'!H181</f>
        <v>3633</v>
      </c>
      <c r="I181" s="31">
        <f>VLOOKUP('AM (2011)'!$C181+1,CPI!$B$50:$I$63,8,FALSE)*'AM (nominal)'!I181</f>
        <v>284</v>
      </c>
      <c r="J181" s="27">
        <f>VLOOKUP('AM (2011)'!$C181+1,CPI!$B$50:$I$63,8,FALSE)*'AM (nominal)'!J181</f>
        <v>13231</v>
      </c>
      <c r="K181" s="31">
        <f>VLOOKUP('AM (2011)'!$C181+1,CPI!$B$50:$I$63,8,FALSE)*'AM (nominal)'!K181</f>
        <v>3900</v>
      </c>
      <c r="L181" s="31">
        <f>VLOOKUP('AM (2011)'!$C181+1,CPI!$B$50:$I$63,8,FALSE)*'AM (nominal)'!L181</f>
        <v>1200</v>
      </c>
      <c r="M181" s="31">
        <f>VLOOKUP('AM (2011)'!$C181+1,CPI!$B$50:$I$63,8,FALSE)*'AM (nominal)'!M181</f>
        <v>890</v>
      </c>
      <c r="N181" s="639">
        <f>VLOOKUP('AM (2011)'!$C181+1,CPI!$B$50:$I$63,8,FALSE)*'AM (nominal)'!N181</f>
        <v>5990</v>
      </c>
    </row>
    <row r="182" spans="1:14" s="278" customFormat="1">
      <c r="A182" s="271">
        <f>References!R269</f>
        <v>269</v>
      </c>
      <c r="B182" s="305" t="s">
        <v>40</v>
      </c>
      <c r="C182" s="284">
        <v>2010</v>
      </c>
      <c r="D182" s="284">
        <v>2013</v>
      </c>
      <c r="E182" s="31">
        <f>VLOOKUP('AM (2011)'!$C182+1,CPI!$B$50:$I$63,8,FALSE)*'AM (nominal)'!E182</f>
        <v>288</v>
      </c>
      <c r="F182" s="31">
        <f>VLOOKUP('AM (2011)'!$C182+1,CPI!$B$50:$I$63,8,FALSE)*'AM (nominal)'!F182</f>
        <v>3060</v>
      </c>
      <c r="G182" s="31">
        <f>VLOOKUP('AM (2011)'!$C182+1,CPI!$B$50:$I$63,8,FALSE)*'AM (nominal)'!G182</f>
        <v>2790</v>
      </c>
      <c r="H182" s="31">
        <f>VLOOKUP('AM (2011)'!$C182+1,CPI!$B$50:$I$63,8,FALSE)*'AM (nominal)'!H182</f>
        <v>4369</v>
      </c>
      <c r="I182" s="31">
        <f>VLOOKUP('AM (2011)'!$C182+1,CPI!$B$50:$I$63,8,FALSE)*'AM (nominal)'!I182</f>
        <v>418</v>
      </c>
      <c r="J182" s="27">
        <f>VLOOKUP('AM (2011)'!$C182+1,CPI!$B$50:$I$63,8,FALSE)*'AM (nominal)'!J182</f>
        <v>10925</v>
      </c>
      <c r="K182" s="31">
        <f>VLOOKUP('AM (2011)'!$C182+1,CPI!$B$50:$I$63,8,FALSE)*'AM (nominal)'!K182</f>
        <v>3930</v>
      </c>
      <c r="L182" s="31">
        <f>VLOOKUP('AM (2011)'!$C182+1,CPI!$B$50:$I$63,8,FALSE)*'AM (nominal)'!L182</f>
        <v>1210</v>
      </c>
      <c r="M182" s="31">
        <f>VLOOKUP('AM (2011)'!$C182+1,CPI!$B$50:$I$63,8,FALSE)*'AM (nominal)'!M182</f>
        <v>890</v>
      </c>
      <c r="N182" s="639">
        <f>VLOOKUP('AM (2011)'!$C182+1,CPI!$B$50:$I$63,8,FALSE)*'AM (nominal)'!N182</f>
        <v>6030</v>
      </c>
    </row>
    <row r="183" spans="1:14" s="278" customFormat="1">
      <c r="A183" s="271">
        <f>References!S269</f>
        <v>270</v>
      </c>
      <c r="B183" s="305" t="s">
        <v>40</v>
      </c>
      <c r="C183" s="284">
        <v>2010</v>
      </c>
      <c r="D183" s="284">
        <v>2014</v>
      </c>
      <c r="E183" s="31">
        <f>VLOOKUP('AM (2011)'!$C183+1,CPI!$B$50:$I$63,8,FALSE)*'AM (nominal)'!E183</f>
        <v>286</v>
      </c>
      <c r="F183" s="31">
        <f>VLOOKUP('AM (2011)'!$C183+1,CPI!$B$50:$I$63,8,FALSE)*'AM (nominal)'!F183</f>
        <v>1990</v>
      </c>
      <c r="G183" s="31">
        <f>VLOOKUP('AM (2011)'!$C183+1,CPI!$B$50:$I$63,8,FALSE)*'AM (nominal)'!G183</f>
        <v>2555</v>
      </c>
      <c r="H183" s="31">
        <f>VLOOKUP('AM (2011)'!$C183+1,CPI!$B$50:$I$63,8,FALSE)*'AM (nominal)'!H183</f>
        <v>4004</v>
      </c>
      <c r="I183" s="31">
        <f>VLOOKUP('AM (2011)'!$C183+1,CPI!$B$50:$I$63,8,FALSE)*'AM (nominal)'!I183</f>
        <v>560</v>
      </c>
      <c r="J183" s="27">
        <f>VLOOKUP('AM (2011)'!$C183+1,CPI!$B$50:$I$63,8,FALSE)*'AM (nominal)'!J183</f>
        <v>9395</v>
      </c>
      <c r="K183" s="31">
        <f>VLOOKUP('AM (2011)'!$C183+1,CPI!$B$50:$I$63,8,FALSE)*'AM (nominal)'!K183</f>
        <v>3960</v>
      </c>
      <c r="L183" s="31">
        <f>VLOOKUP('AM (2011)'!$C183+1,CPI!$B$50:$I$63,8,FALSE)*'AM (nominal)'!L183</f>
        <v>1220</v>
      </c>
      <c r="M183" s="31">
        <f>VLOOKUP('AM (2011)'!$C183+1,CPI!$B$50:$I$63,8,FALSE)*'AM (nominal)'!M183</f>
        <v>890</v>
      </c>
      <c r="N183" s="639">
        <f>VLOOKUP('AM (2011)'!$C183+1,CPI!$B$50:$I$63,8,FALSE)*'AM (nominal)'!N183</f>
        <v>6070</v>
      </c>
    </row>
    <row r="184" spans="1:14" s="278" customFormat="1">
      <c r="A184" s="271">
        <f>References!T269</f>
        <v>271</v>
      </c>
      <c r="B184" s="305" t="s">
        <v>40</v>
      </c>
      <c r="C184" s="284">
        <v>2010</v>
      </c>
      <c r="D184" s="284">
        <v>2015</v>
      </c>
      <c r="E184" s="31">
        <f>VLOOKUP('AM (2011)'!$C184+1,CPI!$B$50:$I$63,8,FALSE)*'AM (nominal)'!E184</f>
        <v>283</v>
      </c>
      <c r="F184" s="31">
        <f>VLOOKUP('AM (2011)'!$C184+1,CPI!$B$50:$I$63,8,FALSE)*'AM (nominal)'!F184</f>
        <v>2330</v>
      </c>
      <c r="G184" s="31">
        <f>VLOOKUP('AM (2011)'!$C184+1,CPI!$B$50:$I$63,8,FALSE)*'AM (nominal)'!G184</f>
        <v>3221</v>
      </c>
      <c r="H184" s="31">
        <f>VLOOKUP('AM (2011)'!$C184+1,CPI!$B$50:$I$63,8,FALSE)*'AM (nominal)'!H184</f>
        <v>3319</v>
      </c>
      <c r="I184" s="31">
        <f>VLOOKUP('AM (2011)'!$C184+1,CPI!$B$50:$I$63,8,FALSE)*'AM (nominal)'!I184</f>
        <v>942</v>
      </c>
      <c r="J184" s="27">
        <f>VLOOKUP('AM (2011)'!$C184+1,CPI!$B$50:$I$63,8,FALSE)*'AM (nominal)'!J184</f>
        <v>10095</v>
      </c>
      <c r="K184" s="31">
        <f>VLOOKUP('AM (2011)'!$C184+1,CPI!$B$50:$I$63,8,FALSE)*'AM (nominal)'!K184</f>
        <v>3990</v>
      </c>
      <c r="L184" s="31">
        <f>VLOOKUP('AM (2011)'!$C184+1,CPI!$B$50:$I$63,8,FALSE)*'AM (nominal)'!L184</f>
        <v>1230</v>
      </c>
      <c r="M184" s="31">
        <f>VLOOKUP('AM (2011)'!$C184+1,CPI!$B$50:$I$63,8,FALSE)*'AM (nominal)'!M184</f>
        <v>890</v>
      </c>
      <c r="N184" s="639">
        <f>VLOOKUP('AM (2011)'!$C184+1,CPI!$B$50:$I$63,8,FALSE)*'AM (nominal)'!N184</f>
        <v>6110</v>
      </c>
    </row>
    <row r="185" spans="1:14" s="278" customFormat="1">
      <c r="A185" s="271">
        <f>References!U269</f>
        <v>272</v>
      </c>
      <c r="B185" s="305" t="s">
        <v>40</v>
      </c>
      <c r="C185" s="284">
        <v>2011</v>
      </c>
      <c r="D185" s="284">
        <v>2012</v>
      </c>
      <c r="E185" s="31">
        <f>VLOOKUP('AM (2011)'!$C185+1,CPI!$B$50:$I$63,8,FALSE)*'AM (nominal)'!E185</f>
        <v>542.58694246929542</v>
      </c>
      <c r="F185" s="31">
        <f>VLOOKUP('AM (2011)'!$C185+1,CPI!$B$50:$I$63,8,FALSE)*'AM (nominal)'!F185</f>
        <v>1913.2299935358758</v>
      </c>
      <c r="G185" s="31">
        <f>VLOOKUP('AM (2011)'!$C185+1,CPI!$B$50:$I$63,8,FALSE)*'AM (nominal)'!G185</f>
        <v>4562.1296703296703</v>
      </c>
      <c r="H185" s="31">
        <f>VLOOKUP('AM (2011)'!$C185+1,CPI!$B$50:$I$63,8,FALSE)*'AM (nominal)'!H185</f>
        <v>5001.5762120232703</v>
      </c>
      <c r="I185" s="31">
        <f>VLOOKUP('AM (2011)'!$C185+1,CPI!$B$50:$I$63,8,FALSE)*'AM (nominal)'!I185</f>
        <v>166.19780219780219</v>
      </c>
      <c r="J185" s="27">
        <f>VLOOKUP('AM (2011)'!$C185+1,CPI!$B$50:$I$63,8,FALSE)*'AM (nominal)'!J185</f>
        <v>12185.720620555914</v>
      </c>
      <c r="K185" s="31">
        <f>VLOOKUP('AM (2011)'!$C185+1,CPI!$B$50:$I$63,8,FALSE)*'AM (nominal)'!K185</f>
        <v>4602.701486748545</v>
      </c>
      <c r="L185" s="31">
        <f>VLOOKUP('AM (2011)'!$C185+1,CPI!$B$50:$I$63,8,FALSE)*'AM (nominal)'!L185</f>
        <v>992.29864253393657</v>
      </c>
      <c r="M185" s="31">
        <f>VLOOKUP('AM (2011)'!$C185+1,CPI!$B$50:$I$63,8,FALSE)*'AM (nominal)'!M185</f>
        <v>1076.3751777634129</v>
      </c>
      <c r="N185" s="639">
        <f>VLOOKUP('AM (2011)'!$C185+1,CPI!$B$50:$I$63,8,FALSE)*'AM (nominal)'!N185</f>
        <v>6671.3753070458952</v>
      </c>
    </row>
    <row r="186" spans="1:14" s="278" customFormat="1">
      <c r="A186" s="271">
        <f>References!V269</f>
        <v>273</v>
      </c>
      <c r="B186" s="305" t="s">
        <v>40</v>
      </c>
      <c r="C186" s="284">
        <v>2011</v>
      </c>
      <c r="D186" s="284">
        <v>2013</v>
      </c>
      <c r="E186" s="31">
        <f>VLOOKUP('AM (2011)'!$C186+1,CPI!$B$50:$I$63,8,FALSE)*'AM (nominal)'!E186</f>
        <v>280.58099547511313</v>
      </c>
      <c r="F186" s="31">
        <f>VLOOKUP('AM (2011)'!$C186+1,CPI!$B$50:$I$63,8,FALSE)*'AM (nominal)'!F186</f>
        <v>2115.3558500323206</v>
      </c>
      <c r="G186" s="31">
        <f>VLOOKUP('AM (2011)'!$C186+1,CPI!$B$50:$I$63,8,FALSE)*'AM (nominal)'!G186</f>
        <v>3449.924201680672</v>
      </c>
      <c r="H186" s="31">
        <f>VLOOKUP('AM (2011)'!$C186+1,CPI!$B$50:$I$63,8,FALSE)*'AM (nominal)'!H186</f>
        <v>2095.3632320620559</v>
      </c>
      <c r="I186" s="31">
        <f>VLOOKUP('AM (2011)'!$C186+1,CPI!$B$50:$I$63,8,FALSE)*'AM (nominal)'!I186</f>
        <v>231.30823529411762</v>
      </c>
      <c r="J186" s="27">
        <f>VLOOKUP('AM (2011)'!$C186+1,CPI!$B$50:$I$63,8,FALSE)*'AM (nominal)'!J186</f>
        <v>8172.5325145442794</v>
      </c>
      <c r="K186" s="31">
        <f>VLOOKUP('AM (2011)'!$C186+1,CPI!$B$50:$I$63,8,FALSE)*'AM (nominal)'!K186</f>
        <v>4671.1358758888173</v>
      </c>
      <c r="L186" s="31">
        <f>VLOOKUP('AM (2011)'!$C186+1,CPI!$B$50:$I$63,8,FALSE)*'AM (nominal)'!L186</f>
        <v>1001.0973497091144</v>
      </c>
      <c r="M186" s="31">
        <f>VLOOKUP('AM (2011)'!$C186+1,CPI!$B$50:$I$63,8,FALSE)*'AM (nominal)'!M186</f>
        <v>1087.1291531997415</v>
      </c>
      <c r="N186" s="639">
        <f>VLOOKUP('AM (2011)'!$C186+1,CPI!$B$50:$I$63,8,FALSE)*'AM (nominal)'!N186</f>
        <v>6759.362378797673</v>
      </c>
    </row>
    <row r="187" spans="1:14" s="278" customFormat="1">
      <c r="A187" s="271">
        <f>References!W269</f>
        <v>274</v>
      </c>
      <c r="B187" s="305" t="s">
        <v>40</v>
      </c>
      <c r="C187" s="284">
        <v>2011</v>
      </c>
      <c r="D187" s="284">
        <v>2014</v>
      </c>
      <c r="E187" s="31">
        <f>VLOOKUP('AM (2011)'!$C187+1,CPI!$B$50:$I$63,8,FALSE)*'AM (nominal)'!E187</f>
        <v>279.6033613445378</v>
      </c>
      <c r="F187" s="31">
        <f>VLOOKUP('AM (2011)'!$C187+1,CPI!$B$50:$I$63,8,FALSE)*'AM (nominal)'!F187</f>
        <v>1945.4919198448611</v>
      </c>
      <c r="G187" s="31">
        <f>VLOOKUP('AM (2011)'!$C187+1,CPI!$B$50:$I$63,8,FALSE)*'AM (nominal)'!G187</f>
        <v>5307.5756948933422</v>
      </c>
      <c r="H187" s="31">
        <f>VLOOKUP('AM (2011)'!$C187+1,CPI!$B$50:$I$63,8,FALSE)*'AM (nominal)'!H187</f>
        <v>2962.2314156431803</v>
      </c>
      <c r="I187" s="31">
        <f>VLOOKUP('AM (2011)'!$C187+1,CPI!$B$50:$I$63,8,FALSE)*'AM (nominal)'!I187</f>
        <v>547.47511312217193</v>
      </c>
      <c r="J187" s="27">
        <f>VLOOKUP('AM (2011)'!$C187+1,CPI!$B$50:$I$63,8,FALSE)*'AM (nominal)'!J187</f>
        <v>11042.377504848093</v>
      </c>
      <c r="K187" s="31">
        <f>VLOOKUP('AM (2011)'!$C187+1,CPI!$B$50:$I$63,8,FALSE)*'AM (nominal)'!K187</f>
        <v>4854.9310924369747</v>
      </c>
      <c r="L187" s="31">
        <f>VLOOKUP('AM (2011)'!$C187+1,CPI!$B$50:$I$63,8,FALSE)*'AM (nominal)'!L187</f>
        <v>1009.8960568842922</v>
      </c>
      <c r="M187" s="31">
        <f>VLOOKUP('AM (2011)'!$C187+1,CPI!$B$50:$I$63,8,FALSE)*'AM (nominal)'!M187</f>
        <v>1097.8831286360698</v>
      </c>
      <c r="N187" s="639">
        <f>VLOOKUP('AM (2011)'!$C187+1,CPI!$B$50:$I$63,8,FALSE)*'AM (nominal)'!N187</f>
        <v>6962.710277957337</v>
      </c>
    </row>
    <row r="188" spans="1:14" s="278" customFormat="1">
      <c r="A188" s="271">
        <f>References!X269</f>
        <v>275</v>
      </c>
      <c r="B188" s="305" t="s">
        <v>40</v>
      </c>
      <c r="C188" s="284">
        <v>2011</v>
      </c>
      <c r="D188" s="284">
        <v>2015</v>
      </c>
      <c r="E188" s="31">
        <f>VLOOKUP('AM (2011)'!$C188+1,CPI!$B$50:$I$63,8,FALSE)*'AM (nominal)'!E188</f>
        <v>275.69282482223656</v>
      </c>
      <c r="F188" s="31">
        <f>VLOOKUP('AM (2011)'!$C188+1,CPI!$B$50:$I$63,8,FALSE)*'AM (nominal)'!F188</f>
        <v>2166.6816418875242</v>
      </c>
      <c r="G188" s="31">
        <f>VLOOKUP('AM (2011)'!$C188+1,CPI!$B$50:$I$63,8,FALSE)*'AM (nominal)'!G188</f>
        <v>4395.687459599224</v>
      </c>
      <c r="H188" s="31">
        <f>VLOOKUP('AM (2011)'!$C188+1,CPI!$B$50:$I$63,8,FALSE)*'AM (nominal)'!H188</f>
        <v>3477.9334195216547</v>
      </c>
      <c r="I188" s="31">
        <f>VLOOKUP('AM (2011)'!$C188+1,CPI!$B$50:$I$63,8,FALSE)*'AM (nominal)'!I188</f>
        <v>975.19004524886873</v>
      </c>
      <c r="J188" s="27">
        <f>VLOOKUP('AM (2011)'!$C188+1,CPI!$B$50:$I$63,8,FALSE)*'AM (nominal)'!J188</f>
        <v>11291.185391079509</v>
      </c>
      <c r="K188" s="31">
        <f>VLOOKUP('AM (2011)'!$C188+1,CPI!$B$50:$I$63,8,FALSE)*'AM (nominal)'!K188</f>
        <v>5064.1447963800902</v>
      </c>
      <c r="L188" s="31">
        <f>VLOOKUP('AM (2011)'!$C188+1,CPI!$B$50:$I$63,8,FALSE)*'AM (nominal)'!L188</f>
        <v>1018.6947640594699</v>
      </c>
      <c r="M188" s="31">
        <f>VLOOKUP('AM (2011)'!$C188+1,CPI!$B$50:$I$63,8,FALSE)*'AM (nominal)'!M188</f>
        <v>1108.6371040723982</v>
      </c>
      <c r="N188" s="639">
        <f>VLOOKUP('AM (2011)'!$C188+1,CPI!$B$50:$I$63,8,FALSE)*'AM (nominal)'!N188</f>
        <v>7191.476664511958</v>
      </c>
    </row>
    <row r="189" spans="1:14" s="278" customFormat="1">
      <c r="A189" s="271">
        <f>References!Y269</f>
        <v>276</v>
      </c>
      <c r="B189" s="305" t="s">
        <v>40</v>
      </c>
      <c r="C189" s="284">
        <v>2011</v>
      </c>
      <c r="D189" s="284">
        <v>2016</v>
      </c>
      <c r="E189" s="31">
        <f>VLOOKUP('AM (2011)'!$C189+1,CPI!$B$50:$I$63,8,FALSE)*'AM (nominal)'!E189</f>
        <v>251.25197155785389</v>
      </c>
      <c r="F189" s="31">
        <f>VLOOKUP('AM (2011)'!$C189+1,CPI!$B$50:$I$63,8,FALSE)*'AM (nominal)'!F189</f>
        <v>3062.7322042663218</v>
      </c>
      <c r="G189" s="31">
        <f>VLOOKUP('AM (2011)'!$C189+1,CPI!$B$50:$I$63,8,FALSE)*'AM (nominal)'!G189</f>
        <v>4210.5724369747895</v>
      </c>
      <c r="H189" s="31">
        <f>VLOOKUP('AM (2011)'!$C189+1,CPI!$B$50:$I$63,8,FALSE)*'AM (nominal)'!H189</f>
        <v>3379.4856625727216</v>
      </c>
      <c r="I189" s="31">
        <f>VLOOKUP('AM (2011)'!$C189+1,CPI!$B$50:$I$63,8,FALSE)*'AM (nominal)'!I189</f>
        <v>871.07201034259856</v>
      </c>
      <c r="J189" s="27">
        <f>VLOOKUP('AM (2011)'!$C189+1,CPI!$B$50:$I$63,8,FALSE)*'AM (nominal)'!J189</f>
        <v>11775.114285714286</v>
      </c>
      <c r="K189" s="31">
        <f>VLOOKUP('AM (2011)'!$C189+1,CPI!$B$50:$I$63,8,FALSE)*'AM (nominal)'!K189</f>
        <v>5153.1095022624431</v>
      </c>
      <c r="L189" s="31">
        <f>VLOOKUP('AM (2011)'!$C189+1,CPI!$B$50:$I$63,8,FALSE)*'AM (nominal)'!L189</f>
        <v>1027.4934712346476</v>
      </c>
      <c r="M189" s="31">
        <f>VLOOKUP('AM (2011)'!$C189+1,CPI!$B$50:$I$63,8,FALSE)*'AM (nominal)'!M189</f>
        <v>1119.3910795087265</v>
      </c>
      <c r="N189" s="639">
        <f>VLOOKUP('AM (2011)'!$C189+1,CPI!$B$50:$I$63,8,FALSE)*'AM (nominal)'!N189</f>
        <v>7299.9940530058175</v>
      </c>
    </row>
    <row r="190" spans="1:14" s="278" customFormat="1">
      <c r="A190" s="271">
        <f>References!K270</f>
        <v>285</v>
      </c>
      <c r="B190" s="305" t="s">
        <v>41</v>
      </c>
      <c r="C190" s="284">
        <v>2009</v>
      </c>
      <c r="D190" s="284">
        <v>2010</v>
      </c>
      <c r="E190" s="31">
        <f>VLOOKUP('AM (2011)'!$C190+1,CPI!$B$50:$I$63,8,FALSE)*'AM (nominal)'!E190</f>
        <v>0</v>
      </c>
      <c r="F190" s="31">
        <f>VLOOKUP('AM (2011)'!$C190+1,CPI!$B$50:$I$63,8,FALSE)*'AM (nominal)'!F190</f>
        <v>366.78073886448755</v>
      </c>
      <c r="G190" s="31">
        <f>VLOOKUP('AM (2011)'!$C190+1,CPI!$B$50:$I$63,8,FALSE)*'AM (nominal)'!G190</f>
        <v>1092.1915335075853</v>
      </c>
      <c r="H190" s="31">
        <f>VLOOKUP('AM (2011)'!$C190+1,CPI!$B$50:$I$63,8,FALSE)*'AM (nominal)'!H190</f>
        <v>1077.9278381072995</v>
      </c>
      <c r="I190" s="31">
        <f>VLOOKUP('AM (2011)'!$C190+1,CPI!$B$50:$I$63,8,FALSE)*'AM (nominal)'!I190</f>
        <v>0</v>
      </c>
      <c r="J190" s="27">
        <f>VLOOKUP('AM (2011)'!$C190+1,CPI!$B$50:$I$63,8,FALSE)*'AM (nominal)'!J190</f>
        <v>2536.9001104793724</v>
      </c>
      <c r="K190" s="31">
        <f>VLOOKUP('AM (2011)'!$C190+1,CPI!$B$50:$I$63,8,FALSE)*'AM (nominal)'!K190</f>
        <v>228.50440031257577</v>
      </c>
      <c r="L190" s="31">
        <f>VLOOKUP('AM (2011)'!$C190+1,CPI!$B$50:$I$63,8,FALSE)*'AM (nominal)'!L190</f>
        <v>301.38169545417799</v>
      </c>
      <c r="M190" s="31">
        <f>VLOOKUP('AM (2011)'!$C190+1,CPI!$B$50:$I$63,8,FALSE)*'AM (nominal)'!M190</f>
        <v>71.227800652097756</v>
      </c>
      <c r="N190" s="639">
        <f>VLOOKUP('AM (2011)'!$C190+1,CPI!$B$50:$I$63,8,FALSE)*'AM (nominal)'!N190</f>
        <v>601.11389641885148</v>
      </c>
    </row>
    <row r="191" spans="1:14" s="278" customFormat="1">
      <c r="A191" s="271">
        <f>References!L270</f>
        <v>286</v>
      </c>
      <c r="B191" s="305" t="s">
        <v>41</v>
      </c>
      <c r="C191" s="284">
        <v>2009</v>
      </c>
      <c r="D191" s="284">
        <v>2011</v>
      </c>
      <c r="E191" s="31">
        <f>VLOOKUP('AM (2011)'!$C191+1,CPI!$B$50:$I$63,8,FALSE)*'AM (nominal)'!E191</f>
        <v>0</v>
      </c>
      <c r="F191" s="31">
        <f>VLOOKUP('AM (2011)'!$C191+1,CPI!$B$50:$I$63,8,FALSE)*'AM (nominal)'!F191</f>
        <v>3104.3914203335935</v>
      </c>
      <c r="G191" s="31">
        <f>VLOOKUP('AM (2011)'!$C191+1,CPI!$B$50:$I$63,8,FALSE)*'AM (nominal)'!G191</f>
        <v>1287.8079275686453</v>
      </c>
      <c r="H191" s="31">
        <f>VLOOKUP('AM (2011)'!$C191+1,CPI!$B$50:$I$63,8,FALSE)*'AM (nominal)'!H191</f>
        <v>383.08210503624258</v>
      </c>
      <c r="I191" s="31">
        <f>VLOOKUP('AM (2011)'!$C191+1,CPI!$B$50:$I$63,8,FALSE)*'AM (nominal)'!I191</f>
        <v>0</v>
      </c>
      <c r="J191" s="27">
        <f>VLOOKUP('AM (2011)'!$C191+1,CPI!$B$50:$I$63,8,FALSE)*'AM (nominal)'!J191</f>
        <v>4775.2814529384814</v>
      </c>
      <c r="K191" s="31">
        <f>VLOOKUP('AM (2011)'!$C191+1,CPI!$B$50:$I$63,8,FALSE)*'AM (nominal)'!K191</f>
        <v>232.76415106033249</v>
      </c>
      <c r="L191" s="31">
        <f>VLOOKUP('AM (2011)'!$C191+1,CPI!$B$50:$I$63,8,FALSE)*'AM (nominal)'!L191</f>
        <v>307.00057260650476</v>
      </c>
      <c r="M191" s="31">
        <f>VLOOKUP('AM (2011)'!$C191+1,CPI!$B$50:$I$63,8,FALSE)*'AM (nominal)'!M191</f>
        <v>72.555343159710048</v>
      </c>
      <c r="N191" s="639">
        <f>VLOOKUP('AM (2011)'!$C191+1,CPI!$B$50:$I$63,8,FALSE)*'AM (nominal)'!N191</f>
        <v>612.3200668265473</v>
      </c>
    </row>
    <row r="192" spans="1:14" s="278" customFormat="1">
      <c r="A192" s="271">
        <f>References!M270</f>
        <v>287</v>
      </c>
      <c r="B192" s="305" t="s">
        <v>41</v>
      </c>
      <c r="C192" s="284">
        <v>2009</v>
      </c>
      <c r="D192" s="284">
        <v>2012</v>
      </c>
      <c r="E192" s="31">
        <f>VLOOKUP('AM (2011)'!$C192+1,CPI!$B$50:$I$63,8,FALSE)*'AM (nominal)'!E192</f>
        <v>0</v>
      </c>
      <c r="F192" s="31">
        <f>VLOOKUP('AM (2011)'!$C192+1,CPI!$B$50:$I$63,8,FALSE)*'AM (nominal)'!F192</f>
        <v>2058.0474791840693</v>
      </c>
      <c r="G192" s="31">
        <f>VLOOKUP('AM (2011)'!$C192+1,CPI!$B$50:$I$63,8,FALSE)*'AM (nominal)'!G192</f>
        <v>778.39023470130144</v>
      </c>
      <c r="H192" s="31">
        <f>VLOOKUP('AM (2011)'!$C192+1,CPI!$B$50:$I$63,8,FALSE)*'AM (nominal)'!H192</f>
        <v>152.82530786020314</v>
      </c>
      <c r="I192" s="31">
        <f>VLOOKUP('AM (2011)'!$C192+1,CPI!$B$50:$I$63,8,FALSE)*'AM (nominal)'!I192</f>
        <v>0</v>
      </c>
      <c r="J192" s="27">
        <f>VLOOKUP('AM (2011)'!$C192+1,CPI!$B$50:$I$63,8,FALSE)*'AM (nominal)'!J192</f>
        <v>2989.2630217455735</v>
      </c>
      <c r="K192" s="31">
        <f>VLOOKUP('AM (2011)'!$C192+1,CPI!$B$50:$I$63,8,FALSE)*'AM (nominal)'!K192</f>
        <v>237.41207809005414</v>
      </c>
      <c r="L192" s="31">
        <f>VLOOKUP('AM (2011)'!$C192+1,CPI!$B$50:$I$63,8,FALSE)*'AM (nominal)'!L192</f>
        <v>313.12988628708467</v>
      </c>
      <c r="M192" s="31">
        <f>VLOOKUP('AM (2011)'!$C192+1,CPI!$B$50:$I$63,8,FALSE)*'AM (nominal)'!M192</f>
        <v>74.004127078224769</v>
      </c>
      <c r="N192" s="639">
        <f>VLOOKUP('AM (2011)'!$C192+1,CPI!$B$50:$I$63,8,FALSE)*'AM (nominal)'!N192</f>
        <v>624.54609145536358</v>
      </c>
    </row>
    <row r="193" spans="1:14" s="278" customFormat="1">
      <c r="A193" s="271">
        <f>References!N270</f>
        <v>288</v>
      </c>
      <c r="B193" s="305" t="s">
        <v>41</v>
      </c>
      <c r="C193" s="284">
        <v>2009</v>
      </c>
      <c r="D193" s="284">
        <v>2013</v>
      </c>
      <c r="E193" s="31">
        <f>VLOOKUP('AM (2011)'!$C193+1,CPI!$B$50:$I$63,8,FALSE)*'AM (nominal)'!E193</f>
        <v>0</v>
      </c>
      <c r="F193" s="31">
        <f>VLOOKUP('AM (2011)'!$C193+1,CPI!$B$50:$I$63,8,FALSE)*'AM (nominal)'!F193</f>
        <v>224.1437848616313</v>
      </c>
      <c r="G193" s="31">
        <f>VLOOKUP('AM (2011)'!$C193+1,CPI!$B$50:$I$63,8,FALSE)*'AM (nominal)'!G193</f>
        <v>702.99641615693452</v>
      </c>
      <c r="H193" s="31">
        <f>VLOOKUP('AM (2011)'!$C193+1,CPI!$B$50:$I$63,8,FALSE)*'AM (nominal)'!H193</f>
        <v>50.941769286734385</v>
      </c>
      <c r="I193" s="31">
        <f>VLOOKUP('AM (2011)'!$C193+1,CPI!$B$50:$I$63,8,FALSE)*'AM (nominal)'!I193</f>
        <v>0</v>
      </c>
      <c r="J193" s="27">
        <f>VLOOKUP('AM (2011)'!$C193+1,CPI!$B$50:$I$63,8,FALSE)*'AM (nominal)'!J193</f>
        <v>978.08197030530016</v>
      </c>
      <c r="K193" s="31">
        <f>VLOOKUP('AM (2011)'!$C193+1,CPI!$B$50:$I$63,8,FALSE)*'AM (nominal)'!K193</f>
        <v>242.44716256635496</v>
      </c>
      <c r="L193" s="31">
        <f>VLOOKUP('AM (2011)'!$C193+1,CPI!$B$50:$I$63,8,FALSE)*'AM (nominal)'!L193</f>
        <v>319.77065533130332</v>
      </c>
      <c r="M193" s="31">
        <f>VLOOKUP('AM (2011)'!$C193+1,CPI!$B$50:$I$63,8,FALSE)*'AM (nominal)'!M193</f>
        <v>75.573133572256197</v>
      </c>
      <c r="N193" s="639">
        <f>VLOOKUP('AM (2011)'!$C193+1,CPI!$B$50:$I$63,8,FALSE)*'AM (nominal)'!N193</f>
        <v>637.79095146991449</v>
      </c>
    </row>
    <row r="194" spans="1:14" s="278" customFormat="1">
      <c r="A194" s="271">
        <f>References!O270</f>
        <v>289</v>
      </c>
      <c r="B194" s="305" t="s">
        <v>41</v>
      </c>
      <c r="C194" s="284">
        <v>2009</v>
      </c>
      <c r="D194" s="284">
        <v>2014</v>
      </c>
      <c r="E194" s="31">
        <f>VLOOKUP('AM (2011)'!$C194+1,CPI!$B$50:$I$63,8,FALSE)*'AM (nominal)'!E194</f>
        <v>0</v>
      </c>
      <c r="F194" s="31">
        <f>VLOOKUP('AM (2011)'!$C194+1,CPI!$B$50:$I$63,8,FALSE)*'AM (nominal)'!F194</f>
        <v>203.76707714693754</v>
      </c>
      <c r="G194" s="31">
        <f>VLOOKUP('AM (2011)'!$C194+1,CPI!$B$50:$I$63,8,FALSE)*'AM (nominal)'!G194</f>
        <v>478.85263129530318</v>
      </c>
      <c r="H194" s="31">
        <f>VLOOKUP('AM (2011)'!$C194+1,CPI!$B$50:$I$63,8,FALSE)*'AM (nominal)'!H194</f>
        <v>50.941769286734385</v>
      </c>
      <c r="I194" s="31">
        <f>VLOOKUP('AM (2011)'!$C194+1,CPI!$B$50:$I$63,8,FALSE)*'AM (nominal)'!I194</f>
        <v>0</v>
      </c>
      <c r="J194" s="27">
        <f>VLOOKUP('AM (2011)'!$C194+1,CPI!$B$50:$I$63,8,FALSE)*'AM (nominal)'!J194</f>
        <v>733.56147772897509</v>
      </c>
      <c r="K194" s="31">
        <f>VLOOKUP('AM (2011)'!$C194+1,CPI!$B$50:$I$63,8,FALSE)*'AM (nominal)'!K194</f>
        <v>247.48122820727005</v>
      </c>
      <c r="L194" s="31">
        <f>VLOOKUP('AM (2011)'!$C194+1,CPI!$B$50:$I$63,8,FALSE)*'AM (nominal)'!L194</f>
        <v>326.41142437552202</v>
      </c>
      <c r="M194" s="31">
        <f>VLOOKUP('AM (2011)'!$C194+1,CPI!$B$50:$I$63,8,FALSE)*'AM (nominal)'!M194</f>
        <v>77.143158901673345</v>
      </c>
      <c r="N194" s="639">
        <f>VLOOKUP('AM (2011)'!$C194+1,CPI!$B$50:$I$63,8,FALSE)*'AM (nominal)'!N194</f>
        <v>651.0358114844654</v>
      </c>
    </row>
    <row r="195" spans="1:14" s="278" customFormat="1">
      <c r="A195" s="271">
        <f>References!P270</f>
        <v>290</v>
      </c>
      <c r="B195" s="305" t="s">
        <v>41</v>
      </c>
      <c r="C195" s="284">
        <v>2010</v>
      </c>
      <c r="D195" s="284">
        <v>2011</v>
      </c>
      <c r="E195" s="31">
        <f>VLOOKUP('AM (2011)'!$C195+1,CPI!$B$50:$I$63,8,FALSE)*'AM (nominal)'!E195</f>
        <v>0</v>
      </c>
      <c r="F195" s="31">
        <f>VLOOKUP('AM (2011)'!$C195+1,CPI!$B$50:$I$63,8,FALSE)*'AM (nominal)'!F195</f>
        <v>4275</v>
      </c>
      <c r="G195" s="31">
        <f>VLOOKUP('AM (2011)'!$C195+1,CPI!$B$50:$I$63,8,FALSE)*'AM (nominal)'!G195</f>
        <v>464</v>
      </c>
      <c r="H195" s="31">
        <f>VLOOKUP('AM (2011)'!$C195+1,CPI!$B$50:$I$63,8,FALSE)*'AM (nominal)'!H195</f>
        <v>1378</v>
      </c>
      <c r="I195" s="31">
        <f>VLOOKUP('AM (2011)'!$C195+1,CPI!$B$50:$I$63,8,FALSE)*'AM (nominal)'!I195</f>
        <v>0</v>
      </c>
      <c r="J195" s="27">
        <f>VLOOKUP('AM (2011)'!$C195+1,CPI!$B$50:$I$63,8,FALSE)*'AM (nominal)'!J195</f>
        <v>6117</v>
      </c>
      <c r="K195" s="31">
        <f>VLOOKUP('AM (2011)'!$C195+1,CPI!$B$50:$I$63,8,FALSE)*'AM (nominal)'!K195</f>
        <v>228.46118609059593</v>
      </c>
      <c r="L195" s="31">
        <f>VLOOKUP('AM (2011)'!$C195+1,CPI!$B$50:$I$63,8,FALSE)*'AM (nominal)'!L195</f>
        <v>301.32468494622464</v>
      </c>
      <c r="M195" s="31">
        <f>VLOOKUP('AM (2011)'!$C195+1,CPI!$B$50:$I$63,8,FALSE)*'AM (nominal)'!M195</f>
        <v>71.214128963179419</v>
      </c>
      <c r="N195" s="639">
        <f>VLOOKUP('AM (2011)'!$C195+1,CPI!$B$50:$I$63,8,FALSE)*'AM (nominal)'!N195</f>
        <v>601</v>
      </c>
    </row>
    <row r="196" spans="1:14" s="278" customFormat="1">
      <c r="A196" s="271">
        <f>References!Q270</f>
        <v>291</v>
      </c>
      <c r="B196" s="305" t="s">
        <v>41</v>
      </c>
      <c r="C196" s="284">
        <v>2010</v>
      </c>
      <c r="D196" s="284">
        <v>2012</v>
      </c>
      <c r="E196" s="31">
        <f>VLOOKUP('AM (2011)'!$C196+1,CPI!$B$50:$I$63,8,FALSE)*'AM (nominal)'!E196</f>
        <v>0</v>
      </c>
      <c r="F196" s="31">
        <f>VLOOKUP('AM (2011)'!$C196+1,CPI!$B$50:$I$63,8,FALSE)*'AM (nominal)'!F196</f>
        <v>4430</v>
      </c>
      <c r="G196" s="31">
        <f>VLOOKUP('AM (2011)'!$C196+1,CPI!$B$50:$I$63,8,FALSE)*'AM (nominal)'!G196</f>
        <v>150</v>
      </c>
      <c r="H196" s="31">
        <f>VLOOKUP('AM (2011)'!$C196+1,CPI!$B$50:$I$63,8,FALSE)*'AM (nominal)'!H196</f>
        <v>1654</v>
      </c>
      <c r="I196" s="31">
        <f>VLOOKUP('AM (2011)'!$C196+1,CPI!$B$50:$I$63,8,FALSE)*'AM (nominal)'!I196</f>
        <v>0</v>
      </c>
      <c r="J196" s="27">
        <f>VLOOKUP('AM (2011)'!$C196+1,CPI!$B$50:$I$63,8,FALSE)*'AM (nominal)'!J196</f>
        <v>6234</v>
      </c>
      <c r="K196" s="31">
        <f>VLOOKUP('AM (2011)'!$C196+1,CPI!$B$50:$I$63,8,FALSE)*'AM (nominal)'!K196</f>
        <v>233.02280711070765</v>
      </c>
      <c r="L196" s="31">
        <f>VLOOKUP('AM (2011)'!$C196+1,CPI!$B$50:$I$63,8,FALSE)*'AM (nominal)'!L196</f>
        <v>307.34115120139046</v>
      </c>
      <c r="M196" s="31">
        <f>VLOOKUP('AM (2011)'!$C196+1,CPI!$B$50:$I$63,8,FALSE)*'AM (nominal)'!M196</f>
        <v>72.636041687901795</v>
      </c>
      <c r="N196" s="639">
        <f>VLOOKUP('AM (2011)'!$C196+1,CPI!$B$50:$I$63,8,FALSE)*'AM (nominal)'!N196</f>
        <v>612.99999999999989</v>
      </c>
    </row>
    <row r="197" spans="1:14" s="278" customFormat="1">
      <c r="A197" s="271">
        <f>References!R270</f>
        <v>292</v>
      </c>
      <c r="B197" s="305" t="s">
        <v>41</v>
      </c>
      <c r="C197" s="284">
        <v>2010</v>
      </c>
      <c r="D197" s="284">
        <v>2013</v>
      </c>
      <c r="E197" s="31">
        <f>VLOOKUP('AM (2011)'!$C197+1,CPI!$B$50:$I$63,8,FALSE)*'AM (nominal)'!E197</f>
        <v>0</v>
      </c>
      <c r="F197" s="31">
        <f>VLOOKUP('AM (2011)'!$C197+1,CPI!$B$50:$I$63,8,FALSE)*'AM (nominal)'!F197</f>
        <v>317</v>
      </c>
      <c r="G197" s="31">
        <f>VLOOKUP('AM (2011)'!$C197+1,CPI!$B$50:$I$63,8,FALSE)*'AM (nominal)'!G197</f>
        <v>72</v>
      </c>
      <c r="H197" s="31">
        <f>VLOOKUP('AM (2011)'!$C197+1,CPI!$B$50:$I$63,8,FALSE)*'AM (nominal)'!H197</f>
        <v>1382</v>
      </c>
      <c r="I197" s="31">
        <f>VLOOKUP('AM (2011)'!$C197+1,CPI!$B$50:$I$63,8,FALSE)*'AM (nominal)'!I197</f>
        <v>0</v>
      </c>
      <c r="J197" s="27">
        <f>VLOOKUP('AM (2011)'!$C197+1,CPI!$B$50:$I$63,8,FALSE)*'AM (nominal)'!J197</f>
        <v>1771</v>
      </c>
      <c r="K197" s="31">
        <f>VLOOKUP('AM (2011)'!$C197+1,CPI!$B$50:$I$63,8,FALSE)*'AM (nominal)'!K197</f>
        <v>237.96456321582872</v>
      </c>
      <c r="L197" s="31">
        <f>VLOOKUP('AM (2011)'!$C197+1,CPI!$B$50:$I$63,8,FALSE)*'AM (nominal)'!L197</f>
        <v>313.85898964448688</v>
      </c>
      <c r="M197" s="31">
        <f>VLOOKUP('AM (2011)'!$C197+1,CPI!$B$50:$I$63,8,FALSE)*'AM (nominal)'!M197</f>
        <v>74.176447139684385</v>
      </c>
      <c r="N197" s="639">
        <f>VLOOKUP('AM (2011)'!$C197+1,CPI!$B$50:$I$63,8,FALSE)*'AM (nominal)'!N197</f>
        <v>626</v>
      </c>
    </row>
    <row r="198" spans="1:14" s="278" customFormat="1">
      <c r="A198" s="271">
        <f>References!S270</f>
        <v>293</v>
      </c>
      <c r="B198" s="305" t="s">
        <v>41</v>
      </c>
      <c r="C198" s="284">
        <v>2010</v>
      </c>
      <c r="D198" s="284">
        <v>2014</v>
      </c>
      <c r="E198" s="31">
        <f>VLOOKUP('AM (2011)'!$C198+1,CPI!$B$50:$I$63,8,FALSE)*'AM (nominal)'!E198</f>
        <v>0</v>
      </c>
      <c r="F198" s="31">
        <f>VLOOKUP('AM (2011)'!$C198+1,CPI!$B$50:$I$63,8,FALSE)*'AM (nominal)'!F198</f>
        <v>200</v>
      </c>
      <c r="G198" s="31">
        <f>VLOOKUP('AM (2011)'!$C198+1,CPI!$B$50:$I$63,8,FALSE)*'AM (nominal)'!G198</f>
        <v>122</v>
      </c>
      <c r="H198" s="31">
        <f>VLOOKUP('AM (2011)'!$C198+1,CPI!$B$50:$I$63,8,FALSE)*'AM (nominal)'!H198</f>
        <v>1083</v>
      </c>
      <c r="I198" s="31">
        <f>VLOOKUP('AM (2011)'!$C198+1,CPI!$B$50:$I$63,8,FALSE)*'AM (nominal)'!I198</f>
        <v>0</v>
      </c>
      <c r="J198" s="27">
        <f>VLOOKUP('AM (2011)'!$C198+1,CPI!$B$50:$I$63,8,FALSE)*'AM (nominal)'!J198</f>
        <v>1405</v>
      </c>
      <c r="K198" s="31">
        <f>VLOOKUP('AM (2011)'!$C198+1,CPI!$B$50:$I$63,8,FALSE)*'AM (nominal)'!K198</f>
        <v>242.90631932094976</v>
      </c>
      <c r="L198" s="31">
        <f>VLOOKUP('AM (2011)'!$C198+1,CPI!$B$50:$I$63,8,FALSE)*'AM (nominal)'!L198</f>
        <v>320.37682808758325</v>
      </c>
      <c r="M198" s="31">
        <f>VLOOKUP('AM (2011)'!$C198+1,CPI!$B$50:$I$63,8,FALSE)*'AM (nominal)'!M198</f>
        <v>75.716852591466974</v>
      </c>
      <c r="N198" s="639">
        <f>VLOOKUP('AM (2011)'!$C198+1,CPI!$B$50:$I$63,8,FALSE)*'AM (nominal)'!N198</f>
        <v>639</v>
      </c>
    </row>
    <row r="199" spans="1:14" s="278" customFormat="1">
      <c r="A199" s="271">
        <f>References!T270</f>
        <v>294</v>
      </c>
      <c r="B199" s="305" t="s">
        <v>41</v>
      </c>
      <c r="C199" s="284">
        <v>2010</v>
      </c>
      <c r="D199" s="284">
        <v>2015</v>
      </c>
      <c r="E199" s="31">
        <f>VLOOKUP('AM (2011)'!$C199+1,CPI!$B$50:$I$63,8,FALSE)*'AM (nominal)'!E199</f>
        <v>0</v>
      </c>
      <c r="F199" s="31">
        <f>VLOOKUP('AM (2011)'!$C199+1,CPI!$B$50:$I$63,8,FALSE)*'AM (nominal)'!F199</f>
        <v>180</v>
      </c>
      <c r="G199" s="31">
        <f>VLOOKUP('AM (2011)'!$C199+1,CPI!$B$50:$I$63,8,FALSE)*'AM (nominal)'!G199</f>
        <v>50</v>
      </c>
      <c r="H199" s="31">
        <f>VLOOKUP('AM (2011)'!$C199+1,CPI!$B$50:$I$63,8,FALSE)*'AM (nominal)'!H199</f>
        <v>1307</v>
      </c>
      <c r="I199" s="31">
        <f>VLOOKUP('AM (2011)'!$C199+1,CPI!$B$50:$I$63,8,FALSE)*'AM (nominal)'!I199</f>
        <v>0</v>
      </c>
      <c r="J199" s="27">
        <f>VLOOKUP('AM (2011)'!$C199+1,CPI!$B$50:$I$63,8,FALSE)*'AM (nominal)'!J199</f>
        <v>1537</v>
      </c>
      <c r="K199" s="31">
        <f>VLOOKUP('AM (2011)'!$C199+1,CPI!$B$50:$I$63,8,FALSE)*'AM (nominal)'!K199</f>
        <v>247.46794034106148</v>
      </c>
      <c r="L199" s="31">
        <f>VLOOKUP('AM (2011)'!$C199+1,CPI!$B$50:$I$63,8,FALSE)*'AM (nominal)'!L199</f>
        <v>326.39329434274913</v>
      </c>
      <c r="M199" s="31">
        <f>VLOOKUP('AM (2011)'!$C199+1,CPI!$B$50:$I$63,8,FALSE)*'AM (nominal)'!M199</f>
        <v>77.138765316189364</v>
      </c>
      <c r="N199" s="639">
        <f>VLOOKUP('AM (2011)'!$C199+1,CPI!$B$50:$I$63,8,FALSE)*'AM (nominal)'!N199</f>
        <v>651</v>
      </c>
    </row>
    <row r="200" spans="1:14" s="278" customFormat="1">
      <c r="A200" s="271">
        <f>References!U270</f>
        <v>295</v>
      </c>
      <c r="B200" s="305" t="s">
        <v>41</v>
      </c>
      <c r="C200" s="284">
        <v>2011</v>
      </c>
      <c r="D200" s="284">
        <v>2012</v>
      </c>
      <c r="E200" s="31">
        <f>VLOOKUP('AM (2011)'!$C200+1,CPI!$B$50:$I$63,8,FALSE)*'AM (nominal)'!E200</f>
        <v>0</v>
      </c>
      <c r="F200" s="31">
        <f>VLOOKUP('AM (2011)'!$C200+1,CPI!$B$50:$I$63,8,FALSE)*'AM (nominal)'!F200</f>
        <v>4184.2740788623141</v>
      </c>
      <c r="G200" s="31">
        <f>VLOOKUP('AM (2011)'!$C200+1,CPI!$B$50:$I$63,8,FALSE)*'AM (nominal)'!G200</f>
        <v>1297.3204912734325</v>
      </c>
      <c r="H200" s="31">
        <f>VLOOKUP('AM (2011)'!$C200+1,CPI!$B$50:$I$63,8,FALSE)*'AM (nominal)'!H200</f>
        <v>342.17194570135746</v>
      </c>
      <c r="I200" s="31">
        <f>VLOOKUP('AM (2011)'!$C200+1,CPI!$B$50:$I$63,8,FALSE)*'AM (nominal)'!I200</f>
        <v>0</v>
      </c>
      <c r="J200" s="27">
        <f>VLOOKUP('AM (2011)'!$C200+1,CPI!$B$50:$I$63,8,FALSE)*'AM (nominal)'!J200</f>
        <v>5823.7665158371037</v>
      </c>
      <c r="K200" s="31">
        <f>VLOOKUP('AM (2011)'!$C200+1,CPI!$B$50:$I$63,8,FALSE)*'AM (nominal)'!K200</f>
        <v>223.3514530430769</v>
      </c>
      <c r="L200" s="31">
        <f>VLOOKUP('AM (2011)'!$C200+1,CPI!$B$50:$I$63,8,FALSE)*'AM (nominal)'!L200</f>
        <v>294.58529634308985</v>
      </c>
      <c r="M200" s="31">
        <f>VLOOKUP('AM (2011)'!$C200+1,CPI!$B$50:$I$63,8,FALSE)*'AM (nominal)'!M200</f>
        <v>69.621363050487389</v>
      </c>
      <c r="N200" s="639">
        <f>VLOOKUP('AM (2011)'!$C200+1,CPI!$B$50:$I$63,8,FALSE)*'AM (nominal)'!N200</f>
        <v>587.55811247575957</v>
      </c>
    </row>
    <row r="201" spans="1:14" s="278" customFormat="1">
      <c r="A201" s="271">
        <f>References!V270</f>
        <v>296</v>
      </c>
      <c r="B201" s="305" t="s">
        <v>41</v>
      </c>
      <c r="C201" s="284">
        <v>2011</v>
      </c>
      <c r="D201" s="284">
        <v>2013</v>
      </c>
      <c r="E201" s="31">
        <f>VLOOKUP('AM (2011)'!$C201+1,CPI!$B$50:$I$63,8,FALSE)*'AM (nominal)'!E201</f>
        <v>0</v>
      </c>
      <c r="F201" s="31">
        <f>VLOOKUP('AM (2011)'!$C201+1,CPI!$B$50:$I$63,8,FALSE)*'AM (nominal)'!F201</f>
        <v>4337.7626373626372</v>
      </c>
      <c r="G201" s="31">
        <f>VLOOKUP('AM (2011)'!$C201+1,CPI!$B$50:$I$63,8,FALSE)*'AM (nominal)'!G201</f>
        <v>1575.9462184873948</v>
      </c>
      <c r="H201" s="31">
        <f>VLOOKUP('AM (2011)'!$C201+1,CPI!$B$50:$I$63,8,FALSE)*'AM (nominal)'!H201</f>
        <v>168.15307045895281</v>
      </c>
      <c r="I201" s="31">
        <f>VLOOKUP('AM (2011)'!$C201+1,CPI!$B$50:$I$63,8,FALSE)*'AM (nominal)'!I201</f>
        <v>0</v>
      </c>
      <c r="J201" s="27">
        <f>VLOOKUP('AM (2011)'!$C201+1,CPI!$B$50:$I$63,8,FALSE)*'AM (nominal)'!J201</f>
        <v>6081.8619263089849</v>
      </c>
      <c r="K201" s="31">
        <f>VLOOKUP('AM (2011)'!$C201+1,CPI!$B$50:$I$63,8,FALSE)*'AM (nominal)'!K201</f>
        <v>227.81104942342597</v>
      </c>
      <c r="L201" s="31">
        <f>VLOOKUP('AM (2011)'!$C201+1,CPI!$B$50:$I$63,8,FALSE)*'AM (nominal)'!L201</f>
        <v>300.467199143426</v>
      </c>
      <c r="M201" s="31">
        <f>VLOOKUP('AM (2011)'!$C201+1,CPI!$B$50:$I$63,8,FALSE)*'AM (nominal)'!M201</f>
        <v>71.0114734660349</v>
      </c>
      <c r="N201" s="639">
        <f>VLOOKUP('AM (2011)'!$C201+1,CPI!$B$50:$I$63,8,FALSE)*'AM (nominal)'!N201</f>
        <v>599.28972204266324</v>
      </c>
    </row>
    <row r="202" spans="1:14" s="278" customFormat="1">
      <c r="A202" s="271">
        <f>References!W270</f>
        <v>297</v>
      </c>
      <c r="B202" s="305" t="s">
        <v>41</v>
      </c>
      <c r="C202" s="284">
        <v>2011</v>
      </c>
      <c r="D202" s="284">
        <v>2014</v>
      </c>
      <c r="E202" s="31">
        <f>VLOOKUP('AM (2011)'!$C202+1,CPI!$B$50:$I$63,8,FALSE)*'AM (nominal)'!E202</f>
        <v>0</v>
      </c>
      <c r="F202" s="31">
        <f>VLOOKUP('AM (2011)'!$C202+1,CPI!$B$50:$I$63,8,FALSE)*'AM (nominal)'!F202</f>
        <v>249.2967032967033</v>
      </c>
      <c r="G202" s="31">
        <f>VLOOKUP('AM (2011)'!$C202+1,CPI!$B$50:$I$63,8,FALSE)*'AM (nominal)'!G202</f>
        <v>1522.1763413057531</v>
      </c>
      <c r="H202" s="31">
        <f>VLOOKUP('AM (2011)'!$C202+1,CPI!$B$50:$I$63,8,FALSE)*'AM (nominal)'!H202</f>
        <v>58.65804783451842</v>
      </c>
      <c r="I202" s="31">
        <f>VLOOKUP('AM (2011)'!$C202+1,CPI!$B$50:$I$63,8,FALSE)*'AM (nominal)'!I202</f>
        <v>0</v>
      </c>
      <c r="J202" s="27">
        <f>VLOOKUP('AM (2011)'!$C202+1,CPI!$B$50:$I$63,8,FALSE)*'AM (nominal)'!J202</f>
        <v>1830.1310924369748</v>
      </c>
      <c r="K202" s="31">
        <f>VLOOKUP('AM (2011)'!$C202+1,CPI!$B$50:$I$63,8,FALSE)*'AM (nominal)'!K202</f>
        <v>232.64227885176467</v>
      </c>
      <c r="L202" s="31">
        <f>VLOOKUP('AM (2011)'!$C202+1,CPI!$B$50:$I$63,8,FALSE)*'AM (nominal)'!L202</f>
        <v>306.83926042084028</v>
      </c>
      <c r="M202" s="31">
        <f>VLOOKUP('AM (2011)'!$C202+1,CPI!$B$50:$I$63,8,FALSE)*'AM (nominal)'!M202</f>
        <v>72.517426408879118</v>
      </c>
      <c r="N202" s="639">
        <f>VLOOKUP('AM (2011)'!$C202+1,CPI!$B$50:$I$63,8,FALSE)*'AM (nominal)'!N202</f>
        <v>611.99896574014224</v>
      </c>
    </row>
    <row r="203" spans="1:14" s="278" customFormat="1">
      <c r="A203" s="271">
        <f>References!X270</f>
        <v>298</v>
      </c>
      <c r="B203" s="305" t="s">
        <v>41</v>
      </c>
      <c r="C203" s="284">
        <v>2011</v>
      </c>
      <c r="D203" s="284">
        <v>2015</v>
      </c>
      <c r="E203" s="31">
        <f>VLOOKUP('AM (2011)'!$C203+1,CPI!$B$50:$I$63,8,FALSE)*'AM (nominal)'!E203</f>
        <v>0</v>
      </c>
      <c r="F203" s="31">
        <f>VLOOKUP('AM (2011)'!$C203+1,CPI!$B$50:$I$63,8,FALSE)*'AM (nominal)'!F203</f>
        <v>175.97414350355527</v>
      </c>
      <c r="G203" s="31">
        <f>VLOOKUP('AM (2011)'!$C203+1,CPI!$B$50:$I$63,8,FALSE)*'AM (nominal)'!G203</f>
        <v>1188.8031027795732</v>
      </c>
      <c r="H203" s="31">
        <f>VLOOKUP('AM (2011)'!$C203+1,CPI!$B$50:$I$63,8,FALSE)*'AM (nominal)'!H203</f>
        <v>29.32902391725921</v>
      </c>
      <c r="I203" s="31">
        <f>VLOOKUP('AM (2011)'!$C203+1,CPI!$B$50:$I$63,8,FALSE)*'AM (nominal)'!I203</f>
        <v>0</v>
      </c>
      <c r="J203" s="27">
        <f>VLOOKUP('AM (2011)'!$C203+1,CPI!$B$50:$I$63,8,FALSE)*'AM (nominal)'!J203</f>
        <v>1394.1062702003878</v>
      </c>
      <c r="K203" s="31">
        <f>VLOOKUP('AM (2011)'!$C203+1,CPI!$B$50:$I$63,8,FALSE)*'AM (nominal)'!K203</f>
        <v>237.47350828010343</v>
      </c>
      <c r="L203" s="31">
        <f>VLOOKUP('AM (2011)'!$C203+1,CPI!$B$50:$I$63,8,FALSE)*'AM (nominal)'!L203</f>
        <v>313.21132179601813</v>
      </c>
      <c r="M203" s="31">
        <f>VLOOKUP('AM (2011)'!$C203+1,CPI!$B$50:$I$63,8,FALSE)*'AM (nominal)'!M203</f>
        <v>74.023379351723335</v>
      </c>
      <c r="N203" s="639">
        <f>VLOOKUP('AM (2011)'!$C203+1,CPI!$B$50:$I$63,8,FALSE)*'AM (nominal)'!N203</f>
        <v>624.70820943762124</v>
      </c>
    </row>
    <row r="204" spans="1:14" s="278" customFormat="1" ht="409.6">
      <c r="A204" s="271">
        <f>References!Y270</f>
        <v>299</v>
      </c>
      <c r="B204" s="305" t="s">
        <v>41</v>
      </c>
      <c r="C204" s="284">
        <v>2011</v>
      </c>
      <c r="D204" s="284">
        <v>2016</v>
      </c>
      <c r="E204" s="31">
        <f>VLOOKUP('AM (2011)'!$C204+1,CPI!$B$50:$I$63,8,FALSE)*'AM (nominal)'!E204</f>
        <v>0</v>
      </c>
      <c r="F204" s="31">
        <f>VLOOKUP('AM (2011)'!$C204+1,CPI!$B$50:$I$63,8,FALSE)*'AM (nominal)'!F204</f>
        <v>146.64511958629606</v>
      </c>
      <c r="G204" s="31">
        <f>VLOOKUP('AM (2011)'!$C204+1,CPI!$B$50:$I$63,8,FALSE)*'AM (nominal)'!G204</f>
        <v>1429.3010989010988</v>
      </c>
      <c r="H204" s="31">
        <f>VLOOKUP('AM (2011)'!$C204+1,CPI!$B$50:$I$63,8,FALSE)*'AM (nominal)'!H204</f>
        <v>29.32902391725921</v>
      </c>
      <c r="I204" s="31">
        <f>VLOOKUP('AM (2011)'!$C204+1,CPI!$B$50:$I$63,8,FALSE)*'AM (nominal)'!I204</f>
        <v>0</v>
      </c>
      <c r="J204" s="27">
        <f>VLOOKUP('AM (2011)'!$C204+1,CPI!$B$50:$I$63,8,FALSE)*'AM (nominal)'!J204</f>
        <v>1605.2752424046541</v>
      </c>
      <c r="K204" s="31">
        <f>VLOOKUP('AM (2011)'!$C204+1,CPI!$B$50:$I$63,8,FALSE)*'AM (nominal)'!K204</f>
        <v>241.9331046604525</v>
      </c>
      <c r="L204" s="31">
        <f>VLOOKUP('AM (2011)'!$C204+1,CPI!$B$50:$I$63,8,FALSE)*'AM (nominal)'!L204</f>
        <v>319.09322449859081</v>
      </c>
      <c r="M204" s="31">
        <f>VLOOKUP('AM (2011)'!$C204+1,CPI!$B$50:$I$63,8,FALSE)*'AM (nominal)'!M204</f>
        <v>75.413489767270846</v>
      </c>
      <c r="N204" s="639">
        <f>VLOOKUP('AM (2011)'!$C204+1,CPI!$B$50:$I$63,8,FALSE)*'AM (nominal)'!N204</f>
        <v>636.43981900452491</v>
      </c>
    </row>
    <row r="205" spans="1:14" s="278" customFormat="1" ht="409.6">
      <c r="A205" s="271">
        <f>References!K273</f>
        <v>354</v>
      </c>
      <c r="B205" s="305" t="s">
        <v>44</v>
      </c>
      <c r="C205" s="284">
        <v>2009</v>
      </c>
      <c r="D205" s="284">
        <v>2010</v>
      </c>
      <c r="E205" s="31">
        <f>VLOOKUP('AM (2011)'!$C205+1,CPI!$B$50:$I$63,8,FALSE)*'AM (nominal)'!E205</f>
        <v>356.59238500714071</v>
      </c>
      <c r="F205" s="31">
        <f>VLOOKUP('AM (2011)'!$C205+1,CPI!$B$50:$I$63,8,FALSE)*'AM (nominal)'!F205</f>
        <v>3550.6413192853865</v>
      </c>
      <c r="G205" s="31">
        <f>VLOOKUP('AM (2011)'!$C205+1,CPI!$B$50:$I$63,8,FALSE)*'AM (nominal)'!G205</f>
        <v>7182.7894694295483</v>
      </c>
      <c r="H205" s="31">
        <f>VLOOKUP('AM (2011)'!$C205+1,CPI!$B$50:$I$63,8,FALSE)*'AM (nominal)'!H205</f>
        <v>382.06326965050789</v>
      </c>
      <c r="I205" s="31">
        <f>VLOOKUP('AM (2011)'!$C205+1,CPI!$B$50:$I$63,8,FALSE)*'AM (nominal)'!I205</f>
        <v>0</v>
      </c>
      <c r="J205" s="27">
        <f>VLOOKUP('AM (2011)'!$C205+1,CPI!$B$50:$I$63,8,FALSE)*'AM (nominal)'!J205</f>
        <v>11472.086443372584</v>
      </c>
      <c r="K205" s="31">
        <f>VLOOKUP('AM (2011)'!$C205+1,CPI!$B$50:$I$63,8,FALSE)*'AM (nominal)'!K205</f>
        <v>1756.4722050066016</v>
      </c>
      <c r="L205" s="31">
        <f>VLOOKUP('AM (2011)'!$C205+1,CPI!$B$50:$I$63,8,FALSE)*'AM (nominal)'!L205</f>
        <v>4091.6429091105056</v>
      </c>
      <c r="M205" s="31">
        <f>VLOOKUP('AM (2011)'!$C205+1,CPI!$B$50:$I$63,8,FALSE)*'AM (nominal)'!M205</f>
        <v>1255.2051952251352</v>
      </c>
      <c r="N205" s="639">
        <f>VLOOKUP('AM (2011)'!$C205+1,CPI!$B$50:$I$63,8,FALSE)*'AM (nominal)'!N205</f>
        <v>7103.3203093422426</v>
      </c>
    </row>
    <row r="206" spans="1:14" s="278" customFormat="1" ht="409.6">
      <c r="A206" s="271">
        <f>References!L273</f>
        <v>355</v>
      </c>
      <c r="B206" s="305" t="s">
        <v>44</v>
      </c>
      <c r="C206" s="284">
        <v>2009</v>
      </c>
      <c r="D206" s="284">
        <v>2011</v>
      </c>
      <c r="E206" s="31">
        <f>VLOOKUP('AM (2011)'!$C206+1,CPI!$B$50:$I$63,8,FALSE)*'AM (nominal)'!E206</f>
        <v>356.59238500714071</v>
      </c>
      <c r="F206" s="31">
        <f>VLOOKUP('AM (2011)'!$C206+1,CPI!$B$50:$I$63,8,FALSE)*'AM (nominal)'!F206</f>
        <v>4763.0554283096653</v>
      </c>
      <c r="G206" s="31">
        <f>VLOOKUP('AM (2011)'!$C206+1,CPI!$B$50:$I$63,8,FALSE)*'AM (nominal)'!G206</f>
        <v>6172.1047667807379</v>
      </c>
      <c r="H206" s="31">
        <f>VLOOKUP('AM (2011)'!$C206+1,CPI!$B$50:$I$63,8,FALSE)*'AM (nominal)'!H206</f>
        <v>310.74479264907973</v>
      </c>
      <c r="I206" s="31">
        <f>VLOOKUP('AM (2011)'!$C206+1,CPI!$B$50:$I$63,8,FALSE)*'AM (nominal)'!I206</f>
        <v>0</v>
      </c>
      <c r="J206" s="27">
        <f>VLOOKUP('AM (2011)'!$C206+1,CPI!$B$50:$I$63,8,FALSE)*'AM (nominal)'!J206</f>
        <v>11602.497372746624</v>
      </c>
      <c r="K206" s="31">
        <f>VLOOKUP('AM (2011)'!$C206+1,CPI!$B$50:$I$63,8,FALSE)*'AM (nominal)'!K206</f>
        <v>1756.4722050066016</v>
      </c>
      <c r="L206" s="31">
        <f>VLOOKUP('AM (2011)'!$C206+1,CPI!$B$50:$I$63,8,FALSE)*'AM (nominal)'!L206</f>
        <v>4283.183961628627</v>
      </c>
      <c r="M206" s="31">
        <f>VLOOKUP('AM (2011)'!$C206+1,CPI!$B$50:$I$63,8,FALSE)*'AM (nominal)'!M206</f>
        <v>1256.2240306108699</v>
      </c>
      <c r="N206" s="639">
        <f>VLOOKUP('AM (2011)'!$C206+1,CPI!$B$50:$I$63,8,FALSE)*'AM (nominal)'!N206</f>
        <v>7295.8801972460988</v>
      </c>
    </row>
    <row r="207" spans="1:14" s="278" customFormat="1" ht="409.6">
      <c r="A207" s="271">
        <f>References!M273</f>
        <v>356</v>
      </c>
      <c r="B207" s="305" t="s">
        <v>44</v>
      </c>
      <c r="C207" s="284">
        <v>2009</v>
      </c>
      <c r="D207" s="284">
        <v>2012</v>
      </c>
      <c r="E207" s="31">
        <f>VLOOKUP('AM (2011)'!$C207+1,CPI!$B$50:$I$63,8,FALSE)*'AM (nominal)'!E207</f>
        <v>356.59238500714071</v>
      </c>
      <c r="F207" s="31">
        <f>VLOOKUP('AM (2011)'!$C207+1,CPI!$B$50:$I$63,8,FALSE)*'AM (nominal)'!F207</f>
        <v>3387.6276575678366</v>
      </c>
      <c r="G207" s="31">
        <f>VLOOKUP('AM (2011)'!$C207+1,CPI!$B$50:$I$63,8,FALSE)*'AM (nominal)'!G207</f>
        <v>4936.2574438845622</v>
      </c>
      <c r="H207" s="31">
        <f>VLOOKUP('AM (2011)'!$C207+1,CPI!$B$50:$I$63,8,FALSE)*'AM (nominal)'!H207</f>
        <v>687.71388537091423</v>
      </c>
      <c r="I207" s="31">
        <f>VLOOKUP('AM (2011)'!$C207+1,CPI!$B$50:$I$63,8,FALSE)*'AM (nominal)'!I207</f>
        <v>0</v>
      </c>
      <c r="J207" s="27">
        <f>VLOOKUP('AM (2011)'!$C207+1,CPI!$B$50:$I$63,8,FALSE)*'AM (nominal)'!J207</f>
        <v>9368.1913718304531</v>
      </c>
      <c r="K207" s="31">
        <f>VLOOKUP('AM (2011)'!$C207+1,CPI!$B$50:$I$63,8,FALSE)*'AM (nominal)'!K207</f>
        <v>1756.4722050066016</v>
      </c>
      <c r="L207" s="31">
        <f>VLOOKUP('AM (2011)'!$C207+1,CPI!$B$50:$I$63,8,FALSE)*'AM (nominal)'!L207</f>
        <v>4283.183961628627</v>
      </c>
      <c r="M207" s="31">
        <f>VLOOKUP('AM (2011)'!$C207+1,CPI!$B$50:$I$63,8,FALSE)*'AM (nominal)'!M207</f>
        <v>1256.2240306108699</v>
      </c>
      <c r="N207" s="639">
        <f>VLOOKUP('AM (2011)'!$C207+1,CPI!$B$50:$I$63,8,FALSE)*'AM (nominal)'!N207</f>
        <v>7295.8801972460988</v>
      </c>
    </row>
    <row r="208" spans="1:14" s="278" customFormat="1" ht="409.6">
      <c r="A208" s="271">
        <f>References!N273</f>
        <v>357</v>
      </c>
      <c r="B208" s="305" t="s">
        <v>44</v>
      </c>
      <c r="C208" s="284">
        <v>2009</v>
      </c>
      <c r="D208" s="284">
        <v>2013</v>
      </c>
      <c r="E208" s="31">
        <f>VLOOKUP('AM (2011)'!$C208+1,CPI!$B$50:$I$63,8,FALSE)*'AM (nominal)'!E208</f>
        <v>356.59238500714071</v>
      </c>
      <c r="F208" s="31">
        <f>VLOOKUP('AM (2011)'!$C208+1,CPI!$B$50:$I$63,8,FALSE)*'AM (nominal)'!F208</f>
        <v>3056.5061572040631</v>
      </c>
      <c r="G208" s="31">
        <f>VLOOKUP('AM (2011)'!$C208+1,CPI!$B$50:$I$63,8,FALSE)*'AM (nominal)'!G208</f>
        <v>6316.7793915550637</v>
      </c>
      <c r="H208" s="31">
        <f>VLOOKUP('AM (2011)'!$C208+1,CPI!$B$50:$I$63,8,FALSE)*'AM (nominal)'!H208</f>
        <v>152.82530786020314</v>
      </c>
      <c r="I208" s="31">
        <f>VLOOKUP('AM (2011)'!$C208+1,CPI!$B$50:$I$63,8,FALSE)*'AM (nominal)'!I208</f>
        <v>0</v>
      </c>
      <c r="J208" s="27">
        <f>VLOOKUP('AM (2011)'!$C208+1,CPI!$B$50:$I$63,8,FALSE)*'AM (nominal)'!J208</f>
        <v>9882.7032416264701</v>
      </c>
      <c r="K208" s="31">
        <f>VLOOKUP('AM (2011)'!$C208+1,CPI!$B$50:$I$63,8,FALSE)*'AM (nominal)'!K208</f>
        <v>1756.4722050066016</v>
      </c>
      <c r="L208" s="31">
        <f>VLOOKUP('AM (2011)'!$C208+1,CPI!$B$50:$I$63,8,FALSE)*'AM (nominal)'!L208</f>
        <v>4283.183961628627</v>
      </c>
      <c r="M208" s="31">
        <f>VLOOKUP('AM (2011)'!$C208+1,CPI!$B$50:$I$63,8,FALSE)*'AM (nominal)'!M208</f>
        <v>1256.2240306108699</v>
      </c>
      <c r="N208" s="639">
        <f>VLOOKUP('AM (2011)'!$C208+1,CPI!$B$50:$I$63,8,FALSE)*'AM (nominal)'!N208</f>
        <v>7295.8801972460988</v>
      </c>
    </row>
    <row r="209" spans="1:14" s="278" customFormat="1" ht="409.6">
      <c r="A209" s="271">
        <f>References!O273</f>
        <v>358</v>
      </c>
      <c r="B209" s="305" t="s">
        <v>44</v>
      </c>
      <c r="C209" s="284">
        <v>2009</v>
      </c>
      <c r="D209" s="284">
        <v>2014</v>
      </c>
      <c r="E209" s="31">
        <f>VLOOKUP('AM (2011)'!$C209+1,CPI!$B$50:$I$63,8,FALSE)*'AM (nominal)'!E209</f>
        <v>356.59238500714071</v>
      </c>
      <c r="F209" s="31">
        <f>VLOOKUP('AM (2011)'!$C209+1,CPI!$B$50:$I$63,8,FALSE)*'AM (nominal)'!F209</f>
        <v>2750.8555414836569</v>
      </c>
      <c r="G209" s="31">
        <f>VLOOKUP('AM (2011)'!$C209+1,CPI!$B$50:$I$63,8,FALSE)*'AM (nominal)'!G209</f>
        <v>4783.4321360243584</v>
      </c>
      <c r="H209" s="31">
        <f>VLOOKUP('AM (2011)'!$C209+1,CPI!$B$50:$I$63,8,FALSE)*'AM (nominal)'!H209</f>
        <v>331.12150036377352</v>
      </c>
      <c r="I209" s="31">
        <f>VLOOKUP('AM (2011)'!$C209+1,CPI!$B$50:$I$63,8,FALSE)*'AM (nominal)'!I209</f>
        <v>0</v>
      </c>
      <c r="J209" s="27">
        <f>VLOOKUP('AM (2011)'!$C209+1,CPI!$B$50:$I$63,8,FALSE)*'AM (nominal)'!J209</f>
        <v>8222.0015628789297</v>
      </c>
      <c r="K209" s="31">
        <f>VLOOKUP('AM (2011)'!$C209+1,CPI!$B$50:$I$63,8,FALSE)*'AM (nominal)'!K209</f>
        <v>1756.4722050066016</v>
      </c>
      <c r="L209" s="31">
        <f>VLOOKUP('AM (2011)'!$C209+1,CPI!$B$50:$I$63,8,FALSE)*'AM (nominal)'!L209</f>
        <v>4283.183961628627</v>
      </c>
      <c r="M209" s="31">
        <f>VLOOKUP('AM (2011)'!$C209+1,CPI!$B$50:$I$63,8,FALSE)*'AM (nominal)'!M209</f>
        <v>1256.2240306108699</v>
      </c>
      <c r="N209" s="639">
        <f>VLOOKUP('AM (2011)'!$C209+1,CPI!$B$50:$I$63,8,FALSE)*'AM (nominal)'!N209</f>
        <v>7295.8801972460988</v>
      </c>
    </row>
    <row r="210" spans="1:14" s="278" customFormat="1" ht="409.6">
      <c r="A210" s="271">
        <f>References!P273</f>
        <v>359</v>
      </c>
      <c r="B210" s="305" t="s">
        <v>44</v>
      </c>
      <c r="C210" s="284">
        <v>2010</v>
      </c>
      <c r="D210" s="284">
        <v>2011</v>
      </c>
      <c r="E210" s="31">
        <f>VLOOKUP('AM (2011)'!$C210+1,CPI!$B$50:$I$63,8,FALSE)*'AM (nominal)'!E210</f>
        <v>375</v>
      </c>
      <c r="F210" s="31">
        <f>VLOOKUP('AM (2011)'!$C210+1,CPI!$B$50:$I$63,8,FALSE)*'AM (nominal)'!F210</f>
        <v>1065</v>
      </c>
      <c r="G210" s="31">
        <f>VLOOKUP('AM (2011)'!$C210+1,CPI!$B$50:$I$63,8,FALSE)*'AM (nominal)'!G210</f>
        <v>7226</v>
      </c>
      <c r="H210" s="31">
        <f>VLOOKUP('AM (2011)'!$C210+1,CPI!$B$50:$I$63,8,FALSE)*'AM (nominal)'!H210</f>
        <v>2660</v>
      </c>
      <c r="I210" s="31">
        <f>VLOOKUP('AM (2011)'!$C210+1,CPI!$B$50:$I$63,8,FALSE)*'AM (nominal)'!I210</f>
        <v>0</v>
      </c>
      <c r="J210" s="27">
        <f>VLOOKUP('AM (2011)'!$C210+1,CPI!$B$50:$I$63,8,FALSE)*'AM (nominal)'!J210</f>
        <v>11326</v>
      </c>
      <c r="K210" s="31">
        <f>VLOOKUP('AM (2011)'!$C210+1,CPI!$B$50:$I$63,8,FALSE)*'AM (nominal)'!K210</f>
        <v>1870</v>
      </c>
      <c r="L210" s="31">
        <f>VLOOKUP('AM (2011)'!$C210+1,CPI!$B$50:$I$63,8,FALSE)*'AM (nominal)'!L210</f>
        <v>4623</v>
      </c>
      <c r="M210" s="31">
        <f>VLOOKUP('AM (2011)'!$C210+1,CPI!$B$50:$I$63,8,FALSE)*'AM (nominal)'!M210</f>
        <v>1148</v>
      </c>
      <c r="N210" s="639">
        <f>VLOOKUP('AM (2011)'!$C210+1,CPI!$B$50:$I$63,8,FALSE)*'AM (nominal)'!N210</f>
        <v>7641</v>
      </c>
    </row>
    <row r="211" spans="1:14" s="278" customFormat="1" ht="409.6">
      <c r="A211" s="271">
        <f>References!Q273</f>
        <v>360</v>
      </c>
      <c r="B211" s="305" t="s">
        <v>44</v>
      </c>
      <c r="C211" s="284">
        <v>2010</v>
      </c>
      <c r="D211" s="284">
        <v>2012</v>
      </c>
      <c r="E211" s="31">
        <f>VLOOKUP('AM (2011)'!$C211+1,CPI!$B$50:$I$63,8,FALSE)*'AM (nominal)'!E211</f>
        <v>375</v>
      </c>
      <c r="F211" s="31">
        <f>VLOOKUP('AM (2011)'!$C211+1,CPI!$B$50:$I$63,8,FALSE)*'AM (nominal)'!F211</f>
        <v>3667</v>
      </c>
      <c r="G211" s="31">
        <f>VLOOKUP('AM (2011)'!$C211+1,CPI!$B$50:$I$63,8,FALSE)*'AM (nominal)'!G211</f>
        <v>6351</v>
      </c>
      <c r="H211" s="31">
        <f>VLOOKUP('AM (2011)'!$C211+1,CPI!$B$50:$I$63,8,FALSE)*'AM (nominal)'!H211</f>
        <v>1432</v>
      </c>
      <c r="I211" s="31">
        <f>VLOOKUP('AM (2011)'!$C211+1,CPI!$B$50:$I$63,8,FALSE)*'AM (nominal)'!I211</f>
        <v>0</v>
      </c>
      <c r="J211" s="27">
        <f>VLOOKUP('AM (2011)'!$C211+1,CPI!$B$50:$I$63,8,FALSE)*'AM (nominal)'!J211</f>
        <v>11825</v>
      </c>
      <c r="K211" s="31">
        <f>VLOOKUP('AM (2011)'!$C211+1,CPI!$B$50:$I$63,8,FALSE)*'AM (nominal)'!K211</f>
        <v>1925</v>
      </c>
      <c r="L211" s="31">
        <f>VLOOKUP('AM (2011)'!$C211+1,CPI!$B$50:$I$63,8,FALSE)*'AM (nominal)'!L211</f>
        <v>4262</v>
      </c>
      <c r="M211" s="31">
        <f>VLOOKUP('AM (2011)'!$C211+1,CPI!$B$50:$I$63,8,FALSE)*'AM (nominal)'!M211</f>
        <v>1182</v>
      </c>
      <c r="N211" s="639">
        <f>VLOOKUP('AM (2011)'!$C211+1,CPI!$B$50:$I$63,8,FALSE)*'AM (nominal)'!N211</f>
        <v>7369</v>
      </c>
    </row>
    <row r="212" spans="1:14" s="278" customFormat="1" ht="409.6">
      <c r="A212" s="271">
        <f>References!R273</f>
        <v>361</v>
      </c>
      <c r="B212" s="305" t="s">
        <v>44</v>
      </c>
      <c r="C212" s="284">
        <v>2010</v>
      </c>
      <c r="D212" s="284">
        <v>2013</v>
      </c>
      <c r="E212" s="31">
        <f>VLOOKUP('AM (2011)'!$C212+1,CPI!$B$50:$I$63,8,FALSE)*'AM (nominal)'!E212</f>
        <v>375</v>
      </c>
      <c r="F212" s="31">
        <f>VLOOKUP('AM (2011)'!$C212+1,CPI!$B$50:$I$63,8,FALSE)*'AM (nominal)'!F212</f>
        <v>3586</v>
      </c>
      <c r="G212" s="31">
        <f>VLOOKUP('AM (2011)'!$C212+1,CPI!$B$50:$I$63,8,FALSE)*'AM (nominal)'!G212</f>
        <v>7484</v>
      </c>
      <c r="H212" s="31">
        <f>VLOOKUP('AM (2011)'!$C212+1,CPI!$B$50:$I$63,8,FALSE)*'AM (nominal)'!H212</f>
        <v>467</v>
      </c>
      <c r="I212" s="31">
        <f>VLOOKUP('AM (2011)'!$C212+1,CPI!$B$50:$I$63,8,FALSE)*'AM (nominal)'!I212</f>
        <v>0</v>
      </c>
      <c r="J212" s="27">
        <f>VLOOKUP('AM (2011)'!$C212+1,CPI!$B$50:$I$63,8,FALSE)*'AM (nominal)'!J212</f>
        <v>11912</v>
      </c>
      <c r="K212" s="31">
        <f>VLOOKUP('AM (2011)'!$C212+1,CPI!$B$50:$I$63,8,FALSE)*'AM (nominal)'!K212</f>
        <v>1983</v>
      </c>
      <c r="L212" s="31">
        <f>VLOOKUP('AM (2011)'!$C212+1,CPI!$B$50:$I$63,8,FALSE)*'AM (nominal)'!L212</f>
        <v>4405</v>
      </c>
      <c r="M212" s="31">
        <f>VLOOKUP('AM (2011)'!$C212+1,CPI!$B$50:$I$63,8,FALSE)*'AM (nominal)'!M212</f>
        <v>1218</v>
      </c>
      <c r="N212" s="639">
        <f>VLOOKUP('AM (2011)'!$C212+1,CPI!$B$50:$I$63,8,FALSE)*'AM (nominal)'!N212</f>
        <v>7606</v>
      </c>
    </row>
    <row r="213" spans="1:14" s="278" customFormat="1" ht="409.6">
      <c r="A213" s="271">
        <f>References!S273</f>
        <v>362</v>
      </c>
      <c r="B213" s="305" t="s">
        <v>44</v>
      </c>
      <c r="C213" s="284">
        <v>2010</v>
      </c>
      <c r="D213" s="284">
        <v>2014</v>
      </c>
      <c r="E213" s="31">
        <f>VLOOKUP('AM (2011)'!$C213+1,CPI!$B$50:$I$63,8,FALSE)*'AM (nominal)'!E213</f>
        <v>375</v>
      </c>
      <c r="F213" s="31">
        <f>VLOOKUP('AM (2011)'!$C213+1,CPI!$B$50:$I$63,8,FALSE)*'AM (nominal)'!F213</f>
        <v>3071</v>
      </c>
      <c r="G213" s="31">
        <f>VLOOKUP('AM (2011)'!$C213+1,CPI!$B$50:$I$63,8,FALSE)*'AM (nominal)'!G213</f>
        <v>8152</v>
      </c>
      <c r="H213" s="31">
        <f>VLOOKUP('AM (2011)'!$C213+1,CPI!$B$50:$I$63,8,FALSE)*'AM (nominal)'!H213</f>
        <v>809</v>
      </c>
      <c r="I213" s="31">
        <f>VLOOKUP('AM (2011)'!$C213+1,CPI!$B$50:$I$63,8,FALSE)*'AM (nominal)'!I213</f>
        <v>0</v>
      </c>
      <c r="J213" s="27">
        <f>VLOOKUP('AM (2011)'!$C213+1,CPI!$B$50:$I$63,8,FALSE)*'AM (nominal)'!J213</f>
        <v>12407</v>
      </c>
      <c r="K213" s="31">
        <f>VLOOKUP('AM (2011)'!$C213+1,CPI!$B$50:$I$63,8,FALSE)*'AM (nominal)'!K213</f>
        <v>2042</v>
      </c>
      <c r="L213" s="31">
        <f>VLOOKUP('AM (2011)'!$C213+1,CPI!$B$50:$I$63,8,FALSE)*'AM (nominal)'!L213</f>
        <v>4552</v>
      </c>
      <c r="M213" s="31">
        <f>VLOOKUP('AM (2011)'!$C213+1,CPI!$B$50:$I$63,8,FALSE)*'AM (nominal)'!M213</f>
        <v>1254</v>
      </c>
      <c r="N213" s="639">
        <f>VLOOKUP('AM (2011)'!$C213+1,CPI!$B$50:$I$63,8,FALSE)*'AM (nominal)'!N213</f>
        <v>7848</v>
      </c>
    </row>
    <row r="214" spans="1:14" s="278" customFormat="1" ht="409.6">
      <c r="A214" s="271">
        <f>References!T273</f>
        <v>363</v>
      </c>
      <c r="B214" s="305" t="s">
        <v>44</v>
      </c>
      <c r="C214" s="284">
        <v>2010</v>
      </c>
      <c r="D214" s="284">
        <v>2015</v>
      </c>
      <c r="E214" s="31">
        <f>VLOOKUP('AM (2011)'!$C214+1,CPI!$B$50:$I$63,8,FALSE)*'AM (nominal)'!E214</f>
        <v>375</v>
      </c>
      <c r="F214" s="31">
        <f>VLOOKUP('AM (2011)'!$C214+1,CPI!$B$50:$I$63,8,FALSE)*'AM (nominal)'!F214</f>
        <v>6961</v>
      </c>
      <c r="G214" s="31">
        <f>VLOOKUP('AM (2011)'!$C214+1,CPI!$B$50:$I$63,8,FALSE)*'AM (nominal)'!G214</f>
        <v>4212</v>
      </c>
      <c r="H214" s="31">
        <f>VLOOKUP('AM (2011)'!$C214+1,CPI!$B$50:$I$63,8,FALSE)*'AM (nominal)'!H214</f>
        <v>411</v>
      </c>
      <c r="I214" s="31">
        <f>VLOOKUP('AM (2011)'!$C214+1,CPI!$B$50:$I$63,8,FALSE)*'AM (nominal)'!I214</f>
        <v>0</v>
      </c>
      <c r="J214" s="27">
        <f>VLOOKUP('AM (2011)'!$C214+1,CPI!$B$50:$I$63,8,FALSE)*'AM (nominal)'!J214</f>
        <v>11959</v>
      </c>
      <c r="K214" s="31">
        <f>VLOOKUP('AM (2011)'!$C214+1,CPI!$B$50:$I$63,8,FALSE)*'AM (nominal)'!K214</f>
        <v>2102</v>
      </c>
      <c r="L214" s="31">
        <f>VLOOKUP('AM (2011)'!$C214+1,CPI!$B$50:$I$63,8,FALSE)*'AM (nominal)'!L214</f>
        <v>4704</v>
      </c>
      <c r="M214" s="31">
        <f>VLOOKUP('AM (2011)'!$C214+1,CPI!$B$50:$I$63,8,FALSE)*'AM (nominal)'!M214</f>
        <v>1292</v>
      </c>
      <c r="N214" s="639">
        <f>VLOOKUP('AM (2011)'!$C214+1,CPI!$B$50:$I$63,8,FALSE)*'AM (nominal)'!N214</f>
        <v>8098</v>
      </c>
    </row>
    <row r="215" spans="1:14" s="278" customFormat="1" ht="409.6">
      <c r="A215" s="271">
        <f>References!U273</f>
        <v>364</v>
      </c>
      <c r="B215" s="305" t="s">
        <v>44</v>
      </c>
      <c r="C215" s="284">
        <v>2011</v>
      </c>
      <c r="D215" s="284">
        <v>2012</v>
      </c>
      <c r="E215" s="31">
        <f>VLOOKUP('AM (2011)'!$C215+1,CPI!$B$50:$I$63,8,FALSE)*'AM (nominal)'!E215</f>
        <v>366.61279896574013</v>
      </c>
      <c r="F215" s="31">
        <f>VLOOKUP('AM (2011)'!$C215+1,CPI!$B$50:$I$63,8,FALSE)*'AM (nominal)'!F215</f>
        <v>4782.586166774402</v>
      </c>
      <c r="G215" s="31">
        <f>VLOOKUP('AM (2011)'!$C215+1,CPI!$B$50:$I$63,8,FALSE)*'AM (nominal)'!G215</f>
        <v>9977.7339366515826</v>
      </c>
      <c r="H215" s="31">
        <f>VLOOKUP('AM (2011)'!$C215+1,CPI!$B$50:$I$63,8,FALSE)*'AM (nominal)'!H215</f>
        <v>1235.7295410471881</v>
      </c>
      <c r="I215" s="31">
        <f>VLOOKUP('AM (2011)'!$C215+1,CPI!$B$50:$I$63,8,FALSE)*'AM (nominal)'!I215</f>
        <v>396.91945701357463</v>
      </c>
      <c r="J215" s="27">
        <f>VLOOKUP('AM (2011)'!$C215+1,CPI!$B$50:$I$63,8,FALSE)*'AM (nominal)'!J215</f>
        <v>16759.581900452489</v>
      </c>
      <c r="K215" s="31">
        <f>VLOOKUP('AM (2011)'!$C215+1,CPI!$B$50:$I$63,8,FALSE)*'AM (nominal)'!K215</f>
        <v>1917.1405300581771</v>
      </c>
      <c r="L215" s="31">
        <f>VLOOKUP('AM (2011)'!$C215+1,CPI!$B$50:$I$63,8,FALSE)*'AM (nominal)'!L215</f>
        <v>3719.8978668390432</v>
      </c>
      <c r="M215" s="31">
        <f>VLOOKUP('AM (2011)'!$C215+1,CPI!$B$50:$I$63,8,FALSE)*'AM (nominal)'!M215</f>
        <v>1122.3239819004525</v>
      </c>
      <c r="N215" s="639">
        <f>VLOOKUP('AM (2011)'!$C215+1,CPI!$B$50:$I$63,8,FALSE)*'AM (nominal)'!N215</f>
        <v>6759.362378797673</v>
      </c>
    </row>
    <row r="216" spans="1:14" s="278" customFormat="1" ht="409.6">
      <c r="A216" s="271">
        <f>References!V273</f>
        <v>365</v>
      </c>
      <c r="B216" s="305" t="s">
        <v>44</v>
      </c>
      <c r="C216" s="284">
        <v>2011</v>
      </c>
      <c r="D216" s="284">
        <v>2013</v>
      </c>
      <c r="E216" s="31">
        <f>VLOOKUP('AM (2011)'!$C216+1,CPI!$B$50:$I$63,8,FALSE)*'AM (nominal)'!E216</f>
        <v>372.47860374919196</v>
      </c>
      <c r="F216" s="31">
        <f>VLOOKUP('AM (2011)'!$C216+1,CPI!$B$50:$I$63,8,FALSE)*'AM (nominal)'!F216</f>
        <v>4975.1800904977372</v>
      </c>
      <c r="G216" s="31">
        <f>VLOOKUP('AM (2011)'!$C216+1,CPI!$B$50:$I$63,8,FALSE)*'AM (nominal)'!G216</f>
        <v>7044.8315449256625</v>
      </c>
      <c r="H216" s="31">
        <f>VLOOKUP('AM (2011)'!$C216+1,CPI!$B$50:$I$63,8,FALSE)*'AM (nominal)'!H216</f>
        <v>690.20969618616675</v>
      </c>
      <c r="I216" s="31">
        <f>VLOOKUP('AM (2011)'!$C216+1,CPI!$B$50:$I$63,8,FALSE)*'AM (nominal)'!I216</f>
        <v>100.69631544925662</v>
      </c>
      <c r="J216" s="27">
        <f>VLOOKUP('AM (2011)'!$C216+1,CPI!$B$50:$I$63,8,FALSE)*'AM (nominal)'!J216</f>
        <v>13183.396250808015</v>
      </c>
      <c r="K216" s="31">
        <f>VLOOKUP('AM (2011)'!$C216+1,CPI!$B$50:$I$63,8,FALSE)*'AM (nominal)'!K216</f>
        <v>2017.8368455074337</v>
      </c>
      <c r="L216" s="31">
        <f>VLOOKUP('AM (2011)'!$C216+1,CPI!$B$50:$I$63,8,FALSE)*'AM (nominal)'!L216</f>
        <v>3769.7572074983837</v>
      </c>
      <c r="M216" s="31">
        <f>VLOOKUP('AM (2011)'!$C216+1,CPI!$B$50:$I$63,8,FALSE)*'AM (nominal)'!M216</f>
        <v>1138.9437621202326</v>
      </c>
      <c r="N216" s="639">
        <f>VLOOKUP('AM (2011)'!$C216+1,CPI!$B$50:$I$63,8,FALSE)*'AM (nominal)'!N216</f>
        <v>6926.5378151260502</v>
      </c>
    </row>
    <row r="217" spans="1:14" s="278" customFormat="1" ht="409.6">
      <c r="A217" s="271">
        <f>References!W273</f>
        <v>366</v>
      </c>
      <c r="B217" s="305" t="s">
        <v>44</v>
      </c>
      <c r="C217" s="284">
        <v>2011</v>
      </c>
      <c r="D217" s="284">
        <v>2014</v>
      </c>
      <c r="E217" s="31">
        <f>VLOOKUP('AM (2011)'!$C217+1,CPI!$B$50:$I$63,8,FALSE)*'AM (nominal)'!E217</f>
        <v>377.36677440206853</v>
      </c>
      <c r="F217" s="31">
        <f>VLOOKUP('AM (2011)'!$C217+1,CPI!$B$50:$I$63,8,FALSE)*'AM (nominal)'!F217</f>
        <v>4036.6513251454426</v>
      </c>
      <c r="G217" s="31">
        <f>VLOOKUP('AM (2011)'!$C217+1,CPI!$B$50:$I$63,8,FALSE)*'AM (nominal)'!G217</f>
        <v>6775.0045248868773</v>
      </c>
      <c r="H217" s="31">
        <f>VLOOKUP('AM (2011)'!$C217+1,CPI!$B$50:$I$63,8,FALSE)*'AM (nominal)'!H217</f>
        <v>344.12721396250805</v>
      </c>
      <c r="I217" s="31">
        <f>VLOOKUP('AM (2011)'!$C217+1,CPI!$B$50:$I$63,8,FALSE)*'AM (nominal)'!I217</f>
        <v>102.65158371040724</v>
      </c>
      <c r="J217" s="27">
        <f>VLOOKUP('AM (2011)'!$C217+1,CPI!$B$50:$I$63,8,FALSE)*'AM (nominal)'!J217</f>
        <v>11635.801422107304</v>
      </c>
      <c r="K217" s="31">
        <f>VLOOKUP('AM (2011)'!$C217+1,CPI!$B$50:$I$63,8,FALSE)*'AM (nominal)'!K217</f>
        <v>1959.1787976729152</v>
      </c>
      <c r="L217" s="31">
        <f>VLOOKUP('AM (2011)'!$C217+1,CPI!$B$50:$I$63,8,FALSE)*'AM (nominal)'!L217</f>
        <v>3836.2363283775048</v>
      </c>
      <c r="M217" s="31">
        <f>VLOOKUP('AM (2011)'!$C217+1,CPI!$B$50:$I$63,8,FALSE)*'AM (nominal)'!M217</f>
        <v>1162.4069812540401</v>
      </c>
      <c r="N217" s="639">
        <f>VLOOKUP('AM (2011)'!$C217+1,CPI!$B$50:$I$63,8,FALSE)*'AM (nominal)'!N217</f>
        <v>6957.8221073044597</v>
      </c>
    </row>
    <row r="218" spans="1:14" s="278" customFormat="1" ht="409.6">
      <c r="A218" s="271">
        <f>References!X273</f>
        <v>367</v>
      </c>
      <c r="B218" s="305" t="s">
        <v>44</v>
      </c>
      <c r="C218" s="284">
        <v>2011</v>
      </c>
      <c r="D218" s="284">
        <v>2015</v>
      </c>
      <c r="E218" s="31">
        <f>VLOOKUP('AM (2011)'!$C218+1,CPI!$B$50:$I$63,8,FALSE)*'AM (nominal)'!E218</f>
        <v>383.23257918552036</v>
      </c>
      <c r="F218" s="31">
        <f>VLOOKUP('AM (2011)'!$C218+1,CPI!$B$50:$I$63,8,FALSE)*'AM (nominal)'!F218</f>
        <v>4562.6184873949578</v>
      </c>
      <c r="G218" s="31">
        <f>VLOOKUP('AM (2011)'!$C218+1,CPI!$B$50:$I$63,8,FALSE)*'AM (nominal)'!G218</f>
        <v>7015.5025210084032</v>
      </c>
      <c r="H218" s="31">
        <f>VLOOKUP('AM (2011)'!$C218+1,CPI!$B$50:$I$63,8,FALSE)*'AM (nominal)'!H218</f>
        <v>471.21965093729796</v>
      </c>
      <c r="I218" s="31">
        <f>VLOOKUP('AM (2011)'!$C218+1,CPI!$B$50:$I$63,8,FALSE)*'AM (nominal)'!I218</f>
        <v>104.60685197155784</v>
      </c>
      <c r="J218" s="27">
        <f>VLOOKUP('AM (2011)'!$C218+1,CPI!$B$50:$I$63,8,FALSE)*'AM (nominal)'!J218</f>
        <v>12537.180090497737</v>
      </c>
      <c r="K218" s="31">
        <f>VLOOKUP('AM (2011)'!$C218+1,CPI!$B$50:$I$63,8,FALSE)*'AM (nominal)'!K218</f>
        <v>2031.5237233354881</v>
      </c>
      <c r="L218" s="31">
        <f>VLOOKUP('AM (2011)'!$C218+1,CPI!$B$50:$I$63,8,FALSE)*'AM (nominal)'!L218</f>
        <v>3904.6707175177762</v>
      </c>
      <c r="M218" s="31">
        <f>VLOOKUP('AM (2011)'!$C218+1,CPI!$B$50:$I$63,8,FALSE)*'AM (nominal)'!M218</f>
        <v>1184.8925662572722</v>
      </c>
      <c r="N218" s="639">
        <f>VLOOKUP('AM (2011)'!$C218+1,CPI!$B$50:$I$63,8,FALSE)*'AM (nominal)'!N218</f>
        <v>7121.0870071105364</v>
      </c>
    </row>
    <row r="219" spans="1:14" s="278" customFormat="1" ht="409.6">
      <c r="A219" s="271">
        <f>References!Y273</f>
        <v>368</v>
      </c>
      <c r="B219" s="305" t="s">
        <v>44</v>
      </c>
      <c r="C219" s="284">
        <v>2011</v>
      </c>
      <c r="D219" s="284">
        <v>2016</v>
      </c>
      <c r="E219" s="31">
        <f>VLOOKUP('AM (2011)'!$C219+1,CPI!$B$50:$I$63,8,FALSE)*'AM (nominal)'!E219</f>
        <v>389.0983839689722</v>
      </c>
      <c r="F219" s="31">
        <f>VLOOKUP('AM (2011)'!$C219+1,CPI!$B$50:$I$63,8,FALSE)*'AM (nominal)'!F219</f>
        <v>2930.9471234647704</v>
      </c>
      <c r="G219" s="31">
        <f>VLOOKUP('AM (2011)'!$C219+1,CPI!$B$50:$I$63,8,FALSE)*'AM (nominal)'!G219</f>
        <v>9199.5371687136394</v>
      </c>
      <c r="H219" s="31">
        <f>VLOOKUP('AM (2011)'!$C219+1,CPI!$B$50:$I$63,8,FALSE)*'AM (nominal)'!H219</f>
        <v>215.07950872656755</v>
      </c>
      <c r="I219" s="31">
        <f>VLOOKUP('AM (2011)'!$C219+1,CPI!$B$50:$I$63,8,FALSE)*'AM (nominal)'!I219</f>
        <v>107.53975436328378</v>
      </c>
      <c r="J219" s="27">
        <f>VLOOKUP('AM (2011)'!$C219+1,CPI!$B$50:$I$63,8,FALSE)*'AM (nominal)'!J219</f>
        <v>12842.201939237233</v>
      </c>
      <c r="K219" s="31">
        <f>VLOOKUP('AM (2011)'!$C219+1,CPI!$B$50:$I$63,8,FALSE)*'AM (nominal)'!K219</f>
        <v>2088.2265029088558</v>
      </c>
      <c r="L219" s="31">
        <f>VLOOKUP('AM (2011)'!$C219+1,CPI!$B$50:$I$63,8,FALSE)*'AM (nominal)'!L219</f>
        <v>3991.6801551389785</v>
      </c>
      <c r="M219" s="31">
        <f>VLOOKUP('AM (2011)'!$C219+1,CPI!$B$50:$I$63,8,FALSE)*'AM (nominal)'!M219</f>
        <v>1215.1992243051066</v>
      </c>
      <c r="N219" s="639">
        <f>VLOOKUP('AM (2011)'!$C219+1,CPI!$B$50:$I$63,8,FALSE)*'AM (nominal)'!N219</f>
        <v>7295.1058823529411</v>
      </c>
    </row>
    <row r="220" spans="1:14" s="278" customFormat="1" ht="409.6">
      <c r="A220" s="271">
        <f>References!K274</f>
        <v>377</v>
      </c>
      <c r="B220" s="305" t="s">
        <v>45</v>
      </c>
      <c r="C220" s="284">
        <v>2009</v>
      </c>
      <c r="D220" s="284">
        <v>2010</v>
      </c>
      <c r="E220" s="31">
        <f>VLOOKUP('AM (2011)'!$C220+1,CPI!$B$50:$I$63,8,FALSE)*'AM (nominal)'!E220</f>
        <v>3667.8073886448756</v>
      </c>
      <c r="F220" s="31">
        <f>VLOOKUP('AM (2011)'!$C220+1,CPI!$B$50:$I$63,8,FALSE)*'AM (nominal)'!F220</f>
        <v>10787.429064158872</v>
      </c>
      <c r="G220" s="31">
        <f>VLOOKUP('AM (2011)'!$C220+1,CPI!$B$50:$I$63,8,FALSE)*'AM (nominal)'!G220</f>
        <v>10711.016410228771</v>
      </c>
      <c r="H220" s="31">
        <f>VLOOKUP('AM (2011)'!$C220+1,CPI!$B$50:$I$63,8,FALSE)*'AM (nominal)'!H220</f>
        <v>3959.1943089649963</v>
      </c>
      <c r="I220" s="31">
        <f>VLOOKUP('AM (2011)'!$C220+1,CPI!$B$50:$I$63,8,FALSE)*'AM (nominal)'!I220</f>
        <v>2139.554310042844</v>
      </c>
      <c r="J220" s="27">
        <f>VLOOKUP('AM (2011)'!$C220+1,CPI!$B$50:$I$63,8,FALSE)*'AM (nominal)'!J220</f>
        <v>31265.001482040359</v>
      </c>
      <c r="K220" s="31">
        <f>VLOOKUP('AM (2011)'!$C220+1,CPI!$B$50:$I$63,8,FALSE)*'AM (nominal)'!K220</f>
        <v>17642.153539381852</v>
      </c>
      <c r="L220" s="31">
        <f>VLOOKUP('AM (2011)'!$C220+1,CPI!$B$50:$I$63,8,FALSE)*'AM (nominal)'!L220</f>
        <v>2944.4342647732474</v>
      </c>
      <c r="M220" s="31">
        <f>VLOOKUP('AM (2011)'!$C220+1,CPI!$B$50:$I$63,8,FALSE)*'AM (nominal)'!M220</f>
        <v>3229.70817277896</v>
      </c>
      <c r="N220" s="639">
        <f>VLOOKUP('AM (2011)'!$C220+1,CPI!$B$50:$I$63,8,FALSE)*'AM (nominal)'!N220</f>
        <v>23816.29597693406</v>
      </c>
    </row>
    <row r="221" spans="1:14" s="278" customFormat="1" ht="409.6">
      <c r="A221" s="271">
        <f>References!L274</f>
        <v>378</v>
      </c>
      <c r="B221" s="305" t="s">
        <v>45</v>
      </c>
      <c r="C221" s="284">
        <v>2009</v>
      </c>
      <c r="D221" s="284">
        <v>2011</v>
      </c>
      <c r="E221" s="31">
        <f>VLOOKUP('AM (2011)'!$C221+1,CPI!$B$50:$I$63,8,FALSE)*'AM (nominal)'!E221</f>
        <v>3871.5744657918131</v>
      </c>
      <c r="F221" s="31">
        <f>VLOOKUP('AM (2011)'!$C221+1,CPI!$B$50:$I$63,8,FALSE)*'AM (nominal)'!F221</f>
        <v>21181.587669424156</v>
      </c>
      <c r="G221" s="31">
        <f>VLOOKUP('AM (2011)'!$C221+1,CPI!$B$50:$I$63,8,FALSE)*'AM (nominal)'!G221</f>
        <v>11782.831236021662</v>
      </c>
      <c r="H221" s="31">
        <f>VLOOKUP('AM (2011)'!$C221+1,CPI!$B$50:$I$63,8,FALSE)*'AM (nominal)'!H221</f>
        <v>3713.6549810029364</v>
      </c>
      <c r="I221" s="31">
        <f>VLOOKUP('AM (2011)'!$C221+1,CPI!$B$50:$I$63,8,FALSE)*'AM (nominal)'!I221</f>
        <v>2139.554310042844</v>
      </c>
      <c r="J221" s="27">
        <f>VLOOKUP('AM (2011)'!$C221+1,CPI!$B$50:$I$63,8,FALSE)*'AM (nominal)'!J221</f>
        <v>42689.202662283416</v>
      </c>
      <c r="K221" s="31">
        <f>VLOOKUP('AM (2011)'!$C221+1,CPI!$B$50:$I$63,8,FALSE)*'AM (nominal)'!K221</f>
        <v>19354.815822801862</v>
      </c>
      <c r="L221" s="31">
        <f>VLOOKUP('AM (2011)'!$C221+1,CPI!$B$50:$I$63,8,FALSE)*'AM (nominal)'!L221</f>
        <v>2944.4342647732474</v>
      </c>
      <c r="M221" s="31">
        <f>VLOOKUP('AM (2011)'!$C221+1,CPI!$B$50:$I$63,8,FALSE)*'AM (nominal)'!M221</f>
        <v>3229.70817277896</v>
      </c>
      <c r="N221" s="639">
        <f>VLOOKUP('AM (2011)'!$C221+1,CPI!$B$50:$I$63,8,FALSE)*'AM (nominal)'!N221</f>
        <v>25528.958260354069</v>
      </c>
    </row>
    <row r="222" spans="1:14" s="278" customFormat="1" ht="409.6">
      <c r="A222" s="271">
        <f>References!M274</f>
        <v>379</v>
      </c>
      <c r="B222" s="305" t="s">
        <v>45</v>
      </c>
      <c r="C222" s="284">
        <v>2009</v>
      </c>
      <c r="D222" s="284">
        <v>2012</v>
      </c>
      <c r="E222" s="31">
        <f>VLOOKUP('AM (2011)'!$C222+1,CPI!$B$50:$I$63,8,FALSE)*'AM (nominal)'!E222</f>
        <v>4279.108620085688</v>
      </c>
      <c r="F222" s="31">
        <f>VLOOKUP('AM (2011)'!$C222+1,CPI!$B$50:$I$63,8,FALSE)*'AM (nominal)'!F222</f>
        <v>27630.815661124729</v>
      </c>
      <c r="G222" s="31">
        <f>VLOOKUP('AM (2011)'!$C222+1,CPI!$B$50:$I$63,8,FALSE)*'AM (nominal)'!G222</f>
        <v>11358.995715556033</v>
      </c>
      <c r="H222" s="31">
        <f>VLOOKUP('AM (2011)'!$C222+1,CPI!$B$50:$I$63,8,FALSE)*'AM (nominal)'!H222</f>
        <v>3183.8605804208992</v>
      </c>
      <c r="I222" s="31">
        <f>VLOOKUP('AM (2011)'!$C222+1,CPI!$B$50:$I$63,8,FALSE)*'AM (nominal)'!I222</f>
        <v>2139.554310042844</v>
      </c>
      <c r="J222" s="27">
        <f>VLOOKUP('AM (2011)'!$C222+1,CPI!$B$50:$I$63,8,FALSE)*'AM (nominal)'!J222</f>
        <v>48592.334887230194</v>
      </c>
      <c r="K222" s="31">
        <f>VLOOKUP('AM (2011)'!$C222+1,CPI!$B$50:$I$63,8,FALSE)*'AM (nominal)'!K222</f>
        <v>19444.473336746516</v>
      </c>
      <c r="L222" s="31">
        <f>VLOOKUP('AM (2011)'!$C222+1,CPI!$B$50:$I$63,8,FALSE)*'AM (nominal)'!L222</f>
        <v>2944.4342647732474</v>
      </c>
      <c r="M222" s="31">
        <f>VLOOKUP('AM (2011)'!$C222+1,CPI!$B$50:$I$63,8,FALSE)*'AM (nominal)'!M222</f>
        <v>3229.70817277896</v>
      </c>
      <c r="N222" s="639">
        <f>VLOOKUP('AM (2011)'!$C222+1,CPI!$B$50:$I$63,8,FALSE)*'AM (nominal)'!N222</f>
        <v>25618.615774298723</v>
      </c>
    </row>
    <row r="223" spans="1:14" s="278" customFormat="1" ht="409.6">
      <c r="A223" s="271">
        <f>References!N274</f>
        <v>380</v>
      </c>
      <c r="B223" s="305" t="s">
        <v>45</v>
      </c>
      <c r="C223" s="284">
        <v>2009</v>
      </c>
      <c r="D223" s="284">
        <v>2013</v>
      </c>
      <c r="E223" s="31">
        <f>VLOOKUP('AM (2011)'!$C223+1,CPI!$B$50:$I$63,8,FALSE)*'AM (nominal)'!E223</f>
        <v>5094.1769286734389</v>
      </c>
      <c r="F223" s="31">
        <f>VLOOKUP('AM (2011)'!$C223+1,CPI!$B$50:$I$63,8,FALSE)*'AM (nominal)'!F223</f>
        <v>21298.753738783646</v>
      </c>
      <c r="G223" s="31">
        <f>VLOOKUP('AM (2011)'!$C223+1,CPI!$B$50:$I$63,8,FALSE)*'AM (nominal)'!G223</f>
        <v>12001.880843954621</v>
      </c>
      <c r="H223" s="31">
        <f>VLOOKUP('AM (2011)'!$C223+1,CPI!$B$50:$I$63,8,FALSE)*'AM (nominal)'!H223</f>
        <v>3252.1225512651231</v>
      </c>
      <c r="I223" s="31">
        <f>VLOOKUP('AM (2011)'!$C223+1,CPI!$B$50:$I$63,8,FALSE)*'AM (nominal)'!I223</f>
        <v>2139.554310042844</v>
      </c>
      <c r="J223" s="27">
        <f>VLOOKUP('AM (2011)'!$C223+1,CPI!$B$50:$I$63,8,FALSE)*'AM (nominal)'!J223</f>
        <v>43786.488372719672</v>
      </c>
      <c r="K223" s="31">
        <f>VLOOKUP('AM (2011)'!$C223+1,CPI!$B$50:$I$63,8,FALSE)*'AM (nominal)'!K223</f>
        <v>19341.570962787311</v>
      </c>
      <c r="L223" s="31">
        <f>VLOOKUP('AM (2011)'!$C223+1,CPI!$B$50:$I$63,8,FALSE)*'AM (nominal)'!L223</f>
        <v>2959.7167955592677</v>
      </c>
      <c r="M223" s="31">
        <f>VLOOKUP('AM (2011)'!$C223+1,CPI!$B$50:$I$63,8,FALSE)*'AM (nominal)'!M223</f>
        <v>3229.70817277896</v>
      </c>
      <c r="N223" s="639">
        <f>VLOOKUP('AM (2011)'!$C223+1,CPI!$B$50:$I$63,8,FALSE)*'AM (nominal)'!N223</f>
        <v>25530.995931125537</v>
      </c>
    </row>
    <row r="224" spans="1:14" s="278" customFormat="1" ht="409.6">
      <c r="A224" s="271">
        <f>References!O274</f>
        <v>381</v>
      </c>
      <c r="B224" s="305" t="s">
        <v>45</v>
      </c>
      <c r="C224" s="284">
        <v>2009</v>
      </c>
      <c r="D224" s="284">
        <v>2014</v>
      </c>
      <c r="E224" s="31">
        <f>VLOOKUP('AM (2011)'!$C224+1,CPI!$B$50:$I$63,8,FALSE)*'AM (nominal)'!E224</f>
        <v>5501.7110829673138</v>
      </c>
      <c r="F224" s="31">
        <f>VLOOKUP('AM (2011)'!$C224+1,CPI!$B$50:$I$63,8,FALSE)*'AM (nominal)'!F224</f>
        <v>16785.312979978979</v>
      </c>
      <c r="G224" s="31">
        <f>VLOOKUP('AM (2011)'!$C224+1,CPI!$B$50:$I$63,8,FALSE)*'AM (nominal)'!G224</f>
        <v>15932.547762119046</v>
      </c>
      <c r="H224" s="31">
        <f>VLOOKUP('AM (2011)'!$C224+1,CPI!$B$50:$I$63,8,FALSE)*'AM (nominal)'!H224</f>
        <v>3204.2372881355927</v>
      </c>
      <c r="I224" s="31">
        <f>VLOOKUP('AM (2011)'!$C224+1,CPI!$B$50:$I$63,8,FALSE)*'AM (nominal)'!I224</f>
        <v>2139.554310042844</v>
      </c>
      <c r="J224" s="27">
        <f>VLOOKUP('AM (2011)'!$C224+1,CPI!$B$50:$I$63,8,FALSE)*'AM (nominal)'!J224</f>
        <v>43563.363423243776</v>
      </c>
      <c r="K224" s="31">
        <f>VLOOKUP('AM (2011)'!$C224+1,CPI!$B$50:$I$63,8,FALSE)*'AM (nominal)'!K224</f>
        <v>17713.472016383279</v>
      </c>
      <c r="L224" s="31">
        <f>VLOOKUP('AM (2011)'!$C224+1,CPI!$B$50:$I$63,8,FALSE)*'AM (nominal)'!L224</f>
        <v>2959.7167955592677</v>
      </c>
      <c r="M224" s="31">
        <f>VLOOKUP('AM (2011)'!$C224+1,CPI!$B$50:$I$63,8,FALSE)*'AM (nominal)'!M224</f>
        <v>3229.70817277896</v>
      </c>
      <c r="N224" s="639">
        <f>VLOOKUP('AM (2011)'!$C224+1,CPI!$B$50:$I$63,8,FALSE)*'AM (nominal)'!N224</f>
        <v>23902.896984721508</v>
      </c>
    </row>
    <row r="225" spans="1:14" s="278" customFormat="1" ht="409.6">
      <c r="A225" s="271">
        <f>References!P274</f>
        <v>382</v>
      </c>
      <c r="B225" s="305" t="s">
        <v>45</v>
      </c>
      <c r="C225" s="284">
        <v>2010</v>
      </c>
      <c r="D225" s="284">
        <v>2011</v>
      </c>
      <c r="E225" s="31">
        <f>VLOOKUP('AM (2011)'!$C225+1,CPI!$B$50:$I$63,8,FALSE)*'AM (nominal)'!E225</f>
        <v>3900</v>
      </c>
      <c r="F225" s="31">
        <f>VLOOKUP('AM (2011)'!$C225+1,CPI!$B$50:$I$63,8,FALSE)*'AM (nominal)'!F225</f>
        <v>18834</v>
      </c>
      <c r="G225" s="31">
        <f>VLOOKUP('AM (2011)'!$C225+1,CPI!$B$50:$I$63,8,FALSE)*'AM (nominal)'!G225</f>
        <v>12764</v>
      </c>
      <c r="H225" s="31">
        <f>VLOOKUP('AM (2011)'!$C225+1,CPI!$B$50:$I$63,8,FALSE)*'AM (nominal)'!H225</f>
        <v>5765</v>
      </c>
      <c r="I225" s="31">
        <f>VLOOKUP('AM (2011)'!$C225+1,CPI!$B$50:$I$63,8,FALSE)*'AM (nominal)'!I225</f>
        <v>2100</v>
      </c>
      <c r="J225" s="27">
        <f>VLOOKUP('AM (2011)'!$C225+1,CPI!$B$50:$I$63,8,FALSE)*'AM (nominal)'!J225</f>
        <v>43363</v>
      </c>
      <c r="K225" s="31">
        <f>VLOOKUP('AM (2011)'!$C225+1,CPI!$B$50:$I$63,8,FALSE)*'AM (nominal)'!K225</f>
        <v>19621</v>
      </c>
      <c r="L225" s="31">
        <f>VLOOKUP('AM (2011)'!$C225+1,CPI!$B$50:$I$63,8,FALSE)*'AM (nominal)'!L225</f>
        <v>2680</v>
      </c>
      <c r="M225" s="31">
        <f>VLOOKUP('AM (2011)'!$C225+1,CPI!$B$50:$I$63,8,FALSE)*'AM (nominal)'!M225</f>
        <v>3480</v>
      </c>
      <c r="N225" s="639">
        <f>VLOOKUP('AM (2011)'!$C225+1,CPI!$B$50:$I$63,8,FALSE)*'AM (nominal)'!N225</f>
        <v>25781</v>
      </c>
    </row>
    <row r="226" spans="1:14" s="278" customFormat="1" ht="409.6">
      <c r="A226" s="271">
        <f>References!Q274</f>
        <v>383</v>
      </c>
      <c r="B226" s="305" t="s">
        <v>45</v>
      </c>
      <c r="C226" s="284">
        <v>2010</v>
      </c>
      <c r="D226" s="284">
        <v>2012</v>
      </c>
      <c r="E226" s="31">
        <f>VLOOKUP('AM (2011)'!$C226+1,CPI!$B$50:$I$63,8,FALSE)*'AM (nominal)'!E226</f>
        <v>4300</v>
      </c>
      <c r="F226" s="31">
        <f>VLOOKUP('AM (2011)'!$C226+1,CPI!$B$50:$I$63,8,FALSE)*'AM (nominal)'!F226</f>
        <v>24268</v>
      </c>
      <c r="G226" s="31">
        <f>VLOOKUP('AM (2011)'!$C226+1,CPI!$B$50:$I$63,8,FALSE)*'AM (nominal)'!G226</f>
        <v>28283</v>
      </c>
      <c r="H226" s="31">
        <f>VLOOKUP('AM (2011)'!$C226+1,CPI!$B$50:$I$63,8,FALSE)*'AM (nominal)'!H226</f>
        <v>5193</v>
      </c>
      <c r="I226" s="31">
        <f>VLOOKUP('AM (2011)'!$C226+1,CPI!$B$50:$I$63,8,FALSE)*'AM (nominal)'!I226</f>
        <v>2100</v>
      </c>
      <c r="J226" s="27">
        <f>VLOOKUP('AM (2011)'!$C226+1,CPI!$B$50:$I$63,8,FALSE)*'AM (nominal)'!J226</f>
        <v>64144</v>
      </c>
      <c r="K226" s="31">
        <f>VLOOKUP('AM (2011)'!$C226+1,CPI!$B$50:$I$63,8,FALSE)*'AM (nominal)'!K226</f>
        <v>21279</v>
      </c>
      <c r="L226" s="31">
        <f>VLOOKUP('AM (2011)'!$C226+1,CPI!$B$50:$I$63,8,FALSE)*'AM (nominal)'!L226</f>
        <v>2490</v>
      </c>
      <c r="M226" s="31">
        <f>VLOOKUP('AM (2011)'!$C226+1,CPI!$B$50:$I$63,8,FALSE)*'AM (nominal)'!M226</f>
        <v>3480</v>
      </c>
      <c r="N226" s="639">
        <f>VLOOKUP('AM (2011)'!$C226+1,CPI!$B$50:$I$63,8,FALSE)*'AM (nominal)'!N226</f>
        <v>27249</v>
      </c>
    </row>
    <row r="227" spans="1:14" s="278" customFormat="1" ht="409.6">
      <c r="A227" s="271">
        <f>References!R274</f>
        <v>384</v>
      </c>
      <c r="B227" s="305" t="s">
        <v>45</v>
      </c>
      <c r="C227" s="284">
        <v>2010</v>
      </c>
      <c r="D227" s="284">
        <v>2013</v>
      </c>
      <c r="E227" s="31">
        <f>VLOOKUP('AM (2011)'!$C227+1,CPI!$B$50:$I$63,8,FALSE)*'AM (nominal)'!E227</f>
        <v>5100</v>
      </c>
      <c r="F227" s="31">
        <f>VLOOKUP('AM (2011)'!$C227+1,CPI!$B$50:$I$63,8,FALSE)*'AM (nominal)'!F227</f>
        <v>21123</v>
      </c>
      <c r="G227" s="31">
        <f>VLOOKUP('AM (2011)'!$C227+1,CPI!$B$50:$I$63,8,FALSE)*'AM (nominal)'!G227</f>
        <v>23865</v>
      </c>
      <c r="H227" s="31">
        <f>VLOOKUP('AM (2011)'!$C227+1,CPI!$B$50:$I$63,8,FALSE)*'AM (nominal)'!H227</f>
        <v>4653</v>
      </c>
      <c r="I227" s="31">
        <f>VLOOKUP('AM (2011)'!$C227+1,CPI!$B$50:$I$63,8,FALSE)*'AM (nominal)'!I227</f>
        <v>2100</v>
      </c>
      <c r="J227" s="27">
        <f>VLOOKUP('AM (2011)'!$C227+1,CPI!$B$50:$I$63,8,FALSE)*'AM (nominal)'!J227</f>
        <v>56841</v>
      </c>
      <c r="K227" s="31">
        <f>VLOOKUP('AM (2011)'!$C227+1,CPI!$B$50:$I$63,8,FALSE)*'AM (nominal)'!K227</f>
        <v>21155</v>
      </c>
      <c r="L227" s="31">
        <f>VLOOKUP('AM (2011)'!$C227+1,CPI!$B$50:$I$63,8,FALSE)*'AM (nominal)'!L227</f>
        <v>2835</v>
      </c>
      <c r="M227" s="31">
        <f>VLOOKUP('AM (2011)'!$C227+1,CPI!$B$50:$I$63,8,FALSE)*'AM (nominal)'!M227</f>
        <v>3480</v>
      </c>
      <c r="N227" s="639">
        <f>VLOOKUP('AM (2011)'!$C227+1,CPI!$B$50:$I$63,8,FALSE)*'AM (nominal)'!N227</f>
        <v>27470</v>
      </c>
    </row>
    <row r="228" spans="1:14" s="278" customFormat="1" ht="409.6">
      <c r="A228" s="271">
        <f>References!S274</f>
        <v>385</v>
      </c>
      <c r="B228" s="305" t="s">
        <v>45</v>
      </c>
      <c r="C228" s="284">
        <v>2010</v>
      </c>
      <c r="D228" s="284">
        <v>2014</v>
      </c>
      <c r="E228" s="31">
        <f>VLOOKUP('AM (2011)'!$C228+1,CPI!$B$50:$I$63,8,FALSE)*'AM (nominal)'!E228</f>
        <v>5500</v>
      </c>
      <c r="F228" s="31">
        <f>VLOOKUP('AM (2011)'!$C228+1,CPI!$B$50:$I$63,8,FALSE)*'AM (nominal)'!F228</f>
        <v>15901</v>
      </c>
      <c r="G228" s="31">
        <f>VLOOKUP('AM (2011)'!$C228+1,CPI!$B$50:$I$63,8,FALSE)*'AM (nominal)'!G228</f>
        <v>11490</v>
      </c>
      <c r="H228" s="31">
        <f>VLOOKUP('AM (2011)'!$C228+1,CPI!$B$50:$I$63,8,FALSE)*'AM (nominal)'!H228</f>
        <v>2353</v>
      </c>
      <c r="I228" s="31">
        <f>VLOOKUP('AM (2011)'!$C228+1,CPI!$B$50:$I$63,8,FALSE)*'AM (nominal)'!I228</f>
        <v>2100</v>
      </c>
      <c r="J228" s="27">
        <f>VLOOKUP('AM (2011)'!$C228+1,CPI!$B$50:$I$63,8,FALSE)*'AM (nominal)'!J228</f>
        <v>37344</v>
      </c>
      <c r="K228" s="31">
        <f>VLOOKUP('AM (2011)'!$C228+1,CPI!$B$50:$I$63,8,FALSE)*'AM (nominal)'!K228</f>
        <v>21074</v>
      </c>
      <c r="L228" s="31">
        <f>VLOOKUP('AM (2011)'!$C228+1,CPI!$B$50:$I$63,8,FALSE)*'AM (nominal)'!L228</f>
        <v>2835</v>
      </c>
      <c r="M228" s="31">
        <f>VLOOKUP('AM (2011)'!$C228+1,CPI!$B$50:$I$63,8,FALSE)*'AM (nominal)'!M228</f>
        <v>3480</v>
      </c>
      <c r="N228" s="639">
        <f>VLOOKUP('AM (2011)'!$C228+1,CPI!$B$50:$I$63,8,FALSE)*'AM (nominal)'!N228</f>
        <v>27389</v>
      </c>
    </row>
    <row r="229" spans="1:14" s="278" customFormat="1" ht="409.6">
      <c r="A229" s="271">
        <f>References!T274</f>
        <v>386</v>
      </c>
      <c r="B229" s="305" t="s">
        <v>45</v>
      </c>
      <c r="C229" s="284">
        <v>2010</v>
      </c>
      <c r="D229" s="284">
        <v>2015</v>
      </c>
      <c r="E229" s="31">
        <f>VLOOKUP('AM (2011)'!$C229+1,CPI!$B$50:$I$63,8,FALSE)*'AM (nominal)'!E229</f>
        <v>5600</v>
      </c>
      <c r="F229" s="31">
        <f>VLOOKUP('AM (2011)'!$C229+1,CPI!$B$50:$I$63,8,FALSE)*'AM (nominal)'!F229</f>
        <v>9000</v>
      </c>
      <c r="G229" s="31">
        <f>VLOOKUP('AM (2011)'!$C229+1,CPI!$B$50:$I$63,8,FALSE)*'AM (nominal)'!G229</f>
        <v>15451</v>
      </c>
      <c r="H229" s="31">
        <f>VLOOKUP('AM (2011)'!$C229+1,CPI!$B$50:$I$63,8,FALSE)*'AM (nominal)'!H229</f>
        <v>2008</v>
      </c>
      <c r="I229" s="31">
        <f>VLOOKUP('AM (2011)'!$C229+1,CPI!$B$50:$I$63,8,FALSE)*'AM (nominal)'!I229</f>
        <v>2100</v>
      </c>
      <c r="J229" s="27">
        <f>VLOOKUP('AM (2011)'!$C229+1,CPI!$B$50:$I$63,8,FALSE)*'AM (nominal)'!J229</f>
        <v>34159</v>
      </c>
      <c r="K229" s="31">
        <f>VLOOKUP('AM (2011)'!$C229+1,CPI!$B$50:$I$63,8,FALSE)*'AM (nominal)'!K229</f>
        <v>21055</v>
      </c>
      <c r="L229" s="31">
        <f>VLOOKUP('AM (2011)'!$C229+1,CPI!$B$50:$I$63,8,FALSE)*'AM (nominal)'!L229</f>
        <v>2835</v>
      </c>
      <c r="M229" s="31">
        <f>VLOOKUP('AM (2011)'!$C229+1,CPI!$B$50:$I$63,8,FALSE)*'AM (nominal)'!M229</f>
        <v>3480</v>
      </c>
      <c r="N229" s="639">
        <f>VLOOKUP('AM (2011)'!$C229+1,CPI!$B$50:$I$63,8,FALSE)*'AM (nominal)'!N229</f>
        <v>27370</v>
      </c>
    </row>
    <row r="230" spans="1:14" s="278" customFormat="1" ht="409.6">
      <c r="A230" s="271">
        <f>References!U274</f>
        <v>387</v>
      </c>
      <c r="B230" s="305" t="s">
        <v>45</v>
      </c>
      <c r="C230" s="284">
        <v>2011</v>
      </c>
      <c r="D230" s="284">
        <v>2012</v>
      </c>
      <c r="E230" s="31">
        <f>VLOOKUP('AM (2011)'!$C230+1,CPI!$B$50:$I$63,8,FALSE)*'AM (nominal)'!E230</f>
        <v>0</v>
      </c>
      <c r="F230" s="31">
        <f>VLOOKUP('AM (2011)'!$C230+1,CPI!$B$50:$I$63,8,FALSE)*'AM (nominal)'!F230</f>
        <v>0</v>
      </c>
      <c r="G230" s="31">
        <f>VLOOKUP('AM (2011)'!$C230+1,CPI!$B$50:$I$63,8,FALSE)*'AM (nominal)'!G230</f>
        <v>0</v>
      </c>
      <c r="H230" s="31">
        <f>VLOOKUP('AM (2011)'!$C230+1,CPI!$B$50:$I$63,8,FALSE)*'AM (nominal)'!H230</f>
        <v>0</v>
      </c>
      <c r="I230" s="31">
        <f>VLOOKUP('AM (2011)'!$C230+1,CPI!$B$50:$I$63,8,FALSE)*'AM (nominal)'!I230</f>
        <v>0</v>
      </c>
      <c r="J230" s="27">
        <f>VLOOKUP('AM (2011)'!$C230+1,CPI!$B$50:$I$63,8,FALSE)*'AM (nominal)'!J230</f>
        <v>0</v>
      </c>
      <c r="K230" s="31">
        <f>VLOOKUP('AM (2011)'!$C230+1,CPI!$B$50:$I$63,8,FALSE)*'AM (nominal)'!K230</f>
        <v>0</v>
      </c>
      <c r="L230" s="31">
        <f>VLOOKUP('AM (2011)'!$C230+1,CPI!$B$50:$I$63,8,FALSE)*'AM (nominal)'!L230</f>
        <v>0</v>
      </c>
      <c r="M230" s="31">
        <f>VLOOKUP('AM (2011)'!$C230+1,CPI!$B$50:$I$63,8,FALSE)*'AM (nominal)'!M230</f>
        <v>0</v>
      </c>
      <c r="N230" s="639">
        <f>VLOOKUP('AM (2011)'!$C230+1,CPI!$B$50:$I$63,8,FALSE)*'AM (nominal)'!N230</f>
        <v>0</v>
      </c>
    </row>
    <row r="231" spans="1:14" s="278" customFormat="1" ht="409.6">
      <c r="A231" s="271">
        <f>References!V274</f>
        <v>388</v>
      </c>
      <c r="B231" s="305" t="s">
        <v>45</v>
      </c>
      <c r="C231" s="284">
        <v>2011</v>
      </c>
      <c r="D231" s="284">
        <v>2013</v>
      </c>
      <c r="E231" s="31">
        <f>VLOOKUP('AM (2011)'!$C231+1,CPI!$B$50:$I$63,8,FALSE)*'AM (nominal)'!E231</f>
        <v>0</v>
      </c>
      <c r="F231" s="31">
        <f>VLOOKUP('AM (2011)'!$C231+1,CPI!$B$50:$I$63,8,FALSE)*'AM (nominal)'!F231</f>
        <v>0</v>
      </c>
      <c r="G231" s="31">
        <f>VLOOKUP('AM (2011)'!$C231+1,CPI!$B$50:$I$63,8,FALSE)*'AM (nominal)'!G231</f>
        <v>0</v>
      </c>
      <c r="H231" s="31">
        <f>VLOOKUP('AM (2011)'!$C231+1,CPI!$B$50:$I$63,8,FALSE)*'AM (nominal)'!H231</f>
        <v>0</v>
      </c>
      <c r="I231" s="31">
        <f>VLOOKUP('AM (2011)'!$C231+1,CPI!$B$50:$I$63,8,FALSE)*'AM (nominal)'!I231</f>
        <v>0</v>
      </c>
      <c r="J231" s="27">
        <f>VLOOKUP('AM (2011)'!$C231+1,CPI!$B$50:$I$63,8,FALSE)*'AM (nominal)'!J231</f>
        <v>0</v>
      </c>
      <c r="K231" s="31">
        <f>VLOOKUP('AM (2011)'!$C231+1,CPI!$B$50:$I$63,8,FALSE)*'AM (nominal)'!K231</f>
        <v>0</v>
      </c>
      <c r="L231" s="31">
        <f>VLOOKUP('AM (2011)'!$C231+1,CPI!$B$50:$I$63,8,FALSE)*'AM (nominal)'!L231</f>
        <v>0</v>
      </c>
      <c r="M231" s="31">
        <f>VLOOKUP('AM (2011)'!$C231+1,CPI!$B$50:$I$63,8,FALSE)*'AM (nominal)'!M231</f>
        <v>0</v>
      </c>
      <c r="N231" s="639">
        <f>VLOOKUP('AM (2011)'!$C231+1,CPI!$B$50:$I$63,8,FALSE)*'AM (nominal)'!N231</f>
        <v>0</v>
      </c>
    </row>
    <row r="232" spans="1:14" s="278" customFormat="1" ht="409.6">
      <c r="A232" s="271">
        <f>References!W274</f>
        <v>389</v>
      </c>
      <c r="B232" s="305" t="s">
        <v>45</v>
      </c>
      <c r="C232" s="284">
        <v>2011</v>
      </c>
      <c r="D232" s="284">
        <v>2014</v>
      </c>
      <c r="E232" s="31">
        <f>VLOOKUP('AM (2011)'!$C232+1,CPI!$B$50:$I$63,8,FALSE)*'AM (nominal)'!E232</f>
        <v>0</v>
      </c>
      <c r="F232" s="31">
        <f>VLOOKUP('AM (2011)'!$C232+1,CPI!$B$50:$I$63,8,FALSE)*'AM (nominal)'!F232</f>
        <v>0</v>
      </c>
      <c r="G232" s="31">
        <f>VLOOKUP('AM (2011)'!$C232+1,CPI!$B$50:$I$63,8,FALSE)*'AM (nominal)'!G232</f>
        <v>0</v>
      </c>
      <c r="H232" s="31">
        <f>VLOOKUP('AM (2011)'!$C232+1,CPI!$B$50:$I$63,8,FALSE)*'AM (nominal)'!H232</f>
        <v>0</v>
      </c>
      <c r="I232" s="31">
        <f>VLOOKUP('AM (2011)'!$C232+1,CPI!$B$50:$I$63,8,FALSE)*'AM (nominal)'!I232</f>
        <v>0</v>
      </c>
      <c r="J232" s="27">
        <f>VLOOKUP('AM (2011)'!$C232+1,CPI!$B$50:$I$63,8,FALSE)*'AM (nominal)'!J232</f>
        <v>0</v>
      </c>
      <c r="K232" s="31">
        <f>VLOOKUP('AM (2011)'!$C232+1,CPI!$B$50:$I$63,8,FALSE)*'AM (nominal)'!K232</f>
        <v>0</v>
      </c>
      <c r="L232" s="31">
        <f>VLOOKUP('AM (2011)'!$C232+1,CPI!$B$50:$I$63,8,FALSE)*'AM (nominal)'!L232</f>
        <v>0</v>
      </c>
      <c r="M232" s="31">
        <f>VLOOKUP('AM (2011)'!$C232+1,CPI!$B$50:$I$63,8,FALSE)*'AM (nominal)'!M232</f>
        <v>0</v>
      </c>
      <c r="N232" s="639">
        <f>VLOOKUP('AM (2011)'!$C232+1,CPI!$B$50:$I$63,8,FALSE)*'AM (nominal)'!N232</f>
        <v>0</v>
      </c>
    </row>
    <row r="233" spans="1:14" s="278" customFormat="1" ht="409.6">
      <c r="A233" s="271">
        <f>References!X274</f>
        <v>390</v>
      </c>
      <c r="B233" s="305" t="s">
        <v>45</v>
      </c>
      <c r="C233" s="284">
        <v>2011</v>
      </c>
      <c r="D233" s="284">
        <v>2015</v>
      </c>
      <c r="E233" s="31">
        <f>VLOOKUP('AM (2011)'!$C233+1,CPI!$B$50:$I$63,8,FALSE)*'AM (nominal)'!E233</f>
        <v>0</v>
      </c>
      <c r="F233" s="31">
        <f>VLOOKUP('AM (2011)'!$C233+1,CPI!$B$50:$I$63,8,FALSE)*'AM (nominal)'!F233</f>
        <v>0</v>
      </c>
      <c r="G233" s="31">
        <f>VLOOKUP('AM (2011)'!$C233+1,CPI!$B$50:$I$63,8,FALSE)*'AM (nominal)'!G233</f>
        <v>0</v>
      </c>
      <c r="H233" s="31">
        <f>VLOOKUP('AM (2011)'!$C233+1,CPI!$B$50:$I$63,8,FALSE)*'AM (nominal)'!H233</f>
        <v>0</v>
      </c>
      <c r="I233" s="31">
        <f>VLOOKUP('AM (2011)'!$C233+1,CPI!$B$50:$I$63,8,FALSE)*'AM (nominal)'!I233</f>
        <v>0</v>
      </c>
      <c r="J233" s="27">
        <f>VLOOKUP('AM (2011)'!$C233+1,CPI!$B$50:$I$63,8,FALSE)*'AM (nominal)'!J233</f>
        <v>0</v>
      </c>
      <c r="K233" s="31">
        <f>VLOOKUP('AM (2011)'!$C233+1,CPI!$B$50:$I$63,8,FALSE)*'AM (nominal)'!K233</f>
        <v>0</v>
      </c>
      <c r="L233" s="31">
        <f>VLOOKUP('AM (2011)'!$C233+1,CPI!$B$50:$I$63,8,FALSE)*'AM (nominal)'!L233</f>
        <v>0</v>
      </c>
      <c r="M233" s="31">
        <f>VLOOKUP('AM (2011)'!$C233+1,CPI!$B$50:$I$63,8,FALSE)*'AM (nominal)'!M233</f>
        <v>0</v>
      </c>
      <c r="N233" s="639">
        <f>VLOOKUP('AM (2011)'!$C233+1,CPI!$B$50:$I$63,8,FALSE)*'AM (nominal)'!N233</f>
        <v>0</v>
      </c>
    </row>
    <row r="234" spans="1:14" s="278" customFormat="1" ht="409.6">
      <c r="A234" s="271">
        <f>References!Y274</f>
        <v>391</v>
      </c>
      <c r="B234" s="305" t="s">
        <v>45</v>
      </c>
      <c r="C234" s="284">
        <v>2011</v>
      </c>
      <c r="D234" s="284">
        <v>2016</v>
      </c>
      <c r="E234" s="31">
        <f>VLOOKUP('AM (2011)'!$C234+1,CPI!$B$50:$I$63,8,FALSE)*'AM (nominal)'!E234</f>
        <v>0</v>
      </c>
      <c r="F234" s="31">
        <f>VLOOKUP('AM (2011)'!$C234+1,CPI!$B$50:$I$63,8,FALSE)*'AM (nominal)'!F234</f>
        <v>0</v>
      </c>
      <c r="G234" s="31">
        <f>VLOOKUP('AM (2011)'!$C234+1,CPI!$B$50:$I$63,8,FALSE)*'AM (nominal)'!G234</f>
        <v>0</v>
      </c>
      <c r="H234" s="31">
        <f>VLOOKUP('AM (2011)'!$C234+1,CPI!$B$50:$I$63,8,FALSE)*'AM (nominal)'!H234</f>
        <v>0</v>
      </c>
      <c r="I234" s="31">
        <f>VLOOKUP('AM (2011)'!$C234+1,CPI!$B$50:$I$63,8,FALSE)*'AM (nominal)'!I234</f>
        <v>0</v>
      </c>
      <c r="J234" s="27">
        <f>VLOOKUP('AM (2011)'!$C234+1,CPI!$B$50:$I$63,8,FALSE)*'AM (nominal)'!J234</f>
        <v>0</v>
      </c>
      <c r="K234" s="31">
        <f>VLOOKUP('AM (2011)'!$C234+1,CPI!$B$50:$I$63,8,FALSE)*'AM (nominal)'!K234</f>
        <v>0</v>
      </c>
      <c r="L234" s="31">
        <f>VLOOKUP('AM (2011)'!$C234+1,CPI!$B$50:$I$63,8,FALSE)*'AM (nominal)'!L234</f>
        <v>0</v>
      </c>
      <c r="M234" s="31">
        <f>VLOOKUP('AM (2011)'!$C234+1,CPI!$B$50:$I$63,8,FALSE)*'AM (nominal)'!M234</f>
        <v>0</v>
      </c>
      <c r="N234" s="639">
        <f>VLOOKUP('AM (2011)'!$C234+1,CPI!$B$50:$I$63,8,FALSE)*'AM (nominal)'!N234</f>
        <v>0</v>
      </c>
    </row>
    <row r="235" spans="1:14" s="278" customFormat="1" ht="409.6">
      <c r="A235" s="271">
        <f>References!K275</f>
        <v>400</v>
      </c>
      <c r="B235" s="305" t="s">
        <v>46</v>
      </c>
      <c r="C235" s="284">
        <v>2009</v>
      </c>
      <c r="D235" s="284">
        <v>2010</v>
      </c>
      <c r="E235" s="31">
        <f>VLOOKUP('AM (2011)'!$C235+1,CPI!$B$50:$I$63,8,FALSE)*'AM (nominal)'!E235</f>
        <v>1228.7154751960334</v>
      </c>
      <c r="F235" s="31">
        <f>VLOOKUP('AM (2011)'!$C235+1,CPI!$B$50:$I$63,8,FALSE)*'AM (nominal)'!F235</f>
        <v>492.09749130985415</v>
      </c>
      <c r="G235" s="31">
        <f>VLOOKUP('AM (2011)'!$C235+1,CPI!$B$50:$I$63,8,FALSE)*'AM (nominal)'!G235</f>
        <v>4912.824230012664</v>
      </c>
      <c r="H235" s="31">
        <f>VLOOKUP('AM (2011)'!$C235+1,CPI!$B$50:$I$63,8,FALSE)*'AM (nominal)'!H235</f>
        <v>493.11632669558884</v>
      </c>
      <c r="I235" s="31">
        <f>VLOOKUP('AM (2011)'!$C235+1,CPI!$B$50:$I$63,8,FALSE)*'AM (nominal)'!I235</f>
        <v>16.301366171755003</v>
      </c>
      <c r="J235" s="27">
        <f>VLOOKUP('AM (2011)'!$C235+1,CPI!$B$50:$I$63,8,FALSE)*'AM (nominal)'!J235</f>
        <v>7143.054889385895</v>
      </c>
      <c r="K235" s="31">
        <f>VLOOKUP('AM (2011)'!$C235+1,CPI!$B$50:$I$63,8,FALSE)*'AM (nominal)'!K235</f>
        <v>1088.1161919646465</v>
      </c>
      <c r="L235" s="31">
        <f>VLOOKUP('AM (2011)'!$C235+1,CPI!$B$50:$I$63,8,FALSE)*'AM (nominal)'!L235</f>
        <v>655.11115302740416</v>
      </c>
      <c r="M235" s="31">
        <f>VLOOKUP('AM (2011)'!$C235+1,CPI!$B$50:$I$63,8,FALSE)*'AM (nominal)'!M235</f>
        <v>1305.1281291261348</v>
      </c>
      <c r="N235" s="639">
        <f>VLOOKUP('AM (2011)'!$C235+1,CPI!$B$50:$I$63,8,FALSE)*'AM (nominal)'!N235</f>
        <v>3048.3554741181856</v>
      </c>
    </row>
    <row r="236" spans="1:14" s="278" customFormat="1" ht="409.6">
      <c r="A236" s="271">
        <f>References!L275</f>
        <v>401</v>
      </c>
      <c r="B236" s="305" t="s">
        <v>46</v>
      </c>
      <c r="C236" s="284">
        <v>2009</v>
      </c>
      <c r="D236" s="284">
        <v>2011</v>
      </c>
      <c r="E236" s="31">
        <f>VLOOKUP('AM (2011)'!$C236+1,CPI!$B$50:$I$63,8,FALSE)*'AM (nominal)'!E236</f>
        <v>1265.3935490824822</v>
      </c>
      <c r="F236" s="31">
        <f>VLOOKUP('AM (2011)'!$C236+1,CPI!$B$50:$I$63,8,FALSE)*'AM (nominal)'!F236</f>
        <v>86.601007787448452</v>
      </c>
      <c r="G236" s="31">
        <f>VLOOKUP('AM (2011)'!$C236+1,CPI!$B$50:$I$63,8,FALSE)*'AM (nominal)'!G236</f>
        <v>6544.9985179596333</v>
      </c>
      <c r="H236" s="31">
        <f>VLOOKUP('AM (2011)'!$C236+1,CPI!$B$50:$I$63,8,FALSE)*'AM (nominal)'!H236</f>
        <v>67.243135458489391</v>
      </c>
      <c r="I236" s="31">
        <f>VLOOKUP('AM (2011)'!$C236+1,CPI!$B$50:$I$63,8,FALSE)*'AM (nominal)'!I236</f>
        <v>0</v>
      </c>
      <c r="J236" s="27">
        <f>VLOOKUP('AM (2011)'!$C236+1,CPI!$B$50:$I$63,8,FALSE)*'AM (nominal)'!J236</f>
        <v>7964.2362102880534</v>
      </c>
      <c r="K236" s="31">
        <f>VLOOKUP('AM (2011)'!$C236+1,CPI!$B$50:$I$63,8,FALSE)*'AM (nominal)'!K236</f>
        <v>1019.8542211204224</v>
      </c>
      <c r="L236" s="31">
        <f>VLOOKUP('AM (2011)'!$C236+1,CPI!$B$50:$I$63,8,FALSE)*'AM (nominal)'!L236</f>
        <v>470.70194820942572</v>
      </c>
      <c r="M236" s="31">
        <f>VLOOKUP('AM (2011)'!$C236+1,CPI!$B$50:$I$63,8,FALSE)*'AM (nominal)'!M236</f>
        <v>1343.8438737840531</v>
      </c>
      <c r="N236" s="639">
        <f>VLOOKUP('AM (2011)'!$C236+1,CPI!$B$50:$I$63,8,FALSE)*'AM (nominal)'!N236</f>
        <v>2834.4000431139011</v>
      </c>
    </row>
    <row r="237" spans="1:14" s="278" customFormat="1" ht="409.6">
      <c r="A237" s="271">
        <f>References!M275</f>
        <v>402</v>
      </c>
      <c r="B237" s="305" t="s">
        <v>46</v>
      </c>
      <c r="C237" s="284">
        <v>2009</v>
      </c>
      <c r="D237" s="284">
        <v>2012</v>
      </c>
      <c r="E237" s="31">
        <f>VLOOKUP('AM (2011)'!$C237+1,CPI!$B$50:$I$63,8,FALSE)*'AM (nominal)'!E237</f>
        <v>1303.0904583546655</v>
      </c>
      <c r="F237" s="31">
        <f>VLOOKUP('AM (2011)'!$C237+1,CPI!$B$50:$I$63,8,FALSE)*'AM (nominal)'!F237</f>
        <v>88.638678558917832</v>
      </c>
      <c r="G237" s="31">
        <f>VLOOKUP('AM (2011)'!$C237+1,CPI!$B$50:$I$63,8,FALSE)*'AM (nominal)'!G237</f>
        <v>6807.8580474791834</v>
      </c>
      <c r="H237" s="31">
        <f>VLOOKUP('AM (2011)'!$C237+1,CPI!$B$50:$I$63,8,FALSE)*'AM (nominal)'!H237</f>
        <v>69.280806229958756</v>
      </c>
      <c r="I237" s="31">
        <f>VLOOKUP('AM (2011)'!$C237+1,CPI!$B$50:$I$63,8,FALSE)*'AM (nominal)'!I237</f>
        <v>0</v>
      </c>
      <c r="J237" s="27">
        <f>VLOOKUP('AM (2011)'!$C237+1,CPI!$B$50:$I$63,8,FALSE)*'AM (nominal)'!J237</f>
        <v>8268.8679906227244</v>
      </c>
      <c r="K237" s="31">
        <f>VLOOKUP('AM (2011)'!$C237+1,CPI!$B$50:$I$63,8,FALSE)*'AM (nominal)'!K237</f>
        <v>989.28915954838169</v>
      </c>
      <c r="L237" s="31">
        <f>VLOOKUP('AM (2011)'!$C237+1,CPI!$B$50:$I$63,8,FALSE)*'AM (nominal)'!L237</f>
        <v>388.17628196491603</v>
      </c>
      <c r="M237" s="31">
        <f>VLOOKUP('AM (2011)'!$C237+1,CPI!$B$50:$I$63,8,FALSE)*'AM (nominal)'!M237</f>
        <v>1384.5972892134405</v>
      </c>
      <c r="N237" s="639">
        <f>VLOOKUP('AM (2011)'!$C237+1,CPI!$B$50:$I$63,8,FALSE)*'AM (nominal)'!N237</f>
        <v>2762.0627307267382</v>
      </c>
    </row>
    <row r="238" spans="1:14" s="278" customFormat="1" ht="409.6">
      <c r="A238" s="271">
        <f>References!N275</f>
        <v>403</v>
      </c>
      <c r="B238" s="305" t="s">
        <v>46</v>
      </c>
      <c r="C238" s="284">
        <v>2009</v>
      </c>
      <c r="D238" s="284">
        <v>2013</v>
      </c>
      <c r="E238" s="31">
        <f>VLOOKUP('AM (2011)'!$C238+1,CPI!$B$50:$I$63,8,FALSE)*'AM (nominal)'!E238</f>
        <v>1341.8062030125836</v>
      </c>
      <c r="F238" s="31">
        <f>VLOOKUP('AM (2011)'!$C238+1,CPI!$B$50:$I$63,8,FALSE)*'AM (nominal)'!F238</f>
        <v>91.695184716121886</v>
      </c>
      <c r="G238" s="31">
        <f>VLOOKUP('AM (2011)'!$C238+1,CPI!$B$50:$I$63,8,FALSE)*'AM (nominal)'!G238</f>
        <v>7009.5874538546514</v>
      </c>
      <c r="H238" s="31">
        <f>VLOOKUP('AM (2011)'!$C238+1,CPI!$B$50:$I$63,8,FALSE)*'AM (nominal)'!H238</f>
        <v>37.696909272183447</v>
      </c>
      <c r="I238" s="31">
        <f>VLOOKUP('AM (2011)'!$C238+1,CPI!$B$50:$I$63,8,FALSE)*'AM (nominal)'!I238</f>
        <v>0</v>
      </c>
      <c r="J238" s="27">
        <f>VLOOKUP('AM (2011)'!$C238+1,CPI!$B$50:$I$63,8,FALSE)*'AM (nominal)'!J238</f>
        <v>8480.7857508555408</v>
      </c>
      <c r="K238" s="31">
        <f>VLOOKUP('AM (2011)'!$C238+1,CPI!$B$50:$I$63,8,FALSE)*'AM (nominal)'!K238</f>
        <v>1017.816550348953</v>
      </c>
      <c r="L238" s="31">
        <f>VLOOKUP('AM (2011)'!$C238+1,CPI!$B$50:$I$63,8,FALSE)*'AM (nominal)'!L238</f>
        <v>400.40230659373225</v>
      </c>
      <c r="M238" s="31">
        <f>VLOOKUP('AM (2011)'!$C238+1,CPI!$B$50:$I$63,8,FALSE)*'AM (nominal)'!M238</f>
        <v>1426.3695400285628</v>
      </c>
      <c r="N238" s="639">
        <f>VLOOKUP('AM (2011)'!$C238+1,CPI!$B$50:$I$63,8,FALSE)*'AM (nominal)'!N238</f>
        <v>2844.5883969712481</v>
      </c>
    </row>
    <row r="239" spans="1:14" s="278" customFormat="1" ht="409.6">
      <c r="A239" s="271">
        <f>References!O275</f>
        <v>404</v>
      </c>
      <c r="B239" s="305" t="s">
        <v>46</v>
      </c>
      <c r="C239" s="284">
        <v>2009</v>
      </c>
      <c r="D239" s="284">
        <v>2014</v>
      </c>
      <c r="E239" s="31">
        <f>VLOOKUP('AM (2011)'!$C239+1,CPI!$B$50:$I$63,8,FALSE)*'AM (nominal)'!E239</f>
        <v>1381.5407830562365</v>
      </c>
      <c r="F239" s="31">
        <f>VLOOKUP('AM (2011)'!$C239+1,CPI!$B$50:$I$63,8,FALSE)*'AM (nominal)'!F239</f>
        <v>94.751690873325956</v>
      </c>
      <c r="G239" s="31">
        <f>VLOOKUP('AM (2011)'!$C239+1,CPI!$B$50:$I$63,8,FALSE)*'AM (nominal)'!G239</f>
        <v>7066.6422354557935</v>
      </c>
      <c r="H239" s="31">
        <f>VLOOKUP('AM (2011)'!$C239+1,CPI!$B$50:$I$63,8,FALSE)*'AM (nominal)'!H239</f>
        <v>23.433213871897816</v>
      </c>
      <c r="I239" s="31">
        <f>VLOOKUP('AM (2011)'!$C239+1,CPI!$B$50:$I$63,8,FALSE)*'AM (nominal)'!I239</f>
        <v>0</v>
      </c>
      <c r="J239" s="27">
        <f>VLOOKUP('AM (2011)'!$C239+1,CPI!$B$50:$I$63,8,FALSE)*'AM (nominal)'!J239</f>
        <v>8566.367923257254</v>
      </c>
      <c r="K239" s="31">
        <f>VLOOKUP('AM (2011)'!$C239+1,CPI!$B$50:$I$63,8,FALSE)*'AM (nominal)'!K239</f>
        <v>1047.3627765352589</v>
      </c>
      <c r="L239" s="31">
        <f>VLOOKUP('AM (2011)'!$C239+1,CPI!$B$50:$I$63,8,FALSE)*'AM (nominal)'!L239</f>
        <v>412.62833122254852</v>
      </c>
      <c r="M239" s="31">
        <f>VLOOKUP('AM (2011)'!$C239+1,CPI!$B$50:$I$63,8,FALSE)*'AM (nominal)'!M239</f>
        <v>1470.1794616151544</v>
      </c>
      <c r="N239" s="639">
        <f>VLOOKUP('AM (2011)'!$C239+1,CPI!$B$50:$I$63,8,FALSE)*'AM (nominal)'!N239</f>
        <v>2930.1705693729618</v>
      </c>
    </row>
    <row r="240" spans="1:14" s="278" customFormat="1" ht="409.6">
      <c r="A240" s="271">
        <f>References!P275</f>
        <v>405</v>
      </c>
      <c r="B240" s="305" t="s">
        <v>46</v>
      </c>
      <c r="C240" s="284">
        <v>2010</v>
      </c>
      <c r="D240" s="284">
        <v>2011</v>
      </c>
      <c r="E240" s="31">
        <f>VLOOKUP('AM (2011)'!$C240+1,CPI!$B$50:$I$63,8,FALSE)*'AM (nominal)'!E240</f>
        <v>1006</v>
      </c>
      <c r="F240" s="31">
        <f>VLOOKUP('AM (2011)'!$C240+1,CPI!$B$50:$I$63,8,FALSE)*'AM (nominal)'!F240</f>
        <v>2604</v>
      </c>
      <c r="G240" s="31">
        <f>VLOOKUP('AM (2011)'!$C240+1,CPI!$B$50:$I$63,8,FALSE)*'AM (nominal)'!G240</f>
        <v>5581</v>
      </c>
      <c r="H240" s="31">
        <f>VLOOKUP('AM (2011)'!$C240+1,CPI!$B$50:$I$63,8,FALSE)*'AM (nominal)'!H240</f>
        <v>1307</v>
      </c>
      <c r="I240" s="31">
        <f>VLOOKUP('AM (2011)'!$C240+1,CPI!$B$50:$I$63,8,FALSE)*'AM (nominal)'!I240</f>
        <v>0</v>
      </c>
      <c r="J240" s="27">
        <f>VLOOKUP('AM (2011)'!$C240+1,CPI!$B$50:$I$63,8,FALSE)*'AM (nominal)'!J240</f>
        <v>10498</v>
      </c>
      <c r="K240" s="31">
        <f>VLOOKUP('AM (2011)'!$C240+1,CPI!$B$50:$I$63,8,FALSE)*'AM (nominal)'!K240</f>
        <v>1371</v>
      </c>
      <c r="L240" s="31">
        <f>VLOOKUP('AM (2011)'!$C240+1,CPI!$B$50:$I$63,8,FALSE)*'AM (nominal)'!L240</f>
        <v>1069</v>
      </c>
      <c r="M240" s="31">
        <f>VLOOKUP('AM (2011)'!$C240+1,CPI!$B$50:$I$63,8,FALSE)*'AM (nominal)'!M240</f>
        <v>1507</v>
      </c>
      <c r="N240" s="639">
        <f>VLOOKUP('AM (2011)'!$C240+1,CPI!$B$50:$I$63,8,FALSE)*'AM (nominal)'!N240</f>
        <v>3947</v>
      </c>
    </row>
    <row r="241" spans="1:14" s="278" customFormat="1" ht="409.6">
      <c r="A241" s="271">
        <f>References!Q275</f>
        <v>406</v>
      </c>
      <c r="B241" s="305" t="s">
        <v>46</v>
      </c>
      <c r="C241" s="284">
        <v>2010</v>
      </c>
      <c r="D241" s="284">
        <v>2012</v>
      </c>
      <c r="E241" s="31">
        <f>VLOOKUP('AM (2011)'!$C241+1,CPI!$B$50:$I$63,8,FALSE)*'AM (nominal)'!E241</f>
        <v>1036</v>
      </c>
      <c r="F241" s="31">
        <f>VLOOKUP('AM (2011)'!$C241+1,CPI!$B$50:$I$63,8,FALSE)*'AM (nominal)'!F241</f>
        <v>2451</v>
      </c>
      <c r="G241" s="31">
        <f>VLOOKUP('AM (2011)'!$C241+1,CPI!$B$50:$I$63,8,FALSE)*'AM (nominal)'!G241</f>
        <v>6357</v>
      </c>
      <c r="H241" s="31">
        <f>VLOOKUP('AM (2011)'!$C241+1,CPI!$B$50:$I$63,8,FALSE)*'AM (nominal)'!H241</f>
        <v>596</v>
      </c>
      <c r="I241" s="31">
        <f>VLOOKUP('AM (2011)'!$C241+1,CPI!$B$50:$I$63,8,FALSE)*'AM (nominal)'!I241</f>
        <v>0</v>
      </c>
      <c r="J241" s="27">
        <f>VLOOKUP('AM (2011)'!$C241+1,CPI!$B$50:$I$63,8,FALSE)*'AM (nominal)'!J241</f>
        <v>10440</v>
      </c>
      <c r="K241" s="31">
        <f>VLOOKUP('AM (2011)'!$C241+1,CPI!$B$50:$I$63,8,FALSE)*'AM (nominal)'!K241</f>
        <v>1292</v>
      </c>
      <c r="L241" s="31">
        <f>VLOOKUP('AM (2011)'!$C241+1,CPI!$B$50:$I$63,8,FALSE)*'AM (nominal)'!L241</f>
        <v>1112</v>
      </c>
      <c r="M241" s="31">
        <f>VLOOKUP('AM (2011)'!$C241+1,CPI!$B$50:$I$63,8,FALSE)*'AM (nominal)'!M241</f>
        <v>1553</v>
      </c>
      <c r="N241" s="639">
        <f>VLOOKUP('AM (2011)'!$C241+1,CPI!$B$50:$I$63,8,FALSE)*'AM (nominal)'!N241</f>
        <v>3957</v>
      </c>
    </row>
    <row r="242" spans="1:14" s="278" customFormat="1" ht="409.6">
      <c r="A242" s="271">
        <f>References!R275</f>
        <v>407</v>
      </c>
      <c r="B242" s="305" t="s">
        <v>46</v>
      </c>
      <c r="C242" s="284">
        <v>2010</v>
      </c>
      <c r="D242" s="284">
        <v>2013</v>
      </c>
      <c r="E242" s="31">
        <f>VLOOKUP('AM (2011)'!$C242+1,CPI!$B$50:$I$63,8,FALSE)*'AM (nominal)'!E242</f>
        <v>1067</v>
      </c>
      <c r="F242" s="31">
        <f>VLOOKUP('AM (2011)'!$C242+1,CPI!$B$50:$I$63,8,FALSE)*'AM (nominal)'!F242</f>
        <v>2493</v>
      </c>
      <c r="G242" s="31">
        <f>VLOOKUP('AM (2011)'!$C242+1,CPI!$B$50:$I$63,8,FALSE)*'AM (nominal)'!G242</f>
        <v>6977</v>
      </c>
      <c r="H242" s="31">
        <f>VLOOKUP('AM (2011)'!$C242+1,CPI!$B$50:$I$63,8,FALSE)*'AM (nominal)'!H242</f>
        <v>270</v>
      </c>
      <c r="I242" s="31">
        <f>VLOOKUP('AM (2011)'!$C242+1,CPI!$B$50:$I$63,8,FALSE)*'AM (nominal)'!I242</f>
        <v>0</v>
      </c>
      <c r="J242" s="27">
        <f>VLOOKUP('AM (2011)'!$C242+1,CPI!$B$50:$I$63,8,FALSE)*'AM (nominal)'!J242</f>
        <v>10807</v>
      </c>
      <c r="K242" s="31">
        <f>VLOOKUP('AM (2011)'!$C242+1,CPI!$B$50:$I$63,8,FALSE)*'AM (nominal)'!K242</f>
        <v>1233</v>
      </c>
      <c r="L242" s="31">
        <f>VLOOKUP('AM (2011)'!$C242+1,CPI!$B$50:$I$63,8,FALSE)*'AM (nominal)'!L242</f>
        <v>1129</v>
      </c>
      <c r="M242" s="31">
        <f>VLOOKUP('AM (2011)'!$C242+1,CPI!$B$50:$I$63,8,FALSE)*'AM (nominal)'!M242</f>
        <v>1599</v>
      </c>
      <c r="N242" s="639">
        <f>VLOOKUP('AM (2011)'!$C242+1,CPI!$B$50:$I$63,8,FALSE)*'AM (nominal)'!N242</f>
        <v>3961</v>
      </c>
    </row>
    <row r="243" spans="1:14" s="278" customFormat="1" ht="409.6">
      <c r="A243" s="271">
        <f>References!S275</f>
        <v>408</v>
      </c>
      <c r="B243" s="305" t="s">
        <v>46</v>
      </c>
      <c r="C243" s="284">
        <v>2010</v>
      </c>
      <c r="D243" s="284">
        <v>2014</v>
      </c>
      <c r="E243" s="31">
        <f>VLOOKUP('AM (2011)'!$C243+1,CPI!$B$50:$I$63,8,FALSE)*'AM (nominal)'!E243</f>
        <v>1099</v>
      </c>
      <c r="F243" s="31">
        <f>VLOOKUP('AM (2011)'!$C243+1,CPI!$B$50:$I$63,8,FALSE)*'AM (nominal)'!F243</f>
        <v>9</v>
      </c>
      <c r="G243" s="31">
        <f>VLOOKUP('AM (2011)'!$C243+1,CPI!$B$50:$I$63,8,FALSE)*'AM (nominal)'!G243</f>
        <v>8733</v>
      </c>
      <c r="H243" s="31">
        <f>VLOOKUP('AM (2011)'!$C243+1,CPI!$B$50:$I$63,8,FALSE)*'AM (nominal)'!H243</f>
        <v>752</v>
      </c>
      <c r="I243" s="31">
        <f>VLOOKUP('AM (2011)'!$C243+1,CPI!$B$50:$I$63,8,FALSE)*'AM (nominal)'!I243</f>
        <v>0</v>
      </c>
      <c r="J243" s="27">
        <f>VLOOKUP('AM (2011)'!$C243+1,CPI!$B$50:$I$63,8,FALSE)*'AM (nominal)'!J243</f>
        <v>10593</v>
      </c>
      <c r="K243" s="31">
        <f>VLOOKUP('AM (2011)'!$C243+1,CPI!$B$50:$I$63,8,FALSE)*'AM (nominal)'!K243</f>
        <v>1217</v>
      </c>
      <c r="L243" s="31">
        <f>VLOOKUP('AM (2011)'!$C243+1,CPI!$B$50:$I$63,8,FALSE)*'AM (nominal)'!L243</f>
        <v>1161</v>
      </c>
      <c r="M243" s="31">
        <f>VLOOKUP('AM (2011)'!$C243+1,CPI!$B$50:$I$63,8,FALSE)*'AM (nominal)'!M243</f>
        <v>1648</v>
      </c>
      <c r="N243" s="639">
        <f>VLOOKUP('AM (2011)'!$C243+1,CPI!$B$50:$I$63,8,FALSE)*'AM (nominal)'!N243</f>
        <v>4026</v>
      </c>
    </row>
    <row r="244" spans="1:14" s="278" customFormat="1" ht="409.6">
      <c r="A244" s="271">
        <f>References!T275</f>
        <v>409</v>
      </c>
      <c r="B244" s="305" t="s">
        <v>46</v>
      </c>
      <c r="C244" s="284">
        <v>2010</v>
      </c>
      <c r="D244" s="284">
        <v>2015</v>
      </c>
      <c r="E244" s="31">
        <f>VLOOKUP('AM (2011)'!$C244+1,CPI!$B$50:$I$63,8,FALSE)*'AM (nominal)'!E244</f>
        <v>1132</v>
      </c>
      <c r="F244" s="31">
        <f>VLOOKUP('AM (2011)'!$C244+1,CPI!$B$50:$I$63,8,FALSE)*'AM (nominal)'!F244</f>
        <v>9</v>
      </c>
      <c r="G244" s="31">
        <f>VLOOKUP('AM (2011)'!$C244+1,CPI!$B$50:$I$63,8,FALSE)*'AM (nominal)'!G244</f>
        <v>8574</v>
      </c>
      <c r="H244" s="31">
        <f>VLOOKUP('AM (2011)'!$C244+1,CPI!$B$50:$I$63,8,FALSE)*'AM (nominal)'!H244</f>
        <v>556</v>
      </c>
      <c r="I244" s="31">
        <f>VLOOKUP('AM (2011)'!$C244+1,CPI!$B$50:$I$63,8,FALSE)*'AM (nominal)'!I244</f>
        <v>0</v>
      </c>
      <c r="J244" s="27">
        <f>VLOOKUP('AM (2011)'!$C244+1,CPI!$B$50:$I$63,8,FALSE)*'AM (nominal)'!J244</f>
        <v>10271</v>
      </c>
      <c r="K244" s="31">
        <f>VLOOKUP('AM (2011)'!$C244+1,CPI!$B$50:$I$63,8,FALSE)*'AM (nominal)'!K244</f>
        <v>1254</v>
      </c>
      <c r="L244" s="31">
        <f>VLOOKUP('AM (2011)'!$C244+1,CPI!$B$50:$I$63,8,FALSE)*'AM (nominal)'!L244</f>
        <v>1196</v>
      </c>
      <c r="M244" s="31">
        <f>VLOOKUP('AM (2011)'!$C244+1,CPI!$B$50:$I$63,8,FALSE)*'AM (nominal)'!M244</f>
        <v>1697</v>
      </c>
      <c r="N244" s="639">
        <f>VLOOKUP('AM (2011)'!$C244+1,CPI!$B$50:$I$63,8,FALSE)*'AM (nominal)'!N244</f>
        <v>4147</v>
      </c>
    </row>
    <row r="245" spans="1:14" s="278" customFormat="1" ht="409.6">
      <c r="A245" s="271">
        <f>References!U275</f>
        <v>410</v>
      </c>
      <c r="B245" s="305" t="s">
        <v>46</v>
      </c>
      <c r="C245" s="284">
        <v>2011</v>
      </c>
      <c r="D245" s="284">
        <v>2012</v>
      </c>
      <c r="E245" s="31">
        <f>VLOOKUP('AM (2011)'!$C245+1,CPI!$B$50:$I$63,8,FALSE)*'AM (nominal)'!E245</f>
        <v>983.49993535875888</v>
      </c>
      <c r="F245" s="31">
        <f>VLOOKUP('AM (2011)'!$C245+1,CPI!$B$50:$I$63,8,FALSE)*'AM (nominal)'!F245</f>
        <v>3725.7636716224952</v>
      </c>
      <c r="G245" s="31">
        <f>VLOOKUP('AM (2011)'!$C245+1,CPI!$B$50:$I$63,8,FALSE)*'AM (nominal)'!G245</f>
        <v>6215.7978021978024</v>
      </c>
      <c r="H245" s="31">
        <f>VLOOKUP('AM (2011)'!$C245+1,CPI!$B$50:$I$63,8,FALSE)*'AM (nominal)'!H245</f>
        <v>735.1808661926309</v>
      </c>
      <c r="I245" s="31">
        <f>VLOOKUP('AM (2011)'!$C245+1,CPI!$B$50:$I$63,8,FALSE)*'AM (nominal)'!I245</f>
        <v>0</v>
      </c>
      <c r="J245" s="27">
        <f>VLOOKUP('AM (2011)'!$C245+1,CPI!$B$50:$I$63,8,FALSE)*'AM (nominal)'!J245</f>
        <v>11660.242275371687</v>
      </c>
      <c r="K245" s="31">
        <f>VLOOKUP('AM (2011)'!$C245+1,CPI!$B$50:$I$63,8,FALSE)*'AM (nominal)'!K245</f>
        <v>1262.1256625727215</v>
      </c>
      <c r="L245" s="31">
        <f>VLOOKUP('AM (2011)'!$C245+1,CPI!$B$50:$I$63,8,FALSE)*'AM (nominal)'!L245</f>
        <v>838.81008403361341</v>
      </c>
      <c r="M245" s="31">
        <f>VLOOKUP('AM (2011)'!$C245+1,CPI!$B$50:$I$63,8,FALSE)*'AM (nominal)'!M245</f>
        <v>1424.4129282482222</v>
      </c>
      <c r="N245" s="639">
        <f>VLOOKUP('AM (2011)'!$C245+1,CPI!$B$50:$I$63,8,FALSE)*'AM (nominal)'!N245</f>
        <v>3525.348674854557</v>
      </c>
    </row>
    <row r="246" spans="1:14" s="278" customFormat="1" ht="409.6">
      <c r="A246" s="271">
        <f>References!V275</f>
        <v>411</v>
      </c>
      <c r="B246" s="305" t="s">
        <v>46</v>
      </c>
      <c r="C246" s="284">
        <v>2011</v>
      </c>
      <c r="D246" s="284">
        <v>2013</v>
      </c>
      <c r="E246" s="31">
        <f>VLOOKUP('AM (2011)'!$C246+1,CPI!$B$50:$I$63,8,FALSE)*'AM (nominal)'!E246</f>
        <v>983.49993535875888</v>
      </c>
      <c r="F246" s="31">
        <f>VLOOKUP('AM (2011)'!$C246+1,CPI!$B$50:$I$63,8,FALSE)*'AM (nominal)'!F246</f>
        <v>2256.3795733678085</v>
      </c>
      <c r="G246" s="31">
        <f>VLOOKUP('AM (2011)'!$C246+1,CPI!$B$50:$I$63,8,FALSE)*'AM (nominal)'!G246</f>
        <v>5567.6263736263736</v>
      </c>
      <c r="H246" s="31">
        <f>VLOOKUP('AM (2011)'!$C246+1,CPI!$B$50:$I$63,8,FALSE)*'AM (nominal)'!H246</f>
        <v>244.40853264382676</v>
      </c>
      <c r="I246" s="31">
        <f>VLOOKUP('AM (2011)'!$C246+1,CPI!$B$50:$I$63,8,FALSE)*'AM (nominal)'!I246</f>
        <v>0</v>
      </c>
      <c r="J246" s="27">
        <f>VLOOKUP('AM (2011)'!$C246+1,CPI!$B$50:$I$63,8,FALSE)*'AM (nominal)'!J246</f>
        <v>9051.9144149967669</v>
      </c>
      <c r="K246" s="31">
        <f>VLOOKUP('AM (2011)'!$C246+1,CPI!$B$50:$I$63,8,FALSE)*'AM (nominal)'!K246</f>
        <v>1193.6912734324499</v>
      </c>
      <c r="L246" s="31">
        <f>VLOOKUP('AM (2011)'!$C246+1,CPI!$B$50:$I$63,8,FALSE)*'AM (nominal)'!L246</f>
        <v>1056.8224951519069</v>
      </c>
      <c r="M246" s="31">
        <f>VLOOKUP('AM (2011)'!$C246+1,CPI!$B$50:$I$63,8,FALSE)*'AM (nominal)'!M246</f>
        <v>1424.4129282482222</v>
      </c>
      <c r="N246" s="639">
        <f>VLOOKUP('AM (2011)'!$C246+1,CPI!$B$50:$I$63,8,FALSE)*'AM (nominal)'!N246</f>
        <v>3674.9266968325792</v>
      </c>
    </row>
    <row r="247" spans="1:14" s="278" customFormat="1" ht="409.6">
      <c r="A247" s="271">
        <f>References!W275</f>
        <v>412</v>
      </c>
      <c r="B247" s="305" t="s">
        <v>46</v>
      </c>
      <c r="C247" s="284">
        <v>2011</v>
      </c>
      <c r="D247" s="284">
        <v>2014</v>
      </c>
      <c r="E247" s="31">
        <f>VLOOKUP('AM (2011)'!$C247+1,CPI!$B$50:$I$63,8,FALSE)*'AM (nominal)'!E247</f>
        <v>983.49993535875888</v>
      </c>
      <c r="F247" s="31">
        <f>VLOOKUP('AM (2011)'!$C247+1,CPI!$B$50:$I$63,8,FALSE)*'AM (nominal)'!F247</f>
        <v>1181.9596638655462</v>
      </c>
      <c r="G247" s="31">
        <f>VLOOKUP('AM (2011)'!$C247+1,CPI!$B$50:$I$63,8,FALSE)*'AM (nominal)'!G247</f>
        <v>7367.4508080155138</v>
      </c>
      <c r="H247" s="31">
        <f>VLOOKUP('AM (2011)'!$C247+1,CPI!$B$50:$I$63,8,FALSE)*'AM (nominal)'!H247</f>
        <v>713.67291531997409</v>
      </c>
      <c r="I247" s="31">
        <f>VLOOKUP('AM (2011)'!$C247+1,CPI!$B$50:$I$63,8,FALSE)*'AM (nominal)'!I247</f>
        <v>0</v>
      </c>
      <c r="J247" s="27">
        <f>VLOOKUP('AM (2011)'!$C247+1,CPI!$B$50:$I$63,8,FALSE)*'AM (nominal)'!J247</f>
        <v>10246.583322559793</v>
      </c>
      <c r="K247" s="31">
        <f>VLOOKUP('AM (2011)'!$C247+1,CPI!$B$50:$I$63,8,FALSE)*'AM (nominal)'!K247</f>
        <v>1193.6912734324499</v>
      </c>
      <c r="L247" s="31">
        <f>VLOOKUP('AM (2011)'!$C247+1,CPI!$B$50:$I$63,8,FALSE)*'AM (nominal)'!L247</f>
        <v>959.05908209437621</v>
      </c>
      <c r="M247" s="31">
        <f>VLOOKUP('AM (2011)'!$C247+1,CPI!$B$50:$I$63,8,FALSE)*'AM (nominal)'!M247</f>
        <v>1424.4129282482222</v>
      </c>
      <c r="N247" s="639">
        <f>VLOOKUP('AM (2011)'!$C247+1,CPI!$B$50:$I$63,8,FALSE)*'AM (nominal)'!N247</f>
        <v>3577.1632837750485</v>
      </c>
    </row>
    <row r="248" spans="1:14" s="278" customFormat="1" ht="409.6">
      <c r="A248" s="271">
        <f>References!X275</f>
        <v>413</v>
      </c>
      <c r="B248" s="305" t="s">
        <v>46</v>
      </c>
      <c r="C248" s="284">
        <v>2011</v>
      </c>
      <c r="D248" s="284">
        <v>2015</v>
      </c>
      <c r="E248" s="31">
        <f>VLOOKUP('AM (2011)'!$C248+1,CPI!$B$50:$I$63,8,FALSE)*'AM (nominal)'!E248</f>
        <v>983.49993535875888</v>
      </c>
      <c r="F248" s="31">
        <f>VLOOKUP('AM (2011)'!$C248+1,CPI!$B$50:$I$63,8,FALSE)*'AM (nominal)'!F248</f>
        <v>1384.3299288946348</v>
      </c>
      <c r="G248" s="31">
        <f>VLOOKUP('AM (2011)'!$C248+1,CPI!$B$50:$I$63,8,FALSE)*'AM (nominal)'!G248</f>
        <v>6608.8067226890753</v>
      </c>
      <c r="H248" s="31">
        <f>VLOOKUP('AM (2011)'!$C248+1,CPI!$B$50:$I$63,8,FALSE)*'AM (nominal)'!H248</f>
        <v>518.14608920491276</v>
      </c>
      <c r="I248" s="31">
        <f>VLOOKUP('AM (2011)'!$C248+1,CPI!$B$50:$I$63,8,FALSE)*'AM (nominal)'!I248</f>
        <v>0</v>
      </c>
      <c r="J248" s="27">
        <f>VLOOKUP('AM (2011)'!$C248+1,CPI!$B$50:$I$63,8,FALSE)*'AM (nominal)'!J248</f>
        <v>9494.7826761473825</v>
      </c>
      <c r="K248" s="31">
        <f>VLOOKUP('AM (2011)'!$C248+1,CPI!$B$50:$I$63,8,FALSE)*'AM (nominal)'!K248</f>
        <v>1193.6912734324499</v>
      </c>
      <c r="L248" s="31">
        <f>VLOOKUP('AM (2011)'!$C248+1,CPI!$B$50:$I$63,8,FALSE)*'AM (nominal)'!L248</f>
        <v>959.05908209437621</v>
      </c>
      <c r="M248" s="31">
        <f>VLOOKUP('AM (2011)'!$C248+1,CPI!$B$50:$I$63,8,FALSE)*'AM (nominal)'!M248</f>
        <v>1424.4129282482222</v>
      </c>
      <c r="N248" s="639">
        <f>VLOOKUP('AM (2011)'!$C248+1,CPI!$B$50:$I$63,8,FALSE)*'AM (nominal)'!N248</f>
        <v>3577.1632837750485</v>
      </c>
    </row>
    <row r="249" spans="1:14" s="278" customFormat="1" ht="409.6">
      <c r="A249" s="271">
        <f>References!Y275</f>
        <v>414</v>
      </c>
      <c r="B249" s="305" t="s">
        <v>46</v>
      </c>
      <c r="C249" s="284">
        <v>2011</v>
      </c>
      <c r="D249" s="284">
        <v>2016</v>
      </c>
      <c r="E249" s="31">
        <f>VLOOKUP('AM (2011)'!$C249+1,CPI!$B$50:$I$63,8,FALSE)*'AM (nominal)'!E249</f>
        <v>983.49993535875888</v>
      </c>
      <c r="F249" s="31">
        <f>VLOOKUP('AM (2011)'!$C249+1,CPI!$B$50:$I$63,8,FALSE)*'AM (nominal)'!F249</f>
        <v>1643.4029734970911</v>
      </c>
      <c r="G249" s="31">
        <f>VLOOKUP('AM (2011)'!$C249+1,CPI!$B$50:$I$63,8,FALSE)*'AM (nominal)'!G249</f>
        <v>6261.7466063348411</v>
      </c>
      <c r="H249" s="31">
        <f>VLOOKUP('AM (2011)'!$C249+1,CPI!$B$50:$I$63,8,FALSE)*'AM (nominal)'!H249</f>
        <v>224.8558500323206</v>
      </c>
      <c r="I249" s="31">
        <f>VLOOKUP('AM (2011)'!$C249+1,CPI!$B$50:$I$63,8,FALSE)*'AM (nominal)'!I249</f>
        <v>0</v>
      </c>
      <c r="J249" s="27">
        <f>VLOOKUP('AM (2011)'!$C249+1,CPI!$B$50:$I$63,8,FALSE)*'AM (nominal)'!J249</f>
        <v>9113.5053652230126</v>
      </c>
      <c r="K249" s="31">
        <f>VLOOKUP('AM (2011)'!$C249+1,CPI!$B$50:$I$63,8,FALSE)*'AM (nominal)'!K249</f>
        <v>1193.6912734324499</v>
      </c>
      <c r="L249" s="31">
        <f>VLOOKUP('AM (2011)'!$C249+1,CPI!$B$50:$I$63,8,FALSE)*'AM (nominal)'!L249</f>
        <v>959.05908209437621</v>
      </c>
      <c r="M249" s="31">
        <f>VLOOKUP('AM (2011)'!$C249+1,CPI!$B$50:$I$63,8,FALSE)*'AM (nominal)'!M249</f>
        <v>1424.4129282482222</v>
      </c>
      <c r="N249" s="639">
        <f>VLOOKUP('AM (2011)'!$C249+1,CPI!$B$50:$I$63,8,FALSE)*'AM (nominal)'!N249</f>
        <v>3577.1632837750485</v>
      </c>
    </row>
    <row r="250" spans="1:14" s="278" customFormat="1" ht="409.6">
      <c r="A250" s="271">
        <f>References!K276</f>
        <v>423</v>
      </c>
      <c r="B250" s="305" t="s">
        <v>47</v>
      </c>
      <c r="C250" s="284">
        <v>2009</v>
      </c>
      <c r="D250" s="284">
        <v>2010</v>
      </c>
      <c r="E250" s="31">
        <f>VLOOKUP('AM (2011)'!$C250,CPI!$B$50:$I$63,8,FALSE)*'AM (nominal)'!E250</f>
        <v>20360.1490836708</v>
      </c>
      <c r="F250" s="31">
        <f>VLOOKUP('AM (2011)'!$C250,CPI!$B$50:$I$63,8,FALSE)*'AM (nominal)'!F250</f>
        <v>22413.500171597221</v>
      </c>
      <c r="G250" s="31">
        <f>VLOOKUP('AM (2011)'!$C250,CPI!$B$50:$I$63,8,FALSE)*'AM (nominal)'!G250</f>
        <v>21273.672317935336</v>
      </c>
      <c r="H250" s="31">
        <f>VLOOKUP('AM (2011)'!$C250,CPI!$B$50:$I$63,8,FALSE)*'AM (nominal)'!H250</f>
        <v>12470.630242295281</v>
      </c>
      <c r="I250" s="31">
        <f>VLOOKUP('AM (2011)'!$C250,CPI!$B$50:$I$63,8,FALSE)*'AM (nominal)'!I250</f>
        <v>2262.0080993891133</v>
      </c>
      <c r="J250" s="27">
        <f>VLOOKUP('AM (2011)'!$C250,CPI!$B$50:$I$63,8,FALSE)*'AM (nominal)'!J250</f>
        <v>78779.959914887746</v>
      </c>
      <c r="K250" s="31">
        <f>VLOOKUP('AM (2011)'!$C250,CPI!$B$50:$I$63,8,FALSE)*'AM (nominal)'!K250</f>
        <v>12687.592010433107</v>
      </c>
      <c r="L250" s="31">
        <f>VLOOKUP('AM (2011)'!$C250,CPI!$B$50:$I$63,8,FALSE)*'AM (nominal)'!L250</f>
        <v>8458.3946736220714</v>
      </c>
      <c r="M250" s="31">
        <f>VLOOKUP('AM (2011)'!$C250,CPI!$B$50:$I$63,8,FALSE)*'AM (nominal)'!M250</f>
        <v>7048.6622280183929</v>
      </c>
      <c r="N250" s="639">
        <f>VLOOKUP('AM (2011)'!$C250,CPI!$B$50:$I$63,8,FALSE)*'AM (nominal)'!N250</f>
        <v>28194.648912073571</v>
      </c>
    </row>
    <row r="251" spans="1:14" s="278" customFormat="1" ht="409.6">
      <c r="A251" s="271">
        <f>References!L276</f>
        <v>424</v>
      </c>
      <c r="B251" s="305" t="s">
        <v>47</v>
      </c>
      <c r="C251" s="284">
        <v>2009</v>
      </c>
      <c r="D251" s="284">
        <v>2011</v>
      </c>
      <c r="E251" s="31">
        <f>VLOOKUP('AM (2011)'!$C251,CPI!$B$50:$I$63,8,FALSE)*'AM (nominal)'!E251</f>
        <v>21123.148603198566</v>
      </c>
      <c r="F251" s="31">
        <f>VLOOKUP('AM (2011)'!$C251,CPI!$B$50:$I$63,8,FALSE)*'AM (nominal)'!F251</f>
        <v>23009.36646303795</v>
      </c>
      <c r="G251" s="31">
        <f>VLOOKUP('AM (2011)'!$C251,CPI!$B$50:$I$63,8,FALSE)*'AM (nominal)'!G251</f>
        <v>23632.22321367286</v>
      </c>
      <c r="H251" s="31">
        <f>VLOOKUP('AM (2011)'!$C251,CPI!$B$50:$I$63,8,FALSE)*'AM (nominal)'!H251</f>
        <v>13118.401262955587</v>
      </c>
      <c r="I251" s="31">
        <f>VLOOKUP('AM (2011)'!$C251,CPI!$B$50:$I$63,8,FALSE)*'AM (nominal)'!I251</f>
        <v>2347.1318553092174</v>
      </c>
      <c r="J251" s="27">
        <f>VLOOKUP('AM (2011)'!$C251,CPI!$B$50:$I$63,8,FALSE)*'AM (nominal)'!J251</f>
        <v>83230.271398174184</v>
      </c>
      <c r="K251" s="31">
        <f>VLOOKUP('AM (2011)'!$C251,CPI!$B$50:$I$63,8,FALSE)*'AM (nominal)'!K251</f>
        <v>12773.753860937604</v>
      </c>
      <c r="L251" s="31">
        <f>VLOOKUP('AM (2011)'!$C251,CPI!$B$50:$I$63,8,FALSE)*'AM (nominal)'!L251</f>
        <v>8515.4898757636056</v>
      </c>
      <c r="M251" s="31">
        <f>VLOOKUP('AM (2011)'!$C251,CPI!$B$50:$I$63,8,FALSE)*'AM (nominal)'!M251</f>
        <v>7096.4145789004024</v>
      </c>
      <c r="N251" s="639">
        <f>VLOOKUP('AM (2011)'!$C251,CPI!$B$50:$I$63,8,FALSE)*'AM (nominal)'!N251</f>
        <v>28385.65831560161</v>
      </c>
    </row>
    <row r="252" spans="1:14" s="278" customFormat="1" ht="409.6">
      <c r="A252" s="271">
        <f>References!M276</f>
        <v>425</v>
      </c>
      <c r="B252" s="305" t="s">
        <v>47</v>
      </c>
      <c r="C252" s="284">
        <v>2009</v>
      </c>
      <c r="D252" s="284">
        <v>2012</v>
      </c>
      <c r="E252" s="31">
        <f>VLOOKUP('AM (2011)'!$C252,CPI!$B$50:$I$63,8,FALSE)*'AM (nominal)'!E252</f>
        <v>20107.892099663663</v>
      </c>
      <c r="F252" s="31">
        <f>VLOOKUP('AM (2011)'!$C252,CPI!$B$50:$I$63,8,FALSE)*'AM (nominal)'!F252</f>
        <v>23586.547051959635</v>
      </c>
      <c r="G252" s="31">
        <f>VLOOKUP('AM (2011)'!$C252,CPI!$B$50:$I$63,8,FALSE)*'AM (nominal)'!G252</f>
        <v>26215.00253963895</v>
      </c>
      <c r="H252" s="31">
        <f>VLOOKUP('AM (2011)'!$C252,CPI!$B$50:$I$63,8,FALSE)*'AM (nominal)'!H252</f>
        <v>13798.35321573203</v>
      </c>
      <c r="I252" s="31">
        <f>VLOOKUP('AM (2011)'!$C252,CPI!$B$50:$I$63,8,FALSE)*'AM (nominal)'!I252</f>
        <v>2485.1984350332891</v>
      </c>
      <c r="J252" s="27">
        <f>VLOOKUP('AM (2011)'!$C252,CPI!$B$50:$I$63,8,FALSE)*'AM (nominal)'!J252</f>
        <v>86192.993342027563</v>
      </c>
      <c r="K252" s="31">
        <f>VLOOKUP('AM (2011)'!$C252,CPI!$B$50:$I$63,8,FALSE)*'AM (nominal)'!K252</f>
        <v>13019.782277438393</v>
      </c>
      <c r="L252" s="31">
        <f>VLOOKUP('AM (2011)'!$C252,CPI!$B$50:$I$63,8,FALSE)*'AM (nominal)'!L252</f>
        <v>8679.5088200974642</v>
      </c>
      <c r="M252" s="31">
        <f>VLOOKUP('AM (2011)'!$C252,CPI!$B$50:$I$63,8,FALSE)*'AM (nominal)'!M252</f>
        <v>7233.4430640400833</v>
      </c>
      <c r="N252" s="639">
        <f>VLOOKUP('AM (2011)'!$C252,CPI!$B$50:$I$63,8,FALSE)*'AM (nominal)'!N252</f>
        <v>28932.73416157594</v>
      </c>
    </row>
    <row r="253" spans="1:14" s="278" customFormat="1" ht="409.6">
      <c r="A253" s="271">
        <f>References!N276</f>
        <v>426</v>
      </c>
      <c r="B253" s="305" t="s">
        <v>47</v>
      </c>
      <c r="C253" s="284">
        <v>2009</v>
      </c>
      <c r="D253" s="284">
        <v>2013</v>
      </c>
      <c r="E253" s="31">
        <f>VLOOKUP('AM (2011)'!$C253,CPI!$B$50:$I$63,8,FALSE)*'AM (nominal)'!E253</f>
        <v>19280.530715903624</v>
      </c>
      <c r="F253" s="31">
        <f>VLOOKUP('AM (2011)'!$C253,CPI!$B$50:$I$63,8,FALSE)*'AM (nominal)'!F253</f>
        <v>24177.222870478407</v>
      </c>
      <c r="G253" s="31">
        <f>VLOOKUP('AM (2011)'!$C253,CPI!$B$50:$I$63,8,FALSE)*'AM (nominal)'!G253</f>
        <v>29081.181687143926</v>
      </c>
      <c r="H253" s="31">
        <f>VLOOKUP('AM (2011)'!$C253,CPI!$B$50:$I$63,8,FALSE)*'AM (nominal)'!H253</f>
        <v>14534.362276065614</v>
      </c>
      <c r="I253" s="31">
        <f>VLOOKUP('AM (2011)'!$C253,CPI!$B$50:$I$63,8,FALSE)*'AM (nominal)'!I253</f>
        <v>2383.4651657629206</v>
      </c>
      <c r="J253" s="27">
        <f>VLOOKUP('AM (2011)'!$C253,CPI!$B$50:$I$63,8,FALSE)*'AM (nominal)'!J253</f>
        <v>89456.762715354489</v>
      </c>
      <c r="K253" s="31">
        <f>VLOOKUP('AM (2011)'!$C253,CPI!$B$50:$I$63,8,FALSE)*'AM (nominal)'!K253</f>
        <v>7835.5379229871623</v>
      </c>
      <c r="L253" s="31">
        <f>VLOOKUP('AM (2011)'!$C253,CPI!$B$50:$I$63,8,FALSE)*'AM (nominal)'!L253</f>
        <v>13313.563044821192</v>
      </c>
      <c r="M253" s="31">
        <f>VLOOKUP('AM (2011)'!$C253,CPI!$B$50:$I$63,8,FALSE)*'AM (nominal)'!M253</f>
        <v>8875.7086965474609</v>
      </c>
      <c r="N253" s="639">
        <f>VLOOKUP('AM (2011)'!$C253,CPI!$B$50:$I$63,8,FALSE)*'AM (nominal)'!N253</f>
        <v>30024.809664355816</v>
      </c>
    </row>
    <row r="254" spans="1:14" s="278" customFormat="1" ht="409.6">
      <c r="A254" s="271">
        <f>References!O276</f>
        <v>427</v>
      </c>
      <c r="B254" s="305" t="s">
        <v>47</v>
      </c>
      <c r="C254" s="284">
        <v>2009</v>
      </c>
      <c r="D254" s="284">
        <v>2014</v>
      </c>
      <c r="E254" s="31">
        <f>VLOOKUP('AM (2011)'!$C254,CPI!$B$50:$I$63,8,FALSE)*'AM (nominal)'!E254</f>
        <v>18198.836158967664</v>
      </c>
      <c r="F254" s="31">
        <f>VLOOKUP('AM (2011)'!$C254,CPI!$B$50:$I$63,8,FALSE)*'AM (nominal)'!F254</f>
        <v>23130.823529411758</v>
      </c>
      <c r="G254" s="31">
        <f>VLOOKUP('AM (2011)'!$C254,CPI!$B$50:$I$63,8,FALSE)*'AM (nominal)'!G254</f>
        <v>32261.903493719532</v>
      </c>
      <c r="H254" s="31">
        <f>VLOOKUP('AM (2011)'!$C254,CPI!$B$50:$I$63,8,FALSE)*'AM (nominal)'!H254</f>
        <v>14689.038369139951</v>
      </c>
      <c r="I254" s="31">
        <f>VLOOKUP('AM (2011)'!$C254,CPI!$B$50:$I$63,8,FALSE)*'AM (nominal)'!I254</f>
        <v>2482.0841512801144</v>
      </c>
      <c r="J254" s="27">
        <f>VLOOKUP('AM (2011)'!$C254,CPI!$B$50:$I$63,8,FALSE)*'AM (nominal)'!J254</f>
        <v>90762.685702519026</v>
      </c>
      <c r="K254" s="31">
        <f>VLOOKUP('AM (2011)'!$C254,CPI!$B$50:$I$63,8,FALSE)*'AM (nominal)'!K254</f>
        <v>13481.734367492618</v>
      </c>
      <c r="L254" s="31">
        <f>VLOOKUP('AM (2011)'!$C254,CPI!$B$50:$I$63,8,FALSE)*'AM (nominal)'!L254</f>
        <v>8987.822911661744</v>
      </c>
      <c r="M254" s="31">
        <f>VLOOKUP('AM (2011)'!$C254,CPI!$B$50:$I$63,8,FALSE)*'AM (nominal)'!M254</f>
        <v>7489.8524263847876</v>
      </c>
      <c r="N254" s="639">
        <f>VLOOKUP('AM (2011)'!$C254,CPI!$B$50:$I$63,8,FALSE)*'AM (nominal)'!N254</f>
        <v>29959.40970553915</v>
      </c>
    </row>
    <row r="255" spans="1:14" s="278" customFormat="1" ht="409.6">
      <c r="A255" s="271">
        <f>References!P276</f>
        <v>428</v>
      </c>
      <c r="B255" s="305" t="s">
        <v>47</v>
      </c>
      <c r="C255" s="284">
        <v>2010</v>
      </c>
      <c r="D255" s="284">
        <v>2011</v>
      </c>
      <c r="E255" s="31">
        <f>VLOOKUP('AM (2011)'!$C255,CPI!$B$50:$I$63,8,FALSE)*'AM (nominal)'!E255</f>
        <v>20234.070760690898</v>
      </c>
      <c r="F255" s="31">
        <f>VLOOKUP('AM (2011)'!$C255,CPI!$B$50:$I$63,8,FALSE)*'AM (nominal)'!F255</f>
        <v>24244.206838942628</v>
      </c>
      <c r="G255" s="31">
        <f>VLOOKUP('AM (2011)'!$C255,CPI!$B$50:$I$63,8,FALSE)*'AM (nominal)'!G255</f>
        <v>24901.355662741502</v>
      </c>
      <c r="H255" s="31">
        <f>VLOOKUP('AM (2011)'!$C255,CPI!$B$50:$I$63,8,FALSE)*'AM (nominal)'!H255</f>
        <v>13822.539678262508</v>
      </c>
      <c r="I255" s="31">
        <f>VLOOKUP('AM (2011)'!$C255,CPI!$B$50:$I$63,8,FALSE)*'AM (nominal)'!I255</f>
        <v>2248.5696963164555</v>
      </c>
      <c r="J255" s="27">
        <f>VLOOKUP('AM (2011)'!$C255,CPI!$B$50:$I$63,8,FALSE)*'AM (nominal)'!J255</f>
        <v>85450.74263695399</v>
      </c>
      <c r="K255" s="31">
        <f>VLOOKUP('AM (2011)'!$C255,CPI!$B$50:$I$63,8,FALSE)*'AM (nominal)'!K255</f>
        <v>11738.002479049337</v>
      </c>
      <c r="L255" s="31">
        <f>VLOOKUP('AM (2011)'!$C255,CPI!$B$50:$I$63,8,FALSE)*'AM (nominal)'!L255</f>
        <v>7824.6557624424013</v>
      </c>
      <c r="M255" s="31">
        <f>VLOOKUP('AM (2011)'!$C255,CPI!$B$50:$I$63,8,FALSE)*'AM (nominal)'!M255</f>
        <v>6520.5464687020012</v>
      </c>
      <c r="N255" s="639">
        <f>VLOOKUP('AM (2011)'!$C255,CPI!$B$50:$I$63,8,FALSE)*'AM (nominal)'!N255</f>
        <v>26083.204710193739</v>
      </c>
    </row>
    <row r="256" spans="1:14" s="278" customFormat="1" ht="409.6">
      <c r="A256" s="271">
        <f>References!Q276</f>
        <v>429</v>
      </c>
      <c r="B256" s="305" t="s">
        <v>47</v>
      </c>
      <c r="C256" s="284">
        <v>2010</v>
      </c>
      <c r="D256" s="284">
        <v>2012</v>
      </c>
      <c r="E256" s="31">
        <f>VLOOKUP('AM (2011)'!$C256,CPI!$B$50:$I$63,8,FALSE)*'AM (nominal)'!E256</f>
        <v>19275.346662714557</v>
      </c>
      <c r="F256" s="31">
        <f>VLOOKUP('AM (2011)'!$C256,CPI!$B$50:$I$63,8,FALSE)*'AM (nominal)'!F256</f>
        <v>24870.790601169461</v>
      </c>
      <c r="G256" s="31">
        <f>VLOOKUP('AM (2011)'!$C256,CPI!$B$50:$I$63,8,FALSE)*'AM (nominal)'!G256</f>
        <v>27642.022850367812</v>
      </c>
      <c r="H256" s="31">
        <f>VLOOKUP('AM (2011)'!$C256,CPI!$B$50:$I$63,8,FALSE)*'AM (nominal)'!H256</f>
        <v>14549.988143677076</v>
      </c>
      <c r="I256" s="31">
        <f>VLOOKUP('AM (2011)'!$C256,CPI!$B$50:$I$63,8,FALSE)*'AM (nominal)'!I256</f>
        <v>2382.0371318476996</v>
      </c>
      <c r="J256" s="27">
        <f>VLOOKUP('AM (2011)'!$C256,CPI!$B$50:$I$63,8,FALSE)*'AM (nominal)'!J256</f>
        <v>88720.185389776598</v>
      </c>
      <c r="K256" s="31">
        <f>VLOOKUP('AM (2011)'!$C256,CPI!$B$50:$I$63,8,FALSE)*'AM (nominal)'!K256</f>
        <v>11971.31578238258</v>
      </c>
      <c r="L256" s="31">
        <f>VLOOKUP('AM (2011)'!$C256,CPI!$B$50:$I$63,8,FALSE)*'AM (nominal)'!L256</f>
        <v>7980.5375764598084</v>
      </c>
      <c r="M256" s="31">
        <f>VLOOKUP('AM (2011)'!$C256,CPI!$B$50:$I$63,8,FALSE)*'AM (nominal)'!M256</f>
        <v>6650.9573980760415</v>
      </c>
      <c r="N256" s="639">
        <f>VLOOKUP('AM (2011)'!$C256,CPI!$B$50:$I$63,8,FALSE)*'AM (nominal)'!N256</f>
        <v>26602.810756918429</v>
      </c>
    </row>
    <row r="257" spans="1:14" s="278" customFormat="1" ht="409.6">
      <c r="A257" s="271">
        <f>References!R276</f>
        <v>430</v>
      </c>
      <c r="B257" s="305" t="s">
        <v>47</v>
      </c>
      <c r="C257" s="284">
        <v>2010</v>
      </c>
      <c r="D257" s="284">
        <v>2013</v>
      </c>
      <c r="E257" s="31">
        <f>VLOOKUP('AM (2011)'!$C257,CPI!$B$50:$I$63,8,FALSE)*'AM (nominal)'!E257</f>
        <v>18482.69273261297</v>
      </c>
      <c r="F257" s="31">
        <f>VLOOKUP('AM (2011)'!$C257,CPI!$B$50:$I$63,8,FALSE)*'AM (nominal)'!F257</f>
        <v>25494.31785723909</v>
      </c>
      <c r="G257" s="31">
        <f>VLOOKUP('AM (2011)'!$C257,CPI!$B$50:$I$63,8,FALSE)*'AM (nominal)'!G257</f>
        <v>30664.907439842631</v>
      </c>
      <c r="H257" s="31">
        <f>VLOOKUP('AM (2011)'!$C257,CPI!$B$50:$I$63,8,FALSE)*'AM (nominal)'!H257</f>
        <v>15325.321872221171</v>
      </c>
      <c r="I257" s="31">
        <f>VLOOKUP('AM (2011)'!$C257,CPI!$B$50:$I$63,8,FALSE)*'AM (nominal)'!I257</f>
        <v>2284.2289348171698</v>
      </c>
      <c r="J257" s="27">
        <f>VLOOKUP('AM (2011)'!$C257,CPI!$B$50:$I$63,8,FALSE)*'AM (nominal)'!J257</f>
        <v>92251.468836733024</v>
      </c>
      <c r="K257" s="31">
        <f>VLOOKUP('AM (2011)'!$C257,CPI!$B$50:$I$63,8,FALSE)*'AM (nominal)'!K257</f>
        <v>12241.307159602273</v>
      </c>
      <c r="L257" s="31">
        <f>VLOOKUP('AM (2011)'!$C257,CPI!$B$50:$I$63,8,FALSE)*'AM (nominal)'!L257</f>
        <v>8160.8714397348485</v>
      </c>
      <c r="M257" s="31">
        <f>VLOOKUP('AM (2011)'!$C257,CPI!$B$50:$I$63,8,FALSE)*'AM (nominal)'!M257</f>
        <v>6800.7261997790401</v>
      </c>
      <c r="N257" s="639">
        <f>VLOOKUP('AM (2011)'!$C257,CPI!$B$50:$I$63,8,FALSE)*'AM (nominal)'!N257</f>
        <v>27202.904799116161</v>
      </c>
    </row>
    <row r="258" spans="1:14" s="278" customFormat="1" ht="409.6">
      <c r="A258" s="271">
        <f>References!S276</f>
        <v>431</v>
      </c>
      <c r="B258" s="305" t="s">
        <v>47</v>
      </c>
      <c r="C258" s="284">
        <v>2010</v>
      </c>
      <c r="D258" s="284">
        <v>2014</v>
      </c>
      <c r="E258" s="31">
        <f>VLOOKUP('AM (2011)'!$C258,CPI!$B$50:$I$63,8,FALSE)*'AM (nominal)'!E258</f>
        <v>17445.518309935058</v>
      </c>
      <c r="F258" s="31">
        <f>VLOOKUP('AM (2011)'!$C258,CPI!$B$50:$I$63,8,FALSE)*'AM (nominal)'!F258</f>
        <v>24390.919134488424</v>
      </c>
      <c r="G258" s="31">
        <f>VLOOKUP('AM (2011)'!$C258,CPI!$B$50:$I$63,8,FALSE)*'AM (nominal)'!G258</f>
        <v>34018.913529681224</v>
      </c>
      <c r="H258" s="31">
        <f>VLOOKUP('AM (2011)'!$C258,CPI!$B$50:$I$63,8,FALSE)*'AM (nominal)'!H258</f>
        <v>15488.335533938722</v>
      </c>
      <c r="I258" s="31">
        <f>VLOOKUP('AM (2011)'!$C258,CPI!$B$50:$I$63,8,FALSE)*'AM (nominal)'!I258</f>
        <v>2378.9806256904958</v>
      </c>
      <c r="J258" s="27">
        <f>VLOOKUP('AM (2011)'!$C258,CPI!$B$50:$I$63,8,FALSE)*'AM (nominal)'!J258</f>
        <v>93722.667133733921</v>
      </c>
      <c r="K258" s="31">
        <f>VLOOKUP('AM (2011)'!$C258,CPI!$B$50:$I$63,8,FALSE)*'AM (nominal)'!K258</f>
        <v>12391.075961305272</v>
      </c>
      <c r="L258" s="31">
        <f>VLOOKUP('AM (2011)'!$C258,CPI!$B$50:$I$63,8,FALSE)*'AM (nominal)'!L258</f>
        <v>8260.7173075368482</v>
      </c>
      <c r="M258" s="31">
        <f>VLOOKUP('AM (2011)'!$C258,CPI!$B$50:$I$63,8,FALSE)*'AM (nominal)'!M258</f>
        <v>6884.2707014092848</v>
      </c>
      <c r="N258" s="639">
        <f>VLOOKUP('AM (2011)'!$C258,CPI!$B$50:$I$63,8,FALSE)*'AM (nominal)'!N258</f>
        <v>27536.063970251405</v>
      </c>
    </row>
    <row r="259" spans="1:14" s="278" customFormat="1" ht="409.6">
      <c r="A259" s="271">
        <f>References!T276</f>
        <v>432</v>
      </c>
      <c r="B259" s="305" t="s">
        <v>47</v>
      </c>
      <c r="C259" s="284">
        <v>2010</v>
      </c>
      <c r="D259" s="284">
        <v>2015</v>
      </c>
      <c r="E259" s="31">
        <f>VLOOKUP('AM (2011)'!$C259,CPI!$B$50:$I$63,8,FALSE)*'AM (nominal)'!E259</f>
        <v>16568.301042817489</v>
      </c>
      <c r="F259" s="31">
        <f>VLOOKUP('AM (2011)'!$C259,CPI!$B$50:$I$63,8,FALSE)*'AM (nominal)'!F259</f>
        <v>23216.201934736328</v>
      </c>
      <c r="G259" s="31">
        <f>VLOOKUP('AM (2011)'!$C259,CPI!$B$50:$I$63,8,FALSE)*'AM (nominal)'!G259</f>
        <v>37740.719193770034</v>
      </c>
      <c r="H259" s="31">
        <f>VLOOKUP('AM (2011)'!$C259,CPI!$B$50:$I$63,8,FALSE)*'AM (nominal)'!H259</f>
        <v>15689.046104928455</v>
      </c>
      <c r="I259" s="31">
        <f>VLOOKUP('AM (2011)'!$C259,CPI!$B$50:$I$63,8,FALSE)*'AM (nominal)'!I259</f>
        <v>2259.7768855595373</v>
      </c>
      <c r="J259" s="27">
        <f>VLOOKUP('AM (2011)'!$C259,CPI!$B$50:$I$63,8,FALSE)*'AM (nominal)'!J259</f>
        <v>95474.045161811853</v>
      </c>
      <c r="K259" s="31">
        <f>VLOOKUP('AM (2011)'!$C259,CPI!$B$50:$I$63,8,FALSE)*'AM (nominal)'!K259</f>
        <v>12670.236856996577</v>
      </c>
      <c r="L259" s="31">
        <f>VLOOKUP('AM (2011)'!$C259,CPI!$B$50:$I$63,8,FALSE)*'AM (nominal)'!L259</f>
        <v>8447.164183126295</v>
      </c>
      <c r="M259" s="31">
        <f>VLOOKUP('AM (2011)'!$C259,CPI!$B$50:$I$63,8,FALSE)*'AM (nominal)'!M259</f>
        <v>7039.1336800409572</v>
      </c>
      <c r="N259" s="639">
        <f>VLOOKUP('AM (2011)'!$C259,CPI!$B$50:$I$63,8,FALSE)*'AM (nominal)'!N259</f>
        <v>28156.534720163829</v>
      </c>
    </row>
    <row r="260" spans="1:14" s="278" customFormat="1" ht="409.6">
      <c r="A260" s="271">
        <f>References!U276</f>
        <v>433</v>
      </c>
      <c r="B260" s="305" t="s">
        <v>47</v>
      </c>
      <c r="C260" s="284">
        <v>2011</v>
      </c>
      <c r="D260" s="284">
        <v>2012</v>
      </c>
      <c r="E260" s="31">
        <f>VLOOKUP('AM (2011)'!$C260,CPI!$B$50:$I$63,8,FALSE)*'AM (nominal)'!E260</f>
        <v>19110</v>
      </c>
      <c r="F260" s="31">
        <f>VLOOKUP('AM (2011)'!$C260,CPI!$B$50:$I$63,8,FALSE)*'AM (nominal)'!F260</f>
        <v>24592</v>
      </c>
      <c r="G260" s="31">
        <f>VLOOKUP('AM (2011)'!$C260,CPI!$B$50:$I$63,8,FALSE)*'AM (nominal)'!G260</f>
        <v>26010</v>
      </c>
      <c r="H260" s="31">
        <f>VLOOKUP('AM (2011)'!$C260,CPI!$B$50:$I$63,8,FALSE)*'AM (nominal)'!H260</f>
        <v>13779</v>
      </c>
      <c r="I260" s="31">
        <f>VLOOKUP('AM (2011)'!$C260,CPI!$B$50:$I$63,8,FALSE)*'AM (nominal)'!I260</f>
        <v>2142</v>
      </c>
      <c r="J260" s="27">
        <f>VLOOKUP('AM (2011)'!$C260,CPI!$B$50:$I$63,8,FALSE)*'AM (nominal)'!J260</f>
        <v>85633</v>
      </c>
      <c r="K260" s="31">
        <f>VLOOKUP('AM (2011)'!$C260,CPI!$B$50:$I$63,8,FALSE)*'AM (nominal)'!K260</f>
        <v>12048.4</v>
      </c>
      <c r="L260" s="31">
        <f>VLOOKUP('AM (2011)'!$C260,CPI!$B$50:$I$63,8,FALSE)*'AM (nominal)'!L260</f>
        <v>8032.4</v>
      </c>
      <c r="M260" s="31">
        <f>VLOOKUP('AM (2011)'!$C260,CPI!$B$50:$I$63,8,FALSE)*'AM (nominal)'!M260</f>
        <v>6694</v>
      </c>
      <c r="N260" s="639">
        <f>VLOOKUP('AM (2011)'!$C260,CPI!$B$50:$I$63,8,FALSE)*'AM (nominal)'!N260</f>
        <v>26774.799999999999</v>
      </c>
    </row>
    <row r="261" spans="1:14" s="278" customFormat="1" ht="409.6">
      <c r="A261" s="271">
        <f>References!V276</f>
        <v>434</v>
      </c>
      <c r="B261" s="305" t="s">
        <v>47</v>
      </c>
      <c r="C261" s="284">
        <v>2011</v>
      </c>
      <c r="D261" s="284">
        <v>2013</v>
      </c>
      <c r="E261" s="31">
        <f>VLOOKUP('AM (2011)'!$C261,CPI!$B$50:$I$63,8,FALSE)*'AM (nominal)'!E261</f>
        <v>18173</v>
      </c>
      <c r="F261" s="31">
        <f>VLOOKUP('AM (2011)'!$C261,CPI!$B$50:$I$63,8,FALSE)*'AM (nominal)'!F261</f>
        <v>24500</v>
      </c>
      <c r="G261" s="31">
        <f>VLOOKUP('AM (2011)'!$C261,CPI!$B$50:$I$63,8,FALSE)*'AM (nominal)'!G261</f>
        <v>28645</v>
      </c>
      <c r="H261" s="31">
        <f>VLOOKUP('AM (2011)'!$C261,CPI!$B$50:$I$63,8,FALSE)*'AM (nominal)'!H261</f>
        <v>14493</v>
      </c>
      <c r="I261" s="31">
        <f>VLOOKUP('AM (2011)'!$C261,CPI!$B$50:$I$63,8,FALSE)*'AM (nominal)'!I261</f>
        <v>2246</v>
      </c>
      <c r="J261" s="27">
        <f>VLOOKUP('AM (2011)'!$C261,CPI!$B$50:$I$63,8,FALSE)*'AM (nominal)'!J261</f>
        <v>88057</v>
      </c>
      <c r="K261" s="31">
        <f>VLOOKUP('AM (2011)'!$C261,CPI!$B$50:$I$63,8,FALSE)*'AM (nominal)'!K261</f>
        <v>12428</v>
      </c>
      <c r="L261" s="31">
        <f>VLOOKUP('AM (2011)'!$C261,CPI!$B$50:$I$63,8,FALSE)*'AM (nominal)'!L261</f>
        <v>8286</v>
      </c>
      <c r="M261" s="31">
        <f>VLOOKUP('AM (2011)'!$C261,CPI!$B$50:$I$63,8,FALSE)*'AM (nominal)'!M261</f>
        <v>6905</v>
      </c>
      <c r="N261" s="639">
        <f>VLOOKUP('AM (2011)'!$C261,CPI!$B$50:$I$63,8,FALSE)*'AM (nominal)'!N261</f>
        <v>27619</v>
      </c>
    </row>
    <row r="262" spans="1:14" s="278" customFormat="1" ht="409.6">
      <c r="A262" s="271">
        <f>References!W276</f>
        <v>435</v>
      </c>
      <c r="B262" s="305" t="s">
        <v>47</v>
      </c>
      <c r="C262" s="284">
        <v>2011</v>
      </c>
      <c r="D262" s="284">
        <v>2014</v>
      </c>
      <c r="E262" s="31">
        <f>VLOOKUP('AM (2011)'!$C262,CPI!$B$50:$I$63,8,FALSE)*'AM (nominal)'!E262</f>
        <v>17210.400000000001</v>
      </c>
      <c r="F262" s="31">
        <f>VLOOKUP('AM (2011)'!$C262,CPI!$B$50:$I$63,8,FALSE)*'AM (nominal)'!F262</f>
        <v>23614.400000000001</v>
      </c>
      <c r="G262" s="31">
        <f>VLOOKUP('AM (2011)'!$C262,CPI!$B$50:$I$63,8,FALSE)*'AM (nominal)'!G262</f>
        <v>31765</v>
      </c>
      <c r="H262" s="31">
        <f>VLOOKUP('AM (2011)'!$C262,CPI!$B$50:$I$63,8,FALSE)*'AM (nominal)'!H262</f>
        <v>14789</v>
      </c>
      <c r="I262" s="31">
        <f>VLOOKUP('AM (2011)'!$C262,CPI!$B$50:$I$63,8,FALSE)*'AM (nominal)'!I262</f>
        <v>2289</v>
      </c>
      <c r="J262" s="27">
        <f>VLOOKUP('AM (2011)'!$C262,CPI!$B$50:$I$63,8,FALSE)*'AM (nominal)'!J262</f>
        <v>89667.8</v>
      </c>
      <c r="K262" s="31">
        <f>VLOOKUP('AM (2011)'!$C262,CPI!$B$50:$I$63,8,FALSE)*'AM (nominal)'!K262</f>
        <v>12615.4</v>
      </c>
      <c r="L262" s="31">
        <f>VLOOKUP('AM (2011)'!$C262,CPI!$B$50:$I$63,8,FALSE)*'AM (nominal)'!L262</f>
        <v>8410.4</v>
      </c>
      <c r="M262" s="31">
        <f>VLOOKUP('AM (2011)'!$C262,CPI!$B$50:$I$63,8,FALSE)*'AM (nominal)'!M262</f>
        <v>7008</v>
      </c>
      <c r="N262" s="639">
        <f>VLOOKUP('AM (2011)'!$C262,CPI!$B$50:$I$63,8,FALSE)*'AM (nominal)'!N262</f>
        <v>28033.8</v>
      </c>
    </row>
    <row r="263" spans="1:14" s="278" customFormat="1" ht="409.6">
      <c r="A263" s="271">
        <f>References!X276</f>
        <v>436</v>
      </c>
      <c r="B263" s="305" t="s">
        <v>47</v>
      </c>
      <c r="C263" s="284">
        <v>2011</v>
      </c>
      <c r="D263" s="284">
        <v>2015</v>
      </c>
      <c r="E263" s="31">
        <f>VLOOKUP('AM (2011)'!$C263,CPI!$B$50:$I$63,8,FALSE)*'AM (nominal)'!E263</f>
        <v>16320</v>
      </c>
      <c r="F263" s="31">
        <f>VLOOKUP('AM (2011)'!$C263,CPI!$B$50:$I$63,8,FALSE)*'AM (nominal)'!F263</f>
        <v>22514</v>
      </c>
      <c r="G263" s="31">
        <f>VLOOKUP('AM (2011)'!$C263,CPI!$B$50:$I$63,8,FALSE)*'AM (nominal)'!G263</f>
        <v>35252</v>
      </c>
      <c r="H263" s="31">
        <f>VLOOKUP('AM (2011)'!$C263,CPI!$B$50:$I$63,8,FALSE)*'AM (nominal)'!H263</f>
        <v>14977</v>
      </c>
      <c r="I263" s="31">
        <f>VLOOKUP('AM (2011)'!$C263,CPI!$B$50:$I$63,8,FALSE)*'AM (nominal)'!I263</f>
        <v>2226</v>
      </c>
      <c r="J263" s="27">
        <f>VLOOKUP('AM (2011)'!$C263,CPI!$B$50:$I$63,8,FALSE)*'AM (nominal)'!J263</f>
        <v>91289</v>
      </c>
      <c r="K263" s="31">
        <f>VLOOKUP('AM (2011)'!$C263,CPI!$B$50:$I$63,8,FALSE)*'AM (nominal)'!K263</f>
        <v>12869</v>
      </c>
      <c r="L263" s="31">
        <f>VLOOKUP('AM (2011)'!$C263,CPI!$B$50:$I$63,8,FALSE)*'AM (nominal)'!L263</f>
        <v>8579</v>
      </c>
      <c r="M263" s="31">
        <f>VLOOKUP('AM (2011)'!$C263,CPI!$B$50:$I$63,8,FALSE)*'AM (nominal)'!M263</f>
        <v>7149</v>
      </c>
      <c r="N263" s="639">
        <f>VLOOKUP('AM (2011)'!$C263,CPI!$B$50:$I$63,8,FALSE)*'AM (nominal)'!N263</f>
        <v>28597</v>
      </c>
    </row>
    <row r="264" spans="1:14" s="278" customFormat="1" ht="409.6">
      <c r="A264" s="271">
        <f>References!Y276</f>
        <v>437</v>
      </c>
      <c r="B264" s="305" t="s">
        <v>47</v>
      </c>
      <c r="C264" s="284">
        <v>2011</v>
      </c>
      <c r="D264" s="284">
        <v>2016</v>
      </c>
      <c r="E264" s="31">
        <f>VLOOKUP('AM (2011)'!$C264,CPI!$B$50:$I$63,8,FALSE)*'AM (nominal)'!E264</f>
        <v>16372.6</v>
      </c>
      <c r="F264" s="31">
        <f>VLOOKUP('AM (2011)'!$C264,CPI!$B$50:$I$63,8,FALSE)*'AM (nominal)'!F264</f>
        <v>22613.599999999999</v>
      </c>
      <c r="G264" s="31">
        <f>VLOOKUP('AM (2011)'!$C264,CPI!$B$50:$I$63,8,FALSE)*'AM (nominal)'!G264</f>
        <v>39134</v>
      </c>
      <c r="H264" s="31">
        <f>VLOOKUP('AM (2011)'!$C264,CPI!$B$50:$I$63,8,FALSE)*'AM (nominal)'!H264</f>
        <v>15700</v>
      </c>
      <c r="I264" s="31">
        <f>VLOOKUP('AM (2011)'!$C264,CPI!$B$50:$I$63,8,FALSE)*'AM (nominal)'!I264</f>
        <v>2233</v>
      </c>
      <c r="J264" s="27">
        <f>VLOOKUP('AM (2011)'!$C264,CPI!$B$50:$I$63,8,FALSE)*'AM (nominal)'!J264</f>
        <v>96053.2</v>
      </c>
      <c r="K264" s="31">
        <f>VLOOKUP('AM (2011)'!$C264,CPI!$B$50:$I$63,8,FALSE)*'AM (nominal)'!K264</f>
        <v>13153.4</v>
      </c>
      <c r="L264" s="31">
        <f>VLOOKUP('AM (2011)'!$C264,CPI!$B$50:$I$63,8,FALSE)*'AM (nominal)'!L264</f>
        <v>8769.4</v>
      </c>
      <c r="M264" s="31">
        <f>VLOOKUP('AM (2011)'!$C264,CPI!$B$50:$I$63,8,FALSE)*'AM (nominal)'!M264</f>
        <v>7307</v>
      </c>
      <c r="N264" s="639">
        <f>VLOOKUP('AM (2011)'!$C264,CPI!$B$50:$I$63,8,FALSE)*'AM (nominal)'!N264</f>
        <v>29229.8</v>
      </c>
    </row>
    <row r="265" spans="1:14" s="278" customFormat="1" ht="409.6">
      <c r="A265" s="271">
        <f>References!K277</f>
        <v>446</v>
      </c>
      <c r="B265" s="305" t="s">
        <v>48</v>
      </c>
      <c r="C265" s="284">
        <v>2009</v>
      </c>
      <c r="D265" s="284">
        <v>2010</v>
      </c>
      <c r="E265" s="31">
        <f>VLOOKUP('AM (2011)'!$C265+1,CPI!$B$50:$I$63,8,FALSE)*'AM (nominal)'!E265</f>
        <v>0</v>
      </c>
      <c r="F265" s="31">
        <f>VLOOKUP('AM (2011)'!$C265+1,CPI!$B$50:$I$63,8,FALSE)*'AM (nominal)'!F265</f>
        <v>0</v>
      </c>
      <c r="G265" s="31">
        <f>VLOOKUP('AM (2011)'!$C265+1,CPI!$B$50:$I$63,8,FALSE)*'AM (nominal)'!G265</f>
        <v>1276.6007383255637</v>
      </c>
      <c r="H265" s="31">
        <f>VLOOKUP('AM (2011)'!$C265+1,CPI!$B$50:$I$63,8,FALSE)*'AM (nominal)'!H265</f>
        <v>0</v>
      </c>
      <c r="I265" s="31">
        <f>VLOOKUP('AM (2011)'!$C265+1,CPI!$B$50:$I$63,8,FALSE)*'AM (nominal)'!I265</f>
        <v>0</v>
      </c>
      <c r="J265" s="27">
        <f>VLOOKUP('AM (2011)'!$C265+1,CPI!$B$50:$I$63,8,FALSE)*'AM (nominal)'!J265</f>
        <v>1276.6007383255637</v>
      </c>
      <c r="K265" s="31">
        <f>VLOOKUP('AM (2011)'!$C265+1,CPI!$B$50:$I$63,8,FALSE)*'AM (nominal)'!K265</f>
        <v>183.39036943224377</v>
      </c>
      <c r="L265" s="31">
        <f>VLOOKUP('AM (2011)'!$C265+1,CPI!$B$50:$I$63,8,FALSE)*'AM (nominal)'!L265</f>
        <v>357.6112203928754</v>
      </c>
      <c r="M265" s="31">
        <f>VLOOKUP('AM (2011)'!$C265+1,CPI!$B$50:$I$63,8,FALSE)*'AM (nominal)'!M265</f>
        <v>163.01366171755004</v>
      </c>
      <c r="N265" s="639">
        <f>VLOOKUP('AM (2011)'!$C265+1,CPI!$B$50:$I$63,8,FALSE)*'AM (nominal)'!N265</f>
        <v>704.01525154266915</v>
      </c>
    </row>
    <row r="266" spans="1:14" s="278" customFormat="1" ht="409.6">
      <c r="A266" s="271">
        <f>References!L277</f>
        <v>447</v>
      </c>
      <c r="B266" s="305" t="s">
        <v>48</v>
      </c>
      <c r="C266" s="284">
        <v>2009</v>
      </c>
      <c r="D266" s="284">
        <v>2011</v>
      </c>
      <c r="E266" s="31">
        <f>VLOOKUP('AM (2011)'!$C266+1,CPI!$B$50:$I$63,8,FALSE)*'AM (nominal)'!E266</f>
        <v>0</v>
      </c>
      <c r="F266" s="31">
        <f>VLOOKUP('AM (2011)'!$C266+1,CPI!$B$50:$I$63,8,FALSE)*'AM (nominal)'!F266</f>
        <v>0</v>
      </c>
      <c r="G266" s="31">
        <f>VLOOKUP('AM (2011)'!$C266+1,CPI!$B$50:$I$63,8,FALSE)*'AM (nominal)'!G266</f>
        <v>1588.3643663603782</v>
      </c>
      <c r="H266" s="31">
        <f>VLOOKUP('AM (2011)'!$C266+1,CPI!$B$50:$I$63,8,FALSE)*'AM (nominal)'!H266</f>
        <v>0</v>
      </c>
      <c r="I266" s="31">
        <f>VLOOKUP('AM (2011)'!$C266+1,CPI!$B$50:$I$63,8,FALSE)*'AM (nominal)'!I266</f>
        <v>0</v>
      </c>
      <c r="J266" s="27">
        <f>VLOOKUP('AM (2011)'!$C266+1,CPI!$B$50:$I$63,8,FALSE)*'AM (nominal)'!J266</f>
        <v>1588.3643663603782</v>
      </c>
      <c r="K266" s="31">
        <f>VLOOKUP('AM (2011)'!$C266+1,CPI!$B$50:$I$63,8,FALSE)*'AM (nominal)'!K266</f>
        <v>190.5222171323866</v>
      </c>
      <c r="L266" s="31">
        <f>VLOOKUP('AM (2011)'!$C266+1,CPI!$B$50:$I$63,8,FALSE)*'AM (nominal)'!L266</f>
        <v>371.87491579316099</v>
      </c>
      <c r="M266" s="31">
        <f>VLOOKUP('AM (2011)'!$C266+1,CPI!$B$50:$I$63,8,FALSE)*'AM (nominal)'!M266</f>
        <v>169.12667403195815</v>
      </c>
      <c r="N266" s="639">
        <f>VLOOKUP('AM (2011)'!$C266+1,CPI!$B$50:$I$63,8,FALSE)*'AM (nominal)'!N266</f>
        <v>731.52380695750571</v>
      </c>
    </row>
    <row r="267" spans="1:14" s="278" customFormat="1" ht="409.6">
      <c r="A267" s="271">
        <f>References!M277</f>
        <v>448</v>
      </c>
      <c r="B267" s="305" t="s">
        <v>48</v>
      </c>
      <c r="C267" s="284">
        <v>2009</v>
      </c>
      <c r="D267" s="284">
        <v>2012</v>
      </c>
      <c r="E267" s="31">
        <f>VLOOKUP('AM (2011)'!$C267+1,CPI!$B$50:$I$63,8,FALSE)*'AM (nominal)'!E267</f>
        <v>0</v>
      </c>
      <c r="F267" s="31">
        <f>VLOOKUP('AM (2011)'!$C267+1,CPI!$B$50:$I$63,8,FALSE)*'AM (nominal)'!F267</f>
        <v>0</v>
      </c>
      <c r="G267" s="31">
        <f>VLOOKUP('AM (2011)'!$C267+1,CPI!$B$50:$I$63,8,FALSE)*'AM (nominal)'!G267</f>
        <v>1155.3593274231359</v>
      </c>
      <c r="H267" s="31">
        <f>VLOOKUP('AM (2011)'!$C267+1,CPI!$B$50:$I$63,8,FALSE)*'AM (nominal)'!H267</f>
        <v>0</v>
      </c>
      <c r="I267" s="31">
        <f>VLOOKUP('AM (2011)'!$C267+1,CPI!$B$50:$I$63,8,FALSE)*'AM (nominal)'!I267</f>
        <v>0</v>
      </c>
      <c r="J267" s="27">
        <f>VLOOKUP('AM (2011)'!$C267+1,CPI!$B$50:$I$63,8,FALSE)*'AM (nominal)'!J267</f>
        <v>1155.3593274231359</v>
      </c>
      <c r="K267" s="31">
        <f>VLOOKUP('AM (2011)'!$C267+1,CPI!$B$50:$I$63,8,FALSE)*'AM (nominal)'!K267</f>
        <v>198.67290021826409</v>
      </c>
      <c r="L267" s="31">
        <f>VLOOKUP('AM (2011)'!$C267+1,CPI!$B$50:$I$63,8,FALSE)*'AM (nominal)'!L267</f>
        <v>387.15744657918134</v>
      </c>
      <c r="M267" s="31">
        <f>VLOOKUP('AM (2011)'!$C267+1,CPI!$B$50:$I$63,8,FALSE)*'AM (nominal)'!M267</f>
        <v>176.25852173210097</v>
      </c>
      <c r="N267" s="639">
        <f>VLOOKUP('AM (2011)'!$C267+1,CPI!$B$50:$I$63,8,FALSE)*'AM (nominal)'!N267</f>
        <v>762.0888685295464</v>
      </c>
    </row>
    <row r="268" spans="1:14" s="278" customFormat="1" ht="409.6">
      <c r="A268" s="271">
        <f>References!N277</f>
        <v>449</v>
      </c>
      <c r="B268" s="305" t="s">
        <v>48</v>
      </c>
      <c r="C268" s="284">
        <v>2009</v>
      </c>
      <c r="D268" s="284">
        <v>2013</v>
      </c>
      <c r="E268" s="31">
        <f>VLOOKUP('AM (2011)'!$C268+1,CPI!$B$50:$I$63,8,FALSE)*'AM (nominal)'!E268</f>
        <v>0</v>
      </c>
      <c r="F268" s="31">
        <f>VLOOKUP('AM (2011)'!$C268+1,CPI!$B$50:$I$63,8,FALSE)*'AM (nominal)'!F268</f>
        <v>0</v>
      </c>
      <c r="G268" s="31">
        <f>VLOOKUP('AM (2011)'!$C268+1,CPI!$B$50:$I$63,8,FALSE)*'AM (nominal)'!G268</f>
        <v>1023.9295626633611</v>
      </c>
      <c r="H268" s="31">
        <f>VLOOKUP('AM (2011)'!$C268+1,CPI!$B$50:$I$63,8,FALSE)*'AM (nominal)'!H268</f>
        <v>0</v>
      </c>
      <c r="I268" s="31">
        <f>VLOOKUP('AM (2011)'!$C268+1,CPI!$B$50:$I$63,8,FALSE)*'AM (nominal)'!I268</f>
        <v>0</v>
      </c>
      <c r="J268" s="27">
        <f>VLOOKUP('AM (2011)'!$C268+1,CPI!$B$50:$I$63,8,FALSE)*'AM (nominal)'!J268</f>
        <v>1023.9295626633611</v>
      </c>
      <c r="K268" s="31">
        <f>VLOOKUP('AM (2011)'!$C268+1,CPI!$B$50:$I$63,8,FALSE)*'AM (nominal)'!K268</f>
        <v>205.80474791840692</v>
      </c>
      <c r="L268" s="31">
        <f>VLOOKUP('AM (2011)'!$C268+1,CPI!$B$50:$I$63,8,FALSE)*'AM (nominal)'!L268</f>
        <v>402.43997736520163</v>
      </c>
      <c r="M268" s="31">
        <f>VLOOKUP('AM (2011)'!$C268+1,CPI!$B$50:$I$63,8,FALSE)*'AM (nominal)'!M268</f>
        <v>183.39036943224377</v>
      </c>
      <c r="N268" s="639">
        <f>VLOOKUP('AM (2011)'!$C268+1,CPI!$B$50:$I$63,8,FALSE)*'AM (nominal)'!N268</f>
        <v>791.63509471585235</v>
      </c>
    </row>
    <row r="269" spans="1:14" s="278" customFormat="1" ht="409.6">
      <c r="A269" s="271">
        <f>References!O277</f>
        <v>450</v>
      </c>
      <c r="B269" s="305" t="s">
        <v>48</v>
      </c>
      <c r="C269" s="284">
        <v>2009</v>
      </c>
      <c r="D269" s="284">
        <v>2014</v>
      </c>
      <c r="E269" s="31">
        <f>VLOOKUP('AM (2011)'!$C269+1,CPI!$B$50:$I$63,8,FALSE)*'AM (nominal)'!E269</f>
        <v>0</v>
      </c>
      <c r="F269" s="31">
        <f>VLOOKUP('AM (2011)'!$C269+1,CPI!$B$50:$I$63,8,FALSE)*'AM (nominal)'!F269</f>
        <v>0</v>
      </c>
      <c r="G269" s="31">
        <f>VLOOKUP('AM (2011)'!$C269+1,CPI!$B$50:$I$63,8,FALSE)*'AM (nominal)'!G269</f>
        <v>1023.9295626633611</v>
      </c>
      <c r="H269" s="31">
        <f>VLOOKUP('AM (2011)'!$C269+1,CPI!$B$50:$I$63,8,FALSE)*'AM (nominal)'!H269</f>
        <v>0</v>
      </c>
      <c r="I269" s="31">
        <f>VLOOKUP('AM (2011)'!$C269+1,CPI!$B$50:$I$63,8,FALSE)*'AM (nominal)'!I269</f>
        <v>0</v>
      </c>
      <c r="J269" s="27">
        <f>VLOOKUP('AM (2011)'!$C269+1,CPI!$B$50:$I$63,8,FALSE)*'AM (nominal)'!J269</f>
        <v>1023.9295626633611</v>
      </c>
      <c r="K269" s="31">
        <f>VLOOKUP('AM (2011)'!$C269+1,CPI!$B$50:$I$63,8,FALSE)*'AM (nominal)'!K269</f>
        <v>214.9742663900191</v>
      </c>
      <c r="L269" s="31">
        <f>VLOOKUP('AM (2011)'!$C269+1,CPI!$B$50:$I$63,8,FALSE)*'AM (nominal)'!L269</f>
        <v>418.74134353695666</v>
      </c>
      <c r="M269" s="31">
        <f>VLOOKUP('AM (2011)'!$C269+1,CPI!$B$50:$I$63,8,FALSE)*'AM (nominal)'!M269</f>
        <v>190.5222171323866</v>
      </c>
      <c r="N269" s="639">
        <f>VLOOKUP('AM (2011)'!$C269+1,CPI!$B$50:$I$63,8,FALSE)*'AM (nominal)'!N269</f>
        <v>824.2378270593623</v>
      </c>
    </row>
    <row r="270" spans="1:14" s="278" customFormat="1" ht="409.6">
      <c r="A270" s="271">
        <f>References!U277</f>
        <v>456</v>
      </c>
      <c r="B270" s="305" t="s">
        <v>48</v>
      </c>
      <c r="C270" s="284">
        <v>2011</v>
      </c>
      <c r="D270" s="284">
        <v>2012</v>
      </c>
      <c r="E270" s="31">
        <f>VLOOKUP('AM (2011)'!$C270+1,CPI!$B$50:$I$63,8,FALSE)*'AM (nominal)'!E270</f>
        <v>35.194828700711049</v>
      </c>
      <c r="F270" s="31">
        <f>VLOOKUP('AM (2011)'!$C270+1,CPI!$B$50:$I$63,8,FALSE)*'AM (nominal)'!F270</f>
        <v>58.65804783451842</v>
      </c>
      <c r="G270" s="31">
        <f>VLOOKUP('AM (2011)'!$C270+1,CPI!$B$50:$I$63,8,FALSE)*'AM (nominal)'!G270</f>
        <v>792.86127989657393</v>
      </c>
      <c r="H270" s="31">
        <f>VLOOKUP('AM (2011)'!$C270+1,CPI!$B$50:$I$63,8,FALSE)*'AM (nominal)'!H270</f>
        <v>30.306658047834517</v>
      </c>
      <c r="I270" s="31">
        <f>VLOOKUP('AM (2011)'!$C270+1,CPI!$B$50:$I$63,8,FALSE)*'AM (nominal)'!I270</f>
        <v>0</v>
      </c>
      <c r="J270" s="27">
        <f>VLOOKUP('AM (2011)'!$C270+1,CPI!$B$50:$I$63,8,FALSE)*'AM (nominal)'!J270</f>
        <v>917.02081447963803</v>
      </c>
      <c r="K270" s="31">
        <f>VLOOKUP('AM (2011)'!$C270+1,CPI!$B$50:$I$63,8,FALSE)*'AM (nominal)'!K270</f>
        <v>166.19780219780219</v>
      </c>
      <c r="L270" s="31">
        <f>VLOOKUP('AM (2011)'!$C270+1,CPI!$B$50:$I$63,8,FALSE)*'AM (nominal)'!L270</f>
        <v>351.94828700711054</v>
      </c>
      <c r="M270" s="31">
        <f>VLOOKUP('AM (2011)'!$C270+1,CPI!$B$50:$I$63,8,FALSE)*'AM (nominal)'!M270</f>
        <v>156.42146089204911</v>
      </c>
      <c r="N270" s="639">
        <f>VLOOKUP('AM (2011)'!$C270+1,CPI!$B$50:$I$63,8,FALSE)*'AM (nominal)'!N270</f>
        <v>674.5675500969619</v>
      </c>
    </row>
    <row r="271" spans="1:14" s="278" customFormat="1" ht="409.6">
      <c r="A271" s="271">
        <f>References!V277</f>
        <v>457</v>
      </c>
      <c r="B271" s="305" t="s">
        <v>48</v>
      </c>
      <c r="C271" s="284">
        <v>2011</v>
      </c>
      <c r="D271" s="284">
        <v>2013</v>
      </c>
      <c r="E271" s="31">
        <f>VLOOKUP('AM (2011)'!$C271+1,CPI!$B$50:$I$63,8,FALSE)*'AM (nominal)'!E271</f>
        <v>43.015901745313506</v>
      </c>
      <c r="F271" s="31">
        <f>VLOOKUP('AM (2011)'!$C271+1,CPI!$B$50:$I$63,8,FALSE)*'AM (nominal)'!F271</f>
        <v>73.322559793148031</v>
      </c>
      <c r="G271" s="31">
        <f>VLOOKUP('AM (2011)'!$C271+1,CPI!$B$50:$I$63,8,FALSE)*'AM (nominal)'!G271</f>
        <v>832.94427925016157</v>
      </c>
      <c r="H271" s="31">
        <f>VLOOKUP('AM (2011)'!$C271+1,CPI!$B$50:$I$63,8,FALSE)*'AM (nominal)'!H271</f>
        <v>31.284292178409824</v>
      </c>
      <c r="I271" s="31">
        <f>VLOOKUP('AM (2011)'!$C271+1,CPI!$B$50:$I$63,8,FALSE)*'AM (nominal)'!I271</f>
        <v>0</v>
      </c>
      <c r="J271" s="27">
        <f>VLOOKUP('AM (2011)'!$C271+1,CPI!$B$50:$I$63,8,FALSE)*'AM (nominal)'!J271</f>
        <v>980.5670329670329</v>
      </c>
      <c r="K271" s="31">
        <f>VLOOKUP('AM (2011)'!$C271+1,CPI!$B$50:$I$63,8,FALSE)*'AM (nominal)'!K271</f>
        <v>166.19780219780219</v>
      </c>
      <c r="L271" s="31">
        <f>VLOOKUP('AM (2011)'!$C271+1,CPI!$B$50:$I$63,8,FALSE)*'AM (nominal)'!L271</f>
        <v>351.94828700711054</v>
      </c>
      <c r="M271" s="31">
        <f>VLOOKUP('AM (2011)'!$C271+1,CPI!$B$50:$I$63,8,FALSE)*'AM (nominal)'!M271</f>
        <v>156.42146089204911</v>
      </c>
      <c r="N271" s="639">
        <f>VLOOKUP('AM (2011)'!$C271+1,CPI!$B$50:$I$63,8,FALSE)*'AM (nominal)'!N271</f>
        <v>674.5675500969619</v>
      </c>
    </row>
    <row r="272" spans="1:14" s="278" customFormat="1" ht="409.6">
      <c r="A272" s="271">
        <f>References!W277</f>
        <v>458</v>
      </c>
      <c r="B272" s="305" t="s">
        <v>48</v>
      </c>
      <c r="C272" s="284">
        <v>2011</v>
      </c>
      <c r="D272" s="284">
        <v>2014</v>
      </c>
      <c r="E272" s="31">
        <f>VLOOKUP('AM (2011)'!$C272+1,CPI!$B$50:$I$63,8,FALSE)*'AM (nominal)'!E272</f>
        <v>53.769877181641888</v>
      </c>
      <c r="F272" s="31">
        <f>VLOOKUP('AM (2011)'!$C272+1,CPI!$B$50:$I$63,8,FALSE)*'AM (nominal)'!F272</f>
        <v>73.322559793148031</v>
      </c>
      <c r="G272" s="31">
        <f>VLOOKUP('AM (2011)'!$C272+1,CPI!$B$50:$I$63,8,FALSE)*'AM (nominal)'!G272</f>
        <v>797.74945054945056</v>
      </c>
      <c r="H272" s="31">
        <f>VLOOKUP('AM (2011)'!$C272+1,CPI!$B$50:$I$63,8,FALSE)*'AM (nominal)'!H272</f>
        <v>23.463219133807367</v>
      </c>
      <c r="I272" s="31">
        <f>VLOOKUP('AM (2011)'!$C272+1,CPI!$B$50:$I$63,8,FALSE)*'AM (nominal)'!I272</f>
        <v>0</v>
      </c>
      <c r="J272" s="27">
        <f>VLOOKUP('AM (2011)'!$C272+1,CPI!$B$50:$I$63,8,FALSE)*'AM (nominal)'!J272</f>
        <v>948.30510665804775</v>
      </c>
      <c r="K272" s="31">
        <f>VLOOKUP('AM (2011)'!$C272+1,CPI!$B$50:$I$63,8,FALSE)*'AM (nominal)'!K272</f>
        <v>166.19780219780219</v>
      </c>
      <c r="L272" s="31">
        <f>VLOOKUP('AM (2011)'!$C272+1,CPI!$B$50:$I$63,8,FALSE)*'AM (nominal)'!L272</f>
        <v>351.94828700711054</v>
      </c>
      <c r="M272" s="31">
        <f>VLOOKUP('AM (2011)'!$C272+1,CPI!$B$50:$I$63,8,FALSE)*'AM (nominal)'!M272</f>
        <v>156.42146089204911</v>
      </c>
      <c r="N272" s="639">
        <f>VLOOKUP('AM (2011)'!$C272+1,CPI!$B$50:$I$63,8,FALSE)*'AM (nominal)'!N272</f>
        <v>674.5675500969619</v>
      </c>
    </row>
    <row r="273" spans="1:14" s="278" customFormat="1" ht="409.6">
      <c r="A273" s="271">
        <f>References!X277</f>
        <v>459</v>
      </c>
      <c r="B273" s="305" t="s">
        <v>48</v>
      </c>
      <c r="C273" s="284">
        <v>2011</v>
      </c>
      <c r="D273" s="284">
        <v>2015</v>
      </c>
      <c r="E273" s="31">
        <f>VLOOKUP('AM (2011)'!$C273+1,CPI!$B$50:$I$63,8,FALSE)*'AM (nominal)'!E273</f>
        <v>64.523852617970263</v>
      </c>
      <c r="F273" s="31">
        <f>VLOOKUP('AM (2011)'!$C273+1,CPI!$B$50:$I$63,8,FALSE)*'AM (nominal)'!F273</f>
        <v>73.322559793148031</v>
      </c>
      <c r="G273" s="31">
        <f>VLOOKUP('AM (2011)'!$C273+1,CPI!$B$50:$I$63,8,FALSE)*'AM (nominal)'!G273</f>
        <v>874.00491273432442</v>
      </c>
      <c r="H273" s="31">
        <f>VLOOKUP('AM (2011)'!$C273+1,CPI!$B$50:$I$63,8,FALSE)*'AM (nominal)'!H273</f>
        <v>23.463219133807367</v>
      </c>
      <c r="I273" s="31">
        <f>VLOOKUP('AM (2011)'!$C273+1,CPI!$B$50:$I$63,8,FALSE)*'AM (nominal)'!I273</f>
        <v>0</v>
      </c>
      <c r="J273" s="27">
        <f>VLOOKUP('AM (2011)'!$C273+1,CPI!$B$50:$I$63,8,FALSE)*'AM (nominal)'!J273</f>
        <v>1035.3145442792502</v>
      </c>
      <c r="K273" s="31">
        <f>VLOOKUP('AM (2011)'!$C273+1,CPI!$B$50:$I$63,8,FALSE)*'AM (nominal)'!K273</f>
        <v>166.19780219780219</v>
      </c>
      <c r="L273" s="31">
        <f>VLOOKUP('AM (2011)'!$C273+1,CPI!$B$50:$I$63,8,FALSE)*'AM (nominal)'!L273</f>
        <v>351.94828700711054</v>
      </c>
      <c r="M273" s="31">
        <f>VLOOKUP('AM (2011)'!$C273+1,CPI!$B$50:$I$63,8,FALSE)*'AM (nominal)'!M273</f>
        <v>156.42146089204911</v>
      </c>
      <c r="N273" s="639">
        <f>VLOOKUP('AM (2011)'!$C273+1,CPI!$B$50:$I$63,8,FALSE)*'AM (nominal)'!N273</f>
        <v>674.5675500969619</v>
      </c>
    </row>
    <row r="274" spans="1:14" s="278" customFormat="1" ht="409.6">
      <c r="A274" s="271">
        <f>References!Y277</f>
        <v>460</v>
      </c>
      <c r="B274" s="305" t="s">
        <v>48</v>
      </c>
      <c r="C274" s="284">
        <v>2011</v>
      </c>
      <c r="D274" s="284">
        <v>2016</v>
      </c>
      <c r="E274" s="31">
        <f>VLOOKUP('AM (2011)'!$C274+1,CPI!$B$50:$I$63,8,FALSE)*'AM (nominal)'!E274</f>
        <v>64.523852617970263</v>
      </c>
      <c r="F274" s="31">
        <f>VLOOKUP('AM (2011)'!$C274+1,CPI!$B$50:$I$63,8,FALSE)*'AM (nominal)'!F274</f>
        <v>73.322559793148031</v>
      </c>
      <c r="G274" s="31">
        <f>VLOOKUP('AM (2011)'!$C274+1,CPI!$B$50:$I$63,8,FALSE)*'AM (nominal)'!G274</f>
        <v>876.9378151260504</v>
      </c>
      <c r="H274" s="31">
        <f>VLOOKUP('AM (2011)'!$C274+1,CPI!$B$50:$I$63,8,FALSE)*'AM (nominal)'!H274</f>
        <v>23.463219133807367</v>
      </c>
      <c r="I274" s="31">
        <f>VLOOKUP('AM (2011)'!$C274+1,CPI!$B$50:$I$63,8,FALSE)*'AM (nominal)'!I274</f>
        <v>0</v>
      </c>
      <c r="J274" s="27">
        <f>VLOOKUP('AM (2011)'!$C274+1,CPI!$B$50:$I$63,8,FALSE)*'AM (nominal)'!J274</f>
        <v>1038.2474466709762</v>
      </c>
      <c r="K274" s="31">
        <f>VLOOKUP('AM (2011)'!$C274+1,CPI!$B$50:$I$63,8,FALSE)*'AM (nominal)'!K274</f>
        <v>166.19780219780219</v>
      </c>
      <c r="L274" s="31">
        <f>VLOOKUP('AM (2011)'!$C274+1,CPI!$B$50:$I$63,8,FALSE)*'AM (nominal)'!L274</f>
        <v>351.94828700711054</v>
      </c>
      <c r="M274" s="31">
        <f>VLOOKUP('AM (2011)'!$C274+1,CPI!$B$50:$I$63,8,FALSE)*'AM (nominal)'!M274</f>
        <v>156.42146089204911</v>
      </c>
      <c r="N274" s="639">
        <f>VLOOKUP('AM (2011)'!$C274+1,CPI!$B$50:$I$63,8,FALSE)*'AM (nominal)'!N274</f>
        <v>674.5675500969619</v>
      </c>
    </row>
    <row r="275" spans="1:14" s="278" customFormat="1" ht="409.6">
      <c r="A275" s="271">
        <f>References!P277</f>
        <v>451</v>
      </c>
      <c r="B275" s="305" t="s">
        <v>141</v>
      </c>
      <c r="C275" s="284">
        <v>2010</v>
      </c>
      <c r="D275" s="284">
        <v>2011</v>
      </c>
      <c r="E275" s="31">
        <f>VLOOKUP('AM (2011)'!$C275+1,CPI!$B$50:$I$63,8,FALSE)*'AM (nominal)'!E275</f>
        <v>41</v>
      </c>
      <c r="F275" s="31">
        <f>VLOOKUP('AM (2011)'!$C275+1,CPI!$B$50:$I$63,8,FALSE)*'AM (nominal)'!F275</f>
        <v>62</v>
      </c>
      <c r="G275" s="31">
        <f>VLOOKUP('AM (2011)'!$C275+1,CPI!$B$50:$I$63,8,FALSE)*'AM (nominal)'!G275</f>
        <v>1058</v>
      </c>
      <c r="H275" s="31">
        <f>VLOOKUP('AM (2011)'!$C275+1,CPI!$B$50:$I$63,8,FALSE)*'AM (nominal)'!H275</f>
        <v>69</v>
      </c>
      <c r="I275" s="31">
        <f>VLOOKUP('AM (2011)'!$C275+1,CPI!$B$50:$I$63,8,FALSE)*'AM (nominal)'!I275</f>
        <v>0</v>
      </c>
      <c r="J275" s="27">
        <f>VLOOKUP('AM (2011)'!$C275+1,CPI!$B$50:$I$63,8,FALSE)*'AM (nominal)'!J275</f>
        <v>1230</v>
      </c>
      <c r="K275" s="31">
        <f>VLOOKUP('AM (2011)'!$C275+1,CPI!$B$50:$I$63,8,FALSE)*'AM (nominal)'!K275</f>
        <v>170</v>
      </c>
      <c r="L275" s="31">
        <f>VLOOKUP('AM (2011)'!$C275+1,CPI!$B$50:$I$63,8,FALSE)*'AM (nominal)'!L275</f>
        <v>360</v>
      </c>
      <c r="M275" s="31">
        <f>VLOOKUP('AM (2011)'!$C275+1,CPI!$B$50:$I$63,8,FALSE)*'AM (nominal)'!M275</f>
        <v>160</v>
      </c>
      <c r="N275" s="639">
        <f>VLOOKUP('AM (2011)'!$C275+1,CPI!$B$50:$I$63,8,FALSE)*'AM (nominal)'!N275</f>
        <v>690</v>
      </c>
    </row>
    <row r="276" spans="1:14" s="278" customFormat="1" ht="409.6">
      <c r="A276" s="271">
        <f>References!Q277</f>
        <v>452</v>
      </c>
      <c r="B276" s="305" t="s">
        <v>141</v>
      </c>
      <c r="C276" s="284">
        <v>2010</v>
      </c>
      <c r="D276" s="284">
        <v>2012</v>
      </c>
      <c r="E276" s="31">
        <f>VLOOKUP('AM (2011)'!$C276+1,CPI!$B$50:$I$63,8,FALSE)*'AM (nominal)'!E276</f>
        <v>66</v>
      </c>
      <c r="F276" s="31">
        <f>VLOOKUP('AM (2011)'!$C276+1,CPI!$B$50:$I$63,8,FALSE)*'AM (nominal)'!F276</f>
        <v>75</v>
      </c>
      <c r="G276" s="31">
        <f>VLOOKUP('AM (2011)'!$C276+1,CPI!$B$50:$I$63,8,FALSE)*'AM (nominal)'!G276</f>
        <v>790</v>
      </c>
      <c r="H276" s="31">
        <f>VLOOKUP('AM (2011)'!$C276+1,CPI!$B$50:$I$63,8,FALSE)*'AM (nominal)'!H276</f>
        <v>35</v>
      </c>
      <c r="I276" s="31">
        <f>VLOOKUP('AM (2011)'!$C276+1,CPI!$B$50:$I$63,8,FALSE)*'AM (nominal)'!I276</f>
        <v>0</v>
      </c>
      <c r="J276" s="27">
        <f>VLOOKUP('AM (2011)'!$C276+1,CPI!$B$50:$I$63,8,FALSE)*'AM (nominal)'!J276</f>
        <v>966</v>
      </c>
      <c r="K276" s="31">
        <f>VLOOKUP('AM (2011)'!$C276+1,CPI!$B$50:$I$63,8,FALSE)*'AM (nominal)'!K276</f>
        <v>170</v>
      </c>
      <c r="L276" s="31">
        <f>VLOOKUP('AM (2011)'!$C276+1,CPI!$B$50:$I$63,8,FALSE)*'AM (nominal)'!L276</f>
        <v>360</v>
      </c>
      <c r="M276" s="31">
        <f>VLOOKUP('AM (2011)'!$C276+1,CPI!$B$50:$I$63,8,FALSE)*'AM (nominal)'!M276</f>
        <v>160</v>
      </c>
      <c r="N276" s="639">
        <f>VLOOKUP('AM (2011)'!$C276+1,CPI!$B$50:$I$63,8,FALSE)*'AM (nominal)'!N276</f>
        <v>690</v>
      </c>
    </row>
    <row r="277" spans="1:14" s="278" customFormat="1" ht="409.6">
      <c r="A277" s="271">
        <f>References!R277</f>
        <v>453</v>
      </c>
      <c r="B277" s="305" t="s">
        <v>141</v>
      </c>
      <c r="C277" s="284">
        <v>2010</v>
      </c>
      <c r="D277" s="284">
        <v>2013</v>
      </c>
      <c r="E277" s="31">
        <f>VLOOKUP('AM (2011)'!$C277+1,CPI!$B$50:$I$63,8,FALSE)*'AM (nominal)'!E277</f>
        <v>66</v>
      </c>
      <c r="F277" s="31">
        <f>VLOOKUP('AM (2011)'!$C277+1,CPI!$B$50:$I$63,8,FALSE)*'AM (nominal)'!F277</f>
        <v>75</v>
      </c>
      <c r="G277" s="31">
        <f>VLOOKUP('AM (2011)'!$C277+1,CPI!$B$50:$I$63,8,FALSE)*'AM (nominal)'!G277</f>
        <v>779</v>
      </c>
      <c r="H277" s="31">
        <f>VLOOKUP('AM (2011)'!$C277+1,CPI!$B$50:$I$63,8,FALSE)*'AM (nominal)'!H277</f>
        <v>22</v>
      </c>
      <c r="I277" s="31">
        <f>VLOOKUP('AM (2011)'!$C277+1,CPI!$B$50:$I$63,8,FALSE)*'AM (nominal)'!I277</f>
        <v>0</v>
      </c>
      <c r="J277" s="27">
        <f>VLOOKUP('AM (2011)'!$C277+1,CPI!$B$50:$I$63,8,FALSE)*'AM (nominal)'!J277</f>
        <v>942</v>
      </c>
      <c r="K277" s="31">
        <f>VLOOKUP('AM (2011)'!$C277+1,CPI!$B$50:$I$63,8,FALSE)*'AM (nominal)'!K277</f>
        <v>170</v>
      </c>
      <c r="L277" s="31">
        <f>VLOOKUP('AM (2011)'!$C277+1,CPI!$B$50:$I$63,8,FALSE)*'AM (nominal)'!L277</f>
        <v>360</v>
      </c>
      <c r="M277" s="31">
        <f>VLOOKUP('AM (2011)'!$C277+1,CPI!$B$50:$I$63,8,FALSE)*'AM (nominal)'!M277</f>
        <v>160</v>
      </c>
      <c r="N277" s="639">
        <f>VLOOKUP('AM (2011)'!$C277+1,CPI!$B$50:$I$63,8,FALSE)*'AM (nominal)'!N277</f>
        <v>690</v>
      </c>
    </row>
    <row r="278" spans="1:14" s="278" customFormat="1" ht="409.6">
      <c r="A278" s="271">
        <f>References!S277</f>
        <v>454</v>
      </c>
      <c r="B278" s="305" t="s">
        <v>141</v>
      </c>
      <c r="C278" s="284">
        <v>2010</v>
      </c>
      <c r="D278" s="284">
        <v>2014</v>
      </c>
      <c r="E278" s="31">
        <f>VLOOKUP('AM (2011)'!$C278+1,CPI!$B$50:$I$63,8,FALSE)*'AM (nominal)'!E278</f>
        <v>66</v>
      </c>
      <c r="F278" s="31">
        <f>VLOOKUP('AM (2011)'!$C278+1,CPI!$B$50:$I$63,8,FALSE)*'AM (nominal)'!F278</f>
        <v>75</v>
      </c>
      <c r="G278" s="31">
        <f>VLOOKUP('AM (2011)'!$C278+1,CPI!$B$50:$I$63,8,FALSE)*'AM (nominal)'!G278</f>
        <v>792</v>
      </c>
      <c r="H278" s="31">
        <f>VLOOKUP('AM (2011)'!$C278+1,CPI!$B$50:$I$63,8,FALSE)*'AM (nominal)'!H278</f>
        <v>97</v>
      </c>
      <c r="I278" s="31">
        <f>VLOOKUP('AM (2011)'!$C278+1,CPI!$B$50:$I$63,8,FALSE)*'AM (nominal)'!I278</f>
        <v>0</v>
      </c>
      <c r="J278" s="27">
        <f>VLOOKUP('AM (2011)'!$C278+1,CPI!$B$50:$I$63,8,FALSE)*'AM (nominal)'!J278</f>
        <v>1030</v>
      </c>
      <c r="K278" s="31">
        <f>VLOOKUP('AM (2011)'!$C278+1,CPI!$B$50:$I$63,8,FALSE)*'AM (nominal)'!K278</f>
        <v>170</v>
      </c>
      <c r="L278" s="31">
        <f>VLOOKUP('AM (2011)'!$C278+1,CPI!$B$50:$I$63,8,FALSE)*'AM (nominal)'!L278</f>
        <v>360</v>
      </c>
      <c r="M278" s="31">
        <f>VLOOKUP('AM (2011)'!$C278+1,CPI!$B$50:$I$63,8,FALSE)*'AM (nominal)'!M278</f>
        <v>160</v>
      </c>
      <c r="N278" s="639">
        <f>VLOOKUP('AM (2011)'!$C278+1,CPI!$B$50:$I$63,8,FALSE)*'AM (nominal)'!N278</f>
        <v>690</v>
      </c>
    </row>
    <row r="279" spans="1:14" s="278" customFormat="1" ht="409.6">
      <c r="A279" s="271">
        <f>References!T277</f>
        <v>455</v>
      </c>
      <c r="B279" s="305" t="s">
        <v>141</v>
      </c>
      <c r="C279" s="284">
        <v>2010</v>
      </c>
      <c r="D279" s="284">
        <v>2015</v>
      </c>
      <c r="E279" s="31">
        <f>VLOOKUP('AM (2011)'!$C279+1,CPI!$B$50:$I$63,8,FALSE)*'AM (nominal)'!E279</f>
        <v>66</v>
      </c>
      <c r="F279" s="31">
        <f>VLOOKUP('AM (2011)'!$C279+1,CPI!$B$50:$I$63,8,FALSE)*'AM (nominal)'!F279</f>
        <v>75</v>
      </c>
      <c r="G279" s="31">
        <f>VLOOKUP('AM (2011)'!$C279+1,CPI!$B$50:$I$63,8,FALSE)*'AM (nominal)'!G279</f>
        <v>859</v>
      </c>
      <c r="H279" s="31">
        <f>VLOOKUP('AM (2011)'!$C279+1,CPI!$B$50:$I$63,8,FALSE)*'AM (nominal)'!H279</f>
        <v>22</v>
      </c>
      <c r="I279" s="31">
        <f>VLOOKUP('AM (2011)'!$C279+1,CPI!$B$50:$I$63,8,FALSE)*'AM (nominal)'!I279</f>
        <v>0</v>
      </c>
      <c r="J279" s="27">
        <f>VLOOKUP('AM (2011)'!$C279+1,CPI!$B$50:$I$63,8,FALSE)*'AM (nominal)'!J279</f>
        <v>1022</v>
      </c>
      <c r="K279" s="31">
        <f>VLOOKUP('AM (2011)'!$C279+1,CPI!$B$50:$I$63,8,FALSE)*'AM (nominal)'!K279</f>
        <v>170</v>
      </c>
      <c r="L279" s="31">
        <f>VLOOKUP('AM (2011)'!$C279+1,CPI!$B$50:$I$63,8,FALSE)*'AM (nominal)'!L279</f>
        <v>360</v>
      </c>
      <c r="M279" s="31">
        <f>VLOOKUP('AM (2011)'!$C279+1,CPI!$B$50:$I$63,8,FALSE)*'AM (nominal)'!M279</f>
        <v>160</v>
      </c>
      <c r="N279" s="639">
        <f>VLOOKUP('AM (2011)'!$C279+1,CPI!$B$50:$I$63,8,FALSE)*'AM (nominal)'!N279</f>
        <v>690</v>
      </c>
    </row>
    <row r="280" spans="1:14" s="278" customFormat="1" ht="409.6">
      <c r="A280" s="271">
        <f>References!K271</f>
        <v>308</v>
      </c>
      <c r="B280" s="305" t="s">
        <v>42</v>
      </c>
      <c r="C280" s="284">
        <v>2009</v>
      </c>
      <c r="D280" s="284">
        <v>2010</v>
      </c>
      <c r="E280" s="31">
        <f>VLOOKUP('AM (2011)'!$C280+1,CPI!$B$50:$I$63,8,FALSE)*'AM (nominal)'!E280</f>
        <v>535.19422812643143</v>
      </c>
      <c r="F280" s="31">
        <f>VLOOKUP('AM (2011)'!$C280+1,CPI!$B$50:$I$63,8,FALSE)*'AM (nominal)'!F280</f>
        <v>4083.746934871062</v>
      </c>
      <c r="G280" s="31">
        <f>VLOOKUP('AM (2011)'!$C280+1,CPI!$B$50:$I$63,8,FALSE)*'AM (nominal)'!G280</f>
        <v>1650.5133248901941</v>
      </c>
      <c r="H280" s="31">
        <f>VLOOKUP('AM (2011)'!$C280+1,CPI!$B$50:$I$63,8,FALSE)*'AM (nominal)'!H280</f>
        <v>738.6556546576486</v>
      </c>
      <c r="I280" s="31">
        <f>VLOOKUP('AM (2011)'!$C280+1,CPI!$B$50:$I$63,8,FALSE)*'AM (nominal)'!I280</f>
        <v>560.35946215407819</v>
      </c>
      <c r="J280" s="27">
        <f>VLOOKUP('AM (2011)'!$C280+1,CPI!$B$50:$I$63,8,FALSE)*'AM (nominal)'!J280</f>
        <v>7568.469604699414</v>
      </c>
      <c r="K280" s="31">
        <f>VLOOKUP('AM (2011)'!$C280+1,CPI!$B$50:$I$63,8,FALSE)*'AM (nominal)'!K280</f>
        <v>1303.4796534720163</v>
      </c>
      <c r="L280" s="31">
        <f>VLOOKUP('AM (2011)'!$C280+1,CPI!$B$50:$I$63,8,FALSE)*'AM (nominal)'!L280</f>
        <v>1833.8384888577507</v>
      </c>
      <c r="M280" s="31">
        <f>VLOOKUP('AM (2011)'!$C280+1,CPI!$B$50:$I$63,8,FALSE)*'AM (nominal)'!M280</f>
        <v>443.26573010697632</v>
      </c>
      <c r="N280" s="639">
        <f>VLOOKUP('AM (2011)'!$C280+1,CPI!$B$50:$I$63,8,FALSE)*'AM (nominal)'!N280</f>
        <v>3580.5838724367436</v>
      </c>
    </row>
    <row r="281" spans="1:14" s="278" customFormat="1" ht="409.6">
      <c r="A281" s="271">
        <f>References!L271</f>
        <v>309</v>
      </c>
      <c r="B281" s="305" t="s">
        <v>42</v>
      </c>
      <c r="C281" s="284">
        <v>2009</v>
      </c>
      <c r="D281" s="284">
        <v>2011</v>
      </c>
      <c r="E281" s="31">
        <f>VLOOKUP('AM (2011)'!$C281+1,CPI!$B$50:$I$63,8,FALSE)*'AM (nominal)'!E281</f>
        <v>535.19422812643143</v>
      </c>
      <c r="F281" s="31">
        <f>VLOOKUP('AM (2011)'!$C281+1,CPI!$B$50:$I$63,8,FALSE)*'AM (nominal)'!F281</f>
        <v>3823.9439115087166</v>
      </c>
      <c r="G281" s="31">
        <f>VLOOKUP('AM (2011)'!$C281+1,CPI!$B$50:$I$63,8,FALSE)*'AM (nominal)'!G281</f>
        <v>964.49681927191386</v>
      </c>
      <c r="H281" s="31">
        <f>VLOOKUP('AM (2011)'!$C281+1,CPI!$B$50:$I$63,8,FALSE)*'AM (nominal)'!H281</f>
        <v>1314.2976475977471</v>
      </c>
      <c r="I281" s="31">
        <f>VLOOKUP('AM (2011)'!$C281+1,CPI!$B$50:$I$63,8,FALSE)*'AM (nominal)'!I281</f>
        <v>509.41769286734382</v>
      </c>
      <c r="J281" s="27">
        <f>VLOOKUP('AM (2011)'!$C281+1,CPI!$B$50:$I$63,8,FALSE)*'AM (nominal)'!J281</f>
        <v>7147.3502993721531</v>
      </c>
      <c r="K281" s="31">
        <f>VLOOKUP('AM (2011)'!$C281+1,CPI!$B$50:$I$63,8,FALSE)*'AM (nominal)'!K281</f>
        <v>1303.4796534720163</v>
      </c>
      <c r="L281" s="31">
        <f>VLOOKUP('AM (2011)'!$C281+1,CPI!$B$50:$I$63,8,FALSE)*'AM (nominal)'!L281</f>
        <v>1833.8384888577507</v>
      </c>
      <c r="M281" s="31">
        <f>VLOOKUP('AM (2011)'!$C281+1,CPI!$B$50:$I$63,8,FALSE)*'AM (nominal)'!M281</f>
        <v>443.26573010697632</v>
      </c>
      <c r="N281" s="639">
        <f>VLOOKUP('AM (2011)'!$C281+1,CPI!$B$50:$I$63,8,FALSE)*'AM (nominal)'!N281</f>
        <v>3580.5838724367436</v>
      </c>
    </row>
    <row r="282" spans="1:14" s="278" customFormat="1" ht="409.6">
      <c r="A282" s="271">
        <f>References!M271</f>
        <v>310</v>
      </c>
      <c r="B282" s="305" t="s">
        <v>42</v>
      </c>
      <c r="C282" s="284">
        <v>2009</v>
      </c>
      <c r="D282" s="284">
        <v>2012</v>
      </c>
      <c r="E282" s="31">
        <f>VLOOKUP('AM (2011)'!$C282+1,CPI!$B$50:$I$63,8,FALSE)*'AM (nominal)'!E282</f>
        <v>1070.3884562528629</v>
      </c>
      <c r="F282" s="31">
        <f>VLOOKUP('AM (2011)'!$C282+1,CPI!$B$50:$I$63,8,FALSE)*'AM (nominal)'!F282</f>
        <v>3205.7655412141949</v>
      </c>
      <c r="G282" s="31">
        <f>VLOOKUP('AM (2011)'!$C282+1,CPI!$B$50:$I$63,8,FALSE)*'AM (nominal)'!G282</f>
        <v>389.19511735065072</v>
      </c>
      <c r="H282" s="31">
        <f>VLOOKUP('AM (2011)'!$C282+1,CPI!$B$50:$I$63,8,FALSE)*'AM (nominal)'!H282</f>
        <v>71.318477001428136</v>
      </c>
      <c r="I282" s="31">
        <f>VLOOKUP('AM (2011)'!$C282+1,CPI!$B$50:$I$63,8,FALSE)*'AM (nominal)'!I282</f>
        <v>509.41769286734382</v>
      </c>
      <c r="J282" s="27">
        <f>VLOOKUP('AM (2011)'!$C282+1,CPI!$B$50:$I$63,8,FALSE)*'AM (nominal)'!J282</f>
        <v>5246.0852846864809</v>
      </c>
      <c r="K282" s="31">
        <f>VLOOKUP('AM (2011)'!$C282+1,CPI!$B$50:$I$63,8,FALSE)*'AM (nominal)'!K282</f>
        <v>1303.0904583546655</v>
      </c>
      <c r="L282" s="31">
        <f>VLOOKUP('AM (2011)'!$C282+1,CPI!$B$50:$I$63,8,FALSE)*'AM (nominal)'!L282</f>
        <v>1833.8384888577507</v>
      </c>
      <c r="M282" s="31">
        <f>VLOOKUP('AM (2011)'!$C282+1,CPI!$B$50:$I$63,8,FALSE)*'AM (nominal)'!M282</f>
        <v>443.26573010697632</v>
      </c>
      <c r="N282" s="639">
        <f>VLOOKUP('AM (2011)'!$C282+1,CPI!$B$50:$I$63,8,FALSE)*'AM (nominal)'!N282</f>
        <v>3580.1946773193922</v>
      </c>
    </row>
    <row r="283" spans="1:14" s="278" customFormat="1" ht="409.6">
      <c r="A283" s="271">
        <f>References!N271</f>
        <v>311</v>
      </c>
      <c r="B283" s="305" t="s">
        <v>42</v>
      </c>
      <c r="C283" s="284">
        <v>2009</v>
      </c>
      <c r="D283" s="284">
        <v>2013</v>
      </c>
      <c r="E283" s="31">
        <f>VLOOKUP('AM (2011)'!$C283+1,CPI!$B$50:$I$63,8,FALSE)*'AM (nominal)'!E283</f>
        <v>1070.3884562528629</v>
      </c>
      <c r="F283" s="31">
        <f>VLOOKUP('AM (2011)'!$C283+1,CPI!$B$50:$I$63,8,FALSE)*'AM (nominal)'!F283</f>
        <v>1168.0947697448194</v>
      </c>
      <c r="G283" s="31">
        <f>VLOOKUP('AM (2011)'!$C283+1,CPI!$B$50:$I$63,8,FALSE)*'AM (nominal)'!G283</f>
        <v>596.01870065479227</v>
      </c>
      <c r="H283" s="31">
        <f>VLOOKUP('AM (2011)'!$C283+1,CPI!$B$50:$I$63,8,FALSE)*'AM (nominal)'!H283</f>
        <v>30.56506157204063</v>
      </c>
      <c r="I283" s="31">
        <f>VLOOKUP('AM (2011)'!$C283+1,CPI!$B$50:$I$63,8,FALSE)*'AM (nominal)'!I283</f>
        <v>509.41769286734382</v>
      </c>
      <c r="J283" s="27">
        <f>VLOOKUP('AM (2011)'!$C283+1,CPI!$B$50:$I$63,8,FALSE)*'AM (nominal)'!J283</f>
        <v>3374.4846810918589</v>
      </c>
      <c r="K283" s="31">
        <f>VLOOKUP('AM (2011)'!$C283+1,CPI!$B$50:$I$63,8,FALSE)*'AM (nominal)'!K283</f>
        <v>1303.4796534720163</v>
      </c>
      <c r="L283" s="31">
        <f>VLOOKUP('AM (2011)'!$C283+1,CPI!$B$50:$I$63,8,FALSE)*'AM (nominal)'!L283</f>
        <v>1681.0131809975476</v>
      </c>
      <c r="M283" s="31">
        <f>VLOOKUP('AM (2011)'!$C283+1,CPI!$B$50:$I$63,8,FALSE)*'AM (nominal)'!M283</f>
        <v>443.26573010697632</v>
      </c>
      <c r="N283" s="639">
        <f>VLOOKUP('AM (2011)'!$C283+1,CPI!$B$50:$I$63,8,FALSE)*'AM (nominal)'!N283</f>
        <v>3427.7585645765403</v>
      </c>
    </row>
    <row r="284" spans="1:14" s="278" customFormat="1" ht="409.6">
      <c r="A284" s="271">
        <f>References!O271</f>
        <v>312</v>
      </c>
      <c r="B284" s="305" t="s">
        <v>42</v>
      </c>
      <c r="C284" s="284">
        <v>2009</v>
      </c>
      <c r="D284" s="284">
        <v>2014</v>
      </c>
      <c r="E284" s="31">
        <f>VLOOKUP('AM (2011)'!$C284+1,CPI!$B$50:$I$63,8,FALSE)*'AM (nominal)'!E284</f>
        <v>1070.3884562528629</v>
      </c>
      <c r="F284" s="31">
        <f>VLOOKUP('AM (2011)'!$C284+1,CPI!$B$50:$I$63,8,FALSE)*'AM (nominal)'!F284</f>
        <v>2034.1048476193039</v>
      </c>
      <c r="G284" s="31">
        <f>VLOOKUP('AM (2011)'!$C284+1,CPI!$B$50:$I$63,8,FALSE)*'AM (nominal)'!G284</f>
        <v>570.54781601142508</v>
      </c>
      <c r="H284" s="31">
        <f>VLOOKUP('AM (2011)'!$C284+1,CPI!$B$50:$I$63,8,FALSE)*'AM (nominal)'!H284</f>
        <v>30.56506157204063</v>
      </c>
      <c r="I284" s="31">
        <f>VLOOKUP('AM (2011)'!$C284+1,CPI!$B$50:$I$63,8,FALSE)*'AM (nominal)'!I284</f>
        <v>509.41769286734382</v>
      </c>
      <c r="J284" s="27">
        <f>VLOOKUP('AM (2011)'!$C284+1,CPI!$B$50:$I$63,8,FALSE)*'AM (nominal)'!J284</f>
        <v>4215.0238743229766</v>
      </c>
      <c r="K284" s="31">
        <f>VLOOKUP('AM (2011)'!$C284+1,CPI!$B$50:$I$63,8,FALSE)*'AM (nominal)'!K284</f>
        <v>1201.5961148985475</v>
      </c>
      <c r="L284" s="31">
        <f>VLOOKUP('AM (2011)'!$C284+1,CPI!$B$50:$I$63,8,FALSE)*'AM (nominal)'!L284</f>
        <v>1681.0131809975476</v>
      </c>
      <c r="M284" s="31">
        <f>VLOOKUP('AM (2011)'!$C284+1,CPI!$B$50:$I$63,8,FALSE)*'AM (nominal)'!M284</f>
        <v>443.26573010697632</v>
      </c>
      <c r="N284" s="639">
        <f>VLOOKUP('AM (2011)'!$C284+1,CPI!$B$50:$I$63,8,FALSE)*'AM (nominal)'!N284</f>
        <v>3325.8750260030715</v>
      </c>
    </row>
    <row r="285" spans="1:14" s="278" customFormat="1" ht="409.6">
      <c r="A285" s="271">
        <f>References!P271</f>
        <v>313</v>
      </c>
      <c r="B285" s="305" t="s">
        <v>42</v>
      </c>
      <c r="C285" s="284">
        <v>2010</v>
      </c>
      <c r="D285" s="284">
        <v>2011</v>
      </c>
      <c r="E285" s="31">
        <f>VLOOKUP('AM (2011)'!$C285+1,CPI!$B$50:$I$63,8,FALSE)*'AM (nominal)'!E285</f>
        <v>1050.5999999999999</v>
      </c>
      <c r="F285" s="31">
        <f>VLOOKUP('AM (2011)'!$C285+1,CPI!$B$50:$I$63,8,FALSE)*'AM (nominal)'!F285</f>
        <v>4441</v>
      </c>
      <c r="G285" s="31">
        <f>VLOOKUP('AM (2011)'!$C285+1,CPI!$B$50:$I$63,8,FALSE)*'AM (nominal)'!G285</f>
        <v>1496.6659999999999</v>
      </c>
      <c r="H285" s="31">
        <f>VLOOKUP('AM (2011)'!$C285+1,CPI!$B$50:$I$63,8,FALSE)*'AM (nominal)'!H285</f>
        <v>925</v>
      </c>
      <c r="I285" s="31">
        <f>VLOOKUP('AM (2011)'!$C285+1,CPI!$B$50:$I$63,8,FALSE)*'AM (nominal)'!I285</f>
        <v>500</v>
      </c>
      <c r="J285" s="27">
        <f>VLOOKUP('AM (2011)'!$C285+1,CPI!$B$50:$I$63,8,FALSE)*'AM (nominal)'!J285</f>
        <v>8413.2659999999996</v>
      </c>
      <c r="K285" s="31">
        <f>VLOOKUP('AM (2011)'!$C285+1,CPI!$B$50:$I$63,8,FALSE)*'AM (nominal)'!K285</f>
        <v>1387.3689999999999</v>
      </c>
      <c r="L285" s="31">
        <f>VLOOKUP('AM (2011)'!$C285+1,CPI!$B$50:$I$63,8,FALSE)*'AM (nominal)'!L285</f>
        <v>2071.9380000000001</v>
      </c>
      <c r="M285" s="31">
        <f>VLOOKUP('AM (2011)'!$C285+1,CPI!$B$50:$I$63,8,FALSE)*'AM (nominal)'!M285</f>
        <v>460.81900000000002</v>
      </c>
      <c r="N285" s="639">
        <f>VLOOKUP('AM (2011)'!$C285+1,CPI!$B$50:$I$63,8,FALSE)*'AM (nominal)'!N285</f>
        <v>3920.1259999999997</v>
      </c>
    </row>
    <row r="286" spans="1:14" s="278" customFormat="1" ht="409.6">
      <c r="A286" s="271">
        <f>References!Q271</f>
        <v>314</v>
      </c>
      <c r="B286" s="305" t="s">
        <v>42</v>
      </c>
      <c r="C286" s="284">
        <v>2010</v>
      </c>
      <c r="D286" s="284">
        <v>2012</v>
      </c>
      <c r="E286" s="31">
        <f>VLOOKUP('AM (2011)'!$C286+1,CPI!$B$50:$I$63,8,FALSE)*'AM (nominal)'!E286</f>
        <v>1050.5999999999999</v>
      </c>
      <c r="F286" s="31">
        <f>VLOOKUP('AM (2011)'!$C286+1,CPI!$B$50:$I$63,8,FALSE)*'AM (nominal)'!F286</f>
        <v>3901.5</v>
      </c>
      <c r="G286" s="31">
        <f>VLOOKUP('AM (2011)'!$C286+1,CPI!$B$50:$I$63,8,FALSE)*'AM (nominal)'!G286</f>
        <v>880</v>
      </c>
      <c r="H286" s="31">
        <f>VLOOKUP('AM (2011)'!$C286+1,CPI!$B$50:$I$63,8,FALSE)*'AM (nominal)'!H286</f>
        <v>970</v>
      </c>
      <c r="I286" s="31">
        <f>VLOOKUP('AM (2011)'!$C286+1,CPI!$B$50:$I$63,8,FALSE)*'AM (nominal)'!I286</f>
        <v>500</v>
      </c>
      <c r="J286" s="27">
        <f>VLOOKUP('AM (2011)'!$C286+1,CPI!$B$50:$I$63,8,FALSE)*'AM (nominal)'!J286</f>
        <v>7302.1</v>
      </c>
      <c r="K286" s="31">
        <f>VLOOKUP('AM (2011)'!$C286+1,CPI!$B$50:$I$63,8,FALSE)*'AM (nominal)'!K286</f>
        <v>1413.3743499999998</v>
      </c>
      <c r="L286" s="31">
        <f>VLOOKUP('AM (2011)'!$C286+1,CPI!$B$50:$I$63,8,FALSE)*'AM (nominal)'!L286</f>
        <v>2143.7283000000002</v>
      </c>
      <c r="M286" s="31">
        <f>VLOOKUP('AM (2011)'!$C286+1,CPI!$B$50:$I$63,8,FALSE)*'AM (nominal)'!M286</f>
        <v>528.14184999999998</v>
      </c>
      <c r="N286" s="639">
        <f>VLOOKUP('AM (2011)'!$C286+1,CPI!$B$50:$I$63,8,FALSE)*'AM (nominal)'!N286</f>
        <v>4085.2444999999998</v>
      </c>
    </row>
    <row r="287" spans="1:14" s="278" customFormat="1" ht="409.6">
      <c r="A287" s="271">
        <f>References!R271</f>
        <v>315</v>
      </c>
      <c r="B287" s="305" t="s">
        <v>42</v>
      </c>
      <c r="C287" s="284">
        <v>2010</v>
      </c>
      <c r="D287" s="284">
        <v>2013</v>
      </c>
      <c r="E287" s="31">
        <f>VLOOKUP('AM (2011)'!$C287+1,CPI!$B$50:$I$63,8,FALSE)*'AM (nominal)'!E287</f>
        <v>1050.5999999999999</v>
      </c>
      <c r="F287" s="31">
        <f>VLOOKUP('AM (2011)'!$C287+1,CPI!$B$50:$I$63,8,FALSE)*'AM (nominal)'!F287</f>
        <v>3726.5</v>
      </c>
      <c r="G287" s="31">
        <f>VLOOKUP('AM (2011)'!$C287+1,CPI!$B$50:$I$63,8,FALSE)*'AM (nominal)'!G287</f>
        <v>660</v>
      </c>
      <c r="H287" s="31">
        <f>VLOOKUP('AM (2011)'!$C287+1,CPI!$B$50:$I$63,8,FALSE)*'AM (nominal)'!H287</f>
        <v>60</v>
      </c>
      <c r="I287" s="31">
        <f>VLOOKUP('AM (2011)'!$C287+1,CPI!$B$50:$I$63,8,FALSE)*'AM (nominal)'!I287</f>
        <v>500</v>
      </c>
      <c r="J287" s="27">
        <f>VLOOKUP('AM (2011)'!$C287+1,CPI!$B$50:$I$63,8,FALSE)*'AM (nominal)'!J287</f>
        <v>5997.1</v>
      </c>
      <c r="K287" s="31">
        <f>VLOOKUP('AM (2011)'!$C287+1,CPI!$B$50:$I$63,8,FALSE)*'AM (nominal)'!K287</f>
        <v>1343.374</v>
      </c>
      <c r="L287" s="31">
        <f>VLOOKUP('AM (2011)'!$C287+1,CPI!$B$50:$I$63,8,FALSE)*'AM (nominal)'!L287</f>
        <v>1971.2277727272724</v>
      </c>
      <c r="M287" s="31">
        <f>VLOOKUP('AM (2011)'!$C287+1,CPI!$B$50:$I$63,8,FALSE)*'AM (nominal)'!M287</f>
        <v>528.14200000000005</v>
      </c>
      <c r="N287" s="639">
        <f>VLOOKUP('AM (2011)'!$C287+1,CPI!$B$50:$I$63,8,FALSE)*'AM (nominal)'!N287</f>
        <v>3842.7437727272727</v>
      </c>
    </row>
    <row r="288" spans="1:14" s="278" customFormat="1" ht="409.6">
      <c r="A288" s="271">
        <f>References!S271</f>
        <v>316</v>
      </c>
      <c r="B288" s="305" t="s">
        <v>42</v>
      </c>
      <c r="C288" s="284">
        <v>2010</v>
      </c>
      <c r="D288" s="284">
        <v>2014</v>
      </c>
      <c r="E288" s="31">
        <f>VLOOKUP('AM (2011)'!$C288+1,CPI!$B$50:$I$63,8,FALSE)*'AM (nominal)'!E288</f>
        <v>1050.5999999999999</v>
      </c>
      <c r="F288" s="31">
        <f>VLOOKUP('AM (2011)'!$C288+1,CPI!$B$50:$I$63,8,FALSE)*'AM (nominal)'!F288</f>
        <v>1996.5</v>
      </c>
      <c r="G288" s="31">
        <f>VLOOKUP('AM (2011)'!$C288+1,CPI!$B$50:$I$63,8,FALSE)*'AM (nominal)'!G288</f>
        <v>585</v>
      </c>
      <c r="H288" s="31">
        <f>VLOOKUP('AM (2011)'!$C288+1,CPI!$B$50:$I$63,8,FALSE)*'AM (nominal)'!H288</f>
        <v>30</v>
      </c>
      <c r="I288" s="31">
        <f>VLOOKUP('AM (2011)'!$C288+1,CPI!$B$50:$I$63,8,FALSE)*'AM (nominal)'!I288</f>
        <v>1500</v>
      </c>
      <c r="J288" s="27">
        <f>VLOOKUP('AM (2011)'!$C288+1,CPI!$B$50:$I$63,8,FALSE)*'AM (nominal)'!J288</f>
        <v>5162.1000000000004</v>
      </c>
      <c r="K288" s="31">
        <f>VLOOKUP('AM (2011)'!$C288+1,CPI!$B$50:$I$63,8,FALSE)*'AM (nominal)'!K288</f>
        <v>1343.374</v>
      </c>
      <c r="L288" s="31">
        <f>VLOOKUP('AM (2011)'!$C288+1,CPI!$B$50:$I$63,8,FALSE)*'AM (nominal)'!L288</f>
        <v>1971.2280000000001</v>
      </c>
      <c r="M288" s="31">
        <f>VLOOKUP('AM (2011)'!$C288+1,CPI!$B$50:$I$63,8,FALSE)*'AM (nominal)'!M288</f>
        <v>528.14200000000005</v>
      </c>
      <c r="N288" s="639">
        <f>VLOOKUP('AM (2011)'!$C288+1,CPI!$B$50:$I$63,8,FALSE)*'AM (nominal)'!N288</f>
        <v>3842.7439999999997</v>
      </c>
    </row>
    <row r="289" spans="1:14" s="278" customFormat="1" ht="409.6">
      <c r="A289" s="271">
        <f>References!T271</f>
        <v>317</v>
      </c>
      <c r="B289" s="305" t="s">
        <v>42</v>
      </c>
      <c r="C289" s="284">
        <v>2010</v>
      </c>
      <c r="D289" s="284">
        <v>2015</v>
      </c>
      <c r="E289" s="31">
        <f>VLOOKUP('AM (2011)'!$C289+1,CPI!$B$50:$I$63,8,FALSE)*'AM (nominal)'!E289</f>
        <v>1050.5999999999999</v>
      </c>
      <c r="F289" s="31">
        <f>VLOOKUP('AM (2011)'!$C289+1,CPI!$B$50:$I$63,8,FALSE)*'AM (nominal)'!F289</f>
        <v>3096.5</v>
      </c>
      <c r="G289" s="31">
        <f>VLOOKUP('AM (2011)'!$C289+1,CPI!$B$50:$I$63,8,FALSE)*'AM (nominal)'!G289</f>
        <v>1110</v>
      </c>
      <c r="H289" s="31">
        <f>VLOOKUP('AM (2011)'!$C289+1,CPI!$B$50:$I$63,8,FALSE)*'AM (nominal)'!H289</f>
        <v>30</v>
      </c>
      <c r="I289" s="31">
        <f>VLOOKUP('AM (2011)'!$C289+1,CPI!$B$50:$I$63,8,FALSE)*'AM (nominal)'!I289</f>
        <v>500</v>
      </c>
      <c r="J289" s="27">
        <f>VLOOKUP('AM (2011)'!$C289+1,CPI!$B$50:$I$63,8,FALSE)*'AM (nominal)'!J289</f>
        <v>5787.1</v>
      </c>
      <c r="K289" s="31">
        <f>VLOOKUP('AM (2011)'!$C289+1,CPI!$B$50:$I$63,8,FALSE)*'AM (nominal)'!K289</f>
        <v>1343.374</v>
      </c>
      <c r="L289" s="31">
        <f>VLOOKUP('AM (2011)'!$C289+1,CPI!$B$50:$I$63,8,FALSE)*'AM (nominal)'!L289</f>
        <v>1971.2280000000001</v>
      </c>
      <c r="M289" s="31">
        <f>VLOOKUP('AM (2011)'!$C289+1,CPI!$B$50:$I$63,8,FALSE)*'AM (nominal)'!M289</f>
        <v>528.14200000000005</v>
      </c>
      <c r="N289" s="639">
        <f>VLOOKUP('AM (2011)'!$C289+1,CPI!$B$50:$I$63,8,FALSE)*'AM (nominal)'!N289</f>
        <v>3842.7439999999997</v>
      </c>
    </row>
    <row r="290" spans="1:14" s="278" customFormat="1" ht="409.6">
      <c r="A290" s="271">
        <f>References!U271</f>
        <v>318</v>
      </c>
      <c r="B290" s="305" t="s">
        <v>42</v>
      </c>
      <c r="C290" s="284">
        <v>2011</v>
      </c>
      <c r="D290" s="284">
        <v>2012</v>
      </c>
      <c r="E290" s="31">
        <f>VLOOKUP('AM (2011)'!$C290+1,CPI!$B$50:$I$63,8,FALSE)*'AM (nominal)'!E290</f>
        <v>1017.7171299288946</v>
      </c>
      <c r="F290" s="31">
        <f>VLOOKUP('AM (2011)'!$C290+1,CPI!$B$50:$I$63,8,FALSE)*'AM (nominal)'!F290</f>
        <v>2029.5684550743374</v>
      </c>
      <c r="G290" s="31">
        <f>VLOOKUP('AM (2011)'!$C290+1,CPI!$B$50:$I$63,8,FALSE)*'AM (nominal)'!G290</f>
        <v>1304.1639301874595</v>
      </c>
      <c r="H290" s="31">
        <f>VLOOKUP('AM (2011)'!$C290+1,CPI!$B$50:$I$63,8,FALSE)*'AM (nominal)'!H290</f>
        <v>2649.3884938590818</v>
      </c>
      <c r="I290" s="31">
        <f>VLOOKUP('AM (2011)'!$C290+1,CPI!$B$50:$I$63,8,FALSE)*'AM (nominal)'!I290</f>
        <v>0</v>
      </c>
      <c r="J290" s="27">
        <f>VLOOKUP('AM (2011)'!$C290+1,CPI!$B$50:$I$63,8,FALSE)*'AM (nominal)'!J290</f>
        <v>7000.838009049774</v>
      </c>
      <c r="K290" s="31">
        <f>VLOOKUP('AM (2011)'!$C290+1,CPI!$B$50:$I$63,8,FALSE)*'AM (nominal)'!K290</f>
        <v>1419.3596840723981</v>
      </c>
      <c r="L290" s="31">
        <f>VLOOKUP('AM (2011)'!$C290+1,CPI!$B$50:$I$63,8,FALSE)*'AM (nominal)'!L290</f>
        <v>1957.9395975307045</v>
      </c>
      <c r="M290" s="31">
        <f>VLOOKUP('AM (2011)'!$C290+1,CPI!$B$50:$I$63,8,FALSE)*'AM (nominal)'!M290</f>
        <v>540.63167420814477</v>
      </c>
      <c r="N290" s="639">
        <f>VLOOKUP('AM (2011)'!$C290+1,CPI!$B$50:$I$63,8,FALSE)*'AM (nominal)'!N290</f>
        <v>3917.9309558112473</v>
      </c>
    </row>
    <row r="291" spans="1:14" s="278" customFormat="1" ht="409.6">
      <c r="A291" s="271">
        <f>References!V271</f>
        <v>319</v>
      </c>
      <c r="B291" s="305" t="s">
        <v>42</v>
      </c>
      <c r="C291" s="284">
        <v>2011</v>
      </c>
      <c r="D291" s="284">
        <v>2013</v>
      </c>
      <c r="E291" s="31">
        <f>VLOOKUP('AM (2011)'!$C291+1,CPI!$B$50:$I$63,8,FALSE)*'AM (nominal)'!E291</f>
        <v>1017.7171299288946</v>
      </c>
      <c r="F291" s="31">
        <f>VLOOKUP('AM (2011)'!$C291+1,CPI!$B$50:$I$63,8,FALSE)*'AM (nominal)'!F291</f>
        <v>2303.3060116354231</v>
      </c>
      <c r="G291" s="31">
        <f>VLOOKUP('AM (2011)'!$C291+1,CPI!$B$50:$I$63,8,FALSE)*'AM (nominal)'!G291</f>
        <v>840.76535229476406</v>
      </c>
      <c r="H291" s="31">
        <f>VLOOKUP('AM (2011)'!$C291+1,CPI!$B$50:$I$63,8,FALSE)*'AM (nominal)'!H291</f>
        <v>1590.6107304460245</v>
      </c>
      <c r="I291" s="31">
        <f>VLOOKUP('AM (2011)'!$C291+1,CPI!$B$50:$I$63,8,FALSE)*'AM (nominal)'!I291</f>
        <v>782.10730446024559</v>
      </c>
      <c r="J291" s="27">
        <f>VLOOKUP('AM (2011)'!$C291+1,CPI!$B$50:$I$63,8,FALSE)*'AM (nominal)'!J291</f>
        <v>6534.5065287653524</v>
      </c>
      <c r="K291" s="31">
        <f>VLOOKUP('AM (2011)'!$C291+1,CPI!$B$50:$I$63,8,FALSE)*'AM (nominal)'!K291</f>
        <v>1419.3596840723981</v>
      </c>
      <c r="L291" s="31">
        <f>VLOOKUP('AM (2011)'!$C291+1,CPI!$B$50:$I$63,8,FALSE)*'AM (nominal)'!L291</f>
        <v>1957.9395975307045</v>
      </c>
      <c r="M291" s="31">
        <f>VLOOKUP('AM (2011)'!$C291+1,CPI!$B$50:$I$63,8,FALSE)*'AM (nominal)'!M291</f>
        <v>540.63167420814477</v>
      </c>
      <c r="N291" s="639">
        <f>VLOOKUP('AM (2011)'!$C291+1,CPI!$B$50:$I$63,8,FALSE)*'AM (nominal)'!N291</f>
        <v>3917.9309558112473</v>
      </c>
    </row>
    <row r="292" spans="1:14" s="278" customFormat="1" ht="409.6">
      <c r="A292" s="271">
        <f>References!W271</f>
        <v>320</v>
      </c>
      <c r="B292" s="305" t="s">
        <v>42</v>
      </c>
      <c r="C292" s="284">
        <v>2011</v>
      </c>
      <c r="D292" s="284">
        <v>2014</v>
      </c>
      <c r="E292" s="31">
        <f>VLOOKUP('AM (2011)'!$C292+1,CPI!$B$50:$I$63,8,FALSE)*'AM (nominal)'!E292</f>
        <v>1017.7171299288946</v>
      </c>
      <c r="F292" s="31">
        <f>VLOOKUP('AM (2011)'!$C292+1,CPI!$B$50:$I$63,8,FALSE)*'AM (nominal)'!F292</f>
        <v>2557.4908855850031</v>
      </c>
      <c r="G292" s="31">
        <f>VLOOKUP('AM (2011)'!$C292+1,CPI!$B$50:$I$63,8,FALSE)*'AM (nominal)'!G292</f>
        <v>1268.9691014867485</v>
      </c>
      <c r="H292" s="31">
        <f>VLOOKUP('AM (2011)'!$C292+1,CPI!$B$50:$I$63,8,FALSE)*'AM (nominal)'!H292</f>
        <v>53.769877181641888</v>
      </c>
      <c r="I292" s="31">
        <f>VLOOKUP('AM (2011)'!$C292+1,CPI!$B$50:$I$63,8,FALSE)*'AM (nominal)'!I292</f>
        <v>1955.2682611506141</v>
      </c>
      <c r="J292" s="27">
        <f>VLOOKUP('AM (2011)'!$C292+1,CPI!$B$50:$I$63,8,FALSE)*'AM (nominal)'!J292</f>
        <v>6853.2152553329024</v>
      </c>
      <c r="K292" s="31">
        <f>VLOOKUP('AM (2011)'!$C292+1,CPI!$B$50:$I$63,8,FALSE)*'AM (nominal)'!K292</f>
        <v>1390.030660155139</v>
      </c>
      <c r="L292" s="31">
        <f>VLOOKUP('AM (2011)'!$C292+1,CPI!$B$50:$I$63,8,FALSE)*'AM (nominal)'!L292</f>
        <v>1957.9395975307045</v>
      </c>
      <c r="M292" s="31">
        <f>VLOOKUP('AM (2011)'!$C292+1,CPI!$B$50:$I$63,8,FALSE)*'AM (nominal)'!M292</f>
        <v>548.11057530704591</v>
      </c>
      <c r="N292" s="639">
        <f>VLOOKUP('AM (2011)'!$C292+1,CPI!$B$50:$I$63,8,FALSE)*'AM (nominal)'!N292</f>
        <v>3896.0808329928896</v>
      </c>
    </row>
    <row r="293" spans="1:14" s="278" customFormat="1" ht="409.6">
      <c r="A293" s="271">
        <f>References!X271</f>
        <v>321</v>
      </c>
      <c r="B293" s="305" t="s">
        <v>42</v>
      </c>
      <c r="C293" s="284">
        <v>2011</v>
      </c>
      <c r="D293" s="284">
        <v>2015</v>
      </c>
      <c r="E293" s="31">
        <f>VLOOKUP('AM (2011)'!$C293+1,CPI!$B$50:$I$63,8,FALSE)*'AM (nominal)'!E293</f>
        <v>1017.7171299288946</v>
      </c>
      <c r="F293" s="31">
        <f>VLOOKUP('AM (2011)'!$C293+1,CPI!$B$50:$I$63,8,FALSE)*'AM (nominal)'!F293</f>
        <v>1560.3040723981901</v>
      </c>
      <c r="G293" s="31">
        <f>VLOOKUP('AM (2011)'!$C293+1,CPI!$B$50:$I$63,8,FALSE)*'AM (nominal)'!G293</f>
        <v>696.07550096961859</v>
      </c>
      <c r="H293" s="31">
        <f>VLOOKUP('AM (2011)'!$C293+1,CPI!$B$50:$I$63,8,FALSE)*'AM (nominal)'!H293</f>
        <v>29.32902391725921</v>
      </c>
      <c r="I293" s="31">
        <f>VLOOKUP('AM (2011)'!$C293+1,CPI!$B$50:$I$63,8,FALSE)*'AM (nominal)'!I293</f>
        <v>1270.9243697478992</v>
      </c>
      <c r="J293" s="27">
        <f>VLOOKUP('AM (2011)'!$C293+1,CPI!$B$50:$I$63,8,FALSE)*'AM (nominal)'!J293</f>
        <v>4574.3500969618617</v>
      </c>
      <c r="K293" s="31">
        <f>VLOOKUP('AM (2011)'!$C293+1,CPI!$B$50:$I$63,8,FALSE)*'AM (nominal)'!K293</f>
        <v>1390.030660155139</v>
      </c>
      <c r="L293" s="31">
        <f>VLOOKUP('AM (2011)'!$C293+1,CPI!$B$50:$I$63,8,FALSE)*'AM (nominal)'!L293</f>
        <v>1957.9395975307045</v>
      </c>
      <c r="M293" s="31">
        <f>VLOOKUP('AM (2011)'!$C293+1,CPI!$B$50:$I$63,8,FALSE)*'AM (nominal)'!M293</f>
        <v>555.58947640594693</v>
      </c>
      <c r="N293" s="639">
        <f>VLOOKUP('AM (2011)'!$C293+1,CPI!$B$50:$I$63,8,FALSE)*'AM (nominal)'!N293</f>
        <v>3903.5597340917907</v>
      </c>
    </row>
    <row r="294" spans="1:14" s="278" customFormat="1" ht="409.6">
      <c r="A294" s="271">
        <f>References!Y271</f>
        <v>322</v>
      </c>
      <c r="B294" s="305" t="s">
        <v>42</v>
      </c>
      <c r="C294" s="284">
        <v>2011</v>
      </c>
      <c r="D294" s="284">
        <v>2016</v>
      </c>
      <c r="E294" s="31">
        <f>VLOOKUP('AM (2011)'!$C294+1,CPI!$B$50:$I$63,8,FALSE)*'AM (nominal)'!E294</f>
        <v>1017.7171299288946</v>
      </c>
      <c r="F294" s="31">
        <f>VLOOKUP('AM (2011)'!$C294+1,CPI!$B$50:$I$63,8,FALSE)*'AM (nominal)'!F294</f>
        <v>1804.7126050420168</v>
      </c>
      <c r="G294" s="31">
        <f>VLOOKUP('AM (2011)'!$C294+1,CPI!$B$50:$I$63,8,FALSE)*'AM (nominal)'!G294</f>
        <v>820.23503555268258</v>
      </c>
      <c r="H294" s="31">
        <f>VLOOKUP('AM (2011)'!$C294+1,CPI!$B$50:$I$63,8,FALSE)*'AM (nominal)'!H294</f>
        <v>29.32902391725921</v>
      </c>
      <c r="I294" s="31">
        <f>VLOOKUP('AM (2011)'!$C294+1,CPI!$B$50:$I$63,8,FALSE)*'AM (nominal)'!I294</f>
        <v>1182.9372979961215</v>
      </c>
      <c r="J294" s="27">
        <f>VLOOKUP('AM (2011)'!$C294+1,CPI!$B$50:$I$63,8,FALSE)*'AM (nominal)'!J294</f>
        <v>4854.9310924369747</v>
      </c>
      <c r="K294" s="31">
        <f>VLOOKUP('AM (2011)'!$C294+1,CPI!$B$50:$I$63,8,FALSE)*'AM (nominal)'!K294</f>
        <v>1390.030660155139</v>
      </c>
      <c r="L294" s="31">
        <f>VLOOKUP('AM (2011)'!$C294+1,CPI!$B$50:$I$63,8,FALSE)*'AM (nominal)'!L294</f>
        <v>1957.9395975307045</v>
      </c>
      <c r="M294" s="31">
        <f>VLOOKUP('AM (2011)'!$C294+1,CPI!$B$50:$I$63,8,FALSE)*'AM (nominal)'!M294</f>
        <v>563.06837750484817</v>
      </c>
      <c r="N294" s="639">
        <f>VLOOKUP('AM (2011)'!$C294+1,CPI!$B$50:$I$63,8,FALSE)*'AM (nominal)'!N294</f>
        <v>3911.0386351906918</v>
      </c>
    </row>
    <row r="295" spans="1:14" s="278" customFormat="1" ht="409.6">
      <c r="A295" s="271">
        <f>References!K280</f>
        <v>515</v>
      </c>
      <c r="B295" s="305" t="s">
        <v>142</v>
      </c>
      <c r="C295" s="284">
        <v>2009</v>
      </c>
      <c r="D295" s="284">
        <v>2010</v>
      </c>
      <c r="E295" s="31">
        <f>VLOOKUP('AM (2011)'!$C295+1,CPI!$B$50:$I$63,8,FALSE)*'AM (nominal)'!E295</f>
        <v>815.06830858775015</v>
      </c>
      <c r="F295" s="31">
        <f>VLOOKUP('AM (2011)'!$C295+1,CPI!$B$50:$I$63,8,FALSE)*'AM (nominal)'!F295</f>
        <v>2719.2716445258816</v>
      </c>
      <c r="G295" s="31">
        <f>VLOOKUP('AM (2011)'!$C295+1,CPI!$B$50:$I$63,8,FALSE)*'AM (nominal)'!G295</f>
        <v>3530.8759128021334</v>
      </c>
      <c r="H295" s="31">
        <f>VLOOKUP('AM (2011)'!$C295+1,CPI!$B$50:$I$63,8,FALSE)*'AM (nominal)'!H295</f>
        <v>3022.1204629355175</v>
      </c>
      <c r="I295" s="31">
        <f>VLOOKUP('AM (2011)'!$C295+1,CPI!$B$50:$I$63,8,FALSE)*'AM (nominal)'!I295</f>
        <v>185.83557435800705</v>
      </c>
      <c r="J295" s="27">
        <f>VLOOKUP('AM (2011)'!$C295+1,CPI!$B$50:$I$63,8,FALSE)*'AM (nominal)'!J295</f>
        <v>10273.17190320929</v>
      </c>
      <c r="K295" s="31">
        <f>VLOOKUP('AM (2011)'!$C295+1,CPI!$B$50:$I$63,8,FALSE)*'AM (nominal)'!K295</f>
        <v>4375.3654384636975</v>
      </c>
      <c r="L295" s="31">
        <f>VLOOKUP('AM (2011)'!$C295+1,CPI!$B$50:$I$63,8,FALSE)*'AM (nominal)'!L295</f>
        <v>509.41769286734382</v>
      </c>
      <c r="M295" s="31">
        <f>VLOOKUP('AM (2011)'!$C295+1,CPI!$B$50:$I$63,8,FALSE)*'AM (nominal)'!M295</f>
        <v>1018.8353857346876</v>
      </c>
      <c r="N295" s="639">
        <f>VLOOKUP('AM (2011)'!$C295+1,CPI!$B$50:$I$63,8,FALSE)*'AM (nominal)'!N295</f>
        <v>5903.6185170657291</v>
      </c>
    </row>
    <row r="296" spans="1:14" s="278" customFormat="1" ht="409.6">
      <c r="A296" s="271">
        <f>References!L280</f>
        <v>516</v>
      </c>
      <c r="B296" s="305" t="s">
        <v>142</v>
      </c>
      <c r="C296" s="284">
        <v>2009</v>
      </c>
      <c r="D296" s="284">
        <v>2011</v>
      </c>
      <c r="E296" s="31">
        <f>VLOOKUP('AM (2011)'!$C296+1,CPI!$B$50:$I$63,8,FALSE)*'AM (nominal)'!E296</f>
        <v>1222.6024628816251</v>
      </c>
      <c r="F296" s="31">
        <f>VLOOKUP('AM (2011)'!$C296+1,CPI!$B$50:$I$63,8,FALSE)*'AM (nominal)'!F296</f>
        <v>6189.4249683382277</v>
      </c>
      <c r="G296" s="31">
        <f>VLOOKUP('AM (2011)'!$C296+1,CPI!$B$50:$I$63,8,FALSE)*'AM (nominal)'!G296</f>
        <v>4051.4090997278431</v>
      </c>
      <c r="H296" s="31">
        <f>VLOOKUP('AM (2011)'!$C296+1,CPI!$B$50:$I$63,8,FALSE)*'AM (nominal)'!H296</f>
        <v>1045.3251057637895</v>
      </c>
      <c r="I296" s="31">
        <f>VLOOKUP('AM (2011)'!$C296+1,CPI!$B$50:$I$63,8,FALSE)*'AM (nominal)'!I296</f>
        <v>213.23205788041278</v>
      </c>
      <c r="J296" s="27">
        <f>VLOOKUP('AM (2011)'!$C296+1,CPI!$B$50:$I$63,8,FALSE)*'AM (nominal)'!J296</f>
        <v>12721.9936945919</v>
      </c>
      <c r="K296" s="31">
        <f>VLOOKUP('AM (2011)'!$C296+1,CPI!$B$50:$I$63,8,FALSE)*'AM (nominal)'!K296</f>
        <v>4594.1337103868836</v>
      </c>
      <c r="L296" s="31">
        <f>VLOOKUP('AM (2011)'!$C296+1,CPI!$B$50:$I$63,8,FALSE)*'AM (nominal)'!L296</f>
        <v>534.888577510711</v>
      </c>
      <c r="M296" s="31">
        <f>VLOOKUP('AM (2011)'!$C296+1,CPI!$B$50:$I$63,8,FALSE)*'AM (nominal)'!M296</f>
        <v>815.06830858775015</v>
      </c>
      <c r="N296" s="639">
        <f>VLOOKUP('AM (2011)'!$C296+1,CPI!$B$50:$I$63,8,FALSE)*'AM (nominal)'!N296</f>
        <v>5944.0905964853455</v>
      </c>
    </row>
    <row r="297" spans="1:14" s="278" customFormat="1" ht="409.6">
      <c r="A297" s="271">
        <f>References!M280</f>
        <v>517</v>
      </c>
      <c r="B297" s="305" t="s">
        <v>142</v>
      </c>
      <c r="C297" s="284">
        <v>2009</v>
      </c>
      <c r="D297" s="284">
        <v>2012</v>
      </c>
      <c r="E297" s="31">
        <f>VLOOKUP('AM (2011)'!$C297+1,CPI!$B$50:$I$63,8,FALSE)*'AM (nominal)'!E297</f>
        <v>1528.2530786020316</v>
      </c>
      <c r="F297" s="31">
        <f>VLOOKUP('AM (2011)'!$C297+1,CPI!$B$50:$I$63,8,FALSE)*'AM (nominal)'!F297</f>
        <v>6326.9677454124103</v>
      </c>
      <c r="G297" s="31">
        <f>VLOOKUP('AM (2011)'!$C297+1,CPI!$B$50:$I$63,8,FALSE)*'AM (nominal)'!G297</f>
        <v>3387.6276575678366</v>
      </c>
      <c r="H297" s="31">
        <f>VLOOKUP('AM (2011)'!$C297+1,CPI!$B$50:$I$63,8,FALSE)*'AM (nominal)'!H297</f>
        <v>2365.735765675945</v>
      </c>
      <c r="I297" s="31">
        <f>VLOOKUP('AM (2011)'!$C297+1,CPI!$B$50:$I$63,8,FALSE)*'AM (nominal)'!I297</f>
        <v>178.29619250357035</v>
      </c>
      <c r="J297" s="27">
        <f>VLOOKUP('AM (2011)'!$C297+1,CPI!$B$50:$I$63,8,FALSE)*'AM (nominal)'!J297</f>
        <v>13786.880439761793</v>
      </c>
      <c r="K297" s="31">
        <f>VLOOKUP('AM (2011)'!$C297+1,CPI!$B$50:$I$63,8,FALSE)*'AM (nominal)'!K297</f>
        <v>4823.8403959062298</v>
      </c>
      <c r="L297" s="31">
        <f>VLOOKUP('AM (2011)'!$C297+1,CPI!$B$50:$I$63,8,FALSE)*'AM (nominal)'!L297</f>
        <v>561.63300638624662</v>
      </c>
      <c r="M297" s="31">
        <f>VLOOKUP('AM (2011)'!$C297+1,CPI!$B$50:$I$63,8,FALSE)*'AM (nominal)'!M297</f>
        <v>611.30123144081256</v>
      </c>
      <c r="N297" s="639">
        <f>VLOOKUP('AM (2011)'!$C297+1,CPI!$B$50:$I$63,8,FALSE)*'AM (nominal)'!N297</f>
        <v>5996.7746337332883</v>
      </c>
    </row>
    <row r="298" spans="1:14" s="278" customFormat="1" ht="409.6">
      <c r="A298" s="271">
        <f>References!N280</f>
        <v>518</v>
      </c>
      <c r="B298" s="305" t="s">
        <v>142</v>
      </c>
      <c r="C298" s="284">
        <v>2009</v>
      </c>
      <c r="D298" s="284">
        <v>2013</v>
      </c>
      <c r="E298" s="31">
        <f>VLOOKUP('AM (2011)'!$C298+1,CPI!$B$50:$I$63,8,FALSE)*'AM (nominal)'!E298</f>
        <v>1528.2530786020316</v>
      </c>
      <c r="F298" s="31">
        <f>VLOOKUP('AM (2011)'!$C298+1,CPI!$B$50:$I$63,8,FALSE)*'AM (nominal)'!F298</f>
        <v>9009.0518983589754</v>
      </c>
      <c r="G298" s="31">
        <f>VLOOKUP('AM (2011)'!$C298+1,CPI!$B$50:$I$63,8,FALSE)*'AM (nominal)'!G298</f>
        <v>4355.5212740157895</v>
      </c>
      <c r="H298" s="31">
        <f>VLOOKUP('AM (2011)'!$C298+1,CPI!$B$50:$I$63,8,FALSE)*'AM (nominal)'!H298</f>
        <v>1493.6126754870522</v>
      </c>
      <c r="I298" s="31">
        <f>VLOOKUP('AM (2011)'!$C298+1,CPI!$B$50:$I$63,8,FALSE)*'AM (nominal)'!I298</f>
        <v>229.23796179030472</v>
      </c>
      <c r="J298" s="27">
        <f>VLOOKUP('AM (2011)'!$C298+1,CPI!$B$50:$I$63,8,FALSE)*'AM (nominal)'!J298</f>
        <v>16615.676888254155</v>
      </c>
      <c r="K298" s="31">
        <f>VLOOKUP('AM (2011)'!$C298+1,CPI!$B$50:$I$63,8,FALSE)*'AM (nominal)'!K298</f>
        <v>2704.315851450986</v>
      </c>
      <c r="L298" s="31">
        <f>VLOOKUP('AM (2011)'!$C298+1,CPI!$B$50:$I$63,8,FALSE)*'AM (nominal)'!L298</f>
        <v>589.71465670555892</v>
      </c>
      <c r="M298" s="31">
        <f>VLOOKUP('AM (2011)'!$C298+1,CPI!$B$50:$I$63,8,FALSE)*'AM (nominal)'!M298</f>
        <v>641.86629301285325</v>
      </c>
      <c r="N298" s="639">
        <f>VLOOKUP('AM (2011)'!$C298+1,CPI!$B$50:$I$63,8,FALSE)*'AM (nominal)'!N298</f>
        <v>3935.8968011693983</v>
      </c>
    </row>
    <row r="299" spans="1:14" s="278" customFormat="1" ht="409.6">
      <c r="A299" s="271">
        <f>References!O280</f>
        <v>519</v>
      </c>
      <c r="B299" s="305" t="s">
        <v>142</v>
      </c>
      <c r="C299" s="284">
        <v>2009</v>
      </c>
      <c r="D299" s="284">
        <v>2014</v>
      </c>
      <c r="E299" s="31">
        <f>VLOOKUP('AM (2011)'!$C299+1,CPI!$B$50:$I$63,8,FALSE)*'AM (nominal)'!E299</f>
        <v>1528.2530786020316</v>
      </c>
      <c r="F299" s="31">
        <f>VLOOKUP('AM (2011)'!$C299+1,CPI!$B$50:$I$63,8,FALSE)*'AM (nominal)'!F299</f>
        <v>13410.420764732826</v>
      </c>
      <c r="G299" s="31">
        <f>VLOOKUP('AM (2011)'!$C299+1,CPI!$B$50:$I$63,8,FALSE)*'AM (nominal)'!G299</f>
        <v>4839.4680822397668</v>
      </c>
      <c r="H299" s="31">
        <f>VLOOKUP('AM (2011)'!$C299+1,CPI!$B$50:$I$63,8,FALSE)*'AM (nominal)'!H299</f>
        <v>1273.5442321683597</v>
      </c>
      <c r="I299" s="31">
        <f>VLOOKUP('AM (2011)'!$C299+1,CPI!$B$50:$I$63,8,FALSE)*'AM (nominal)'!I299</f>
        <v>254.70884643367191</v>
      </c>
      <c r="J299" s="27">
        <f>VLOOKUP('AM (2011)'!$C299+1,CPI!$B$50:$I$63,8,FALSE)*'AM (nominal)'!J299</f>
        <v>21306.395004176655</v>
      </c>
      <c r="K299" s="31">
        <f>VLOOKUP('AM (2011)'!$C299+1,CPI!$B$50:$I$63,8,FALSE)*'AM (nominal)'!K299</f>
        <v>2839.5316440235438</v>
      </c>
      <c r="L299" s="31">
        <f>VLOOKUP('AM (2011)'!$C299+1,CPI!$B$50:$I$63,8,FALSE)*'AM (nominal)'!L299</f>
        <v>619.2003895408368</v>
      </c>
      <c r="M299" s="31">
        <f>VLOOKUP('AM (2011)'!$C299+1,CPI!$B$50:$I$63,8,FALSE)*'AM (nominal)'!M299</f>
        <v>673.95960766349594</v>
      </c>
      <c r="N299" s="639">
        <f>VLOOKUP('AM (2011)'!$C299+1,CPI!$B$50:$I$63,8,FALSE)*'AM (nominal)'!N299</f>
        <v>4132.691641227877</v>
      </c>
    </row>
    <row r="300" spans="1:14" s="278" customFormat="1" ht="409.6">
      <c r="A300" s="271">
        <f>References!P280</f>
        <v>520</v>
      </c>
      <c r="B300" s="305" t="s">
        <v>142</v>
      </c>
      <c r="C300" s="284">
        <v>2010</v>
      </c>
      <c r="D300" s="284">
        <v>2011</v>
      </c>
      <c r="E300" s="31">
        <f>VLOOKUP('AM (2011)'!$C300+1,CPI!$B$50:$I$63,8,FALSE)*'AM (nominal)'!E300</f>
        <v>800</v>
      </c>
      <c r="F300" s="31">
        <f>VLOOKUP('AM (2011)'!$C300+1,CPI!$B$50:$I$63,8,FALSE)*'AM (nominal)'!F300</f>
        <v>7083</v>
      </c>
      <c r="G300" s="31">
        <f>VLOOKUP('AM (2011)'!$C300+1,CPI!$B$50:$I$63,8,FALSE)*'AM (nominal)'!G300</f>
        <v>4045</v>
      </c>
      <c r="H300" s="31">
        <f>VLOOKUP('AM (2011)'!$C300+1,CPI!$B$50:$I$63,8,FALSE)*'AM (nominal)'!H300</f>
        <v>3304</v>
      </c>
      <c r="I300" s="31">
        <f>VLOOKUP('AM (2011)'!$C300+1,CPI!$B$50:$I$63,8,FALSE)*'AM (nominal)'!I300</f>
        <v>222.5</v>
      </c>
      <c r="J300" s="27">
        <f>VLOOKUP('AM (2011)'!$C300+1,CPI!$B$50:$I$63,8,FALSE)*'AM (nominal)'!J300</f>
        <v>15454.5</v>
      </c>
      <c r="K300" s="31">
        <f>VLOOKUP('AM (2011)'!$C300+1,CPI!$B$50:$I$63,8,FALSE)*'AM (nominal)'!K300</f>
        <v>4422</v>
      </c>
      <c r="L300" s="31">
        <f>VLOOKUP('AM (2011)'!$C300+1,CPI!$B$50:$I$63,8,FALSE)*'AM (nominal)'!L300</f>
        <v>1000</v>
      </c>
      <c r="M300" s="31">
        <f>VLOOKUP('AM (2011)'!$C300+1,CPI!$B$50:$I$63,8,FALSE)*'AM (nominal)'!M300</f>
        <v>950</v>
      </c>
      <c r="N300" s="639">
        <f>VLOOKUP('AM (2011)'!$C300+1,CPI!$B$50:$I$63,8,FALSE)*'AM (nominal)'!N300</f>
        <v>6372</v>
      </c>
    </row>
    <row r="301" spans="1:14" s="278" customFormat="1" ht="409.6">
      <c r="A301" s="271">
        <f>References!Q280</f>
        <v>521</v>
      </c>
      <c r="B301" s="305" t="s">
        <v>142</v>
      </c>
      <c r="C301" s="284">
        <v>2010</v>
      </c>
      <c r="D301" s="284">
        <v>2012</v>
      </c>
      <c r="E301" s="31">
        <f>VLOOKUP('AM (2011)'!$C301+1,CPI!$B$50:$I$63,8,FALSE)*'AM (nominal)'!E301</f>
        <v>1000</v>
      </c>
      <c r="F301" s="31">
        <f>VLOOKUP('AM (2011)'!$C301+1,CPI!$B$50:$I$63,8,FALSE)*'AM (nominal)'!F301</f>
        <v>6686</v>
      </c>
      <c r="G301" s="31">
        <f>VLOOKUP('AM (2011)'!$C301+1,CPI!$B$50:$I$63,8,FALSE)*'AM (nominal)'!G301</f>
        <v>4085</v>
      </c>
      <c r="H301" s="31">
        <f>VLOOKUP('AM (2011)'!$C301+1,CPI!$B$50:$I$63,8,FALSE)*'AM (nominal)'!H301</f>
        <v>5392.5</v>
      </c>
      <c r="I301" s="31">
        <f>VLOOKUP('AM (2011)'!$C301+1,CPI!$B$50:$I$63,8,FALSE)*'AM (nominal)'!I301</f>
        <v>175</v>
      </c>
      <c r="J301" s="27">
        <f>VLOOKUP('AM (2011)'!$C301+1,CPI!$B$50:$I$63,8,FALSE)*'AM (nominal)'!J301</f>
        <v>17338.5</v>
      </c>
      <c r="K301" s="31">
        <f>VLOOKUP('AM (2011)'!$C301+1,CPI!$B$50:$I$63,8,FALSE)*'AM (nominal)'!K301</f>
        <v>4443.9350000000004</v>
      </c>
      <c r="L301" s="31">
        <f>VLOOKUP('AM (2011)'!$C301+1,CPI!$B$50:$I$63,8,FALSE)*'AM (nominal)'!L301</f>
        <v>1020</v>
      </c>
      <c r="M301" s="31">
        <f>VLOOKUP('AM (2011)'!$C301+1,CPI!$B$50:$I$63,8,FALSE)*'AM (nominal)'!M301</f>
        <v>600</v>
      </c>
      <c r="N301" s="639">
        <f>VLOOKUP('AM (2011)'!$C301+1,CPI!$B$50:$I$63,8,FALSE)*'AM (nominal)'!N301</f>
        <v>6063.9350000000004</v>
      </c>
    </row>
    <row r="302" spans="1:14" s="278" customFormat="1" ht="409.6">
      <c r="A302" s="271">
        <f>References!R280</f>
        <v>522</v>
      </c>
      <c r="B302" s="305" t="s">
        <v>142</v>
      </c>
      <c r="C302" s="284">
        <v>2010</v>
      </c>
      <c r="D302" s="284">
        <v>2013</v>
      </c>
      <c r="E302" s="31">
        <f>VLOOKUP('AM (2011)'!$C302+1,CPI!$B$50:$I$63,8,FALSE)*'AM (nominal)'!E302</f>
        <v>1200</v>
      </c>
      <c r="F302" s="31">
        <f>VLOOKUP('AM (2011)'!$C302+1,CPI!$B$50:$I$63,8,FALSE)*'AM (nominal)'!F302</f>
        <v>8389.6119999999992</v>
      </c>
      <c r="G302" s="31">
        <f>VLOOKUP('AM (2011)'!$C302+1,CPI!$B$50:$I$63,8,FALSE)*'AM (nominal)'!G302</f>
        <v>4045</v>
      </c>
      <c r="H302" s="31">
        <f>VLOOKUP('AM (2011)'!$C302+1,CPI!$B$50:$I$63,8,FALSE)*'AM (nominal)'!H302</f>
        <v>2550</v>
      </c>
      <c r="I302" s="31">
        <f>VLOOKUP('AM (2011)'!$C302+1,CPI!$B$50:$I$63,8,FALSE)*'AM (nominal)'!I302</f>
        <v>225</v>
      </c>
      <c r="J302" s="27">
        <f>VLOOKUP('AM (2011)'!$C302+1,CPI!$B$50:$I$63,8,FALSE)*'AM (nominal)'!J302</f>
        <v>16409.612000000001</v>
      </c>
      <c r="K302" s="31">
        <f>VLOOKUP('AM (2011)'!$C302+1,CPI!$B$50:$I$63,8,FALSE)*'AM (nominal)'!K302</f>
        <v>2106.5129999999999</v>
      </c>
      <c r="L302" s="31">
        <f>VLOOKUP('AM (2011)'!$C302+1,CPI!$B$50:$I$63,8,FALSE)*'AM (nominal)'!L302</f>
        <v>1040</v>
      </c>
      <c r="M302" s="31">
        <f>VLOOKUP('AM (2011)'!$C302+1,CPI!$B$50:$I$63,8,FALSE)*'AM (nominal)'!M302</f>
        <v>500</v>
      </c>
      <c r="N302" s="639">
        <f>VLOOKUP('AM (2011)'!$C302+1,CPI!$B$50:$I$63,8,FALSE)*'AM (nominal)'!N302</f>
        <v>3646.5129999999999</v>
      </c>
    </row>
    <row r="303" spans="1:14" s="278" customFormat="1" ht="409.6">
      <c r="A303" s="271">
        <f>References!S280</f>
        <v>523</v>
      </c>
      <c r="B303" s="305" t="s">
        <v>142</v>
      </c>
      <c r="C303" s="284">
        <v>2010</v>
      </c>
      <c r="D303" s="284">
        <v>2014</v>
      </c>
      <c r="E303" s="31">
        <f>VLOOKUP('AM (2011)'!$C303+1,CPI!$B$50:$I$63,8,FALSE)*'AM (nominal)'!E303</f>
        <v>1500</v>
      </c>
      <c r="F303" s="31">
        <f>VLOOKUP('AM (2011)'!$C303+1,CPI!$B$50:$I$63,8,FALSE)*'AM (nominal)'!F303</f>
        <v>8179.68</v>
      </c>
      <c r="G303" s="31">
        <f>VLOOKUP('AM (2011)'!$C303+1,CPI!$B$50:$I$63,8,FALSE)*'AM (nominal)'!G303</f>
        <v>4085</v>
      </c>
      <c r="H303" s="31">
        <f>VLOOKUP('AM (2011)'!$C303+1,CPI!$B$50:$I$63,8,FALSE)*'AM (nominal)'!H303</f>
        <v>1950</v>
      </c>
      <c r="I303" s="31">
        <f>VLOOKUP('AM (2011)'!$C303+1,CPI!$B$50:$I$63,8,FALSE)*'AM (nominal)'!I303</f>
        <v>250</v>
      </c>
      <c r="J303" s="27">
        <f>VLOOKUP('AM (2011)'!$C303+1,CPI!$B$50:$I$63,8,FALSE)*'AM (nominal)'!J303</f>
        <v>15964.68</v>
      </c>
      <c r="K303" s="31">
        <f>VLOOKUP('AM (2011)'!$C303+1,CPI!$B$50:$I$63,8,FALSE)*'AM (nominal)'!K303</f>
        <v>2178.643</v>
      </c>
      <c r="L303" s="31">
        <f>VLOOKUP('AM (2011)'!$C303+1,CPI!$B$50:$I$63,8,FALSE)*'AM (nominal)'!L303</f>
        <v>1161.2049999999999</v>
      </c>
      <c r="M303" s="31">
        <f>VLOOKUP('AM (2011)'!$C303+1,CPI!$B$50:$I$63,8,FALSE)*'AM (nominal)'!M303</f>
        <v>500</v>
      </c>
      <c r="N303" s="639">
        <f>VLOOKUP('AM (2011)'!$C303+1,CPI!$B$50:$I$63,8,FALSE)*'AM (nominal)'!N303</f>
        <v>3839.848</v>
      </c>
    </row>
    <row r="304" spans="1:14" s="278" customFormat="1" ht="409.6">
      <c r="A304" s="271">
        <f>References!T280</f>
        <v>524</v>
      </c>
      <c r="B304" s="305" t="s">
        <v>142</v>
      </c>
      <c r="C304" s="284">
        <v>2010</v>
      </c>
      <c r="D304" s="284">
        <v>2015</v>
      </c>
      <c r="E304" s="31">
        <f>VLOOKUP('AM (2011)'!$C304+1,CPI!$B$50:$I$63,8,FALSE)*'AM (nominal)'!E304</f>
        <v>1500</v>
      </c>
      <c r="F304" s="31">
        <f>VLOOKUP('AM (2011)'!$C304+1,CPI!$B$50:$I$63,8,FALSE)*'AM (nominal)'!F304</f>
        <v>7725.3429999999998</v>
      </c>
      <c r="G304" s="31">
        <f>VLOOKUP('AM (2011)'!$C304+1,CPI!$B$50:$I$63,8,FALSE)*'AM (nominal)'!G304</f>
        <v>4045</v>
      </c>
      <c r="H304" s="31">
        <f>VLOOKUP('AM (2011)'!$C304+1,CPI!$B$50:$I$63,8,FALSE)*'AM (nominal)'!H304</f>
        <v>2920</v>
      </c>
      <c r="I304" s="31">
        <f>VLOOKUP('AM (2011)'!$C304+1,CPI!$B$50:$I$63,8,FALSE)*'AM (nominal)'!I304</f>
        <v>250</v>
      </c>
      <c r="J304" s="27">
        <f>VLOOKUP('AM (2011)'!$C304+1,CPI!$B$50:$I$63,8,FALSE)*'AM (nominal)'!J304</f>
        <v>16440.343000000001</v>
      </c>
      <c r="K304" s="31">
        <f>VLOOKUP('AM (2011)'!$C304+1,CPI!$B$50:$I$63,8,FALSE)*'AM (nominal)'!K304</f>
        <v>2253.7159999999999</v>
      </c>
      <c r="L304" s="31">
        <f>VLOOKUP('AM (2011)'!$C304+1,CPI!$B$50:$I$63,8,FALSE)*'AM (nominal)'!L304</f>
        <v>1182.423</v>
      </c>
      <c r="M304" s="31">
        <f>VLOOKUP('AM (2011)'!$C304+1,CPI!$B$50:$I$63,8,FALSE)*'AM (nominal)'!M304</f>
        <v>525</v>
      </c>
      <c r="N304" s="639">
        <f>VLOOKUP('AM (2011)'!$C304+1,CPI!$B$50:$I$63,8,FALSE)*'AM (nominal)'!N304</f>
        <v>3961.1390000000001</v>
      </c>
    </row>
    <row r="305" spans="1:14" s="278" customFormat="1" ht="409.6">
      <c r="A305" s="271">
        <f>References!U280</f>
        <v>525</v>
      </c>
      <c r="B305" s="305" t="s">
        <v>142</v>
      </c>
      <c r="C305" s="284">
        <v>2011</v>
      </c>
      <c r="D305" s="284">
        <v>2012</v>
      </c>
      <c r="E305" s="31">
        <f>VLOOKUP('AM (2011)'!$C305+1,CPI!$B$50:$I$63,8,FALSE)*'AM (nominal)'!E305</f>
        <v>977.63413057530704</v>
      </c>
      <c r="F305" s="31">
        <f>VLOOKUP('AM (2011)'!$C305+1,CPI!$B$50:$I$63,8,FALSE)*'AM (nominal)'!F305</f>
        <v>6536.4676628312864</v>
      </c>
      <c r="G305" s="31">
        <f>VLOOKUP('AM (2011)'!$C305+1,CPI!$B$50:$I$63,8,FALSE)*'AM (nominal)'!G305</f>
        <v>3993.6354234001292</v>
      </c>
      <c r="H305" s="31">
        <f>VLOOKUP('AM (2011)'!$C305+1,CPI!$B$50:$I$63,8,FALSE)*'AM (nominal)'!H305</f>
        <v>5271.8920491273429</v>
      </c>
      <c r="I305" s="31">
        <f>VLOOKUP('AM (2011)'!$C305+1,CPI!$B$50:$I$63,8,FALSE)*'AM (nominal)'!I305</f>
        <v>171.08597285067873</v>
      </c>
      <c r="J305" s="27">
        <f>VLOOKUP('AM (2011)'!$C305+1,CPI!$B$50:$I$63,8,FALSE)*'AM (nominal)'!J305</f>
        <v>16950.715238784745</v>
      </c>
      <c r="K305" s="31">
        <f>VLOOKUP('AM (2011)'!$C305+1,CPI!$B$50:$I$63,8,FALSE)*'AM (nominal)'!K305</f>
        <v>4008.2999353587588</v>
      </c>
      <c r="L305" s="31">
        <f>VLOOKUP('AM (2011)'!$C305+1,CPI!$B$50:$I$63,8,FALSE)*'AM (nominal)'!L305</f>
        <v>1053.4007756948934</v>
      </c>
      <c r="M305" s="31">
        <f>VLOOKUP('AM (2011)'!$C305+1,CPI!$B$50:$I$63,8,FALSE)*'AM (nominal)'!M305</f>
        <v>879.87071751777626</v>
      </c>
      <c r="N305" s="639">
        <f>VLOOKUP('AM (2011)'!$C305+1,CPI!$B$50:$I$63,8,FALSE)*'AM (nominal)'!N305</f>
        <v>5941.5714285714284</v>
      </c>
    </row>
    <row r="306" spans="1:14" s="278" customFormat="1" ht="409.6">
      <c r="A306" s="271">
        <f>References!V280</f>
        <v>526</v>
      </c>
      <c r="B306" s="305" t="s">
        <v>142</v>
      </c>
      <c r="C306" s="284">
        <v>2011</v>
      </c>
      <c r="D306" s="284">
        <v>2013</v>
      </c>
      <c r="E306" s="31">
        <f>VLOOKUP('AM (2011)'!$C306+1,CPI!$B$50:$I$63,8,FALSE)*'AM (nominal)'!E306</f>
        <v>1173.1609566903685</v>
      </c>
      <c r="F306" s="31">
        <f>VLOOKUP('AM (2011)'!$C306+1,CPI!$B$50:$I$63,8,FALSE)*'AM (nominal)'!F306</f>
        <v>8201.971033484162</v>
      </c>
      <c r="G306" s="31">
        <f>VLOOKUP('AM (2011)'!$C306+1,CPI!$B$50:$I$63,8,FALSE)*'AM (nominal)'!G306</f>
        <v>3954.5300581771171</v>
      </c>
      <c r="H306" s="31">
        <f>VLOOKUP('AM (2011)'!$C306+1,CPI!$B$50:$I$63,8,FALSE)*'AM (nominal)'!H306</f>
        <v>2492.967032967033</v>
      </c>
      <c r="I306" s="31">
        <f>VLOOKUP('AM (2011)'!$C306+1,CPI!$B$50:$I$63,8,FALSE)*'AM (nominal)'!I306</f>
        <v>219.96767937944406</v>
      </c>
      <c r="J306" s="27">
        <f>VLOOKUP('AM (2011)'!$C306+1,CPI!$B$50:$I$63,8,FALSE)*'AM (nominal)'!J306</f>
        <v>16042.596760698127</v>
      </c>
      <c r="K306" s="31">
        <f>VLOOKUP('AM (2011)'!$C306+1,CPI!$B$50:$I$63,8,FALSE)*'AM (nominal)'!K306</f>
        <v>2053.0316742081445</v>
      </c>
      <c r="L306" s="31">
        <f>VLOOKUP('AM (2011)'!$C306+1,CPI!$B$50:$I$63,8,FALSE)*'AM (nominal)'!L306</f>
        <v>703.89657401422107</v>
      </c>
      <c r="M306" s="31">
        <f>VLOOKUP('AM (2011)'!$C306+1,CPI!$B$50:$I$63,8,FALSE)*'AM (nominal)'!M306</f>
        <v>879.87071751777626</v>
      </c>
      <c r="N306" s="639">
        <f>VLOOKUP('AM (2011)'!$C306+1,CPI!$B$50:$I$63,8,FALSE)*'AM (nominal)'!N306</f>
        <v>3636.7989657401422</v>
      </c>
    </row>
    <row r="307" spans="1:14" s="278" customFormat="1" ht="409.6">
      <c r="A307" s="271">
        <f>References!W280</f>
        <v>527</v>
      </c>
      <c r="B307" s="305" t="s">
        <v>142</v>
      </c>
      <c r="C307" s="284">
        <v>2011</v>
      </c>
      <c r="D307" s="284">
        <v>2014</v>
      </c>
      <c r="E307" s="31">
        <f>VLOOKUP('AM (2011)'!$C307+1,CPI!$B$50:$I$63,8,FALSE)*'AM (nominal)'!E307</f>
        <v>1466.4511958629605</v>
      </c>
      <c r="F307" s="31">
        <f>VLOOKUP('AM (2011)'!$C307+1,CPI!$B$50:$I$63,8,FALSE)*'AM (nominal)'!F307</f>
        <v>7996.734345184228</v>
      </c>
      <c r="G307" s="31">
        <f>VLOOKUP('AM (2011)'!$C307+1,CPI!$B$50:$I$63,8,FALSE)*'AM (nominal)'!G307</f>
        <v>3993.6354234001292</v>
      </c>
      <c r="H307" s="31">
        <f>VLOOKUP('AM (2011)'!$C307+1,CPI!$B$50:$I$63,8,FALSE)*'AM (nominal)'!H307</f>
        <v>1906.3865546218487</v>
      </c>
      <c r="I307" s="31">
        <f>VLOOKUP('AM (2011)'!$C307+1,CPI!$B$50:$I$63,8,FALSE)*'AM (nominal)'!I307</f>
        <v>244.40853264382676</v>
      </c>
      <c r="J307" s="27">
        <f>VLOOKUP('AM (2011)'!$C307+1,CPI!$B$50:$I$63,8,FALSE)*'AM (nominal)'!J307</f>
        <v>15607.616051712992</v>
      </c>
      <c r="K307" s="31">
        <f>VLOOKUP('AM (2011)'!$C307+1,CPI!$B$50:$I$63,8,FALSE)*'AM (nominal)'!K307</f>
        <v>2053.0316742081445</v>
      </c>
      <c r="L307" s="31">
        <f>VLOOKUP('AM (2011)'!$C307+1,CPI!$B$50:$I$63,8,FALSE)*'AM (nominal)'!L307</f>
        <v>801.65998707175174</v>
      </c>
      <c r="M307" s="31">
        <f>VLOOKUP('AM (2011)'!$C307+1,CPI!$B$50:$I$63,8,FALSE)*'AM (nominal)'!M307</f>
        <v>879.87071751777626</v>
      </c>
      <c r="N307" s="639">
        <f>VLOOKUP('AM (2011)'!$C307+1,CPI!$B$50:$I$63,8,FALSE)*'AM (nominal)'!N307</f>
        <v>3734.5623787976729</v>
      </c>
    </row>
    <row r="308" spans="1:14" s="278" customFormat="1" ht="409.6">
      <c r="A308" s="271">
        <f>References!X280</f>
        <v>528</v>
      </c>
      <c r="B308" s="305" t="s">
        <v>142</v>
      </c>
      <c r="C308" s="284">
        <v>2011</v>
      </c>
      <c r="D308" s="284">
        <v>2015</v>
      </c>
      <c r="E308" s="31">
        <f>VLOOKUP('AM (2011)'!$C308+1,CPI!$B$50:$I$63,8,FALSE)*'AM (nominal)'!E308</f>
        <v>1466.4511958629605</v>
      </c>
      <c r="F308" s="31">
        <f>VLOOKUP('AM (2011)'!$C308+1,CPI!$B$50:$I$63,8,FALSE)*'AM (nominal)'!F308</f>
        <v>7552.5589872010341</v>
      </c>
      <c r="G308" s="31">
        <f>VLOOKUP('AM (2011)'!$C308+1,CPI!$B$50:$I$63,8,FALSE)*'AM (nominal)'!G308</f>
        <v>3954.5300581771171</v>
      </c>
      <c r="H308" s="31">
        <f>VLOOKUP('AM (2011)'!$C308+1,CPI!$B$50:$I$63,8,FALSE)*'AM (nominal)'!H308</f>
        <v>2854.6916612798964</v>
      </c>
      <c r="I308" s="31">
        <f>VLOOKUP('AM (2011)'!$C308+1,CPI!$B$50:$I$63,8,FALSE)*'AM (nominal)'!I308</f>
        <v>244.40853264382676</v>
      </c>
      <c r="J308" s="27">
        <f>VLOOKUP('AM (2011)'!$C308+1,CPI!$B$50:$I$63,8,FALSE)*'AM (nominal)'!J308</f>
        <v>16072.640435164836</v>
      </c>
      <c r="K308" s="31">
        <f>VLOOKUP('AM (2011)'!$C308+1,CPI!$B$50:$I$63,8,FALSE)*'AM (nominal)'!K308</f>
        <v>2053.0316742081445</v>
      </c>
      <c r="L308" s="31">
        <f>VLOOKUP('AM (2011)'!$C308+1,CPI!$B$50:$I$63,8,FALSE)*'AM (nominal)'!L308</f>
        <v>997.1868131868132</v>
      </c>
      <c r="M308" s="31">
        <f>VLOOKUP('AM (2011)'!$C308+1,CPI!$B$50:$I$63,8,FALSE)*'AM (nominal)'!M308</f>
        <v>879.87071751777626</v>
      </c>
      <c r="N308" s="639">
        <f>VLOOKUP('AM (2011)'!$C308+1,CPI!$B$50:$I$63,8,FALSE)*'AM (nominal)'!N308</f>
        <v>3930.0892049127342</v>
      </c>
    </row>
    <row r="309" spans="1:14" s="278" customFormat="1" ht="409.6">
      <c r="A309" s="271">
        <f>References!Y280</f>
        <v>529</v>
      </c>
      <c r="B309" s="305" t="s">
        <v>142</v>
      </c>
      <c r="C309" s="284">
        <v>2011</v>
      </c>
      <c r="D309" s="284">
        <v>2016</v>
      </c>
      <c r="E309" s="31">
        <f>VLOOKUP('AM (2011)'!$C309+1,CPI!$B$50:$I$63,8,FALSE)*'AM (nominal)'!E309</f>
        <v>1466.4511958629605</v>
      </c>
      <c r="F309" s="31">
        <f>VLOOKUP('AM (2011)'!$C309+1,CPI!$B$50:$I$63,8,FALSE)*'AM (nominal)'!F309</f>
        <v>7410.4667097608271</v>
      </c>
      <c r="G309" s="31">
        <f>VLOOKUP('AM (2011)'!$C309+1,CPI!$B$50:$I$63,8,FALSE)*'AM (nominal)'!G309</f>
        <v>3993.6354234001292</v>
      </c>
      <c r="H309" s="31">
        <f>VLOOKUP('AM (2011)'!$C309+1,CPI!$B$50:$I$63,8,FALSE)*'AM (nominal)'!H309</f>
        <v>718.56108597285061</v>
      </c>
      <c r="I309" s="31">
        <f>VLOOKUP('AM (2011)'!$C309+1,CPI!$B$50:$I$63,8,FALSE)*'AM (nominal)'!I309</f>
        <v>244.40853264382676</v>
      </c>
      <c r="J309" s="27">
        <f>VLOOKUP('AM (2011)'!$C309+1,CPI!$B$50:$I$63,8,FALSE)*'AM (nominal)'!J309</f>
        <v>13833.522947640595</v>
      </c>
      <c r="K309" s="31">
        <f>VLOOKUP('AM (2011)'!$C309+1,CPI!$B$50:$I$63,8,FALSE)*'AM (nominal)'!K309</f>
        <v>2053.0316742081445</v>
      </c>
      <c r="L309" s="31">
        <f>VLOOKUP('AM (2011)'!$C309+1,CPI!$B$50:$I$63,8,FALSE)*'AM (nominal)'!L309</f>
        <v>1157.0299935358757</v>
      </c>
      <c r="M309" s="31">
        <f>VLOOKUP('AM (2011)'!$C309+1,CPI!$B$50:$I$63,8,FALSE)*'AM (nominal)'!M309</f>
        <v>879.87071751777626</v>
      </c>
      <c r="N309" s="639">
        <f>VLOOKUP('AM (2011)'!$C309+1,CPI!$B$50:$I$63,8,FALSE)*'AM (nominal)'!N309</f>
        <v>4089.9323852617968</v>
      </c>
    </row>
    <row r="310" spans="1:14" s="278" customFormat="1" ht="409.6">
      <c r="A310" s="271">
        <f>References!K278</f>
        <v>469</v>
      </c>
      <c r="B310" s="305" t="s">
        <v>49</v>
      </c>
      <c r="C310" s="284">
        <v>2009</v>
      </c>
      <c r="D310" s="284">
        <v>2010</v>
      </c>
      <c r="E310" s="31">
        <f>VLOOKUP('AM (2011)'!$C310+1,CPI!$B$50:$I$63,8,FALSE)*'AM (nominal)'!E310</f>
        <v>1049.4004473067282</v>
      </c>
      <c r="F310" s="31">
        <f>VLOOKUP('AM (2011)'!$C310+1,CPI!$B$50:$I$63,8,FALSE)*'AM (nominal)'!F310</f>
        <v>132.4486001455094</v>
      </c>
      <c r="G310" s="31">
        <f>VLOOKUP('AM (2011)'!$C310+1,CPI!$B$50:$I$63,8,FALSE)*'AM (nominal)'!G310</f>
        <v>5864.5193439470777</v>
      </c>
      <c r="H310" s="31">
        <f>VLOOKUP('AM (2011)'!$C310+1,CPI!$B$50:$I$63,8,FALSE)*'AM (nominal)'!H310</f>
        <v>820.16248551642354</v>
      </c>
      <c r="I310" s="31">
        <f>VLOOKUP('AM (2011)'!$C310+1,CPI!$B$50:$I$63,8,FALSE)*'AM (nominal)'!I310</f>
        <v>50.941769286734385</v>
      </c>
      <c r="J310" s="27">
        <f>VLOOKUP('AM (2011)'!$C310+1,CPI!$B$50:$I$63,8,FALSE)*'AM (nominal)'!J310</f>
        <v>7917.4726462024728</v>
      </c>
      <c r="K310" s="31">
        <f>VLOOKUP('AM (2011)'!$C310+1,CPI!$B$50:$I$63,8,FALSE)*'AM (nominal)'!K310</f>
        <v>1574.1006709600924</v>
      </c>
      <c r="L310" s="31">
        <f>VLOOKUP('AM (2011)'!$C310+1,CPI!$B$50:$I$63,8,FALSE)*'AM (nominal)'!L310</f>
        <v>500.24817439573167</v>
      </c>
      <c r="M310" s="31">
        <f>VLOOKUP('AM (2011)'!$C310+1,CPI!$B$50:$I$63,8,FALSE)*'AM (nominal)'!M310</f>
        <v>1264.3747136967474</v>
      </c>
      <c r="N310" s="639">
        <f>VLOOKUP('AM (2011)'!$C310+1,CPI!$B$50:$I$63,8,FALSE)*'AM (nominal)'!N310</f>
        <v>3338.7235590525715</v>
      </c>
    </row>
    <row r="311" spans="1:14" s="278" customFormat="1" ht="409.6">
      <c r="A311" s="271">
        <f>References!L278</f>
        <v>470</v>
      </c>
      <c r="B311" s="305" t="s">
        <v>49</v>
      </c>
      <c r="C311" s="284">
        <v>2009</v>
      </c>
      <c r="D311" s="284">
        <v>2011</v>
      </c>
      <c r="E311" s="31">
        <f>VLOOKUP('AM (2011)'!$C311+1,CPI!$B$50:$I$63,8,FALSE)*'AM (nominal)'!E311</f>
        <v>1290.762550187276</v>
      </c>
      <c r="F311" s="31">
        <f>VLOOKUP('AM (2011)'!$C311+1,CPI!$B$50:$I$63,8,FALSE)*'AM (nominal)'!F311</f>
        <v>1007.4244294144592</v>
      </c>
      <c r="G311" s="31">
        <f>VLOOKUP('AM (2011)'!$C311+1,CPI!$B$50:$I$63,8,FALSE)*'AM (nominal)'!G311</f>
        <v>7572.0818213406437</v>
      </c>
      <c r="H311" s="31">
        <f>VLOOKUP('AM (2011)'!$C311+1,CPI!$B$50:$I$63,8,FALSE)*'AM (nominal)'!H311</f>
        <v>1458.6666217563525</v>
      </c>
      <c r="I311" s="31">
        <f>VLOOKUP('AM (2011)'!$C311+1,CPI!$B$50:$I$63,8,FALSE)*'AM (nominal)'!I311</f>
        <v>52.470022365336419</v>
      </c>
      <c r="J311" s="27">
        <f>VLOOKUP('AM (2011)'!$C311+1,CPI!$B$50:$I$63,8,FALSE)*'AM (nominal)'!J311</f>
        <v>11381.405445064067</v>
      </c>
      <c r="K311" s="31">
        <f>VLOOKUP('AM (2011)'!$C311+1,CPI!$B$50:$I$63,8,FALSE)*'AM (nominal)'!K311</f>
        <v>1618.9294279324188</v>
      </c>
      <c r="L311" s="31">
        <f>VLOOKUP('AM (2011)'!$C311+1,CPI!$B$50:$I$63,8,FALSE)*'AM (nominal)'!L311</f>
        <v>513.7704744790426</v>
      </c>
      <c r="M311" s="31">
        <f>VLOOKUP('AM (2011)'!$C311+1,CPI!$B$50:$I$63,8,FALSE)*'AM (nominal)'!M311</f>
        <v>1300.0339521974615</v>
      </c>
      <c r="N311" s="639">
        <f>VLOOKUP('AM (2011)'!$C311+1,CPI!$B$50:$I$63,8,FALSE)*'AM (nominal)'!N311</f>
        <v>3432.7338546089231</v>
      </c>
    </row>
    <row r="312" spans="1:14" s="278" customFormat="1" ht="409.6">
      <c r="A312" s="271">
        <f>References!M278</f>
        <v>471</v>
      </c>
      <c r="B312" s="305" t="s">
        <v>49</v>
      </c>
      <c r="C312" s="284">
        <v>2009</v>
      </c>
      <c r="D312" s="284">
        <v>2012</v>
      </c>
      <c r="E312" s="31">
        <f>VLOOKUP('AM (2011)'!$C312+1,CPI!$B$50:$I$63,8,FALSE)*'AM (nominal)'!E312</f>
        <v>1382.3558513648243</v>
      </c>
      <c r="F312" s="31">
        <f>VLOOKUP('AM (2011)'!$C312+1,CPI!$B$50:$I$63,8,FALSE)*'AM (nominal)'!F312</f>
        <v>410.3868933739322</v>
      </c>
      <c r="G312" s="31">
        <f>VLOOKUP('AM (2011)'!$C312+1,CPI!$B$50:$I$63,8,FALSE)*'AM (nominal)'!G312</f>
        <v>8816.8461399745374</v>
      </c>
      <c r="H312" s="31">
        <f>VLOOKUP('AM (2011)'!$C312+1,CPI!$B$50:$I$63,8,FALSE)*'AM (nominal)'!H312</f>
        <v>1225.7608525774026</v>
      </c>
      <c r="I312" s="31">
        <f>VLOOKUP('AM (2011)'!$C312+1,CPI!$B$50:$I$63,8,FALSE)*'AM (nominal)'!I312</f>
        <v>53.998275443938446</v>
      </c>
      <c r="J312" s="27">
        <f>VLOOKUP('AM (2011)'!$C312+1,CPI!$B$50:$I$63,8,FALSE)*'AM (nominal)'!J312</f>
        <v>11889.348012734636</v>
      </c>
      <c r="K312" s="31">
        <f>VLOOKUP('AM (2011)'!$C312+1,CPI!$B$50:$I$63,8,FALSE)*'AM (nominal)'!K312</f>
        <v>1664.7770202904796</v>
      </c>
      <c r="L312" s="31">
        <f>VLOOKUP('AM (2011)'!$C312+1,CPI!$B$50:$I$63,8,FALSE)*'AM (nominal)'!L312</f>
        <v>537.94508366791513</v>
      </c>
      <c r="M312" s="31">
        <f>VLOOKUP('AM (2011)'!$C312+1,CPI!$B$50:$I$63,8,FALSE)*'AM (nominal)'!M312</f>
        <v>1340.7873676268489</v>
      </c>
      <c r="N312" s="639">
        <f>VLOOKUP('AM (2011)'!$C312+1,CPI!$B$50:$I$63,8,FALSE)*'AM (nominal)'!N312</f>
        <v>3543.5094715852438</v>
      </c>
    </row>
    <row r="313" spans="1:14" s="278" customFormat="1" ht="409.6">
      <c r="A313" s="271">
        <f>References!N278</f>
        <v>472</v>
      </c>
      <c r="B313" s="305" t="s">
        <v>49</v>
      </c>
      <c r="C313" s="284">
        <v>2009</v>
      </c>
      <c r="D313" s="284">
        <v>2013</v>
      </c>
      <c r="E313" s="31">
        <f>VLOOKUP('AM (2011)'!$C313+1,CPI!$B$50:$I$63,8,FALSE)*'AM (nominal)'!E313</f>
        <v>1365.9526016544958</v>
      </c>
      <c r="F313" s="31">
        <f>VLOOKUP('AM (2011)'!$C313+1,CPI!$B$50:$I$63,8,FALSE)*'AM (nominal)'!F313</f>
        <v>855.1085392471233</v>
      </c>
      <c r="G313" s="31">
        <f>VLOOKUP('AM (2011)'!$C313+1,CPI!$B$50:$I$63,8,FALSE)*'AM (nominal)'!G313</f>
        <v>8841.1086987046256</v>
      </c>
      <c r="H313" s="31">
        <f>VLOOKUP('AM (2011)'!$C313+1,CPI!$B$50:$I$63,8,FALSE)*'AM (nominal)'!H313</f>
        <v>1995.6234351001049</v>
      </c>
      <c r="I313" s="31">
        <f>VLOOKUP('AM (2011)'!$C313+1,CPI!$B$50:$I$63,8,FALSE)*'AM (nominal)'!I313</f>
        <v>55.526528522540481</v>
      </c>
      <c r="J313" s="27">
        <f>VLOOKUP('AM (2011)'!$C313+1,CPI!$B$50:$I$63,8,FALSE)*'AM (nominal)'!J313</f>
        <v>13113.319803228889</v>
      </c>
      <c r="K313" s="31">
        <f>VLOOKUP('AM (2011)'!$C313+1,CPI!$B$50:$I$63,8,FALSE)*'AM (nominal)'!K313</f>
        <v>1695.3420818625202</v>
      </c>
      <c r="L313" s="31">
        <f>VLOOKUP('AM (2011)'!$C313+1,CPI!$B$50:$I$63,8,FALSE)*'AM (nominal)'!L313</f>
        <v>537.32097626651148</v>
      </c>
      <c r="M313" s="31">
        <f>VLOOKUP('AM (2011)'!$C313+1,CPI!$B$50:$I$63,8,FALSE)*'AM (nominal)'!M313</f>
        <v>1370.3335938131549</v>
      </c>
      <c r="N313" s="639">
        <f>VLOOKUP('AM (2011)'!$C313+1,CPI!$B$50:$I$63,8,FALSE)*'AM (nominal)'!N313</f>
        <v>3602.9966519421869</v>
      </c>
    </row>
    <row r="314" spans="1:14" s="278" customFormat="1" ht="409.6">
      <c r="A314" s="271">
        <f>References!O278</f>
        <v>473</v>
      </c>
      <c r="B314" s="305" t="s">
        <v>49</v>
      </c>
      <c r="C314" s="284">
        <v>2009</v>
      </c>
      <c r="D314" s="284">
        <v>2014</v>
      </c>
      <c r="E314" s="31">
        <f>VLOOKUP('AM (2011)'!$C314+1,CPI!$B$50:$I$63,8,FALSE)*'AM (nominal)'!E314</f>
        <v>1403.9551615423995</v>
      </c>
      <c r="F314" s="31">
        <f>VLOOKUP('AM (2011)'!$C314+1,CPI!$B$50:$I$63,8,FALSE)*'AM (nominal)'!F314</f>
        <v>1380.5219476705017</v>
      </c>
      <c r="G314" s="31">
        <f>VLOOKUP('AM (2011)'!$C314+1,CPI!$B$50:$I$63,8,FALSE)*'AM (nominal)'!G314</f>
        <v>8942.3181805933546</v>
      </c>
      <c r="H314" s="31">
        <f>VLOOKUP('AM (2011)'!$C314+1,CPI!$B$50:$I$63,8,FALSE)*'AM (nominal)'!H314</f>
        <v>2578.6723612944947</v>
      </c>
      <c r="I314" s="31">
        <f>VLOOKUP('AM (2011)'!$C314+1,CPI!$B$50:$I$63,8,FALSE)*'AM (nominal)'!I314</f>
        <v>57.054781601142508</v>
      </c>
      <c r="J314" s="27">
        <f>VLOOKUP('AM (2011)'!$C314+1,CPI!$B$50:$I$63,8,FALSE)*'AM (nominal)'!J314</f>
        <v>14362.522432701891</v>
      </c>
      <c r="K314" s="31">
        <f>VLOOKUP('AM (2011)'!$C314+1,CPI!$B$50:$I$63,8,FALSE)*'AM (nominal)'!K314</f>
        <v>1736.0954972919078</v>
      </c>
      <c r="L314" s="31">
        <f>VLOOKUP('AM (2011)'!$C314+1,CPI!$B$50:$I$63,8,FALSE)*'AM (nominal)'!L314</f>
        <v>553.22761445393542</v>
      </c>
      <c r="M314" s="31">
        <f>VLOOKUP('AM (2011)'!$C314+1,CPI!$B$50:$I$63,8,FALSE)*'AM (nominal)'!M314</f>
        <v>1407.0116676996038</v>
      </c>
      <c r="N314" s="639">
        <f>VLOOKUP('AM (2011)'!$C314+1,CPI!$B$50:$I$63,8,FALSE)*'AM (nominal)'!N314</f>
        <v>3696.3347794454471</v>
      </c>
    </row>
    <row r="315" spans="1:14" s="278" customFormat="1" ht="409.6">
      <c r="A315" s="271">
        <f>References!P278</f>
        <v>474</v>
      </c>
      <c r="B315" s="305" t="s">
        <v>49</v>
      </c>
      <c r="C315" s="284">
        <v>2010</v>
      </c>
      <c r="D315" s="284">
        <v>2011</v>
      </c>
      <c r="E315" s="31">
        <f>VLOOKUP('AM (2011)'!$C315+1,CPI!$B$50:$I$63,8,FALSE)*'AM (nominal)'!E315</f>
        <v>960</v>
      </c>
      <c r="F315" s="31">
        <f>VLOOKUP('AM (2011)'!$C315+1,CPI!$B$50:$I$63,8,FALSE)*'AM (nominal)'!F315</f>
        <v>85</v>
      </c>
      <c r="G315" s="31">
        <f>VLOOKUP('AM (2011)'!$C315+1,CPI!$B$50:$I$63,8,FALSE)*'AM (nominal)'!G315</f>
        <v>5734</v>
      </c>
      <c r="H315" s="31">
        <f>VLOOKUP('AM (2011)'!$C315+1,CPI!$B$50:$I$63,8,FALSE)*'AM (nominal)'!H315</f>
        <v>1375</v>
      </c>
      <c r="I315" s="31">
        <f>VLOOKUP('AM (2011)'!$C315+1,CPI!$B$50:$I$63,8,FALSE)*'AM (nominal)'!I315</f>
        <v>50</v>
      </c>
      <c r="J315" s="27">
        <f>VLOOKUP('AM (2011)'!$C315+1,CPI!$B$50:$I$63,8,FALSE)*'AM (nominal)'!J315</f>
        <v>8204</v>
      </c>
      <c r="K315" s="31">
        <f>VLOOKUP('AM (2011)'!$C315+1,CPI!$B$50:$I$63,8,FALSE)*'AM (nominal)'!K315</f>
        <v>1579</v>
      </c>
      <c r="L315" s="31">
        <f>VLOOKUP('AM (2011)'!$C315+1,CPI!$B$50:$I$63,8,FALSE)*'AM (nominal)'!L315</f>
        <v>497</v>
      </c>
      <c r="M315" s="31">
        <f>VLOOKUP('AM (2011)'!$C315+1,CPI!$B$50:$I$63,8,FALSE)*'AM (nominal)'!M315</f>
        <v>1359</v>
      </c>
      <c r="N315" s="639">
        <f>VLOOKUP('AM (2011)'!$C315+1,CPI!$B$50:$I$63,8,FALSE)*'AM (nominal)'!N315</f>
        <v>3435</v>
      </c>
    </row>
    <row r="316" spans="1:14" s="278" customFormat="1" ht="409.6">
      <c r="A316" s="271">
        <f>References!Q278</f>
        <v>475</v>
      </c>
      <c r="B316" s="305" t="s">
        <v>49</v>
      </c>
      <c r="C316" s="284">
        <v>2010</v>
      </c>
      <c r="D316" s="284">
        <v>2012</v>
      </c>
      <c r="E316" s="31">
        <f>VLOOKUP('AM (2011)'!$C316+1,CPI!$B$50:$I$63,8,FALSE)*'AM (nominal)'!E316</f>
        <v>535</v>
      </c>
      <c r="F316" s="31">
        <f>VLOOKUP('AM (2011)'!$C316+1,CPI!$B$50:$I$63,8,FALSE)*'AM (nominal)'!F316</f>
        <v>485</v>
      </c>
      <c r="G316" s="31">
        <f>VLOOKUP('AM (2011)'!$C316+1,CPI!$B$50:$I$63,8,FALSE)*'AM (nominal)'!G316</f>
        <v>5665</v>
      </c>
      <c r="H316" s="31">
        <f>VLOOKUP('AM (2011)'!$C316+1,CPI!$B$50:$I$63,8,FALSE)*'AM (nominal)'!H316</f>
        <v>975</v>
      </c>
      <c r="I316" s="31">
        <f>VLOOKUP('AM (2011)'!$C316+1,CPI!$B$50:$I$63,8,FALSE)*'AM (nominal)'!I316</f>
        <v>50</v>
      </c>
      <c r="J316" s="27">
        <f>VLOOKUP('AM (2011)'!$C316+1,CPI!$B$50:$I$63,8,FALSE)*'AM (nominal)'!J316</f>
        <v>7710</v>
      </c>
      <c r="K316" s="31">
        <f>VLOOKUP('AM (2011)'!$C316+1,CPI!$B$50:$I$63,8,FALSE)*'AM (nominal)'!K316</f>
        <v>1612</v>
      </c>
      <c r="L316" s="31">
        <f>VLOOKUP('AM (2011)'!$C316+1,CPI!$B$50:$I$63,8,FALSE)*'AM (nominal)'!L316</f>
        <v>511</v>
      </c>
      <c r="M316" s="31">
        <f>VLOOKUP('AM (2011)'!$C316+1,CPI!$B$50:$I$63,8,FALSE)*'AM (nominal)'!M316</f>
        <v>1397</v>
      </c>
      <c r="N316" s="639">
        <f>VLOOKUP('AM (2011)'!$C316+1,CPI!$B$50:$I$63,8,FALSE)*'AM (nominal)'!N316</f>
        <v>3520</v>
      </c>
    </row>
    <row r="317" spans="1:14" s="278" customFormat="1" ht="409.6">
      <c r="A317" s="271">
        <f>References!R278</f>
        <v>476</v>
      </c>
      <c r="B317" s="305" t="s">
        <v>49</v>
      </c>
      <c r="C317" s="284">
        <v>2010</v>
      </c>
      <c r="D317" s="284">
        <v>2013</v>
      </c>
      <c r="E317" s="31">
        <f>VLOOKUP('AM (2011)'!$C317+1,CPI!$B$50:$I$63,8,FALSE)*'AM (nominal)'!E317</f>
        <v>835</v>
      </c>
      <c r="F317" s="31">
        <f>VLOOKUP('AM (2011)'!$C317+1,CPI!$B$50:$I$63,8,FALSE)*'AM (nominal)'!F317</f>
        <v>470</v>
      </c>
      <c r="G317" s="31">
        <f>VLOOKUP('AM (2011)'!$C317+1,CPI!$B$50:$I$63,8,FALSE)*'AM (nominal)'!G317</f>
        <v>5374</v>
      </c>
      <c r="H317" s="31">
        <f>VLOOKUP('AM (2011)'!$C317+1,CPI!$B$50:$I$63,8,FALSE)*'AM (nominal)'!H317</f>
        <v>1332</v>
      </c>
      <c r="I317" s="31">
        <f>VLOOKUP('AM (2011)'!$C317+1,CPI!$B$50:$I$63,8,FALSE)*'AM (nominal)'!I317</f>
        <v>50</v>
      </c>
      <c r="J317" s="27">
        <f>VLOOKUP('AM (2011)'!$C317+1,CPI!$B$50:$I$63,8,FALSE)*'AM (nominal)'!J317</f>
        <v>8061</v>
      </c>
      <c r="K317" s="31">
        <f>VLOOKUP('AM (2011)'!$C317+1,CPI!$B$50:$I$63,8,FALSE)*'AM (nominal)'!K317</f>
        <v>1647</v>
      </c>
      <c r="L317" s="31">
        <f>VLOOKUP('AM (2011)'!$C317+1,CPI!$B$50:$I$63,8,FALSE)*'AM (nominal)'!L317</f>
        <v>527</v>
      </c>
      <c r="M317" s="31">
        <f>VLOOKUP('AM (2011)'!$C317+1,CPI!$B$50:$I$63,8,FALSE)*'AM (nominal)'!M317</f>
        <v>1435</v>
      </c>
      <c r="N317" s="639">
        <f>VLOOKUP('AM (2011)'!$C317+1,CPI!$B$50:$I$63,8,FALSE)*'AM (nominal)'!N317</f>
        <v>3609</v>
      </c>
    </row>
    <row r="318" spans="1:14" s="278" customFormat="1" ht="409.6">
      <c r="A318" s="271">
        <f>References!S278</f>
        <v>477</v>
      </c>
      <c r="B318" s="305" t="s">
        <v>49</v>
      </c>
      <c r="C318" s="284">
        <v>2010</v>
      </c>
      <c r="D318" s="284">
        <v>2014</v>
      </c>
      <c r="E318" s="31">
        <f>VLOOKUP('AM (2011)'!$C318+1,CPI!$B$50:$I$63,8,FALSE)*'AM (nominal)'!E318</f>
        <v>835</v>
      </c>
      <c r="F318" s="31">
        <f>VLOOKUP('AM (2011)'!$C318+1,CPI!$B$50:$I$63,8,FALSE)*'AM (nominal)'!F318</f>
        <v>520</v>
      </c>
      <c r="G318" s="31">
        <f>VLOOKUP('AM (2011)'!$C318+1,CPI!$B$50:$I$63,8,FALSE)*'AM (nominal)'!G318</f>
        <v>5523</v>
      </c>
      <c r="H318" s="31">
        <f>VLOOKUP('AM (2011)'!$C318+1,CPI!$B$50:$I$63,8,FALSE)*'AM (nominal)'!H318</f>
        <v>1570</v>
      </c>
      <c r="I318" s="31">
        <f>VLOOKUP('AM (2011)'!$C318+1,CPI!$B$50:$I$63,8,FALSE)*'AM (nominal)'!I318</f>
        <v>50</v>
      </c>
      <c r="J318" s="27">
        <f>VLOOKUP('AM (2011)'!$C318+1,CPI!$B$50:$I$63,8,FALSE)*'AM (nominal)'!J318</f>
        <v>8498</v>
      </c>
      <c r="K318" s="31">
        <f>VLOOKUP('AM (2011)'!$C318+1,CPI!$B$50:$I$63,8,FALSE)*'AM (nominal)'!K318</f>
        <v>1675</v>
      </c>
      <c r="L318" s="31">
        <f>VLOOKUP('AM (2011)'!$C318+1,CPI!$B$50:$I$63,8,FALSE)*'AM (nominal)'!L318</f>
        <v>534</v>
      </c>
      <c r="M318" s="31">
        <f>VLOOKUP('AM (2011)'!$C318+1,CPI!$B$50:$I$63,8,FALSE)*'AM (nominal)'!M318</f>
        <v>1469</v>
      </c>
      <c r="N318" s="639">
        <f>VLOOKUP('AM (2011)'!$C318+1,CPI!$B$50:$I$63,8,FALSE)*'AM (nominal)'!N318</f>
        <v>3678</v>
      </c>
    </row>
    <row r="319" spans="1:14" s="278" customFormat="1" ht="409.6">
      <c r="A319" s="271">
        <f>References!T278</f>
        <v>478</v>
      </c>
      <c r="B319" s="305" t="s">
        <v>49</v>
      </c>
      <c r="C319" s="284">
        <v>2010</v>
      </c>
      <c r="D319" s="284">
        <v>2015</v>
      </c>
      <c r="E319" s="31">
        <f>VLOOKUP('AM (2011)'!$C319+1,CPI!$B$50:$I$63,8,FALSE)*'AM (nominal)'!E319</f>
        <v>785</v>
      </c>
      <c r="F319" s="31">
        <f>VLOOKUP('AM (2011)'!$C319+1,CPI!$B$50:$I$63,8,FALSE)*'AM (nominal)'!F319</f>
        <v>385</v>
      </c>
      <c r="G319" s="31">
        <f>VLOOKUP('AM (2011)'!$C319+1,CPI!$B$50:$I$63,8,FALSE)*'AM (nominal)'!G319</f>
        <v>5284</v>
      </c>
      <c r="H319" s="31">
        <f>VLOOKUP('AM (2011)'!$C319+1,CPI!$B$50:$I$63,8,FALSE)*'AM (nominal)'!H319</f>
        <v>1285</v>
      </c>
      <c r="I319" s="31">
        <f>VLOOKUP('AM (2011)'!$C319+1,CPI!$B$50:$I$63,8,FALSE)*'AM (nominal)'!I319</f>
        <v>50</v>
      </c>
      <c r="J319" s="27">
        <f>VLOOKUP('AM (2011)'!$C319+1,CPI!$B$50:$I$63,8,FALSE)*'AM (nominal)'!J319</f>
        <v>7789</v>
      </c>
      <c r="K319" s="31">
        <f>VLOOKUP('AM (2011)'!$C319+1,CPI!$B$50:$I$63,8,FALSE)*'AM (nominal)'!K319</f>
        <v>1710</v>
      </c>
      <c r="L319" s="31">
        <f>VLOOKUP('AM (2011)'!$C319+1,CPI!$B$50:$I$63,8,FALSE)*'AM (nominal)'!L319</f>
        <v>551</v>
      </c>
      <c r="M319" s="31">
        <f>VLOOKUP('AM (2011)'!$C319+1,CPI!$B$50:$I$63,8,FALSE)*'AM (nominal)'!M319</f>
        <v>1508</v>
      </c>
      <c r="N319" s="639">
        <f>VLOOKUP('AM (2011)'!$C319+1,CPI!$B$50:$I$63,8,FALSE)*'AM (nominal)'!N319</f>
        <v>3769</v>
      </c>
    </row>
    <row r="320" spans="1:14" s="278" customFormat="1" ht="409.6">
      <c r="A320" s="271">
        <f>References!U278</f>
        <v>479</v>
      </c>
      <c r="B320" s="305" t="s">
        <v>49</v>
      </c>
      <c r="C320" s="284">
        <v>2011</v>
      </c>
      <c r="D320" s="284">
        <v>2012</v>
      </c>
      <c r="E320" s="31">
        <f>VLOOKUP('AM (2011)'!$C320+1,CPI!$B$50:$I$63,8,FALSE)*'AM (nominal)'!E320</f>
        <v>3064.8829993535874</v>
      </c>
      <c r="F320" s="31">
        <f>VLOOKUP('AM (2011)'!$C320+1,CPI!$B$50:$I$63,8,FALSE)*'AM (nominal)'!F320</f>
        <v>425.27084680025854</v>
      </c>
      <c r="G320" s="31">
        <f>VLOOKUP('AM (2011)'!$C320+1,CPI!$B$50:$I$63,8,FALSE)*'AM (nominal)'!G320</f>
        <v>5769.0190045248864</v>
      </c>
      <c r="H320" s="31">
        <f>VLOOKUP('AM (2011)'!$C320+1,CPI!$B$50:$I$63,8,FALSE)*'AM (nominal)'!H320</f>
        <v>1270.9243697478992</v>
      </c>
      <c r="I320" s="31">
        <f>VLOOKUP('AM (2011)'!$C320+1,CPI!$B$50:$I$63,8,FALSE)*'AM (nominal)'!I320</f>
        <v>48.881706528765349</v>
      </c>
      <c r="J320" s="27">
        <f>VLOOKUP('AM (2011)'!$C320+1,CPI!$B$50:$I$63,8,FALSE)*'AM (nominal)'!J320</f>
        <v>10578.978926955397</v>
      </c>
      <c r="K320" s="31">
        <f>VLOOKUP('AM (2011)'!$C320+1,CPI!$B$50:$I$63,8,FALSE)*'AM (nominal)'!K320</f>
        <v>1493.8249515190691</v>
      </c>
      <c r="L320" s="31">
        <f>VLOOKUP('AM (2011)'!$C320+1,CPI!$B$50:$I$63,8,FALSE)*'AM (nominal)'!L320</f>
        <v>483.92889463477695</v>
      </c>
      <c r="M320" s="31">
        <f>VLOOKUP('AM (2011)'!$C320+1,CPI!$B$50:$I$63,8,FALSE)*'AM (nominal)'!M320</f>
        <v>1267.0138332255979</v>
      </c>
      <c r="N320" s="639">
        <f>VLOOKUP('AM (2011)'!$C320+1,CPI!$B$50:$I$63,8,FALSE)*'AM (nominal)'!N320</f>
        <v>3244.767679379444</v>
      </c>
    </row>
    <row r="321" spans="1:14" s="278" customFormat="1" ht="409.6">
      <c r="A321" s="271">
        <f>References!V278</f>
        <v>480</v>
      </c>
      <c r="B321" s="305" t="s">
        <v>49</v>
      </c>
      <c r="C321" s="284">
        <v>2011</v>
      </c>
      <c r="D321" s="284">
        <v>2013</v>
      </c>
      <c r="E321" s="31">
        <f>VLOOKUP('AM (2011)'!$C321+1,CPI!$B$50:$I$63,8,FALSE)*'AM (nominal)'!E321</f>
        <v>2230.9610859728505</v>
      </c>
      <c r="F321" s="31">
        <f>VLOOKUP('AM (2011)'!$C321+1,CPI!$B$50:$I$63,8,FALSE)*'AM (nominal)'!F321</f>
        <v>166.19780219780219</v>
      </c>
      <c r="G321" s="31">
        <f>VLOOKUP('AM (2011)'!$C321+1,CPI!$B$50:$I$63,8,FALSE)*'AM (nominal)'!G321</f>
        <v>5428.8023270846797</v>
      </c>
      <c r="H321" s="31">
        <f>VLOOKUP('AM (2011)'!$C321+1,CPI!$B$50:$I$63,8,FALSE)*'AM (nominal)'!H321</f>
        <v>2094.0923076923077</v>
      </c>
      <c r="I321" s="31">
        <f>VLOOKUP('AM (2011)'!$C321+1,CPI!$B$50:$I$63,8,FALSE)*'AM (nominal)'!I321</f>
        <v>48.881706528765349</v>
      </c>
      <c r="J321" s="27">
        <f>VLOOKUP('AM (2011)'!$C321+1,CPI!$B$50:$I$63,8,FALSE)*'AM (nominal)'!J321</f>
        <v>9968.9352294764049</v>
      </c>
      <c r="K321" s="31">
        <f>VLOOKUP('AM (2011)'!$C321+1,CPI!$B$50:$I$63,8,FALSE)*'AM (nominal)'!K321</f>
        <v>1477.2051712992888</v>
      </c>
      <c r="L321" s="31">
        <f>VLOOKUP('AM (2011)'!$C321+1,CPI!$B$50:$I$63,8,FALSE)*'AM (nominal)'!L321</f>
        <v>480.99599224305103</v>
      </c>
      <c r="M321" s="31">
        <f>VLOOKUP('AM (2011)'!$C321+1,CPI!$B$50:$I$63,8,FALSE)*'AM (nominal)'!M321</f>
        <v>1265.0585649644472</v>
      </c>
      <c r="N321" s="639">
        <f>VLOOKUP('AM (2011)'!$C321+1,CPI!$B$50:$I$63,8,FALSE)*'AM (nominal)'!N321</f>
        <v>3223.2597285067873</v>
      </c>
    </row>
    <row r="322" spans="1:14" s="278" customFormat="1" ht="409.6">
      <c r="A322" s="271">
        <f>References!W278</f>
        <v>481</v>
      </c>
      <c r="B322" s="305" t="s">
        <v>49</v>
      </c>
      <c r="C322" s="284">
        <v>2011</v>
      </c>
      <c r="D322" s="284">
        <v>2014</v>
      </c>
      <c r="E322" s="31">
        <f>VLOOKUP('AM (2011)'!$C322+1,CPI!$B$50:$I$63,8,FALSE)*'AM (nominal)'!E322</f>
        <v>816.32449903038139</v>
      </c>
      <c r="F322" s="31">
        <f>VLOOKUP('AM (2011)'!$C322+1,CPI!$B$50:$I$63,8,FALSE)*'AM (nominal)'!F322</f>
        <v>459.48804137039428</v>
      </c>
      <c r="G322" s="31">
        <f>VLOOKUP('AM (2011)'!$C322+1,CPI!$B$50:$I$63,8,FALSE)*'AM (nominal)'!G322</f>
        <v>5395.5627666451192</v>
      </c>
      <c r="H322" s="31">
        <f>VLOOKUP('AM (2011)'!$C322+1,CPI!$B$50:$I$63,8,FALSE)*'AM (nominal)'!H322</f>
        <v>1344.2469295410472</v>
      </c>
      <c r="I322" s="31">
        <f>VLOOKUP('AM (2011)'!$C322+1,CPI!$B$50:$I$63,8,FALSE)*'AM (nominal)'!I322</f>
        <v>48.881706528765349</v>
      </c>
      <c r="J322" s="27">
        <f>VLOOKUP('AM (2011)'!$C322+1,CPI!$B$50:$I$63,8,FALSE)*'AM (nominal)'!J322</f>
        <v>8064.5039431157074</v>
      </c>
      <c r="K322" s="31">
        <f>VLOOKUP('AM (2011)'!$C322+1,CPI!$B$50:$I$63,8,FALSE)*'AM (nominal)'!K322</f>
        <v>1463.5182934712345</v>
      </c>
      <c r="L322" s="31">
        <f>VLOOKUP('AM (2011)'!$C322+1,CPI!$B$50:$I$63,8,FALSE)*'AM (nominal)'!L322</f>
        <v>474.15255332902387</v>
      </c>
      <c r="M322" s="31">
        <f>VLOOKUP('AM (2011)'!$C322+1,CPI!$B$50:$I$63,8,FALSE)*'AM (nominal)'!M322</f>
        <v>1261.1480284421461</v>
      </c>
      <c r="N322" s="639">
        <f>VLOOKUP('AM (2011)'!$C322+1,CPI!$B$50:$I$63,8,FALSE)*'AM (nominal)'!N322</f>
        <v>3198.8188752424044</v>
      </c>
    </row>
    <row r="323" spans="1:14" s="278" customFormat="1" ht="409.6">
      <c r="A323" s="271">
        <f>References!X278</f>
        <v>482</v>
      </c>
      <c r="B323" s="305" t="s">
        <v>49</v>
      </c>
      <c r="C323" s="284">
        <v>2011</v>
      </c>
      <c r="D323" s="284">
        <v>2015</v>
      </c>
      <c r="E323" s="31">
        <f>VLOOKUP('AM (2011)'!$C323+1,CPI!$B$50:$I$63,8,FALSE)*'AM (nominal)'!E323</f>
        <v>1060.7330316742082</v>
      </c>
      <c r="F323" s="31">
        <f>VLOOKUP('AM (2011)'!$C323+1,CPI!$B$50:$I$63,8,FALSE)*'AM (nominal)'!F323</f>
        <v>914.08791208791206</v>
      </c>
      <c r="G323" s="31">
        <f>VLOOKUP('AM (2011)'!$C323+1,CPI!$B$50:$I$63,8,FALSE)*'AM (nominal)'!G323</f>
        <v>5496.259082094376</v>
      </c>
      <c r="H323" s="31">
        <f>VLOOKUP('AM (2011)'!$C323+1,CPI!$B$50:$I$63,8,FALSE)*'AM (nominal)'!H323</f>
        <v>1534.8855850032321</v>
      </c>
      <c r="I323" s="31">
        <f>VLOOKUP('AM (2011)'!$C323+1,CPI!$B$50:$I$63,8,FALSE)*'AM (nominal)'!I323</f>
        <v>48.881706528765349</v>
      </c>
      <c r="J323" s="27">
        <f>VLOOKUP('AM (2011)'!$C323+1,CPI!$B$50:$I$63,8,FALSE)*'AM (nominal)'!J323</f>
        <v>9054.847317388494</v>
      </c>
      <c r="K323" s="31">
        <f>VLOOKUP('AM (2011)'!$C323+1,CPI!$B$50:$I$63,8,FALSE)*'AM (nominal)'!K323</f>
        <v>1454.7195862960568</v>
      </c>
      <c r="L323" s="31">
        <f>VLOOKUP('AM (2011)'!$C323+1,CPI!$B$50:$I$63,8,FALSE)*'AM (nominal)'!L323</f>
        <v>476.10782159017452</v>
      </c>
      <c r="M323" s="31">
        <f>VLOOKUP('AM (2011)'!$C323+1,CPI!$B$50:$I$63,8,FALSE)*'AM (nominal)'!M323</f>
        <v>1261.1480284421461</v>
      </c>
      <c r="N323" s="639">
        <f>VLOOKUP('AM (2011)'!$C323+1,CPI!$B$50:$I$63,8,FALSE)*'AM (nominal)'!N323</f>
        <v>3191.9754363283773</v>
      </c>
    </row>
    <row r="324" spans="1:14" s="278" customFormat="1" ht="409.6">
      <c r="A324" s="271">
        <f>References!Y278</f>
        <v>483</v>
      </c>
      <c r="B324" s="305" t="s">
        <v>49</v>
      </c>
      <c r="C324" s="284">
        <v>2011</v>
      </c>
      <c r="D324" s="284">
        <v>2016</v>
      </c>
      <c r="E324" s="31">
        <f>VLOOKUP('AM (2011)'!$C324+1,CPI!$B$50:$I$63,8,FALSE)*'AM (nominal)'!E324</f>
        <v>523.03425985778927</v>
      </c>
      <c r="F324" s="31">
        <f>VLOOKUP('AM (2011)'!$C324+1,CPI!$B$50:$I$63,8,FALSE)*'AM (nominal)'!F324</f>
        <v>195.5268261150614</v>
      </c>
      <c r="G324" s="31">
        <f>VLOOKUP('AM (2011)'!$C324+1,CPI!$B$50:$I$63,8,FALSE)*'AM (nominal)'!G324</f>
        <v>5174.6174531350998</v>
      </c>
      <c r="H324" s="31">
        <f>VLOOKUP('AM (2011)'!$C324+1,CPI!$B$50:$I$63,8,FALSE)*'AM (nominal)'!H324</f>
        <v>1608.2081447963801</v>
      </c>
      <c r="I324" s="31">
        <f>VLOOKUP('AM (2011)'!$C324+1,CPI!$B$50:$I$63,8,FALSE)*'AM (nominal)'!I324</f>
        <v>48.881706528765349</v>
      </c>
      <c r="J324" s="27">
        <f>VLOOKUP('AM (2011)'!$C324+1,CPI!$B$50:$I$63,8,FALSE)*'AM (nominal)'!J324</f>
        <v>7550.2683904330961</v>
      </c>
      <c r="K324" s="31">
        <f>VLOOKUP('AM (2011)'!$C324+1,CPI!$B$50:$I$63,8,FALSE)*'AM (nominal)'!K324</f>
        <v>1445.9208791208791</v>
      </c>
      <c r="L324" s="31">
        <f>VLOOKUP('AM (2011)'!$C324+1,CPI!$B$50:$I$63,8,FALSE)*'AM (nominal)'!L324</f>
        <v>474.15255332902387</v>
      </c>
      <c r="M324" s="31">
        <f>VLOOKUP('AM (2011)'!$C324+1,CPI!$B$50:$I$63,8,FALSE)*'AM (nominal)'!M324</f>
        <v>1261.1480284421461</v>
      </c>
      <c r="N324" s="639">
        <f>VLOOKUP('AM (2011)'!$C324+1,CPI!$B$50:$I$63,8,FALSE)*'AM (nominal)'!N324</f>
        <v>3181.221460892049</v>
      </c>
    </row>
    <row r="325" spans="1:14" s="278" customFormat="1" ht="409.6">
      <c r="A325" s="271">
        <f>References!K279</f>
        <v>492</v>
      </c>
      <c r="B325" s="305" t="s">
        <v>50</v>
      </c>
      <c r="C325" s="284">
        <v>2009</v>
      </c>
      <c r="D325" s="284">
        <v>2010</v>
      </c>
      <c r="E325" s="31">
        <f>VLOOKUP('AM (2011)'!$C325+1,CPI!$B$50:$I$63,8,FALSE)*'AM (nominal)'!E325</f>
        <v>5400.8463797795794</v>
      </c>
      <c r="F325" s="31">
        <f>VLOOKUP('AM (2011)'!$C325+1,CPI!$B$50:$I$63,8,FALSE)*'AM (nominal)'!F325</f>
        <v>7273.4658187599352</v>
      </c>
      <c r="G325" s="31">
        <f>VLOOKUP('AM (2011)'!$C325+1,CPI!$B$50:$I$63,8,FALSE)*'AM (nominal)'!G325</f>
        <v>5923.5089326614743</v>
      </c>
      <c r="H325" s="31">
        <f>VLOOKUP('AM (2011)'!$C325+1,CPI!$B$50:$I$63,8,FALSE)*'AM (nominal)'!H325</f>
        <v>178.29619250357035</v>
      </c>
      <c r="I325" s="31">
        <f>VLOOKUP('AM (2011)'!$C325+1,CPI!$B$50:$I$63,8,FALSE)*'AM (nominal)'!I325</f>
        <v>59.092452372611888</v>
      </c>
      <c r="J325" s="27">
        <f>VLOOKUP('AM (2011)'!$C325+1,CPI!$B$50:$I$63,8,FALSE)*'AM (nominal)'!J325</f>
        <v>18835.209776077172</v>
      </c>
      <c r="K325" s="31">
        <f>VLOOKUP('AM (2011)'!$C325+1,CPI!$B$50:$I$63,8,FALSE)*'AM (nominal)'!K325</f>
        <v>3264.3485758939391</v>
      </c>
      <c r="L325" s="31">
        <f>VLOOKUP('AM (2011)'!$C325+1,CPI!$B$50:$I$63,8,FALSE)*'AM (nominal)'!L325</f>
        <v>1219.5459567244211</v>
      </c>
      <c r="M325" s="31">
        <f>VLOOKUP('AM (2011)'!$C325+1,CPI!$B$50:$I$63,8,FALSE)*'AM (nominal)'!M325</f>
        <v>2768.1757430411462</v>
      </c>
      <c r="N325" s="639">
        <f>VLOOKUP('AM (2011)'!$C325+1,CPI!$B$50:$I$63,8,FALSE)*'AM (nominal)'!N325</f>
        <v>7252.0702756595065</v>
      </c>
    </row>
    <row r="326" spans="1:14" s="278" customFormat="1" ht="409.6">
      <c r="A326" s="271">
        <f>References!L279</f>
        <v>493</v>
      </c>
      <c r="B326" s="305" t="s">
        <v>50</v>
      </c>
      <c r="C326" s="284">
        <v>2009</v>
      </c>
      <c r="D326" s="284">
        <v>2011</v>
      </c>
      <c r="E326" s="31">
        <f>VLOOKUP('AM (2011)'!$C326+1,CPI!$B$50:$I$63,8,FALSE)*'AM (nominal)'!E326</f>
        <v>3976.514510522486</v>
      </c>
      <c r="F326" s="31">
        <f>VLOOKUP('AM (2011)'!$C326+1,CPI!$B$50:$I$63,8,FALSE)*'AM (nominal)'!F326</f>
        <v>6065.1270512785959</v>
      </c>
      <c r="G326" s="31">
        <f>VLOOKUP('AM (2011)'!$C326+1,CPI!$B$50:$I$63,8,FALSE)*'AM (nominal)'!G326</f>
        <v>7774.7328285414014</v>
      </c>
      <c r="H326" s="31">
        <f>VLOOKUP('AM (2011)'!$C326+1,CPI!$B$50:$I$63,8,FALSE)*'AM (nominal)'!H326</f>
        <v>729.48613618603633</v>
      </c>
      <c r="I326" s="31">
        <f>VLOOKUP('AM (2011)'!$C326+1,CPI!$B$50:$I$63,8,FALSE)*'AM (nominal)'!I326</f>
        <v>29.546226186305944</v>
      </c>
      <c r="J326" s="27">
        <f>VLOOKUP('AM (2011)'!$C326+1,CPI!$B$50:$I$63,8,FALSE)*'AM (nominal)'!J326</f>
        <v>18575.406752714825</v>
      </c>
      <c r="K326" s="31">
        <f>VLOOKUP('AM (2011)'!$C326+1,CPI!$B$50:$I$63,8,FALSE)*'AM (nominal)'!K326</f>
        <v>2943.4154293875126</v>
      </c>
      <c r="L326" s="31">
        <f>VLOOKUP('AM (2011)'!$C326+1,CPI!$B$50:$I$63,8,FALSE)*'AM (nominal)'!L326</f>
        <v>1239.9226644391149</v>
      </c>
      <c r="M326" s="31">
        <f>VLOOKUP('AM (2011)'!$C326+1,CPI!$B$50:$I$63,8,FALSE)*'AM (nominal)'!M326</f>
        <v>2814.0233353992076</v>
      </c>
      <c r="N326" s="639">
        <f>VLOOKUP('AM (2011)'!$C326+1,CPI!$B$50:$I$63,8,FALSE)*'AM (nominal)'!N326</f>
        <v>6997.3614292258353</v>
      </c>
    </row>
    <row r="327" spans="1:14" s="278" customFormat="1" ht="409.6">
      <c r="A327" s="271">
        <f>References!M279</f>
        <v>494</v>
      </c>
      <c r="B327" s="305" t="s">
        <v>50</v>
      </c>
      <c r="C327" s="284">
        <v>2009</v>
      </c>
      <c r="D327" s="284">
        <v>2012</v>
      </c>
      <c r="E327" s="31">
        <f>VLOOKUP('AM (2011)'!$C327+1,CPI!$B$50:$I$63,8,FALSE)*'AM (nominal)'!E327</f>
        <v>3382.5334806391629</v>
      </c>
      <c r="F327" s="31">
        <f>VLOOKUP('AM (2011)'!$C327+1,CPI!$B$50:$I$63,8,FALSE)*'AM (nominal)'!F327</f>
        <v>8869.9808682061903</v>
      </c>
      <c r="G327" s="31">
        <f>VLOOKUP('AM (2011)'!$C327+1,CPI!$B$50:$I$63,8,FALSE)*'AM (nominal)'!G327</f>
        <v>7881.7105440435444</v>
      </c>
      <c r="H327" s="31">
        <f>VLOOKUP('AM (2011)'!$C327+1,CPI!$B$50:$I$63,8,FALSE)*'AM (nominal)'!H327</f>
        <v>997.43984263425921</v>
      </c>
      <c r="I327" s="31">
        <f>VLOOKUP('AM (2011)'!$C327+1,CPI!$B$50:$I$63,8,FALSE)*'AM (nominal)'!I327</f>
        <v>11.207189243081565</v>
      </c>
      <c r="J327" s="27">
        <f>VLOOKUP('AM (2011)'!$C327+1,CPI!$B$50:$I$63,8,FALSE)*'AM (nominal)'!J327</f>
        <v>21142.871924766237</v>
      </c>
      <c r="K327" s="31">
        <f>VLOOKUP('AM (2011)'!$C327+1,CPI!$B$50:$I$63,8,FALSE)*'AM (nominal)'!K327</f>
        <v>2681.5747352536978</v>
      </c>
      <c r="L327" s="31">
        <f>VLOOKUP('AM (2011)'!$C327+1,CPI!$B$50:$I$63,8,FALSE)*'AM (nominal)'!L327</f>
        <v>1258.2617013823392</v>
      </c>
      <c r="M327" s="31">
        <f>VLOOKUP('AM (2011)'!$C327+1,CPI!$B$50:$I$63,8,FALSE)*'AM (nominal)'!M327</f>
        <v>2853.7579154428604</v>
      </c>
      <c r="N327" s="639">
        <f>VLOOKUP('AM (2011)'!$C327+1,CPI!$B$50:$I$63,8,FALSE)*'AM (nominal)'!N327</f>
        <v>6793.5943520788978</v>
      </c>
    </row>
    <row r="328" spans="1:14" s="278" customFormat="1" ht="409.6">
      <c r="A328" s="271">
        <f>References!N279</f>
        <v>495</v>
      </c>
      <c r="B328" s="305" t="s">
        <v>50</v>
      </c>
      <c r="C328" s="284">
        <v>2009</v>
      </c>
      <c r="D328" s="284">
        <v>2013</v>
      </c>
      <c r="E328" s="31">
        <f>VLOOKUP('AM (2011)'!$C328+1,CPI!$B$50:$I$63,8,FALSE)*'AM (nominal)'!E328</f>
        <v>3382.5334806391629</v>
      </c>
      <c r="F328" s="31">
        <f>VLOOKUP('AM (2011)'!$C328+1,CPI!$B$50:$I$63,8,FALSE)*'AM (nominal)'!F328</f>
        <v>5887.84969416076</v>
      </c>
      <c r="G328" s="31">
        <f>VLOOKUP('AM (2011)'!$C328+1,CPI!$B$50:$I$63,8,FALSE)*'AM (nominal)'!G328</f>
        <v>8653.9877664304367</v>
      </c>
      <c r="H328" s="31">
        <f>VLOOKUP('AM (2011)'!$C328+1,CPI!$B$50:$I$63,8,FALSE)*'AM (nominal)'!H328</f>
        <v>521.64371749616009</v>
      </c>
      <c r="I328" s="31">
        <f>VLOOKUP('AM (2011)'!$C328+1,CPI!$B$50:$I$63,8,FALSE)*'AM (nominal)'!I328</f>
        <v>0</v>
      </c>
      <c r="J328" s="27">
        <f>VLOOKUP('AM (2011)'!$C328+1,CPI!$B$50:$I$63,8,FALSE)*'AM (nominal)'!J328</f>
        <v>18446.014658726519</v>
      </c>
      <c r="K328" s="31">
        <f>VLOOKUP('AM (2011)'!$C328+1,CPI!$B$50:$I$63,8,FALSE)*'AM (nominal)'!K328</f>
        <v>2681.5747352536978</v>
      </c>
      <c r="L328" s="31">
        <f>VLOOKUP('AM (2011)'!$C328+1,CPI!$B$50:$I$63,8,FALSE)*'AM (nominal)'!L328</f>
        <v>1258.2617013823392</v>
      </c>
      <c r="M328" s="31">
        <f>VLOOKUP('AM (2011)'!$C328+1,CPI!$B$50:$I$63,8,FALSE)*'AM (nominal)'!M328</f>
        <v>2853.7579154428604</v>
      </c>
      <c r="N328" s="639">
        <f>VLOOKUP('AM (2011)'!$C328+1,CPI!$B$50:$I$63,8,FALSE)*'AM (nominal)'!N328</f>
        <v>6793.5943520788978</v>
      </c>
    </row>
    <row r="329" spans="1:14" s="278" customFormat="1" ht="409.6">
      <c r="A329" s="271">
        <f>References!O279</f>
        <v>496</v>
      </c>
      <c r="B329" s="305" t="s">
        <v>50</v>
      </c>
      <c r="C329" s="284">
        <v>2009</v>
      </c>
      <c r="D329" s="284">
        <v>2014</v>
      </c>
      <c r="E329" s="31">
        <f>VLOOKUP('AM (2011)'!$C329+1,CPI!$B$50:$I$63,8,FALSE)*'AM (nominal)'!E329</f>
        <v>2789.571286141575</v>
      </c>
      <c r="F329" s="31">
        <f>VLOOKUP('AM (2011)'!$C329+1,CPI!$B$50:$I$63,8,FALSE)*'AM (nominal)'!F329</f>
        <v>4308.6548462719938</v>
      </c>
      <c r="G329" s="31">
        <f>VLOOKUP('AM (2011)'!$C329+1,CPI!$B$50:$I$63,8,FALSE)*'AM (nominal)'!G329</f>
        <v>7941.8218318018908</v>
      </c>
      <c r="H329" s="31">
        <f>VLOOKUP('AM (2011)'!$C329+1,CPI!$B$50:$I$63,8,FALSE)*'AM (nominal)'!H329</f>
        <v>521.64371749616009</v>
      </c>
      <c r="I329" s="31">
        <f>VLOOKUP('AM (2011)'!$C329+1,CPI!$B$50:$I$63,8,FALSE)*'AM (nominal)'!I329</f>
        <v>0</v>
      </c>
      <c r="J329" s="27">
        <f>VLOOKUP('AM (2011)'!$C329+1,CPI!$B$50:$I$63,8,FALSE)*'AM (nominal)'!J329</f>
        <v>15561.69168171162</v>
      </c>
      <c r="K329" s="31">
        <f>VLOOKUP('AM (2011)'!$C329+1,CPI!$B$50:$I$63,8,FALSE)*'AM (nominal)'!K329</f>
        <v>2681.5747352536978</v>
      </c>
      <c r="L329" s="31">
        <f>VLOOKUP('AM (2011)'!$C329+1,CPI!$B$50:$I$63,8,FALSE)*'AM (nominal)'!L329</f>
        <v>1258.2617013823392</v>
      </c>
      <c r="M329" s="31">
        <f>VLOOKUP('AM (2011)'!$C329+1,CPI!$B$50:$I$63,8,FALSE)*'AM (nominal)'!M329</f>
        <v>2853.7579154428604</v>
      </c>
      <c r="N329" s="639">
        <f>VLOOKUP('AM (2011)'!$C329+1,CPI!$B$50:$I$63,8,FALSE)*'AM (nominal)'!N329</f>
        <v>6793.5943520788978</v>
      </c>
    </row>
    <row r="330" spans="1:14" s="278" customFormat="1" ht="409.6">
      <c r="A330" s="271">
        <f>References!P279</f>
        <v>497</v>
      </c>
      <c r="B330" s="305" t="s">
        <v>50</v>
      </c>
      <c r="C330" s="284">
        <v>2010</v>
      </c>
      <c r="D330" s="284">
        <v>2011</v>
      </c>
      <c r="E330" s="31">
        <f>VLOOKUP('AM (2011)'!$C330+1,CPI!$B$50:$I$63,8,FALSE)*'AM (nominal)'!E330</f>
        <v>4677</v>
      </c>
      <c r="F330" s="31">
        <f>VLOOKUP('AM (2011)'!$C330+1,CPI!$B$50:$I$63,8,FALSE)*'AM (nominal)'!F330</f>
        <v>6227</v>
      </c>
      <c r="G330" s="31">
        <f>VLOOKUP('AM (2011)'!$C330+1,CPI!$B$50:$I$63,8,FALSE)*'AM (nominal)'!G330</f>
        <v>7101</v>
      </c>
      <c r="H330" s="31">
        <f>VLOOKUP('AM (2011)'!$C330+1,CPI!$B$50:$I$63,8,FALSE)*'AM (nominal)'!H330</f>
        <v>274</v>
      </c>
      <c r="I330" s="31">
        <f>VLOOKUP('AM (2011)'!$C330+1,CPI!$B$50:$I$63,8,FALSE)*'AM (nominal)'!I330</f>
        <v>105</v>
      </c>
      <c r="J330" s="27">
        <f>VLOOKUP('AM (2011)'!$C330+1,CPI!$B$50:$I$63,8,FALSE)*'AM (nominal)'!J330</f>
        <v>18384</v>
      </c>
      <c r="K330" s="31">
        <f>VLOOKUP('AM (2011)'!$C330+1,CPI!$B$50:$I$63,8,FALSE)*'AM (nominal)'!K330</f>
        <v>2344</v>
      </c>
      <c r="L330" s="31">
        <f>VLOOKUP('AM (2011)'!$C330+1,CPI!$B$50:$I$63,8,FALSE)*'AM (nominal)'!L330</f>
        <v>960</v>
      </c>
      <c r="M330" s="31">
        <f>VLOOKUP('AM (2011)'!$C330+1,CPI!$B$50:$I$63,8,FALSE)*'AM (nominal)'!M330</f>
        <v>2410</v>
      </c>
      <c r="N330" s="639">
        <f>VLOOKUP('AM (2011)'!$C330+1,CPI!$B$50:$I$63,8,FALSE)*'AM (nominal)'!N330</f>
        <v>5714</v>
      </c>
    </row>
    <row r="331" spans="1:14" s="278" customFormat="1" ht="409.6">
      <c r="A331" s="271">
        <f>References!Q279</f>
        <v>498</v>
      </c>
      <c r="B331" s="305" t="s">
        <v>50</v>
      </c>
      <c r="C331" s="284">
        <v>2010</v>
      </c>
      <c r="D331" s="284">
        <v>2012</v>
      </c>
      <c r="E331" s="31">
        <f>VLOOKUP('AM (2011)'!$C331+1,CPI!$B$50:$I$63,8,FALSE)*'AM (nominal)'!E331</f>
        <v>3320</v>
      </c>
      <c r="F331" s="31">
        <f>VLOOKUP('AM (2011)'!$C331+1,CPI!$B$50:$I$63,8,FALSE)*'AM (nominal)'!F331</f>
        <v>7115</v>
      </c>
      <c r="G331" s="31">
        <f>VLOOKUP('AM (2011)'!$C331+1,CPI!$B$50:$I$63,8,FALSE)*'AM (nominal)'!G331</f>
        <v>7026</v>
      </c>
      <c r="H331" s="31">
        <f>VLOOKUP('AM (2011)'!$C331+1,CPI!$B$50:$I$63,8,FALSE)*'AM (nominal)'!H331</f>
        <v>571</v>
      </c>
      <c r="I331" s="31">
        <f>VLOOKUP('AM (2011)'!$C331+1,CPI!$B$50:$I$63,8,FALSE)*'AM (nominal)'!I331</f>
        <v>93</v>
      </c>
      <c r="J331" s="27">
        <f>VLOOKUP('AM (2011)'!$C331+1,CPI!$B$50:$I$63,8,FALSE)*'AM (nominal)'!J331</f>
        <v>18125</v>
      </c>
      <c r="K331" s="31">
        <f>VLOOKUP('AM (2011)'!$C331+1,CPI!$B$50:$I$63,8,FALSE)*'AM (nominal)'!K331</f>
        <v>2201</v>
      </c>
      <c r="L331" s="31">
        <f>VLOOKUP('AM (2011)'!$C331+1,CPI!$B$50:$I$63,8,FALSE)*'AM (nominal)'!L331</f>
        <v>950</v>
      </c>
      <c r="M331" s="31">
        <f>VLOOKUP('AM (2011)'!$C331+1,CPI!$B$50:$I$63,8,FALSE)*'AM (nominal)'!M331</f>
        <v>2410</v>
      </c>
      <c r="N331" s="639">
        <f>VLOOKUP('AM (2011)'!$C331+1,CPI!$B$50:$I$63,8,FALSE)*'AM (nominal)'!N331</f>
        <v>5561</v>
      </c>
    </row>
    <row r="332" spans="1:14" s="278" customFormat="1" ht="409.6">
      <c r="A332" s="271">
        <f>References!R279</f>
        <v>499</v>
      </c>
      <c r="B332" s="305" t="s">
        <v>50</v>
      </c>
      <c r="C332" s="284">
        <v>2010</v>
      </c>
      <c r="D332" s="284">
        <v>2013</v>
      </c>
      <c r="E332" s="31">
        <f>VLOOKUP('AM (2011)'!$C332+1,CPI!$B$50:$I$63,8,FALSE)*'AM (nominal)'!E332</f>
        <v>3320</v>
      </c>
      <c r="F332" s="31">
        <f>VLOOKUP('AM (2011)'!$C332+1,CPI!$B$50:$I$63,8,FALSE)*'AM (nominal)'!F332</f>
        <v>7056</v>
      </c>
      <c r="G332" s="31">
        <f>VLOOKUP('AM (2011)'!$C332+1,CPI!$B$50:$I$63,8,FALSE)*'AM (nominal)'!G332</f>
        <v>7620</v>
      </c>
      <c r="H332" s="31">
        <f>VLOOKUP('AM (2011)'!$C332+1,CPI!$B$50:$I$63,8,FALSE)*'AM (nominal)'!H332</f>
        <v>571</v>
      </c>
      <c r="I332" s="31">
        <f>VLOOKUP('AM (2011)'!$C332+1,CPI!$B$50:$I$63,8,FALSE)*'AM (nominal)'!I332</f>
        <v>81</v>
      </c>
      <c r="J332" s="27">
        <f>VLOOKUP('AM (2011)'!$C332+1,CPI!$B$50:$I$63,8,FALSE)*'AM (nominal)'!J332</f>
        <v>18648</v>
      </c>
      <c r="K332" s="31">
        <f>VLOOKUP('AM (2011)'!$C332+1,CPI!$B$50:$I$63,8,FALSE)*'AM (nominal)'!K332</f>
        <v>2088</v>
      </c>
      <c r="L332" s="31">
        <f>VLOOKUP('AM (2011)'!$C332+1,CPI!$B$50:$I$63,8,FALSE)*'AM (nominal)'!L332</f>
        <v>941</v>
      </c>
      <c r="M332" s="31">
        <f>VLOOKUP('AM (2011)'!$C332+1,CPI!$B$50:$I$63,8,FALSE)*'AM (nominal)'!M332</f>
        <v>2409</v>
      </c>
      <c r="N332" s="639">
        <f>VLOOKUP('AM (2011)'!$C332+1,CPI!$B$50:$I$63,8,FALSE)*'AM (nominal)'!N332</f>
        <v>5438</v>
      </c>
    </row>
    <row r="333" spans="1:14" s="278" customFormat="1" ht="409.6">
      <c r="A333" s="271">
        <f>References!S279</f>
        <v>500</v>
      </c>
      <c r="B333" s="305" t="s">
        <v>50</v>
      </c>
      <c r="C333" s="284">
        <v>2010</v>
      </c>
      <c r="D333" s="284">
        <v>2014</v>
      </c>
      <c r="E333" s="31">
        <f>VLOOKUP('AM (2011)'!$C333+1,CPI!$B$50:$I$63,8,FALSE)*'AM (nominal)'!E333</f>
        <v>2738</v>
      </c>
      <c r="F333" s="31">
        <f>VLOOKUP('AM (2011)'!$C333+1,CPI!$B$50:$I$63,8,FALSE)*'AM (nominal)'!F333</f>
        <v>6980</v>
      </c>
      <c r="G333" s="31">
        <f>VLOOKUP('AM (2011)'!$C333+1,CPI!$B$50:$I$63,8,FALSE)*'AM (nominal)'!G333</f>
        <v>7794</v>
      </c>
      <c r="H333" s="31">
        <f>VLOOKUP('AM (2011)'!$C333+1,CPI!$B$50:$I$63,8,FALSE)*'AM (nominal)'!H333</f>
        <v>571</v>
      </c>
      <c r="I333" s="31">
        <f>VLOOKUP('AM (2011)'!$C333+1,CPI!$B$50:$I$63,8,FALSE)*'AM (nominal)'!I333</f>
        <v>70</v>
      </c>
      <c r="J333" s="27">
        <f>VLOOKUP('AM (2011)'!$C333+1,CPI!$B$50:$I$63,8,FALSE)*'AM (nominal)'!J333</f>
        <v>18153</v>
      </c>
      <c r="K333" s="31">
        <f>VLOOKUP('AM (2011)'!$C333+1,CPI!$B$50:$I$63,8,FALSE)*'AM (nominal)'!K333</f>
        <v>1975</v>
      </c>
      <c r="L333" s="31">
        <f>VLOOKUP('AM (2011)'!$C333+1,CPI!$B$50:$I$63,8,FALSE)*'AM (nominal)'!L333</f>
        <v>931</v>
      </c>
      <c r="M333" s="31">
        <f>VLOOKUP('AM (2011)'!$C333+1,CPI!$B$50:$I$63,8,FALSE)*'AM (nominal)'!M333</f>
        <v>2410</v>
      </c>
      <c r="N333" s="639">
        <f>VLOOKUP('AM (2011)'!$C333+1,CPI!$B$50:$I$63,8,FALSE)*'AM (nominal)'!N333</f>
        <v>5316</v>
      </c>
    </row>
    <row r="334" spans="1:14" s="278" customFormat="1" ht="409.6">
      <c r="A334" s="271">
        <f>References!T279</f>
        <v>501</v>
      </c>
      <c r="B334" s="305" t="s">
        <v>50</v>
      </c>
      <c r="C334" s="284">
        <v>2010</v>
      </c>
      <c r="D334" s="284">
        <v>2015</v>
      </c>
      <c r="E334" s="31">
        <f>VLOOKUP('AM (2011)'!$C334+1,CPI!$B$50:$I$63,8,FALSE)*'AM (nominal)'!E334</f>
        <v>2738</v>
      </c>
      <c r="F334" s="31">
        <f>VLOOKUP('AM (2011)'!$C334+1,CPI!$B$50:$I$63,8,FALSE)*'AM (nominal)'!F334</f>
        <v>3740</v>
      </c>
      <c r="G334" s="31">
        <f>VLOOKUP('AM (2011)'!$C334+1,CPI!$B$50:$I$63,8,FALSE)*'AM (nominal)'!G334</f>
        <v>9571</v>
      </c>
      <c r="H334" s="31">
        <f>VLOOKUP('AM (2011)'!$C334+1,CPI!$B$50:$I$63,8,FALSE)*'AM (nominal)'!H334</f>
        <v>524</v>
      </c>
      <c r="I334" s="31">
        <f>VLOOKUP('AM (2011)'!$C334+1,CPI!$B$50:$I$63,8,FALSE)*'AM (nominal)'!I334</f>
        <v>58</v>
      </c>
      <c r="J334" s="27">
        <f>VLOOKUP('AM (2011)'!$C334+1,CPI!$B$50:$I$63,8,FALSE)*'AM (nominal)'!J334</f>
        <v>16631</v>
      </c>
      <c r="K334" s="31">
        <f>VLOOKUP('AM (2011)'!$C334+1,CPI!$B$50:$I$63,8,FALSE)*'AM (nominal)'!K334</f>
        <v>1862</v>
      </c>
      <c r="L334" s="31">
        <f>VLOOKUP('AM (2011)'!$C334+1,CPI!$B$50:$I$63,8,FALSE)*'AM (nominal)'!L334</f>
        <v>922</v>
      </c>
      <c r="M334" s="31">
        <f>VLOOKUP('AM (2011)'!$C334+1,CPI!$B$50:$I$63,8,FALSE)*'AM (nominal)'!M334</f>
        <v>2410</v>
      </c>
      <c r="N334" s="639">
        <f>VLOOKUP('AM (2011)'!$C334+1,CPI!$B$50:$I$63,8,FALSE)*'AM (nominal)'!N334</f>
        <v>5194</v>
      </c>
    </row>
    <row r="335" spans="1:14" s="278" customFormat="1" ht="409.6">
      <c r="A335" s="271">
        <f>References!U279</f>
        <v>502</v>
      </c>
      <c r="B335" s="305" t="s">
        <v>50</v>
      </c>
      <c r="C335" s="284">
        <v>2011</v>
      </c>
      <c r="D335" s="284">
        <v>2012</v>
      </c>
      <c r="E335" s="31">
        <f>VLOOKUP('AM (2011)'!$C335+1,CPI!$B$50:$I$63,8,FALSE)*'AM (nominal)'!E335</f>
        <v>3092.256755009696</v>
      </c>
      <c r="F335" s="31">
        <f>VLOOKUP('AM (2011)'!$C335+1,CPI!$B$50:$I$63,8,FALSE)*'AM (nominal)'!F335</f>
        <v>9109.5948287007104</v>
      </c>
      <c r="G335" s="31">
        <f>VLOOKUP('AM (2011)'!$C335+1,CPI!$B$50:$I$63,8,FALSE)*'AM (nominal)'!G335</f>
        <v>7491.6103425985775</v>
      </c>
      <c r="H335" s="31">
        <f>VLOOKUP('AM (2011)'!$C335+1,CPI!$B$50:$I$63,8,FALSE)*'AM (nominal)'!H335</f>
        <v>999.14208144796373</v>
      </c>
      <c r="I335" s="31">
        <f>VLOOKUP('AM (2011)'!$C335+1,CPI!$B$50:$I$63,8,FALSE)*'AM (nominal)'!I335</f>
        <v>105.58448610213316</v>
      </c>
      <c r="J335" s="27">
        <f>VLOOKUP('AM (2011)'!$C335+1,CPI!$B$50:$I$63,8,FALSE)*'AM (nominal)'!J335</f>
        <v>20798.188493859081</v>
      </c>
      <c r="K335" s="31">
        <f>VLOOKUP('AM (2011)'!$C335+1,CPI!$B$50:$I$63,8,FALSE)*'AM (nominal)'!K335</f>
        <v>3442.249773755656</v>
      </c>
      <c r="L335" s="31">
        <f>VLOOKUP('AM (2011)'!$C335+1,CPI!$B$50:$I$63,8,FALSE)*'AM (nominal)'!L335</f>
        <v>756.68881706528759</v>
      </c>
      <c r="M335" s="31">
        <f>VLOOKUP('AM (2011)'!$C335+1,CPI!$B$50:$I$63,8,FALSE)*'AM (nominal)'!M335</f>
        <v>2253.4466709760827</v>
      </c>
      <c r="N335" s="639">
        <f>VLOOKUP('AM (2011)'!$C335+1,CPI!$B$50:$I$63,8,FALSE)*'AM (nominal)'!N335</f>
        <v>6452.385261797026</v>
      </c>
    </row>
    <row r="336" spans="1:14" s="278" customFormat="1" ht="409.6">
      <c r="A336" s="271">
        <f>References!V279</f>
        <v>503</v>
      </c>
      <c r="B336" s="305" t="s">
        <v>50</v>
      </c>
      <c r="C336" s="284">
        <v>2011</v>
      </c>
      <c r="D336" s="284">
        <v>2013</v>
      </c>
      <c r="E336" s="31">
        <f>VLOOKUP('AM (2011)'!$C336+1,CPI!$B$50:$I$63,8,FALSE)*'AM (nominal)'!E336</f>
        <v>2864.4680025856496</v>
      </c>
      <c r="F336" s="31">
        <f>VLOOKUP('AM (2011)'!$C336+1,CPI!$B$50:$I$63,8,FALSE)*'AM (nominal)'!F336</f>
        <v>6795.5348416289589</v>
      </c>
      <c r="G336" s="31">
        <f>VLOOKUP('AM (2011)'!$C336+1,CPI!$B$50:$I$63,8,FALSE)*'AM (nominal)'!G336</f>
        <v>8983.4800258564956</v>
      </c>
      <c r="H336" s="31">
        <f>VLOOKUP('AM (2011)'!$C336+1,CPI!$B$50:$I$63,8,FALSE)*'AM (nominal)'!H336</f>
        <v>899.42340012928241</v>
      </c>
      <c r="I336" s="31">
        <f>VLOOKUP('AM (2011)'!$C336+1,CPI!$B$50:$I$63,8,FALSE)*'AM (nominal)'!I336</f>
        <v>85.054169360051716</v>
      </c>
      <c r="J336" s="27">
        <f>VLOOKUP('AM (2011)'!$C336+1,CPI!$B$50:$I$63,8,FALSE)*'AM (nominal)'!J336</f>
        <v>19627.96043956044</v>
      </c>
      <c r="K336" s="31">
        <f>VLOOKUP('AM (2011)'!$C336+1,CPI!$B$50:$I$63,8,FALSE)*'AM (nominal)'!K336</f>
        <v>3383.5917259211374</v>
      </c>
      <c r="L336" s="31">
        <f>VLOOKUP('AM (2011)'!$C336+1,CPI!$B$50:$I$63,8,FALSE)*'AM (nominal)'!L336</f>
        <v>756.68881706528759</v>
      </c>
      <c r="M336" s="31">
        <f>VLOOKUP('AM (2011)'!$C336+1,CPI!$B$50:$I$63,8,FALSE)*'AM (nominal)'!M336</f>
        <v>2252.4690368455072</v>
      </c>
      <c r="N336" s="639">
        <f>VLOOKUP('AM (2011)'!$C336+1,CPI!$B$50:$I$63,8,FALSE)*'AM (nominal)'!N336</f>
        <v>6392.7495798319324</v>
      </c>
    </row>
    <row r="337" spans="1:14" s="278" customFormat="1" ht="409.6">
      <c r="A337" s="271">
        <f>References!W279</f>
        <v>504</v>
      </c>
      <c r="B337" s="305" t="s">
        <v>50</v>
      </c>
      <c r="C337" s="284">
        <v>2011</v>
      </c>
      <c r="D337" s="284">
        <v>2014</v>
      </c>
      <c r="E337" s="31">
        <f>VLOOKUP('AM (2011)'!$C337+1,CPI!$B$50:$I$63,8,FALSE)*'AM (nominal)'!E337</f>
        <v>2864.4680025856496</v>
      </c>
      <c r="F337" s="31">
        <f>VLOOKUP('AM (2011)'!$C337+1,CPI!$B$50:$I$63,8,FALSE)*'AM (nominal)'!F337</f>
        <v>8374.4139625080807</v>
      </c>
      <c r="G337" s="31">
        <f>VLOOKUP('AM (2011)'!$C337+1,CPI!$B$50:$I$63,8,FALSE)*'AM (nominal)'!G337</f>
        <v>7454.4602456367156</v>
      </c>
      <c r="H337" s="31">
        <f>VLOOKUP('AM (2011)'!$C337+1,CPI!$B$50:$I$63,8,FALSE)*'AM (nominal)'!H337</f>
        <v>786.01784098254689</v>
      </c>
      <c r="I337" s="31">
        <f>VLOOKUP('AM (2011)'!$C337+1,CPI!$B$50:$I$63,8,FALSE)*'AM (nominal)'!I337</f>
        <v>85.054169360051716</v>
      </c>
      <c r="J337" s="27">
        <f>VLOOKUP('AM (2011)'!$C337+1,CPI!$B$50:$I$63,8,FALSE)*'AM (nominal)'!J337</f>
        <v>19564.414221073042</v>
      </c>
      <c r="K337" s="31">
        <f>VLOOKUP('AM (2011)'!$C337+1,CPI!$B$50:$I$63,8,FALSE)*'AM (nominal)'!K337</f>
        <v>2650.3661279896573</v>
      </c>
      <c r="L337" s="31">
        <f>VLOOKUP('AM (2011)'!$C337+1,CPI!$B$50:$I$63,8,FALSE)*'AM (nominal)'!L337</f>
        <v>756.68881706528759</v>
      </c>
      <c r="M337" s="31">
        <f>VLOOKUP('AM (2011)'!$C337+1,CPI!$B$50:$I$63,8,FALSE)*'AM (nominal)'!M337</f>
        <v>2252.4690368455072</v>
      </c>
      <c r="N337" s="639">
        <f>VLOOKUP('AM (2011)'!$C337+1,CPI!$B$50:$I$63,8,FALSE)*'AM (nominal)'!N337</f>
        <v>5659.5239819004519</v>
      </c>
    </row>
    <row r="338" spans="1:14" s="278" customFormat="1" ht="409.6">
      <c r="A338" s="271">
        <f>References!X279</f>
        <v>505</v>
      </c>
      <c r="B338" s="305" t="s">
        <v>50</v>
      </c>
      <c r="C338" s="284">
        <v>2011</v>
      </c>
      <c r="D338" s="284">
        <v>2015</v>
      </c>
      <c r="E338" s="31">
        <f>VLOOKUP('AM (2011)'!$C338+1,CPI!$B$50:$I$63,8,FALSE)*'AM (nominal)'!E338</f>
        <v>3092.256755009696</v>
      </c>
      <c r="F338" s="31">
        <f>VLOOKUP('AM (2011)'!$C338+1,CPI!$B$50:$I$63,8,FALSE)*'AM (nominal)'!F338</f>
        <v>3954.5300581771171</v>
      </c>
      <c r="G338" s="31">
        <f>VLOOKUP('AM (2011)'!$C338+1,CPI!$B$50:$I$63,8,FALSE)*'AM (nominal)'!G338</f>
        <v>9817.4019392372338</v>
      </c>
      <c r="H338" s="31">
        <f>VLOOKUP('AM (2011)'!$C338+1,CPI!$B$50:$I$63,8,FALSE)*'AM (nominal)'!H338</f>
        <v>854.45223012281838</v>
      </c>
      <c r="I338" s="31">
        <f>VLOOKUP('AM (2011)'!$C338+1,CPI!$B$50:$I$63,8,FALSE)*'AM (nominal)'!I338</f>
        <v>85.054169360051716</v>
      </c>
      <c r="J338" s="27">
        <f>VLOOKUP('AM (2011)'!$C338+1,CPI!$B$50:$I$63,8,FALSE)*'AM (nominal)'!J338</f>
        <v>17803.695151906915</v>
      </c>
      <c r="K338" s="31">
        <f>VLOOKUP('AM (2011)'!$C338+1,CPI!$B$50:$I$63,8,FALSE)*'AM (nominal)'!K338</f>
        <v>2405.9575953458307</v>
      </c>
      <c r="L338" s="31">
        <f>VLOOKUP('AM (2011)'!$C338+1,CPI!$B$50:$I$63,8,FALSE)*'AM (nominal)'!L338</f>
        <v>756.68881706528759</v>
      </c>
      <c r="M338" s="31">
        <f>VLOOKUP('AM (2011)'!$C338+1,CPI!$B$50:$I$63,8,FALSE)*'AM (nominal)'!M338</f>
        <v>2252.4690368455072</v>
      </c>
      <c r="N338" s="639">
        <f>VLOOKUP('AM (2011)'!$C338+1,CPI!$B$50:$I$63,8,FALSE)*'AM (nominal)'!N338</f>
        <v>5415.1154492566257</v>
      </c>
    </row>
    <row r="339" spans="1:14" s="278" customFormat="1" ht="409.6">
      <c r="A339" s="271">
        <f>References!Y279</f>
        <v>506</v>
      </c>
      <c r="B339" s="305" t="s">
        <v>50</v>
      </c>
      <c r="C339" s="284">
        <v>2011</v>
      </c>
      <c r="D339" s="284">
        <v>2016</v>
      </c>
      <c r="E339" s="31">
        <f>VLOOKUP('AM (2011)'!$C339+1,CPI!$B$50:$I$63,8,FALSE)*'AM (nominal)'!E339</f>
        <v>2864.4680025856496</v>
      </c>
      <c r="F339" s="31">
        <f>VLOOKUP('AM (2011)'!$C339+1,CPI!$B$50:$I$63,8,FALSE)*'AM (nominal)'!F339</f>
        <v>3587.9172592113769</v>
      </c>
      <c r="G339" s="31">
        <f>VLOOKUP('AM (2011)'!$C339+1,CPI!$B$50:$I$63,8,FALSE)*'AM (nominal)'!G339</f>
        <v>10575.068390433096</v>
      </c>
      <c r="H339" s="31">
        <f>VLOOKUP('AM (2011)'!$C339+1,CPI!$B$50:$I$63,8,FALSE)*'AM (nominal)'!H339</f>
        <v>786.01784098254689</v>
      </c>
      <c r="I339" s="31">
        <f>VLOOKUP('AM (2011)'!$C339+1,CPI!$B$50:$I$63,8,FALSE)*'AM (nominal)'!I339</f>
        <v>85.054169360051716</v>
      </c>
      <c r="J339" s="27">
        <f>VLOOKUP('AM (2011)'!$C339+1,CPI!$B$50:$I$63,8,FALSE)*'AM (nominal)'!J339</f>
        <v>17898.52566257272</v>
      </c>
      <c r="K339" s="31">
        <f>VLOOKUP('AM (2011)'!$C339+1,CPI!$B$50:$I$63,8,FALSE)*'AM (nominal)'!K339</f>
        <v>2283.7533290239171</v>
      </c>
      <c r="L339" s="31">
        <f>VLOOKUP('AM (2011)'!$C339+1,CPI!$B$50:$I$63,8,FALSE)*'AM (nominal)'!L339</f>
        <v>756.68881706528759</v>
      </c>
      <c r="M339" s="31">
        <f>VLOOKUP('AM (2011)'!$C339+1,CPI!$B$50:$I$63,8,FALSE)*'AM (nominal)'!M339</f>
        <v>2252.4690368455072</v>
      </c>
      <c r="N339" s="639">
        <f>VLOOKUP('AM (2011)'!$C339+1,CPI!$B$50:$I$63,8,FALSE)*'AM (nominal)'!N339</f>
        <v>5292.9111829347121</v>
      </c>
    </row>
    <row r="340" spans="1:14" s="278" customFormat="1" ht="409.6">
      <c r="A340" s="271">
        <f>References!K281</f>
        <v>538</v>
      </c>
      <c r="B340" s="305" t="s">
        <v>52</v>
      </c>
      <c r="C340" s="284">
        <v>2009</v>
      </c>
      <c r="D340" s="284">
        <v>2010</v>
      </c>
      <c r="E340" s="31">
        <f>VLOOKUP('AM (2011)'!$C340+1,CPI!$B$50:$I$63,8,FALSE)*'AM (nominal)'!E340</f>
        <v>10086.470318773409</v>
      </c>
      <c r="F340" s="31">
        <f>VLOOKUP('AM (2011)'!$C340+1,CPI!$B$50:$I$63,8,FALSE)*'AM (nominal)'!F340</f>
        <v>7641.2653930101578</v>
      </c>
      <c r="G340" s="31">
        <f>VLOOKUP('AM (2011)'!$C340+1,CPI!$B$50:$I$63,8,FALSE)*'AM (nominal)'!G340</f>
        <v>15027.821939586644</v>
      </c>
      <c r="H340" s="31">
        <f>VLOOKUP('AM (2011)'!$C340+1,CPI!$B$50:$I$63,8,FALSE)*'AM (nominal)'!H340</f>
        <v>2547.0884643367194</v>
      </c>
      <c r="I340" s="31">
        <f>VLOOKUP('AM (2011)'!$C340+1,CPI!$B$50:$I$63,8,FALSE)*'AM (nominal)'!I340</f>
        <v>178.29619250357035</v>
      </c>
      <c r="J340" s="27">
        <f>VLOOKUP('AM (2011)'!$C340+1,CPI!$B$50:$I$63,8,FALSE)*'AM (nominal)'!J340</f>
        <v>35480.942308210499</v>
      </c>
      <c r="K340" s="31">
        <f>VLOOKUP('AM (2011)'!$C340+1,CPI!$B$50:$I$63,8,FALSE)*'AM (nominal)'!K340</f>
        <v>4610.2301204494615</v>
      </c>
      <c r="L340" s="31">
        <f>VLOOKUP('AM (2011)'!$C340+1,CPI!$B$50:$I$63,8,FALSE)*'AM (nominal)'!L340</f>
        <v>1482.4054862439705</v>
      </c>
      <c r="M340" s="31">
        <f>VLOOKUP('AM (2011)'!$C340+1,CPI!$B$50:$I$63,8,FALSE)*'AM (nominal)'!M340</f>
        <v>3295.9324728517145</v>
      </c>
      <c r="N340" s="639">
        <f>VLOOKUP('AM (2011)'!$C340+1,CPI!$B$50:$I$63,8,FALSE)*'AM (nominal)'!N340</f>
        <v>9388.5680795451462</v>
      </c>
    </row>
    <row r="341" spans="1:14" s="278" customFormat="1" ht="409.6">
      <c r="A341" s="271">
        <f>References!L281</f>
        <v>539</v>
      </c>
      <c r="B341" s="305" t="s">
        <v>52</v>
      </c>
      <c r="C341" s="284">
        <v>2009</v>
      </c>
      <c r="D341" s="284">
        <v>2011</v>
      </c>
      <c r="E341" s="31">
        <f>VLOOKUP('AM (2011)'!$C341+1,CPI!$B$50:$I$63,8,FALSE)*'AM (nominal)'!E341</f>
        <v>5807.3616986877196</v>
      </c>
      <c r="F341" s="31">
        <f>VLOOKUP('AM (2011)'!$C341+1,CPI!$B$50:$I$63,8,FALSE)*'AM (nominal)'!F341</f>
        <v>4788.5263129530322</v>
      </c>
      <c r="G341" s="31">
        <f>VLOOKUP('AM (2011)'!$C341+1,CPI!$B$50:$I$63,8,FALSE)*'AM (nominal)'!G341</f>
        <v>16454.191479615205</v>
      </c>
      <c r="H341" s="31">
        <f>VLOOKUP('AM (2011)'!$C341+1,CPI!$B$50:$I$63,8,FALSE)*'AM (nominal)'!H341</f>
        <v>1782.9619250357034</v>
      </c>
      <c r="I341" s="31">
        <f>VLOOKUP('AM (2011)'!$C341+1,CPI!$B$50:$I$63,8,FALSE)*'AM (nominal)'!I341</f>
        <v>0</v>
      </c>
      <c r="J341" s="27">
        <f>VLOOKUP('AM (2011)'!$C341+1,CPI!$B$50:$I$63,8,FALSE)*'AM (nominal)'!J341</f>
        <v>28833.04141629166</v>
      </c>
      <c r="K341" s="31">
        <f>VLOOKUP('AM (2011)'!$C341+1,CPI!$B$50:$I$63,8,FALSE)*'AM (nominal)'!K341</f>
        <v>4878.1838268976844</v>
      </c>
      <c r="L341" s="31">
        <f>VLOOKUP('AM (2011)'!$C341+1,CPI!$B$50:$I$63,8,FALSE)*'AM (nominal)'!L341</f>
        <v>1558.8181401740721</v>
      </c>
      <c r="M341" s="31">
        <f>VLOOKUP('AM (2011)'!$C341+1,CPI!$B$50:$I$63,8,FALSE)*'AM (nominal)'!M341</f>
        <v>3170.6157204063479</v>
      </c>
      <c r="N341" s="639">
        <f>VLOOKUP('AM (2011)'!$C341+1,CPI!$B$50:$I$63,8,FALSE)*'AM (nominal)'!N341</f>
        <v>9607.6176874781049</v>
      </c>
    </row>
    <row r="342" spans="1:14" s="278" customFormat="1" ht="409.6">
      <c r="A342" s="271">
        <f>References!M281</f>
        <v>540</v>
      </c>
      <c r="B342" s="305" t="s">
        <v>52</v>
      </c>
      <c r="C342" s="284">
        <v>2009</v>
      </c>
      <c r="D342" s="284">
        <v>2012</v>
      </c>
      <c r="E342" s="31">
        <f>VLOOKUP('AM (2011)'!$C342+1,CPI!$B$50:$I$63,8,FALSE)*'AM (nominal)'!E342</f>
        <v>5094.1769286734389</v>
      </c>
      <c r="F342" s="31">
        <f>VLOOKUP('AM (2011)'!$C342+1,CPI!$B$50:$I$63,8,FALSE)*'AM (nominal)'!F342</f>
        <v>4890.4098515265005</v>
      </c>
      <c r="G342" s="31">
        <f>VLOOKUP('AM (2011)'!$C342+1,CPI!$B$50:$I$63,8,FALSE)*'AM (nominal)'!G342</f>
        <v>16275.895287111636</v>
      </c>
      <c r="H342" s="31">
        <f>VLOOKUP('AM (2011)'!$C342+1,CPI!$B$50:$I$63,8,FALSE)*'AM (nominal)'!H342</f>
        <v>1782.9619250357034</v>
      </c>
      <c r="I342" s="31">
        <f>VLOOKUP('AM (2011)'!$C342+1,CPI!$B$50:$I$63,8,FALSE)*'AM (nominal)'!I342</f>
        <v>178.29619250357035</v>
      </c>
      <c r="J342" s="27">
        <f>VLOOKUP('AM (2011)'!$C342+1,CPI!$B$50:$I$63,8,FALSE)*'AM (nominal)'!J342</f>
        <v>28221.740184850849</v>
      </c>
      <c r="K342" s="31">
        <f>VLOOKUP('AM (2011)'!$C342+1,CPI!$B$50:$I$63,8,FALSE)*'AM (nominal)'!K342</f>
        <v>5124.7419902454794</v>
      </c>
      <c r="L342" s="31">
        <f>VLOOKUP('AM (2011)'!$C342+1,CPI!$B$50:$I$63,8,FALSE)*'AM (nominal)'!L342</f>
        <v>1637.2684648756431</v>
      </c>
      <c r="M342" s="31">
        <f>VLOOKUP('AM (2011)'!$C342+1,CPI!$B$50:$I$63,8,FALSE)*'AM (nominal)'!M342</f>
        <v>3038.1671202608386</v>
      </c>
      <c r="N342" s="639">
        <f>VLOOKUP('AM (2011)'!$C342+1,CPI!$B$50:$I$63,8,FALSE)*'AM (nominal)'!N342</f>
        <v>9800.1775753819602</v>
      </c>
    </row>
    <row r="343" spans="1:14" s="278" customFormat="1" ht="409.6">
      <c r="A343" s="271">
        <f>References!N281</f>
        <v>541</v>
      </c>
      <c r="B343" s="305" t="s">
        <v>52</v>
      </c>
      <c r="C343" s="284">
        <v>2009</v>
      </c>
      <c r="D343" s="284">
        <v>2013</v>
      </c>
      <c r="E343" s="31">
        <f>VLOOKUP('AM (2011)'!$C343+1,CPI!$B$50:$I$63,8,FALSE)*'AM (nominal)'!E343</f>
        <v>5094.1769286734389</v>
      </c>
      <c r="F343" s="31">
        <f>VLOOKUP('AM (2011)'!$C343+1,CPI!$B$50:$I$63,8,FALSE)*'AM (nominal)'!F343</f>
        <v>2852.7390800571256</v>
      </c>
      <c r="G343" s="31">
        <f>VLOOKUP('AM (2011)'!$C343+1,CPI!$B$50:$I$63,8,FALSE)*'AM (nominal)'!G343</f>
        <v>15944.773786747863</v>
      </c>
      <c r="H343" s="31">
        <f>VLOOKUP('AM (2011)'!$C343+1,CPI!$B$50:$I$63,8,FALSE)*'AM (nominal)'!H343</f>
        <v>1782.9619250357034</v>
      </c>
      <c r="I343" s="31">
        <f>VLOOKUP('AM (2011)'!$C343+1,CPI!$B$50:$I$63,8,FALSE)*'AM (nominal)'!I343</f>
        <v>509.41769286734382</v>
      </c>
      <c r="J343" s="27">
        <f>VLOOKUP('AM (2011)'!$C343+1,CPI!$B$50:$I$63,8,FALSE)*'AM (nominal)'!J343</f>
        <v>26184.069413381472</v>
      </c>
      <c r="K343" s="31">
        <f>VLOOKUP('AM (2011)'!$C343+1,CPI!$B$50:$I$63,8,FALSE)*'AM (nominal)'!K343</f>
        <v>5454.8446552235182</v>
      </c>
      <c r="L343" s="31">
        <f>VLOOKUP('AM (2011)'!$C343+1,CPI!$B$50:$I$63,8,FALSE)*'AM (nominal)'!L343</f>
        <v>1742.2085096063158</v>
      </c>
      <c r="M343" s="31">
        <f>VLOOKUP('AM (2011)'!$C343+1,CPI!$B$50:$I$63,8,FALSE)*'AM (nominal)'!M343</f>
        <v>2798.7408046131873</v>
      </c>
      <c r="N343" s="639">
        <f>VLOOKUP('AM (2011)'!$C343+1,CPI!$B$50:$I$63,8,FALSE)*'AM (nominal)'!N343</f>
        <v>9995.7939694430206</v>
      </c>
    </row>
    <row r="344" spans="1:14" s="278" customFormat="1" ht="409.6">
      <c r="A344" s="271">
        <f>References!O281</f>
        <v>542</v>
      </c>
      <c r="B344" s="305" t="s">
        <v>52</v>
      </c>
      <c r="C344" s="284">
        <v>2009</v>
      </c>
      <c r="D344" s="284">
        <v>2014</v>
      </c>
      <c r="E344" s="31">
        <f>VLOOKUP('AM (2011)'!$C344+1,CPI!$B$50:$I$63,8,FALSE)*'AM (nominal)'!E344</f>
        <v>5196.0604672469071</v>
      </c>
      <c r="F344" s="31">
        <f>VLOOKUP('AM (2011)'!$C344+1,CPI!$B$50:$I$63,8,FALSE)*'AM (nominal)'!F344</f>
        <v>2852.7390800571256</v>
      </c>
      <c r="G344" s="31">
        <f>VLOOKUP('AM (2011)'!$C344+1,CPI!$B$50:$I$63,8,FALSE)*'AM (nominal)'!G344</f>
        <v>16454.191479615205</v>
      </c>
      <c r="H344" s="31">
        <f>VLOOKUP('AM (2011)'!$C344+1,CPI!$B$50:$I$63,8,FALSE)*'AM (nominal)'!H344</f>
        <v>1782.9619250357034</v>
      </c>
      <c r="I344" s="31">
        <f>VLOOKUP('AM (2011)'!$C344+1,CPI!$B$50:$I$63,8,FALSE)*'AM (nominal)'!I344</f>
        <v>0</v>
      </c>
      <c r="J344" s="27">
        <f>VLOOKUP('AM (2011)'!$C344+1,CPI!$B$50:$I$63,8,FALSE)*'AM (nominal)'!J344</f>
        <v>26285.952951954943</v>
      </c>
      <c r="K344" s="31">
        <f>VLOOKUP('AM (2011)'!$C344+1,CPI!$B$50:$I$63,8,FALSE)*'AM (nominal)'!K344</f>
        <v>5872.5671633747397</v>
      </c>
      <c r="L344" s="31">
        <f>VLOOKUP('AM (2011)'!$C344+1,CPI!$B$50:$I$63,8,FALSE)*'AM (nominal)'!L344</f>
        <v>1875.6759451375601</v>
      </c>
      <c r="M344" s="31">
        <f>VLOOKUP('AM (2011)'!$C344+1,CPI!$B$50:$I$63,8,FALSE)*'AM (nominal)'!M344</f>
        <v>2447.2425965347197</v>
      </c>
      <c r="N344" s="639">
        <f>VLOOKUP('AM (2011)'!$C344+1,CPI!$B$50:$I$63,8,FALSE)*'AM (nominal)'!N344</f>
        <v>10195.48570504702</v>
      </c>
    </row>
    <row r="345" spans="1:14" s="278" customFormat="1" ht="409.6">
      <c r="A345" s="271">
        <f>References!P281</f>
        <v>543</v>
      </c>
      <c r="B345" s="305" t="s">
        <v>52</v>
      </c>
      <c r="C345" s="284">
        <v>2010</v>
      </c>
      <c r="D345" s="284">
        <v>2011</v>
      </c>
      <c r="E345" s="31">
        <f>VLOOKUP('AM (2011)'!$C345+1,CPI!$B$50:$I$63,8,FALSE)*'AM (nominal)'!E345</f>
        <v>9600</v>
      </c>
      <c r="F345" s="31">
        <f>VLOOKUP('AM (2011)'!$C345+1,CPI!$B$50:$I$63,8,FALSE)*'AM (nominal)'!F345</f>
        <v>3700</v>
      </c>
      <c r="G345" s="31">
        <f>VLOOKUP('AM (2011)'!$C345+1,CPI!$B$50:$I$63,8,FALSE)*'AM (nominal)'!G345</f>
        <v>17400</v>
      </c>
      <c r="H345" s="31">
        <f>VLOOKUP('AM (2011)'!$C345+1,CPI!$B$50:$I$63,8,FALSE)*'AM (nominal)'!H345</f>
        <v>9200</v>
      </c>
      <c r="I345" s="31">
        <f>VLOOKUP('AM (2011)'!$C345+1,CPI!$B$50:$I$63,8,FALSE)*'AM (nominal)'!I345</f>
        <v>1500</v>
      </c>
      <c r="J345" s="27">
        <f>VLOOKUP('AM (2011)'!$C345+1,CPI!$B$50:$I$63,8,FALSE)*'AM (nominal)'!J345</f>
        <v>41400</v>
      </c>
      <c r="K345" s="31">
        <f>VLOOKUP('AM (2011)'!$C345+1,CPI!$B$50:$I$63,8,FALSE)*'AM (nominal)'!K345</f>
        <v>4936</v>
      </c>
      <c r="L345" s="31">
        <f>VLOOKUP('AM (2011)'!$C345+1,CPI!$B$50:$I$63,8,FALSE)*'AM (nominal)'!L345</f>
        <v>2600</v>
      </c>
      <c r="M345" s="31">
        <f>VLOOKUP('AM (2011)'!$C345+1,CPI!$B$50:$I$63,8,FALSE)*'AM (nominal)'!M345</f>
        <v>3500</v>
      </c>
      <c r="N345" s="639">
        <f>VLOOKUP('AM (2011)'!$C345+1,CPI!$B$50:$I$63,8,FALSE)*'AM (nominal)'!N345</f>
        <v>11036</v>
      </c>
    </row>
    <row r="346" spans="1:14" s="278" customFormat="1" ht="409.6">
      <c r="A346" s="271">
        <f>References!Q281</f>
        <v>544</v>
      </c>
      <c r="B346" s="305" t="s">
        <v>52</v>
      </c>
      <c r="C346" s="284">
        <v>2010</v>
      </c>
      <c r="D346" s="284">
        <v>2012</v>
      </c>
      <c r="E346" s="31">
        <f>VLOOKUP('AM (2011)'!$C346+1,CPI!$B$50:$I$63,8,FALSE)*'AM (nominal)'!E346</f>
        <v>7000</v>
      </c>
      <c r="F346" s="31">
        <f>VLOOKUP('AM (2011)'!$C346+1,CPI!$B$50:$I$63,8,FALSE)*'AM (nominal)'!F346</f>
        <v>4800</v>
      </c>
      <c r="G346" s="31">
        <f>VLOOKUP('AM (2011)'!$C346+1,CPI!$B$50:$I$63,8,FALSE)*'AM (nominal)'!G346</f>
        <v>18200</v>
      </c>
      <c r="H346" s="31">
        <f>VLOOKUP('AM (2011)'!$C346+1,CPI!$B$50:$I$63,8,FALSE)*'AM (nominal)'!H346</f>
        <v>19000</v>
      </c>
      <c r="I346" s="31">
        <f>VLOOKUP('AM (2011)'!$C346+1,CPI!$B$50:$I$63,8,FALSE)*'AM (nominal)'!I346</f>
        <v>500</v>
      </c>
      <c r="J346" s="27">
        <f>VLOOKUP('AM (2011)'!$C346+1,CPI!$B$50:$I$63,8,FALSE)*'AM (nominal)'!J346</f>
        <v>49500</v>
      </c>
      <c r="K346" s="31">
        <f>VLOOKUP('AM (2011)'!$C346+1,CPI!$B$50:$I$63,8,FALSE)*'AM (nominal)'!K346</f>
        <v>5200</v>
      </c>
      <c r="L346" s="31">
        <f>VLOOKUP('AM (2011)'!$C346+1,CPI!$B$50:$I$63,8,FALSE)*'AM (nominal)'!L346</f>
        <v>2136</v>
      </c>
      <c r="M346" s="31">
        <f>VLOOKUP('AM (2011)'!$C346+1,CPI!$B$50:$I$63,8,FALSE)*'AM (nominal)'!M346</f>
        <v>3700</v>
      </c>
      <c r="N346" s="639">
        <f>VLOOKUP('AM (2011)'!$C346+1,CPI!$B$50:$I$63,8,FALSE)*'AM (nominal)'!N346</f>
        <v>11036</v>
      </c>
    </row>
    <row r="347" spans="1:14" s="278" customFormat="1" ht="409.6">
      <c r="A347" s="271">
        <f>References!R281</f>
        <v>545</v>
      </c>
      <c r="B347" s="305" t="s">
        <v>52</v>
      </c>
      <c r="C347" s="284">
        <v>2010</v>
      </c>
      <c r="D347" s="284">
        <v>2013</v>
      </c>
      <c r="E347" s="31">
        <f>VLOOKUP('AM (2011)'!$C347+1,CPI!$B$50:$I$63,8,FALSE)*'AM (nominal)'!E347</f>
        <v>5000</v>
      </c>
      <c r="F347" s="31">
        <f>VLOOKUP('AM (2011)'!$C347+1,CPI!$B$50:$I$63,8,FALSE)*'AM (nominal)'!F347</f>
        <v>2800</v>
      </c>
      <c r="G347" s="31">
        <f>VLOOKUP('AM (2011)'!$C347+1,CPI!$B$50:$I$63,8,FALSE)*'AM (nominal)'!G347</f>
        <v>17800</v>
      </c>
      <c r="H347" s="31">
        <f>VLOOKUP('AM (2011)'!$C347+1,CPI!$B$50:$I$63,8,FALSE)*'AM (nominal)'!H347</f>
        <v>18800</v>
      </c>
      <c r="I347" s="31">
        <f>VLOOKUP('AM (2011)'!$C347+1,CPI!$B$50:$I$63,8,FALSE)*'AM (nominal)'!I347</f>
        <v>500</v>
      </c>
      <c r="J347" s="27">
        <f>VLOOKUP('AM (2011)'!$C347+1,CPI!$B$50:$I$63,8,FALSE)*'AM (nominal)'!J347</f>
        <v>44900</v>
      </c>
      <c r="K347" s="31">
        <f>VLOOKUP('AM (2011)'!$C347+1,CPI!$B$50:$I$63,8,FALSE)*'AM (nominal)'!K347</f>
        <v>5300</v>
      </c>
      <c r="L347" s="31">
        <f>VLOOKUP('AM (2011)'!$C347+1,CPI!$B$50:$I$63,8,FALSE)*'AM (nominal)'!L347</f>
        <v>1936</v>
      </c>
      <c r="M347" s="31">
        <f>VLOOKUP('AM (2011)'!$C347+1,CPI!$B$50:$I$63,8,FALSE)*'AM (nominal)'!M347</f>
        <v>3800</v>
      </c>
      <c r="N347" s="639">
        <f>VLOOKUP('AM (2011)'!$C347+1,CPI!$B$50:$I$63,8,FALSE)*'AM (nominal)'!N347</f>
        <v>11036</v>
      </c>
    </row>
    <row r="348" spans="1:14" s="278" customFormat="1" ht="409.6">
      <c r="A348" s="271">
        <f>References!S281</f>
        <v>546</v>
      </c>
      <c r="B348" s="305" t="s">
        <v>52</v>
      </c>
      <c r="C348" s="284">
        <v>2010</v>
      </c>
      <c r="D348" s="284">
        <v>2014</v>
      </c>
      <c r="E348" s="31">
        <f>VLOOKUP('AM (2011)'!$C348+1,CPI!$B$50:$I$63,8,FALSE)*'AM (nominal)'!E348</f>
        <v>5000</v>
      </c>
      <c r="F348" s="31">
        <f>VLOOKUP('AM (2011)'!$C348+1,CPI!$B$50:$I$63,8,FALSE)*'AM (nominal)'!F348</f>
        <v>2800</v>
      </c>
      <c r="G348" s="31">
        <f>VLOOKUP('AM (2011)'!$C348+1,CPI!$B$50:$I$63,8,FALSE)*'AM (nominal)'!G348</f>
        <v>18400</v>
      </c>
      <c r="H348" s="31">
        <f>VLOOKUP('AM (2011)'!$C348+1,CPI!$B$50:$I$63,8,FALSE)*'AM (nominal)'!H348</f>
        <v>20100</v>
      </c>
      <c r="I348" s="31">
        <f>VLOOKUP('AM (2011)'!$C348+1,CPI!$B$50:$I$63,8,FALSE)*'AM (nominal)'!I348</f>
        <v>500</v>
      </c>
      <c r="J348" s="27">
        <f>VLOOKUP('AM (2011)'!$C348+1,CPI!$B$50:$I$63,8,FALSE)*'AM (nominal)'!J348</f>
        <v>46800</v>
      </c>
      <c r="K348" s="31">
        <f>VLOOKUP('AM (2011)'!$C348+1,CPI!$B$50:$I$63,8,FALSE)*'AM (nominal)'!K348</f>
        <v>5400</v>
      </c>
      <c r="L348" s="31">
        <f>VLOOKUP('AM (2011)'!$C348+1,CPI!$B$50:$I$63,8,FALSE)*'AM (nominal)'!L348</f>
        <v>1636</v>
      </c>
      <c r="M348" s="31">
        <f>VLOOKUP('AM (2011)'!$C348+1,CPI!$B$50:$I$63,8,FALSE)*'AM (nominal)'!M348</f>
        <v>4000</v>
      </c>
      <c r="N348" s="639">
        <f>VLOOKUP('AM (2011)'!$C348+1,CPI!$B$50:$I$63,8,FALSE)*'AM (nominal)'!N348</f>
        <v>11036</v>
      </c>
    </row>
    <row r="349" spans="1:14" s="278" customFormat="1" ht="409.6">
      <c r="A349" s="271">
        <f>References!T281</f>
        <v>547</v>
      </c>
      <c r="B349" s="305" t="s">
        <v>52</v>
      </c>
      <c r="C349" s="284">
        <v>2010</v>
      </c>
      <c r="D349" s="284">
        <v>2015</v>
      </c>
      <c r="E349" s="31">
        <f>VLOOKUP('AM (2011)'!$C349+1,CPI!$B$50:$I$63,8,FALSE)*'AM (nominal)'!E349</f>
        <v>5000</v>
      </c>
      <c r="F349" s="31">
        <f>VLOOKUP('AM (2011)'!$C349+1,CPI!$B$50:$I$63,8,FALSE)*'AM (nominal)'!F349</f>
        <v>3000</v>
      </c>
      <c r="G349" s="31">
        <f>VLOOKUP('AM (2011)'!$C349+1,CPI!$B$50:$I$63,8,FALSE)*'AM (nominal)'!G349</f>
        <v>18400</v>
      </c>
      <c r="H349" s="31">
        <f>VLOOKUP('AM (2011)'!$C349+1,CPI!$B$50:$I$63,8,FALSE)*'AM (nominal)'!H349</f>
        <v>2900</v>
      </c>
      <c r="I349" s="31">
        <f>VLOOKUP('AM (2011)'!$C349+1,CPI!$B$50:$I$63,8,FALSE)*'AM (nominal)'!I349</f>
        <v>500</v>
      </c>
      <c r="J349" s="27">
        <f>VLOOKUP('AM (2011)'!$C349+1,CPI!$B$50:$I$63,8,FALSE)*'AM (nominal)'!J349</f>
        <v>29800</v>
      </c>
      <c r="K349" s="31">
        <f>VLOOKUP('AM (2011)'!$C349+1,CPI!$B$50:$I$63,8,FALSE)*'AM (nominal)'!K349</f>
        <v>5400</v>
      </c>
      <c r="L349" s="31">
        <f>VLOOKUP('AM (2011)'!$C349+1,CPI!$B$50:$I$63,8,FALSE)*'AM (nominal)'!L349</f>
        <v>1636</v>
      </c>
      <c r="M349" s="31">
        <f>VLOOKUP('AM (2011)'!$C349+1,CPI!$B$50:$I$63,8,FALSE)*'AM (nominal)'!M349</f>
        <v>4000</v>
      </c>
      <c r="N349" s="639">
        <f>VLOOKUP('AM (2011)'!$C349+1,CPI!$B$50:$I$63,8,FALSE)*'AM (nominal)'!N349</f>
        <v>11036</v>
      </c>
    </row>
    <row r="350" spans="1:14" s="278" customFormat="1" ht="409.6">
      <c r="A350" s="271">
        <f>References!U281</f>
        <v>548</v>
      </c>
      <c r="B350" s="305" t="s">
        <v>52</v>
      </c>
      <c r="C350" s="284">
        <v>2011</v>
      </c>
      <c r="D350" s="284">
        <v>2012</v>
      </c>
      <c r="E350" s="31">
        <f>VLOOKUP('AM (2011)'!$C350+1,CPI!$B$50:$I$63,8,FALSE)*'AM (nominal)'!E350</f>
        <v>8865.1862960568833</v>
      </c>
      <c r="F350" s="31">
        <f>VLOOKUP('AM (2011)'!$C350+1,CPI!$B$50:$I$63,8,FALSE)*'AM (nominal)'!F350</f>
        <v>1847.7285067873302</v>
      </c>
      <c r="G350" s="31">
        <f>VLOOKUP('AM (2011)'!$C350+1,CPI!$B$50:$I$63,8,FALSE)*'AM (nominal)'!G350</f>
        <v>12344.586166774401</v>
      </c>
      <c r="H350" s="31">
        <f>VLOOKUP('AM (2011)'!$C350+1,CPI!$B$50:$I$63,8,FALSE)*'AM (nominal)'!H350</f>
        <v>7591.3290239172593</v>
      </c>
      <c r="I350" s="31">
        <f>VLOOKUP('AM (2011)'!$C350+1,CPI!$B$50:$I$63,8,FALSE)*'AM (nominal)'!I350</f>
        <v>1079.3080801551389</v>
      </c>
      <c r="J350" s="27">
        <f>VLOOKUP('AM (2011)'!$C350+1,CPI!$B$50:$I$63,8,FALSE)*'AM (nominal)'!J350</f>
        <v>31728.138073691014</v>
      </c>
      <c r="K350" s="31">
        <f>VLOOKUP('AM (2011)'!$C350+1,CPI!$B$50:$I$63,8,FALSE)*'AM (nominal)'!K350</f>
        <v>4663.3148028442147</v>
      </c>
      <c r="L350" s="31">
        <f>VLOOKUP('AM (2011)'!$C350+1,CPI!$B$50:$I$63,8,FALSE)*'AM (nominal)'!L350</f>
        <v>1365.7548804137039</v>
      </c>
      <c r="M350" s="31">
        <f>VLOOKUP('AM (2011)'!$C350+1,CPI!$B$50:$I$63,8,FALSE)*'AM (nominal)'!M350</f>
        <v>3343.5087265675502</v>
      </c>
      <c r="N350" s="639">
        <f>VLOOKUP('AM (2011)'!$C350+1,CPI!$B$50:$I$63,8,FALSE)*'AM (nominal)'!N350</f>
        <v>9372.578409825468</v>
      </c>
    </row>
    <row r="351" spans="1:14" s="278" customFormat="1" ht="409.6">
      <c r="A351" s="271">
        <f>References!V281</f>
        <v>549</v>
      </c>
      <c r="B351" s="305" t="s">
        <v>52</v>
      </c>
      <c r="C351" s="284">
        <v>2011</v>
      </c>
      <c r="D351" s="284">
        <v>2013</v>
      </c>
      <c r="E351" s="31">
        <f>VLOOKUP('AM (2011)'!$C351+1,CPI!$B$50:$I$63,8,FALSE)*'AM (nominal)'!E351</f>
        <v>7821.0730446024563</v>
      </c>
      <c r="F351" s="31">
        <f>VLOOKUP('AM (2011)'!$C351+1,CPI!$B$50:$I$63,8,FALSE)*'AM (nominal)'!F351</f>
        <v>2819.4968325791856</v>
      </c>
      <c r="G351" s="31">
        <f>VLOOKUP('AM (2011)'!$C351+1,CPI!$B$50:$I$63,8,FALSE)*'AM (nominal)'!G351</f>
        <v>13138.425080801551</v>
      </c>
      <c r="H351" s="31">
        <f>VLOOKUP('AM (2011)'!$C351+1,CPI!$B$50:$I$63,8,FALSE)*'AM (nominal)'!H351</f>
        <v>26643.462960568842</v>
      </c>
      <c r="I351" s="31">
        <f>VLOOKUP('AM (2011)'!$C351+1,CPI!$B$50:$I$63,8,FALSE)*'AM (nominal)'!I351</f>
        <v>782.10730446024559</v>
      </c>
      <c r="J351" s="27">
        <f>VLOOKUP('AM (2011)'!$C351+1,CPI!$B$50:$I$63,8,FALSE)*'AM (nominal)'!J351</f>
        <v>51204.56522301228</v>
      </c>
      <c r="K351" s="31">
        <f>VLOOKUP('AM (2011)'!$C351+1,CPI!$B$50:$I$63,8,FALSE)*'AM (nominal)'!K351</f>
        <v>4663.3148028442147</v>
      </c>
      <c r="L351" s="31">
        <f>VLOOKUP('AM (2011)'!$C351+1,CPI!$B$50:$I$63,8,FALSE)*'AM (nominal)'!L351</f>
        <v>1365.7548804137039</v>
      </c>
      <c r="M351" s="31">
        <f>VLOOKUP('AM (2011)'!$C351+1,CPI!$B$50:$I$63,8,FALSE)*'AM (nominal)'!M351</f>
        <v>3343.5087265675502</v>
      </c>
      <c r="N351" s="639">
        <f>VLOOKUP('AM (2011)'!$C351+1,CPI!$B$50:$I$63,8,FALSE)*'AM (nominal)'!N351</f>
        <v>9372.578409825468</v>
      </c>
    </row>
    <row r="352" spans="1:14" s="278" customFormat="1" ht="409.6">
      <c r="A352" s="271">
        <f>References!W281</f>
        <v>550</v>
      </c>
      <c r="B352" s="305" t="s">
        <v>52</v>
      </c>
      <c r="C352" s="284">
        <v>2011</v>
      </c>
      <c r="D352" s="284">
        <v>2014</v>
      </c>
      <c r="E352" s="31">
        <f>VLOOKUP('AM (2011)'!$C352+1,CPI!$B$50:$I$63,8,FALSE)*'AM (nominal)'!E352</f>
        <v>7821.0730446024563</v>
      </c>
      <c r="F352" s="31">
        <f>VLOOKUP('AM (2011)'!$C352+1,CPI!$B$50:$I$63,8,FALSE)*'AM (nominal)'!F352</f>
        <v>2819.4968325791856</v>
      </c>
      <c r="G352" s="31">
        <f>VLOOKUP('AM (2011)'!$C352+1,CPI!$B$50:$I$63,8,FALSE)*'AM (nominal)'!G352</f>
        <v>14246.084550743373</v>
      </c>
      <c r="H352" s="31">
        <f>VLOOKUP('AM (2011)'!$C352+1,CPI!$B$50:$I$63,8,FALSE)*'AM (nominal)'!H352</f>
        <v>20875.42159017453</v>
      </c>
      <c r="I352" s="31">
        <f>VLOOKUP('AM (2011)'!$C352+1,CPI!$B$50:$I$63,8,FALSE)*'AM (nominal)'!I352</f>
        <v>782.10730446024559</v>
      </c>
      <c r="J352" s="27">
        <f>VLOOKUP('AM (2011)'!$C352+1,CPI!$B$50:$I$63,8,FALSE)*'AM (nominal)'!J352</f>
        <v>46544.183322559795</v>
      </c>
      <c r="K352" s="31">
        <f>VLOOKUP('AM (2011)'!$C352+1,CPI!$B$50:$I$63,8,FALSE)*'AM (nominal)'!K352</f>
        <v>4663.3148028442147</v>
      </c>
      <c r="L352" s="31">
        <f>VLOOKUP('AM (2011)'!$C352+1,CPI!$B$50:$I$63,8,FALSE)*'AM (nominal)'!L352</f>
        <v>1365.7548804137039</v>
      </c>
      <c r="M352" s="31">
        <f>VLOOKUP('AM (2011)'!$C352+1,CPI!$B$50:$I$63,8,FALSE)*'AM (nominal)'!M352</f>
        <v>3343.5087265675502</v>
      </c>
      <c r="N352" s="639">
        <f>VLOOKUP('AM (2011)'!$C352+1,CPI!$B$50:$I$63,8,FALSE)*'AM (nominal)'!N352</f>
        <v>9372.578409825468</v>
      </c>
    </row>
    <row r="353" spans="1:14" s="278" customFormat="1" ht="409.6">
      <c r="A353" s="271">
        <f>References!X281</f>
        <v>551</v>
      </c>
      <c r="B353" s="305" t="s">
        <v>52</v>
      </c>
      <c r="C353" s="284">
        <v>2011</v>
      </c>
      <c r="D353" s="284">
        <v>2015</v>
      </c>
      <c r="E353" s="31">
        <f>VLOOKUP('AM (2011)'!$C353+1,CPI!$B$50:$I$63,8,FALSE)*'AM (nominal)'!E353</f>
        <v>7821.0730446024563</v>
      </c>
      <c r="F353" s="31">
        <f>VLOOKUP('AM (2011)'!$C353+1,CPI!$B$50:$I$63,8,FALSE)*'AM (nominal)'!F353</f>
        <v>3020.8894634776989</v>
      </c>
      <c r="G353" s="31">
        <f>VLOOKUP('AM (2011)'!$C353+1,CPI!$B$50:$I$63,8,FALSE)*'AM (nominal)'!G353</f>
        <v>16461.403490627021</v>
      </c>
      <c r="H353" s="31">
        <f>VLOOKUP('AM (2011)'!$C353+1,CPI!$B$50:$I$63,8,FALSE)*'AM (nominal)'!H353</f>
        <v>22146.34595992243</v>
      </c>
      <c r="I353" s="31">
        <f>VLOOKUP('AM (2011)'!$C353+1,CPI!$B$50:$I$63,8,FALSE)*'AM (nominal)'!I353</f>
        <v>782.10730446024559</v>
      </c>
      <c r="J353" s="27">
        <f>VLOOKUP('AM (2011)'!$C353+1,CPI!$B$50:$I$63,8,FALSE)*'AM (nominal)'!J353</f>
        <v>50231.819263089848</v>
      </c>
      <c r="K353" s="31">
        <f>VLOOKUP('AM (2011)'!$C353+1,CPI!$B$50:$I$63,8,FALSE)*'AM (nominal)'!K353</f>
        <v>4663.3148028442147</v>
      </c>
      <c r="L353" s="31">
        <f>VLOOKUP('AM (2011)'!$C353+1,CPI!$B$50:$I$63,8,FALSE)*'AM (nominal)'!L353</f>
        <v>1365.7548804137039</v>
      </c>
      <c r="M353" s="31">
        <f>VLOOKUP('AM (2011)'!$C353+1,CPI!$B$50:$I$63,8,FALSE)*'AM (nominal)'!M353</f>
        <v>3343.5087265675502</v>
      </c>
      <c r="N353" s="639">
        <f>VLOOKUP('AM (2011)'!$C353+1,CPI!$B$50:$I$63,8,FALSE)*'AM (nominal)'!N353</f>
        <v>9372.578409825468</v>
      </c>
    </row>
    <row r="354" spans="1:14" s="278" customFormat="1" ht="409.6">
      <c r="A354" s="271">
        <f>References!Y281</f>
        <v>552</v>
      </c>
      <c r="B354" s="305" t="s">
        <v>52</v>
      </c>
      <c r="C354" s="284">
        <v>2011</v>
      </c>
      <c r="D354" s="284">
        <v>2016</v>
      </c>
      <c r="E354" s="31">
        <f>VLOOKUP('AM (2011)'!$C354+1,CPI!$B$50:$I$63,8,FALSE)*'AM (nominal)'!E354</f>
        <v>7821.0730446024563</v>
      </c>
      <c r="F354" s="31">
        <f>VLOOKUP('AM (2011)'!$C354+1,CPI!$B$50:$I$63,8,FALSE)*'AM (nominal)'!F354</f>
        <v>3826.4599870717516</v>
      </c>
      <c r="G354" s="31">
        <f>VLOOKUP('AM (2011)'!$C354+1,CPI!$B$50:$I$63,8,FALSE)*'AM (nominal)'!G354</f>
        <v>16864.188752424045</v>
      </c>
      <c r="H354" s="31">
        <f>VLOOKUP('AM (2011)'!$C354+1,CPI!$B$50:$I$63,8,FALSE)*'AM (nominal)'!H354</f>
        <v>1202.4899806076276</v>
      </c>
      <c r="I354" s="31">
        <f>VLOOKUP('AM (2011)'!$C354+1,CPI!$B$50:$I$63,8,FALSE)*'AM (nominal)'!I354</f>
        <v>782.10730446024559</v>
      </c>
      <c r="J354" s="27">
        <f>VLOOKUP('AM (2011)'!$C354+1,CPI!$B$50:$I$63,8,FALSE)*'AM (nominal)'!J354</f>
        <v>30496.319069166126</v>
      </c>
      <c r="K354" s="31">
        <f>VLOOKUP('AM (2011)'!$C354+1,CPI!$B$50:$I$63,8,FALSE)*'AM (nominal)'!K354</f>
        <v>3795.1756948933416</v>
      </c>
      <c r="L354" s="31">
        <f>VLOOKUP('AM (2011)'!$C354+1,CPI!$B$50:$I$63,8,FALSE)*'AM (nominal)'!L354</f>
        <v>2348.2771816418876</v>
      </c>
      <c r="M354" s="31">
        <f>VLOOKUP('AM (2011)'!$C354+1,CPI!$B$50:$I$63,8,FALSE)*'AM (nominal)'!M354</f>
        <v>3126.4739495798317</v>
      </c>
      <c r="N354" s="639">
        <f>VLOOKUP('AM (2011)'!$C354+1,CPI!$B$50:$I$63,8,FALSE)*'AM (nominal)'!N354</f>
        <v>9269.926826115061</v>
      </c>
    </row>
    <row r="355" spans="1:14" s="278" customFormat="1" ht="409.6">
      <c r="A355" s="271">
        <f>References!K282</f>
        <v>561</v>
      </c>
      <c r="B355" s="305" t="s">
        <v>53</v>
      </c>
      <c r="C355" s="284">
        <v>2009</v>
      </c>
      <c r="D355" s="284">
        <v>2010</v>
      </c>
      <c r="E355" s="31">
        <f>VLOOKUP('AM (2011)'!$C355+1,CPI!$B$50:$I$63,8,FALSE)*'AM (nominal)'!E355</f>
        <v>10131.299075745734</v>
      </c>
      <c r="F355" s="31">
        <f>VLOOKUP('AM (2011)'!$C355+1,CPI!$B$50:$I$63,8,FALSE)*'AM (nominal)'!F355</f>
        <v>39411.609226374923</v>
      </c>
      <c r="G355" s="31">
        <f>VLOOKUP('AM (2011)'!$C355+1,CPI!$B$50:$I$63,8,FALSE)*'AM (nominal)'!G355</f>
        <v>42881.762550187268</v>
      </c>
      <c r="H355" s="31">
        <f>VLOOKUP('AM (2011)'!$C355+1,CPI!$B$50:$I$63,8,FALSE)*'AM (nominal)'!H355</f>
        <v>5786.9849909730265</v>
      </c>
      <c r="I355" s="31">
        <f>VLOOKUP('AM (2011)'!$C355+1,CPI!$B$50:$I$63,8,FALSE)*'AM (nominal)'!I355</f>
        <v>6801.7450351647749</v>
      </c>
      <c r="J355" s="27">
        <f>VLOOKUP('AM (2011)'!$C355+1,CPI!$B$50:$I$63,8,FALSE)*'AM (nominal)'!J355</f>
        <v>105013.40087844573</v>
      </c>
      <c r="K355" s="31">
        <f>VLOOKUP('AM (2011)'!$C355+1,CPI!$B$50:$I$63,8,FALSE)*'AM (nominal)'!K355</f>
        <v>10996.290318234483</v>
      </c>
      <c r="L355" s="31">
        <f>VLOOKUP('AM (2011)'!$C355+1,CPI!$B$50:$I$63,8,FALSE)*'AM (nominal)'!L355</f>
        <v>13730.844493546387</v>
      </c>
      <c r="M355" s="31">
        <f>VLOOKUP('AM (2011)'!$C355+1,CPI!$B$50:$I$63,8,FALSE)*'AM (nominal)'!M355</f>
        <v>20350.21799466465</v>
      </c>
      <c r="N355" s="639">
        <f>VLOOKUP('AM (2011)'!$C355+1,CPI!$B$50:$I$63,8,FALSE)*'AM (nominal)'!N355</f>
        <v>45077.352806445524</v>
      </c>
    </row>
    <row r="356" spans="1:14" s="278" customFormat="1" ht="409.6">
      <c r="A356" s="271">
        <f>References!L282</f>
        <v>562</v>
      </c>
      <c r="B356" s="305" t="s">
        <v>53</v>
      </c>
      <c r="C356" s="284">
        <v>2009</v>
      </c>
      <c r="D356" s="284">
        <v>2011</v>
      </c>
      <c r="E356" s="31">
        <f>VLOOKUP('AM (2011)'!$C356+1,CPI!$B$50:$I$63,8,FALSE)*'AM (nominal)'!E356</f>
        <v>8150.6830858775011</v>
      </c>
      <c r="F356" s="31">
        <f>VLOOKUP('AM (2011)'!$C356+1,CPI!$B$50:$I$63,8,FALSE)*'AM (nominal)'!F356</f>
        <v>30298.126700978144</v>
      </c>
      <c r="G356" s="31">
        <f>VLOOKUP('AM (2011)'!$C356+1,CPI!$B$50:$I$63,8,FALSE)*'AM (nominal)'!G356</f>
        <v>41338.226940799221</v>
      </c>
      <c r="H356" s="31">
        <f>VLOOKUP('AM (2011)'!$C356+1,CPI!$B$50:$I$63,8,FALSE)*'AM (nominal)'!H356</f>
        <v>5225.606693433213</v>
      </c>
      <c r="I356" s="31">
        <f>VLOOKUP('AM (2011)'!$C356+1,CPI!$B$50:$I$63,8,FALSE)*'AM (nominal)'!I356</f>
        <v>5647.4045431273735</v>
      </c>
      <c r="J356" s="27">
        <f>VLOOKUP('AM (2011)'!$C356+1,CPI!$B$50:$I$63,8,FALSE)*'AM (nominal)'!J356</f>
        <v>90660.047964215453</v>
      </c>
      <c r="K356" s="31">
        <f>VLOOKUP('AM (2011)'!$C356+1,CPI!$B$50:$I$63,8,FALSE)*'AM (nominal)'!K356</f>
        <v>10927.009512004526</v>
      </c>
      <c r="L356" s="31">
        <f>VLOOKUP('AM (2011)'!$C356+1,CPI!$B$50:$I$63,8,FALSE)*'AM (nominal)'!L356</f>
        <v>13644.243485758938</v>
      </c>
      <c r="M356" s="31">
        <f>VLOOKUP('AM (2011)'!$C356+1,CPI!$B$50:$I$63,8,FALSE)*'AM (nominal)'!M356</f>
        <v>20221.844736062081</v>
      </c>
      <c r="N356" s="639">
        <f>VLOOKUP('AM (2011)'!$C356+1,CPI!$B$50:$I$63,8,FALSE)*'AM (nominal)'!N356</f>
        <v>44793.097733825547</v>
      </c>
    </row>
    <row r="357" spans="1:14" s="278" customFormat="1" ht="409.6">
      <c r="A357" s="271">
        <f>References!M282</f>
        <v>563</v>
      </c>
      <c r="B357" s="305" t="s">
        <v>53</v>
      </c>
      <c r="C357" s="284">
        <v>2009</v>
      </c>
      <c r="D357" s="284">
        <v>2012</v>
      </c>
      <c r="E357" s="31">
        <f>VLOOKUP('AM (2011)'!$C357+1,CPI!$B$50:$I$63,8,FALSE)*'AM (nominal)'!E357</f>
        <v>12642.728301581739</v>
      </c>
      <c r="F357" s="31">
        <f>VLOOKUP('AM (2011)'!$C357+1,CPI!$B$50:$I$63,8,FALSE)*'AM (nominal)'!F357</f>
        <v>33221.165422650964</v>
      </c>
      <c r="G357" s="31">
        <f>VLOOKUP('AM (2011)'!$C357+1,CPI!$B$50:$I$63,8,FALSE)*'AM (nominal)'!G357</f>
        <v>46553.645280375087</v>
      </c>
      <c r="H357" s="31">
        <f>VLOOKUP('AM (2011)'!$C357+1,CPI!$B$50:$I$63,8,FALSE)*'AM (nominal)'!H357</f>
        <v>5930.6407803616166</v>
      </c>
      <c r="I357" s="31">
        <f>VLOOKUP('AM (2011)'!$C357+1,CPI!$B$50:$I$63,8,FALSE)*'AM (nominal)'!I357</f>
        <v>5827.7384064024136</v>
      </c>
      <c r="J357" s="27">
        <f>VLOOKUP('AM (2011)'!$C357+1,CPI!$B$50:$I$63,8,FALSE)*'AM (nominal)'!J357</f>
        <v>104175.91819137182</v>
      </c>
      <c r="K357" s="31">
        <f>VLOOKUP('AM (2011)'!$C357+1,CPI!$B$50:$I$63,8,FALSE)*'AM (nominal)'!K357</f>
        <v>10715.09175177171</v>
      </c>
      <c r="L357" s="31">
        <f>VLOOKUP('AM (2011)'!$C357+1,CPI!$B$50:$I$63,8,FALSE)*'AM (nominal)'!L357</f>
        <v>13380.365120853654</v>
      </c>
      <c r="M357" s="31">
        <f>VLOOKUP('AM (2011)'!$C357+1,CPI!$B$50:$I$63,8,FALSE)*'AM (nominal)'!M357</f>
        <v>19829.593112554227</v>
      </c>
      <c r="N357" s="639">
        <f>VLOOKUP('AM (2011)'!$C357+1,CPI!$B$50:$I$63,8,FALSE)*'AM (nominal)'!N357</f>
        <v>43925.04998517959</v>
      </c>
    </row>
    <row r="358" spans="1:14" s="278" customFormat="1" ht="409.6">
      <c r="A358" s="271">
        <f>References!N282</f>
        <v>564</v>
      </c>
      <c r="B358" s="305" t="s">
        <v>53</v>
      </c>
      <c r="C358" s="284">
        <v>2009</v>
      </c>
      <c r="D358" s="284">
        <v>2013</v>
      </c>
      <c r="E358" s="31">
        <f>VLOOKUP('AM (2011)'!$C358+1,CPI!$B$50:$I$63,8,FALSE)*'AM (nominal)'!E358</f>
        <v>18006.896607474871</v>
      </c>
      <c r="F358" s="31">
        <f>VLOOKUP('AM (2011)'!$C358+1,CPI!$B$50:$I$63,8,FALSE)*'AM (nominal)'!F358</f>
        <v>44381.488237988728</v>
      </c>
      <c r="G358" s="31">
        <f>VLOOKUP('AM (2011)'!$C358+1,CPI!$B$50:$I$63,8,FALSE)*'AM (nominal)'!G358</f>
        <v>52277.462477432557</v>
      </c>
      <c r="H358" s="31">
        <f>VLOOKUP('AM (2011)'!$C358+1,CPI!$B$50:$I$63,8,FALSE)*'AM (nominal)'!H358</f>
        <v>6286.2143299830232</v>
      </c>
      <c r="I358" s="31">
        <f>VLOOKUP('AM (2011)'!$C358+1,CPI!$B$50:$I$63,8,FALSE)*'AM (nominal)'!I358</f>
        <v>6113.0123144081263</v>
      </c>
      <c r="J358" s="27">
        <f>VLOOKUP('AM (2011)'!$C358+1,CPI!$B$50:$I$63,8,FALSE)*'AM (nominal)'!J358</f>
        <v>127065.0739672873</v>
      </c>
      <c r="K358" s="31">
        <f>VLOOKUP('AM (2011)'!$C358+1,CPI!$B$50:$I$63,8,FALSE)*'AM (nominal)'!K358</f>
        <v>10590.793834712078</v>
      </c>
      <c r="L358" s="31">
        <f>VLOOKUP('AM (2011)'!$C358+1,CPI!$B$50:$I$63,8,FALSE)*'AM (nominal)'!L358</f>
        <v>13224.483306836246</v>
      </c>
      <c r="M358" s="31">
        <f>VLOOKUP('AM (2011)'!$C358+1,CPI!$B$50:$I$63,8,FALSE)*'AM (nominal)'!M358</f>
        <v>19598.317479992453</v>
      </c>
      <c r="N358" s="639">
        <f>VLOOKUP('AM (2011)'!$C358+1,CPI!$B$50:$I$63,8,FALSE)*'AM (nominal)'!N358</f>
        <v>43413.594621540775</v>
      </c>
    </row>
    <row r="359" spans="1:14" s="278" customFormat="1" ht="409.6">
      <c r="A359" s="271">
        <f>References!O282</f>
        <v>565</v>
      </c>
      <c r="B359" s="305" t="s">
        <v>53</v>
      </c>
      <c r="C359" s="284">
        <v>2009</v>
      </c>
      <c r="D359" s="284">
        <v>2014</v>
      </c>
      <c r="E359" s="31">
        <f>VLOOKUP('AM (2011)'!$C359+1,CPI!$B$50:$I$63,8,FALSE)*'AM (nominal)'!E359</f>
        <v>23265.106033251592</v>
      </c>
      <c r="F359" s="31">
        <f>VLOOKUP('AM (2011)'!$C359+1,CPI!$B$50:$I$63,8,FALSE)*'AM (nominal)'!F359</f>
        <v>54350.79248740265</v>
      </c>
      <c r="G359" s="31">
        <f>VLOOKUP('AM (2011)'!$C359+1,CPI!$B$50:$I$63,8,FALSE)*'AM (nominal)'!G359</f>
        <v>55762.898332030927</v>
      </c>
      <c r="H359" s="31">
        <f>VLOOKUP('AM (2011)'!$C359+1,CPI!$B$50:$I$63,8,FALSE)*'AM (nominal)'!H359</f>
        <v>5140.0245210314997</v>
      </c>
      <c r="I359" s="31">
        <f>VLOOKUP('AM (2011)'!$C359+1,CPI!$B$50:$I$63,8,FALSE)*'AM (nominal)'!I359</f>
        <v>6113.0123144081263</v>
      </c>
      <c r="J359" s="27">
        <f>VLOOKUP('AM (2011)'!$C359+1,CPI!$B$50:$I$63,8,FALSE)*'AM (nominal)'!J359</f>
        <v>144631.83368812478</v>
      </c>
      <c r="K359" s="31">
        <f>VLOOKUP('AM (2011)'!$C359+1,CPI!$B$50:$I$63,8,FALSE)*'AM (nominal)'!K359</f>
        <v>10449.175716094956</v>
      </c>
      <c r="L359" s="31">
        <f>VLOOKUP('AM (2011)'!$C359+1,CPI!$B$50:$I$63,8,FALSE)*'AM (nominal)'!L359</f>
        <v>13048.224785104145</v>
      </c>
      <c r="M359" s="31">
        <f>VLOOKUP('AM (2011)'!$C359+1,CPI!$B$50:$I$63,8,FALSE)*'AM (nominal)'!M359</f>
        <v>19337.495621244372</v>
      </c>
      <c r="N359" s="639">
        <f>VLOOKUP('AM (2011)'!$C359+1,CPI!$B$50:$I$63,8,FALSE)*'AM (nominal)'!N359</f>
        <v>42834.896122443475</v>
      </c>
    </row>
    <row r="360" spans="1:14" s="278" customFormat="1" ht="409.6">
      <c r="A360" s="271">
        <f>References!P282</f>
        <v>566</v>
      </c>
      <c r="B360" s="305" t="s">
        <v>53</v>
      </c>
      <c r="C360" s="284">
        <v>2010</v>
      </c>
      <c r="D360" s="284">
        <v>2011</v>
      </c>
      <c r="E360" s="31">
        <f>VLOOKUP('AM (2011)'!$C360+1,CPI!$B$50:$I$63,8,FALSE)*'AM (nominal)'!E360</f>
        <v>17500</v>
      </c>
      <c r="F360" s="31">
        <f>VLOOKUP('AM (2011)'!$C360+1,CPI!$B$50:$I$63,8,FALSE)*'AM (nominal)'!F360</f>
        <v>43300</v>
      </c>
      <c r="G360" s="31">
        <f>VLOOKUP('AM (2011)'!$C360+1,CPI!$B$50:$I$63,8,FALSE)*'AM (nominal)'!G360</f>
        <v>47500</v>
      </c>
      <c r="H360" s="31">
        <f>VLOOKUP('AM (2011)'!$C360+1,CPI!$B$50:$I$63,8,FALSE)*'AM (nominal)'!H360</f>
        <v>4500</v>
      </c>
      <c r="I360" s="31">
        <f>VLOOKUP('AM (2011)'!$C360+1,CPI!$B$50:$I$63,8,FALSE)*'AM (nominal)'!I360</f>
        <v>23300</v>
      </c>
      <c r="J360" s="27">
        <f>VLOOKUP('AM (2011)'!$C360+1,CPI!$B$50:$I$63,8,FALSE)*'AM (nominal)'!J360</f>
        <v>136100</v>
      </c>
      <c r="K360" s="31">
        <f>VLOOKUP('AM (2011)'!$C360+1,CPI!$B$50:$I$63,8,FALSE)*'AM (nominal)'!K360</f>
        <v>13700</v>
      </c>
      <c r="L360" s="31">
        <f>VLOOKUP('AM (2011)'!$C360+1,CPI!$B$50:$I$63,8,FALSE)*'AM (nominal)'!L360</f>
        <v>11800</v>
      </c>
      <c r="M360" s="31">
        <f>VLOOKUP('AM (2011)'!$C360+1,CPI!$B$50:$I$63,8,FALSE)*'AM (nominal)'!M360</f>
        <v>14900</v>
      </c>
      <c r="N360" s="639">
        <f>VLOOKUP('AM (2011)'!$C360+1,CPI!$B$50:$I$63,8,FALSE)*'AM (nominal)'!N360</f>
        <v>40400</v>
      </c>
    </row>
    <row r="361" spans="1:14" s="278" customFormat="1" ht="409.6">
      <c r="A361" s="271">
        <f>References!Q282</f>
        <v>567</v>
      </c>
      <c r="B361" s="305" t="s">
        <v>53</v>
      </c>
      <c r="C361" s="284">
        <v>2010</v>
      </c>
      <c r="D361" s="284">
        <v>2012</v>
      </c>
      <c r="E361" s="31">
        <f>VLOOKUP('AM (2011)'!$C361+1,CPI!$B$50:$I$63,8,FALSE)*'AM (nominal)'!E361</f>
        <v>18500</v>
      </c>
      <c r="F361" s="31">
        <f>VLOOKUP('AM (2011)'!$C361+1,CPI!$B$50:$I$63,8,FALSE)*'AM (nominal)'!F361</f>
        <v>45300</v>
      </c>
      <c r="G361" s="31">
        <f>VLOOKUP('AM (2011)'!$C361+1,CPI!$B$50:$I$63,8,FALSE)*'AM (nominal)'!G361</f>
        <v>55400</v>
      </c>
      <c r="H361" s="31">
        <f>VLOOKUP('AM (2011)'!$C361+1,CPI!$B$50:$I$63,8,FALSE)*'AM (nominal)'!H361</f>
        <v>5800</v>
      </c>
      <c r="I361" s="31">
        <f>VLOOKUP('AM (2011)'!$C361+1,CPI!$B$50:$I$63,8,FALSE)*'AM (nominal)'!I361</f>
        <v>22300</v>
      </c>
      <c r="J361" s="27">
        <f>VLOOKUP('AM (2011)'!$C361+1,CPI!$B$50:$I$63,8,FALSE)*'AM (nominal)'!J361</f>
        <v>147300</v>
      </c>
      <c r="K361" s="31">
        <f>VLOOKUP('AM (2011)'!$C361+1,CPI!$B$50:$I$63,8,FALSE)*'AM (nominal)'!K361</f>
        <v>13700</v>
      </c>
      <c r="L361" s="31">
        <f>VLOOKUP('AM (2011)'!$C361+1,CPI!$B$50:$I$63,8,FALSE)*'AM (nominal)'!L361</f>
        <v>11800</v>
      </c>
      <c r="M361" s="31">
        <f>VLOOKUP('AM (2011)'!$C361+1,CPI!$B$50:$I$63,8,FALSE)*'AM (nominal)'!M361</f>
        <v>14900</v>
      </c>
      <c r="N361" s="639">
        <f>VLOOKUP('AM (2011)'!$C361+1,CPI!$B$50:$I$63,8,FALSE)*'AM (nominal)'!N361</f>
        <v>40400</v>
      </c>
    </row>
    <row r="362" spans="1:14" s="278" customFormat="1" ht="409.6">
      <c r="A362" s="271">
        <f>References!R282</f>
        <v>568</v>
      </c>
      <c r="B362" s="305" t="s">
        <v>53</v>
      </c>
      <c r="C362" s="284">
        <v>2010</v>
      </c>
      <c r="D362" s="284">
        <v>2013</v>
      </c>
      <c r="E362" s="31">
        <f>VLOOKUP('AM (2011)'!$C362+1,CPI!$B$50:$I$63,8,FALSE)*'AM (nominal)'!E362</f>
        <v>19000</v>
      </c>
      <c r="F362" s="31">
        <f>VLOOKUP('AM (2011)'!$C362+1,CPI!$B$50:$I$63,8,FALSE)*'AM (nominal)'!F362</f>
        <v>53500</v>
      </c>
      <c r="G362" s="31">
        <f>VLOOKUP('AM (2011)'!$C362+1,CPI!$B$50:$I$63,8,FALSE)*'AM (nominal)'!G362</f>
        <v>57300</v>
      </c>
      <c r="H362" s="31">
        <f>VLOOKUP('AM (2011)'!$C362+1,CPI!$B$50:$I$63,8,FALSE)*'AM (nominal)'!H362</f>
        <v>5900</v>
      </c>
      <c r="I362" s="31">
        <f>VLOOKUP('AM (2011)'!$C362+1,CPI!$B$50:$I$63,8,FALSE)*'AM (nominal)'!I362</f>
        <v>20100</v>
      </c>
      <c r="J362" s="27">
        <f>VLOOKUP('AM (2011)'!$C362+1,CPI!$B$50:$I$63,8,FALSE)*'AM (nominal)'!J362</f>
        <v>155800</v>
      </c>
      <c r="K362" s="31">
        <f>VLOOKUP('AM (2011)'!$C362+1,CPI!$B$50:$I$63,8,FALSE)*'AM (nominal)'!K362</f>
        <v>13700</v>
      </c>
      <c r="L362" s="31">
        <f>VLOOKUP('AM (2011)'!$C362+1,CPI!$B$50:$I$63,8,FALSE)*'AM (nominal)'!L362</f>
        <v>11800</v>
      </c>
      <c r="M362" s="31">
        <f>VLOOKUP('AM (2011)'!$C362+1,CPI!$B$50:$I$63,8,FALSE)*'AM (nominal)'!M362</f>
        <v>14900</v>
      </c>
      <c r="N362" s="639">
        <f>VLOOKUP('AM (2011)'!$C362+1,CPI!$B$50:$I$63,8,FALSE)*'AM (nominal)'!N362</f>
        <v>40400</v>
      </c>
    </row>
    <row r="363" spans="1:14" s="278" customFormat="1" ht="409.6">
      <c r="A363" s="271">
        <f>References!S282</f>
        <v>569</v>
      </c>
      <c r="B363" s="305" t="s">
        <v>53</v>
      </c>
      <c r="C363" s="284">
        <v>2010</v>
      </c>
      <c r="D363" s="284">
        <v>2014</v>
      </c>
      <c r="E363" s="31">
        <f>VLOOKUP('AM (2011)'!$C363+1,CPI!$B$50:$I$63,8,FALSE)*'AM (nominal)'!E363</f>
        <v>19700</v>
      </c>
      <c r="F363" s="31">
        <f>VLOOKUP('AM (2011)'!$C363+1,CPI!$B$50:$I$63,8,FALSE)*'AM (nominal)'!F363</f>
        <v>62600</v>
      </c>
      <c r="G363" s="31">
        <f>VLOOKUP('AM (2011)'!$C363+1,CPI!$B$50:$I$63,8,FALSE)*'AM (nominal)'!G363</f>
        <v>56700</v>
      </c>
      <c r="H363" s="31">
        <f>VLOOKUP('AM (2011)'!$C363+1,CPI!$B$50:$I$63,8,FALSE)*'AM (nominal)'!H363</f>
        <v>4300</v>
      </c>
      <c r="I363" s="31">
        <f>VLOOKUP('AM (2011)'!$C363+1,CPI!$B$50:$I$63,8,FALSE)*'AM (nominal)'!I363</f>
        <v>19400</v>
      </c>
      <c r="J363" s="27">
        <f>VLOOKUP('AM (2011)'!$C363+1,CPI!$B$50:$I$63,8,FALSE)*'AM (nominal)'!J363</f>
        <v>162700</v>
      </c>
      <c r="K363" s="31">
        <f>VLOOKUP('AM (2011)'!$C363+1,CPI!$B$50:$I$63,8,FALSE)*'AM (nominal)'!K363</f>
        <v>13700</v>
      </c>
      <c r="L363" s="31">
        <f>VLOOKUP('AM (2011)'!$C363+1,CPI!$B$50:$I$63,8,FALSE)*'AM (nominal)'!L363</f>
        <v>11800</v>
      </c>
      <c r="M363" s="31">
        <f>VLOOKUP('AM (2011)'!$C363+1,CPI!$B$50:$I$63,8,FALSE)*'AM (nominal)'!M363</f>
        <v>14900</v>
      </c>
      <c r="N363" s="639">
        <f>VLOOKUP('AM (2011)'!$C363+1,CPI!$B$50:$I$63,8,FALSE)*'AM (nominal)'!N363</f>
        <v>40400</v>
      </c>
    </row>
    <row r="364" spans="1:14" s="278" customFormat="1" ht="409.6">
      <c r="A364" s="271">
        <f>References!T282</f>
        <v>570</v>
      </c>
      <c r="B364" s="305" t="s">
        <v>53</v>
      </c>
      <c r="C364" s="284">
        <v>2010</v>
      </c>
      <c r="D364" s="284">
        <v>2015</v>
      </c>
      <c r="E364" s="31">
        <f>VLOOKUP('AM (2011)'!$C364+1,CPI!$B$50:$I$63,8,FALSE)*'AM (nominal)'!E364</f>
        <v>20000</v>
      </c>
      <c r="F364" s="31">
        <f>VLOOKUP('AM (2011)'!$C364+1,CPI!$B$50:$I$63,8,FALSE)*'AM (nominal)'!F364</f>
        <v>52800</v>
      </c>
      <c r="G364" s="31">
        <f>VLOOKUP('AM (2011)'!$C364+1,CPI!$B$50:$I$63,8,FALSE)*'AM (nominal)'!G364</f>
        <v>57700</v>
      </c>
      <c r="H364" s="31">
        <f>VLOOKUP('AM (2011)'!$C364+1,CPI!$B$50:$I$63,8,FALSE)*'AM (nominal)'!H364</f>
        <v>3800</v>
      </c>
      <c r="I364" s="31">
        <f>VLOOKUP('AM (2011)'!$C364+1,CPI!$B$50:$I$63,8,FALSE)*'AM (nominal)'!I364</f>
        <v>19000</v>
      </c>
      <c r="J364" s="27">
        <f>VLOOKUP('AM (2011)'!$C364+1,CPI!$B$50:$I$63,8,FALSE)*'AM (nominal)'!J364</f>
        <v>153300</v>
      </c>
      <c r="K364" s="31">
        <f>VLOOKUP('AM (2011)'!$C364+1,CPI!$B$50:$I$63,8,FALSE)*'AM (nominal)'!K364</f>
        <v>13700</v>
      </c>
      <c r="L364" s="31">
        <f>VLOOKUP('AM (2011)'!$C364+1,CPI!$B$50:$I$63,8,FALSE)*'AM (nominal)'!L364</f>
        <v>11800</v>
      </c>
      <c r="M364" s="31">
        <f>VLOOKUP('AM (2011)'!$C364+1,CPI!$B$50:$I$63,8,FALSE)*'AM (nominal)'!M364</f>
        <v>14900</v>
      </c>
      <c r="N364" s="639">
        <f>VLOOKUP('AM (2011)'!$C364+1,CPI!$B$50:$I$63,8,FALSE)*'AM (nominal)'!N364</f>
        <v>40400</v>
      </c>
    </row>
    <row r="365" spans="1:14" s="278" customFormat="1" ht="409.6">
      <c r="A365" s="271">
        <f>References!U282</f>
        <v>571</v>
      </c>
      <c r="B365" s="305" t="s">
        <v>53</v>
      </c>
      <c r="C365" s="284">
        <v>2011</v>
      </c>
      <c r="D365" s="284">
        <v>2012</v>
      </c>
      <c r="E365" s="31">
        <f>VLOOKUP('AM (2011)'!$C365+1,CPI!$B$50:$I$63,8,FALSE)*'AM (nominal)'!E365</f>
        <v>21116.897220426632</v>
      </c>
      <c r="F365" s="31">
        <f>VLOOKUP('AM (2011)'!$C365+1,CPI!$B$50:$I$63,8,FALSE)*'AM (nominal)'!F365</f>
        <v>54258.694246929539</v>
      </c>
      <c r="G365" s="31">
        <f>VLOOKUP('AM (2011)'!$C365+1,CPI!$B$50:$I$63,8,FALSE)*'AM (nominal)'!G365</f>
        <v>54649.747899159665</v>
      </c>
      <c r="H365" s="31">
        <f>VLOOKUP('AM (2011)'!$C365+1,CPI!$B$50:$I$63,8,FALSE)*'AM (nominal)'!H365</f>
        <v>3323.9560439560437</v>
      </c>
      <c r="I365" s="31">
        <f>VLOOKUP('AM (2011)'!$C365+1,CPI!$B$50:$I$63,8,FALSE)*'AM (nominal)'!I365</f>
        <v>25222.960568842922</v>
      </c>
      <c r="J365" s="27">
        <f>VLOOKUP('AM (2011)'!$C365+1,CPI!$B$50:$I$63,8,FALSE)*'AM (nominal)'!J365</f>
        <v>158572.2559793148</v>
      </c>
      <c r="K365" s="31">
        <f>VLOOKUP('AM (2011)'!$C365+1,CPI!$B$50:$I$63,8,FALSE)*'AM (nominal)'!K365</f>
        <v>19161.628959276019</v>
      </c>
      <c r="L365" s="31">
        <f>VLOOKUP('AM (2011)'!$C365+1,CPI!$B$50:$I$63,8,FALSE)*'AM (nominal)'!L365</f>
        <v>11340.555914673561</v>
      </c>
      <c r="M365" s="31">
        <f>VLOOKUP('AM (2011)'!$C365+1,CPI!$B$50:$I$63,8,FALSE)*'AM (nominal)'!M365</f>
        <v>12709.243697478991</v>
      </c>
      <c r="N365" s="639">
        <f>VLOOKUP('AM (2011)'!$C365+1,CPI!$B$50:$I$63,8,FALSE)*'AM (nominal)'!N365</f>
        <v>43211.428571428572</v>
      </c>
    </row>
    <row r="366" spans="1:14" s="278" customFormat="1" ht="409.6">
      <c r="A366" s="271">
        <f>References!V282</f>
        <v>572</v>
      </c>
      <c r="B366" s="305" t="s">
        <v>53</v>
      </c>
      <c r="C366" s="284">
        <v>2011</v>
      </c>
      <c r="D366" s="284">
        <v>2013</v>
      </c>
      <c r="E366" s="31">
        <f>VLOOKUP('AM (2011)'!$C366+1,CPI!$B$50:$I$63,8,FALSE)*'AM (nominal)'!E366</f>
        <v>21507.950872656755</v>
      </c>
      <c r="F366" s="31">
        <f>VLOOKUP('AM (2011)'!$C366+1,CPI!$B$50:$I$63,8,FALSE)*'AM (nominal)'!F366</f>
        <v>49468.287007110535</v>
      </c>
      <c r="G366" s="31">
        <f>VLOOKUP('AM (2011)'!$C366+1,CPI!$B$50:$I$63,8,FALSE)*'AM (nominal)'!G366</f>
        <v>61786.477052359405</v>
      </c>
      <c r="H366" s="31">
        <f>VLOOKUP('AM (2011)'!$C366+1,CPI!$B$50:$I$63,8,FALSE)*'AM (nominal)'!H366</f>
        <v>3910.5365223012282</v>
      </c>
      <c r="I366" s="31">
        <f>VLOOKUP('AM (2011)'!$C366+1,CPI!$B$50:$I$63,8,FALSE)*'AM (nominal)'!I366</f>
        <v>21116.897220426632</v>
      </c>
      <c r="J366" s="27">
        <f>VLOOKUP('AM (2011)'!$C366+1,CPI!$B$50:$I$63,8,FALSE)*'AM (nominal)'!J366</f>
        <v>157790.14867485454</v>
      </c>
      <c r="K366" s="31">
        <f>VLOOKUP('AM (2011)'!$C366+1,CPI!$B$50:$I$63,8,FALSE)*'AM (nominal)'!K366</f>
        <v>19357.155785391078</v>
      </c>
      <c r="L366" s="31">
        <f>VLOOKUP('AM (2011)'!$C366+1,CPI!$B$50:$I$63,8,FALSE)*'AM (nominal)'!L366</f>
        <v>11731.609566903684</v>
      </c>
      <c r="M366" s="31">
        <f>VLOOKUP('AM (2011)'!$C366+1,CPI!$B$50:$I$63,8,FALSE)*'AM (nominal)'!M366</f>
        <v>12807.007110536522</v>
      </c>
      <c r="N366" s="639">
        <f>VLOOKUP('AM (2011)'!$C366+1,CPI!$B$50:$I$63,8,FALSE)*'AM (nominal)'!N366</f>
        <v>43895.772462831286</v>
      </c>
    </row>
    <row r="367" spans="1:14" s="278" customFormat="1" ht="409.6">
      <c r="A367" s="271">
        <f>References!W282</f>
        <v>573</v>
      </c>
      <c r="B367" s="305" t="s">
        <v>53</v>
      </c>
      <c r="C367" s="284">
        <v>2011</v>
      </c>
      <c r="D367" s="284">
        <v>2014</v>
      </c>
      <c r="E367" s="31">
        <f>VLOOKUP('AM (2011)'!$C367+1,CPI!$B$50:$I$63,8,FALSE)*'AM (nominal)'!E367</f>
        <v>21703.477698771814</v>
      </c>
      <c r="F367" s="31">
        <f>VLOOKUP('AM (2011)'!$C367+1,CPI!$B$50:$I$63,8,FALSE)*'AM (nominal)'!F367</f>
        <v>43993.535875888818</v>
      </c>
      <c r="G367" s="31">
        <f>VLOOKUP('AM (2011)'!$C367+1,CPI!$B$50:$I$63,8,FALSE)*'AM (nominal)'!G367</f>
        <v>61297.659987071747</v>
      </c>
      <c r="H367" s="31">
        <f>VLOOKUP('AM (2011)'!$C367+1,CPI!$B$50:$I$63,8,FALSE)*'AM (nominal)'!H367</f>
        <v>3715.0096961861668</v>
      </c>
      <c r="I367" s="31">
        <f>VLOOKUP('AM (2011)'!$C367+1,CPI!$B$50:$I$63,8,FALSE)*'AM (nominal)'!I367</f>
        <v>18966.102133160955</v>
      </c>
      <c r="J367" s="27">
        <f>VLOOKUP('AM (2011)'!$C367+1,CPI!$B$50:$I$63,8,FALSE)*'AM (nominal)'!J367</f>
        <v>149675.78539107949</v>
      </c>
      <c r="K367" s="31">
        <f>VLOOKUP('AM (2011)'!$C367+1,CPI!$B$50:$I$63,8,FALSE)*'AM (nominal)'!K367</f>
        <v>19259.392372333547</v>
      </c>
      <c r="L367" s="31">
        <f>VLOOKUP('AM (2011)'!$C367+1,CPI!$B$50:$I$63,8,FALSE)*'AM (nominal)'!L367</f>
        <v>11633.846153846154</v>
      </c>
      <c r="M367" s="31">
        <f>VLOOKUP('AM (2011)'!$C367+1,CPI!$B$50:$I$63,8,FALSE)*'AM (nominal)'!M367</f>
        <v>12807.007110536522</v>
      </c>
      <c r="N367" s="639">
        <f>VLOOKUP('AM (2011)'!$C367+1,CPI!$B$50:$I$63,8,FALSE)*'AM (nominal)'!N367</f>
        <v>43700.245636716223</v>
      </c>
    </row>
    <row r="368" spans="1:14" s="278" customFormat="1" ht="409.6">
      <c r="A368" s="271">
        <f>References!X282</f>
        <v>574</v>
      </c>
      <c r="B368" s="305" t="s">
        <v>53</v>
      </c>
      <c r="C368" s="284">
        <v>2011</v>
      </c>
      <c r="D368" s="284">
        <v>2015</v>
      </c>
      <c r="E368" s="31">
        <f>VLOOKUP('AM (2011)'!$C368+1,CPI!$B$50:$I$63,8,FALSE)*'AM (nominal)'!E368</f>
        <v>21899.004524886877</v>
      </c>
      <c r="F368" s="31">
        <f>VLOOKUP('AM (2011)'!$C368+1,CPI!$B$50:$I$63,8,FALSE)*'AM (nominal)'!F368</f>
        <v>40082.999353587591</v>
      </c>
      <c r="G368" s="31">
        <f>VLOOKUP('AM (2011)'!$C368+1,CPI!$B$50:$I$63,8,FALSE)*'AM (nominal)'!G368</f>
        <v>58169.230769230766</v>
      </c>
      <c r="H368" s="31">
        <f>VLOOKUP('AM (2011)'!$C368+1,CPI!$B$50:$I$63,8,FALSE)*'AM (nominal)'!H368</f>
        <v>3128.4292178409823</v>
      </c>
      <c r="I368" s="31">
        <f>VLOOKUP('AM (2011)'!$C368+1,CPI!$B$50:$I$63,8,FALSE)*'AM (nominal)'!I368</f>
        <v>18672.811893988364</v>
      </c>
      <c r="J368" s="27">
        <f>VLOOKUP('AM (2011)'!$C368+1,CPI!$B$50:$I$63,8,FALSE)*'AM (nominal)'!J368</f>
        <v>141952.47575953457</v>
      </c>
      <c r="K368" s="31">
        <f>VLOOKUP('AM (2011)'!$C368+1,CPI!$B$50:$I$63,8,FALSE)*'AM (nominal)'!K368</f>
        <v>19454.91919844861</v>
      </c>
      <c r="L368" s="31">
        <f>VLOOKUP('AM (2011)'!$C368+1,CPI!$B$50:$I$63,8,FALSE)*'AM (nominal)'!L368</f>
        <v>11633.846153846154</v>
      </c>
      <c r="M368" s="31">
        <f>VLOOKUP('AM (2011)'!$C368+1,CPI!$B$50:$I$63,8,FALSE)*'AM (nominal)'!M368</f>
        <v>12904.770523594052</v>
      </c>
      <c r="N368" s="639">
        <f>VLOOKUP('AM (2011)'!$C368+1,CPI!$B$50:$I$63,8,FALSE)*'AM (nominal)'!N368</f>
        <v>43993.535875888818</v>
      </c>
    </row>
    <row r="369" spans="1:14" s="278" customFormat="1" ht="409.6">
      <c r="A369" s="271">
        <f>References!Y282</f>
        <v>575</v>
      </c>
      <c r="B369" s="305" t="s">
        <v>53</v>
      </c>
      <c r="C369" s="284">
        <v>2011</v>
      </c>
      <c r="D369" s="284">
        <v>2016</v>
      </c>
      <c r="E369" s="31">
        <f>VLOOKUP('AM (2011)'!$C369+1,CPI!$B$50:$I$63,8,FALSE)*'AM (nominal)'!E369</f>
        <v>21996.767937944409</v>
      </c>
      <c r="F369" s="31">
        <f>VLOOKUP('AM (2011)'!$C369+1,CPI!$B$50:$I$63,8,FALSE)*'AM (nominal)'!F369</f>
        <v>42136.031027795732</v>
      </c>
      <c r="G369" s="31">
        <f>VLOOKUP('AM (2011)'!$C369+1,CPI!$B$50:$I$63,8,FALSE)*'AM (nominal)'!G369</f>
        <v>58462.521008403361</v>
      </c>
      <c r="H369" s="31">
        <f>VLOOKUP('AM (2011)'!$C369+1,CPI!$B$50:$I$63,8,FALSE)*'AM (nominal)'!H369</f>
        <v>2737.3755656108597</v>
      </c>
      <c r="I369" s="31">
        <f>VLOOKUP('AM (2011)'!$C369+1,CPI!$B$50:$I$63,8,FALSE)*'AM (nominal)'!I369</f>
        <v>18086.231415643178</v>
      </c>
      <c r="J369" s="27">
        <f>VLOOKUP('AM (2011)'!$C369+1,CPI!$B$50:$I$63,8,FALSE)*'AM (nominal)'!J369</f>
        <v>143418.92695539753</v>
      </c>
      <c r="K369" s="31">
        <f>VLOOKUP('AM (2011)'!$C369+1,CPI!$B$50:$I$63,8,FALSE)*'AM (nominal)'!K369</f>
        <v>19454.91919844861</v>
      </c>
      <c r="L369" s="31">
        <f>VLOOKUP('AM (2011)'!$C369+1,CPI!$B$50:$I$63,8,FALSE)*'AM (nominal)'!L369</f>
        <v>10753.975436328377</v>
      </c>
      <c r="M369" s="31">
        <f>VLOOKUP('AM (2011)'!$C369+1,CPI!$B$50:$I$63,8,FALSE)*'AM (nominal)'!M369</f>
        <v>13002.533936651584</v>
      </c>
      <c r="N369" s="639">
        <f>VLOOKUP('AM (2011)'!$C369+1,CPI!$B$50:$I$63,8,FALSE)*'AM (nominal)'!N369</f>
        <v>43211.428571428572</v>
      </c>
    </row>
    <row r="370" spans="1:14" s="278" customFormat="1" ht="409.6">
      <c r="A370" s="271">
        <f>References!K283</f>
        <v>584</v>
      </c>
      <c r="B370" s="305" t="s">
        <v>54</v>
      </c>
      <c r="C370" s="284">
        <v>2009</v>
      </c>
      <c r="D370" s="284">
        <v>2010</v>
      </c>
      <c r="E370" s="31">
        <f>VLOOKUP('AM (2011)'!$C370+1,CPI!$B$50:$I$63,8,FALSE)*'AM (nominal)'!E370</f>
        <v>2725.3846568402896</v>
      </c>
      <c r="F370" s="31">
        <f>VLOOKUP('AM (2011)'!$C370+1,CPI!$B$50:$I$63,8,FALSE)*'AM (nominal)'!F370</f>
        <v>112.07189243081565</v>
      </c>
      <c r="G370" s="31">
        <f>VLOOKUP('AM (2011)'!$C370+1,CPI!$B$50:$I$63,8,FALSE)*'AM (nominal)'!G370</f>
        <v>837.48268707391333</v>
      </c>
      <c r="H370" s="31">
        <f>VLOOKUP('AM (2011)'!$C370+1,CPI!$B$50:$I$63,8,FALSE)*'AM (nominal)'!H370</f>
        <v>1175.7360351378295</v>
      </c>
      <c r="I370" s="31">
        <f>VLOOKUP('AM (2011)'!$C370+1,CPI!$B$50:$I$63,8,FALSE)*'AM (nominal)'!I370</f>
        <v>0</v>
      </c>
      <c r="J370" s="27">
        <f>VLOOKUP('AM (2011)'!$C370+1,CPI!$B$50:$I$63,8,FALSE)*'AM (nominal)'!J370</f>
        <v>4850.6752714828481</v>
      </c>
      <c r="K370" s="31">
        <f>VLOOKUP('AM (2011)'!$C370+1,CPI!$B$50:$I$63,8,FALSE)*'AM (nominal)'!K370</f>
        <v>1338.7496968553796</v>
      </c>
      <c r="L370" s="31">
        <f>VLOOKUP('AM (2011)'!$C370+1,CPI!$B$50:$I$63,8,FALSE)*'AM (nominal)'!L370</f>
        <v>135.50510630271347</v>
      </c>
      <c r="M370" s="31">
        <f>VLOOKUP('AM (2011)'!$C370+1,CPI!$B$50:$I$63,8,FALSE)*'AM (nominal)'!M370</f>
        <v>437.08038048018102</v>
      </c>
      <c r="N370" s="639">
        <f>VLOOKUP('AM (2011)'!$C370+1,CPI!$B$50:$I$63,8,FALSE)*'AM (nominal)'!N370</f>
        <v>1911.3351836382742</v>
      </c>
    </row>
    <row r="371" spans="1:14" s="278" customFormat="1" ht="409.6">
      <c r="A371" s="271">
        <f>References!L283</f>
        <v>585</v>
      </c>
      <c r="B371" s="305" t="s">
        <v>54</v>
      </c>
      <c r="C371" s="284">
        <v>2009</v>
      </c>
      <c r="D371" s="284">
        <v>2011</v>
      </c>
      <c r="E371" s="31">
        <f>VLOOKUP('AM (2011)'!$C371+1,CPI!$B$50:$I$63,8,FALSE)*'AM (nominal)'!E371</f>
        <v>2725.3846568402896</v>
      </c>
      <c r="F371" s="31">
        <f>VLOOKUP('AM (2011)'!$C371+1,CPI!$B$50:$I$63,8,FALSE)*'AM (nominal)'!F371</f>
        <v>112.07189243081565</v>
      </c>
      <c r="G371" s="31">
        <f>VLOOKUP('AM (2011)'!$C371+1,CPI!$B$50:$I$63,8,FALSE)*'AM (nominal)'!G371</f>
        <v>132.4486001455094</v>
      </c>
      <c r="H371" s="31">
        <f>VLOOKUP('AM (2011)'!$C371+1,CPI!$B$50:$I$63,8,FALSE)*'AM (nominal)'!H371</f>
        <v>614.35773759801668</v>
      </c>
      <c r="I371" s="31">
        <f>VLOOKUP('AM (2011)'!$C371+1,CPI!$B$50:$I$63,8,FALSE)*'AM (nominal)'!I371</f>
        <v>0</v>
      </c>
      <c r="J371" s="27">
        <f>VLOOKUP('AM (2011)'!$C371+1,CPI!$B$50:$I$63,8,FALSE)*'AM (nominal)'!J371</f>
        <v>3584.2628870146314</v>
      </c>
      <c r="K371" s="31">
        <f>VLOOKUP('AM (2011)'!$C371+1,CPI!$B$50:$I$63,8,FALSE)*'AM (nominal)'!K371</f>
        <v>1211.3952736385436</v>
      </c>
      <c r="L371" s="31">
        <f>VLOOKUP('AM (2011)'!$C371+1,CPI!$B$50:$I$63,8,FALSE)*'AM (nominal)'!L371</f>
        <v>128.37325860257064</v>
      </c>
      <c r="M371" s="31">
        <f>VLOOKUP('AM (2011)'!$C371+1,CPI!$B$50:$I$63,8,FALSE)*'AM (nominal)'!M371</f>
        <v>437.08038048018102</v>
      </c>
      <c r="N371" s="639">
        <f>VLOOKUP('AM (2011)'!$C371+1,CPI!$B$50:$I$63,8,FALSE)*'AM (nominal)'!N371</f>
        <v>1776.8489127212954</v>
      </c>
    </row>
    <row r="372" spans="1:14" s="278" customFormat="1" ht="409.6">
      <c r="A372" s="271">
        <f>References!M283</f>
        <v>586</v>
      </c>
      <c r="B372" s="305" t="s">
        <v>54</v>
      </c>
      <c r="C372" s="284">
        <v>2009</v>
      </c>
      <c r="D372" s="284">
        <v>2012</v>
      </c>
      <c r="E372" s="31">
        <f>VLOOKUP('AM (2011)'!$C372+1,CPI!$B$50:$I$63,8,FALSE)*'AM (nominal)'!E372</f>
        <v>2725.3846568402896</v>
      </c>
      <c r="F372" s="31">
        <f>VLOOKUP('AM (2011)'!$C372+1,CPI!$B$50:$I$63,8,FALSE)*'AM (nominal)'!F372</f>
        <v>112.07189243081565</v>
      </c>
      <c r="G372" s="31">
        <f>VLOOKUP('AM (2011)'!$C372+1,CPI!$B$50:$I$63,8,FALSE)*'AM (nominal)'!G372</f>
        <v>132.4486001455094</v>
      </c>
      <c r="H372" s="31">
        <f>VLOOKUP('AM (2011)'!$C372+1,CPI!$B$50:$I$63,8,FALSE)*'AM (nominal)'!H372</f>
        <v>614.35773759801668</v>
      </c>
      <c r="I372" s="31">
        <f>VLOOKUP('AM (2011)'!$C372+1,CPI!$B$50:$I$63,8,FALSE)*'AM (nominal)'!I372</f>
        <v>0</v>
      </c>
      <c r="J372" s="27">
        <f>VLOOKUP('AM (2011)'!$C372+1,CPI!$B$50:$I$63,8,FALSE)*'AM (nominal)'!J372</f>
        <v>3584.2628870146314</v>
      </c>
      <c r="K372" s="31">
        <f>VLOOKUP('AM (2011)'!$C372+1,CPI!$B$50:$I$63,8,FALSE)*'AM (nominal)'!K372</f>
        <v>1211.3952736385436</v>
      </c>
      <c r="L372" s="31">
        <f>VLOOKUP('AM (2011)'!$C372+1,CPI!$B$50:$I$63,8,FALSE)*'AM (nominal)'!L372</f>
        <v>128.37325860257064</v>
      </c>
      <c r="M372" s="31">
        <f>VLOOKUP('AM (2011)'!$C372+1,CPI!$B$50:$I$63,8,FALSE)*'AM (nominal)'!M372</f>
        <v>437.08038048018102</v>
      </c>
      <c r="N372" s="639">
        <f>VLOOKUP('AM (2011)'!$C372+1,CPI!$B$50:$I$63,8,FALSE)*'AM (nominal)'!N372</f>
        <v>1776.8489127212954</v>
      </c>
    </row>
    <row r="373" spans="1:14" s="278" customFormat="1" ht="409.6">
      <c r="A373" s="271">
        <f>References!N283</f>
        <v>587</v>
      </c>
      <c r="B373" s="305" t="s">
        <v>54</v>
      </c>
      <c r="C373" s="284">
        <v>2009</v>
      </c>
      <c r="D373" s="284">
        <v>2013</v>
      </c>
      <c r="E373" s="31">
        <f>VLOOKUP('AM (2011)'!$C373+1,CPI!$B$50:$I$63,8,FALSE)*'AM (nominal)'!E373</f>
        <v>2725.3846568402896</v>
      </c>
      <c r="F373" s="31">
        <f>VLOOKUP('AM (2011)'!$C373+1,CPI!$B$50:$I$63,8,FALSE)*'AM (nominal)'!F373</f>
        <v>112.07189243081565</v>
      </c>
      <c r="G373" s="31">
        <f>VLOOKUP('AM (2011)'!$C373+1,CPI!$B$50:$I$63,8,FALSE)*'AM (nominal)'!G373</f>
        <v>132.4486001455094</v>
      </c>
      <c r="H373" s="31">
        <f>VLOOKUP('AM (2011)'!$C373+1,CPI!$B$50:$I$63,8,FALSE)*'AM (nominal)'!H373</f>
        <v>614.35773759801668</v>
      </c>
      <c r="I373" s="31">
        <f>VLOOKUP('AM (2011)'!$C373+1,CPI!$B$50:$I$63,8,FALSE)*'AM (nominal)'!I373</f>
        <v>0</v>
      </c>
      <c r="J373" s="27">
        <f>VLOOKUP('AM (2011)'!$C373+1,CPI!$B$50:$I$63,8,FALSE)*'AM (nominal)'!J373</f>
        <v>3584.2628870146314</v>
      </c>
      <c r="K373" s="31">
        <f>VLOOKUP('AM (2011)'!$C373+1,CPI!$B$50:$I$63,8,FALSE)*'AM (nominal)'!K373</f>
        <v>1211.3952736385436</v>
      </c>
      <c r="L373" s="31">
        <f>VLOOKUP('AM (2011)'!$C373+1,CPI!$B$50:$I$63,8,FALSE)*'AM (nominal)'!L373</f>
        <v>128.37325860257064</v>
      </c>
      <c r="M373" s="31">
        <f>VLOOKUP('AM (2011)'!$C373+1,CPI!$B$50:$I$63,8,FALSE)*'AM (nominal)'!M373</f>
        <v>437.08038048018102</v>
      </c>
      <c r="N373" s="639">
        <f>VLOOKUP('AM (2011)'!$C373+1,CPI!$B$50:$I$63,8,FALSE)*'AM (nominal)'!N373</f>
        <v>1776.8489127212954</v>
      </c>
    </row>
    <row r="374" spans="1:14" s="278" customFormat="1" ht="409.6">
      <c r="A374" s="271">
        <f>References!O283</f>
        <v>588</v>
      </c>
      <c r="B374" s="305" t="s">
        <v>54</v>
      </c>
      <c r="C374" s="284">
        <v>2009</v>
      </c>
      <c r="D374" s="284">
        <v>2014</v>
      </c>
      <c r="E374" s="31">
        <f>VLOOKUP('AM (2011)'!$C374+1,CPI!$B$50:$I$63,8,FALSE)*'AM (nominal)'!E374</f>
        <v>2725.3846568402896</v>
      </c>
      <c r="F374" s="31">
        <f>VLOOKUP('AM (2011)'!$C374+1,CPI!$B$50:$I$63,8,FALSE)*'AM (nominal)'!F374</f>
        <v>112.07189243081565</v>
      </c>
      <c r="G374" s="31">
        <f>VLOOKUP('AM (2011)'!$C374+1,CPI!$B$50:$I$63,8,FALSE)*'AM (nominal)'!G374</f>
        <v>132.4486001455094</v>
      </c>
      <c r="H374" s="31">
        <f>VLOOKUP('AM (2011)'!$C374+1,CPI!$B$50:$I$63,8,FALSE)*'AM (nominal)'!H374</f>
        <v>614.35773759801668</v>
      </c>
      <c r="I374" s="31">
        <f>VLOOKUP('AM (2011)'!$C374+1,CPI!$B$50:$I$63,8,FALSE)*'AM (nominal)'!I374</f>
        <v>0</v>
      </c>
      <c r="J374" s="27">
        <f>VLOOKUP('AM (2011)'!$C374+1,CPI!$B$50:$I$63,8,FALSE)*'AM (nominal)'!J374</f>
        <v>3584.2628870146314</v>
      </c>
      <c r="K374" s="31">
        <f>VLOOKUP('AM (2011)'!$C374+1,CPI!$B$50:$I$63,8,FALSE)*'AM (nominal)'!K374</f>
        <v>1211.3952736385436</v>
      </c>
      <c r="L374" s="31">
        <f>VLOOKUP('AM (2011)'!$C374+1,CPI!$B$50:$I$63,8,FALSE)*'AM (nominal)'!L374</f>
        <v>128.37325860257064</v>
      </c>
      <c r="M374" s="31">
        <f>VLOOKUP('AM (2011)'!$C374+1,CPI!$B$50:$I$63,8,FALSE)*'AM (nominal)'!M374</f>
        <v>437.08038048018102</v>
      </c>
      <c r="N374" s="639">
        <f>VLOOKUP('AM (2011)'!$C374+1,CPI!$B$50:$I$63,8,FALSE)*'AM (nominal)'!N374</f>
        <v>1776.8489127212954</v>
      </c>
    </row>
    <row r="375" spans="1:14" s="278" customFormat="1" ht="409.6">
      <c r="A375" s="271">
        <f>References!P283</f>
        <v>589</v>
      </c>
      <c r="B375" s="305" t="s">
        <v>54</v>
      </c>
      <c r="C375" s="284">
        <v>2010</v>
      </c>
      <c r="D375" s="284">
        <v>2011</v>
      </c>
      <c r="E375" s="31">
        <f>VLOOKUP('AM (2011)'!$C375+1,CPI!$B$50:$I$63,8,FALSE)*'AM (nominal)'!E375</f>
        <v>2675</v>
      </c>
      <c r="F375" s="31">
        <f>VLOOKUP('AM (2011)'!$C375+1,CPI!$B$50:$I$63,8,FALSE)*'AM (nominal)'!F375</f>
        <v>110</v>
      </c>
      <c r="G375" s="31">
        <f>VLOOKUP('AM (2011)'!$C375+1,CPI!$B$50:$I$63,8,FALSE)*'AM (nominal)'!G375</f>
        <v>130</v>
      </c>
      <c r="H375" s="31">
        <f>VLOOKUP('AM (2011)'!$C375+1,CPI!$B$50:$I$63,8,FALSE)*'AM (nominal)'!H375</f>
        <v>603</v>
      </c>
      <c r="I375" s="31">
        <f>VLOOKUP('AM (2011)'!$C375+1,CPI!$B$50:$I$63,8,FALSE)*'AM (nominal)'!I375</f>
        <v>0</v>
      </c>
      <c r="J375" s="27">
        <f>VLOOKUP('AM (2011)'!$C375+1,CPI!$B$50:$I$63,8,FALSE)*'AM (nominal)'!J375</f>
        <v>3518</v>
      </c>
      <c r="K375" s="31">
        <f>VLOOKUP('AM (2011)'!$C375+1,CPI!$B$50:$I$63,8,FALSE)*'AM (nominal)'!K375</f>
        <v>1189</v>
      </c>
      <c r="L375" s="31">
        <f>VLOOKUP('AM (2011)'!$C375+1,CPI!$B$50:$I$63,8,FALSE)*'AM (nominal)'!L375</f>
        <v>126</v>
      </c>
      <c r="M375" s="31">
        <f>VLOOKUP('AM (2011)'!$C375+1,CPI!$B$50:$I$63,8,FALSE)*'AM (nominal)'!M375</f>
        <v>429</v>
      </c>
      <c r="N375" s="639">
        <f>VLOOKUP('AM (2011)'!$C375+1,CPI!$B$50:$I$63,8,FALSE)*'AM (nominal)'!N375</f>
        <v>1744</v>
      </c>
    </row>
    <row r="376" spans="1:14" s="278" customFormat="1" ht="409.6">
      <c r="A376" s="271">
        <f>References!Q283</f>
        <v>590</v>
      </c>
      <c r="B376" s="305" t="s">
        <v>54</v>
      </c>
      <c r="C376" s="284">
        <v>2010</v>
      </c>
      <c r="D376" s="284">
        <v>2012</v>
      </c>
      <c r="E376" s="31">
        <f>VLOOKUP('AM (2011)'!$C376+1,CPI!$B$50:$I$63,8,FALSE)*'AM (nominal)'!E376</f>
        <v>2675</v>
      </c>
      <c r="F376" s="31">
        <f>VLOOKUP('AM (2011)'!$C376+1,CPI!$B$50:$I$63,8,FALSE)*'AM (nominal)'!F376</f>
        <v>110</v>
      </c>
      <c r="G376" s="31">
        <f>VLOOKUP('AM (2011)'!$C376+1,CPI!$B$50:$I$63,8,FALSE)*'AM (nominal)'!G376</f>
        <v>130</v>
      </c>
      <c r="H376" s="31">
        <f>VLOOKUP('AM (2011)'!$C376+1,CPI!$B$50:$I$63,8,FALSE)*'AM (nominal)'!H376</f>
        <v>603</v>
      </c>
      <c r="I376" s="31">
        <f>VLOOKUP('AM (2011)'!$C376+1,CPI!$B$50:$I$63,8,FALSE)*'AM (nominal)'!I376</f>
        <v>0</v>
      </c>
      <c r="J376" s="27">
        <f>VLOOKUP('AM (2011)'!$C376+1,CPI!$B$50:$I$63,8,FALSE)*'AM (nominal)'!J376</f>
        <v>3518</v>
      </c>
      <c r="K376" s="31">
        <f>VLOOKUP('AM (2011)'!$C376+1,CPI!$B$50:$I$63,8,FALSE)*'AM (nominal)'!K376</f>
        <v>1189</v>
      </c>
      <c r="L376" s="31">
        <f>VLOOKUP('AM (2011)'!$C376+1,CPI!$B$50:$I$63,8,FALSE)*'AM (nominal)'!L376</f>
        <v>126</v>
      </c>
      <c r="M376" s="31">
        <f>VLOOKUP('AM (2011)'!$C376+1,CPI!$B$50:$I$63,8,FALSE)*'AM (nominal)'!M376</f>
        <v>429</v>
      </c>
      <c r="N376" s="639">
        <f>VLOOKUP('AM (2011)'!$C376+1,CPI!$B$50:$I$63,8,FALSE)*'AM (nominal)'!N376</f>
        <v>1744</v>
      </c>
    </row>
    <row r="377" spans="1:14" s="278" customFormat="1" ht="409.6">
      <c r="A377" s="271">
        <f>References!R283</f>
        <v>591</v>
      </c>
      <c r="B377" s="305" t="s">
        <v>54</v>
      </c>
      <c r="C377" s="284">
        <v>2010</v>
      </c>
      <c r="D377" s="284">
        <v>2013</v>
      </c>
      <c r="E377" s="31">
        <f>VLOOKUP('AM (2011)'!$C377+1,CPI!$B$50:$I$63,8,FALSE)*'AM (nominal)'!E377</f>
        <v>2675</v>
      </c>
      <c r="F377" s="31">
        <f>VLOOKUP('AM (2011)'!$C377+1,CPI!$B$50:$I$63,8,FALSE)*'AM (nominal)'!F377</f>
        <v>110</v>
      </c>
      <c r="G377" s="31">
        <f>VLOOKUP('AM (2011)'!$C377+1,CPI!$B$50:$I$63,8,FALSE)*'AM (nominal)'!G377</f>
        <v>130</v>
      </c>
      <c r="H377" s="31">
        <f>VLOOKUP('AM (2011)'!$C377+1,CPI!$B$50:$I$63,8,FALSE)*'AM (nominal)'!H377</f>
        <v>603</v>
      </c>
      <c r="I377" s="31">
        <f>VLOOKUP('AM (2011)'!$C377+1,CPI!$B$50:$I$63,8,FALSE)*'AM (nominal)'!I377</f>
        <v>0</v>
      </c>
      <c r="J377" s="27">
        <f>VLOOKUP('AM (2011)'!$C377+1,CPI!$B$50:$I$63,8,FALSE)*'AM (nominal)'!J377</f>
        <v>3518</v>
      </c>
      <c r="K377" s="31">
        <f>VLOOKUP('AM (2011)'!$C377+1,CPI!$B$50:$I$63,8,FALSE)*'AM (nominal)'!K377</f>
        <v>1189</v>
      </c>
      <c r="L377" s="31">
        <f>VLOOKUP('AM (2011)'!$C377+1,CPI!$B$50:$I$63,8,FALSE)*'AM (nominal)'!L377</f>
        <v>126</v>
      </c>
      <c r="M377" s="31">
        <f>VLOOKUP('AM (2011)'!$C377+1,CPI!$B$50:$I$63,8,FALSE)*'AM (nominal)'!M377</f>
        <v>429</v>
      </c>
      <c r="N377" s="639">
        <f>VLOOKUP('AM (2011)'!$C377+1,CPI!$B$50:$I$63,8,FALSE)*'AM (nominal)'!N377</f>
        <v>1744</v>
      </c>
    </row>
    <row r="378" spans="1:14" s="278" customFormat="1" ht="409.6">
      <c r="A378" s="271">
        <f>References!S283</f>
        <v>592</v>
      </c>
      <c r="B378" s="305" t="s">
        <v>54</v>
      </c>
      <c r="C378" s="284">
        <v>2010</v>
      </c>
      <c r="D378" s="284">
        <v>2014</v>
      </c>
      <c r="E378" s="31">
        <f>VLOOKUP('AM (2011)'!$C378+1,CPI!$B$50:$I$63,8,FALSE)*'AM (nominal)'!E378</f>
        <v>2675</v>
      </c>
      <c r="F378" s="31">
        <f>VLOOKUP('AM (2011)'!$C378+1,CPI!$B$50:$I$63,8,FALSE)*'AM (nominal)'!F378</f>
        <v>110</v>
      </c>
      <c r="G378" s="31">
        <f>VLOOKUP('AM (2011)'!$C378+1,CPI!$B$50:$I$63,8,FALSE)*'AM (nominal)'!G378</f>
        <v>130</v>
      </c>
      <c r="H378" s="31">
        <f>VLOOKUP('AM (2011)'!$C378+1,CPI!$B$50:$I$63,8,FALSE)*'AM (nominal)'!H378</f>
        <v>603</v>
      </c>
      <c r="I378" s="31">
        <f>VLOOKUP('AM (2011)'!$C378+1,CPI!$B$50:$I$63,8,FALSE)*'AM (nominal)'!I378</f>
        <v>0</v>
      </c>
      <c r="J378" s="27">
        <f>VLOOKUP('AM (2011)'!$C378+1,CPI!$B$50:$I$63,8,FALSE)*'AM (nominal)'!J378</f>
        <v>3518</v>
      </c>
      <c r="K378" s="31">
        <f>VLOOKUP('AM (2011)'!$C378+1,CPI!$B$50:$I$63,8,FALSE)*'AM (nominal)'!K378</f>
        <v>1189</v>
      </c>
      <c r="L378" s="31">
        <f>VLOOKUP('AM (2011)'!$C378+1,CPI!$B$50:$I$63,8,FALSE)*'AM (nominal)'!L378</f>
        <v>126</v>
      </c>
      <c r="M378" s="31">
        <f>VLOOKUP('AM (2011)'!$C378+1,CPI!$B$50:$I$63,8,FALSE)*'AM (nominal)'!M378</f>
        <v>429</v>
      </c>
      <c r="N378" s="639">
        <f>VLOOKUP('AM (2011)'!$C378+1,CPI!$B$50:$I$63,8,FALSE)*'AM (nominal)'!N378</f>
        <v>1744</v>
      </c>
    </row>
    <row r="379" spans="1:14" s="278" customFormat="1" ht="409.6">
      <c r="A379" s="271">
        <f>References!T283</f>
        <v>593</v>
      </c>
      <c r="B379" s="305" t="s">
        <v>54</v>
      </c>
      <c r="C379" s="284">
        <v>2010</v>
      </c>
      <c r="D379" s="284">
        <v>2015</v>
      </c>
      <c r="E379" s="31">
        <f>VLOOKUP('AM (2011)'!$C379+1,CPI!$B$50:$I$63,8,FALSE)*'AM (nominal)'!E379</f>
        <v>2675</v>
      </c>
      <c r="F379" s="31">
        <f>VLOOKUP('AM (2011)'!$C379+1,CPI!$B$50:$I$63,8,FALSE)*'AM (nominal)'!F379</f>
        <v>240</v>
      </c>
      <c r="G379" s="31">
        <f>VLOOKUP('AM (2011)'!$C379+1,CPI!$B$50:$I$63,8,FALSE)*'AM (nominal)'!G379</f>
        <v>130</v>
      </c>
      <c r="H379" s="31">
        <f>VLOOKUP('AM (2011)'!$C379+1,CPI!$B$50:$I$63,8,FALSE)*'AM (nominal)'!H379</f>
        <v>603</v>
      </c>
      <c r="I379" s="31">
        <f>VLOOKUP('AM (2011)'!$C379+1,CPI!$B$50:$I$63,8,FALSE)*'AM (nominal)'!I379</f>
        <v>0</v>
      </c>
      <c r="J379" s="27">
        <f>VLOOKUP('AM (2011)'!$C379+1,CPI!$B$50:$I$63,8,FALSE)*'AM (nominal)'!J379</f>
        <v>3648</v>
      </c>
      <c r="K379" s="31">
        <f>VLOOKUP('AM (2011)'!$C379+1,CPI!$B$50:$I$63,8,FALSE)*'AM (nominal)'!K379</f>
        <v>1189</v>
      </c>
      <c r="L379" s="31">
        <f>VLOOKUP('AM (2011)'!$C379+1,CPI!$B$50:$I$63,8,FALSE)*'AM (nominal)'!L379</f>
        <v>126</v>
      </c>
      <c r="M379" s="31">
        <f>VLOOKUP('AM (2011)'!$C379+1,CPI!$B$50:$I$63,8,FALSE)*'AM (nominal)'!M379</f>
        <v>429</v>
      </c>
      <c r="N379" s="639">
        <f>VLOOKUP('AM (2011)'!$C379+1,CPI!$B$50:$I$63,8,FALSE)*'AM (nominal)'!N379</f>
        <v>1744</v>
      </c>
    </row>
    <row r="380" spans="1:14" s="278" customFormat="1" ht="409.6">
      <c r="A380" s="271">
        <f>References!U283</f>
        <v>594</v>
      </c>
      <c r="B380" s="305" t="s">
        <v>54</v>
      </c>
      <c r="C380" s="284">
        <v>2011</v>
      </c>
      <c r="D380" s="284">
        <v>2012</v>
      </c>
      <c r="E380" s="31">
        <f>VLOOKUP('AM (2011)'!$C380+1,CPI!$B$50:$I$63,8,FALSE)*'AM (nominal)'!E380</f>
        <v>1903.4536522301228</v>
      </c>
      <c r="F380" s="31">
        <f>VLOOKUP('AM (2011)'!$C380+1,CPI!$B$50:$I$63,8,FALSE)*'AM (nominal)'!F380</f>
        <v>63.546218487394952</v>
      </c>
      <c r="G380" s="31">
        <f>VLOOKUP('AM (2011)'!$C380+1,CPI!$B$50:$I$63,8,FALSE)*'AM (nominal)'!G380</f>
        <v>823.16793794440855</v>
      </c>
      <c r="H380" s="31">
        <f>VLOOKUP('AM (2011)'!$C380+1,CPI!$B$50:$I$63,8,FALSE)*'AM (nominal)'!H380</f>
        <v>1888.7891402714931</v>
      </c>
      <c r="I380" s="31">
        <f>VLOOKUP('AM (2011)'!$C380+1,CPI!$B$50:$I$63,8,FALSE)*'AM (nominal)'!I380</f>
        <v>0</v>
      </c>
      <c r="J380" s="27">
        <f>VLOOKUP('AM (2011)'!$C380+1,CPI!$B$50:$I$63,8,FALSE)*'AM (nominal)'!J380</f>
        <v>4678.956948933419</v>
      </c>
      <c r="K380" s="31">
        <f>VLOOKUP('AM (2011)'!$C380+1,CPI!$B$50:$I$63,8,FALSE)*'AM (nominal)'!K380</f>
        <v>1531.9526826115061</v>
      </c>
      <c r="L380" s="31">
        <f>VLOOKUP('AM (2011)'!$C380+1,CPI!$B$50:$I$63,8,FALSE)*'AM (nominal)'!L380</f>
        <v>142.73458306399482</v>
      </c>
      <c r="M380" s="31">
        <f>VLOOKUP('AM (2011)'!$C380+1,CPI!$B$50:$I$63,8,FALSE)*'AM (nominal)'!M380</f>
        <v>440.91299288946345</v>
      </c>
      <c r="N380" s="639">
        <f>VLOOKUP('AM (2011)'!$C380+1,CPI!$B$50:$I$63,8,FALSE)*'AM (nominal)'!N380</f>
        <v>2115.6002585649644</v>
      </c>
    </row>
    <row r="381" spans="1:14" s="278" customFormat="1" ht="409.6">
      <c r="A381" s="271">
        <f>References!V283</f>
        <v>595</v>
      </c>
      <c r="B381" s="305" t="s">
        <v>54</v>
      </c>
      <c r="C381" s="284">
        <v>2011</v>
      </c>
      <c r="D381" s="284">
        <v>2013</v>
      </c>
      <c r="E381" s="31">
        <f>VLOOKUP('AM (2011)'!$C381+1,CPI!$B$50:$I$63,8,FALSE)*'AM (nominal)'!E381</f>
        <v>1903.4536522301228</v>
      </c>
      <c r="F381" s="31">
        <f>VLOOKUP('AM (2011)'!$C381+1,CPI!$B$50:$I$63,8,FALSE)*'AM (nominal)'!F381</f>
        <v>317.73109243697479</v>
      </c>
      <c r="G381" s="31">
        <f>VLOOKUP('AM (2011)'!$C381+1,CPI!$B$50:$I$63,8,FALSE)*'AM (nominal)'!G381</f>
        <v>823.16793794440855</v>
      </c>
      <c r="H381" s="31">
        <f>VLOOKUP('AM (2011)'!$C381+1,CPI!$B$50:$I$63,8,FALSE)*'AM (nominal)'!H381</f>
        <v>2372.7180349062701</v>
      </c>
      <c r="I381" s="31">
        <f>VLOOKUP('AM (2011)'!$C381+1,CPI!$B$50:$I$63,8,FALSE)*'AM (nominal)'!I381</f>
        <v>228.76638655462185</v>
      </c>
      <c r="J381" s="27">
        <f>VLOOKUP('AM (2011)'!$C381+1,CPI!$B$50:$I$63,8,FALSE)*'AM (nominal)'!J381</f>
        <v>5645.8371040723978</v>
      </c>
      <c r="K381" s="31">
        <f>VLOOKUP('AM (2011)'!$C381+1,CPI!$B$50:$I$63,8,FALSE)*'AM (nominal)'!K381</f>
        <v>1531.9526826115061</v>
      </c>
      <c r="L381" s="31">
        <f>VLOOKUP('AM (2011)'!$C381+1,CPI!$B$50:$I$63,8,FALSE)*'AM (nominal)'!L381</f>
        <v>142.73458306399482</v>
      </c>
      <c r="M381" s="31">
        <f>VLOOKUP('AM (2011)'!$C381+1,CPI!$B$50:$I$63,8,FALSE)*'AM (nominal)'!M381</f>
        <v>440.91299288946345</v>
      </c>
      <c r="N381" s="639">
        <f>VLOOKUP('AM (2011)'!$C381+1,CPI!$B$50:$I$63,8,FALSE)*'AM (nominal)'!N381</f>
        <v>2115.6002585649644</v>
      </c>
    </row>
    <row r="382" spans="1:14" s="278" customFormat="1" ht="409.6">
      <c r="A382" s="271">
        <f>References!W283</f>
        <v>596</v>
      </c>
      <c r="B382" s="305" t="s">
        <v>54</v>
      </c>
      <c r="C382" s="284">
        <v>2011</v>
      </c>
      <c r="D382" s="284">
        <v>2014</v>
      </c>
      <c r="E382" s="31">
        <f>VLOOKUP('AM (2011)'!$C382+1,CPI!$B$50:$I$63,8,FALSE)*'AM (nominal)'!E382</f>
        <v>1903.4536522301228</v>
      </c>
      <c r="F382" s="31">
        <f>VLOOKUP('AM (2011)'!$C382+1,CPI!$B$50:$I$63,8,FALSE)*'AM (nominal)'!F382</f>
        <v>254.18487394957981</v>
      </c>
      <c r="G382" s="31">
        <f>VLOOKUP('AM (2011)'!$C382+1,CPI!$B$50:$I$63,8,FALSE)*'AM (nominal)'!G382</f>
        <v>823.16793794440855</v>
      </c>
      <c r="H382" s="31">
        <f>VLOOKUP('AM (2011)'!$C382+1,CPI!$B$50:$I$63,8,FALSE)*'AM (nominal)'!H382</f>
        <v>1830.1310924369748</v>
      </c>
      <c r="I382" s="31">
        <f>VLOOKUP('AM (2011)'!$C382+1,CPI!$B$50:$I$63,8,FALSE)*'AM (nominal)'!I382</f>
        <v>228.76638655462185</v>
      </c>
      <c r="J382" s="27">
        <f>VLOOKUP('AM (2011)'!$C382+1,CPI!$B$50:$I$63,8,FALSE)*'AM (nominal)'!J382</f>
        <v>5039.7039431157073</v>
      </c>
      <c r="K382" s="31">
        <f>VLOOKUP('AM (2011)'!$C382+1,CPI!$B$50:$I$63,8,FALSE)*'AM (nominal)'!K382</f>
        <v>1531.9526826115061</v>
      </c>
      <c r="L382" s="31">
        <f>VLOOKUP('AM (2011)'!$C382+1,CPI!$B$50:$I$63,8,FALSE)*'AM (nominal)'!L382</f>
        <v>142.73458306399482</v>
      </c>
      <c r="M382" s="31">
        <f>VLOOKUP('AM (2011)'!$C382+1,CPI!$B$50:$I$63,8,FALSE)*'AM (nominal)'!M382</f>
        <v>440.91299288946345</v>
      </c>
      <c r="N382" s="639">
        <f>VLOOKUP('AM (2011)'!$C382+1,CPI!$B$50:$I$63,8,FALSE)*'AM (nominal)'!N382</f>
        <v>2115.6002585649644</v>
      </c>
    </row>
    <row r="383" spans="1:14" s="278" customFormat="1" ht="409.6">
      <c r="A383" s="271">
        <f>References!X283</f>
        <v>597</v>
      </c>
      <c r="B383" s="305" t="s">
        <v>54</v>
      </c>
      <c r="C383" s="284">
        <v>2011</v>
      </c>
      <c r="D383" s="284">
        <v>2015</v>
      </c>
      <c r="E383" s="31">
        <f>VLOOKUP('AM (2011)'!$C383+1,CPI!$B$50:$I$63,8,FALSE)*'AM (nominal)'!E383</f>
        <v>1954.2906270200388</v>
      </c>
      <c r="F383" s="31">
        <f>VLOOKUP('AM (2011)'!$C383+1,CPI!$B$50:$I$63,8,FALSE)*'AM (nominal)'!F383</f>
        <v>190.63865546218486</v>
      </c>
      <c r="G383" s="31">
        <f>VLOOKUP('AM (2011)'!$C383+1,CPI!$B$50:$I$63,8,FALSE)*'AM (nominal)'!G383</f>
        <v>823.16793794440855</v>
      </c>
      <c r="H383" s="31">
        <f>VLOOKUP('AM (2011)'!$C383+1,CPI!$B$50:$I$63,8,FALSE)*'AM (nominal)'!H383</f>
        <v>1613.0963154492565</v>
      </c>
      <c r="I383" s="31">
        <f>VLOOKUP('AM (2011)'!$C383+1,CPI!$B$50:$I$63,8,FALSE)*'AM (nominal)'!I383</f>
        <v>228.76638655462185</v>
      </c>
      <c r="J383" s="27">
        <f>VLOOKUP('AM (2011)'!$C383+1,CPI!$B$50:$I$63,8,FALSE)*'AM (nominal)'!J383</f>
        <v>4809.9599224305102</v>
      </c>
      <c r="K383" s="31">
        <f>VLOOKUP('AM (2011)'!$C383+1,CPI!$B$50:$I$63,8,FALSE)*'AM (nominal)'!K383</f>
        <v>1531.9526826115061</v>
      </c>
      <c r="L383" s="31">
        <f>VLOOKUP('AM (2011)'!$C383+1,CPI!$B$50:$I$63,8,FALSE)*'AM (nominal)'!L383</f>
        <v>142.73458306399482</v>
      </c>
      <c r="M383" s="31">
        <f>VLOOKUP('AM (2011)'!$C383+1,CPI!$B$50:$I$63,8,FALSE)*'AM (nominal)'!M383</f>
        <v>440.91299288946345</v>
      </c>
      <c r="N383" s="639">
        <f>VLOOKUP('AM (2011)'!$C383+1,CPI!$B$50:$I$63,8,FALSE)*'AM (nominal)'!N383</f>
        <v>2115.6002585649644</v>
      </c>
    </row>
    <row r="384" spans="1:14" s="278" customFormat="1" ht="409.6">
      <c r="A384" s="271">
        <f>References!Y283</f>
        <v>598</v>
      </c>
      <c r="B384" s="305" t="s">
        <v>54</v>
      </c>
      <c r="C384" s="284">
        <v>2011</v>
      </c>
      <c r="D384" s="284">
        <v>2016</v>
      </c>
      <c r="E384" s="31">
        <f>VLOOKUP('AM (2011)'!$C384+1,CPI!$B$50:$I$63,8,FALSE)*'AM (nominal)'!E384</f>
        <v>1954.2906270200388</v>
      </c>
      <c r="F384" s="31">
        <f>VLOOKUP('AM (2011)'!$C384+1,CPI!$B$50:$I$63,8,FALSE)*'AM (nominal)'!F384</f>
        <v>825.12320620555909</v>
      </c>
      <c r="G384" s="31">
        <f>VLOOKUP('AM (2011)'!$C384+1,CPI!$B$50:$I$63,8,FALSE)*'AM (nominal)'!G384</f>
        <v>584.6252100840336</v>
      </c>
      <c r="H384" s="31">
        <f>VLOOKUP('AM (2011)'!$C384+1,CPI!$B$50:$I$63,8,FALSE)*'AM (nominal)'!H384</f>
        <v>1433.2116354234001</v>
      </c>
      <c r="I384" s="31">
        <f>VLOOKUP('AM (2011)'!$C384+1,CPI!$B$50:$I$63,8,FALSE)*'AM (nominal)'!I384</f>
        <v>228.76638655462185</v>
      </c>
      <c r="J384" s="27">
        <f>VLOOKUP('AM (2011)'!$C384+1,CPI!$B$50:$I$63,8,FALSE)*'AM (nominal)'!J384</f>
        <v>5026.0170652876532</v>
      </c>
      <c r="K384" s="31">
        <f>VLOOKUP('AM (2011)'!$C384+1,CPI!$B$50:$I$63,8,FALSE)*'AM (nominal)'!K384</f>
        <v>1531.9526826115061</v>
      </c>
      <c r="L384" s="31">
        <f>VLOOKUP('AM (2011)'!$C384+1,CPI!$B$50:$I$63,8,FALSE)*'AM (nominal)'!L384</f>
        <v>142.73458306399482</v>
      </c>
      <c r="M384" s="31">
        <f>VLOOKUP('AM (2011)'!$C384+1,CPI!$B$50:$I$63,8,FALSE)*'AM (nominal)'!M384</f>
        <v>440.91299288946345</v>
      </c>
      <c r="N384" s="639">
        <f>VLOOKUP('AM (2011)'!$C384+1,CPI!$B$50:$I$63,8,FALSE)*'AM (nominal)'!N384</f>
        <v>2115.6002585649644</v>
      </c>
    </row>
    <row r="385" spans="1:14" s="278" customFormat="1" ht="409.6">
      <c r="A385" s="271">
        <f>References!K272</f>
        <v>331</v>
      </c>
      <c r="B385" s="305" t="s">
        <v>43</v>
      </c>
      <c r="C385" s="284">
        <v>2009</v>
      </c>
      <c r="D385" s="284">
        <v>2010</v>
      </c>
      <c r="E385" s="31">
        <f>VLOOKUP('AM (2011)'!$C385+1,CPI!$B$50:$I$63,8,FALSE)*'AM (nominal)'!E385</f>
        <v>718.2789469429548</v>
      </c>
      <c r="F385" s="31">
        <f>VLOOKUP('AM (2011)'!$C385+1,CPI!$B$50:$I$63,8,FALSE)*'AM (nominal)'!F385</f>
        <v>5420.2042521085386</v>
      </c>
      <c r="G385" s="31">
        <f>VLOOKUP('AM (2011)'!$C385+1,CPI!$B$50:$I$63,8,FALSE)*'AM (nominal)'!G385</f>
        <v>51.960604672469074</v>
      </c>
      <c r="H385" s="31">
        <f>VLOOKUP('AM (2011)'!$C385+1,CPI!$B$50:$I$63,8,FALSE)*'AM (nominal)'!H385</f>
        <v>928.15903640430042</v>
      </c>
      <c r="I385" s="31">
        <f>VLOOKUP('AM (2011)'!$C385+1,CPI!$B$50:$I$63,8,FALSE)*'AM (nominal)'!I385</f>
        <v>137.54277707418285</v>
      </c>
      <c r="J385" s="27">
        <f>VLOOKUP('AM (2011)'!$C385+1,CPI!$B$50:$I$63,8,FALSE)*'AM (nominal)'!J385</f>
        <v>7256.1456172024455</v>
      </c>
      <c r="K385" s="31">
        <f>VLOOKUP('AM (2011)'!$C385+1,CPI!$B$50:$I$63,8,FALSE)*'AM (nominal)'!K385</f>
        <v>1051.4381180781977</v>
      </c>
      <c r="L385" s="31">
        <f>VLOOKUP('AM (2011)'!$C385+1,CPI!$B$50:$I$63,8,FALSE)*'AM (nominal)'!L385</f>
        <v>444.21222818032385</v>
      </c>
      <c r="M385" s="31">
        <f>VLOOKUP('AM (2011)'!$C385+1,CPI!$B$50:$I$63,8,FALSE)*'AM (nominal)'!M385</f>
        <v>239.42631564765159</v>
      </c>
      <c r="N385" s="639">
        <f>VLOOKUP('AM (2011)'!$C385+1,CPI!$B$50:$I$63,8,FALSE)*'AM (nominal)'!N385</f>
        <v>1735.0766619061731</v>
      </c>
    </row>
    <row r="386" spans="1:14" s="278" customFormat="1" ht="409.6">
      <c r="A386" s="271">
        <f>References!L272</f>
        <v>332</v>
      </c>
      <c r="B386" s="305" t="s">
        <v>43</v>
      </c>
      <c r="C386" s="284">
        <v>2009</v>
      </c>
      <c r="D386" s="284">
        <v>2011</v>
      </c>
      <c r="E386" s="31">
        <f>VLOOKUP('AM (2011)'!$C386+1,CPI!$B$50:$I$63,8,FALSE)*'AM (nominal)'!E386</f>
        <v>1166.5665166662175</v>
      </c>
      <c r="F386" s="31">
        <f>VLOOKUP('AM (2011)'!$C386+1,CPI!$B$50:$I$63,8,FALSE)*'AM (nominal)'!F386</f>
        <v>4284.2027970143617</v>
      </c>
      <c r="G386" s="31">
        <f>VLOOKUP('AM (2011)'!$C386+1,CPI!$B$50:$I$63,8,FALSE)*'AM (nominal)'!G386</f>
        <v>128.37325860257064</v>
      </c>
      <c r="H386" s="31">
        <f>VLOOKUP('AM (2011)'!$C386+1,CPI!$B$50:$I$63,8,FALSE)*'AM (nominal)'!H386</f>
        <v>962.79943951927987</v>
      </c>
      <c r="I386" s="31">
        <f>VLOOKUP('AM (2011)'!$C386+1,CPI!$B$50:$I$63,8,FALSE)*'AM (nominal)'!I386</f>
        <v>137.54277707418285</v>
      </c>
      <c r="J386" s="27">
        <f>VLOOKUP('AM (2011)'!$C386+1,CPI!$B$50:$I$63,8,FALSE)*'AM (nominal)'!J386</f>
        <v>6679.4847888766126</v>
      </c>
      <c r="K386" s="31">
        <f>VLOOKUP('AM (2011)'!$C386+1,CPI!$B$50:$I$63,8,FALSE)*'AM (nominal)'!K386</f>
        <v>1051.4381180781977</v>
      </c>
      <c r="L386" s="31">
        <f>VLOOKUP('AM (2011)'!$C386+1,CPI!$B$50:$I$63,8,FALSE)*'AM (nominal)'!L386</f>
        <v>444.21222818032385</v>
      </c>
      <c r="M386" s="31">
        <f>VLOOKUP('AM (2011)'!$C386+1,CPI!$B$50:$I$63,8,FALSE)*'AM (nominal)'!M386</f>
        <v>239.42631564765159</v>
      </c>
      <c r="N386" s="639">
        <f>VLOOKUP('AM (2011)'!$C386+1,CPI!$B$50:$I$63,8,FALSE)*'AM (nominal)'!N386</f>
        <v>1735.0766619061731</v>
      </c>
    </row>
    <row r="387" spans="1:14" s="278" customFormat="1" ht="409.6">
      <c r="A387" s="271">
        <f>References!M272</f>
        <v>333</v>
      </c>
      <c r="B387" s="305" t="s">
        <v>43</v>
      </c>
      <c r="C387" s="284">
        <v>2009</v>
      </c>
      <c r="D387" s="284">
        <v>2012</v>
      </c>
      <c r="E387" s="31">
        <f>VLOOKUP('AM (2011)'!$C387+1,CPI!$B$50:$I$63,8,FALSE)*'AM (nominal)'!E387</f>
        <v>1141.0956320228502</v>
      </c>
      <c r="F387" s="31">
        <f>VLOOKUP('AM (2011)'!$C387+1,CPI!$B$50:$I$63,8,FALSE)*'AM (nominal)'!F387</f>
        <v>8310.6402414378481</v>
      </c>
      <c r="G387" s="31">
        <f>VLOOKUP('AM (2011)'!$C387+1,CPI!$B$50:$I$63,8,FALSE)*'AM (nominal)'!G387</f>
        <v>128.37325860257064</v>
      </c>
      <c r="H387" s="31">
        <f>VLOOKUP('AM (2011)'!$C387+1,CPI!$B$50:$I$63,8,FALSE)*'AM (nominal)'!H387</f>
        <v>962.79943951927987</v>
      </c>
      <c r="I387" s="31">
        <f>VLOOKUP('AM (2011)'!$C387+1,CPI!$B$50:$I$63,8,FALSE)*'AM (nominal)'!I387</f>
        <v>137.54277707418285</v>
      </c>
      <c r="J387" s="27">
        <f>VLOOKUP('AM (2011)'!$C387+1,CPI!$B$50:$I$63,8,FALSE)*'AM (nominal)'!J387</f>
        <v>10680.45134865673</v>
      </c>
      <c r="K387" s="31">
        <f>VLOOKUP('AM (2011)'!$C387+1,CPI!$B$50:$I$63,8,FALSE)*'AM (nominal)'!K387</f>
        <v>1051.4381180781977</v>
      </c>
      <c r="L387" s="31">
        <f>VLOOKUP('AM (2011)'!$C387+1,CPI!$B$50:$I$63,8,FALSE)*'AM (nominal)'!L387</f>
        <v>444.21222818032385</v>
      </c>
      <c r="M387" s="31">
        <f>VLOOKUP('AM (2011)'!$C387+1,CPI!$B$50:$I$63,8,FALSE)*'AM (nominal)'!M387</f>
        <v>239.42631564765159</v>
      </c>
      <c r="N387" s="639">
        <f>VLOOKUP('AM (2011)'!$C387+1,CPI!$B$50:$I$63,8,FALSE)*'AM (nominal)'!N387</f>
        <v>1735.0766619061731</v>
      </c>
    </row>
    <row r="388" spans="1:14" s="278" customFormat="1" ht="409.6">
      <c r="A388" s="271">
        <f>References!N272</f>
        <v>334</v>
      </c>
      <c r="B388" s="305" t="s">
        <v>43</v>
      </c>
      <c r="C388" s="284">
        <v>2009</v>
      </c>
      <c r="D388" s="284">
        <v>2013</v>
      </c>
      <c r="E388" s="31">
        <f>VLOOKUP('AM (2011)'!$C388+1,CPI!$B$50:$I$63,8,FALSE)*'AM (nominal)'!E388</f>
        <v>1130.9072781655034</v>
      </c>
      <c r="F388" s="31">
        <f>VLOOKUP('AM (2011)'!$C388+1,CPI!$B$50:$I$63,8,FALSE)*'AM (nominal)'!F388</f>
        <v>7233.7312387162829</v>
      </c>
      <c r="G388" s="31">
        <f>VLOOKUP('AM (2011)'!$C388+1,CPI!$B$50:$I$63,8,FALSE)*'AM (nominal)'!G388</f>
        <v>10.188353857346877</v>
      </c>
      <c r="H388" s="31">
        <f>VLOOKUP('AM (2011)'!$C388+1,CPI!$B$50:$I$63,8,FALSE)*'AM (nominal)'!H388</f>
        <v>962.79943951927987</v>
      </c>
      <c r="I388" s="31">
        <f>VLOOKUP('AM (2011)'!$C388+1,CPI!$B$50:$I$63,8,FALSE)*'AM (nominal)'!I388</f>
        <v>137.54277707418285</v>
      </c>
      <c r="J388" s="27">
        <f>VLOOKUP('AM (2011)'!$C388+1,CPI!$B$50:$I$63,8,FALSE)*'AM (nominal)'!J388</f>
        <v>9475.1690873325952</v>
      </c>
      <c r="K388" s="31">
        <f>VLOOKUP('AM (2011)'!$C388+1,CPI!$B$50:$I$63,8,FALSE)*'AM (nominal)'!K388</f>
        <v>1051.4381180781977</v>
      </c>
      <c r="L388" s="31">
        <f>VLOOKUP('AM (2011)'!$C388+1,CPI!$B$50:$I$63,8,FALSE)*'AM (nominal)'!L388</f>
        <v>444.21222818032385</v>
      </c>
      <c r="M388" s="31">
        <f>VLOOKUP('AM (2011)'!$C388+1,CPI!$B$50:$I$63,8,FALSE)*'AM (nominal)'!M388</f>
        <v>239.42631564765159</v>
      </c>
      <c r="N388" s="639">
        <f>VLOOKUP('AM (2011)'!$C388+1,CPI!$B$50:$I$63,8,FALSE)*'AM (nominal)'!N388</f>
        <v>1735.0766619061731</v>
      </c>
    </row>
    <row r="389" spans="1:14" s="278" customFormat="1" ht="409.6">
      <c r="A389" s="271">
        <f>References!O272</f>
        <v>335</v>
      </c>
      <c r="B389" s="305" t="s">
        <v>43</v>
      </c>
      <c r="C389" s="284">
        <v>2009</v>
      </c>
      <c r="D389" s="284">
        <v>2014</v>
      </c>
      <c r="E389" s="31">
        <f>VLOOKUP('AM (2011)'!$C389+1,CPI!$B$50:$I$63,8,FALSE)*'AM (nominal)'!E389</f>
        <v>1130.9072781655034</v>
      </c>
      <c r="F389" s="31">
        <f>VLOOKUP('AM (2011)'!$C389+1,CPI!$B$50:$I$63,8,FALSE)*'AM (nominal)'!F389</f>
        <v>4676.4544205222164</v>
      </c>
      <c r="G389" s="31">
        <f>VLOOKUP('AM (2011)'!$C389+1,CPI!$B$50:$I$63,8,FALSE)*'AM (nominal)'!G389</f>
        <v>10.188353857346877</v>
      </c>
      <c r="H389" s="31">
        <f>VLOOKUP('AM (2011)'!$C389+1,CPI!$B$50:$I$63,8,FALSE)*'AM (nominal)'!H389</f>
        <v>962.79943951927987</v>
      </c>
      <c r="I389" s="31">
        <f>VLOOKUP('AM (2011)'!$C389+1,CPI!$B$50:$I$63,8,FALSE)*'AM (nominal)'!I389</f>
        <v>137.54277707418285</v>
      </c>
      <c r="J389" s="27">
        <f>VLOOKUP('AM (2011)'!$C389+1,CPI!$B$50:$I$63,8,FALSE)*'AM (nominal)'!J389</f>
        <v>6917.8922691385296</v>
      </c>
      <c r="K389" s="31">
        <f>VLOOKUP('AM (2011)'!$C389+1,CPI!$B$50:$I$63,8,FALSE)*'AM (nominal)'!K389</f>
        <v>1051.4381180781977</v>
      </c>
      <c r="L389" s="31">
        <f>VLOOKUP('AM (2011)'!$C389+1,CPI!$B$50:$I$63,8,FALSE)*'AM (nominal)'!L389</f>
        <v>444.21222818032385</v>
      </c>
      <c r="M389" s="31">
        <f>VLOOKUP('AM (2011)'!$C389+1,CPI!$B$50:$I$63,8,FALSE)*'AM (nominal)'!M389</f>
        <v>239.42631564765159</v>
      </c>
      <c r="N389" s="639">
        <f>VLOOKUP('AM (2011)'!$C389+1,CPI!$B$50:$I$63,8,FALSE)*'AM (nominal)'!N389</f>
        <v>1735.0766619061731</v>
      </c>
    </row>
    <row r="390" spans="1:14" s="278" customFormat="1" ht="409.6">
      <c r="A390" s="271">
        <f>References!P272</f>
        <v>336</v>
      </c>
      <c r="B390" s="305" t="s">
        <v>43</v>
      </c>
      <c r="C390" s="284">
        <v>2010</v>
      </c>
      <c r="D390" s="284">
        <v>2011</v>
      </c>
      <c r="E390" s="31">
        <f>VLOOKUP('AM (2011)'!$C390+1,CPI!$B$50:$I$63,8,FALSE)*'AM (nominal)'!E390</f>
        <v>1145</v>
      </c>
      <c r="F390" s="31">
        <f>VLOOKUP('AM (2011)'!$C390+1,CPI!$B$50:$I$63,8,FALSE)*'AM (nominal)'!F390</f>
        <v>4205</v>
      </c>
      <c r="G390" s="31">
        <f>VLOOKUP('AM (2011)'!$C390+1,CPI!$B$50:$I$63,8,FALSE)*'AM (nominal)'!G390</f>
        <v>645</v>
      </c>
      <c r="H390" s="31">
        <f>VLOOKUP('AM (2011)'!$C390+1,CPI!$B$50:$I$63,8,FALSE)*'AM (nominal)'!H390</f>
        <v>126</v>
      </c>
      <c r="I390" s="31">
        <f>VLOOKUP('AM (2011)'!$C390+1,CPI!$B$50:$I$63,8,FALSE)*'AM (nominal)'!I390</f>
        <v>135</v>
      </c>
      <c r="J390" s="27">
        <f>VLOOKUP('AM (2011)'!$C390+1,CPI!$B$50:$I$63,8,FALSE)*'AM (nominal)'!J390</f>
        <v>6256</v>
      </c>
      <c r="K390" s="31">
        <f>VLOOKUP('AM (2011)'!$C390+1,CPI!$B$50:$I$63,8,FALSE)*'AM (nominal)'!K390</f>
        <v>715</v>
      </c>
      <c r="L390" s="31">
        <f>VLOOKUP('AM (2011)'!$C390+1,CPI!$B$50:$I$63,8,FALSE)*'AM (nominal)'!L390</f>
        <v>752</v>
      </c>
      <c r="M390" s="31">
        <f>VLOOKUP('AM (2011)'!$C390+1,CPI!$B$50:$I$63,8,FALSE)*'AM (nominal)'!M390</f>
        <v>253</v>
      </c>
      <c r="N390" s="639">
        <f>VLOOKUP('AM (2011)'!$C390+1,CPI!$B$50:$I$63,8,FALSE)*'AM (nominal)'!N390</f>
        <v>1720</v>
      </c>
    </row>
    <row r="391" spans="1:14" s="278" customFormat="1" ht="409.6">
      <c r="A391" s="271">
        <f>References!Q272</f>
        <v>337</v>
      </c>
      <c r="B391" s="305" t="s">
        <v>43</v>
      </c>
      <c r="C391" s="284">
        <v>2010</v>
      </c>
      <c r="D391" s="284">
        <v>2012</v>
      </c>
      <c r="E391" s="31">
        <f>VLOOKUP('AM (2011)'!$C391+1,CPI!$B$50:$I$63,8,FALSE)*'AM (nominal)'!E391</f>
        <v>1120</v>
      </c>
      <c r="F391" s="31">
        <f>VLOOKUP('AM (2011)'!$C391+1,CPI!$B$50:$I$63,8,FALSE)*'AM (nominal)'!F391</f>
        <v>8157</v>
      </c>
      <c r="G391" s="31">
        <f>VLOOKUP('AM (2011)'!$C391+1,CPI!$B$50:$I$63,8,FALSE)*'AM (nominal)'!G391</f>
        <v>945</v>
      </c>
      <c r="H391" s="31">
        <f>VLOOKUP('AM (2011)'!$C391+1,CPI!$B$50:$I$63,8,FALSE)*'AM (nominal)'!H391</f>
        <v>126</v>
      </c>
      <c r="I391" s="31">
        <f>VLOOKUP('AM (2011)'!$C391+1,CPI!$B$50:$I$63,8,FALSE)*'AM (nominal)'!I391</f>
        <v>135</v>
      </c>
      <c r="J391" s="27">
        <f>VLOOKUP('AM (2011)'!$C391+1,CPI!$B$50:$I$63,8,FALSE)*'AM (nominal)'!J391</f>
        <v>10483</v>
      </c>
      <c r="K391" s="31">
        <f>VLOOKUP('AM (2011)'!$C391+1,CPI!$B$50:$I$63,8,FALSE)*'AM (nominal)'!K391</f>
        <v>715</v>
      </c>
      <c r="L391" s="31">
        <f>VLOOKUP('AM (2011)'!$C391+1,CPI!$B$50:$I$63,8,FALSE)*'AM (nominal)'!L391</f>
        <v>752</v>
      </c>
      <c r="M391" s="31">
        <f>VLOOKUP('AM (2011)'!$C391+1,CPI!$B$50:$I$63,8,FALSE)*'AM (nominal)'!M391</f>
        <v>254</v>
      </c>
      <c r="N391" s="639">
        <f>VLOOKUP('AM (2011)'!$C391+1,CPI!$B$50:$I$63,8,FALSE)*'AM (nominal)'!N391</f>
        <v>1721</v>
      </c>
    </row>
    <row r="392" spans="1:14" s="278" customFormat="1" ht="409.6">
      <c r="A392" s="271">
        <f>References!R272</f>
        <v>338</v>
      </c>
      <c r="B392" s="305" t="s">
        <v>43</v>
      </c>
      <c r="C392" s="284">
        <v>2010</v>
      </c>
      <c r="D392" s="284">
        <v>2013</v>
      </c>
      <c r="E392" s="31">
        <f>VLOOKUP('AM (2011)'!$C392+1,CPI!$B$50:$I$63,8,FALSE)*'AM (nominal)'!E392</f>
        <v>1110</v>
      </c>
      <c r="F392" s="31">
        <f>VLOOKUP('AM (2011)'!$C392+1,CPI!$B$50:$I$63,8,FALSE)*'AM (nominal)'!F392</f>
        <v>7100</v>
      </c>
      <c r="G392" s="31">
        <f>VLOOKUP('AM (2011)'!$C392+1,CPI!$B$50:$I$63,8,FALSE)*'AM (nominal)'!G392</f>
        <v>945</v>
      </c>
      <c r="H392" s="31">
        <f>VLOOKUP('AM (2011)'!$C392+1,CPI!$B$50:$I$63,8,FALSE)*'AM (nominal)'!H392</f>
        <v>10</v>
      </c>
      <c r="I392" s="31">
        <f>VLOOKUP('AM (2011)'!$C392+1,CPI!$B$50:$I$63,8,FALSE)*'AM (nominal)'!I392</f>
        <v>135</v>
      </c>
      <c r="J392" s="27">
        <f>VLOOKUP('AM (2011)'!$C392+1,CPI!$B$50:$I$63,8,FALSE)*'AM (nominal)'!J392</f>
        <v>9300</v>
      </c>
      <c r="K392" s="31">
        <f>VLOOKUP('AM (2011)'!$C392+1,CPI!$B$50:$I$63,8,FALSE)*'AM (nominal)'!K392</f>
        <v>714</v>
      </c>
      <c r="L392" s="31">
        <f>VLOOKUP('AM (2011)'!$C392+1,CPI!$B$50:$I$63,8,FALSE)*'AM (nominal)'!L392</f>
        <v>752</v>
      </c>
      <c r="M392" s="31">
        <f>VLOOKUP('AM (2011)'!$C392+1,CPI!$B$50:$I$63,8,FALSE)*'AM (nominal)'!M392</f>
        <v>254</v>
      </c>
      <c r="N392" s="639">
        <f>VLOOKUP('AM (2011)'!$C392+1,CPI!$B$50:$I$63,8,FALSE)*'AM (nominal)'!N392</f>
        <v>1720</v>
      </c>
    </row>
    <row r="393" spans="1:14" s="278" customFormat="1" ht="409.6">
      <c r="A393" s="271">
        <f>References!S272</f>
        <v>339</v>
      </c>
      <c r="B393" s="305" t="s">
        <v>43</v>
      </c>
      <c r="C393" s="284">
        <v>2010</v>
      </c>
      <c r="D393" s="284">
        <v>2014</v>
      </c>
      <c r="E393" s="31">
        <f>VLOOKUP('AM (2011)'!$C393+1,CPI!$B$50:$I$63,8,FALSE)*'AM (nominal)'!E393</f>
        <v>1110</v>
      </c>
      <c r="F393" s="31">
        <f>VLOOKUP('AM (2011)'!$C393+1,CPI!$B$50:$I$63,8,FALSE)*'AM (nominal)'!F393</f>
        <v>4590</v>
      </c>
      <c r="G393" s="31">
        <f>VLOOKUP('AM (2011)'!$C393+1,CPI!$B$50:$I$63,8,FALSE)*'AM (nominal)'!G393</f>
        <v>945</v>
      </c>
      <c r="H393" s="31">
        <f>VLOOKUP('AM (2011)'!$C393+1,CPI!$B$50:$I$63,8,FALSE)*'AM (nominal)'!H393</f>
        <v>10</v>
      </c>
      <c r="I393" s="31">
        <f>VLOOKUP('AM (2011)'!$C393+1,CPI!$B$50:$I$63,8,FALSE)*'AM (nominal)'!I393</f>
        <v>135</v>
      </c>
      <c r="J393" s="27">
        <f>VLOOKUP('AM (2011)'!$C393+1,CPI!$B$50:$I$63,8,FALSE)*'AM (nominal)'!J393</f>
        <v>6790</v>
      </c>
      <c r="K393" s="31">
        <f>VLOOKUP('AM (2011)'!$C393+1,CPI!$B$50:$I$63,8,FALSE)*'AM (nominal)'!K393</f>
        <v>714</v>
      </c>
      <c r="L393" s="31">
        <f>VLOOKUP('AM (2011)'!$C393+1,CPI!$B$50:$I$63,8,FALSE)*'AM (nominal)'!L393</f>
        <v>752</v>
      </c>
      <c r="M393" s="31">
        <f>VLOOKUP('AM (2011)'!$C393+1,CPI!$B$50:$I$63,8,FALSE)*'AM (nominal)'!M393</f>
        <v>254</v>
      </c>
      <c r="N393" s="639">
        <f>VLOOKUP('AM (2011)'!$C393+1,CPI!$B$50:$I$63,8,FALSE)*'AM (nominal)'!N393</f>
        <v>1720</v>
      </c>
    </row>
    <row r="394" spans="1:14" s="278" customFormat="1" ht="409.6">
      <c r="A394" s="271">
        <f>References!T272</f>
        <v>340</v>
      </c>
      <c r="B394" s="305" t="s">
        <v>43</v>
      </c>
      <c r="C394" s="284">
        <v>2010</v>
      </c>
      <c r="D394" s="284">
        <v>2015</v>
      </c>
      <c r="E394" s="31">
        <f>VLOOKUP('AM (2011)'!$C394+1,CPI!$B$50:$I$63,8,FALSE)*'AM (nominal)'!E394</f>
        <v>620</v>
      </c>
      <c r="F394" s="31">
        <f>VLOOKUP('AM (2011)'!$C394+1,CPI!$B$50:$I$63,8,FALSE)*'AM (nominal)'!F394</f>
        <v>835</v>
      </c>
      <c r="G394" s="31">
        <f>VLOOKUP('AM (2011)'!$C394+1,CPI!$B$50:$I$63,8,FALSE)*'AM (nominal)'!G394</f>
        <v>110</v>
      </c>
      <c r="H394" s="31">
        <f>VLOOKUP('AM (2011)'!$C394+1,CPI!$B$50:$I$63,8,FALSE)*'AM (nominal)'!H394</f>
        <v>3300</v>
      </c>
      <c r="I394" s="31">
        <f>VLOOKUP('AM (2011)'!$C394+1,CPI!$B$50:$I$63,8,FALSE)*'AM (nominal)'!I394</f>
        <v>135</v>
      </c>
      <c r="J394" s="27">
        <f>VLOOKUP('AM (2011)'!$C394+1,CPI!$B$50:$I$63,8,FALSE)*'AM (nominal)'!J394</f>
        <v>5000</v>
      </c>
      <c r="K394" s="31">
        <f>VLOOKUP('AM (2011)'!$C394+1,CPI!$B$50:$I$63,8,FALSE)*'AM (nominal)'!K394</f>
        <v>714</v>
      </c>
      <c r="L394" s="31">
        <f>VLOOKUP('AM (2011)'!$C394+1,CPI!$B$50:$I$63,8,FALSE)*'AM (nominal)'!L394</f>
        <v>752</v>
      </c>
      <c r="M394" s="31">
        <f>VLOOKUP('AM (2011)'!$C394+1,CPI!$B$50:$I$63,8,FALSE)*'AM (nominal)'!M394</f>
        <v>254</v>
      </c>
      <c r="N394" s="639">
        <f>VLOOKUP('AM (2011)'!$C394+1,CPI!$B$50:$I$63,8,FALSE)*'AM (nominal)'!N394</f>
        <v>1720</v>
      </c>
    </row>
    <row r="395" spans="1:14" s="278" customFormat="1" ht="409.6">
      <c r="A395" s="271">
        <f>References!U272</f>
        <v>341</v>
      </c>
      <c r="B395" s="305" t="s">
        <v>43</v>
      </c>
      <c r="C395" s="284">
        <v>2011</v>
      </c>
      <c r="D395" s="284">
        <v>2012</v>
      </c>
      <c r="E395" s="31">
        <f>VLOOKUP('AM (2011)'!$C395+1,CPI!$B$50:$I$63,8,FALSE)*'AM (nominal)'!E395</f>
        <v>557.25145442792495</v>
      </c>
      <c r="F395" s="31">
        <f>VLOOKUP('AM (2011)'!$C395+1,CPI!$B$50:$I$63,8,FALSE)*'AM (nominal)'!F395</f>
        <v>894.5352294764059</v>
      </c>
      <c r="G395" s="31">
        <f>VLOOKUP('AM (2011)'!$C395+1,CPI!$B$50:$I$63,8,FALSE)*'AM (nominal)'!G395</f>
        <v>708.78474466709758</v>
      </c>
      <c r="H395" s="31">
        <f>VLOOKUP('AM (2011)'!$C395+1,CPI!$B$50:$I$63,8,FALSE)*'AM (nominal)'!H395</f>
        <v>1275.8125404007756</v>
      </c>
      <c r="I395" s="31">
        <f>VLOOKUP('AM (2011)'!$C395+1,CPI!$B$50:$I$63,8,FALSE)*'AM (nominal)'!I395</f>
        <v>136.86877828054298</v>
      </c>
      <c r="J395" s="27">
        <f>VLOOKUP('AM (2011)'!$C395+1,CPI!$B$50:$I$63,8,FALSE)*'AM (nominal)'!J395</f>
        <v>3573.2527472527472</v>
      </c>
      <c r="K395" s="31">
        <f>VLOOKUP('AM (2011)'!$C395+1,CPI!$B$50:$I$63,8,FALSE)*'AM (nominal)'!K395</f>
        <v>730.39925765998703</v>
      </c>
      <c r="L395" s="31">
        <f>VLOOKUP('AM (2011)'!$C395+1,CPI!$B$50:$I$63,8,FALSE)*'AM (nominal)'!L395</f>
        <v>703.19267744020681</v>
      </c>
      <c r="M395" s="31">
        <f>VLOOKUP('AM (2011)'!$C395+1,CPI!$B$50:$I$63,8,FALSE)*'AM (nominal)'!M395</f>
        <v>248.33178877274725</v>
      </c>
      <c r="N395" s="639">
        <f>VLOOKUP('AM (2011)'!$C395+1,CPI!$B$50:$I$63,8,FALSE)*'AM (nominal)'!N395</f>
        <v>1681.9237242639947</v>
      </c>
    </row>
    <row r="396" spans="1:14" s="278" customFormat="1" ht="409.6">
      <c r="A396" s="271">
        <f>References!V272</f>
        <v>342</v>
      </c>
      <c r="B396" s="305" t="s">
        <v>43</v>
      </c>
      <c r="C396" s="284">
        <v>2011</v>
      </c>
      <c r="D396" s="284">
        <v>2013</v>
      </c>
      <c r="E396" s="31">
        <f>VLOOKUP('AM (2011)'!$C396+1,CPI!$B$50:$I$63,8,FALSE)*'AM (nominal)'!E396</f>
        <v>615.90950226244343</v>
      </c>
      <c r="F396" s="31">
        <f>VLOOKUP('AM (2011)'!$C396+1,CPI!$B$50:$I$63,8,FALSE)*'AM (nominal)'!F396</f>
        <v>870.68095669036848</v>
      </c>
      <c r="G396" s="31">
        <f>VLOOKUP('AM (2011)'!$C396+1,CPI!$B$50:$I$63,8,FALSE)*'AM (nominal)'!G396</f>
        <v>589.02456367162245</v>
      </c>
      <c r="H396" s="31">
        <f>VLOOKUP('AM (2011)'!$C396+1,CPI!$B$50:$I$63,8,FALSE)*'AM (nominal)'!H396</f>
        <v>2109.7344537815125</v>
      </c>
      <c r="I396" s="31">
        <f>VLOOKUP('AM (2011)'!$C396+1,CPI!$B$50:$I$63,8,FALSE)*'AM (nominal)'!I396</f>
        <v>136.86877828054298</v>
      </c>
      <c r="J396" s="27">
        <f>VLOOKUP('AM (2011)'!$C396+1,CPI!$B$50:$I$63,8,FALSE)*'AM (nominal)'!J396</f>
        <v>4322.2182546864906</v>
      </c>
      <c r="K396" s="31">
        <f>VLOOKUP('AM (2011)'!$C396+1,CPI!$B$50:$I$63,8,FALSE)*'AM (nominal)'!K396</f>
        <v>730.39925765998703</v>
      </c>
      <c r="L396" s="31">
        <f>VLOOKUP('AM (2011)'!$C396+1,CPI!$B$50:$I$63,8,FALSE)*'AM (nominal)'!L396</f>
        <v>703.19267744020681</v>
      </c>
      <c r="M396" s="31">
        <f>VLOOKUP('AM (2011)'!$C396+1,CPI!$B$50:$I$63,8,FALSE)*'AM (nominal)'!M396</f>
        <v>248.33178877274725</v>
      </c>
      <c r="N396" s="639">
        <f>VLOOKUP('AM (2011)'!$C396+1,CPI!$B$50:$I$63,8,FALSE)*'AM (nominal)'!N396</f>
        <v>1681.9237242639947</v>
      </c>
    </row>
    <row r="397" spans="1:14" s="278" customFormat="1" ht="409.6">
      <c r="A397" s="271">
        <f>References!W272</f>
        <v>343</v>
      </c>
      <c r="B397" s="305" t="s">
        <v>43</v>
      </c>
      <c r="C397" s="284">
        <v>2011</v>
      </c>
      <c r="D397" s="284">
        <v>2014</v>
      </c>
      <c r="E397" s="31">
        <f>VLOOKUP('AM (2011)'!$C397+1,CPI!$B$50:$I$63,8,FALSE)*'AM (nominal)'!E397</f>
        <v>615.90950226244343</v>
      </c>
      <c r="F397" s="31">
        <f>VLOOKUP('AM (2011)'!$C397+1,CPI!$B$50:$I$63,8,FALSE)*'AM (nominal)'!F397</f>
        <v>244.04680801551388</v>
      </c>
      <c r="G397" s="31">
        <f>VLOOKUP('AM (2011)'!$C397+1,CPI!$B$50:$I$63,8,FALSE)*'AM (nominal)'!G397</f>
        <v>1014.295410471881</v>
      </c>
      <c r="H397" s="31">
        <f>VLOOKUP('AM (2011)'!$C397+1,CPI!$B$50:$I$63,8,FALSE)*'AM (nominal)'!H397</f>
        <v>744.95720749838392</v>
      </c>
      <c r="I397" s="31">
        <f>VLOOKUP('AM (2011)'!$C397+1,CPI!$B$50:$I$63,8,FALSE)*'AM (nominal)'!I397</f>
        <v>136.86877828054298</v>
      </c>
      <c r="J397" s="27">
        <f>VLOOKUP('AM (2011)'!$C397+1,CPI!$B$50:$I$63,8,FALSE)*'AM (nominal)'!J397</f>
        <v>2756.0777065287652</v>
      </c>
      <c r="K397" s="31">
        <f>VLOOKUP('AM (2011)'!$C397+1,CPI!$B$50:$I$63,8,FALSE)*'AM (nominal)'!K397</f>
        <v>730.39925765998703</v>
      </c>
      <c r="L397" s="31">
        <f>VLOOKUP('AM (2011)'!$C397+1,CPI!$B$50:$I$63,8,FALSE)*'AM (nominal)'!L397</f>
        <v>703.19267744020681</v>
      </c>
      <c r="M397" s="31">
        <f>VLOOKUP('AM (2011)'!$C397+1,CPI!$B$50:$I$63,8,FALSE)*'AM (nominal)'!M397</f>
        <v>248.33178877274725</v>
      </c>
      <c r="N397" s="639">
        <f>VLOOKUP('AM (2011)'!$C397+1,CPI!$B$50:$I$63,8,FALSE)*'AM (nominal)'!N397</f>
        <v>1681.9237242639947</v>
      </c>
    </row>
    <row r="398" spans="1:14" s="278" customFormat="1" ht="409.6">
      <c r="A398" s="271">
        <f>References!X272</f>
        <v>344</v>
      </c>
      <c r="B398" s="305" t="s">
        <v>43</v>
      </c>
      <c r="C398" s="284">
        <v>2011</v>
      </c>
      <c r="D398" s="284">
        <v>2015</v>
      </c>
      <c r="E398" s="31">
        <f>VLOOKUP('AM (2011)'!$C398+1,CPI!$B$50:$I$63,8,FALSE)*'AM (nominal)'!E398</f>
        <v>635.46218487394958</v>
      </c>
      <c r="F398" s="31">
        <f>VLOOKUP('AM (2011)'!$C398+1,CPI!$B$50:$I$63,8,FALSE)*'AM (nominal)'!F398</f>
        <v>253.20723981900451</v>
      </c>
      <c r="G398" s="31">
        <f>VLOOKUP('AM (2011)'!$C398+1,CPI!$B$50:$I$63,8,FALSE)*'AM (nominal)'!G398</f>
        <v>674.5675500969619</v>
      </c>
      <c r="H398" s="31">
        <f>VLOOKUP('AM (2011)'!$C398+1,CPI!$B$50:$I$63,8,FALSE)*'AM (nominal)'!H398</f>
        <v>218.01241111829347</v>
      </c>
      <c r="I398" s="31">
        <f>VLOOKUP('AM (2011)'!$C398+1,CPI!$B$50:$I$63,8,FALSE)*'AM (nominal)'!I398</f>
        <v>136.86877828054298</v>
      </c>
      <c r="J398" s="27">
        <f>VLOOKUP('AM (2011)'!$C398+1,CPI!$B$50:$I$63,8,FALSE)*'AM (nominal)'!J398</f>
        <v>1918.1181641887524</v>
      </c>
      <c r="K398" s="31">
        <f>VLOOKUP('AM (2011)'!$C398+1,CPI!$B$50:$I$63,8,FALSE)*'AM (nominal)'!K398</f>
        <v>730.39925765998703</v>
      </c>
      <c r="L398" s="31">
        <f>VLOOKUP('AM (2011)'!$C398+1,CPI!$B$50:$I$63,8,FALSE)*'AM (nominal)'!L398</f>
        <v>703.19267744020681</v>
      </c>
      <c r="M398" s="31">
        <f>VLOOKUP('AM (2011)'!$C398+1,CPI!$B$50:$I$63,8,FALSE)*'AM (nominal)'!M398</f>
        <v>248.33178877274725</v>
      </c>
      <c r="N398" s="639">
        <f>VLOOKUP('AM (2011)'!$C398+1,CPI!$B$50:$I$63,8,FALSE)*'AM (nominal)'!N398</f>
        <v>1681.9237242639947</v>
      </c>
    </row>
    <row r="399" spans="1:14" s="278" customFormat="1" ht="409.6">
      <c r="A399" s="271">
        <f>References!Y272</f>
        <v>345</v>
      </c>
      <c r="B399" s="305" t="s">
        <v>43</v>
      </c>
      <c r="C399" s="284">
        <v>2011</v>
      </c>
      <c r="D399" s="284">
        <v>2016</v>
      </c>
      <c r="E399" s="31">
        <f>VLOOKUP('AM (2011)'!$C399+1,CPI!$B$50:$I$63,8,FALSE)*'AM (nominal)'!E399</f>
        <v>635.46218487394958</v>
      </c>
      <c r="F399" s="31">
        <f>VLOOKUP('AM (2011)'!$C399+1,CPI!$B$50:$I$63,8,FALSE)*'AM (nominal)'!F399</f>
        <v>253.20723981900451</v>
      </c>
      <c r="G399" s="31">
        <f>VLOOKUP('AM (2011)'!$C399+1,CPI!$B$50:$I$63,8,FALSE)*'AM (nominal)'!G399</f>
        <v>674.5675500969619</v>
      </c>
      <c r="H399" s="31">
        <f>VLOOKUP('AM (2011)'!$C399+1,CPI!$B$50:$I$63,8,FALSE)*'AM (nominal)'!H399</f>
        <v>218.01241111829347</v>
      </c>
      <c r="I399" s="31">
        <f>VLOOKUP('AM (2011)'!$C399+1,CPI!$B$50:$I$63,8,FALSE)*'AM (nominal)'!I399</f>
        <v>136.86877828054298</v>
      </c>
      <c r="J399" s="27">
        <f>VLOOKUP('AM (2011)'!$C399+1,CPI!$B$50:$I$63,8,FALSE)*'AM (nominal)'!J399</f>
        <v>1918.1181641887524</v>
      </c>
      <c r="K399" s="31">
        <f>VLOOKUP('AM (2011)'!$C399+1,CPI!$B$50:$I$63,8,FALSE)*'AM (nominal)'!K399</f>
        <v>730.39925765998703</v>
      </c>
      <c r="L399" s="31">
        <f>VLOOKUP('AM (2011)'!$C399+1,CPI!$B$50:$I$63,8,FALSE)*'AM (nominal)'!L399</f>
        <v>703.19267744020681</v>
      </c>
      <c r="M399" s="31">
        <f>VLOOKUP('AM (2011)'!$C399+1,CPI!$B$50:$I$63,8,FALSE)*'AM (nominal)'!M399</f>
        <v>248.33178877274725</v>
      </c>
      <c r="N399" s="639">
        <f>VLOOKUP('AM (2011)'!$C399+1,CPI!$B$50:$I$63,8,FALSE)*'AM (nominal)'!N399</f>
        <v>1681.9237242639947</v>
      </c>
    </row>
    <row r="400" spans="1:14" s="278" customFormat="1" ht="409.6">
      <c r="A400" s="271">
        <f>References!K284</f>
        <v>607</v>
      </c>
      <c r="B400" s="305" t="s">
        <v>55</v>
      </c>
      <c r="C400" s="284">
        <v>2009</v>
      </c>
      <c r="D400" s="284">
        <v>2010</v>
      </c>
      <c r="E400" s="31">
        <f>CPI!$I$50*'AM (nominal)'!E400</f>
        <v>2959.2476142951919</v>
      </c>
      <c r="F400" s="31">
        <f>CPI!$I$50*'AM (nominal)'!F400</f>
        <v>14523.656406616785</v>
      </c>
      <c r="G400" s="31">
        <f>CPI!$I$50*'AM (nominal)'!G400</f>
        <v>5456.5414524711796</v>
      </c>
      <c r="H400" s="31">
        <f>CPI!$I$50*'AM (nominal)'!H400</f>
        <v>2370.1511760612252</v>
      </c>
      <c r="I400" s="31">
        <f>CPI!$I$50*'AM (nominal)'!I400</f>
        <v>3269.9979408332752</v>
      </c>
      <c r="J400" s="27">
        <f>CPI!$I$50*'AM (nominal)'!J400</f>
        <v>28579.594590277651</v>
      </c>
      <c r="K400" s="31">
        <f>CPI!$I$50*'AM (nominal)'!K400</f>
        <v>2654.6154712059842</v>
      </c>
      <c r="L400" s="31">
        <f>CPI!$I$50*'AM (nominal)'!L400</f>
        <v>1343.8134394948174</v>
      </c>
      <c r="M400" s="31">
        <f>CPI!$I$50*'AM (nominal)'!M400</f>
        <v>1957.1197199533249</v>
      </c>
      <c r="N400" s="639">
        <f>CPI!$I$50*'AM (nominal)'!N400</f>
        <v>5955.548630654127</v>
      </c>
    </row>
    <row r="401" spans="1:14" s="278" customFormat="1" ht="409.6">
      <c r="A401" s="271">
        <f>References!L284</f>
        <v>608</v>
      </c>
      <c r="B401" s="305" t="s">
        <v>55</v>
      </c>
      <c r="C401" s="284">
        <v>2009</v>
      </c>
      <c r="D401" s="284">
        <v>2011</v>
      </c>
      <c r="E401" s="31">
        <f>CPI!$I$50*'AM (nominal)'!E401</f>
        <v>3251.2049062548317</v>
      </c>
      <c r="F401" s="31">
        <f>CPI!$I$50*'AM (nominal)'!F401</f>
        <v>13158.245409293704</v>
      </c>
      <c r="G401" s="31">
        <f>CPI!$I$50*'AM (nominal)'!G401</f>
        <v>6068.7124427858707</v>
      </c>
      <c r="H401" s="31">
        <f>CPI!$I$50*'AM (nominal)'!H401</f>
        <v>465.06637380739915</v>
      </c>
      <c r="I401" s="31">
        <f>CPI!$I$50*'AM (nominal)'!I401</f>
        <v>3269.9979408332752</v>
      </c>
      <c r="J401" s="27">
        <f>CPI!$I$50*'AM (nominal)'!J401</f>
        <v>26213.227072975078</v>
      </c>
      <c r="K401" s="31">
        <f>CPI!$I$50*'AM (nominal)'!K401</f>
        <v>2503.9879470107753</v>
      </c>
      <c r="L401" s="31">
        <f>CPI!$I$50*'AM (nominal)'!L401</f>
        <v>1342.3601070766692</v>
      </c>
      <c r="M401" s="31">
        <f>CPI!$I$50*'AM (nominal)'!M401</f>
        <v>1949.3340105703885</v>
      </c>
      <c r="N401" s="639">
        <f>CPI!$I$50*'AM (nominal)'!N401</f>
        <v>5795.6820646578335</v>
      </c>
    </row>
    <row r="402" spans="1:14" s="278" customFormat="1" ht="409.6">
      <c r="A402" s="271">
        <f>References!M284</f>
        <v>609</v>
      </c>
      <c r="B402" s="305" t="s">
        <v>55</v>
      </c>
      <c r="C402" s="284">
        <v>2009</v>
      </c>
      <c r="D402" s="284">
        <v>2012</v>
      </c>
      <c r="E402" s="31">
        <f>CPI!$I$50*'AM (nominal)'!E402</f>
        <v>3519.1804277923429</v>
      </c>
      <c r="F402" s="31">
        <f>CPI!$I$50*'AM (nominal)'!F402</f>
        <v>10238.064581508681</v>
      </c>
      <c r="G402" s="31">
        <f>CPI!$I$50*'AM (nominal)'!G402</f>
        <v>7872.2019283915715</v>
      </c>
      <c r="H402" s="31">
        <f>CPI!$I$50*'AM (nominal)'!H402</f>
        <v>465.06637380739915</v>
      </c>
      <c r="I402" s="31">
        <f>CPI!$I$50*'AM (nominal)'!I402</f>
        <v>3269.9979408332752</v>
      </c>
      <c r="J402" s="27">
        <f>CPI!$I$50*'AM (nominal)'!J402</f>
        <v>25364.511252333268</v>
      </c>
      <c r="K402" s="31">
        <f>CPI!$I$50*'AM (nominal)'!K402</f>
        <v>2457.4813096300359</v>
      </c>
      <c r="L402" s="31">
        <f>CPI!$I$50*'AM (nominal)'!L402</f>
        <v>1339.5572516988123</v>
      </c>
      <c r="M402" s="31">
        <f>CPI!$I$50*'AM (nominal)'!M402</f>
        <v>1949.8530578625844</v>
      </c>
      <c r="N402" s="639">
        <f>CPI!$I$50*'AM (nominal)'!N402</f>
        <v>5746.8916191914323</v>
      </c>
    </row>
    <row r="403" spans="1:14" s="278" customFormat="1" ht="409.6">
      <c r="A403" s="271">
        <f>References!N284</f>
        <v>610</v>
      </c>
      <c r="B403" s="305" t="s">
        <v>55</v>
      </c>
      <c r="C403" s="284">
        <v>2009</v>
      </c>
      <c r="D403" s="284">
        <v>2013</v>
      </c>
      <c r="E403" s="31">
        <f>CPI!$I$50*'AM (nominal)'!E403</f>
        <v>3641.177303350034</v>
      </c>
      <c r="F403" s="31">
        <f>CPI!$I$50*'AM (nominal)'!F403</f>
        <v>8731.8215204887056</v>
      </c>
      <c r="G403" s="31">
        <f>CPI!$I$50*'AM (nominal)'!G403</f>
        <v>10145.404770764164</v>
      </c>
      <c r="H403" s="31">
        <f>CPI!$I$50*'AM (nominal)'!H403</f>
        <v>465.06637380739915</v>
      </c>
      <c r="I403" s="31">
        <f>CPI!$I$50*'AM (nominal)'!I403</f>
        <v>3269.9979408332752</v>
      </c>
      <c r="J403" s="27">
        <f>CPI!$I$50*'AM (nominal)'!J403</f>
        <v>26253.467909243576</v>
      </c>
      <c r="K403" s="31">
        <f>CPI!$I$50*'AM (nominal)'!K403</f>
        <v>2267.5619054156077</v>
      </c>
      <c r="L403" s="31">
        <f>CPI!$I$50*'AM (nominal)'!L403</f>
        <v>1337.4291578008094</v>
      </c>
      <c r="M403" s="31">
        <f>CPI!$I$50*'AM (nominal)'!M403</f>
        <v>1910.4054636557066</v>
      </c>
      <c r="N403" s="639">
        <f>CPI!$I$50*'AM (nominal)'!N403</f>
        <v>5515.396526872124</v>
      </c>
    </row>
    <row r="404" spans="1:14" s="278" customFormat="1" ht="409.6">
      <c r="A404" s="271">
        <f>References!O284</f>
        <v>611</v>
      </c>
      <c r="B404" s="305" t="s">
        <v>55</v>
      </c>
      <c r="C404" s="284">
        <v>2009</v>
      </c>
      <c r="D404" s="284">
        <v>2014</v>
      </c>
      <c r="E404" s="31">
        <f>CPI!$I$50*'AM (nominal)'!E404</f>
        <v>3763.174178907725</v>
      </c>
      <c r="F404" s="31">
        <f>CPI!$I$50*'AM (nominal)'!F404</f>
        <v>8192.8044027730084</v>
      </c>
      <c r="G404" s="31">
        <f>CPI!$I$50*'AM (nominal)'!G404</f>
        <v>7835.2791182431256</v>
      </c>
      <c r="H404" s="31">
        <f>CPI!$I$50*'AM (nominal)'!H404</f>
        <v>465.06637380739915</v>
      </c>
      <c r="I404" s="31">
        <f>CPI!$I$50*'AM (nominal)'!I404</f>
        <v>3269.9979408332752</v>
      </c>
      <c r="J404" s="27">
        <f>CPI!$I$50*'AM (nominal)'!J404</f>
        <v>23526.322014564532</v>
      </c>
      <c r="K404" s="31">
        <f>CPI!$I$50*'AM (nominal)'!K404</f>
        <v>2286.4552268515336</v>
      </c>
      <c r="L404" s="31">
        <f>CPI!$I$50*'AM (nominal)'!L404</f>
        <v>1347.6024847278466</v>
      </c>
      <c r="M404" s="31">
        <f>CPI!$I$50*'AM (nominal)'!M404</f>
        <v>1910.4054636557066</v>
      </c>
      <c r="N404" s="639">
        <f>CPI!$I$50*'AM (nominal)'!N404</f>
        <v>5544.463175235087</v>
      </c>
    </row>
    <row r="405" spans="1:14" s="278" customFormat="1" ht="409.6">
      <c r="A405" s="271">
        <f>References!P284</f>
        <v>612</v>
      </c>
      <c r="B405" s="305" t="s">
        <v>55</v>
      </c>
      <c r="C405" s="284">
        <v>2010</v>
      </c>
      <c r="D405" s="284">
        <v>2011</v>
      </c>
      <c r="E405" s="31">
        <f>CPI!$I$54*'AM (nominal)'!E405</f>
        <v>4885.0154187258495</v>
      </c>
      <c r="F405" s="31">
        <f>CPI!$I$54*'AM (nominal)'!F405</f>
        <v>19654.148640295327</v>
      </c>
      <c r="G405" s="31">
        <f>CPI!$I$54*'AM (nominal)'!G405</f>
        <v>7123.5696626337194</v>
      </c>
      <c r="H405" s="31">
        <f>CPI!$I$54*'AM (nominal)'!H405</f>
        <v>942.42273180458608</v>
      </c>
      <c r="I405" s="31">
        <f>CPI!$I$54*'AM (nominal)'!I405</f>
        <v>3045.211348117808</v>
      </c>
      <c r="J405" s="27">
        <f>CPI!$I$54*'AM (nominal)'!J405</f>
        <v>35650.367801577289</v>
      </c>
      <c r="K405" s="31">
        <f>CPI!$I$54*'AM (nominal)'!K405</f>
        <v>2874.4402737732744</v>
      </c>
      <c r="L405" s="31">
        <f>CPI!$I$54*'AM (nominal)'!L405</f>
        <v>1687.0895152380695</v>
      </c>
      <c r="M405" s="31">
        <f>CPI!$I$54*'AM (nominal)'!M405</f>
        <v>2484.7357387297566</v>
      </c>
      <c r="N405" s="639">
        <f>CPI!$I$54*'AM (nominal)'!N405</f>
        <v>7046.2655277411013</v>
      </c>
    </row>
    <row r="406" spans="1:14" s="278" customFormat="1" ht="409.6">
      <c r="A406" s="271">
        <f>References!Q284</f>
        <v>613</v>
      </c>
      <c r="B406" s="305" t="s">
        <v>55</v>
      </c>
      <c r="C406" s="284">
        <v>2010</v>
      </c>
      <c r="D406" s="284">
        <v>2012</v>
      </c>
      <c r="E406" s="31">
        <f>CPI!$I$54*'AM (nominal)'!E406</f>
        <v>5084.1895914163888</v>
      </c>
      <c r="F406" s="31">
        <f>CPI!$I$54*'AM (nominal)'!F406</f>
        <v>8947.5305424267717</v>
      </c>
      <c r="G406" s="31">
        <f>CPI!$I$54*'AM (nominal)'!G406</f>
        <v>8414.6195243997718</v>
      </c>
      <c r="H406" s="31">
        <f>CPI!$I$54*'AM (nominal)'!H406</f>
        <v>636.77211608417986</v>
      </c>
      <c r="I406" s="31">
        <f>CPI!$I$54*'AM (nominal)'!I406</f>
        <v>3045.211348117808</v>
      </c>
      <c r="J406" s="27">
        <f>CPI!$I$54*'AM (nominal)'!J406</f>
        <v>26128.323122444919</v>
      </c>
      <c r="K406" s="31">
        <f>CPI!$I$54*'AM (nominal)'!K406</f>
        <v>2614.4793309261404</v>
      </c>
      <c r="L406" s="31">
        <f>CPI!$I$54*'AM (nominal)'!L406</f>
        <v>1539.2004648217508</v>
      </c>
      <c r="M406" s="31">
        <f>CPI!$I$54*'AM (nominal)'!M406</f>
        <v>2447.0388294575732</v>
      </c>
      <c r="N406" s="639">
        <f>CPI!$I$54*'AM (nominal)'!N406</f>
        <v>6600.7186252054644</v>
      </c>
    </row>
    <row r="407" spans="1:14" s="278" customFormat="1" ht="409.6">
      <c r="A407" s="271">
        <f>References!R284</f>
        <v>614</v>
      </c>
      <c r="B407" s="305" t="s">
        <v>55</v>
      </c>
      <c r="C407" s="284">
        <v>2010</v>
      </c>
      <c r="D407" s="284">
        <v>2013</v>
      </c>
      <c r="E407" s="31">
        <f>CPI!$I$54*'AM (nominal)'!E407</f>
        <v>5294.6013603005185</v>
      </c>
      <c r="F407" s="31">
        <f>CPI!$I$54*'AM (nominal)'!F407</f>
        <v>8390.8083225997671</v>
      </c>
      <c r="G407" s="31">
        <f>CPI!$I$54*'AM (nominal)'!G407</f>
        <v>9995.7929506076343</v>
      </c>
      <c r="H407" s="31">
        <f>CPI!$I$54*'AM (nominal)'!H407</f>
        <v>636.77211608417986</v>
      </c>
      <c r="I407" s="31">
        <f>CPI!$I$54*'AM (nominal)'!I407</f>
        <v>3045.211348117808</v>
      </c>
      <c r="J407" s="27">
        <f>CPI!$I$54*'AM (nominal)'!J407</f>
        <v>27363.18609770991</v>
      </c>
      <c r="K407" s="31">
        <f>CPI!$I$54*'AM (nominal)'!K407</f>
        <v>2596.6497116757837</v>
      </c>
      <c r="L407" s="31">
        <f>CPI!$I$54*'AM (nominal)'!L407</f>
        <v>1522.8990986499959</v>
      </c>
      <c r="M407" s="31">
        <f>CPI!$I$54*'AM (nominal)'!M407</f>
        <v>2414.9455148069305</v>
      </c>
      <c r="N407" s="639">
        <f>CPI!$I$54*'AM (nominal)'!N407</f>
        <v>6534.4943251327095</v>
      </c>
    </row>
    <row r="408" spans="1:14" s="278" customFormat="1" ht="409.6">
      <c r="A408" s="271">
        <f>References!S284</f>
        <v>615</v>
      </c>
      <c r="B408" s="305" t="s">
        <v>55</v>
      </c>
      <c r="C408" s="284">
        <v>2010</v>
      </c>
      <c r="D408" s="284">
        <v>2014</v>
      </c>
      <c r="E408" s="31">
        <f>CPI!$I$54*'AM (nominal)'!E408</f>
        <v>5517.1140903653386</v>
      </c>
      <c r="F408" s="31">
        <f>CPI!$I$54*'AM (nominal)'!F408</f>
        <v>10364.612379078977</v>
      </c>
      <c r="G408" s="31">
        <f>CPI!$I$54*'AM (nominal)'!G408</f>
        <v>8519.8912099264053</v>
      </c>
      <c r="H408" s="31">
        <f>CPI!$I$54*'AM (nominal)'!H408</f>
        <v>636.77211608417986</v>
      </c>
      <c r="I408" s="31">
        <f>CPI!$I$54*'AM (nominal)'!I408</f>
        <v>3045.211348117808</v>
      </c>
      <c r="J408" s="27">
        <f>CPI!$I$54*'AM (nominal)'!J408</f>
        <v>28083.601143572712</v>
      </c>
      <c r="K408" s="31">
        <f>CPI!$I$54*'AM (nominal)'!K408</f>
        <v>2354.676307563795</v>
      </c>
      <c r="L408" s="31">
        <f>CPI!$I$54*'AM (nominal)'!L408</f>
        <v>1522.8990986499959</v>
      </c>
      <c r="M408" s="31">
        <f>CPI!$I$54*'AM (nominal)'!M408</f>
        <v>2402.2100724852467</v>
      </c>
      <c r="N408" s="639">
        <f>CPI!$I$54*'AM (nominal)'!N408</f>
        <v>6279.7854786990374</v>
      </c>
    </row>
    <row r="409" spans="1:14" s="278" customFormat="1" ht="409.6">
      <c r="A409" s="271">
        <f>References!T284</f>
        <v>616</v>
      </c>
      <c r="B409" s="305" t="s">
        <v>55</v>
      </c>
      <c r="C409" s="284">
        <v>2010</v>
      </c>
      <c r="D409" s="284">
        <v>2015</v>
      </c>
      <c r="E409" s="31">
        <f>CPI!$I$54*'AM (nominal)'!E409</f>
        <v>5617.1743163387428</v>
      </c>
      <c r="F409" s="31">
        <f>CPI!$I$54*'AM (nominal)'!F409</f>
        <v>11752.266174449622</v>
      </c>
      <c r="G409" s="31">
        <f>CPI!$I$54*'AM (nominal)'!G409</f>
        <v>9147.1815246153419</v>
      </c>
      <c r="H409" s="31">
        <f>CPI!$I$54*'AM (nominal)'!H409</f>
        <v>636.77211608417986</v>
      </c>
      <c r="I409" s="31">
        <f>CPI!$I$54*'AM (nominal)'!I409</f>
        <v>3045.211348117808</v>
      </c>
      <c r="J409" s="27">
        <f>CPI!$I$54*'AM (nominal)'!J409</f>
        <v>30198.605479605696</v>
      </c>
      <c r="K409" s="31">
        <f>CPI!$I$54*'AM (nominal)'!K409</f>
        <v>2367.9211675783463</v>
      </c>
      <c r="L409" s="31">
        <f>CPI!$I$54*'AM (nominal)'!L409</f>
        <v>1530.0309463501387</v>
      </c>
      <c r="M409" s="31">
        <f>CPI!$I$54*'AM (nominal)'!M409</f>
        <v>2402.2100724852467</v>
      </c>
      <c r="N409" s="639">
        <f>CPI!$I$54*'AM (nominal)'!N409</f>
        <v>6300.1621864137314</v>
      </c>
    </row>
    <row r="410" spans="1:14" s="278" customFormat="1" ht="409.6">
      <c r="A410" s="271">
        <f>References!U284</f>
        <v>617</v>
      </c>
      <c r="B410" s="305" t="s">
        <v>55</v>
      </c>
      <c r="C410" s="284">
        <v>2011</v>
      </c>
      <c r="D410" s="284">
        <v>2012</v>
      </c>
      <c r="E410" s="31">
        <f>VLOOKUP('AM (2011)'!$C410+1,CPI!$B$50:$I$63,8,FALSE)*'AM (nominal)'!E410</f>
        <v>6359.3328232062058</v>
      </c>
      <c r="F410" s="31">
        <f>VLOOKUP('AM (2011)'!$C410+1,CPI!$B$50:$I$63,8,FALSE)*'AM (nominal)'!F410</f>
        <v>19177.377403524239</v>
      </c>
      <c r="G410" s="31">
        <f>VLOOKUP('AM (2011)'!$C410+1,CPI!$B$50:$I$63,8,FALSE)*'AM (nominal)'!G410</f>
        <v>8408.1423400129279</v>
      </c>
      <c r="H410" s="31">
        <f>VLOOKUP('AM (2011)'!$C410+1,CPI!$B$50:$I$63,8,FALSE)*'AM (nominal)'!H410</f>
        <v>1317.5575177763412</v>
      </c>
      <c r="I410" s="31">
        <f>VLOOKUP('AM (2011)'!$C410+1,CPI!$B$50:$I$63,8,FALSE)*'AM (nominal)'!I410</f>
        <v>3910.5365223012282</v>
      </c>
      <c r="J410" s="27">
        <f>VLOOKUP('AM (2011)'!$C410+1,CPI!$B$50:$I$63,8,FALSE)*'AM (nominal)'!J410</f>
        <v>39172.946606820944</v>
      </c>
      <c r="K410" s="31">
        <f>VLOOKUP('AM (2011)'!$C410+1,CPI!$B$50:$I$63,8,FALSE)*'AM (nominal)'!K410</f>
        <v>2943.9838745959923</v>
      </c>
      <c r="L410" s="31">
        <f>VLOOKUP('AM (2011)'!$C410+1,CPI!$B$50:$I$63,8,FALSE)*'AM (nominal)'!L410</f>
        <v>1712.4434957983192</v>
      </c>
      <c r="M410" s="31">
        <f>VLOOKUP('AM (2011)'!$C410+1,CPI!$B$50:$I$63,8,FALSE)*'AM (nominal)'!M410</f>
        <v>2345.0135133618614</v>
      </c>
      <c r="N410" s="639">
        <f>VLOOKUP('AM (2011)'!$C410+1,CPI!$B$50:$I$63,8,FALSE)*'AM (nominal)'!N410</f>
        <v>7001.4408837561732</v>
      </c>
    </row>
    <row r="411" spans="1:14" s="278" customFormat="1" ht="409.6">
      <c r="A411" s="271">
        <f>References!V284</f>
        <v>618</v>
      </c>
      <c r="B411" s="305" t="s">
        <v>55</v>
      </c>
      <c r="C411" s="284">
        <v>2011</v>
      </c>
      <c r="D411" s="284">
        <v>2013</v>
      </c>
      <c r="E411" s="31">
        <f>VLOOKUP('AM (2011)'!$C411+1,CPI!$B$50:$I$63,8,FALSE)*'AM (nominal)'!E411</f>
        <v>5305.1694928894631</v>
      </c>
      <c r="F411" s="31">
        <f>VLOOKUP('AM (2011)'!$C411+1,CPI!$B$50:$I$63,8,FALSE)*'AM (nominal)'!F411</f>
        <v>20016.007993931478</v>
      </c>
      <c r="G411" s="31">
        <f>VLOOKUP('AM (2011)'!$C411+1,CPI!$B$50:$I$63,8,FALSE)*'AM (nominal)'!G411</f>
        <v>7835.7375565610855</v>
      </c>
      <c r="H411" s="31">
        <f>VLOOKUP('AM (2011)'!$C411+1,CPI!$B$50:$I$63,8,FALSE)*'AM (nominal)'!H411</f>
        <v>1040.3317626373628</v>
      </c>
      <c r="I411" s="31">
        <f>VLOOKUP('AM (2011)'!$C411+1,CPI!$B$50:$I$63,8,FALSE)*'AM (nominal)'!I411</f>
        <v>3910.5365223012282</v>
      </c>
      <c r="J411" s="27">
        <f>VLOOKUP('AM (2011)'!$C411+1,CPI!$B$50:$I$63,8,FALSE)*'AM (nominal)'!J411</f>
        <v>38107.78332832062</v>
      </c>
      <c r="K411" s="31">
        <f>VLOOKUP('AM (2011)'!$C411+1,CPI!$B$50:$I$63,8,FALSE)*'AM (nominal)'!K411</f>
        <v>2979.2813548804138</v>
      </c>
      <c r="L411" s="31">
        <f>VLOOKUP('AM (2011)'!$C411+1,CPI!$B$50:$I$63,8,FALSE)*'AM (nominal)'!L411</f>
        <v>1693.1596625727213</v>
      </c>
      <c r="M411" s="31">
        <f>VLOOKUP('AM (2011)'!$C411+1,CPI!$B$50:$I$63,8,FALSE)*'AM (nominal)'!M411</f>
        <v>2319.8263987260502</v>
      </c>
      <c r="N411" s="639">
        <f>VLOOKUP('AM (2011)'!$C411+1,CPI!$B$50:$I$63,8,FALSE)*'AM (nominal)'!N411</f>
        <v>6992.2674161791856</v>
      </c>
    </row>
    <row r="412" spans="1:14" s="278" customFormat="1" ht="409.6">
      <c r="A412" s="271">
        <f>References!W284</f>
        <v>619</v>
      </c>
      <c r="B412" s="305" t="s">
        <v>55</v>
      </c>
      <c r="C412" s="284">
        <v>2011</v>
      </c>
      <c r="D412" s="284">
        <v>2014</v>
      </c>
      <c r="E412" s="31">
        <f>VLOOKUP('AM (2011)'!$C412+1,CPI!$B$50:$I$63,8,FALSE)*'AM (nominal)'!E412</f>
        <v>5358.9393700711053</v>
      </c>
      <c r="F412" s="31">
        <f>VLOOKUP('AM (2011)'!$C412+1,CPI!$B$50:$I$63,8,FALSE)*'AM (nominal)'!F412</f>
        <v>18740.488743769874</v>
      </c>
      <c r="G412" s="31">
        <f>VLOOKUP('AM (2011)'!$C412+1,CPI!$B$50:$I$63,8,FALSE)*'AM (nominal)'!G412</f>
        <v>9536.8209437621208</v>
      </c>
      <c r="H412" s="31">
        <f>VLOOKUP('AM (2011)'!$C412+1,CPI!$B$50:$I$63,8,FALSE)*'AM (nominal)'!H412</f>
        <v>855.42986425339359</v>
      </c>
      <c r="I412" s="31">
        <f>VLOOKUP('AM (2011)'!$C412+1,CPI!$B$50:$I$63,8,FALSE)*'AM (nominal)'!I412</f>
        <v>3910.5365223012282</v>
      </c>
      <c r="J412" s="27">
        <f>VLOOKUP('AM (2011)'!$C412+1,CPI!$B$50:$I$63,8,FALSE)*'AM (nominal)'!J412</f>
        <v>38402.215444157722</v>
      </c>
      <c r="K412" s="31">
        <f>VLOOKUP('AM (2011)'!$C412+1,CPI!$B$50:$I$63,8,FALSE)*'AM (nominal)'!K412</f>
        <v>2744.5025184227534</v>
      </c>
      <c r="L412" s="31">
        <f>VLOOKUP('AM (2011)'!$C412+1,CPI!$B$50:$I$63,8,FALSE)*'AM (nominal)'!L412</f>
        <v>1650.6325778926955</v>
      </c>
      <c r="M412" s="31">
        <f>VLOOKUP('AM (2011)'!$C412+1,CPI!$B$50:$I$63,8,FALSE)*'AM (nominal)'!M412</f>
        <v>2313.2925442792503</v>
      </c>
      <c r="N412" s="639">
        <f>VLOOKUP('AM (2011)'!$C412+1,CPI!$B$50:$I$63,8,FALSE)*'AM (nominal)'!N412</f>
        <v>6708.4276405946985</v>
      </c>
    </row>
    <row r="413" spans="1:14" s="278" customFormat="1" ht="409.6">
      <c r="A413" s="271">
        <f>References!X284</f>
        <v>620</v>
      </c>
      <c r="B413" s="305" t="s">
        <v>55</v>
      </c>
      <c r="C413" s="284">
        <v>2011</v>
      </c>
      <c r="D413" s="284">
        <v>2015</v>
      </c>
      <c r="E413" s="31">
        <f>VLOOKUP('AM (2011)'!$C413+1,CPI!$B$50:$I$63,8,FALSE)*'AM (nominal)'!E413</f>
        <v>5297.817684227537</v>
      </c>
      <c r="F413" s="31">
        <f>VLOOKUP('AM (2011)'!$C413+1,CPI!$B$50:$I$63,8,FALSE)*'AM (nominal)'!F413</f>
        <v>11051.160569877182</v>
      </c>
      <c r="G413" s="31">
        <f>VLOOKUP('AM (2011)'!$C413+1,CPI!$B$50:$I$63,8,FALSE)*'AM (nominal)'!G413</f>
        <v>10280.82006981254</v>
      </c>
      <c r="H413" s="31">
        <f>VLOOKUP('AM (2011)'!$C413+1,CPI!$B$50:$I$63,8,FALSE)*'AM (nominal)'!H413</f>
        <v>738.11376858435676</v>
      </c>
      <c r="I413" s="31">
        <f>VLOOKUP('AM (2011)'!$C413+1,CPI!$B$50:$I$63,8,FALSE)*'AM (nominal)'!I413</f>
        <v>3910.5365223012282</v>
      </c>
      <c r="J413" s="27">
        <f>VLOOKUP('AM (2011)'!$C413+1,CPI!$B$50:$I$63,8,FALSE)*'AM (nominal)'!J413</f>
        <v>31278.448614802845</v>
      </c>
      <c r="K413" s="31">
        <f>VLOOKUP('AM (2011)'!$C413+1,CPI!$B$50:$I$63,8,FALSE)*'AM (nominal)'!K413</f>
        <v>2771.6807472527471</v>
      </c>
      <c r="L413" s="31">
        <f>VLOOKUP('AM (2011)'!$C413+1,CPI!$B$50:$I$63,8,FALSE)*'AM (nominal)'!L413</f>
        <v>1664.3194557207498</v>
      </c>
      <c r="M413" s="31">
        <f>VLOOKUP('AM (2011)'!$C413+1,CPI!$B$50:$I$63,8,FALSE)*'AM (nominal)'!M413</f>
        <v>2313.4880711053652</v>
      </c>
      <c r="N413" s="639">
        <f>VLOOKUP('AM (2011)'!$C413+1,CPI!$B$50:$I$63,8,FALSE)*'AM (nominal)'!N413</f>
        <v>6749.4882740788617</v>
      </c>
    </row>
    <row r="414" spans="1:14" s="278" customFormat="1" ht="409.6">
      <c r="A414" s="271">
        <f>References!Y284</f>
        <v>621</v>
      </c>
      <c r="B414" s="305" t="s">
        <v>55</v>
      </c>
      <c r="C414" s="284">
        <v>2011</v>
      </c>
      <c r="D414" s="284">
        <v>2016</v>
      </c>
      <c r="E414" s="31">
        <f>VLOOKUP('AM (2011)'!$C414+1,CPI!$B$50:$I$63,8,FALSE)*'AM (nominal)'!E414</f>
        <v>5300.2617695539757</v>
      </c>
      <c r="F414" s="31">
        <f>VLOOKUP('AM (2011)'!$C414+1,CPI!$B$50:$I$63,8,FALSE)*'AM (nominal)'!F414</f>
        <v>8294.8668062055585</v>
      </c>
      <c r="G414" s="31">
        <f>VLOOKUP('AM (2011)'!$C414+1,CPI!$B$50:$I$63,8,FALSE)*'AM (nominal)'!G414</f>
        <v>11698.389559146735</v>
      </c>
      <c r="H414" s="31">
        <f>VLOOKUP('AM (2011)'!$C414+1,CPI!$B$50:$I$63,8,FALSE)*'AM (nominal)'!H414</f>
        <v>713.67291531997409</v>
      </c>
      <c r="I414" s="31">
        <f>VLOOKUP('AM (2011)'!$C414+1,CPI!$B$50:$I$63,8,FALSE)*'AM (nominal)'!I414</f>
        <v>2932.902391725921</v>
      </c>
      <c r="J414" s="27">
        <f>VLOOKUP('AM (2011)'!$C414+1,CPI!$B$50:$I$63,8,FALSE)*'AM (nominal)'!J414</f>
        <v>28940.093441952165</v>
      </c>
      <c r="K414" s="31">
        <f>VLOOKUP('AM (2011)'!$C414+1,CPI!$B$50:$I$63,8,FALSE)*'AM (nominal)'!K414</f>
        <v>2748.0395987071752</v>
      </c>
      <c r="L414" s="31">
        <f>VLOOKUP('AM (2011)'!$C414+1,CPI!$B$50:$I$63,8,FALSE)*'AM (nominal)'!L414</f>
        <v>1650.6325778926955</v>
      </c>
      <c r="M414" s="31">
        <f>VLOOKUP('AM (2011)'!$C414+1,CPI!$B$50:$I$63,8,FALSE)*'AM (nominal)'!M414</f>
        <v>2313.6855531997417</v>
      </c>
      <c r="N414" s="639">
        <f>VLOOKUP('AM (2011)'!$C414+1,CPI!$B$50:$I$63,8,FALSE)*'AM (nominal)'!N414</f>
        <v>6712.3577297996117</v>
      </c>
    </row>
    <row r="415" spans="1:14" s="278" customFormat="1" ht="409.6">
      <c r="A415" s="271">
        <f>References!K285</f>
        <v>630</v>
      </c>
      <c r="B415" s="305" t="s">
        <v>56</v>
      </c>
      <c r="C415" s="284">
        <v>2009</v>
      </c>
      <c r="D415" s="284">
        <v>2010</v>
      </c>
      <c r="E415" s="31">
        <f>VLOOKUP('AM (2011)'!$C415+1,CPI!$B$50:$I$63,8,FALSE)*'AM (nominal)'!E415</f>
        <v>7460.9315297351177</v>
      </c>
      <c r="F415" s="31">
        <f>VLOOKUP('AM (2011)'!$C415+1,CPI!$B$50:$I$63,8,FALSE)*'AM (nominal)'!F415</f>
        <v>3337.7047236668368</v>
      </c>
      <c r="G415" s="31">
        <f>VLOOKUP('AM (2011)'!$C415+1,CPI!$B$50:$I$63,8,FALSE)*'AM (nominal)'!G415</f>
        <v>10207.711729675835</v>
      </c>
      <c r="H415" s="31">
        <f>VLOOKUP('AM (2011)'!$C415+1,CPI!$B$50:$I$63,8,FALSE)*'AM (nominal)'!H415</f>
        <v>501.26700978146636</v>
      </c>
      <c r="I415" s="31">
        <f>VLOOKUP('AM (2011)'!$C415+1,CPI!$B$50:$I$63,8,FALSE)*'AM (nominal)'!I415</f>
        <v>1202.2257551669315</v>
      </c>
      <c r="J415" s="27">
        <f>VLOOKUP('AM (2011)'!$C415+1,CPI!$B$50:$I$63,8,FALSE)*'AM (nominal)'!J415</f>
        <v>22709.840748026189</v>
      </c>
      <c r="K415" s="31">
        <f>VLOOKUP('AM (2011)'!$C415+1,CPI!$B$50:$I$63,8,FALSE)*'AM (nominal)'!K415</f>
        <v>6047.8068497211061</v>
      </c>
      <c r="L415" s="31">
        <f>VLOOKUP('AM (2011)'!$C415+1,CPI!$B$50:$I$63,8,FALSE)*'AM (nominal)'!L415</f>
        <v>625.56492684109821</v>
      </c>
      <c r="M415" s="31">
        <f>VLOOKUP('AM (2011)'!$C415+1,CPI!$B$50:$I$63,8,FALSE)*'AM (nominal)'!M415</f>
        <v>4661.1718897361961</v>
      </c>
      <c r="N415" s="639">
        <f>VLOOKUP('AM (2011)'!$C415+1,CPI!$B$50:$I$63,8,FALSE)*'AM (nominal)'!N415</f>
        <v>11334.543666298401</v>
      </c>
    </row>
    <row r="416" spans="1:14" s="278" customFormat="1" ht="409.6">
      <c r="A416" s="271">
        <f>References!L285</f>
        <v>631</v>
      </c>
      <c r="B416" s="305" t="s">
        <v>56</v>
      </c>
      <c r="C416" s="284">
        <v>2009</v>
      </c>
      <c r="D416" s="284">
        <v>2011</v>
      </c>
      <c r="E416" s="31">
        <f>VLOOKUP('AM (2011)'!$C416+1,CPI!$B$50:$I$63,8,FALSE)*'AM (nominal)'!E416</f>
        <v>5530.2384737678849</v>
      </c>
      <c r="F416" s="31">
        <f>VLOOKUP('AM (2011)'!$C416+1,CPI!$B$50:$I$63,8,FALSE)*'AM (nominal)'!F416</f>
        <v>2321.9258440893532</v>
      </c>
      <c r="G416" s="31">
        <f>VLOOKUP('AM (2011)'!$C416+1,CPI!$B$50:$I$63,8,FALSE)*'AM (nominal)'!G416</f>
        <v>13194.937080649941</v>
      </c>
      <c r="H416" s="31">
        <f>VLOOKUP('AM (2011)'!$C416+1,CPI!$B$50:$I$63,8,FALSE)*'AM (nominal)'!H416</f>
        <v>460.51359435207883</v>
      </c>
      <c r="I416" s="31">
        <f>VLOOKUP('AM (2011)'!$C416+1,CPI!$B$50:$I$63,8,FALSE)*'AM (nominal)'!I416</f>
        <v>1202.2257551669315</v>
      </c>
      <c r="J416" s="27">
        <f>VLOOKUP('AM (2011)'!$C416+1,CPI!$B$50:$I$63,8,FALSE)*'AM (nominal)'!J416</f>
        <v>22709.840748026189</v>
      </c>
      <c r="K416" s="31">
        <f>VLOOKUP('AM (2011)'!$C416+1,CPI!$B$50:$I$63,8,FALSE)*'AM (nominal)'!K416</f>
        <v>5602.5757861550474</v>
      </c>
      <c r="L416" s="31">
        <f>VLOOKUP('AM (2011)'!$C416+1,CPI!$B$50:$I$63,8,FALSE)*'AM (nominal)'!L416</f>
        <v>625.56492684109821</v>
      </c>
      <c r="M416" s="31">
        <f>VLOOKUP('AM (2011)'!$C416+1,CPI!$B$50:$I$63,8,FALSE)*'AM (nominal)'!M416</f>
        <v>4670.3414082078079</v>
      </c>
      <c r="N416" s="639">
        <f>VLOOKUP('AM (2011)'!$C416+1,CPI!$B$50:$I$63,8,FALSE)*'AM (nominal)'!N416</f>
        <v>10898.482121203953</v>
      </c>
    </row>
    <row r="417" spans="1:14" s="278" customFormat="1" ht="409.6">
      <c r="A417" s="271">
        <f>References!M285</f>
        <v>632</v>
      </c>
      <c r="B417" s="305" t="s">
        <v>56</v>
      </c>
      <c r="C417" s="284">
        <v>2009</v>
      </c>
      <c r="D417" s="284">
        <v>2012</v>
      </c>
      <c r="E417" s="31">
        <f>VLOOKUP('AM (2011)'!$C417+1,CPI!$B$50:$I$63,8,FALSE)*'AM (nominal)'!E417</f>
        <v>7551.6078790655047</v>
      </c>
      <c r="F417" s="31">
        <f>VLOOKUP('AM (2011)'!$C417+1,CPI!$B$50:$I$63,8,FALSE)*'AM (nominal)'!F417</f>
        <v>3513.9632453989379</v>
      </c>
      <c r="G417" s="31">
        <f>VLOOKUP('AM (2011)'!$C417+1,CPI!$B$50:$I$63,8,FALSE)*'AM (nominal)'!G417</f>
        <v>12882.154617229391</v>
      </c>
      <c r="H417" s="31">
        <f>VLOOKUP('AM (2011)'!$C417+1,CPI!$B$50:$I$63,8,FALSE)*'AM (nominal)'!H417</f>
        <v>617.4142437552207</v>
      </c>
      <c r="I417" s="31">
        <f>VLOOKUP('AM (2011)'!$C417+1,CPI!$B$50:$I$63,8,FALSE)*'AM (nominal)'!I417</f>
        <v>1202.2257551669315</v>
      </c>
      <c r="J417" s="27">
        <f>VLOOKUP('AM (2011)'!$C417+1,CPI!$B$50:$I$63,8,FALSE)*'AM (nominal)'!J417</f>
        <v>25767.365740615987</v>
      </c>
      <c r="K417" s="31">
        <f>VLOOKUP('AM (2011)'!$C417+1,CPI!$B$50:$I$63,8,FALSE)*'AM (nominal)'!K417</f>
        <v>5588.3120907547618</v>
      </c>
      <c r="L417" s="31">
        <f>VLOOKUP('AM (2011)'!$C417+1,CPI!$B$50:$I$63,8,FALSE)*'AM (nominal)'!L417</f>
        <v>625.56492684109821</v>
      </c>
      <c r="M417" s="31">
        <f>VLOOKUP('AM (2011)'!$C417+1,CPI!$B$50:$I$63,8,FALSE)*'AM (nominal)'!M417</f>
        <v>4717.2078359516036</v>
      </c>
      <c r="N417" s="639">
        <f>VLOOKUP('AM (2011)'!$C417+1,CPI!$B$50:$I$63,8,FALSE)*'AM (nominal)'!N417</f>
        <v>10931.084853547463</v>
      </c>
    </row>
    <row r="418" spans="1:14" s="278" customFormat="1" ht="409.6">
      <c r="A418" s="271">
        <f>References!N285</f>
        <v>633</v>
      </c>
      <c r="B418" s="305" t="s">
        <v>56</v>
      </c>
      <c r="C418" s="284">
        <v>2009</v>
      </c>
      <c r="D418" s="284">
        <v>2013</v>
      </c>
      <c r="E418" s="31">
        <f>VLOOKUP('AM (2011)'!$C418+1,CPI!$B$50:$I$63,8,FALSE)*'AM (nominal)'!E418</f>
        <v>6006.0345989059842</v>
      </c>
      <c r="F418" s="31">
        <f>VLOOKUP('AM (2011)'!$C418+1,CPI!$B$50:$I$63,8,FALSE)*'AM (nominal)'!F418</f>
        <v>8525.614507827866</v>
      </c>
      <c r="G418" s="31">
        <f>VLOOKUP('AM (2011)'!$C418+1,CPI!$B$50:$I$63,8,FALSE)*'AM (nominal)'!G418</f>
        <v>12167.951011829375</v>
      </c>
      <c r="H418" s="31">
        <f>VLOOKUP('AM (2011)'!$C418+1,CPI!$B$50:$I$63,8,FALSE)*'AM (nominal)'!H418</f>
        <v>477.83379590956855</v>
      </c>
      <c r="I418" s="31">
        <f>VLOOKUP('AM (2011)'!$C418+1,CPI!$B$50:$I$63,8,FALSE)*'AM (nominal)'!I418</f>
        <v>1202.2257551669315</v>
      </c>
      <c r="J418" s="27">
        <f>VLOOKUP('AM (2011)'!$C418+1,CPI!$B$50:$I$63,8,FALSE)*'AM (nominal)'!J418</f>
        <v>28379.659669639725</v>
      </c>
      <c r="K418" s="31">
        <f>VLOOKUP('AM (2011)'!$C418+1,CPI!$B$50:$I$63,8,FALSE)*'AM (nominal)'!K418</f>
        <v>5639.2538600414964</v>
      </c>
      <c r="L418" s="31">
        <f>VLOOKUP('AM (2011)'!$C418+1,CPI!$B$50:$I$63,8,FALSE)*'AM (nominal)'!L418</f>
        <v>625.56492684109821</v>
      </c>
      <c r="M418" s="31">
        <f>VLOOKUP('AM (2011)'!$C418+1,CPI!$B$50:$I$63,8,FALSE)*'AM (nominal)'!M418</f>
        <v>4761.0177575381958</v>
      </c>
      <c r="N418" s="639">
        <f>VLOOKUP('AM (2011)'!$C418+1,CPI!$B$50:$I$63,8,FALSE)*'AM (nominal)'!N418</f>
        <v>11025.83654442079</v>
      </c>
    </row>
    <row r="419" spans="1:14" s="278" customFormat="1" ht="409.6">
      <c r="A419" s="271">
        <f>References!O285</f>
        <v>634</v>
      </c>
      <c r="B419" s="305" t="s">
        <v>56</v>
      </c>
      <c r="C419" s="284">
        <v>2009</v>
      </c>
      <c r="D419" s="284">
        <v>2014</v>
      </c>
      <c r="E419" s="31">
        <f>VLOOKUP('AM (2011)'!$C419+1,CPI!$B$50:$I$63,8,FALSE)*'AM (nominal)'!E419</f>
        <v>5806.3428633019848</v>
      </c>
      <c r="F419" s="31">
        <f>VLOOKUP('AM (2011)'!$C419+1,CPI!$B$50:$I$63,8,FALSE)*'AM (nominal)'!F419</f>
        <v>5481.3343752526198</v>
      </c>
      <c r="G419" s="31">
        <f>VLOOKUP('AM (2011)'!$C419+1,CPI!$B$50:$I$63,8,FALSE)*'AM (nominal)'!G419</f>
        <v>15481.203686238579</v>
      </c>
      <c r="H419" s="31">
        <f>VLOOKUP('AM (2011)'!$C419+1,CPI!$B$50:$I$63,8,FALSE)*'AM (nominal)'!H419</f>
        <v>476.81496052383386</v>
      </c>
      <c r="I419" s="31">
        <f>VLOOKUP('AM (2011)'!$C419+1,CPI!$B$50:$I$63,8,FALSE)*'AM (nominal)'!I419</f>
        <v>1202.2257551669315</v>
      </c>
      <c r="J419" s="27">
        <f>VLOOKUP('AM (2011)'!$C419+1,CPI!$B$50:$I$63,8,FALSE)*'AM (nominal)'!J419</f>
        <v>28447.92164048395</v>
      </c>
      <c r="K419" s="31">
        <f>VLOOKUP('AM (2011)'!$C419+1,CPI!$B$50:$I$63,8,FALSE)*'AM (nominal)'!K419</f>
        <v>5704.4593247285165</v>
      </c>
      <c r="L419" s="31">
        <f>VLOOKUP('AM (2011)'!$C419+1,CPI!$B$50:$I$63,8,FALSE)*'AM (nominal)'!L419</f>
        <v>625.56492684109821</v>
      </c>
      <c r="M419" s="31">
        <f>VLOOKUP('AM (2011)'!$C419+1,CPI!$B$50:$I$63,8,FALSE)*'AM (nominal)'!M419</f>
        <v>4815.0160329821338</v>
      </c>
      <c r="N419" s="639">
        <f>VLOOKUP('AM (2011)'!$C419+1,CPI!$B$50:$I$63,8,FALSE)*'AM (nominal)'!N419</f>
        <v>11145.040284551749</v>
      </c>
    </row>
    <row r="420" spans="1:14" s="278" customFormat="1" ht="409.6">
      <c r="A420" s="271">
        <f>References!P285</f>
        <v>635</v>
      </c>
      <c r="B420" s="305" t="s">
        <v>56</v>
      </c>
      <c r="C420" s="284">
        <v>2010</v>
      </c>
      <c r="D420" s="284">
        <v>2011</v>
      </c>
      <c r="E420" s="31">
        <f>VLOOKUP('AM (2011)'!$C420+1,CPI!$B$50:$I$63,8,FALSE)*'AM (nominal)'!E420</f>
        <v>5428</v>
      </c>
      <c r="F420" s="31">
        <f>VLOOKUP('AM (2011)'!$C420+1,CPI!$B$50:$I$63,8,FALSE)*'AM (nominal)'!F420</f>
        <v>2279</v>
      </c>
      <c r="G420" s="31">
        <f>VLOOKUP('AM (2011)'!$C420+1,CPI!$B$50:$I$63,8,FALSE)*'AM (nominal)'!G420</f>
        <v>12951</v>
      </c>
      <c r="H420" s="31">
        <f>VLOOKUP('AM (2011)'!$C420+1,CPI!$B$50:$I$63,8,FALSE)*'AM (nominal)'!H420</f>
        <v>452</v>
      </c>
      <c r="I420" s="31">
        <f>VLOOKUP('AM (2011)'!$C420+1,CPI!$B$50:$I$63,8,FALSE)*'AM (nominal)'!I420</f>
        <v>1180</v>
      </c>
      <c r="J420" s="27">
        <f>VLOOKUP('AM (2011)'!$C420+1,CPI!$B$50:$I$63,8,FALSE)*'AM (nominal)'!J420</f>
        <v>22290</v>
      </c>
      <c r="K420" s="31">
        <f>VLOOKUP('AM (2011)'!$C420+1,CPI!$B$50:$I$63,8,FALSE)*'AM (nominal)'!K420</f>
        <v>5499</v>
      </c>
      <c r="L420" s="31">
        <f>VLOOKUP('AM (2011)'!$C420+1,CPI!$B$50:$I$63,8,FALSE)*'AM (nominal)'!L420</f>
        <v>614</v>
      </c>
      <c r="M420" s="31">
        <f>VLOOKUP('AM (2011)'!$C420+1,CPI!$B$50:$I$63,8,FALSE)*'AM (nominal)'!M420</f>
        <v>4584</v>
      </c>
      <c r="N420" s="639">
        <f>VLOOKUP('AM (2011)'!$C420+1,CPI!$B$50:$I$63,8,FALSE)*'AM (nominal)'!N420</f>
        <v>10697</v>
      </c>
    </row>
    <row r="421" spans="1:14" s="278" customFormat="1" ht="409.6">
      <c r="A421" s="271">
        <f>References!Q285</f>
        <v>636</v>
      </c>
      <c r="B421" s="305" t="s">
        <v>56</v>
      </c>
      <c r="C421" s="284">
        <v>2010</v>
      </c>
      <c r="D421" s="284">
        <v>2012</v>
      </c>
      <c r="E421" s="31">
        <f>VLOOKUP('AM (2011)'!$C421+1,CPI!$B$50:$I$63,8,FALSE)*'AM (nominal)'!E421</f>
        <v>7412</v>
      </c>
      <c r="F421" s="31">
        <f>VLOOKUP('AM (2011)'!$C421+1,CPI!$B$50:$I$63,8,FALSE)*'AM (nominal)'!F421</f>
        <v>3449</v>
      </c>
      <c r="G421" s="31">
        <f>VLOOKUP('AM (2011)'!$C421+1,CPI!$B$50:$I$63,8,FALSE)*'AM (nominal)'!G421</f>
        <v>12644</v>
      </c>
      <c r="H421" s="31">
        <f>VLOOKUP('AM (2011)'!$C421+1,CPI!$B$50:$I$63,8,FALSE)*'AM (nominal)'!H421</f>
        <v>606</v>
      </c>
      <c r="I421" s="31">
        <f>VLOOKUP('AM (2011)'!$C421+1,CPI!$B$50:$I$63,8,FALSE)*'AM (nominal)'!I421</f>
        <v>1180</v>
      </c>
      <c r="J421" s="27">
        <f>VLOOKUP('AM (2011)'!$C421+1,CPI!$B$50:$I$63,8,FALSE)*'AM (nominal)'!J421</f>
        <v>25291</v>
      </c>
      <c r="K421" s="31">
        <f>VLOOKUP('AM (2011)'!$C421+1,CPI!$B$50:$I$63,8,FALSE)*'AM (nominal)'!K421</f>
        <v>5485</v>
      </c>
      <c r="L421" s="31">
        <f>VLOOKUP('AM (2011)'!$C421+1,CPI!$B$50:$I$63,8,FALSE)*'AM (nominal)'!L421</f>
        <v>614</v>
      </c>
      <c r="M421" s="31">
        <f>VLOOKUP('AM (2011)'!$C421+1,CPI!$B$50:$I$63,8,FALSE)*'AM (nominal)'!M421</f>
        <v>4630</v>
      </c>
      <c r="N421" s="639">
        <f>VLOOKUP('AM (2011)'!$C421+1,CPI!$B$50:$I$63,8,FALSE)*'AM (nominal)'!N421</f>
        <v>10729</v>
      </c>
    </row>
    <row r="422" spans="1:14" s="278" customFormat="1" ht="409.6">
      <c r="A422" s="271">
        <f>References!R285</f>
        <v>637</v>
      </c>
      <c r="B422" s="305" t="s">
        <v>56</v>
      </c>
      <c r="C422" s="284">
        <v>2010</v>
      </c>
      <c r="D422" s="284">
        <v>2013</v>
      </c>
      <c r="E422" s="31">
        <f>VLOOKUP('AM (2011)'!$C422+1,CPI!$B$50:$I$63,8,FALSE)*'AM (nominal)'!E422</f>
        <v>5895</v>
      </c>
      <c r="F422" s="31">
        <f>VLOOKUP('AM (2011)'!$C422+1,CPI!$B$50:$I$63,8,FALSE)*'AM (nominal)'!F422</f>
        <v>8368</v>
      </c>
      <c r="G422" s="31">
        <f>VLOOKUP('AM (2011)'!$C422+1,CPI!$B$50:$I$63,8,FALSE)*'AM (nominal)'!G422</f>
        <v>11943</v>
      </c>
      <c r="H422" s="31">
        <f>VLOOKUP('AM (2011)'!$C422+1,CPI!$B$50:$I$63,8,FALSE)*'AM (nominal)'!H422</f>
        <v>469</v>
      </c>
      <c r="I422" s="31">
        <f>VLOOKUP('AM (2011)'!$C422+1,CPI!$B$50:$I$63,8,FALSE)*'AM (nominal)'!I422</f>
        <v>1180</v>
      </c>
      <c r="J422" s="27">
        <f>VLOOKUP('AM (2011)'!$C422+1,CPI!$B$50:$I$63,8,FALSE)*'AM (nominal)'!J422</f>
        <v>27855</v>
      </c>
      <c r="K422" s="31">
        <f>VLOOKUP('AM (2011)'!$C422+1,CPI!$B$50:$I$63,8,FALSE)*'AM (nominal)'!K422</f>
        <v>5535</v>
      </c>
      <c r="L422" s="31">
        <f>VLOOKUP('AM (2011)'!$C422+1,CPI!$B$50:$I$63,8,FALSE)*'AM (nominal)'!L422</f>
        <v>614</v>
      </c>
      <c r="M422" s="31">
        <f>VLOOKUP('AM (2011)'!$C422+1,CPI!$B$50:$I$63,8,FALSE)*'AM (nominal)'!M422</f>
        <v>4673</v>
      </c>
      <c r="N422" s="639">
        <f>VLOOKUP('AM (2011)'!$C422+1,CPI!$B$50:$I$63,8,FALSE)*'AM (nominal)'!N422</f>
        <v>10822</v>
      </c>
    </row>
    <row r="423" spans="1:14" s="278" customFormat="1" ht="409.6">
      <c r="A423" s="271">
        <f>References!S285</f>
        <v>638</v>
      </c>
      <c r="B423" s="305" t="s">
        <v>56</v>
      </c>
      <c r="C423" s="284">
        <v>2010</v>
      </c>
      <c r="D423" s="284">
        <v>2014</v>
      </c>
      <c r="E423" s="31">
        <f>VLOOKUP('AM (2011)'!$C423+1,CPI!$B$50:$I$63,8,FALSE)*'AM (nominal)'!E423</f>
        <v>5699</v>
      </c>
      <c r="F423" s="31">
        <f>VLOOKUP('AM (2011)'!$C423+1,CPI!$B$50:$I$63,8,FALSE)*'AM (nominal)'!F423</f>
        <v>5380</v>
      </c>
      <c r="G423" s="31">
        <f>VLOOKUP('AM (2011)'!$C423+1,CPI!$B$50:$I$63,8,FALSE)*'AM (nominal)'!G423</f>
        <v>15195</v>
      </c>
      <c r="H423" s="31">
        <f>VLOOKUP('AM (2011)'!$C423+1,CPI!$B$50:$I$63,8,FALSE)*'AM (nominal)'!H423</f>
        <v>468</v>
      </c>
      <c r="I423" s="31">
        <f>VLOOKUP('AM (2011)'!$C423+1,CPI!$B$50:$I$63,8,FALSE)*'AM (nominal)'!I423</f>
        <v>1180</v>
      </c>
      <c r="J423" s="27">
        <f>VLOOKUP('AM (2011)'!$C423+1,CPI!$B$50:$I$63,8,FALSE)*'AM (nominal)'!J423</f>
        <v>27922</v>
      </c>
      <c r="K423" s="31">
        <f>VLOOKUP('AM (2011)'!$C423+1,CPI!$B$50:$I$63,8,FALSE)*'AM (nominal)'!K423</f>
        <v>5599</v>
      </c>
      <c r="L423" s="31">
        <f>VLOOKUP('AM (2011)'!$C423+1,CPI!$B$50:$I$63,8,FALSE)*'AM (nominal)'!L423</f>
        <v>614</v>
      </c>
      <c r="M423" s="31">
        <f>VLOOKUP('AM (2011)'!$C423+1,CPI!$B$50:$I$63,8,FALSE)*'AM (nominal)'!M423</f>
        <v>4726</v>
      </c>
      <c r="N423" s="639">
        <f>VLOOKUP('AM (2011)'!$C423+1,CPI!$B$50:$I$63,8,FALSE)*'AM (nominal)'!N423</f>
        <v>10939</v>
      </c>
    </row>
    <row r="424" spans="1:14" s="278" customFormat="1" ht="409.6">
      <c r="A424" s="271">
        <f>References!T285</f>
        <v>639</v>
      </c>
      <c r="B424" s="305" t="s">
        <v>56</v>
      </c>
      <c r="C424" s="284">
        <v>2010</v>
      </c>
      <c r="D424" s="284">
        <v>2015</v>
      </c>
      <c r="E424" s="31">
        <f>VLOOKUP('AM (2011)'!$C424+1,CPI!$B$50:$I$63,8,FALSE)*'AM (nominal)'!E424</f>
        <v>5633</v>
      </c>
      <c r="F424" s="31">
        <f>VLOOKUP('AM (2011)'!$C424+1,CPI!$B$50:$I$63,8,FALSE)*'AM (nominal)'!F424</f>
        <v>4075</v>
      </c>
      <c r="G424" s="31">
        <f>VLOOKUP('AM (2011)'!$C424+1,CPI!$B$50:$I$63,8,FALSE)*'AM (nominal)'!G424</f>
        <v>17587</v>
      </c>
      <c r="H424" s="31">
        <f>VLOOKUP('AM (2011)'!$C424+1,CPI!$B$50:$I$63,8,FALSE)*'AM (nominal)'!H424</f>
        <v>463</v>
      </c>
      <c r="I424" s="31">
        <f>VLOOKUP('AM (2011)'!$C424+1,CPI!$B$50:$I$63,8,FALSE)*'AM (nominal)'!I424</f>
        <v>1180</v>
      </c>
      <c r="J424" s="27">
        <f>VLOOKUP('AM (2011)'!$C424+1,CPI!$B$50:$I$63,8,FALSE)*'AM (nominal)'!J424</f>
        <v>28938</v>
      </c>
      <c r="K424" s="31">
        <f>VLOOKUP('AM (2011)'!$C424+1,CPI!$B$50:$I$63,8,FALSE)*'AM (nominal)'!K424</f>
        <v>5603</v>
      </c>
      <c r="L424" s="31">
        <f>VLOOKUP('AM (2011)'!$C424+1,CPI!$B$50:$I$63,8,FALSE)*'AM (nominal)'!L424</f>
        <v>614</v>
      </c>
      <c r="M424" s="31">
        <f>VLOOKUP('AM (2011)'!$C424+1,CPI!$B$50:$I$63,8,FALSE)*'AM (nominal)'!M424</f>
        <v>4771</v>
      </c>
      <c r="N424" s="639">
        <f>VLOOKUP('AM (2011)'!$C424+1,CPI!$B$50:$I$63,8,FALSE)*'AM (nominal)'!N424</f>
        <v>10988</v>
      </c>
    </row>
    <row r="425" spans="1:14" s="278" customFormat="1" ht="409.6">
      <c r="A425" s="271">
        <f>References!U285</f>
        <v>640</v>
      </c>
      <c r="B425" s="305" t="s">
        <v>56</v>
      </c>
      <c r="C425" s="284">
        <v>2011</v>
      </c>
      <c r="D425" s="284">
        <v>2012</v>
      </c>
      <c r="E425" s="31">
        <f>VLOOKUP('AM (2011)'!$C425+1,CPI!$B$50:$I$63,8,FALSE)*'AM (nominal)'!E425</f>
        <v>7614.7922430510662</v>
      </c>
      <c r="F425" s="31">
        <f>VLOOKUP('AM (2011)'!$C425+1,CPI!$B$50:$I$63,8,FALSE)*'AM (nominal)'!F425</f>
        <v>3542.9460892049128</v>
      </c>
      <c r="G425" s="31">
        <f>VLOOKUP('AM (2011)'!$C425+1,CPI!$B$50:$I$63,8,FALSE)*'AM (nominal)'!G425</f>
        <v>622.75294117647059</v>
      </c>
      <c r="H425" s="31">
        <f>VLOOKUP('AM (2011)'!$C425+1,CPI!$B$50:$I$63,8,FALSE)*'AM (nominal)'!H425</f>
        <v>12988.847058823529</v>
      </c>
      <c r="I425" s="31">
        <f>VLOOKUP('AM (2011)'!$C425+1,CPI!$B$50:$I$63,8,FALSE)*'AM (nominal)'!I425</f>
        <v>1212.2663219133808</v>
      </c>
      <c r="J425" s="27">
        <f>VLOOKUP('AM (2011)'!$C425+1,CPI!$B$50:$I$63,8,FALSE)*'AM (nominal)'!J425</f>
        <v>25981.604654169358</v>
      </c>
      <c r="K425" s="31">
        <f>VLOOKUP('AM (2011)'!$C425+1,CPI!$B$50:$I$63,8,FALSE)*'AM (nominal)'!K425</f>
        <v>5635.0831286360699</v>
      </c>
      <c r="L425" s="31">
        <f>VLOOKUP('AM (2011)'!$C425+1,CPI!$B$50:$I$63,8,FALSE)*'AM (nominal)'!L425</f>
        <v>630.57401422107307</v>
      </c>
      <c r="M425" s="31">
        <f>VLOOKUP('AM (2011)'!$C425+1,CPI!$B$50:$I$63,8,FALSE)*'AM (nominal)'!M425</f>
        <v>4756.190045248869</v>
      </c>
      <c r="N425" s="639">
        <f>VLOOKUP('AM (2011)'!$C425+1,CPI!$B$50:$I$63,8,FALSE)*'AM (nominal)'!N425</f>
        <v>11021.84718810601</v>
      </c>
    </row>
    <row r="426" spans="1:14" s="278" customFormat="1" ht="409.6">
      <c r="A426" s="271">
        <f>References!V285</f>
        <v>641</v>
      </c>
      <c r="B426" s="305" t="s">
        <v>56</v>
      </c>
      <c r="C426" s="284">
        <v>2011</v>
      </c>
      <c r="D426" s="284">
        <v>2013</v>
      </c>
      <c r="E426" s="31">
        <f>VLOOKUP('AM (2011)'!$C426+1,CPI!$B$50:$I$63,8,FALSE)*'AM (nominal)'!E426</f>
        <v>6056.443438914027</v>
      </c>
      <c r="F426" s="31">
        <f>VLOOKUP('AM (2011)'!$C426+1,CPI!$B$50:$I$63,8,FALSE)*'AM (nominal)'!F426</f>
        <v>8596.3369101486751</v>
      </c>
      <c r="G426" s="31">
        <f>VLOOKUP('AM (2011)'!$C426+1,CPI!$B$50:$I$63,8,FALSE)*'AM (nominal)'!G426</f>
        <v>481.97362637362636</v>
      </c>
      <c r="H426" s="31">
        <f>VLOOKUP('AM (2011)'!$C426+1,CPI!$B$50:$I$63,8,FALSE)*'AM (nominal)'!H426</f>
        <v>12269.308338720102</v>
      </c>
      <c r="I426" s="31">
        <f>VLOOKUP('AM (2011)'!$C426+1,CPI!$B$50:$I$63,8,FALSE)*'AM (nominal)'!I426</f>
        <v>1212.2663219133808</v>
      </c>
      <c r="J426" s="27">
        <f>VLOOKUP('AM (2011)'!$C426+1,CPI!$B$50:$I$63,8,FALSE)*'AM (nominal)'!J426</f>
        <v>28616.328636069811</v>
      </c>
      <c r="K426" s="31">
        <f>VLOOKUP('AM (2011)'!$C426+1,CPI!$B$50:$I$63,8,FALSE)*'AM (nominal)'!K426</f>
        <v>5685.9201034259859</v>
      </c>
      <c r="L426" s="31">
        <f>VLOOKUP('AM (2011)'!$C426+1,CPI!$B$50:$I$63,8,FALSE)*'AM (nominal)'!L426</f>
        <v>630.57401422107307</v>
      </c>
      <c r="M426" s="31">
        <f>VLOOKUP('AM (2011)'!$C426+1,CPI!$B$50:$I$63,8,FALSE)*'AM (nominal)'!M426</f>
        <v>4800.1835811247574</v>
      </c>
      <c r="N426" s="639">
        <f>VLOOKUP('AM (2011)'!$C426+1,CPI!$B$50:$I$63,8,FALSE)*'AM (nominal)'!N426</f>
        <v>11116.677698771817</v>
      </c>
    </row>
    <row r="427" spans="1:14" s="278" customFormat="1" ht="409.6">
      <c r="A427" s="271">
        <f>References!W285</f>
        <v>642</v>
      </c>
      <c r="B427" s="305" t="s">
        <v>56</v>
      </c>
      <c r="C427" s="284">
        <v>2011</v>
      </c>
      <c r="D427" s="284">
        <v>2014</v>
      </c>
      <c r="E427" s="31">
        <f>VLOOKUP('AM (2011)'!$C427+1,CPI!$B$50:$I$63,8,FALSE)*'AM (nominal)'!E427</f>
        <v>5855.0508080155141</v>
      </c>
      <c r="F427" s="31">
        <f>VLOOKUP('AM (2011)'!$C427+1,CPI!$B$50:$I$63,8,FALSE)*'AM (nominal)'!F427</f>
        <v>5526.5657401422104</v>
      </c>
      <c r="G427" s="31">
        <f>VLOOKUP('AM (2011)'!$C427+1,CPI!$B$50:$I$63,8,FALSE)*'AM (nominal)'!G427</f>
        <v>480.99599224305103</v>
      </c>
      <c r="H427" s="31">
        <f>VLOOKUP('AM (2011)'!$C427+1,CPI!$B$50:$I$63,8,FALSE)*'AM (nominal)'!H427</f>
        <v>15609.884162895927</v>
      </c>
      <c r="I427" s="31">
        <f>VLOOKUP('AM (2011)'!$C427+1,CPI!$B$50:$I$63,8,FALSE)*'AM (nominal)'!I427</f>
        <v>1212.2663219133808</v>
      </c>
      <c r="J427" s="27">
        <f>VLOOKUP('AM (2011)'!$C427+1,CPI!$B$50:$I$63,8,FALSE)*'AM (nominal)'!J427</f>
        <v>28684.763025210083</v>
      </c>
      <c r="K427" s="31">
        <f>VLOOKUP('AM (2011)'!$C427+1,CPI!$B$50:$I$63,8,FALSE)*'AM (nominal)'!K427</f>
        <v>5751.421590174531</v>
      </c>
      <c r="L427" s="31">
        <f>VLOOKUP('AM (2011)'!$C427+1,CPI!$B$50:$I$63,8,FALSE)*'AM (nominal)'!L427</f>
        <v>630.57401422107307</v>
      </c>
      <c r="M427" s="31">
        <f>VLOOKUP('AM (2011)'!$C427+1,CPI!$B$50:$I$63,8,FALSE)*'AM (nominal)'!M427</f>
        <v>4854.9310924369747</v>
      </c>
      <c r="N427" s="639">
        <f>VLOOKUP('AM (2011)'!$C427+1,CPI!$B$50:$I$63,8,FALSE)*'AM (nominal)'!N427</f>
        <v>11236.926696832579</v>
      </c>
    </row>
    <row r="428" spans="1:14" s="278" customFormat="1" ht="409.6">
      <c r="A428" s="271">
        <f>References!X285</f>
        <v>643</v>
      </c>
      <c r="B428" s="305" t="s">
        <v>56</v>
      </c>
      <c r="C428" s="284">
        <v>2011</v>
      </c>
      <c r="D428" s="284">
        <v>2015</v>
      </c>
      <c r="E428" s="31">
        <f>VLOOKUP('AM (2011)'!$C428+1,CPI!$B$50:$I$63,8,FALSE)*'AM (nominal)'!E428</f>
        <v>5786.6164188752418</v>
      </c>
      <c r="F428" s="31">
        <f>VLOOKUP('AM (2011)'!$C428+1,CPI!$B$50:$I$63,8,FALSE)*'AM (nominal)'!F428</f>
        <v>4186.2293471234643</v>
      </c>
      <c r="G428" s="31">
        <f>VLOOKUP('AM (2011)'!$C428+1,CPI!$B$50:$I$63,8,FALSE)*'AM (nominal)'!G428</f>
        <v>476.10782159017452</v>
      </c>
      <c r="H428" s="31">
        <f>VLOOKUP('AM (2011)'!$C428+1,CPI!$B$50:$I$63,8,FALSE)*'AM (nominal)'!H428</f>
        <v>18067.65636716225</v>
      </c>
      <c r="I428" s="31">
        <f>VLOOKUP('AM (2011)'!$C428+1,CPI!$B$50:$I$63,8,FALSE)*'AM (nominal)'!I428</f>
        <v>1212.2663219133808</v>
      </c>
      <c r="J428" s="27">
        <f>VLOOKUP('AM (2011)'!$C428+1,CPI!$B$50:$I$63,8,FALSE)*'AM (nominal)'!J428</f>
        <v>29728.876276664512</v>
      </c>
      <c r="K428" s="31">
        <f>VLOOKUP('AM (2011)'!$C428+1,CPI!$B$50:$I$63,8,FALSE)*'AM (nominal)'!K428</f>
        <v>5756.3097608274074</v>
      </c>
      <c r="L428" s="31">
        <f>VLOOKUP('AM (2011)'!$C428+1,CPI!$B$50:$I$63,8,FALSE)*'AM (nominal)'!L428</f>
        <v>630.57401422107307</v>
      </c>
      <c r="M428" s="31">
        <f>VLOOKUP('AM (2011)'!$C428+1,CPI!$B$50:$I$63,8,FALSE)*'AM (nominal)'!M428</f>
        <v>4900.8798965740143</v>
      </c>
      <c r="N428" s="639">
        <f>VLOOKUP('AM (2011)'!$C428+1,CPI!$B$50:$I$63,8,FALSE)*'AM (nominal)'!N428</f>
        <v>11287.763671622495</v>
      </c>
    </row>
    <row r="429" spans="1:14" s="278" customFormat="1" ht="409.6">
      <c r="A429" s="271">
        <f>References!Y285</f>
        <v>644</v>
      </c>
      <c r="B429" s="305" t="s">
        <v>56</v>
      </c>
      <c r="C429" s="284">
        <v>2011</v>
      </c>
      <c r="D429" s="284">
        <v>2016</v>
      </c>
      <c r="E429" s="31">
        <f>VLOOKUP('AM (2011)'!$C429+1,CPI!$B$50:$I$63,8,FALSE)*'AM (nominal)'!E429</f>
        <v>8828.0361990950223</v>
      </c>
      <c r="F429" s="31">
        <f>VLOOKUP('AM (2011)'!$C429+1,CPI!$B$50:$I$63,8,FALSE)*'AM (nominal)'!F429</f>
        <v>6360.4876535229478</v>
      </c>
      <c r="G429" s="31">
        <f>VLOOKUP('AM (2011)'!$C429+1,CPI!$B$50:$I$63,8,FALSE)*'AM (nominal)'!G429</f>
        <v>638.39508726567544</v>
      </c>
      <c r="H429" s="31">
        <f>VLOOKUP('AM (2011)'!$C429+1,CPI!$B$50:$I$63,8,FALSE)*'AM (nominal)'!H429</f>
        <v>13470.820685197155</v>
      </c>
      <c r="I429" s="31">
        <f>VLOOKUP('AM (2011)'!$C429+1,CPI!$B$50:$I$63,8,FALSE)*'AM (nominal)'!I429</f>
        <v>1212.2663219133808</v>
      </c>
      <c r="J429" s="27">
        <f>VLOOKUP('AM (2011)'!$C429+1,CPI!$B$50:$I$63,8,FALSE)*'AM (nominal)'!J429</f>
        <v>30510.005946994181</v>
      </c>
      <c r="K429" s="31">
        <f>VLOOKUP('AM (2011)'!$C429+1,CPI!$B$50:$I$63,8,FALSE)*'AM (nominal)'!K429</f>
        <v>5810.0796380090496</v>
      </c>
      <c r="L429" s="31">
        <f>VLOOKUP('AM (2011)'!$C429+1,CPI!$B$50:$I$63,8,FALSE)*'AM (nominal)'!L429</f>
        <v>630.57401422107307</v>
      </c>
      <c r="M429" s="31">
        <f>VLOOKUP('AM (2011)'!$C429+1,CPI!$B$50:$I$63,8,FALSE)*'AM (nominal)'!M429</f>
        <v>4946.8287007110539</v>
      </c>
      <c r="N429" s="639">
        <f>VLOOKUP('AM (2011)'!$C429+1,CPI!$B$50:$I$63,8,FALSE)*'AM (nominal)'!N429</f>
        <v>11387.482352941177</v>
      </c>
    </row>
    <row r="430" spans="1:14" s="278" customFormat="1" ht="409.6">
      <c r="A430" s="271">
        <f>References!K286</f>
        <v>653</v>
      </c>
      <c r="B430" s="305" t="s">
        <v>57</v>
      </c>
      <c r="C430" s="284">
        <v>2009</v>
      </c>
      <c r="D430" s="284">
        <v>2010</v>
      </c>
      <c r="E430" s="31">
        <f>VLOOKUP('AM (2011)'!$C430+1,CPI!$B$50:$I$63,8,FALSE)*'AM (nominal)'!E430</f>
        <v>166.07016787475411</v>
      </c>
      <c r="F430" s="31">
        <f>VLOOKUP('AM (2011)'!$C430+1,CPI!$B$50:$I$63,8,FALSE)*'AM (nominal)'!F430</f>
        <v>1192.0374013095845</v>
      </c>
      <c r="G430" s="31">
        <f>VLOOKUP('AM (2011)'!$C430+1,CPI!$B$50:$I$63,8,FALSE)*'AM (nominal)'!G430</f>
        <v>3281.6687774514289</v>
      </c>
      <c r="H430" s="31">
        <f>VLOOKUP('AM (2011)'!$C430+1,CPI!$B$50:$I$63,8,FALSE)*'AM (nominal)'!H430</f>
        <v>2104.9139069278649</v>
      </c>
      <c r="I430" s="31">
        <f>VLOOKUP('AM (2011)'!$C430+1,CPI!$B$50:$I$63,8,FALSE)*'AM (nominal)'!I430</f>
        <v>0</v>
      </c>
      <c r="J430" s="27">
        <f>VLOOKUP('AM (2011)'!$C430+1,CPI!$B$50:$I$63,8,FALSE)*'AM (nominal)'!J430</f>
        <v>6744.6902535636327</v>
      </c>
      <c r="K430" s="31">
        <f>VLOOKUP('AM (2011)'!$C430+1,CPI!$B$50:$I$63,8,FALSE)*'AM (nominal)'!K430</f>
        <v>3065.6756756756754</v>
      </c>
      <c r="L430" s="31">
        <f>VLOOKUP('AM (2011)'!$C430+1,CPI!$B$50:$I$63,8,FALSE)*'AM (nominal)'!L430</f>
        <v>1342.8250383983184</v>
      </c>
      <c r="M430" s="31">
        <f>VLOOKUP('AM (2011)'!$C430+1,CPI!$B$50:$I$63,8,FALSE)*'AM (nominal)'!M430</f>
        <v>822.20015628789292</v>
      </c>
      <c r="N430" s="639">
        <f>VLOOKUP('AM (2011)'!$C430+1,CPI!$B$50:$I$63,8,FALSE)*'AM (nominal)'!N430</f>
        <v>5230.7008703618867</v>
      </c>
    </row>
    <row r="431" spans="1:14" s="278" customFormat="1" ht="409.6">
      <c r="A431" s="271">
        <f>References!L286</f>
        <v>654</v>
      </c>
      <c r="B431" s="305" t="s">
        <v>57</v>
      </c>
      <c r="C431" s="284">
        <v>2009</v>
      </c>
      <c r="D431" s="284">
        <v>2011</v>
      </c>
      <c r="E431" s="31">
        <f>VLOOKUP('AM (2011)'!$C431+1,CPI!$B$50:$I$63,8,FALSE)*'AM (nominal)'!E431</f>
        <v>176.25852173210097</v>
      </c>
      <c r="F431" s="31">
        <f>VLOOKUP('AM (2011)'!$C431+1,CPI!$B$50:$I$63,8,FALSE)*'AM (nominal)'!F431</f>
        <v>1494.6315108727867</v>
      </c>
      <c r="G431" s="31">
        <f>VLOOKUP('AM (2011)'!$C431+1,CPI!$B$50:$I$63,8,FALSE)*'AM (nominal)'!G431</f>
        <v>3693.2782732882429</v>
      </c>
      <c r="H431" s="31">
        <f>VLOOKUP('AM (2011)'!$C431+1,CPI!$B$50:$I$63,8,FALSE)*'AM (nominal)'!H431</f>
        <v>1010.6847026488102</v>
      </c>
      <c r="I431" s="31">
        <f>VLOOKUP('AM (2011)'!$C431+1,CPI!$B$50:$I$63,8,FALSE)*'AM (nominal)'!I431</f>
        <v>0</v>
      </c>
      <c r="J431" s="27">
        <f>VLOOKUP('AM (2011)'!$C431+1,CPI!$B$50:$I$63,8,FALSE)*'AM (nominal)'!J431</f>
        <v>6374.8530085419407</v>
      </c>
      <c r="K431" s="31">
        <f>VLOOKUP('AM (2011)'!$C431+1,CPI!$B$50:$I$63,8,FALSE)*'AM (nominal)'!K431</f>
        <v>3097.2595726334507</v>
      </c>
      <c r="L431" s="31">
        <f>VLOOKUP('AM (2011)'!$C431+1,CPI!$B$50:$I$63,8,FALSE)*'AM (nominal)'!L431</f>
        <v>1431.4637169572361</v>
      </c>
      <c r="M431" s="31">
        <f>VLOOKUP('AM (2011)'!$C431+1,CPI!$B$50:$I$63,8,FALSE)*'AM (nominal)'!M431</f>
        <v>824.2378270593623</v>
      </c>
      <c r="N431" s="639">
        <f>VLOOKUP('AM (2011)'!$C431+1,CPI!$B$50:$I$63,8,FALSE)*'AM (nominal)'!N431</f>
        <v>5352.961116650049</v>
      </c>
    </row>
    <row r="432" spans="1:14" s="278" customFormat="1" ht="409.6">
      <c r="A432" s="271">
        <f>References!M286</f>
        <v>655</v>
      </c>
      <c r="B432" s="305" t="s">
        <v>57</v>
      </c>
      <c r="C432" s="284">
        <v>2009</v>
      </c>
      <c r="D432" s="284">
        <v>2012</v>
      </c>
      <c r="E432" s="31">
        <f>VLOOKUP('AM (2011)'!$C432+1,CPI!$B$50:$I$63,8,FALSE)*'AM (nominal)'!E432</f>
        <v>185.42804020371315</v>
      </c>
      <c r="F432" s="31">
        <f>VLOOKUP('AM (2011)'!$C432+1,CPI!$B$50:$I$63,8,FALSE)*'AM (nominal)'!F432</f>
        <v>2404.4515103338631</v>
      </c>
      <c r="G432" s="31">
        <f>VLOOKUP('AM (2011)'!$C432+1,CPI!$B$50:$I$63,8,FALSE)*'AM (nominal)'!G432</f>
        <v>2890.435989329309</v>
      </c>
      <c r="H432" s="31">
        <f>VLOOKUP('AM (2011)'!$C432+1,CPI!$B$50:$I$63,8,FALSE)*'AM (nominal)'!H432</f>
        <v>1090.1538627361158</v>
      </c>
      <c r="I432" s="31">
        <f>VLOOKUP('AM (2011)'!$C432+1,CPI!$B$50:$I$63,8,FALSE)*'AM (nominal)'!I432</f>
        <v>0</v>
      </c>
      <c r="J432" s="27">
        <f>VLOOKUP('AM (2011)'!$C432+1,CPI!$B$50:$I$63,8,FALSE)*'AM (nominal)'!J432</f>
        <v>6570.4694026030011</v>
      </c>
      <c r="K432" s="31">
        <f>VLOOKUP('AM (2011)'!$C432+1,CPI!$B$50:$I$63,8,FALSE)*'AM (nominal)'!K432</f>
        <v>3221.5574896930825</v>
      </c>
      <c r="L432" s="31">
        <f>VLOOKUP('AM (2011)'!$C432+1,CPI!$B$50:$I$63,8,FALSE)*'AM (nominal)'!L432</f>
        <v>1179.8113766807683</v>
      </c>
      <c r="M432" s="31">
        <f>VLOOKUP('AM (2011)'!$C432+1,CPI!$B$50:$I$63,8,FALSE)*'AM (nominal)'!M432</f>
        <v>879.25493788903543</v>
      </c>
      <c r="N432" s="639">
        <f>VLOOKUP('AM (2011)'!$C432+1,CPI!$B$50:$I$63,8,FALSE)*'AM (nominal)'!N432</f>
        <v>5280.6238042628866</v>
      </c>
    </row>
    <row r="433" spans="1:14" s="278" customFormat="1" ht="409.6">
      <c r="A433" s="271">
        <f>References!N286</f>
        <v>656</v>
      </c>
      <c r="B433" s="305" t="s">
        <v>57</v>
      </c>
      <c r="C433" s="284">
        <v>2009</v>
      </c>
      <c r="D433" s="284">
        <v>2013</v>
      </c>
      <c r="E433" s="31">
        <f>VLOOKUP('AM (2011)'!$C433+1,CPI!$B$50:$I$63,8,FALSE)*'AM (nominal)'!E433</f>
        <v>196.63522944679471</v>
      </c>
      <c r="F433" s="31">
        <f>VLOOKUP('AM (2011)'!$C433+1,CPI!$B$50:$I$63,8,FALSE)*'AM (nominal)'!F433</f>
        <v>2967.8674786451452</v>
      </c>
      <c r="G433" s="31">
        <f>VLOOKUP('AM (2011)'!$C433+1,CPI!$B$50:$I$63,8,FALSE)*'AM (nominal)'!G433</f>
        <v>2273.0217455740881</v>
      </c>
      <c r="H433" s="31">
        <f>VLOOKUP('AM (2011)'!$C433+1,CPI!$B$50:$I$63,8,FALSE)*'AM (nominal)'!H433</f>
        <v>698.92107461399576</v>
      </c>
      <c r="I433" s="31">
        <f>VLOOKUP('AM (2011)'!$C433+1,CPI!$B$50:$I$63,8,FALSE)*'AM (nominal)'!I433</f>
        <v>0</v>
      </c>
      <c r="J433" s="27">
        <f>VLOOKUP('AM (2011)'!$C433+1,CPI!$B$50:$I$63,8,FALSE)*'AM (nominal)'!J433</f>
        <v>6136.4455282800236</v>
      </c>
      <c r="K433" s="31">
        <f>VLOOKUP('AM (2011)'!$C433+1,CPI!$B$50:$I$63,8,FALSE)*'AM (nominal)'!K433</f>
        <v>3268.4239174368781</v>
      </c>
      <c r="L433" s="31">
        <f>VLOOKUP('AM (2011)'!$C433+1,CPI!$B$50:$I$63,8,FALSE)*'AM (nominal)'!L433</f>
        <v>1234.8284875104414</v>
      </c>
      <c r="M433" s="31">
        <f>VLOOKUP('AM (2011)'!$C433+1,CPI!$B$50:$I$63,8,FALSE)*'AM (nominal)'!M433</f>
        <v>932.23437794723918</v>
      </c>
      <c r="N433" s="639">
        <f>VLOOKUP('AM (2011)'!$C433+1,CPI!$B$50:$I$63,8,FALSE)*'AM (nominal)'!N433</f>
        <v>5435.4867828945589</v>
      </c>
    </row>
    <row r="434" spans="1:14" s="278" customFormat="1" ht="409.6">
      <c r="A434" s="271">
        <f>References!O286</f>
        <v>657</v>
      </c>
      <c r="B434" s="305" t="s">
        <v>57</v>
      </c>
      <c r="C434" s="284">
        <v>2009</v>
      </c>
      <c r="D434" s="284">
        <v>2014</v>
      </c>
      <c r="E434" s="31">
        <f>VLOOKUP('AM (2011)'!$C434+1,CPI!$B$50:$I$63,8,FALSE)*'AM (nominal)'!E434</f>
        <v>209.88008946134568</v>
      </c>
      <c r="F434" s="31">
        <f>VLOOKUP('AM (2011)'!$C434+1,CPI!$B$50:$I$63,8,FALSE)*'AM (nominal)'!F434</f>
        <v>3696.3347794454471</v>
      </c>
      <c r="G434" s="31">
        <f>VLOOKUP('AM (2011)'!$C434+1,CPI!$B$50:$I$63,8,FALSE)*'AM (nominal)'!G434</f>
        <v>1393.7668076850528</v>
      </c>
      <c r="H434" s="31">
        <f>VLOOKUP('AM (2011)'!$C434+1,CPI!$B$50:$I$63,8,FALSE)*'AM (nominal)'!H434</f>
        <v>655.11115302740416</v>
      </c>
      <c r="I434" s="31">
        <f>VLOOKUP('AM (2011)'!$C434+1,CPI!$B$50:$I$63,8,FALSE)*'AM (nominal)'!I434</f>
        <v>0</v>
      </c>
      <c r="J434" s="27">
        <f>VLOOKUP('AM (2011)'!$C434+1,CPI!$B$50:$I$63,8,FALSE)*'AM (nominal)'!J434</f>
        <v>5955.0928296192496</v>
      </c>
      <c r="K434" s="31">
        <f>VLOOKUP('AM (2011)'!$C434+1,CPI!$B$50:$I$63,8,FALSE)*'AM (nominal)'!K434</f>
        <v>3455.8896284120606</v>
      </c>
      <c r="L434" s="31">
        <f>VLOOKUP('AM (2011)'!$C434+1,CPI!$B$50:$I$63,8,FALSE)*'AM (nominal)'!L434</f>
        <v>1212.4141090242783</v>
      </c>
      <c r="M434" s="31">
        <f>VLOOKUP('AM (2011)'!$C434+1,CPI!$B$50:$I$63,8,FALSE)*'AM (nominal)'!M434</f>
        <v>982.15731184823892</v>
      </c>
      <c r="N434" s="639">
        <f>VLOOKUP('AM (2011)'!$C434+1,CPI!$B$50:$I$63,8,FALSE)*'AM (nominal)'!N434</f>
        <v>5650.4610492845777</v>
      </c>
    </row>
    <row r="435" spans="1:14" s="278" customFormat="1" ht="409.6">
      <c r="A435" s="271">
        <f>References!P286</f>
        <v>658</v>
      </c>
      <c r="B435" s="305" t="s">
        <v>57</v>
      </c>
      <c r="C435" s="284">
        <v>2010</v>
      </c>
      <c r="D435" s="284">
        <v>2011</v>
      </c>
      <c r="E435" s="31">
        <f>VLOOKUP('AM (2011)'!$C435+1,CPI!$B$50:$I$63,8,FALSE)*'AM (nominal)'!E435</f>
        <v>204</v>
      </c>
      <c r="F435" s="31">
        <f>VLOOKUP('AM (2011)'!$C435+1,CPI!$B$50:$I$63,8,FALSE)*'AM (nominal)'!F435</f>
        <v>535</v>
      </c>
      <c r="G435" s="31">
        <f>VLOOKUP('AM (2011)'!$C435+1,CPI!$B$50:$I$63,8,FALSE)*'AM (nominal)'!G435</f>
        <v>1778</v>
      </c>
      <c r="H435" s="31">
        <f>VLOOKUP('AM (2011)'!$C435+1,CPI!$B$50:$I$63,8,FALSE)*'AM (nominal)'!H435</f>
        <v>3139</v>
      </c>
      <c r="I435" s="31">
        <f>VLOOKUP('AM (2011)'!$C435+1,CPI!$B$50:$I$63,8,FALSE)*'AM (nominal)'!I435</f>
        <v>0</v>
      </c>
      <c r="J435" s="27">
        <f>VLOOKUP('AM (2011)'!$C435+1,CPI!$B$50:$I$63,8,FALSE)*'AM (nominal)'!J435</f>
        <v>5656</v>
      </c>
      <c r="K435" s="31">
        <f>VLOOKUP('AM (2011)'!$C435+1,CPI!$B$50:$I$63,8,FALSE)*'AM (nominal)'!K435</f>
        <v>3313</v>
      </c>
      <c r="L435" s="31">
        <f>VLOOKUP('AM (2011)'!$C435+1,CPI!$B$50:$I$63,8,FALSE)*'AM (nominal)'!L435</f>
        <v>1061</v>
      </c>
      <c r="M435" s="31">
        <f>VLOOKUP('AM (2011)'!$C435+1,CPI!$B$50:$I$63,8,FALSE)*'AM (nominal)'!M435</f>
        <v>875</v>
      </c>
      <c r="N435" s="639">
        <f>VLOOKUP('AM (2011)'!$C435+1,CPI!$B$50:$I$63,8,FALSE)*'AM (nominal)'!N435</f>
        <v>5249</v>
      </c>
    </row>
    <row r="436" spans="1:14" s="278" customFormat="1" ht="409.6">
      <c r="A436" s="271">
        <f>References!Q286</f>
        <v>659</v>
      </c>
      <c r="B436" s="305" t="s">
        <v>57</v>
      </c>
      <c r="C436" s="284">
        <v>2010</v>
      </c>
      <c r="D436" s="284">
        <v>2012</v>
      </c>
      <c r="E436" s="31">
        <f>VLOOKUP('AM (2011)'!$C436+1,CPI!$B$50:$I$63,8,FALSE)*'AM (nominal)'!E436</f>
        <v>215</v>
      </c>
      <c r="F436" s="31">
        <f>VLOOKUP('AM (2011)'!$C436+1,CPI!$B$50:$I$63,8,FALSE)*'AM (nominal)'!F436</f>
        <v>2117</v>
      </c>
      <c r="G436" s="31">
        <f>VLOOKUP('AM (2011)'!$C436+1,CPI!$B$50:$I$63,8,FALSE)*'AM (nominal)'!G436</f>
        <v>1278</v>
      </c>
      <c r="H436" s="31">
        <f>VLOOKUP('AM (2011)'!$C436+1,CPI!$B$50:$I$63,8,FALSE)*'AM (nominal)'!H436</f>
        <v>3321</v>
      </c>
      <c r="I436" s="31">
        <f>VLOOKUP('AM (2011)'!$C436+1,CPI!$B$50:$I$63,8,FALSE)*'AM (nominal)'!I436</f>
        <v>0</v>
      </c>
      <c r="J436" s="27">
        <f>VLOOKUP('AM (2011)'!$C436+1,CPI!$B$50:$I$63,8,FALSE)*'AM (nominal)'!J436</f>
        <v>6931</v>
      </c>
      <c r="K436" s="31">
        <f>VLOOKUP('AM (2011)'!$C436+1,CPI!$B$50:$I$63,8,FALSE)*'AM (nominal)'!K436</f>
        <v>3360</v>
      </c>
      <c r="L436" s="31">
        <f>VLOOKUP('AM (2011)'!$C436+1,CPI!$B$50:$I$63,8,FALSE)*'AM (nominal)'!L436</f>
        <v>1056</v>
      </c>
      <c r="M436" s="31">
        <f>VLOOKUP('AM (2011)'!$C436+1,CPI!$B$50:$I$63,8,FALSE)*'AM (nominal)'!M436</f>
        <v>891</v>
      </c>
      <c r="N436" s="639">
        <f>VLOOKUP('AM (2011)'!$C436+1,CPI!$B$50:$I$63,8,FALSE)*'AM (nominal)'!N436</f>
        <v>5307</v>
      </c>
    </row>
    <row r="437" spans="1:14" s="278" customFormat="1" ht="409.6">
      <c r="A437" s="271">
        <f>References!R286</f>
        <v>660</v>
      </c>
      <c r="B437" s="305" t="s">
        <v>57</v>
      </c>
      <c r="C437" s="284">
        <v>2010</v>
      </c>
      <c r="D437" s="284">
        <v>2013</v>
      </c>
      <c r="E437" s="31">
        <f>VLOOKUP('AM (2011)'!$C437+1,CPI!$B$50:$I$63,8,FALSE)*'AM (nominal)'!E437</f>
        <v>223</v>
      </c>
      <c r="F437" s="31">
        <f>VLOOKUP('AM (2011)'!$C437+1,CPI!$B$50:$I$63,8,FALSE)*'AM (nominal)'!F437</f>
        <v>2695</v>
      </c>
      <c r="G437" s="31">
        <f>VLOOKUP('AM (2011)'!$C437+1,CPI!$B$50:$I$63,8,FALSE)*'AM (nominal)'!G437</f>
        <v>768</v>
      </c>
      <c r="H437" s="31">
        <f>VLOOKUP('AM (2011)'!$C437+1,CPI!$B$50:$I$63,8,FALSE)*'AM (nominal)'!H437</f>
        <v>2561</v>
      </c>
      <c r="I437" s="31">
        <f>VLOOKUP('AM (2011)'!$C437+1,CPI!$B$50:$I$63,8,FALSE)*'AM (nominal)'!I437</f>
        <v>0</v>
      </c>
      <c r="J437" s="27">
        <f>VLOOKUP('AM (2011)'!$C437+1,CPI!$B$50:$I$63,8,FALSE)*'AM (nominal)'!J437</f>
        <v>6247</v>
      </c>
      <c r="K437" s="31">
        <f>VLOOKUP('AM (2011)'!$C437+1,CPI!$B$50:$I$63,8,FALSE)*'AM (nominal)'!K437</f>
        <v>3412</v>
      </c>
      <c r="L437" s="31">
        <f>VLOOKUP('AM (2011)'!$C437+1,CPI!$B$50:$I$63,8,FALSE)*'AM (nominal)'!L437</f>
        <v>1062</v>
      </c>
      <c r="M437" s="31">
        <f>VLOOKUP('AM (2011)'!$C437+1,CPI!$B$50:$I$63,8,FALSE)*'AM (nominal)'!M437</f>
        <v>943</v>
      </c>
      <c r="N437" s="639">
        <f>VLOOKUP('AM (2011)'!$C437+1,CPI!$B$50:$I$63,8,FALSE)*'AM (nominal)'!N437</f>
        <v>5417</v>
      </c>
    </row>
    <row r="438" spans="1:14" s="278" customFormat="1" ht="409.6">
      <c r="A438" s="271">
        <f>References!S286</f>
        <v>661</v>
      </c>
      <c r="B438" s="305" t="s">
        <v>57</v>
      </c>
      <c r="C438" s="284">
        <v>2010</v>
      </c>
      <c r="D438" s="284">
        <v>2014</v>
      </c>
      <c r="E438" s="31">
        <f>VLOOKUP('AM (2011)'!$C438+1,CPI!$B$50:$I$63,8,FALSE)*'AM (nominal)'!E438</f>
        <v>237</v>
      </c>
      <c r="F438" s="31">
        <f>VLOOKUP('AM (2011)'!$C438+1,CPI!$B$50:$I$63,8,FALSE)*'AM (nominal)'!F438</f>
        <v>3425</v>
      </c>
      <c r="G438" s="31">
        <f>VLOOKUP('AM (2011)'!$C438+1,CPI!$B$50:$I$63,8,FALSE)*'AM (nominal)'!G438</f>
        <v>706</v>
      </c>
      <c r="H438" s="31">
        <f>VLOOKUP('AM (2011)'!$C438+1,CPI!$B$50:$I$63,8,FALSE)*'AM (nominal)'!H438</f>
        <v>2002</v>
      </c>
      <c r="I438" s="31">
        <f>VLOOKUP('AM (2011)'!$C438+1,CPI!$B$50:$I$63,8,FALSE)*'AM (nominal)'!I438</f>
        <v>0</v>
      </c>
      <c r="J438" s="27">
        <f>VLOOKUP('AM (2011)'!$C438+1,CPI!$B$50:$I$63,8,FALSE)*'AM (nominal)'!J438</f>
        <v>6370</v>
      </c>
      <c r="K438" s="31">
        <f>VLOOKUP('AM (2011)'!$C438+1,CPI!$B$50:$I$63,8,FALSE)*'AM (nominal)'!K438</f>
        <v>3603</v>
      </c>
      <c r="L438" s="31">
        <f>VLOOKUP('AM (2011)'!$C438+1,CPI!$B$50:$I$63,8,FALSE)*'AM (nominal)'!L438</f>
        <v>1149</v>
      </c>
      <c r="M438" s="31">
        <f>VLOOKUP('AM (2011)'!$C438+1,CPI!$B$50:$I$63,8,FALSE)*'AM (nominal)'!M438</f>
        <v>995</v>
      </c>
      <c r="N438" s="639">
        <f>VLOOKUP('AM (2011)'!$C438+1,CPI!$B$50:$I$63,8,FALSE)*'AM (nominal)'!N438</f>
        <v>5747</v>
      </c>
    </row>
    <row r="439" spans="1:14" s="278" customFormat="1" ht="409.6">
      <c r="A439" s="271">
        <f>References!T286</f>
        <v>662</v>
      </c>
      <c r="B439" s="305" t="s">
        <v>57</v>
      </c>
      <c r="C439" s="284">
        <v>2010</v>
      </c>
      <c r="D439" s="284">
        <v>2015</v>
      </c>
      <c r="E439" s="31">
        <f>VLOOKUP('AM (2011)'!$C439+1,CPI!$B$50:$I$63,8,FALSE)*'AM (nominal)'!E439</f>
        <v>246</v>
      </c>
      <c r="F439" s="31">
        <f>VLOOKUP('AM (2011)'!$C439+1,CPI!$B$50:$I$63,8,FALSE)*'AM (nominal)'!F439</f>
        <v>3657</v>
      </c>
      <c r="G439" s="31">
        <f>VLOOKUP('AM (2011)'!$C439+1,CPI!$B$50:$I$63,8,FALSE)*'AM (nominal)'!G439</f>
        <v>837</v>
      </c>
      <c r="H439" s="31">
        <f>VLOOKUP('AM (2011)'!$C439+1,CPI!$B$50:$I$63,8,FALSE)*'AM (nominal)'!H439</f>
        <v>865</v>
      </c>
      <c r="I439" s="31">
        <f>VLOOKUP('AM (2011)'!$C439+1,CPI!$B$50:$I$63,8,FALSE)*'AM (nominal)'!I439</f>
        <v>0</v>
      </c>
      <c r="J439" s="27">
        <f>VLOOKUP('AM (2011)'!$C439+1,CPI!$B$50:$I$63,8,FALSE)*'AM (nominal)'!J439</f>
        <v>5605</v>
      </c>
      <c r="K439" s="31">
        <f>VLOOKUP('AM (2011)'!$C439+1,CPI!$B$50:$I$63,8,FALSE)*'AM (nominal)'!K439</f>
        <v>3812</v>
      </c>
      <c r="L439" s="31">
        <f>VLOOKUP('AM (2011)'!$C439+1,CPI!$B$50:$I$63,8,FALSE)*'AM (nominal)'!L439</f>
        <v>1087</v>
      </c>
      <c r="M439" s="31">
        <f>VLOOKUP('AM (2011)'!$C439+1,CPI!$B$50:$I$63,8,FALSE)*'AM (nominal)'!M439</f>
        <v>1056</v>
      </c>
      <c r="N439" s="639">
        <f>VLOOKUP('AM (2011)'!$C439+1,CPI!$B$50:$I$63,8,FALSE)*'AM (nominal)'!N439</f>
        <v>5955</v>
      </c>
    </row>
    <row r="440" spans="1:14" s="278" customFormat="1" ht="409.6">
      <c r="A440" s="271">
        <f>References!U286</f>
        <v>663</v>
      </c>
      <c r="B440" s="305" t="s">
        <v>57</v>
      </c>
      <c r="C440" s="284">
        <v>2011</v>
      </c>
      <c r="D440" s="284">
        <v>2012</v>
      </c>
      <c r="E440" s="31">
        <f>VLOOKUP('AM (2011)'!$C440+1,CPI!$B$50:$I$63,8,FALSE)*'AM (nominal)'!E440</f>
        <v>210.19133807369101</v>
      </c>
      <c r="F440" s="31">
        <f>VLOOKUP('AM (2011)'!$C440+1,CPI!$B$50:$I$63,8,FALSE)*'AM (nominal)'!F440</f>
        <v>632.52928248222361</v>
      </c>
      <c r="G440" s="31">
        <f>VLOOKUP('AM (2011)'!$C440+1,CPI!$B$50:$I$63,8,FALSE)*'AM (nominal)'!G440</f>
        <v>3125.4963154492566</v>
      </c>
      <c r="H440" s="31">
        <f>VLOOKUP('AM (2011)'!$C440+1,CPI!$B$50:$I$63,8,FALSE)*'AM (nominal)'!H440</f>
        <v>1420.5023917259211</v>
      </c>
      <c r="I440" s="31">
        <f>VLOOKUP('AM (2011)'!$C440+1,CPI!$B$50:$I$63,8,FALSE)*'AM (nominal)'!I440</f>
        <v>0</v>
      </c>
      <c r="J440" s="27">
        <f>VLOOKUP('AM (2011)'!$C440+1,CPI!$B$50:$I$63,8,FALSE)*'AM (nominal)'!J440</f>
        <v>5388.7193277310926</v>
      </c>
      <c r="K440" s="31">
        <f>VLOOKUP('AM (2011)'!$C440+1,CPI!$B$50:$I$63,8,FALSE)*'AM (nominal)'!K440</f>
        <v>3653.4187459599225</v>
      </c>
      <c r="L440" s="31">
        <f>VLOOKUP('AM (2011)'!$C440+1,CPI!$B$50:$I$63,8,FALSE)*'AM (nominal)'!L440</f>
        <v>748.86774402068522</v>
      </c>
      <c r="M440" s="31">
        <f>VLOOKUP('AM (2011)'!$C440+1,CPI!$B$50:$I$63,8,FALSE)*'AM (nominal)'!M440</f>
        <v>883.78125404007756</v>
      </c>
      <c r="N440" s="639">
        <f>VLOOKUP('AM (2011)'!$C440+1,CPI!$B$50:$I$63,8,FALSE)*'AM (nominal)'!N440</f>
        <v>5286.0677440206846</v>
      </c>
    </row>
    <row r="441" spans="1:14" s="278" customFormat="1" ht="409.6">
      <c r="A441" s="271">
        <f>References!V286</f>
        <v>664</v>
      </c>
      <c r="B441" s="305" t="s">
        <v>57</v>
      </c>
      <c r="C441" s="284">
        <v>2011</v>
      </c>
      <c r="D441" s="284">
        <v>2013</v>
      </c>
      <c r="E441" s="31">
        <f>VLOOKUP('AM (2011)'!$C441+1,CPI!$B$50:$I$63,8,FALSE)*'AM (nominal)'!E441</f>
        <v>218.01241111829347</v>
      </c>
      <c r="F441" s="31">
        <f>VLOOKUP('AM (2011)'!$C441+1,CPI!$B$50:$I$63,8,FALSE)*'AM (nominal)'!F441</f>
        <v>1129.1674208144796</v>
      </c>
      <c r="G441" s="31">
        <f>VLOOKUP('AM (2011)'!$C441+1,CPI!$B$50:$I$63,8,FALSE)*'AM (nominal)'!G441</f>
        <v>2565.3119586296057</v>
      </c>
      <c r="H441" s="31">
        <f>VLOOKUP('AM (2011)'!$C441+1,CPI!$B$50:$I$63,8,FALSE)*'AM (nominal)'!H441</f>
        <v>1004.0302521008404</v>
      </c>
      <c r="I441" s="31">
        <f>VLOOKUP('AM (2011)'!$C441+1,CPI!$B$50:$I$63,8,FALSE)*'AM (nominal)'!I441</f>
        <v>0</v>
      </c>
      <c r="J441" s="27">
        <f>VLOOKUP('AM (2011)'!$C441+1,CPI!$B$50:$I$63,8,FALSE)*'AM (nominal)'!J441</f>
        <v>4916.5220426632186</v>
      </c>
      <c r="K441" s="31">
        <f>VLOOKUP('AM (2011)'!$C441+1,CPI!$B$50:$I$63,8,FALSE)*'AM (nominal)'!K441</f>
        <v>3564.4540400775695</v>
      </c>
      <c r="L441" s="31">
        <f>VLOOKUP('AM (2011)'!$C441+1,CPI!$B$50:$I$63,8,FALSE)*'AM (nominal)'!L441</f>
        <v>873.02727860374921</v>
      </c>
      <c r="M441" s="31">
        <f>VLOOKUP('AM (2011)'!$C441+1,CPI!$B$50:$I$63,8,FALSE)*'AM (nominal)'!M441</f>
        <v>937.5511312217194</v>
      </c>
      <c r="N441" s="639">
        <f>VLOOKUP('AM (2011)'!$C441+1,CPI!$B$50:$I$63,8,FALSE)*'AM (nominal)'!N441</f>
        <v>5375.0324499030376</v>
      </c>
    </row>
    <row r="442" spans="1:14" s="278" customFormat="1" ht="409.6">
      <c r="A442" s="271">
        <f>References!W286</f>
        <v>665</v>
      </c>
      <c r="B442" s="305" t="s">
        <v>57</v>
      </c>
      <c r="C442" s="284">
        <v>2011</v>
      </c>
      <c r="D442" s="284">
        <v>2014</v>
      </c>
      <c r="E442" s="31">
        <f>VLOOKUP('AM (2011)'!$C442+1,CPI!$B$50:$I$63,8,FALSE)*'AM (nominal)'!E442</f>
        <v>231.69928894634776</v>
      </c>
      <c r="F442" s="31">
        <f>VLOOKUP('AM (2011)'!$C442+1,CPI!$B$50:$I$63,8,FALSE)*'AM (nominal)'!F442</f>
        <v>611.02133160956691</v>
      </c>
      <c r="G442" s="31">
        <f>VLOOKUP('AM (2011)'!$C442+1,CPI!$B$50:$I$63,8,FALSE)*'AM (nominal)'!G442</f>
        <v>1665.8885585003231</v>
      </c>
      <c r="H442" s="31">
        <f>VLOOKUP('AM (2011)'!$C442+1,CPI!$B$50:$I$63,8,FALSE)*'AM (nominal)'!H442</f>
        <v>933.64059469941822</v>
      </c>
      <c r="I442" s="31">
        <f>VLOOKUP('AM (2011)'!$C442+1,CPI!$B$50:$I$63,8,FALSE)*'AM (nominal)'!I442</f>
        <v>0</v>
      </c>
      <c r="J442" s="27">
        <f>VLOOKUP('AM (2011)'!$C442+1,CPI!$B$50:$I$63,8,FALSE)*'AM (nominal)'!J442</f>
        <v>3442.249773755656</v>
      </c>
      <c r="K442" s="31">
        <f>VLOOKUP('AM (2011)'!$C442+1,CPI!$B$50:$I$63,8,FALSE)*'AM (nominal)'!K442</f>
        <v>3672.9714285714285</v>
      </c>
      <c r="L442" s="31">
        <f>VLOOKUP('AM (2011)'!$C442+1,CPI!$B$50:$I$63,8,FALSE)*'AM (nominal)'!L442</f>
        <v>917.99844861021325</v>
      </c>
      <c r="M442" s="31">
        <f>VLOOKUP('AM (2011)'!$C442+1,CPI!$B$50:$I$63,8,FALSE)*'AM (nominal)'!M442</f>
        <v>989.36574014221071</v>
      </c>
      <c r="N442" s="639">
        <f>VLOOKUP('AM (2011)'!$C442+1,CPI!$B$50:$I$63,8,FALSE)*'AM (nominal)'!N442</f>
        <v>5580.3356173238526</v>
      </c>
    </row>
    <row r="443" spans="1:14" s="278" customFormat="1" ht="409.6">
      <c r="A443" s="271">
        <f>References!X286</f>
        <v>666</v>
      </c>
      <c r="B443" s="305" t="s">
        <v>57</v>
      </c>
      <c r="C443" s="284">
        <v>2011</v>
      </c>
      <c r="D443" s="284">
        <v>2015</v>
      </c>
      <c r="E443" s="31">
        <f>VLOOKUP('AM (2011)'!$C443+1,CPI!$B$50:$I$63,8,FALSE)*'AM (nominal)'!E443</f>
        <v>240.49799612152552</v>
      </c>
      <c r="F443" s="31">
        <f>VLOOKUP('AM (2011)'!$C443+1,CPI!$B$50:$I$63,8,FALSE)*'AM (nominal)'!F443</f>
        <v>642.30562378797674</v>
      </c>
      <c r="G443" s="31">
        <f>VLOOKUP('AM (2011)'!$C443+1,CPI!$B$50:$I$63,8,FALSE)*'AM (nominal)'!G443</f>
        <v>611.99896574014224</v>
      </c>
      <c r="H443" s="31">
        <f>VLOOKUP('AM (2011)'!$C443+1,CPI!$B$50:$I$63,8,FALSE)*'AM (nominal)'!H443</f>
        <v>1202.4899806076276</v>
      </c>
      <c r="I443" s="31">
        <f>VLOOKUP('AM (2011)'!$C443+1,CPI!$B$50:$I$63,8,FALSE)*'AM (nominal)'!I443</f>
        <v>0</v>
      </c>
      <c r="J443" s="27">
        <f>VLOOKUP('AM (2011)'!$C443+1,CPI!$B$50:$I$63,8,FALSE)*'AM (nominal)'!J443</f>
        <v>2697.292566257272</v>
      </c>
      <c r="K443" s="31">
        <f>VLOOKUP('AM (2011)'!$C443+1,CPI!$B$50:$I$63,8,FALSE)*'AM (nominal)'!K443</f>
        <v>3838.1915966386555</v>
      </c>
      <c r="L443" s="31">
        <f>VLOOKUP('AM (2011)'!$C443+1,CPI!$B$50:$I$63,8,FALSE)*'AM (nominal)'!L443</f>
        <v>830.98901098901092</v>
      </c>
      <c r="M443" s="31">
        <f>VLOOKUP('AM (2011)'!$C443+1,CPI!$B$50:$I$63,8,FALSE)*'AM (nominal)'!M443</f>
        <v>1050.9566903684549</v>
      </c>
      <c r="N443" s="639">
        <f>VLOOKUP('AM (2011)'!$C443+1,CPI!$B$50:$I$63,8,FALSE)*'AM (nominal)'!N443</f>
        <v>5720.1372979961216</v>
      </c>
    </row>
    <row r="444" spans="1:14" s="278" customFormat="1" thickBot="1">
      <c r="A444" s="271">
        <f>References!Y286</f>
        <v>667</v>
      </c>
      <c r="B444" s="306" t="s">
        <v>57</v>
      </c>
      <c r="C444" s="307">
        <v>2011</v>
      </c>
      <c r="D444" s="307">
        <v>2016</v>
      </c>
      <c r="E444" s="47">
        <f>VLOOKUP('AM (2011)'!$C444+1,CPI!$B$50:$I$63,8,FALSE)*'AM (nominal)'!E444</f>
        <v>255.16250808015513</v>
      </c>
      <c r="F444" s="47">
        <f>VLOOKUP('AM (2011)'!$C444+1,CPI!$B$50:$I$63,8,FALSE)*'AM (nominal)'!F444</f>
        <v>1002.0749838396897</v>
      </c>
      <c r="G444" s="47">
        <f>VLOOKUP('AM (2011)'!$C444+1,CPI!$B$50:$I$63,8,FALSE)*'AM (nominal)'!G444</f>
        <v>550.40801551389779</v>
      </c>
      <c r="H444" s="47">
        <f>VLOOKUP('AM (2011)'!$C444+1,CPI!$B$50:$I$63,8,FALSE)*'AM (nominal)'!H444</f>
        <v>854.45223012281838</v>
      </c>
      <c r="I444" s="47">
        <f>VLOOKUP('AM (2011)'!$C444+1,CPI!$B$50:$I$63,8,FALSE)*'AM (nominal)'!I444</f>
        <v>0</v>
      </c>
      <c r="J444" s="48">
        <f>VLOOKUP('AM (2011)'!$C444+1,CPI!$B$50:$I$63,8,FALSE)*'AM (nominal)'!J444</f>
        <v>2662.0977375565608</v>
      </c>
      <c r="K444" s="47">
        <f>VLOOKUP('AM (2011)'!$C444+1,CPI!$B$50:$I$63,8,FALSE)*'AM (nominal)'!K444</f>
        <v>4019.0539107950872</v>
      </c>
      <c r="L444" s="47">
        <f>VLOOKUP('AM (2011)'!$C444+1,CPI!$B$50:$I$63,8,FALSE)*'AM (nominal)'!L444</f>
        <v>998.16444731738841</v>
      </c>
      <c r="M444" s="47">
        <f>VLOOKUP('AM (2011)'!$C444+1,CPI!$B$50:$I$63,8,FALSE)*'AM (nominal)'!M444</f>
        <v>1153.6082740788622</v>
      </c>
      <c r="N444" s="640">
        <f>VLOOKUP('AM (2011)'!$C444+1,CPI!$B$50:$I$63,8,FALSE)*'AM (nominal)'!N444</f>
        <v>6170.8266321913379</v>
      </c>
    </row>
    <row r="445" spans="1:14" s="308" customFormat="1" ht="409.6">
      <c r="A445" s="271">
        <v>1</v>
      </c>
      <c r="B445" s="308">
        <f>A445+1</f>
        <v>2</v>
      </c>
      <c r="C445" s="308">
        <f t="shared" ref="C445:N445" si="0">B445+1</f>
        <v>3</v>
      </c>
      <c r="D445" s="308">
        <f t="shared" si="0"/>
        <v>4</v>
      </c>
      <c r="E445" s="308">
        <f t="shared" si="0"/>
        <v>5</v>
      </c>
      <c r="F445" s="308">
        <f t="shared" si="0"/>
        <v>6</v>
      </c>
      <c r="G445" s="308">
        <f t="shared" si="0"/>
        <v>7</v>
      </c>
      <c r="H445" s="308">
        <f t="shared" si="0"/>
        <v>8</v>
      </c>
      <c r="I445" s="308">
        <f t="shared" si="0"/>
        <v>9</v>
      </c>
      <c r="J445" s="308">
        <f t="shared" si="0"/>
        <v>10</v>
      </c>
      <c r="K445" s="308">
        <f t="shared" si="0"/>
        <v>11</v>
      </c>
      <c r="L445" s="308">
        <f t="shared" si="0"/>
        <v>12</v>
      </c>
      <c r="M445" s="308">
        <f t="shared" si="0"/>
        <v>13</v>
      </c>
      <c r="N445" s="308">
        <f t="shared" si="0"/>
        <v>14</v>
      </c>
    </row>
  </sheetData>
  <sheetProtection password="80F5" sheet="1" objects="1" scenarios="1" formatCells="0" formatColumns="0" formatRows="0"/>
  <sortState ref="A10:CI444">
    <sortCondition ref="B10:B444"/>
    <sortCondition ref="C10:C444"/>
    <sortCondition ref="D10:D444"/>
  </sortState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00B050"/>
  </sheetPr>
  <dimension ref="A1:J303"/>
  <sheetViews>
    <sheetView showGridLines="0" zoomScale="85" zoomScaleNormal="85" workbookViewId="0"/>
  </sheetViews>
  <sheetFormatPr defaultColWidth="8.7109375" defaultRowHeight="15"/>
  <cols>
    <col min="1" max="1" width="3.140625" style="266" customWidth="1"/>
    <col min="2" max="2" width="34" style="49" customWidth="1"/>
    <col min="3" max="4" width="14.7109375" style="49" customWidth="1"/>
    <col min="5" max="5" width="14.140625" style="49" customWidth="1"/>
    <col min="6" max="6" width="14.85546875" style="49" customWidth="1"/>
    <col min="7" max="8" width="13.7109375" style="49" customWidth="1"/>
    <col min="9" max="9" width="18.28515625" style="49" customWidth="1"/>
    <col min="10" max="10" width="13.7109375" style="49" bestFit="1" customWidth="1"/>
    <col min="11" max="16384" width="8.7109375" style="49"/>
  </cols>
  <sheetData>
    <row r="1" spans="1:8">
      <c r="B1" s="266"/>
    </row>
    <row r="2" spans="1:8" ht="15.75">
      <c r="B2" s="264" t="s">
        <v>322</v>
      </c>
    </row>
    <row r="3" spans="1:8" ht="15.75">
      <c r="B3" s="264"/>
    </row>
    <row r="4" spans="1:8" ht="15.75">
      <c r="B4" s="309" t="s">
        <v>323</v>
      </c>
    </row>
    <row r="5" spans="1:8" ht="15.75">
      <c r="B5" s="309" t="s">
        <v>555</v>
      </c>
    </row>
    <row r="6" spans="1:8" ht="15.75">
      <c r="B6" s="309"/>
    </row>
    <row r="7" spans="1:8">
      <c r="B7" s="880" t="s">
        <v>557</v>
      </c>
      <c r="C7" s="49" t="s">
        <v>558</v>
      </c>
      <c r="D7" s="49" t="s">
        <v>558</v>
      </c>
      <c r="E7" s="49" t="s">
        <v>558</v>
      </c>
      <c r="F7" s="49" t="s">
        <v>558</v>
      </c>
    </row>
    <row r="8" spans="1:8">
      <c r="B8" s="881" t="s">
        <v>556</v>
      </c>
      <c r="C8" s="828">
        <v>2008</v>
      </c>
      <c r="D8" s="807">
        <v>2009</v>
      </c>
      <c r="E8" s="807">
        <v>2010</v>
      </c>
      <c r="F8" s="808">
        <v>2011</v>
      </c>
    </row>
    <row r="9" spans="1:8">
      <c r="B9" s="882" t="s">
        <v>240</v>
      </c>
      <c r="C9" s="829">
        <f>SUMPRODUCT(C16:C44,G143:G171)</f>
        <v>23.507530568186869</v>
      </c>
      <c r="D9" s="811">
        <f>SUMPRODUCT(D16:D44,H143:H171)</f>
        <v>24.145699162694207</v>
      </c>
      <c r="E9" s="811">
        <f>SUMPRODUCT(E16:E44,I143:I171)</f>
        <v>23.861841919272528</v>
      </c>
      <c r="F9" s="811">
        <f>SUMPRODUCT(F16:F44,J143:J171)</f>
        <v>25.036983130613667</v>
      </c>
    </row>
    <row r="10" spans="1:8">
      <c r="B10" s="882" t="s">
        <v>222</v>
      </c>
      <c r="C10" s="830">
        <f>SUMPRODUCT(C47:C75,G143:G171)</f>
        <v>6.5654563467744564</v>
      </c>
      <c r="D10" s="809">
        <f>SUMPRODUCT(D47:D75,H143:H171)</f>
        <v>6.7186002931398559</v>
      </c>
      <c r="E10" s="809">
        <f>SUMPRODUCT(E47:E75,I143:I171)</f>
        <v>6.9257935430368374</v>
      </c>
      <c r="F10" s="809">
        <f>SUMPRODUCT(F47:F75,J143:J171)</f>
        <v>7.2901693843821915</v>
      </c>
    </row>
    <row r="11" spans="1:8">
      <c r="B11" s="882" t="s">
        <v>241</v>
      </c>
      <c r="C11" s="830">
        <f>SUMPRODUCT(C78:C106,G143:G171)</f>
        <v>8.5271714111792072</v>
      </c>
      <c r="D11" s="809">
        <f>SUMPRODUCT(D78:D106,H143:H171)</f>
        <v>8.8373028853667837</v>
      </c>
      <c r="E11" s="809">
        <f>SUMPRODUCT(E78:E106,I143:I171)</f>
        <v>9.1241174724373852</v>
      </c>
      <c r="F11" s="809">
        <f>SUMPRODUCT(F78:F106,J143:J171)</f>
        <v>9.4905407086389975</v>
      </c>
    </row>
    <row r="12" spans="1:8">
      <c r="B12" s="883" t="s">
        <v>223</v>
      </c>
      <c r="C12" s="831">
        <f>SUMPRODUCT(C109:C137,G143:G171)</f>
        <v>1.9617150644047496</v>
      </c>
      <c r="D12" s="810">
        <f>SUMPRODUCT(D109:D137,H143:H171)</f>
        <v>2.1187025922269274</v>
      </c>
      <c r="E12" s="810">
        <f>SUMPRODUCT(E109:E137,I143:I171)</f>
        <v>2.1983239294005488</v>
      </c>
      <c r="F12" s="810">
        <f>SUMPRODUCT(F109:F137,J143:J171)</f>
        <v>2.2003713242568046</v>
      </c>
    </row>
    <row r="14" spans="1:8" s="788" customFormat="1" ht="12.75">
      <c r="A14" s="783"/>
      <c r="B14" s="798" t="s">
        <v>220</v>
      </c>
      <c r="C14" s="784"/>
      <c r="D14" s="784"/>
      <c r="E14" s="784"/>
      <c r="F14" s="784"/>
      <c r="G14" s="822"/>
      <c r="H14" s="823"/>
    </row>
    <row r="15" spans="1:8" s="791" customFormat="1" ht="12.75">
      <c r="A15" s="783"/>
      <c r="B15" s="799" t="s">
        <v>28</v>
      </c>
      <c r="C15" s="789">
        <v>2008</v>
      </c>
      <c r="D15" s="789">
        <v>2009</v>
      </c>
      <c r="E15" s="789">
        <v>2010</v>
      </c>
      <c r="F15" s="815">
        <v>2011</v>
      </c>
      <c r="G15" s="820"/>
      <c r="H15" s="818"/>
    </row>
    <row r="16" spans="1:8" s="791" customFormat="1" ht="12.75">
      <c r="A16" s="792">
        <v>1</v>
      </c>
      <c r="B16" s="800" t="s">
        <v>112</v>
      </c>
      <c r="C16" s="816">
        <f>C178*CPI!$I$46</f>
        <v>21.545802800034217</v>
      </c>
      <c r="D16" s="816">
        <f>D178*CPI!$I$50</f>
        <v>22.145152721532014</v>
      </c>
      <c r="E16" s="816">
        <f>E178*CPI!$I$54</f>
        <v>21.892734768666969</v>
      </c>
      <c r="F16" s="816">
        <f>F178*CPI!$I$58</f>
        <v>22.91</v>
      </c>
      <c r="G16" s="821"/>
      <c r="H16" s="824"/>
    </row>
    <row r="17" spans="1:8" s="791" customFormat="1" ht="12.75">
      <c r="A17" s="792">
        <v>2</v>
      </c>
      <c r="B17" s="800" t="s">
        <v>174</v>
      </c>
      <c r="C17" s="816">
        <f>C179*CPI!$I$46</f>
        <v>21.658264207433668</v>
      </c>
      <c r="D17" s="816">
        <f>D179*CPI!$I$50</f>
        <v>22.724998384286053</v>
      </c>
      <c r="E17" s="816">
        <f>E179*CPI!$I$54</f>
        <v>21.70549655366084</v>
      </c>
      <c r="F17" s="816">
        <f>F179*CPI!$I$58</f>
        <v>23.72154863213116</v>
      </c>
      <c r="G17" s="821"/>
      <c r="H17" s="824"/>
    </row>
    <row r="18" spans="1:8" s="791" customFormat="1" ht="12.75">
      <c r="A18" s="792">
        <v>6</v>
      </c>
      <c r="B18" s="800" t="s">
        <v>31</v>
      </c>
      <c r="C18" s="816">
        <f>C180*CPI!$I$46</f>
        <v>30.535349243914723</v>
      </c>
      <c r="D18" s="816">
        <f>D180*CPI!$I$50</f>
        <v>31.428313542453147</v>
      </c>
      <c r="E18" s="816">
        <f>E180*CPI!$I$54</f>
        <v>31.734175177171188</v>
      </c>
      <c r="F18" s="816">
        <f>F180*CPI!$I$58</f>
        <v>32.636000000000003</v>
      </c>
      <c r="G18" s="821"/>
      <c r="H18" s="824"/>
    </row>
    <row r="19" spans="1:8" s="791" customFormat="1" ht="12.75">
      <c r="A19" s="792">
        <v>7</v>
      </c>
      <c r="B19" s="801" t="s">
        <v>32</v>
      </c>
      <c r="C19" s="816">
        <f>C181*CPI!$I$46</f>
        <v>24.774708448575744</v>
      </c>
      <c r="D19" s="816">
        <f>D181*CPI!$I$50</f>
        <v>25.227774589882621</v>
      </c>
      <c r="E19" s="816">
        <f>E181*CPI!$I$54</f>
        <v>24.641552639379157</v>
      </c>
      <c r="F19" s="816">
        <f>F181*CPI!$I$58</f>
        <v>26.630000000000003</v>
      </c>
      <c r="G19" s="821"/>
      <c r="H19" s="824"/>
    </row>
    <row r="20" spans="1:8" s="791" customFormat="1" ht="12.75">
      <c r="A20" s="792">
        <v>8</v>
      </c>
      <c r="B20" s="800" t="s">
        <v>33</v>
      </c>
      <c r="C20" s="816">
        <f>C182*CPI!$I$46</f>
        <v>23.809810099512422</v>
      </c>
      <c r="D20" s="816">
        <f>D182*CPI!$I$50</f>
        <v>24.421175097810416</v>
      </c>
      <c r="E20" s="816">
        <f>E182*CPI!$I$54</f>
        <v>24.212622941984854</v>
      </c>
      <c r="F20" s="816">
        <f>F182*CPI!$I$58</f>
        <v>25.225999999999999</v>
      </c>
      <c r="G20" s="821"/>
      <c r="H20" s="824"/>
    </row>
    <row r="21" spans="1:8" s="791" customFormat="1" ht="12.75">
      <c r="A21" s="792">
        <v>9</v>
      </c>
      <c r="B21" s="800" t="s">
        <v>34</v>
      </c>
      <c r="C21" s="816">
        <f>C183*CPI!$I$46</f>
        <v>28.497471329776918</v>
      </c>
      <c r="D21" s="816">
        <f>D183*CPI!$I$50</f>
        <v>29.418028154720037</v>
      </c>
      <c r="E21" s="816">
        <f>E183*CPI!$I$54</f>
        <v>28.582934828863433</v>
      </c>
      <c r="F21" s="816">
        <f>F183*CPI!$I$58</f>
        <v>29.863147159157744</v>
      </c>
      <c r="G21" s="821"/>
      <c r="H21" s="824"/>
    </row>
    <row r="22" spans="1:8" s="791" customFormat="1" ht="12.75">
      <c r="A22" s="792">
        <v>12</v>
      </c>
      <c r="B22" s="802" t="s">
        <v>35</v>
      </c>
      <c r="C22" s="816">
        <f>C184*CPI!$I$46</f>
        <v>22.41798465969034</v>
      </c>
      <c r="D22" s="816">
        <f>D184*CPI!$I$50</f>
        <v>22.692747614798538</v>
      </c>
      <c r="E22" s="816">
        <f>E184*CPI!$I$54</f>
        <v>22.851022222906565</v>
      </c>
      <c r="F22" s="816">
        <f>F184*CPI!$I$58</f>
        <v>23.851000000000003</v>
      </c>
      <c r="G22" s="821"/>
      <c r="H22" s="824"/>
    </row>
    <row r="23" spans="1:8" s="791" customFormat="1" ht="12.75">
      <c r="A23" s="792">
        <v>13</v>
      </c>
      <c r="B23" s="802" t="s">
        <v>115</v>
      </c>
      <c r="C23" s="816">
        <f>C185*CPI!$I$46</f>
        <v>22.049813948846623</v>
      </c>
      <c r="D23" s="816">
        <f>D185*CPI!$I$50</f>
        <v>22.443604914544572</v>
      </c>
      <c r="E23" s="816">
        <f>E185*CPI!$I$54</f>
        <v>22.807648945056716</v>
      </c>
      <c r="F23" s="816">
        <f>F185*CPI!$I$58</f>
        <v>23.37</v>
      </c>
      <c r="G23" s="821"/>
      <c r="H23" s="824"/>
    </row>
    <row r="24" spans="1:8" s="791" customFormat="1" ht="12.75">
      <c r="A24" s="792">
        <v>14</v>
      </c>
      <c r="B24" s="802" t="s">
        <v>116</v>
      </c>
      <c r="C24" s="816">
        <f>C186*CPI!$I$46</f>
        <v>22.626596760856547</v>
      </c>
      <c r="D24" s="816">
        <f>D186*CPI!$I$50</f>
        <v>22.285295490424865</v>
      </c>
      <c r="E24" s="816">
        <f>E186*CPI!$I$54</f>
        <v>21.950808385653843</v>
      </c>
      <c r="F24" s="816">
        <f>F186*CPI!$I$58</f>
        <v>23.118333333333332</v>
      </c>
      <c r="G24" s="821"/>
      <c r="H24" s="824"/>
    </row>
    <row r="25" spans="1:8" s="791" customFormat="1" ht="12.75">
      <c r="A25" s="792">
        <v>15</v>
      </c>
      <c r="B25" s="802" t="s">
        <v>38</v>
      </c>
      <c r="C25" s="816">
        <f>C187*CPI!$I$46</f>
        <v>26.454745611283776</v>
      </c>
      <c r="D25" s="816">
        <f>D187*CPI!$I$50</f>
        <v>27.004300455304634</v>
      </c>
      <c r="E25" s="816">
        <f>E187*CPI!$I$54</f>
        <v>26.810653175608309</v>
      </c>
      <c r="F25" s="816">
        <f>F187*CPI!$I$58</f>
        <v>27.84375</v>
      </c>
      <c r="G25" s="821"/>
      <c r="H25" s="824"/>
    </row>
    <row r="26" spans="1:8" s="791" customFormat="1" ht="12.75">
      <c r="A26" s="792">
        <v>17</v>
      </c>
      <c r="B26" s="803" t="s">
        <v>39</v>
      </c>
      <c r="C26" s="816">
        <f>C188*CPI!$I$46</f>
        <v>21.214287445467765</v>
      </c>
      <c r="D26" s="816">
        <f>D188*CPI!$I$50</f>
        <v>21.61312924703136</v>
      </c>
      <c r="E26" s="816">
        <f>E188*CPI!$I$54</f>
        <v>21.741947131578232</v>
      </c>
      <c r="F26" s="816">
        <f>F188*CPI!$I$58</f>
        <v>23.142469777515259</v>
      </c>
      <c r="G26" s="821"/>
      <c r="H26" s="824"/>
    </row>
    <row r="27" spans="1:8" s="791" customFormat="1" ht="12.75">
      <c r="A27" s="792">
        <v>19</v>
      </c>
      <c r="B27" s="802" t="s">
        <v>40</v>
      </c>
      <c r="C27" s="816">
        <f>C189*CPI!$I$46</f>
        <v>25.367662741296222</v>
      </c>
      <c r="D27" s="816">
        <f>D189*CPI!$I$50</f>
        <v>26.468816665522681</v>
      </c>
      <c r="E27" s="816">
        <f>E189*CPI!$I$54</f>
        <v>27.101021260542691</v>
      </c>
      <c r="F27" s="816">
        <f>F189*CPI!$I$58</f>
        <v>27.682857142857145</v>
      </c>
      <c r="G27" s="821"/>
      <c r="H27" s="824"/>
    </row>
    <row r="28" spans="1:8" s="791" customFormat="1" ht="12.75">
      <c r="A28" s="792">
        <v>20</v>
      </c>
      <c r="B28" s="802" t="s">
        <v>41</v>
      </c>
      <c r="C28" s="816">
        <f>C190*CPI!$I$46</f>
        <v>23.258182924163364</v>
      </c>
      <c r="D28" s="816">
        <f>D190*CPI!$I$50</f>
        <v>24.859770059715824</v>
      </c>
      <c r="E28" s="816">
        <f>E190*CPI!$I$54</f>
        <v>25.114292258360049</v>
      </c>
      <c r="F28" s="816">
        <f>F190*CPI!$I$58</f>
        <v>25.3</v>
      </c>
      <c r="G28" s="821"/>
      <c r="H28" s="824"/>
    </row>
    <row r="29" spans="1:8" s="791" customFormat="1" ht="12.75">
      <c r="A29" s="792">
        <v>21</v>
      </c>
      <c r="B29" s="802" t="s">
        <v>42</v>
      </c>
      <c r="C29" s="816">
        <f>C191*CPI!$I$46</f>
        <v>21.630253865967131</v>
      </c>
      <c r="D29" s="816">
        <f>D191*CPI!$I$50</f>
        <v>22.736866634635177</v>
      </c>
      <c r="E29" s="816">
        <f>E191*CPI!$I$54</f>
        <v>23.18359920239282</v>
      </c>
      <c r="F29" s="816">
        <f>F191*CPI!$I$58</f>
        <v>23.436666666666667</v>
      </c>
      <c r="G29" s="821"/>
      <c r="H29" s="824"/>
    </row>
    <row r="30" spans="1:8" s="791" customFormat="1" ht="12.75">
      <c r="A30" s="792">
        <v>22</v>
      </c>
      <c r="B30" s="802" t="s">
        <v>43</v>
      </c>
      <c r="C30" s="816">
        <f>C192*CPI!$I$46</f>
        <v>21.305925836160927</v>
      </c>
      <c r="D30" s="816">
        <f>D192*CPI!$I$50</f>
        <v>22.280105017502908</v>
      </c>
      <c r="E30" s="816">
        <f>E192*CPI!$I$54</f>
        <v>22.549374174772971</v>
      </c>
      <c r="F30" s="816">
        <f>F192*CPI!$I$58</f>
        <v>23.11</v>
      </c>
      <c r="G30" s="821"/>
      <c r="H30" s="824"/>
    </row>
    <row r="31" spans="1:8" s="791" customFormat="1" ht="12.75">
      <c r="A31" s="792">
        <v>23</v>
      </c>
      <c r="B31" s="802" t="s">
        <v>44</v>
      </c>
      <c r="C31" s="816">
        <f>C193*CPI!$I$46</f>
        <v>24.056694705026946</v>
      </c>
      <c r="D31" s="816">
        <f>D193*CPI!$I$50</f>
        <v>23.818042144278941</v>
      </c>
      <c r="E31" s="816">
        <f>E193*CPI!$I$54</f>
        <v>23.967083614022794</v>
      </c>
      <c r="F31" s="816">
        <f>F193*CPI!$I$58</f>
        <v>25.521999999999998</v>
      </c>
      <c r="G31" s="821"/>
      <c r="H31" s="824"/>
    </row>
    <row r="32" spans="1:8" s="791" customFormat="1" ht="12.75">
      <c r="A32" s="792">
        <v>24</v>
      </c>
      <c r="B32" s="801" t="s">
        <v>45</v>
      </c>
      <c r="C32" s="816">
        <f>C194*CPI!$I$46</f>
        <v>23.110124034102249</v>
      </c>
      <c r="D32" s="816">
        <f>D194*CPI!$I$50</f>
        <v>23.674785091632913</v>
      </c>
      <c r="E32" s="816">
        <f>E194*CPI!$I$54</f>
        <v>22.3430600091617</v>
      </c>
      <c r="F32" s="816">
        <f>F194*CPI!$I$58</f>
        <v>22.73</v>
      </c>
      <c r="G32" s="821"/>
      <c r="H32" s="824"/>
    </row>
    <row r="33" spans="1:8" s="791" customFormat="1" ht="12.75">
      <c r="A33" s="792">
        <v>25</v>
      </c>
      <c r="B33" s="802" t="s">
        <v>295</v>
      </c>
      <c r="C33" s="816">
        <f>C195*CPI!$I$46</f>
        <v>29.496780816058845</v>
      </c>
      <c r="D33" s="816">
        <f>D195*CPI!$I$50</f>
        <v>30.138481021346685</v>
      </c>
      <c r="E33" s="816">
        <f>E195*CPI!$I$54</f>
        <v>29.872253509741043</v>
      </c>
      <c r="F33" s="816">
        <f>F195*CPI!$I$58</f>
        <v>32.096666666666664</v>
      </c>
      <c r="G33" s="821"/>
      <c r="H33" s="824"/>
    </row>
    <row r="34" spans="1:8" s="791" customFormat="1" ht="12.75">
      <c r="A34" s="792">
        <v>26</v>
      </c>
      <c r="B34" s="803" t="s">
        <v>47</v>
      </c>
      <c r="C34" s="816">
        <f>C196*CPI!$I$46</f>
        <v>24.462345833847888</v>
      </c>
      <c r="D34" s="816">
        <f>D196*CPI!$I$50</f>
        <v>24.860962482519447</v>
      </c>
      <c r="E34" s="816">
        <f>E196*CPI!$I$54</f>
        <v>24.630092479767256</v>
      </c>
      <c r="F34" s="816">
        <f>F196*CPI!$I$58</f>
        <v>25.981243637228367</v>
      </c>
      <c r="G34" s="821"/>
      <c r="H34" s="824"/>
    </row>
    <row r="35" spans="1:8" s="791" customFormat="1" ht="12.75">
      <c r="A35" s="792">
        <v>35</v>
      </c>
      <c r="B35" s="802" t="s">
        <v>48</v>
      </c>
      <c r="C35" s="816">
        <f>C197*CPI!$I$46</f>
        <v>22.428046914354688</v>
      </c>
      <c r="D35" s="816">
        <f>D197*CPI!$I$50</f>
        <v>22.474747752076318</v>
      </c>
      <c r="E35" s="816">
        <f>E197*CPI!$I$54</f>
        <v>22.717482013419197</v>
      </c>
      <c r="F35" s="816">
        <f>F197*CPI!$I$58</f>
        <v>24.139999999999997</v>
      </c>
      <c r="G35" s="821"/>
      <c r="H35" s="824"/>
    </row>
    <row r="36" spans="1:8" s="791" customFormat="1" ht="12.75">
      <c r="A36" s="792">
        <v>36</v>
      </c>
      <c r="B36" s="800" t="s">
        <v>176</v>
      </c>
      <c r="C36" s="816">
        <f>C198*CPI!$I$46</f>
        <v>23.001936665819777</v>
      </c>
      <c r="D36" s="816">
        <f>D198*CPI!$I$50</f>
        <v>23.166141063792431</v>
      </c>
      <c r="E36" s="816">
        <f>E198*CPI!$I$54</f>
        <v>23.884055743747137</v>
      </c>
      <c r="F36" s="816">
        <f>F198*CPI!$I$58</f>
        <v>26.334202948980039</v>
      </c>
      <c r="G36" s="821"/>
      <c r="H36" s="824"/>
    </row>
    <row r="37" spans="1:8" s="791" customFormat="1" ht="12.75">
      <c r="A37" s="792">
        <v>39</v>
      </c>
      <c r="B37" s="802" t="s">
        <v>124</v>
      </c>
      <c r="C37" s="816">
        <f>C199*CPI!$I$46</f>
        <v>24.941813749251519</v>
      </c>
      <c r="D37" s="816">
        <f>D199*CPI!$I$50</f>
        <v>25.075174685977068</v>
      </c>
      <c r="E37" s="816">
        <f>E199*CPI!$I$54</f>
        <v>24.806094554175314</v>
      </c>
      <c r="F37" s="816">
        <f>F199*CPI!$I$58</f>
        <v>25.771999999999998</v>
      </c>
      <c r="G37" s="821"/>
      <c r="H37" s="824"/>
    </row>
    <row r="38" spans="1:8" s="791" customFormat="1" ht="12.75">
      <c r="A38" s="792">
        <v>40</v>
      </c>
      <c r="B38" s="802" t="s">
        <v>125</v>
      </c>
      <c r="C38" s="816">
        <f>C200*CPI!$I$46</f>
        <v>26.281351401442784</v>
      </c>
      <c r="D38" s="816">
        <f>D200*CPI!$I$50</f>
        <v>26.699792710549783</v>
      </c>
      <c r="E38" s="816">
        <f>E200*CPI!$I$54</f>
        <v>26.972648001940122</v>
      </c>
      <c r="F38" s="816">
        <f>F200*CPI!$I$58</f>
        <v>29.221999999999998</v>
      </c>
      <c r="G38" s="821"/>
      <c r="H38" s="824"/>
    </row>
    <row r="39" spans="1:8" s="791" customFormat="1" ht="12.75">
      <c r="A39" s="792">
        <v>41</v>
      </c>
      <c r="B39" s="800" t="s">
        <v>52</v>
      </c>
      <c r="C39" s="816">
        <f>C201*CPI!$I$46</f>
        <v>23.83838931004188</v>
      </c>
      <c r="D39" s="816">
        <f>D201*CPI!$I$50</f>
        <v>23.9944253118897</v>
      </c>
      <c r="E39" s="816">
        <f>E201*CPI!$I$54</f>
        <v>24.33766732091442</v>
      </c>
      <c r="F39" s="816">
        <f>F201*CPI!$I$58</f>
        <v>25.460439141292174</v>
      </c>
      <c r="G39" s="821"/>
      <c r="H39" s="824"/>
    </row>
    <row r="40" spans="1:8" s="791" customFormat="1" ht="12.75">
      <c r="A40" s="792">
        <v>46</v>
      </c>
      <c r="B40" s="802" t="s">
        <v>53</v>
      </c>
      <c r="C40" s="816">
        <f>C202*CPI!$I$46</f>
        <v>23.037177526908799</v>
      </c>
      <c r="D40" s="816">
        <f>D202*CPI!$I$50</f>
        <v>24.08795203904883</v>
      </c>
      <c r="E40" s="816">
        <f>E202*CPI!$I$54</f>
        <v>23.910191324410366</v>
      </c>
      <c r="F40" s="816">
        <f>F202*CPI!$I$58</f>
        <v>25.240894047165213</v>
      </c>
      <c r="G40" s="821"/>
      <c r="H40" s="824"/>
    </row>
    <row r="41" spans="1:8" s="791" customFormat="1" ht="12.75">
      <c r="A41" s="792">
        <v>48</v>
      </c>
      <c r="B41" s="802" t="s">
        <v>54</v>
      </c>
      <c r="C41" s="816">
        <f>C203*CPI!$I$46</f>
        <v>21.220576354632986</v>
      </c>
      <c r="D41" s="816">
        <f>D203*CPI!$I$50</f>
        <v>21.428002379481544</v>
      </c>
      <c r="E41" s="816">
        <f>E203*CPI!$I$54</f>
        <v>21.538180054431297</v>
      </c>
      <c r="F41" s="816">
        <f>F203*CPI!$I$58</f>
        <v>22.298888888888886</v>
      </c>
      <c r="G41" s="821"/>
      <c r="H41" s="824"/>
    </row>
    <row r="42" spans="1:8" s="791" customFormat="1" ht="12.75">
      <c r="A42" s="792">
        <v>49</v>
      </c>
      <c r="B42" s="802" t="s">
        <v>55</v>
      </c>
      <c r="C42" s="816">
        <f>C204*CPI!$I$46</f>
        <v>22.941940634712441</v>
      </c>
      <c r="D42" s="816">
        <f>D204*CPI!$I$50</f>
        <v>23.47873351440926</v>
      </c>
      <c r="E42" s="816">
        <f>E204*CPI!$I$54</f>
        <v>23.296237114482377</v>
      </c>
      <c r="F42" s="816">
        <f>F204*CPI!$I$58</f>
        <v>24.47</v>
      </c>
      <c r="G42" s="821"/>
      <c r="H42" s="824"/>
    </row>
    <row r="43" spans="1:8" s="791" customFormat="1" ht="12.75">
      <c r="A43" s="792">
        <v>50</v>
      </c>
      <c r="B43" s="800" t="s">
        <v>214</v>
      </c>
      <c r="C43" s="816">
        <f>C205*CPI!$I$46</f>
        <v>23.29135161786682</v>
      </c>
      <c r="D43" s="816">
        <f>D205*CPI!$I$50</f>
        <v>23.993119215754607</v>
      </c>
      <c r="E43" s="816">
        <f>E205*CPI!$I$54</f>
        <v>23.332721780708948</v>
      </c>
      <c r="F43" s="816">
        <f>F205*CPI!$I$58</f>
        <v>24.206804031604637</v>
      </c>
      <c r="G43" s="821"/>
      <c r="H43" s="824"/>
    </row>
    <row r="44" spans="1:8" s="791" customFormat="1" ht="12.75">
      <c r="A44" s="792">
        <v>53</v>
      </c>
      <c r="B44" s="802" t="s">
        <v>57</v>
      </c>
      <c r="C44" s="816">
        <f>C206*CPI!$I$46</f>
        <v>27.053090397574444</v>
      </c>
      <c r="D44" s="816">
        <f>D206*CPI!$I$50</f>
        <v>28.072672798407567</v>
      </c>
      <c r="E44" s="816">
        <f>E206*CPI!$I$54</f>
        <v>28.315473040338439</v>
      </c>
      <c r="F44" s="816">
        <f>F206*CPI!$I$58</f>
        <v>29.582857142857151</v>
      </c>
      <c r="G44" s="821"/>
      <c r="H44" s="824"/>
    </row>
    <row r="45" spans="1:8" s="791" customFormat="1" ht="12.75">
      <c r="A45" s="783"/>
      <c r="B45" s="798" t="s">
        <v>222</v>
      </c>
      <c r="C45" s="794"/>
      <c r="D45" s="794"/>
      <c r="E45" s="794"/>
      <c r="F45" s="794"/>
      <c r="G45" s="822"/>
      <c r="H45" s="823"/>
    </row>
    <row r="46" spans="1:8" s="791" customFormat="1" ht="12.75">
      <c r="A46" s="795"/>
      <c r="B46" s="804" t="s">
        <v>28</v>
      </c>
      <c r="C46" s="796">
        <v>2008</v>
      </c>
      <c r="D46" s="796">
        <v>2009</v>
      </c>
      <c r="E46" s="796">
        <v>2010</v>
      </c>
      <c r="F46" s="817">
        <v>2011</v>
      </c>
      <c r="G46" s="820"/>
      <c r="H46" s="818"/>
    </row>
    <row r="47" spans="1:8" s="791" customFormat="1" ht="12.75">
      <c r="A47" s="792">
        <v>1</v>
      </c>
      <c r="B47" s="800" t="s">
        <v>112</v>
      </c>
      <c r="C47" s="816">
        <f>C209*CPI!$I$46</f>
        <v>4.4848906503949131</v>
      </c>
      <c r="D47" s="816">
        <f>D209*CPI!$I$50</f>
        <v>4.5260923879470099</v>
      </c>
      <c r="E47" s="816">
        <f>E209*CPI!$I$54</f>
        <v>4.1568483737975255</v>
      </c>
      <c r="F47" s="816">
        <f>F209*CPI!$I$58</f>
        <v>5.57</v>
      </c>
      <c r="G47" s="821"/>
      <c r="H47" s="824"/>
    </row>
    <row r="48" spans="1:8" s="791" customFormat="1" ht="12.75">
      <c r="A48" s="792">
        <v>2</v>
      </c>
      <c r="B48" s="800" t="s">
        <v>174</v>
      </c>
      <c r="C48" s="816">
        <f>C210*CPI!$I$46</f>
        <v>5.7685162782844905</v>
      </c>
      <c r="D48" s="816">
        <f>D210*CPI!$I$50</f>
        <v>5.5731038799396266</v>
      </c>
      <c r="E48" s="816">
        <f>E210*CPI!$I$54</f>
        <v>5.4946552789548626</v>
      </c>
      <c r="F48" s="816">
        <f>F210*CPI!$I$58</f>
        <v>6.4928694751482601</v>
      </c>
      <c r="G48" s="821"/>
      <c r="H48" s="824"/>
    </row>
    <row r="49" spans="1:8" s="791" customFormat="1" ht="12.75">
      <c r="A49" s="792">
        <v>6</v>
      </c>
      <c r="B49" s="800" t="s">
        <v>31</v>
      </c>
      <c r="C49" s="816">
        <f>C211*CPI!$I$46</f>
        <v>9.9616321177040863</v>
      </c>
      <c r="D49" s="816">
        <f>D211*CPI!$I$50</f>
        <v>10.941516919486578</v>
      </c>
      <c r="E49" s="816">
        <f>E211*CPI!$I$54</f>
        <v>11.42114467408585</v>
      </c>
      <c r="F49" s="816">
        <f>F211*CPI!$I$58</f>
        <v>11.529999999999998</v>
      </c>
      <c r="G49" s="821"/>
      <c r="H49" s="824"/>
    </row>
    <row r="50" spans="1:8" s="791" customFormat="1" ht="12.75">
      <c r="A50" s="792">
        <v>7</v>
      </c>
      <c r="B50" s="801" t="s">
        <v>32</v>
      </c>
      <c r="C50" s="816">
        <f>C212*CPI!$I$46</f>
        <v>7.870120612471843</v>
      </c>
      <c r="D50" s="816">
        <f>D212*CPI!$I$50</f>
        <v>8.2424710000686368</v>
      </c>
      <c r="E50" s="816">
        <f>E212*CPI!$I$54</f>
        <v>9.1491417638974966</v>
      </c>
      <c r="F50" s="816">
        <f>F212*CPI!$I$58</f>
        <v>10.1</v>
      </c>
      <c r="G50" s="821"/>
      <c r="H50" s="824"/>
    </row>
    <row r="51" spans="1:8" s="791" customFormat="1" ht="12.75">
      <c r="A51" s="792">
        <v>8</v>
      </c>
      <c r="B51" s="800" t="s">
        <v>33</v>
      </c>
      <c r="C51" s="816">
        <f>C213*CPI!$I$46</f>
        <v>5.0886259302557661</v>
      </c>
      <c r="D51" s="816">
        <f>D213*CPI!$I$50</f>
        <v>5.1385681927380036</v>
      </c>
      <c r="E51" s="816">
        <f>E213*CPI!$I$54</f>
        <v>5.2877556519630291</v>
      </c>
      <c r="F51" s="816">
        <f>F213*CPI!$I$58</f>
        <v>7.6099999999999977</v>
      </c>
      <c r="G51" s="821"/>
      <c r="H51" s="824"/>
    </row>
    <row r="52" spans="1:8" s="791" customFormat="1" ht="12.75">
      <c r="A52" s="792">
        <v>9</v>
      </c>
      <c r="B52" s="800" t="s">
        <v>34</v>
      </c>
      <c r="C52" s="816">
        <f>C214*CPI!$I$46</f>
        <v>8.6247897122979094</v>
      </c>
      <c r="D52" s="816">
        <f>D214*CPI!$I$50</f>
        <v>9.1040895051135937</v>
      </c>
      <c r="E52" s="816">
        <f>E214*CPI!$I$54</f>
        <v>9.3834739026164744</v>
      </c>
      <c r="F52" s="816">
        <f>F214*CPI!$I$58</f>
        <v>10.25</v>
      </c>
      <c r="G52" s="821"/>
      <c r="H52" s="824"/>
    </row>
    <row r="53" spans="1:8" s="791" customFormat="1" ht="12.75">
      <c r="A53" s="792">
        <v>12</v>
      </c>
      <c r="B53" s="802" t="s">
        <v>35</v>
      </c>
      <c r="C53" s="816">
        <f>C215*CPI!$I$46</f>
        <v>5.6815802229762467</v>
      </c>
      <c r="D53" s="816">
        <f>D215*CPI!$I$50</f>
        <v>5.6264726474020161</v>
      </c>
      <c r="E53" s="816">
        <f>E215*CPI!$I$54</f>
        <v>5.8379267602597604</v>
      </c>
      <c r="F53" s="816">
        <f>F215*CPI!$I$58</f>
        <v>6.1700000000000008</v>
      </c>
      <c r="G53" s="821"/>
      <c r="H53" s="824"/>
    </row>
    <row r="54" spans="1:8" s="791" customFormat="1" ht="12.75">
      <c r="A54" s="792">
        <v>13</v>
      </c>
      <c r="B54" s="802" t="s">
        <v>115</v>
      </c>
      <c r="C54" s="816">
        <f>C216*CPI!$I$46</f>
        <v>5.2934646859228422</v>
      </c>
      <c r="D54" s="816">
        <f>D216*CPI!$I$50</f>
        <v>5.0970444093623435</v>
      </c>
      <c r="E54" s="816">
        <f>E216*CPI!$I$54</f>
        <v>5.4202042521085385</v>
      </c>
      <c r="F54" s="816">
        <f>F216*CPI!$I$58</f>
        <v>5.4300000000000006</v>
      </c>
      <c r="G54" s="821"/>
      <c r="H54" s="824"/>
    </row>
    <row r="55" spans="1:8" s="791" customFormat="1" ht="12.75">
      <c r="A55" s="792">
        <v>14</v>
      </c>
      <c r="B55" s="802" t="s">
        <v>116</v>
      </c>
      <c r="C55" s="816">
        <f>C217*CPI!$I$46</f>
        <v>5.9511049014855573</v>
      </c>
      <c r="D55" s="816">
        <f>D217*CPI!$I$50</f>
        <v>5.9067581851877256</v>
      </c>
      <c r="E55" s="816">
        <f>E217*CPI!$I$54</f>
        <v>5.613782975398129</v>
      </c>
      <c r="F55" s="816">
        <f>F217*CPI!$I$58</f>
        <v>6.04</v>
      </c>
      <c r="G55" s="821"/>
      <c r="H55" s="824"/>
    </row>
    <row r="56" spans="1:8" s="791" customFormat="1" ht="12.75">
      <c r="A56" s="792">
        <v>15</v>
      </c>
      <c r="B56" s="802" t="s">
        <v>38</v>
      </c>
      <c r="C56" s="816">
        <f>C218*CPI!$I$46</f>
        <v>8.473855892332697</v>
      </c>
      <c r="D56" s="816">
        <f>D218*CPI!$I$50</f>
        <v>8.5019946461665157</v>
      </c>
      <c r="E56" s="816">
        <f>E218*CPI!$I$54</f>
        <v>8.6091590094581107</v>
      </c>
      <c r="F56" s="816">
        <f>F218*CPI!$I$58</f>
        <v>9.09</v>
      </c>
      <c r="G56" s="821"/>
      <c r="H56" s="824"/>
    </row>
    <row r="57" spans="1:8" s="791" customFormat="1" ht="12.95">
      <c r="A57" s="792">
        <v>17</v>
      </c>
      <c r="B57" s="803" t="s">
        <v>39</v>
      </c>
      <c r="C57" s="816">
        <f>C219*CPI!$I$46</f>
        <v>4.3016138690085821</v>
      </c>
      <c r="D57" s="816">
        <f>D219*CPI!$I$50</f>
        <v>4.6807101994750866</v>
      </c>
      <c r="E57" s="816">
        <f>E219*CPI!$I$54</f>
        <v>4.5956399014317908</v>
      </c>
      <c r="F57" s="816">
        <f>F219*CPI!$I$58</f>
        <v>4.7452460129946843</v>
      </c>
      <c r="G57" s="821"/>
      <c r="H57" s="824"/>
    </row>
    <row r="58" spans="1:8" s="791" customFormat="1" ht="12.95">
      <c r="A58" s="792">
        <v>19</v>
      </c>
      <c r="B58" s="802" t="s">
        <v>40</v>
      </c>
      <c r="C58" s="816">
        <f>C220*CPI!$I$46</f>
        <v>7.8701206124718421</v>
      </c>
      <c r="D58" s="816">
        <f>D220*CPI!$I$50</f>
        <v>8.875708696547461</v>
      </c>
      <c r="E58" s="816">
        <f>E220*CPI!$I$54</f>
        <v>8.9453746867505579</v>
      </c>
      <c r="F58" s="816">
        <f>F220*CPI!$I$58</f>
        <v>9.3900000000000023</v>
      </c>
      <c r="G58" s="821"/>
      <c r="H58" s="824"/>
    </row>
    <row r="59" spans="1:8" s="791" customFormat="1" ht="12.95">
      <c r="A59" s="792">
        <v>20</v>
      </c>
      <c r="B59" s="802" t="s">
        <v>41</v>
      </c>
      <c r="C59" s="816">
        <f>C221*CPI!$I$46</f>
        <v>6.0265718114681643</v>
      </c>
      <c r="D59" s="816">
        <f>D221*CPI!$I$50</f>
        <v>6.1559008854416888</v>
      </c>
      <c r="E59" s="816">
        <f>E221*CPI!$I$54</f>
        <v>5.705478160114251</v>
      </c>
      <c r="F59" s="816">
        <f>F221*CPI!$I$58</f>
        <v>6.31</v>
      </c>
      <c r="G59" s="821"/>
      <c r="H59" s="824"/>
    </row>
    <row r="60" spans="1:8" s="791" customFormat="1" ht="12.95">
      <c r="A60" s="792">
        <v>21</v>
      </c>
      <c r="B60" s="802" t="s">
        <v>42</v>
      </c>
      <c r="C60" s="816">
        <f>C222*CPI!$I$46</f>
        <v>5.6492372615551307</v>
      </c>
      <c r="D60" s="816">
        <f>D222*CPI!$I$50</f>
        <v>5.5538060264946099</v>
      </c>
      <c r="E60" s="816">
        <f>E222*CPI!$I$54</f>
        <v>5.4507693136805786</v>
      </c>
      <c r="F60" s="816">
        <f>F222*CPI!$I$58</f>
        <v>5.68</v>
      </c>
      <c r="G60" s="821"/>
      <c r="H60" s="824"/>
    </row>
    <row r="61" spans="1:8" s="791" customFormat="1" ht="12.95">
      <c r="A61" s="792">
        <v>22</v>
      </c>
      <c r="B61" s="802" t="s">
        <v>43</v>
      </c>
      <c r="C61" s="816">
        <f>C223*CPI!$I$46</f>
        <v>5.3581506087650759</v>
      </c>
      <c r="D61" s="816">
        <f>D223*CPI!$I$50</f>
        <v>5.6057107557141865</v>
      </c>
      <c r="E61" s="816">
        <f>E223*CPI!$I$54</f>
        <v>5.9907520681199626</v>
      </c>
      <c r="F61" s="816">
        <f>F223*CPI!$I$58</f>
        <v>6.16</v>
      </c>
      <c r="G61" s="821"/>
      <c r="H61" s="824"/>
    </row>
    <row r="62" spans="1:8" s="791" customFormat="1" ht="12.95">
      <c r="A62" s="792">
        <v>23</v>
      </c>
      <c r="B62" s="802" t="s">
        <v>44</v>
      </c>
      <c r="C62" s="816">
        <f>C224*CPI!$I$46</f>
        <v>6.0912577343103989</v>
      </c>
      <c r="D62" s="816">
        <f>D224*CPI!$I$50</f>
        <v>6.4258054773834843</v>
      </c>
      <c r="E62" s="816">
        <f>E224*CPI!$I$54</f>
        <v>6.9382689768532231</v>
      </c>
      <c r="F62" s="816">
        <f>F224*CPI!$I$58</f>
        <v>7.3200000000000012</v>
      </c>
      <c r="G62" s="821"/>
      <c r="H62" s="824"/>
    </row>
    <row r="63" spans="1:8" s="791" customFormat="1" ht="12.95">
      <c r="A63" s="792">
        <v>24</v>
      </c>
      <c r="B63" s="801" t="s">
        <v>45</v>
      </c>
      <c r="C63" s="816">
        <f>C225*CPI!$I$46</f>
        <v>5.7247041715377369</v>
      </c>
      <c r="D63" s="816">
        <f>D225*CPI!$I$50</f>
        <v>5.7095202141533372</v>
      </c>
      <c r="E63" s="816">
        <f>E225*CPI!$I$54</f>
        <v>5.8175500525450667</v>
      </c>
      <c r="F63" s="816">
        <f>F225*CPI!$I$58</f>
        <v>6.02</v>
      </c>
      <c r="G63" s="821"/>
      <c r="H63" s="824"/>
    </row>
    <row r="64" spans="1:8" s="791" customFormat="1" ht="12.95">
      <c r="A64" s="792">
        <v>25</v>
      </c>
      <c r="B64" s="802" t="s">
        <v>295</v>
      </c>
      <c r="C64" s="816">
        <f>C226*CPI!$I$46</f>
        <v>11.999238687234467</v>
      </c>
      <c r="D64" s="816">
        <f>D226*CPI!$I$50</f>
        <v>11.657802182716724</v>
      </c>
      <c r="E64" s="816">
        <f>E226*CPI!$I$54</f>
        <v>11.298884427797686</v>
      </c>
      <c r="F64" s="816">
        <f>F226*CPI!$I$58</f>
        <v>13.82</v>
      </c>
      <c r="G64" s="821"/>
      <c r="H64" s="824"/>
    </row>
    <row r="65" spans="1:8" s="791" customFormat="1" ht="12.95">
      <c r="A65" s="792">
        <v>26</v>
      </c>
      <c r="B65" s="803" t="s">
        <v>47</v>
      </c>
      <c r="C65" s="816">
        <f>C227*CPI!$I$46</f>
        <v>7.7338739615849565</v>
      </c>
      <c r="D65" s="816">
        <f>D227*CPI!$I$50</f>
        <v>7.3306807466045392</v>
      </c>
      <c r="E65" s="816">
        <f>E227*CPI!$I$54</f>
        <v>7.4169378760120903</v>
      </c>
      <c r="F65" s="816">
        <f>F227*CPI!$I$58</f>
        <v>7.6634857093834663</v>
      </c>
      <c r="G65" s="821"/>
      <c r="H65" s="824"/>
    </row>
    <row r="66" spans="1:8" s="791" customFormat="1" ht="12.95">
      <c r="A66" s="792">
        <v>35</v>
      </c>
      <c r="B66" s="802" t="s">
        <v>48</v>
      </c>
      <c r="C66" s="816">
        <f>C228*CPI!$I$46</f>
        <v>5.9187619400644405</v>
      </c>
      <c r="D66" s="816">
        <f>D228*CPI!$I$50</f>
        <v>6.0105676436268771</v>
      </c>
      <c r="E66" s="816">
        <f>E228*CPI!$I$54</f>
        <v>5.9499986526905762</v>
      </c>
      <c r="F66" s="816">
        <f>F228*CPI!$I$58</f>
        <v>6.45</v>
      </c>
      <c r="G66" s="821"/>
      <c r="H66" s="824"/>
    </row>
    <row r="67" spans="1:8" s="791" customFormat="1" ht="12.95">
      <c r="A67" s="792">
        <v>36</v>
      </c>
      <c r="B67" s="800" t="s">
        <v>176</v>
      </c>
      <c r="C67" s="816">
        <f>C229*CPI!$I$46</f>
        <v>6.4682850357355575</v>
      </c>
      <c r="D67" s="816">
        <f>D229*CPI!$I$50</f>
        <v>6.4919354762960868</v>
      </c>
      <c r="E67" s="816">
        <f>E229*CPI!$I$54</f>
        <v>8.1363449898800102</v>
      </c>
      <c r="F67" s="816">
        <f>F229*CPI!$I$58</f>
        <v>8.2893767126266802</v>
      </c>
      <c r="G67" s="821"/>
      <c r="H67" s="824"/>
    </row>
    <row r="68" spans="1:8" s="791" customFormat="1" ht="12.95">
      <c r="A68" s="792">
        <v>39</v>
      </c>
      <c r="B68" s="802" t="s">
        <v>124</v>
      </c>
      <c r="C68" s="816">
        <f>C230*CPI!$I$46</f>
        <v>7.6329388953836501</v>
      </c>
      <c r="D68" s="816">
        <f>D230*CPI!$I$50</f>
        <v>8.1490424874734</v>
      </c>
      <c r="E68" s="816">
        <f>E230*CPI!$I$54</f>
        <v>8.2729433321656636</v>
      </c>
      <c r="F68" s="816">
        <f>F230*CPI!$I$58</f>
        <v>8.65</v>
      </c>
      <c r="G68" s="821"/>
      <c r="H68" s="824"/>
    </row>
    <row r="69" spans="1:8" s="791" customFormat="1" ht="12.95">
      <c r="A69" s="792">
        <v>40</v>
      </c>
      <c r="B69" s="802" t="s">
        <v>125</v>
      </c>
      <c r="C69" s="816">
        <f>C231*CPI!$I$46</f>
        <v>6.8028028855749758</v>
      </c>
      <c r="D69" s="816">
        <f>D231*CPI!$I$50</f>
        <v>7.2355192532088655</v>
      </c>
      <c r="E69" s="816">
        <f>E231*CPI!$I$54</f>
        <v>9.8827032416264693</v>
      </c>
      <c r="F69" s="816">
        <f>F231*CPI!$I$58</f>
        <v>9.9199999999999982</v>
      </c>
      <c r="G69" s="821"/>
      <c r="H69" s="824"/>
    </row>
    <row r="70" spans="1:8" s="791" customFormat="1" ht="12.95">
      <c r="A70" s="792">
        <v>41</v>
      </c>
      <c r="B70" s="800" t="s">
        <v>52</v>
      </c>
      <c r="C70" s="816">
        <f>C232*CPI!$I$46</f>
        <v>6.5886669608809418</v>
      </c>
      <c r="D70" s="816">
        <f>D232*CPI!$I$50</f>
        <v>6.5518223455711881</v>
      </c>
      <c r="E70" s="816">
        <f>E232*CPI!$I$54</f>
        <v>7.2134117349171625</v>
      </c>
      <c r="F70" s="816">
        <f>F232*CPI!$I$58</f>
        <v>7.4175997637398554</v>
      </c>
      <c r="G70" s="821"/>
      <c r="H70" s="824"/>
    </row>
    <row r="71" spans="1:8" s="791" customFormat="1" ht="12.95">
      <c r="A71" s="792">
        <v>46</v>
      </c>
      <c r="B71" s="802" t="s">
        <v>53</v>
      </c>
      <c r="C71" s="816">
        <f>C233*CPI!$I$46</f>
        <v>6.5146651037307519</v>
      </c>
      <c r="D71" s="816">
        <f>D233*CPI!$I$50</f>
        <v>7.3958205071405043</v>
      </c>
      <c r="E71" s="816">
        <f>E233*CPI!$I$54</f>
        <v>7.5348109179237568</v>
      </c>
      <c r="F71" s="816">
        <f>F233*CPI!$I$58</f>
        <v>7.8135537790146579</v>
      </c>
      <c r="G71" s="821"/>
      <c r="H71" s="824"/>
    </row>
    <row r="72" spans="1:8" s="791" customFormat="1" ht="12.95">
      <c r="A72" s="792">
        <v>48</v>
      </c>
      <c r="B72" s="802" t="s">
        <v>54</v>
      </c>
      <c r="C72" s="816">
        <f>C234*CPI!$I$46</f>
        <v>4.5172336118160308</v>
      </c>
      <c r="D72" s="816">
        <f>D234*CPI!$I$50</f>
        <v>4.5676161713226708</v>
      </c>
      <c r="E72" s="816">
        <f>E234*CPI!$I$54</f>
        <v>4.7070194820942577</v>
      </c>
      <c r="F72" s="816">
        <f>F234*CPI!$I$58</f>
        <v>4.83</v>
      </c>
      <c r="G72" s="821"/>
      <c r="H72" s="824"/>
    </row>
    <row r="73" spans="1:8" s="791" customFormat="1" ht="12.95">
      <c r="A73" s="792">
        <v>49</v>
      </c>
      <c r="B73" s="802" t="s">
        <v>55</v>
      </c>
      <c r="C73" s="816">
        <f>C235*CPI!$I$46</f>
        <v>6.6626500527501351</v>
      </c>
      <c r="D73" s="816">
        <f>D235*CPI!$I$50</f>
        <v>6.4154245315395677</v>
      </c>
      <c r="E73" s="816">
        <f>E235*CPI!$I$54</f>
        <v>6.6020532995607768</v>
      </c>
      <c r="F73" s="816">
        <f>F235*CPI!$I$58</f>
        <v>6.8799999999999981</v>
      </c>
      <c r="G73" s="821"/>
      <c r="H73" s="824"/>
    </row>
    <row r="74" spans="1:8" s="791" customFormat="1" ht="12.95">
      <c r="A74" s="792">
        <v>50</v>
      </c>
      <c r="B74" s="800" t="s">
        <v>214</v>
      </c>
      <c r="C74" s="816">
        <f>C236*CPI!$I$46</f>
        <v>6.2960964899774741</v>
      </c>
      <c r="D74" s="816">
        <f>D236*CPI!$I$50</f>
        <v>5.8017925097394603</v>
      </c>
      <c r="E74" s="816">
        <f>E236*CPI!$I$54</f>
        <v>6.0620705451213928</v>
      </c>
      <c r="F74" s="816">
        <f>F236*CPI!$I$58</f>
        <v>6.2197515019524126</v>
      </c>
      <c r="G74" s="821"/>
      <c r="H74" s="824"/>
    </row>
    <row r="75" spans="1:8" s="791" customFormat="1" ht="12.95">
      <c r="A75" s="792">
        <v>53</v>
      </c>
      <c r="B75" s="802" t="s">
        <v>57</v>
      </c>
      <c r="C75" s="816">
        <f>C237*CPI!$I$46</f>
        <v>8.5493228023153023</v>
      </c>
      <c r="D75" s="816">
        <f>D237*CPI!$I$50</f>
        <v>8.5642803212300063</v>
      </c>
      <c r="E75" s="816">
        <f>E237*CPI!$I$54</f>
        <v>8.8231144404623958</v>
      </c>
      <c r="F75" s="816">
        <f>F237*CPI!$I$58</f>
        <v>9.3000000000000007</v>
      </c>
      <c r="G75" s="821"/>
      <c r="H75" s="824"/>
    </row>
    <row r="76" spans="1:8" s="791" customFormat="1" ht="12.95">
      <c r="A76" s="783"/>
      <c r="B76" s="798" t="s">
        <v>221</v>
      </c>
      <c r="C76" s="794"/>
      <c r="D76" s="794"/>
      <c r="E76" s="794"/>
      <c r="F76" s="794"/>
      <c r="G76" s="822"/>
      <c r="H76" s="823"/>
    </row>
    <row r="77" spans="1:8" s="791" customFormat="1" ht="12.95">
      <c r="A77" s="792"/>
      <c r="B77" s="804" t="s">
        <v>28</v>
      </c>
      <c r="C77" s="796">
        <v>2008</v>
      </c>
      <c r="D77" s="796">
        <v>2009</v>
      </c>
      <c r="E77" s="796">
        <v>2010</v>
      </c>
      <c r="F77" s="817">
        <v>2011</v>
      </c>
      <c r="G77" s="820"/>
      <c r="H77" s="818"/>
    </row>
    <row r="78" spans="1:8" s="791" customFormat="1" ht="12.95">
      <c r="A78" s="792">
        <v>1</v>
      </c>
      <c r="B78" s="800" t="s">
        <v>112</v>
      </c>
      <c r="C78" s="816">
        <f>C240*CPI!$I$46</f>
        <v>7.0831085512246581</v>
      </c>
      <c r="D78" s="816">
        <f>D240*CPI!$I$50</f>
        <v>7.0279003363305632</v>
      </c>
      <c r="E78" s="816">
        <f>E240*CPI!$I$54</f>
        <v>6.8567621459944483</v>
      </c>
      <c r="F78" s="816">
        <f>F240*CPI!$I$58</f>
        <v>6.9700000000000006</v>
      </c>
      <c r="G78" s="821"/>
      <c r="H78" s="824"/>
    </row>
    <row r="79" spans="1:8" s="791" customFormat="1" ht="12.95">
      <c r="A79" s="792">
        <v>2</v>
      </c>
      <c r="B79" s="800" t="s">
        <v>174</v>
      </c>
      <c r="C79" s="816">
        <f>C241*CPI!$I$46</f>
        <v>7.4629491517504611</v>
      </c>
      <c r="D79" s="816">
        <f>D241*CPI!$I$50</f>
        <v>7.7075081439167148</v>
      </c>
      <c r="E79" s="816">
        <f>E241*CPI!$I$54</f>
        <v>7.4615890680687835</v>
      </c>
      <c r="F79" s="816">
        <f>F241*CPI!$I$58</f>
        <v>8.3629039570450452</v>
      </c>
      <c r="G79" s="821"/>
      <c r="H79" s="824"/>
    </row>
    <row r="80" spans="1:8" s="791" customFormat="1" ht="12.95">
      <c r="A80" s="792">
        <v>6</v>
      </c>
      <c r="B80" s="800" t="s">
        <v>31</v>
      </c>
      <c r="C80" s="816">
        <f>C242*CPI!$I$46</f>
        <v>12.991089504148727</v>
      </c>
      <c r="D80" s="816">
        <f>D242*CPI!$I$50</f>
        <v>13.277229734367488</v>
      </c>
      <c r="E80" s="816">
        <f>E242*CPI!$I$54</f>
        <v>13.764466061275632</v>
      </c>
      <c r="F80" s="816">
        <f>F242*CPI!$I$58</f>
        <v>14.119999999999997</v>
      </c>
      <c r="G80" s="821"/>
      <c r="H80" s="824"/>
    </row>
    <row r="81" spans="1:8" s="791" customFormat="1" ht="12.95">
      <c r="A81" s="792">
        <v>7</v>
      </c>
      <c r="B81" s="801" t="s">
        <v>32</v>
      </c>
      <c r="C81" s="816">
        <f>C243*CPI!$I$46</f>
        <v>9.605859542071796</v>
      </c>
      <c r="D81" s="816">
        <f>D243*CPI!$I$50</f>
        <v>10.536660031573886</v>
      </c>
      <c r="E81" s="816">
        <f>E243*CPI!$I$54</f>
        <v>11.736983643663601</v>
      </c>
      <c r="F81" s="816">
        <f>F243*CPI!$I$58</f>
        <v>13.03</v>
      </c>
      <c r="G81" s="821"/>
      <c r="H81" s="824"/>
    </row>
    <row r="82" spans="1:8" s="791" customFormat="1" ht="12.95">
      <c r="A82" s="792">
        <v>8</v>
      </c>
      <c r="B82" s="800" t="s">
        <v>33</v>
      </c>
      <c r="C82" s="816">
        <f>C244*CPI!$I$46</f>
        <v>8.6032277380171625</v>
      </c>
      <c r="D82" s="816">
        <f>D244*CPI!$I$50</f>
        <v>8.6680897796691578</v>
      </c>
      <c r="E82" s="816">
        <f>E244*CPI!$I$54</f>
        <v>8.9657513944652525</v>
      </c>
      <c r="F82" s="816">
        <f>F244*CPI!$I$58</f>
        <v>9.6499999999999986</v>
      </c>
      <c r="G82" s="821"/>
      <c r="H82" s="824"/>
    </row>
    <row r="83" spans="1:8" s="791" customFormat="1" ht="12.95">
      <c r="A83" s="792">
        <v>9</v>
      </c>
      <c r="B83" s="800" t="s">
        <v>34</v>
      </c>
      <c r="C83" s="816">
        <f>C245*CPI!$I$46</f>
        <v>11.481751304496592</v>
      </c>
      <c r="D83" s="816">
        <f>D245*CPI!$I$50</f>
        <v>11.886182991282856</v>
      </c>
      <c r="E83" s="816">
        <f>E245*CPI!$I$54</f>
        <v>12.175082859529519</v>
      </c>
      <c r="F83" s="816">
        <f>F245*CPI!$I$58</f>
        <v>13</v>
      </c>
      <c r="G83" s="821"/>
      <c r="H83" s="824"/>
    </row>
    <row r="84" spans="1:8" s="791" customFormat="1" ht="12.95">
      <c r="A84" s="792">
        <v>12</v>
      </c>
      <c r="B84" s="802" t="s">
        <v>35</v>
      </c>
      <c r="C84" s="816">
        <f>C246*CPI!$I$46</f>
        <v>7.7838727153488616</v>
      </c>
      <c r="D84" s="816">
        <f>D246*CPI!$I$50</f>
        <v>7.4327572242432538</v>
      </c>
      <c r="E84" s="816">
        <f>E246*CPI!$I$54</f>
        <v>7.7431489315836268</v>
      </c>
      <c r="F84" s="816">
        <f>F246*CPI!$I$58</f>
        <v>8.1000000000000014</v>
      </c>
      <c r="G84" s="821"/>
      <c r="H84" s="824"/>
    </row>
    <row r="85" spans="1:8" s="791" customFormat="1" ht="12.95">
      <c r="A85" s="792">
        <v>13</v>
      </c>
      <c r="B85" s="802" t="s">
        <v>115</v>
      </c>
      <c r="C85" s="816">
        <f>C247*CPI!$I$46</f>
        <v>6.899831769838328</v>
      </c>
      <c r="D85" s="816">
        <f>D247*CPI!$I$50</f>
        <v>6.6438053401057022</v>
      </c>
      <c r="E85" s="816">
        <f>E247*CPI!$I$54</f>
        <v>6.5205464687020012</v>
      </c>
      <c r="F85" s="816">
        <f>F247*CPI!$I$58</f>
        <v>6.53</v>
      </c>
      <c r="G85" s="821"/>
      <c r="H85" s="824"/>
    </row>
    <row r="86" spans="1:8" s="791" customFormat="1" ht="12.95">
      <c r="A86" s="792">
        <v>14</v>
      </c>
      <c r="B86" s="802" t="s">
        <v>116</v>
      </c>
      <c r="C86" s="816">
        <f>C248*CPI!$I$46</f>
        <v>7.7299677796470014</v>
      </c>
      <c r="D86" s="816">
        <f>D248*CPI!$I$50</f>
        <v>7.7753284370924547</v>
      </c>
      <c r="E86" s="816">
        <f>E248*CPI!$I$54</f>
        <v>7.4069332542911788</v>
      </c>
      <c r="F86" s="816">
        <f>F248*CPI!$I$58</f>
        <v>7.98</v>
      </c>
      <c r="G86" s="821"/>
      <c r="H86" s="824"/>
    </row>
    <row r="87" spans="1:8" s="791" customFormat="1" ht="12.95">
      <c r="A87" s="792">
        <v>15</v>
      </c>
      <c r="B87" s="802" t="s">
        <v>38</v>
      </c>
      <c r="C87" s="816">
        <f>C249*CPI!$I$46</f>
        <v>10.780987140372387</v>
      </c>
      <c r="D87" s="816">
        <f>D249*CPI!$I$50</f>
        <v>11.045326377925727</v>
      </c>
      <c r="E87" s="816">
        <f>E249*CPI!$I$54</f>
        <v>10.942292042790545</v>
      </c>
      <c r="F87" s="816">
        <f>F249*CPI!$I$58</f>
        <v>11.36</v>
      </c>
      <c r="G87" s="821"/>
      <c r="H87" s="824"/>
    </row>
    <row r="88" spans="1:8" s="791" customFormat="1" ht="12.95">
      <c r="A88" s="792">
        <v>17</v>
      </c>
      <c r="B88" s="803" t="s">
        <v>39</v>
      </c>
      <c r="C88" s="816">
        <f>C250*CPI!$I$46</f>
        <v>6.6626500527501351</v>
      </c>
      <c r="D88" s="816">
        <f>D250*CPI!$I$50</f>
        <v>6.8907537069386731</v>
      </c>
      <c r="E88" s="816">
        <f>E250*CPI!$I$54</f>
        <v>6.7629418598528872</v>
      </c>
      <c r="F88" s="816">
        <f>F250*CPI!$I$58</f>
        <v>7.0500000000000007</v>
      </c>
      <c r="G88" s="821"/>
      <c r="H88" s="824"/>
    </row>
    <row r="89" spans="1:8" s="791" customFormat="1" ht="12.95">
      <c r="A89" s="792">
        <v>19</v>
      </c>
      <c r="B89" s="802" t="s">
        <v>40</v>
      </c>
      <c r="C89" s="816">
        <f>C251*CPI!$I$46</f>
        <v>9.4118017735450934</v>
      </c>
      <c r="D89" s="816">
        <f>D251*CPI!$I$50</f>
        <v>10.6819932733887</v>
      </c>
      <c r="E89" s="816">
        <f>E251*CPI!$I$54</f>
        <v>10.473627765352589</v>
      </c>
      <c r="F89" s="816">
        <f>F251*CPI!$I$58</f>
        <v>11.110000000000003</v>
      </c>
      <c r="G89" s="821"/>
      <c r="H89" s="824"/>
    </row>
    <row r="90" spans="1:8" s="791" customFormat="1" ht="12.95">
      <c r="A90" s="792">
        <v>20</v>
      </c>
      <c r="B90" s="802" t="s">
        <v>41</v>
      </c>
      <c r="C90" s="816">
        <f>C252*CPI!$I$46</f>
        <v>7.5035670496991811</v>
      </c>
      <c r="D90" s="816">
        <f>D252*CPI!$I$50</f>
        <v>7.9206616789072664</v>
      </c>
      <c r="E90" s="816">
        <f>E252*CPI!$I$54</f>
        <v>7.386556546576486</v>
      </c>
      <c r="F90" s="816">
        <f>F252*CPI!$I$58</f>
        <v>7.96</v>
      </c>
      <c r="G90" s="821"/>
      <c r="H90" s="824"/>
    </row>
    <row r="91" spans="1:8" s="791" customFormat="1" ht="12.95">
      <c r="A91" s="792">
        <v>21</v>
      </c>
      <c r="B91" s="802" t="s">
        <v>42</v>
      </c>
      <c r="C91" s="816">
        <f>C253*CPI!$I$46</f>
        <v>7.1477944740668926</v>
      </c>
      <c r="D91" s="816">
        <f>D253*CPI!$I$50</f>
        <v>7.4431381700871695</v>
      </c>
      <c r="E91" s="816">
        <f>E253*CPI!$I$54</f>
        <v>7.5291935005793418</v>
      </c>
      <c r="F91" s="816">
        <f>F253*CPI!$I$58</f>
        <v>7.76</v>
      </c>
      <c r="G91" s="821"/>
      <c r="H91" s="824"/>
    </row>
    <row r="92" spans="1:8" s="791" customFormat="1" ht="12.95">
      <c r="A92" s="792">
        <v>22</v>
      </c>
      <c r="B92" s="802" t="s">
        <v>43</v>
      </c>
      <c r="C92" s="816">
        <f>C254*CPI!$I$46</f>
        <v>7.1801374354880094</v>
      </c>
      <c r="D92" s="816">
        <f>D254*CPI!$I$50</f>
        <v>7.422376278399339</v>
      </c>
      <c r="E92" s="816">
        <f>E254*CPI!$I$54</f>
        <v>7.8857858855864817</v>
      </c>
      <c r="F92" s="816">
        <f>F254*CPI!$I$58</f>
        <v>8.6999999999999993</v>
      </c>
      <c r="G92" s="821"/>
      <c r="H92" s="824"/>
    </row>
    <row r="93" spans="1:8" s="791" customFormat="1" ht="12.95">
      <c r="A93" s="792">
        <v>23</v>
      </c>
      <c r="B93" s="802" t="s">
        <v>44</v>
      </c>
      <c r="C93" s="816">
        <f>C255*CPI!$I$46</f>
        <v>8.1396452909811519</v>
      </c>
      <c r="D93" s="816">
        <f>D255*CPI!$I$50</f>
        <v>8.5331374836982619</v>
      </c>
      <c r="E93" s="816">
        <f>E255*CPI!$I$54</f>
        <v>8.9861281021799453</v>
      </c>
      <c r="F93" s="816">
        <f>F255*CPI!$I$58</f>
        <v>9.3300000000000018</v>
      </c>
      <c r="G93" s="821"/>
      <c r="H93" s="824"/>
    </row>
    <row r="94" spans="1:8" s="791" customFormat="1" ht="12.95">
      <c r="A94" s="792">
        <v>24</v>
      </c>
      <c r="B94" s="801" t="s">
        <v>45</v>
      </c>
      <c r="C94" s="816">
        <f>C256*CPI!$I$46</f>
        <v>7.665281856804766</v>
      </c>
      <c r="D94" s="816">
        <f>D256*CPI!$I$50</f>
        <v>7.7545665454046242</v>
      </c>
      <c r="E94" s="816">
        <f>E256*CPI!$I$54</f>
        <v>8.0793646088760731</v>
      </c>
      <c r="F94" s="816">
        <f>F256*CPI!$I$58</f>
        <v>8.2099999999999991</v>
      </c>
      <c r="G94" s="821"/>
      <c r="H94" s="824"/>
    </row>
    <row r="95" spans="1:8" s="791" customFormat="1" ht="12.95">
      <c r="A95" s="792">
        <v>25</v>
      </c>
      <c r="B95" s="802" t="s">
        <v>295</v>
      </c>
      <c r="C95" s="816">
        <f>C257*CPI!$I$46</f>
        <v>13.605605771149953</v>
      </c>
      <c r="D95" s="816">
        <f>D257*CPI!$I$50</f>
        <v>14.003895943441551</v>
      </c>
      <c r="E95" s="816">
        <f>E257*CPI!$I$54</f>
        <v>13.509757214841958</v>
      </c>
      <c r="F95" s="816">
        <f>F257*CPI!$I$58</f>
        <v>15.63</v>
      </c>
      <c r="G95" s="821"/>
      <c r="H95" s="824"/>
    </row>
    <row r="96" spans="1:8" s="791" customFormat="1" ht="12.95">
      <c r="A96" s="792">
        <v>26</v>
      </c>
      <c r="B96" s="803" t="s">
        <v>47</v>
      </c>
      <c r="C96" s="816">
        <f>C258*CPI!$I$46</f>
        <v>9.3088451664916363</v>
      </c>
      <c r="D96" s="816">
        <f>D258*CPI!$I$50</f>
        <v>9.0806798593530971</v>
      </c>
      <c r="E96" s="816">
        <f>E258*CPI!$I$54</f>
        <v>9.1600664830454974</v>
      </c>
      <c r="F96" s="816">
        <f>F258*CPI!$I$58</f>
        <v>9.5823744176830292</v>
      </c>
      <c r="G96" s="821"/>
      <c r="H96" s="824"/>
    </row>
    <row r="97" spans="1:8" s="791" customFormat="1" ht="12.95">
      <c r="A97" s="792">
        <v>35</v>
      </c>
      <c r="B97" s="802" t="s">
        <v>48</v>
      </c>
      <c r="C97" s="816">
        <f>C259*CPI!$I$46</f>
        <v>7.9994924581563112</v>
      </c>
      <c r="D97" s="816">
        <f>D259*CPI!$I$50</f>
        <v>8.0140901915025022</v>
      </c>
      <c r="E97" s="816">
        <f>E259*CPI!$I$54</f>
        <v>8.3035083937377046</v>
      </c>
      <c r="F97" s="816">
        <f>F259*CPI!$I$58</f>
        <v>8.81</v>
      </c>
      <c r="G97" s="821"/>
      <c r="H97" s="824"/>
    </row>
    <row r="98" spans="1:8" s="791" customFormat="1" ht="12.95">
      <c r="A98" s="792">
        <v>36</v>
      </c>
      <c r="B98" s="800" t="s">
        <v>176</v>
      </c>
      <c r="C98" s="816">
        <f>C260*CPI!$I$46</f>
        <v>7.9252917130754961</v>
      </c>
      <c r="D98" s="816">
        <f>D260*CPI!$I$50</f>
        <v>8.1482750757907869</v>
      </c>
      <c r="E98" s="816">
        <f>E260*CPI!$I$54</f>
        <v>10.102325281361923</v>
      </c>
      <c r="F98" s="816">
        <f>F260*CPI!$I$58</f>
        <v>10.306607803053369</v>
      </c>
      <c r="G98" s="821"/>
      <c r="H98" s="824"/>
    </row>
    <row r="99" spans="1:8" s="791" customFormat="1" ht="12.95">
      <c r="A99" s="792">
        <v>39</v>
      </c>
      <c r="B99" s="802" t="s">
        <v>124</v>
      </c>
      <c r="C99" s="816">
        <f>C261*CPI!$I$46</f>
        <v>9.3471158507028598</v>
      </c>
      <c r="D99" s="816">
        <f>D261*CPI!$I$50</f>
        <v>9.9241842267828932</v>
      </c>
      <c r="E99" s="816">
        <f>E261*CPI!$I$54</f>
        <v>9.9438333647705512</v>
      </c>
      <c r="F99" s="816">
        <f>F261*CPI!$I$58</f>
        <v>10.32</v>
      </c>
      <c r="G99" s="821"/>
      <c r="H99" s="824"/>
    </row>
    <row r="100" spans="1:8" s="791" customFormat="1" ht="12.95">
      <c r="A100" s="792">
        <v>40</v>
      </c>
      <c r="B100" s="802" t="s">
        <v>125</v>
      </c>
      <c r="C100" s="816">
        <f>C262*CPI!$I$46</f>
        <v>9.314772889281743</v>
      </c>
      <c r="D100" s="816">
        <f>D262*CPI!$I$50</f>
        <v>9.7892319308119955</v>
      </c>
      <c r="E100" s="816">
        <f>E262*CPI!$I$54</f>
        <v>11.899997305381152</v>
      </c>
      <c r="F100" s="816">
        <f>F262*CPI!$I$58</f>
        <v>11.939999999999998</v>
      </c>
      <c r="G100" s="821"/>
      <c r="H100" s="824"/>
    </row>
    <row r="101" spans="1:8" s="791" customFormat="1" ht="12.95">
      <c r="A101" s="792">
        <v>41</v>
      </c>
      <c r="B101" s="800" t="s">
        <v>52</v>
      </c>
      <c r="C101" s="816">
        <f>C263*CPI!$I$46</f>
        <v>8.6063925044172294</v>
      </c>
      <c r="D101" s="816">
        <f>D263*CPI!$I$50</f>
        <v>8.6280770942089333</v>
      </c>
      <c r="E101" s="816">
        <f>E263*CPI!$I$54</f>
        <v>9.5071269761195811</v>
      </c>
      <c r="F101" s="816">
        <f>F263*CPI!$I$58</f>
        <v>9.7158665879132844</v>
      </c>
      <c r="G101" s="821"/>
      <c r="H101" s="824"/>
    </row>
    <row r="102" spans="1:8" s="791" customFormat="1" ht="12.95">
      <c r="A102" s="792">
        <v>46</v>
      </c>
      <c r="B102" s="802" t="s">
        <v>53</v>
      </c>
      <c r="C102" s="816">
        <f>C264*CPI!$I$46</f>
        <v>8.5749160316802726</v>
      </c>
      <c r="D102" s="816">
        <f>D264*CPI!$I$50</f>
        <v>9.6016703013368314</v>
      </c>
      <c r="E102" s="816">
        <f>E264*CPI!$I$54</f>
        <v>9.9159936613735269</v>
      </c>
      <c r="F102" s="816">
        <f>F264*CPI!$I$58</f>
        <v>10.280173917329552</v>
      </c>
      <c r="G102" s="821"/>
      <c r="H102" s="824"/>
    </row>
    <row r="103" spans="1:8" s="791" customFormat="1" ht="12.95">
      <c r="A103" s="792">
        <v>48</v>
      </c>
      <c r="B103" s="802" t="s">
        <v>54</v>
      </c>
      <c r="C103" s="816">
        <f>C265*CPI!$I$46</f>
        <v>5.6815802229762484</v>
      </c>
      <c r="D103" s="816">
        <f>D265*CPI!$I$50</f>
        <v>6.2700912897247569</v>
      </c>
      <c r="E103" s="816">
        <f>E265*CPI!$I$54</f>
        <v>6.4390396378432273</v>
      </c>
      <c r="F103" s="816">
        <f>F265*CPI!$I$58</f>
        <v>6.61</v>
      </c>
      <c r="G103" s="821"/>
      <c r="H103" s="824"/>
    </row>
    <row r="104" spans="1:8" s="791" customFormat="1" ht="12.95">
      <c r="A104" s="792">
        <v>49</v>
      </c>
      <c r="B104" s="802" t="s">
        <v>55</v>
      </c>
      <c r="C104" s="816">
        <f>C266*CPI!$I$46</f>
        <v>8.4307319437712049</v>
      </c>
      <c r="D104" s="816">
        <f>D266*CPI!$I$50</f>
        <v>8.5850422129178359</v>
      </c>
      <c r="E104" s="816">
        <f>E266*CPI!$I$54</f>
        <v>8.8944329174638241</v>
      </c>
      <c r="F104" s="816">
        <f>F266*CPI!$I$58</f>
        <v>9.0399999999999974</v>
      </c>
      <c r="G104" s="821"/>
      <c r="H104" s="824"/>
    </row>
    <row r="105" spans="1:8" s="791" customFormat="1" ht="12.95">
      <c r="A105" s="792">
        <v>50</v>
      </c>
      <c r="B105" s="800" t="s">
        <v>214</v>
      </c>
      <c r="C105" s="816">
        <f>C267*CPI!$I$46</f>
        <v>8.5061988537538138</v>
      </c>
      <c r="D105" s="816">
        <f>D267*CPI!$I$50</f>
        <v>8.28754728227001</v>
      </c>
      <c r="E105" s="816">
        <f>E267*CPI!$I$54</f>
        <v>8.6601007787448463</v>
      </c>
      <c r="F105" s="816">
        <f>F267*CPI!$I$58</f>
        <v>8.94</v>
      </c>
      <c r="G105" s="821"/>
      <c r="H105" s="824"/>
    </row>
    <row r="106" spans="1:8" s="791" customFormat="1" ht="12.95">
      <c r="A106" s="792">
        <v>53</v>
      </c>
      <c r="B106" s="802" t="s">
        <v>57</v>
      </c>
      <c r="C106" s="816">
        <f>C268*CPI!$I$46</f>
        <v>10.047880014827065</v>
      </c>
      <c r="D106" s="816">
        <f>D268*CPI!$I$50</f>
        <v>10.007231793534213</v>
      </c>
      <c r="E106" s="816">
        <f>E268*CPI!$I$54</f>
        <v>10.239295626633613</v>
      </c>
      <c r="F106" s="816">
        <f>F268*CPI!$I$58</f>
        <v>10.72</v>
      </c>
      <c r="G106" s="821"/>
      <c r="H106" s="824"/>
    </row>
    <row r="107" spans="1:8" s="791" customFormat="1" ht="12.95">
      <c r="A107" s="783"/>
      <c r="B107" s="798" t="s">
        <v>223</v>
      </c>
      <c r="C107" s="794"/>
      <c r="D107" s="794"/>
      <c r="E107" s="794"/>
      <c r="F107" s="794"/>
      <c r="G107" s="822"/>
      <c r="H107" s="823"/>
    </row>
    <row r="108" spans="1:8" s="791" customFormat="1" ht="12.95">
      <c r="A108" s="792"/>
      <c r="B108" s="805" t="s">
        <v>28</v>
      </c>
      <c r="C108" s="796">
        <v>2008</v>
      </c>
      <c r="D108" s="796">
        <v>2009</v>
      </c>
      <c r="E108" s="796">
        <v>2010</v>
      </c>
      <c r="F108" s="817">
        <v>2011</v>
      </c>
      <c r="G108" s="820"/>
      <c r="H108" s="818"/>
    </row>
    <row r="109" spans="1:8" s="791" customFormat="1" ht="12.95">
      <c r="A109" s="792">
        <v>1</v>
      </c>
      <c r="B109" s="800" t="s">
        <v>112</v>
      </c>
      <c r="C109" s="816">
        <f>C271*CPI!$I$46</f>
        <v>2.5982179008297455</v>
      </c>
      <c r="D109" s="816">
        <f>D271*CPI!$I$50</f>
        <v>2.5018079483835534</v>
      </c>
      <c r="E109" s="816">
        <f>E271*CPI!$I$54</f>
        <v>2.6999137721969224</v>
      </c>
      <c r="F109" s="816">
        <f>F271*CPI!$I$58</f>
        <v>1.4</v>
      </c>
      <c r="G109" s="821"/>
      <c r="H109" s="824"/>
    </row>
    <row r="110" spans="1:8" s="791" customFormat="1" ht="12.95">
      <c r="A110" s="792">
        <v>2</v>
      </c>
      <c r="B110" s="800" t="s">
        <v>174</v>
      </c>
      <c r="C110" s="816">
        <f>C272*CPI!$I$46</f>
        <v>1.6944328734659713</v>
      </c>
      <c r="D110" s="816">
        <f>D272*CPI!$I$50</f>
        <v>2.1344042639770877</v>
      </c>
      <c r="E110" s="816">
        <f>E272*CPI!$I$54</f>
        <v>1.9669337891139209</v>
      </c>
      <c r="F110" s="816">
        <f>F272*CPI!$I$58</f>
        <v>1.8700344818967853</v>
      </c>
      <c r="G110" s="821"/>
      <c r="H110" s="824"/>
    </row>
    <row r="111" spans="1:8" s="791" customFormat="1" ht="12.95">
      <c r="A111" s="792">
        <v>6</v>
      </c>
      <c r="B111" s="800" t="s">
        <v>31</v>
      </c>
      <c r="C111" s="816">
        <f>C273*CPI!$I$46</f>
        <v>3.0294573864446406</v>
      </c>
      <c r="D111" s="816">
        <f>D273*CPI!$I$50</f>
        <v>2.3357128148809108</v>
      </c>
      <c r="E111" s="816">
        <f>E273*CPI!$I$54</f>
        <v>2.3433213871897816</v>
      </c>
      <c r="F111" s="816">
        <f>F273*CPI!$I$58</f>
        <v>2.5899999999999994</v>
      </c>
      <c r="G111" s="821"/>
      <c r="H111" s="824"/>
    </row>
    <row r="112" spans="1:8" s="791" customFormat="1" ht="12.95">
      <c r="A112" s="792">
        <v>7</v>
      </c>
      <c r="B112" s="801" t="s">
        <v>32</v>
      </c>
      <c r="C112" s="816">
        <f>C274*CPI!$I$46</f>
        <v>1.7357389295999541</v>
      </c>
      <c r="D112" s="816">
        <f>D274*CPI!$I$50</f>
        <v>2.2941890315052502</v>
      </c>
      <c r="E112" s="816">
        <f>E274*CPI!$I$54</f>
        <v>2.5878418797661067</v>
      </c>
      <c r="F112" s="816">
        <f>F274*CPI!$I$58</f>
        <v>2.93</v>
      </c>
      <c r="G112" s="821"/>
      <c r="H112" s="824"/>
    </row>
    <row r="113" spans="1:8" s="791" customFormat="1" ht="12.95">
      <c r="A113" s="792">
        <v>8</v>
      </c>
      <c r="B113" s="800" t="s">
        <v>33</v>
      </c>
      <c r="C113" s="816">
        <f>C275*CPI!$I$46</f>
        <v>3.5146018077613972</v>
      </c>
      <c r="D113" s="816">
        <f>D275*CPI!$I$50</f>
        <v>3.5295215869311538</v>
      </c>
      <c r="E113" s="816">
        <f>E275*CPI!$I$54</f>
        <v>3.6779957425022234</v>
      </c>
      <c r="F113" s="816">
        <f>F275*CPI!$I$58</f>
        <v>2.0400000000000005</v>
      </c>
      <c r="G113" s="821"/>
      <c r="H113" s="824"/>
    </row>
    <row r="114" spans="1:8" s="791" customFormat="1" ht="12.95">
      <c r="A114" s="792">
        <v>9</v>
      </c>
      <c r="B114" s="800" t="s">
        <v>34</v>
      </c>
      <c r="C114" s="816">
        <f>C276*CPI!$I$46</f>
        <v>2.8569615921986822</v>
      </c>
      <c r="D114" s="816">
        <f>D276*CPI!$I$50</f>
        <v>2.7820934861692628</v>
      </c>
      <c r="E114" s="816">
        <f>E276*CPI!$I$54</f>
        <v>2.7916089569130444</v>
      </c>
      <c r="F114" s="816">
        <f>F276*CPI!$I$58</f>
        <v>2.75</v>
      </c>
      <c r="G114" s="821"/>
      <c r="H114" s="824"/>
    </row>
    <row r="115" spans="1:8" s="791" customFormat="1" ht="12.95">
      <c r="A115" s="792">
        <v>12</v>
      </c>
      <c r="B115" s="802" t="s">
        <v>35</v>
      </c>
      <c r="C115" s="816">
        <f>C277*CPI!$I$46</f>
        <v>2.102292492372615</v>
      </c>
      <c r="D115" s="816">
        <f>D277*CPI!$I$50</f>
        <v>1.8062845768412379</v>
      </c>
      <c r="E115" s="816">
        <f>E277*CPI!$I$54</f>
        <v>1.9052221713238664</v>
      </c>
      <c r="F115" s="816">
        <f>F277*CPI!$I$58</f>
        <v>1.9300000000000004</v>
      </c>
      <c r="G115" s="821"/>
      <c r="H115" s="824"/>
    </row>
    <row r="116" spans="1:8" s="791" customFormat="1" ht="12.95">
      <c r="A116" s="792">
        <v>13</v>
      </c>
      <c r="B116" s="802" t="s">
        <v>115</v>
      </c>
      <c r="C116" s="816">
        <f>C278*CPI!$I$46</f>
        <v>1.6063670839154855</v>
      </c>
      <c r="D116" s="816">
        <f>D278*CPI!$I$50</f>
        <v>1.5467609307433587</v>
      </c>
      <c r="E116" s="816">
        <f>E278*CPI!$I$54</f>
        <v>1.1003422165934629</v>
      </c>
      <c r="F116" s="816">
        <f>F278*CPI!$I$58</f>
        <v>1.0999999999999999</v>
      </c>
      <c r="G116" s="821"/>
      <c r="H116" s="824"/>
    </row>
    <row r="117" spans="1:8" s="791" customFormat="1" ht="12.95">
      <c r="A117" s="792">
        <v>14</v>
      </c>
      <c r="B117" s="802" t="s">
        <v>116</v>
      </c>
      <c r="C117" s="816">
        <f>C279*CPI!$I$46</f>
        <v>1.7788628781614437</v>
      </c>
      <c r="D117" s="816">
        <f>D279*CPI!$I$50</f>
        <v>1.8685702519047287</v>
      </c>
      <c r="E117" s="816">
        <f>E279*CPI!$I$54</f>
        <v>1.7931502788930502</v>
      </c>
      <c r="F117" s="816">
        <f>F279*CPI!$I$58</f>
        <v>1.94</v>
      </c>
      <c r="G117" s="821"/>
      <c r="H117" s="824"/>
    </row>
    <row r="118" spans="1:8" s="791" customFormat="1" ht="12.95">
      <c r="A118" s="792">
        <v>15</v>
      </c>
      <c r="B118" s="802" t="s">
        <v>38</v>
      </c>
      <c r="C118" s="816">
        <f>C280*CPI!$I$46</f>
        <v>2.3071312480396911</v>
      </c>
      <c r="D118" s="816">
        <f>D280*CPI!$I$50</f>
        <v>2.5433317317592139</v>
      </c>
      <c r="E118" s="816">
        <f>E280*CPI!$I$54</f>
        <v>2.3331330333324347</v>
      </c>
      <c r="F118" s="816">
        <f>F280*CPI!$I$58</f>
        <v>2.2700000000000005</v>
      </c>
      <c r="G118" s="821"/>
      <c r="H118" s="824"/>
    </row>
    <row r="119" spans="1:8" s="791" customFormat="1" ht="12.95">
      <c r="A119" s="792">
        <v>17</v>
      </c>
      <c r="B119" s="803" t="s">
        <v>39</v>
      </c>
      <c r="C119" s="816">
        <f>C281*CPI!$I$46</f>
        <v>2.3610361837415526</v>
      </c>
      <c r="D119" s="816">
        <f>D281*CPI!$I$50</f>
        <v>2.2100435074635869</v>
      </c>
      <c r="E119" s="816">
        <f>E281*CPI!$I$54</f>
        <v>2.1673019584210964</v>
      </c>
      <c r="F119" s="816">
        <f>F281*CPI!$I$58</f>
        <v>2.304753987005316</v>
      </c>
      <c r="G119" s="821"/>
      <c r="H119" s="824"/>
    </row>
    <row r="120" spans="1:8" s="791" customFormat="1" ht="12.95">
      <c r="A120" s="792">
        <v>19</v>
      </c>
      <c r="B120" s="802" t="s">
        <v>40</v>
      </c>
      <c r="C120" s="816">
        <f>C282*CPI!$I$46</f>
        <v>1.5416811610732513</v>
      </c>
      <c r="D120" s="816">
        <f>D282*CPI!$I$50</f>
        <v>1.8062845768412377</v>
      </c>
      <c r="E120" s="816">
        <f>E282*CPI!$I$54</f>
        <v>1.5282530786020314</v>
      </c>
      <c r="F120" s="816">
        <f>F282*CPI!$I$58</f>
        <v>1.72</v>
      </c>
      <c r="G120" s="821"/>
      <c r="H120" s="824"/>
    </row>
    <row r="121" spans="1:8" s="791" customFormat="1" ht="12.95">
      <c r="A121" s="792">
        <v>20</v>
      </c>
      <c r="B121" s="802" t="s">
        <v>41</v>
      </c>
      <c r="C121" s="816">
        <f>C283*CPI!$I$46</f>
        <v>1.4769952382310172</v>
      </c>
      <c r="D121" s="816">
        <f>D283*CPI!$I$50</f>
        <v>1.7647607934655769</v>
      </c>
      <c r="E121" s="816">
        <f>E283*CPI!$I$54</f>
        <v>1.6810783864622345</v>
      </c>
      <c r="F121" s="816">
        <f>F283*CPI!$I$58</f>
        <v>1.6500000000000001</v>
      </c>
      <c r="G121" s="821"/>
      <c r="H121" s="824"/>
    </row>
    <row r="122" spans="1:8" s="791" customFormat="1" ht="12.95">
      <c r="A122" s="792">
        <v>21</v>
      </c>
      <c r="B122" s="802" t="s">
        <v>42</v>
      </c>
      <c r="C122" s="816">
        <f>C284*CPI!$I$46</f>
        <v>1.4985572125117617</v>
      </c>
      <c r="D122" s="816">
        <f>D284*CPI!$I$50</f>
        <v>1.889332143592559</v>
      </c>
      <c r="E122" s="816">
        <f>E284*CPI!$I$54</f>
        <v>2.0784241868987627</v>
      </c>
      <c r="F122" s="816">
        <f>F284*CPI!$I$58</f>
        <v>2.08</v>
      </c>
      <c r="G122" s="821"/>
      <c r="H122" s="824"/>
    </row>
    <row r="123" spans="1:8" s="791" customFormat="1" ht="12.95">
      <c r="A123" s="792">
        <v>22</v>
      </c>
      <c r="B123" s="802" t="s">
        <v>43</v>
      </c>
      <c r="C123" s="816">
        <f>C285*CPI!$I$46</f>
        <v>1.8219868267229333</v>
      </c>
      <c r="D123" s="816">
        <f>D285*CPI!$I$50</f>
        <v>1.8166655226851529</v>
      </c>
      <c r="E123" s="816">
        <f>E285*CPI!$I$54</f>
        <v>1.8950338174665191</v>
      </c>
      <c r="F123" s="816">
        <f>F285*CPI!$I$58</f>
        <v>2.54</v>
      </c>
      <c r="G123" s="821"/>
      <c r="H123" s="824"/>
    </row>
    <row r="124" spans="1:8" s="791" customFormat="1" ht="12.95">
      <c r="A124" s="792">
        <v>23</v>
      </c>
      <c r="B124" s="802" t="s">
        <v>44</v>
      </c>
      <c r="C124" s="816">
        <f>C286*CPI!$I$46</f>
        <v>2.0483875566707535</v>
      </c>
      <c r="D124" s="816">
        <f>D286*CPI!$I$50</f>
        <v>2.1073320063147771</v>
      </c>
      <c r="E124" s="816">
        <f>E286*CPI!$I$54</f>
        <v>2.0478591253267222</v>
      </c>
      <c r="F124" s="816">
        <f>F286*CPI!$I$58</f>
        <v>2.0099999999999998</v>
      </c>
      <c r="G124" s="821"/>
      <c r="H124" s="824"/>
    </row>
    <row r="125" spans="1:8" s="791" customFormat="1" ht="12.95">
      <c r="A125" s="792">
        <v>24</v>
      </c>
      <c r="B125" s="801" t="s">
        <v>45</v>
      </c>
      <c r="C125" s="816">
        <f>C287*CPI!$I$46</f>
        <v>1.9405776852670296</v>
      </c>
      <c r="D125" s="816">
        <f>D287*CPI!$I$50</f>
        <v>2.0450463312512865</v>
      </c>
      <c r="E125" s="816">
        <f>E287*CPI!$I$54</f>
        <v>2.2618145563310073</v>
      </c>
      <c r="F125" s="816">
        <f>F287*CPI!$I$58</f>
        <v>2.19</v>
      </c>
      <c r="G125" s="821"/>
      <c r="H125" s="824"/>
    </row>
    <row r="126" spans="1:8" s="791" customFormat="1" ht="12.95">
      <c r="A126" s="792">
        <v>25</v>
      </c>
      <c r="B126" s="802" t="s">
        <v>295</v>
      </c>
      <c r="C126" s="816">
        <f>C288*CPI!$I$46</f>
        <v>1.6063670839154855</v>
      </c>
      <c r="D126" s="816">
        <f>D288*CPI!$I$50</f>
        <v>2.3460937607248256</v>
      </c>
      <c r="E126" s="816">
        <f>E288*CPI!$I$54</f>
        <v>2.2108727870442721</v>
      </c>
      <c r="F126" s="816">
        <f>F288*CPI!$I$58</f>
        <v>1.81</v>
      </c>
      <c r="G126" s="821"/>
      <c r="H126" s="824"/>
    </row>
    <row r="127" spans="1:8" s="791" customFormat="1" ht="12.95">
      <c r="A127" s="792">
        <v>26</v>
      </c>
      <c r="B127" s="803" t="s">
        <v>47</v>
      </c>
      <c r="C127" s="816">
        <f>C289*CPI!$I$46</f>
        <v>1.5749712049066802</v>
      </c>
      <c r="D127" s="816">
        <f>D289*CPI!$I$50</f>
        <v>1.7499991127485592</v>
      </c>
      <c r="E127" s="816">
        <f>E289*CPI!$I$54</f>
        <v>1.7431286070334071</v>
      </c>
      <c r="F127" s="816">
        <f>F289*CPI!$I$58</f>
        <v>1.9188887082995623</v>
      </c>
      <c r="G127" s="821"/>
      <c r="H127" s="824"/>
    </row>
    <row r="128" spans="1:8" s="791" customFormat="1" ht="12.95">
      <c r="A128" s="792">
        <v>35</v>
      </c>
      <c r="B128" s="802" t="s">
        <v>48</v>
      </c>
      <c r="C128" s="816">
        <f>C290*CPI!$I$46</f>
        <v>2.0807305180918707</v>
      </c>
      <c r="D128" s="816">
        <f>D290*CPI!$I$50</f>
        <v>2.0035225478756256</v>
      </c>
      <c r="E128" s="816">
        <f>E290*CPI!$I$54</f>
        <v>2.3535097410471284</v>
      </c>
      <c r="F128" s="816">
        <f>F290*CPI!$I$58</f>
        <v>2.36</v>
      </c>
      <c r="G128" s="821"/>
      <c r="H128" s="824"/>
    </row>
    <row r="129" spans="1:10" s="791" customFormat="1" ht="12.95">
      <c r="A129" s="792">
        <v>36</v>
      </c>
      <c r="B129" s="800" t="s">
        <v>176</v>
      </c>
      <c r="C129" s="816">
        <f>C291*CPI!$I$46</f>
        <v>1.4570066773399377</v>
      </c>
      <c r="D129" s="816">
        <f>D291*CPI!$I$50</f>
        <v>1.6563395994946988</v>
      </c>
      <c r="E129" s="816">
        <f>E291*CPI!$I$54</f>
        <v>1.9659802914819138</v>
      </c>
      <c r="F129" s="816">
        <f>F291*CPI!$I$58</f>
        <v>2.017231090426689</v>
      </c>
      <c r="G129" s="821"/>
      <c r="H129" s="824"/>
    </row>
    <row r="130" spans="1:10" s="791" customFormat="1" ht="12.95">
      <c r="A130" s="792">
        <v>39</v>
      </c>
      <c r="B130" s="802" t="s">
        <v>124</v>
      </c>
      <c r="C130" s="816">
        <f>C292*CPI!$I$46</f>
        <v>1.7141769553192097</v>
      </c>
      <c r="D130" s="816">
        <f>D292*CPI!$I$50</f>
        <v>1.7751417393094922</v>
      </c>
      <c r="E130" s="816">
        <f>E292*CPI!$I$54</f>
        <v>1.6708900326048877</v>
      </c>
      <c r="F130" s="816">
        <f>F292*CPI!$I$58</f>
        <v>1.67</v>
      </c>
      <c r="G130" s="821"/>
      <c r="H130" s="824"/>
    </row>
    <row r="131" spans="1:10" s="791" customFormat="1" ht="12.95">
      <c r="A131" s="792">
        <v>40</v>
      </c>
      <c r="B131" s="802" t="s">
        <v>125</v>
      </c>
      <c r="C131" s="816">
        <f>C293*CPI!$I$46</f>
        <v>2.5119700037067663</v>
      </c>
      <c r="D131" s="816">
        <f>D293*CPI!$I$50</f>
        <v>2.5537126776031291</v>
      </c>
      <c r="E131" s="816">
        <f>E293*CPI!$I$54</f>
        <v>2.0172940637546817</v>
      </c>
      <c r="F131" s="816">
        <f>F293*CPI!$I$58</f>
        <v>2.0200000000000005</v>
      </c>
      <c r="G131" s="821"/>
      <c r="H131" s="824"/>
    </row>
    <row r="132" spans="1:10" s="791" customFormat="1" ht="12.95">
      <c r="A132" s="792">
        <v>41</v>
      </c>
      <c r="B132" s="800" t="s">
        <v>52</v>
      </c>
      <c r="C132" s="816">
        <f>C294*CPI!$I$46</f>
        <v>2.0177255435362875</v>
      </c>
      <c r="D132" s="816">
        <f>D294*CPI!$I$50</f>
        <v>2.0762547486377443</v>
      </c>
      <c r="E132" s="816">
        <f>E294*CPI!$I$54</f>
        <v>2.2937152412024178</v>
      </c>
      <c r="F132" s="816">
        <f>F294*CPI!$I$58</f>
        <v>2.2982668241734294</v>
      </c>
      <c r="G132" s="821"/>
      <c r="H132" s="824"/>
    </row>
    <row r="133" spans="1:10" s="791" customFormat="1" ht="12.95">
      <c r="A133" s="792">
        <v>46</v>
      </c>
      <c r="B133" s="802" t="s">
        <v>53</v>
      </c>
      <c r="C133" s="816">
        <f>C295*CPI!$I$46</f>
        <v>2.0602509279495211</v>
      </c>
      <c r="D133" s="816">
        <f>D295*CPI!$I$50</f>
        <v>2.2058497941963271</v>
      </c>
      <c r="E133" s="816">
        <f>E295*CPI!$I$54</f>
        <v>2.3811827434497701</v>
      </c>
      <c r="F133" s="816">
        <f>F295*CPI!$I$58</f>
        <v>2.466620138314894</v>
      </c>
      <c r="G133" s="821"/>
      <c r="H133" s="824"/>
    </row>
    <row r="134" spans="1:10" s="791" customFormat="1" ht="12.95">
      <c r="A134" s="792">
        <v>48</v>
      </c>
      <c r="B134" s="802" t="s">
        <v>54</v>
      </c>
      <c r="C134" s="816">
        <f>C296*CPI!$I$46</f>
        <v>1.1643466111602181</v>
      </c>
      <c r="D134" s="816">
        <f>D296*CPI!$I$50</f>
        <v>1.7024751184020863</v>
      </c>
      <c r="E134" s="816">
        <f>E296*CPI!$I$54</f>
        <v>1.7320201557489689</v>
      </c>
      <c r="F134" s="816">
        <f>F296*CPI!$I$58</f>
        <v>1.7800000000000002</v>
      </c>
      <c r="G134" s="821"/>
      <c r="H134" s="824"/>
    </row>
    <row r="135" spans="1:10" s="791" customFormat="1" ht="12.95">
      <c r="A135" s="792">
        <v>49</v>
      </c>
      <c r="B135" s="802" t="s">
        <v>55</v>
      </c>
      <c r="C135" s="816">
        <f>C297*CPI!$I$46</f>
        <v>1.7680818910210714</v>
      </c>
      <c r="D135" s="816">
        <f>D297*CPI!$I$50</f>
        <v>2.1696176813782682</v>
      </c>
      <c r="E135" s="816">
        <f>E297*CPI!$I$54</f>
        <v>2.2923796179030473</v>
      </c>
      <c r="F135" s="816">
        <f>F297*CPI!$I$58</f>
        <v>2.1599999999999997</v>
      </c>
      <c r="G135" s="821"/>
      <c r="H135" s="824"/>
    </row>
    <row r="136" spans="1:10" s="791" customFormat="1" ht="12.95">
      <c r="A136" s="792">
        <v>50</v>
      </c>
      <c r="B136" s="800" t="s">
        <v>214</v>
      </c>
      <c r="C136" s="816">
        <f>C298*CPI!$I$46</f>
        <v>2.2101023637763397</v>
      </c>
      <c r="D136" s="816">
        <f>D298*CPI!$I$50</f>
        <v>2.4857547725305498</v>
      </c>
      <c r="E136" s="816">
        <f>E298*CPI!$I$54</f>
        <v>2.598030233623454</v>
      </c>
      <c r="F136" s="816">
        <f>F298*CPI!$I$58</f>
        <v>2.7202484980475874</v>
      </c>
      <c r="G136" s="821"/>
      <c r="H136" s="819"/>
    </row>
    <row r="137" spans="1:10" s="791" customFormat="1" ht="12.95">
      <c r="A137" s="792">
        <v>53</v>
      </c>
      <c r="B137" s="802" t="s">
        <v>57</v>
      </c>
      <c r="C137" s="816">
        <f>C299*CPI!$I$46</f>
        <v>1.4985572125117614</v>
      </c>
      <c r="D137" s="816">
        <f>D299*CPI!$I$50</f>
        <v>1.442951472304207</v>
      </c>
      <c r="E137" s="816">
        <f>E299*CPI!$I$54</f>
        <v>1.4161811861712155</v>
      </c>
      <c r="F137" s="816">
        <f>F299*CPI!$I$58</f>
        <v>1.4200000000000002</v>
      </c>
      <c r="G137" s="821"/>
      <c r="H137" s="819"/>
    </row>
    <row r="138" spans="1:10" s="791" customFormat="1" ht="12.95">
      <c r="A138" s="783"/>
    </row>
    <row r="139" spans="1:10" s="50" customFormat="1" ht="12.95">
      <c r="A139" s="310"/>
      <c r="B139" s="814"/>
      <c r="C139" s="806"/>
      <c r="D139" s="806"/>
      <c r="E139" s="806"/>
      <c r="F139" s="806"/>
    </row>
    <row r="140" spans="1:10" s="50" customFormat="1" ht="12.95">
      <c r="A140" s="310"/>
      <c r="B140" s="814"/>
      <c r="C140" s="806"/>
      <c r="D140" s="806"/>
      <c r="E140" s="806"/>
      <c r="F140" s="806"/>
    </row>
    <row r="141" spans="1:10" s="50" customFormat="1" ht="12.95">
      <c r="A141" s="310"/>
      <c r="B141" s="798" t="s">
        <v>193</v>
      </c>
      <c r="C141" s="786" t="s">
        <v>526</v>
      </c>
      <c r="D141" s="784"/>
      <c r="E141" s="784"/>
      <c r="F141" s="785"/>
      <c r="G141" s="786" t="s">
        <v>525</v>
      </c>
      <c r="H141" s="797"/>
      <c r="I141" s="797"/>
      <c r="J141" s="787"/>
    </row>
    <row r="142" spans="1:10" s="50" customFormat="1" ht="12.95">
      <c r="A142" s="310"/>
      <c r="B142" s="799" t="s">
        <v>28</v>
      </c>
      <c r="C142" s="789">
        <v>2008</v>
      </c>
      <c r="D142" s="789">
        <v>2009</v>
      </c>
      <c r="E142" s="789">
        <v>2010</v>
      </c>
      <c r="F142" s="789">
        <v>2011</v>
      </c>
      <c r="G142" s="790">
        <v>2008</v>
      </c>
      <c r="H142" s="790">
        <v>2009</v>
      </c>
      <c r="I142" s="790">
        <v>2010</v>
      </c>
      <c r="J142" s="790">
        <v>2011</v>
      </c>
    </row>
    <row r="143" spans="1:10" s="50" customFormat="1" ht="12.95">
      <c r="A143" s="310"/>
      <c r="B143" s="800" t="s">
        <v>112</v>
      </c>
      <c r="C143" s="827">
        <v>28339</v>
      </c>
      <c r="D143" s="827">
        <v>28804</v>
      </c>
      <c r="E143" s="827">
        <v>29182</v>
      </c>
      <c r="F143" s="827">
        <v>29357</v>
      </c>
      <c r="G143" s="793">
        <f>C143/SUM($C$143:$C$171)</f>
        <v>1.4772460118423638E-2</v>
      </c>
      <c r="H143" s="793">
        <f>D143/SUM($D$143:$D$171)</f>
        <v>1.4756933771061572E-2</v>
      </c>
      <c r="I143" s="793">
        <f>E143/SUM($E$143:$E$171)</f>
        <v>1.4814649353972241E-2</v>
      </c>
      <c r="J143" s="793">
        <f>F143/SUM($F$143:$F$171)</f>
        <v>1.4799523100151488E-2</v>
      </c>
    </row>
    <row r="144" spans="1:10" s="50" customFormat="1" ht="12.95">
      <c r="A144" s="310"/>
      <c r="B144" s="800" t="s">
        <v>174</v>
      </c>
      <c r="C144" s="827">
        <v>68337</v>
      </c>
      <c r="D144" s="827">
        <v>80714</v>
      </c>
      <c r="E144" s="827">
        <v>81547</v>
      </c>
      <c r="F144" s="827">
        <v>82413</v>
      </c>
      <c r="G144" s="793">
        <f t="shared" ref="G144:G171" si="0">C144/SUM($C$143:$C$171)</f>
        <v>3.5622485165768596E-2</v>
      </c>
      <c r="H144" s="793">
        <f t="shared" ref="H144:H171" si="1">D144/SUM($D$143:$D$171)</f>
        <v>4.1351588404300227E-2</v>
      </c>
      <c r="I144" s="793">
        <f>E144/SUM($E$143:$E$171)</f>
        <v>4.139847203304689E-2</v>
      </c>
      <c r="J144" s="793">
        <f t="shared" ref="J144:J171" si="2">F144/SUM($F$143:$F$171)</f>
        <v>4.1546244413692972E-2</v>
      </c>
    </row>
    <row r="145" spans="1:10" s="50" customFormat="1" ht="12.95">
      <c r="A145" s="310"/>
      <c r="B145" s="800" t="s">
        <v>31</v>
      </c>
      <c r="C145" s="827">
        <v>4318</v>
      </c>
      <c r="D145" s="827">
        <v>4393</v>
      </c>
      <c r="E145" s="827">
        <v>4434</v>
      </c>
      <c r="F145" s="827">
        <v>4468</v>
      </c>
      <c r="G145" s="793">
        <f t="shared" si="0"/>
        <v>2.2508727474982631E-3</v>
      </c>
      <c r="H145" s="793">
        <f t="shared" si="1"/>
        <v>2.2506322058142444E-3</v>
      </c>
      <c r="I145" s="793">
        <f t="shared" ref="I145:I171" si="3">E145/SUM($E$143:$E$171)</f>
        <v>2.2509819489929723E-3</v>
      </c>
      <c r="J145" s="793">
        <f t="shared" si="2"/>
        <v>2.2524191576617793E-3</v>
      </c>
    </row>
    <row r="146" spans="1:10" s="50" customFormat="1" ht="12.95">
      <c r="A146" s="310"/>
      <c r="B146" s="801" t="s">
        <v>32</v>
      </c>
      <c r="C146" s="827">
        <v>7858</v>
      </c>
      <c r="D146" s="827">
        <v>7945</v>
      </c>
      <c r="E146" s="827">
        <v>7988</v>
      </c>
      <c r="F146" s="827">
        <v>7977</v>
      </c>
      <c r="G146" s="793">
        <f t="shared" si="0"/>
        <v>4.0961922301624249E-3</v>
      </c>
      <c r="H146" s="793">
        <f t="shared" si="1"/>
        <v>4.0704012918721076E-3</v>
      </c>
      <c r="I146" s="793">
        <f t="shared" si="3"/>
        <v>4.055219623039211E-3</v>
      </c>
      <c r="J146" s="793">
        <f t="shared" si="2"/>
        <v>4.0213848748137894E-3</v>
      </c>
    </row>
    <row r="147" spans="1:10" s="50" customFormat="1" ht="12.95">
      <c r="A147" s="310"/>
      <c r="B147" s="800" t="s">
        <v>33</v>
      </c>
      <c r="C147" s="827">
        <v>35358</v>
      </c>
      <c r="D147" s="827">
        <v>35921</v>
      </c>
      <c r="E147" s="827">
        <v>36387</v>
      </c>
      <c r="F147" s="827">
        <v>36801</v>
      </c>
      <c r="G147" s="793">
        <f t="shared" si="0"/>
        <v>1.8431301205660857E-2</v>
      </c>
      <c r="H147" s="793">
        <f t="shared" si="1"/>
        <v>1.840313213408911E-2</v>
      </c>
      <c r="I147" s="793">
        <f t="shared" si="3"/>
        <v>1.847236810509862E-2</v>
      </c>
      <c r="J147" s="793">
        <f t="shared" si="2"/>
        <v>1.8552210703023979E-2</v>
      </c>
    </row>
    <row r="148" spans="1:10" s="50" customFormat="1" ht="12.95">
      <c r="A148" s="310"/>
      <c r="B148" s="800" t="s">
        <v>34</v>
      </c>
      <c r="C148" s="827">
        <v>25127</v>
      </c>
      <c r="D148" s="827">
        <v>25296</v>
      </c>
      <c r="E148" s="827">
        <v>25413</v>
      </c>
      <c r="F148" s="827">
        <v>25503</v>
      </c>
      <c r="G148" s="793">
        <f t="shared" si="0"/>
        <v>1.3098119390085422E-2</v>
      </c>
      <c r="H148" s="793">
        <f t="shared" si="1"/>
        <v>1.29597068696283E-2</v>
      </c>
      <c r="I148" s="793">
        <f t="shared" si="3"/>
        <v>1.2901263930933335E-2</v>
      </c>
      <c r="J148" s="793">
        <f t="shared" si="2"/>
        <v>1.2856635133806704E-2</v>
      </c>
    </row>
    <row r="149" spans="1:10" s="50" customFormat="1" ht="12.95">
      <c r="A149" s="310"/>
      <c r="B149" s="802" t="s">
        <v>35</v>
      </c>
      <c r="C149" s="827">
        <v>41383</v>
      </c>
      <c r="D149" s="827">
        <v>41837</v>
      </c>
      <c r="E149" s="827">
        <v>42148</v>
      </c>
      <c r="F149" s="827">
        <v>42430</v>
      </c>
      <c r="G149" s="793">
        <f t="shared" si="0"/>
        <v>2.1571993263020058E-2</v>
      </c>
      <c r="H149" s="793">
        <f t="shared" si="1"/>
        <v>2.1434031321340891E-2</v>
      </c>
      <c r="I149" s="793">
        <f t="shared" si="3"/>
        <v>2.1397020114153315E-2</v>
      </c>
      <c r="J149" s="793">
        <f t="shared" si="2"/>
        <v>2.1389916038404049E-2</v>
      </c>
    </row>
    <row r="150" spans="1:10" s="50" customFormat="1" ht="12.95">
      <c r="A150" s="310"/>
      <c r="B150" s="802" t="s">
        <v>115</v>
      </c>
      <c r="C150" s="827">
        <v>16045</v>
      </c>
      <c r="D150" s="827">
        <v>16537</v>
      </c>
      <c r="E150" s="827">
        <v>16867</v>
      </c>
      <c r="F150" s="827">
        <v>17127</v>
      </c>
      <c r="G150" s="793">
        <f t="shared" si="0"/>
        <v>8.363884491340812E-3</v>
      </c>
      <c r="H150" s="793">
        <f t="shared" si="1"/>
        <v>8.4722751622012642E-3</v>
      </c>
      <c r="I150" s="793">
        <f t="shared" si="3"/>
        <v>8.5627678244619906E-3</v>
      </c>
      <c r="J150" s="793">
        <f t="shared" si="2"/>
        <v>8.6341053968830104E-3</v>
      </c>
    </row>
    <row r="151" spans="1:10" s="50" customFormat="1" ht="12.95">
      <c r="A151" s="310"/>
      <c r="B151" s="802" t="s">
        <v>116</v>
      </c>
      <c r="C151" s="827">
        <v>17000</v>
      </c>
      <c r="D151" s="827">
        <v>17191</v>
      </c>
      <c r="E151" s="827">
        <v>17294</v>
      </c>
      <c r="F151" s="827">
        <v>17337</v>
      </c>
      <c r="G151" s="793">
        <f t="shared" si="0"/>
        <v>8.8617037303081216E-3</v>
      </c>
      <c r="H151" s="793">
        <f t="shared" si="1"/>
        <v>8.8073339973031347E-3</v>
      </c>
      <c r="I151" s="793">
        <f t="shared" si="3"/>
        <v>8.779540330600917E-3</v>
      </c>
      <c r="J151" s="793">
        <f t="shared" si="2"/>
        <v>8.7399711137829596E-3</v>
      </c>
    </row>
    <row r="152" spans="1:10" s="50" customFormat="1" ht="12.95">
      <c r="A152" s="310"/>
      <c r="B152" s="802" t="s">
        <v>38</v>
      </c>
      <c r="C152" s="827">
        <v>24058</v>
      </c>
      <c r="D152" s="827">
        <v>24184</v>
      </c>
      <c r="E152" s="827">
        <v>24233</v>
      </c>
      <c r="F152" s="827">
        <v>24267</v>
      </c>
      <c r="G152" s="793">
        <f t="shared" si="0"/>
        <v>1.2540874608456046E-2</v>
      </c>
      <c r="H152" s="793">
        <f t="shared" si="1"/>
        <v>1.2390004385479554E-2</v>
      </c>
      <c r="I152" s="793">
        <f t="shared" si="3"/>
        <v>1.230222047134567E-2</v>
      </c>
      <c r="J152" s="793">
        <f t="shared" si="2"/>
        <v>1.2233539771481288E-2</v>
      </c>
    </row>
    <row r="153" spans="1:10" s="50" customFormat="1" ht="12.95">
      <c r="A153" s="310"/>
      <c r="B153" s="803" t="s">
        <v>39</v>
      </c>
      <c r="C153" s="827">
        <v>32056</v>
      </c>
      <c r="D153" s="827">
        <v>32827</v>
      </c>
      <c r="E153" s="827">
        <v>33421</v>
      </c>
      <c r="F153" s="827">
        <v>33860</v>
      </c>
      <c r="G153" s="793">
        <f t="shared" si="0"/>
        <v>1.6710045575221009E-2</v>
      </c>
      <c r="H153" s="793">
        <f t="shared" si="1"/>
        <v>1.6818006697078124E-2</v>
      </c>
      <c r="I153" s="793">
        <f t="shared" si="3"/>
        <v>1.696663683294861E-2</v>
      </c>
      <c r="J153" s="793">
        <f t="shared" si="2"/>
        <v>1.7069586543963261E-2</v>
      </c>
    </row>
    <row r="154" spans="1:10" s="50" customFormat="1" ht="12.95">
      <c r="A154" s="310"/>
      <c r="B154" s="802" t="s">
        <v>40</v>
      </c>
      <c r="C154" s="827">
        <v>23539</v>
      </c>
      <c r="D154" s="827">
        <v>23876</v>
      </c>
      <c r="E154" s="827">
        <v>24076</v>
      </c>
      <c r="F154" s="827">
        <v>24247</v>
      </c>
      <c r="G154" s="793">
        <f t="shared" si="0"/>
        <v>1.227033200633664E-2</v>
      </c>
      <c r="H154" s="793">
        <f t="shared" si="1"/>
        <v>1.223220909310742E-2</v>
      </c>
      <c r="I154" s="793">
        <f t="shared" si="3"/>
        <v>1.2222517231383583E-2</v>
      </c>
      <c r="J154" s="793">
        <f t="shared" si="2"/>
        <v>1.2223457322252721E-2</v>
      </c>
    </row>
    <row r="155" spans="1:10" s="50" customFormat="1" ht="12.95">
      <c r="A155" s="310"/>
      <c r="B155" s="802" t="s">
        <v>41</v>
      </c>
      <c r="C155" s="827">
        <v>8795</v>
      </c>
      <c r="D155" s="827">
        <v>8874</v>
      </c>
      <c r="E155" s="827">
        <v>8912</v>
      </c>
      <c r="F155" s="827">
        <v>8952</v>
      </c>
      <c r="G155" s="793">
        <f t="shared" si="0"/>
        <v>4.5846284887094075E-3</v>
      </c>
      <c r="H155" s="793">
        <f t="shared" si="1"/>
        <v>4.5463487808776694E-3</v>
      </c>
      <c r="I155" s="793">
        <f t="shared" si="3"/>
        <v>4.5243011117332812E-3</v>
      </c>
      <c r="J155" s="793">
        <f t="shared" si="2"/>
        <v>4.512904274706412E-3</v>
      </c>
    </row>
    <row r="156" spans="1:10" s="50" customFormat="1" ht="12.95">
      <c r="A156" s="310"/>
      <c r="B156" s="802" t="s">
        <v>42</v>
      </c>
      <c r="C156" s="827">
        <v>35077</v>
      </c>
      <c r="D156" s="827">
        <v>35650</v>
      </c>
      <c r="E156" s="827">
        <v>36086</v>
      </c>
      <c r="F156" s="827">
        <v>36518</v>
      </c>
      <c r="G156" s="793">
        <f t="shared" si="0"/>
        <v>1.8284822455765765E-2</v>
      </c>
      <c r="H156" s="793">
        <f t="shared" si="1"/>
        <v>1.8264292769696745E-2</v>
      </c>
      <c r="I156" s="793">
        <f t="shared" si="3"/>
        <v>1.8319561256508885E-2</v>
      </c>
      <c r="J156" s="793">
        <f t="shared" si="2"/>
        <v>1.8409544046439762E-2</v>
      </c>
    </row>
    <row r="157" spans="1:10" s="50" customFormat="1" ht="12.95">
      <c r="A157" s="310"/>
      <c r="B157" s="802" t="s">
        <v>43</v>
      </c>
      <c r="C157" s="827">
        <v>11928</v>
      </c>
      <c r="D157" s="827">
        <v>12089</v>
      </c>
      <c r="E157" s="827">
        <v>12189</v>
      </c>
      <c r="F157" s="827">
        <v>12177</v>
      </c>
      <c r="G157" s="793">
        <f t="shared" si="0"/>
        <v>6.2177883585361922E-3</v>
      </c>
      <c r="H157" s="793">
        <f t="shared" si="1"/>
        <v>6.1934652256062823E-3</v>
      </c>
      <c r="I157" s="793">
        <f t="shared" si="3"/>
        <v>6.1879158719610602E-3</v>
      </c>
      <c r="J157" s="793">
        <f t="shared" si="2"/>
        <v>6.1386992128127761E-3</v>
      </c>
    </row>
    <row r="158" spans="1:10" s="50" customFormat="1" ht="12.95">
      <c r="A158" s="310"/>
      <c r="B158" s="802" t="s">
        <v>44</v>
      </c>
      <c r="C158" s="827">
        <v>52036</v>
      </c>
      <c r="D158" s="827">
        <v>52636</v>
      </c>
      <c r="E158" s="827">
        <v>53262</v>
      </c>
      <c r="F158" s="827">
        <v>53588</v>
      </c>
      <c r="G158" s="793">
        <f t="shared" si="0"/>
        <v>2.7125153841783142E-2</v>
      </c>
      <c r="H158" s="793">
        <f t="shared" si="1"/>
        <v>2.6966600679544404E-2</v>
      </c>
      <c r="I158" s="793">
        <f t="shared" si="3"/>
        <v>2.7039197241151038E-2</v>
      </c>
      <c r="J158" s="793">
        <f t="shared" si="2"/>
        <v>2.7014914463021358E-2</v>
      </c>
    </row>
    <row r="159" spans="1:10" s="50" customFormat="1" ht="12.95">
      <c r="A159" s="310"/>
      <c r="B159" s="801" t="s">
        <v>45</v>
      </c>
      <c r="C159" s="827">
        <v>185386</v>
      </c>
      <c r="D159" s="827">
        <v>189112</v>
      </c>
      <c r="E159" s="827">
        <v>190849</v>
      </c>
      <c r="F159" s="827">
        <v>191992</v>
      </c>
      <c r="G159" s="793">
        <f t="shared" si="0"/>
        <v>9.6637400455700087E-2</v>
      </c>
      <c r="H159" s="793">
        <f t="shared" si="1"/>
        <v>9.6886309516490632E-2</v>
      </c>
      <c r="I159" s="793">
        <f t="shared" si="3"/>
        <v>9.6887156965123997E-2</v>
      </c>
      <c r="J159" s="793">
        <f t="shared" si="2"/>
        <v>9.6787479614547964E-2</v>
      </c>
    </row>
    <row r="160" spans="1:10" s="50" customFormat="1" ht="12.95">
      <c r="A160" s="310"/>
      <c r="B160" s="802" t="s">
        <v>295</v>
      </c>
      <c r="C160" s="827">
        <v>14703</v>
      </c>
      <c r="D160" s="827">
        <v>14765</v>
      </c>
      <c r="E160" s="827">
        <v>14819</v>
      </c>
      <c r="F160" s="827">
        <v>14783</v>
      </c>
      <c r="G160" s="793">
        <f t="shared" si="0"/>
        <v>7.6643311733364892E-3</v>
      </c>
      <c r="H160" s="793">
        <f t="shared" si="1"/>
        <v>7.5644399086836596E-3</v>
      </c>
      <c r="I160" s="793">
        <f t="shared" si="3"/>
        <v>7.5230720573132293E-3</v>
      </c>
      <c r="J160" s="793">
        <f t="shared" si="2"/>
        <v>7.4524423472950045E-3</v>
      </c>
    </row>
    <row r="161" spans="1:10" s="50" customFormat="1" ht="12.95">
      <c r="A161" s="310"/>
      <c r="B161" s="803" t="s">
        <v>47</v>
      </c>
      <c r="C161" s="827">
        <v>299215</v>
      </c>
      <c r="D161" s="827">
        <v>302157</v>
      </c>
      <c r="E161" s="827">
        <v>304773</v>
      </c>
      <c r="F161" s="827">
        <v>307012</v>
      </c>
      <c r="G161" s="793">
        <f t="shared" si="0"/>
        <v>0.15597380480377321</v>
      </c>
      <c r="H161" s="793">
        <f t="shared" si="1"/>
        <v>0.1548017927184645</v>
      </c>
      <c r="I161" s="793">
        <f t="shared" si="3"/>
        <v>0.15472226466856906</v>
      </c>
      <c r="J161" s="793">
        <f t="shared" si="2"/>
        <v>0.15477164512803451</v>
      </c>
    </row>
    <row r="162" spans="1:10" s="50" customFormat="1" ht="12.95">
      <c r="A162" s="310"/>
      <c r="B162" s="802" t="s">
        <v>48</v>
      </c>
      <c r="C162" s="827">
        <v>6761</v>
      </c>
      <c r="D162" s="827">
        <v>6832</v>
      </c>
      <c r="E162" s="827">
        <v>6851</v>
      </c>
      <c r="F162" s="827">
        <v>6774</v>
      </c>
      <c r="G162" s="793">
        <f t="shared" si="0"/>
        <v>3.5243517012125418E-3</v>
      </c>
      <c r="H162" s="793">
        <f t="shared" si="1"/>
        <v>3.5001864853455309E-3</v>
      </c>
      <c r="I162" s="793">
        <f>E162/SUM($E$143:$E$171)</f>
        <v>3.4780057132500798E-3</v>
      </c>
      <c r="J162" s="793">
        <f t="shared" si="2"/>
        <v>3.4149255537155084E-3</v>
      </c>
    </row>
    <row r="163" spans="1:10" s="50" customFormat="1" ht="12.95">
      <c r="A163" s="310"/>
      <c r="B163" s="800" t="s">
        <v>176</v>
      </c>
      <c r="C163" s="827">
        <v>22913</v>
      </c>
      <c r="D163" s="827">
        <v>22861</v>
      </c>
      <c r="E163" s="827">
        <v>22951</v>
      </c>
      <c r="F163" s="827">
        <v>22991</v>
      </c>
      <c r="G163" s="793">
        <f t="shared" si="0"/>
        <v>1.1944012798385294E-2</v>
      </c>
      <c r="H163" s="793">
        <f t="shared" si="1"/>
        <v>1.1712201879608339E-2</v>
      </c>
      <c r="I163" s="793">
        <f t="shared" si="3"/>
        <v>1.1651395288980088E-2</v>
      </c>
      <c r="J163" s="793">
        <f t="shared" si="2"/>
        <v>1.1590279510698739E-2</v>
      </c>
    </row>
    <row r="164" spans="1:10" s="50" customFormat="1" ht="12.95">
      <c r="A164" s="310"/>
      <c r="B164" s="802" t="s">
        <v>124</v>
      </c>
      <c r="C164" s="827">
        <v>33079</v>
      </c>
      <c r="D164" s="827">
        <v>33897</v>
      </c>
      <c r="E164" s="827">
        <v>34340</v>
      </c>
      <c r="F164" s="827">
        <v>34640</v>
      </c>
      <c r="G164" s="793">
        <f t="shared" si="0"/>
        <v>1.724331162910955E-2</v>
      </c>
      <c r="H164" s="793">
        <f t="shared" si="1"/>
        <v>1.7366191641357942E-2</v>
      </c>
      <c r="I164" s="793">
        <f t="shared" si="3"/>
        <v>1.7433180001898665E-2</v>
      </c>
      <c r="J164" s="793">
        <f t="shared" si="2"/>
        <v>1.7462802063877358E-2</v>
      </c>
    </row>
    <row r="165" spans="1:10" s="50" customFormat="1" ht="12.95">
      <c r="A165" s="310"/>
      <c r="B165" s="802" t="s">
        <v>125</v>
      </c>
      <c r="C165" s="827">
        <v>29115</v>
      </c>
      <c r="D165" s="827">
        <v>29799</v>
      </c>
      <c r="E165" s="827">
        <v>30144</v>
      </c>
      <c r="F165" s="827">
        <v>30383</v>
      </c>
      <c r="G165" s="793">
        <f t="shared" si="0"/>
        <v>1.5176970829877703E-2</v>
      </c>
      <c r="H165" s="793">
        <f t="shared" si="1"/>
        <v>1.526669453700402E-2</v>
      </c>
      <c r="I165" s="793">
        <f t="shared" si="3"/>
        <v>1.5303022072720831E-2</v>
      </c>
      <c r="J165" s="793">
        <f t="shared" si="2"/>
        <v>1.5316752745576956E-2</v>
      </c>
    </row>
    <row r="166" spans="1:10" s="50" customFormat="1" ht="12.95">
      <c r="A166" s="310"/>
      <c r="B166" s="800" t="s">
        <v>52</v>
      </c>
      <c r="C166" s="827">
        <v>104275</v>
      </c>
      <c r="D166" s="827">
        <v>105266</v>
      </c>
      <c r="E166" s="827">
        <v>105973</v>
      </c>
      <c r="F166" s="827">
        <v>106816</v>
      </c>
      <c r="G166" s="793">
        <f t="shared" si="0"/>
        <v>5.4356126851639965E-2</v>
      </c>
      <c r="H166" s="793">
        <f t="shared" si="1"/>
        <v>5.3930127424821811E-2</v>
      </c>
      <c r="I166" s="793">
        <f t="shared" si="3"/>
        <v>5.3798671646511559E-2</v>
      </c>
      <c r="J166" s="793">
        <f t="shared" si="2"/>
        <v>5.3848344839928515E-2</v>
      </c>
    </row>
    <row r="167" spans="1:10" s="50" customFormat="1" ht="12.95">
      <c r="A167" s="310"/>
      <c r="B167" s="802" t="s">
        <v>53</v>
      </c>
      <c r="C167" s="827">
        <v>514216</v>
      </c>
      <c r="D167" s="827">
        <v>519162</v>
      </c>
      <c r="E167" s="827">
        <v>523981</v>
      </c>
      <c r="F167" s="827">
        <v>527492</v>
      </c>
      <c r="G167" s="793">
        <f t="shared" si="0"/>
        <v>0.26804881443436007</v>
      </c>
      <c r="H167" s="793">
        <f t="shared" si="1"/>
        <v>0.26597831031981212</v>
      </c>
      <c r="I167" s="793">
        <f t="shared" si="3"/>
        <v>0.26600626355780033</v>
      </c>
      <c r="J167" s="793">
        <f t="shared" si="2"/>
        <v>0.26592056542375275</v>
      </c>
    </row>
    <row r="168" spans="1:10" s="50" customFormat="1" ht="12.95">
      <c r="A168" s="310"/>
      <c r="B168" s="802" t="s">
        <v>54</v>
      </c>
      <c r="C168" s="827">
        <v>22547</v>
      </c>
      <c r="D168" s="827">
        <v>22848</v>
      </c>
      <c r="E168" s="827">
        <v>23089</v>
      </c>
      <c r="F168" s="827">
        <v>23372</v>
      </c>
      <c r="G168" s="793">
        <f t="shared" si="0"/>
        <v>1.175322552983866E-2</v>
      </c>
      <c r="H168" s="793">
        <f t="shared" si="1"/>
        <v>1.1705541688696528E-2</v>
      </c>
      <c r="I168" s="793">
        <f t="shared" si="3"/>
        <v>1.1721452913914916E-2</v>
      </c>
      <c r="J168" s="793">
        <f t="shared" si="2"/>
        <v>1.1782350168502933E-2</v>
      </c>
    </row>
    <row r="169" spans="1:10" s="50" customFormat="1" ht="12.95">
      <c r="A169" s="310"/>
      <c r="B169" s="802" t="s">
        <v>55</v>
      </c>
      <c r="C169" s="827">
        <v>81050</v>
      </c>
      <c r="D169" s="827">
        <v>81539</v>
      </c>
      <c r="E169" s="827">
        <v>82467</v>
      </c>
      <c r="F169" s="827">
        <v>83537</v>
      </c>
      <c r="G169" s="793">
        <f t="shared" si="0"/>
        <v>4.2249475725969016E-2</v>
      </c>
      <c r="H169" s="793">
        <f t="shared" si="1"/>
        <v>4.1774254366011301E-2</v>
      </c>
      <c r="I169" s="793">
        <f t="shared" si="3"/>
        <v>4.1865522865945748E-2</v>
      </c>
      <c r="J169" s="793">
        <f t="shared" si="2"/>
        <v>4.2112878060338414E-2</v>
      </c>
    </row>
    <row r="170" spans="1:10" s="50" customFormat="1" ht="12.95">
      <c r="A170" s="310"/>
      <c r="B170" s="800" t="s">
        <v>214</v>
      </c>
      <c r="C170" s="827">
        <v>161480</v>
      </c>
      <c r="D170" s="827">
        <v>162311</v>
      </c>
      <c r="E170" s="827">
        <v>163390</v>
      </c>
      <c r="F170" s="827">
        <v>163923</v>
      </c>
      <c r="G170" s="793">
        <f t="shared" si="0"/>
        <v>8.417575990412679E-2</v>
      </c>
      <c r="H170" s="793">
        <f t="shared" si="1"/>
        <v>8.3155557468225769E-2</v>
      </c>
      <c r="I170" s="793">
        <f t="shared" si="3"/>
        <v>8.2947212594939507E-2</v>
      </c>
      <c r="J170" s="793">
        <f t="shared" si="2"/>
        <v>8.2637266244716165E-2</v>
      </c>
    </row>
    <row r="171" spans="1:10" s="50" customFormat="1" ht="12.95">
      <c r="A171" s="310"/>
      <c r="B171" s="802" t="s">
        <v>57</v>
      </c>
      <c r="C171" s="827">
        <v>12373</v>
      </c>
      <c r="D171" s="827">
        <v>12573</v>
      </c>
      <c r="E171" s="827">
        <v>12741</v>
      </c>
      <c r="F171" s="827">
        <v>12908</v>
      </c>
      <c r="G171" s="793">
        <f t="shared" si="0"/>
        <v>6.4497564855942584E-3</v>
      </c>
      <c r="H171" s="793">
        <f t="shared" si="1"/>
        <v>6.4414292564767793E-3</v>
      </c>
      <c r="I171" s="793">
        <f t="shared" si="3"/>
        <v>6.4681463717003746E-3</v>
      </c>
      <c r="J171" s="793">
        <f t="shared" si="2"/>
        <v>6.5072127321168854E-3</v>
      </c>
    </row>
    <row r="172" spans="1:10" s="50" customFormat="1" ht="12.95">
      <c r="A172" s="310"/>
      <c r="B172" s="814"/>
      <c r="C172" s="806"/>
      <c r="D172" s="806"/>
      <c r="E172" s="806"/>
      <c r="F172" s="806"/>
    </row>
    <row r="173" spans="1:10" s="50" customFormat="1" ht="12.95">
      <c r="A173" s="310"/>
      <c r="B173" s="814"/>
      <c r="C173" s="806"/>
      <c r="D173" s="806"/>
      <c r="E173" s="806"/>
      <c r="F173" s="806"/>
    </row>
    <row r="174" spans="1:10" s="266" customFormat="1" ht="409.6">
      <c r="A174" s="308">
        <v>1</v>
      </c>
      <c r="B174" s="308">
        <f>A174+1</f>
        <v>2</v>
      </c>
      <c r="C174" s="308">
        <f t="shared" ref="C174:J174" si="4">B174+1</f>
        <v>3</v>
      </c>
      <c r="D174" s="308">
        <f t="shared" si="4"/>
        <v>4</v>
      </c>
      <c r="E174" s="308">
        <f t="shared" si="4"/>
        <v>5</v>
      </c>
      <c r="F174" s="308">
        <f t="shared" si="4"/>
        <v>6</v>
      </c>
      <c r="G174" s="308">
        <f t="shared" si="4"/>
        <v>7</v>
      </c>
      <c r="H174" s="308">
        <f t="shared" si="4"/>
        <v>8</v>
      </c>
      <c r="I174" s="308">
        <f t="shared" si="4"/>
        <v>9</v>
      </c>
      <c r="J174" s="308">
        <f t="shared" si="4"/>
        <v>10</v>
      </c>
    </row>
    <row r="176" spans="1:10" s="788" customFormat="1" ht="12.95">
      <c r="A176" s="783"/>
      <c r="B176" s="798" t="s">
        <v>220</v>
      </c>
      <c r="C176" s="784"/>
      <c r="D176" s="784"/>
      <c r="E176" s="784"/>
      <c r="F176" s="784"/>
      <c r="G176" s="822"/>
      <c r="H176" s="823"/>
    </row>
    <row r="177" spans="1:8" s="791" customFormat="1" ht="12.95">
      <c r="A177" s="783"/>
      <c r="B177" s="799" t="s">
        <v>28</v>
      </c>
      <c r="C177" s="789">
        <v>2008</v>
      </c>
      <c r="D177" s="789">
        <v>2009</v>
      </c>
      <c r="E177" s="789">
        <v>2010</v>
      </c>
      <c r="F177" s="815">
        <v>2011</v>
      </c>
      <c r="G177" s="820"/>
      <c r="H177" s="818"/>
    </row>
    <row r="178" spans="1:8" s="791" customFormat="1" ht="12.95">
      <c r="A178" s="792">
        <v>1</v>
      </c>
      <c r="B178" s="800" t="s">
        <v>112</v>
      </c>
      <c r="C178" s="826">
        <v>19.985000000000003</v>
      </c>
      <c r="D178" s="826">
        <v>21.3325</v>
      </c>
      <c r="E178" s="826">
        <v>21.488</v>
      </c>
      <c r="F178" s="826">
        <v>22.91</v>
      </c>
      <c r="G178" s="821"/>
      <c r="H178" s="819"/>
    </row>
    <row r="179" spans="1:8" s="791" customFormat="1" ht="12.95">
      <c r="A179" s="792">
        <v>2</v>
      </c>
      <c r="B179" s="800" t="s">
        <v>174</v>
      </c>
      <c r="C179" s="826">
        <v>20.089314573364355</v>
      </c>
      <c r="D179" s="826">
        <v>21.891067274574425</v>
      </c>
      <c r="E179" s="826">
        <v>21.304223290211784</v>
      </c>
      <c r="F179" s="826">
        <v>23.72154863213116</v>
      </c>
      <c r="G179" s="821"/>
      <c r="H179" s="819"/>
    </row>
    <row r="180" spans="1:8" s="791" customFormat="1" ht="12.95">
      <c r="A180" s="792">
        <v>6</v>
      </c>
      <c r="B180" s="800" t="s">
        <v>31</v>
      </c>
      <c r="C180" s="826">
        <v>28.323333333333334</v>
      </c>
      <c r="D180" s="826">
        <v>30.275000000000002</v>
      </c>
      <c r="E180" s="826">
        <v>31.147500000000004</v>
      </c>
      <c r="F180" s="826">
        <v>32.636000000000003</v>
      </c>
      <c r="G180" s="821"/>
      <c r="H180" s="819"/>
    </row>
    <row r="181" spans="1:8" s="791" customFormat="1" ht="12.95">
      <c r="A181" s="792">
        <v>7</v>
      </c>
      <c r="B181" s="801" t="s">
        <v>32</v>
      </c>
      <c r="C181" s="826">
        <v>22.98</v>
      </c>
      <c r="D181" s="826">
        <v>24.302</v>
      </c>
      <c r="E181" s="826">
        <v>24.186</v>
      </c>
      <c r="F181" s="826">
        <v>26.630000000000003</v>
      </c>
      <c r="G181" s="821"/>
      <c r="H181" s="819"/>
    </row>
    <row r="182" spans="1:8" s="791" customFormat="1" ht="12.95">
      <c r="A182" s="792">
        <v>8</v>
      </c>
      <c r="B182" s="800" t="s">
        <v>33</v>
      </c>
      <c r="C182" s="826">
        <v>22.085000000000004</v>
      </c>
      <c r="D182" s="826">
        <v>23.525000000000002</v>
      </c>
      <c r="E182" s="826">
        <v>23.765000000000001</v>
      </c>
      <c r="F182" s="826">
        <v>25.225999999999999</v>
      </c>
      <c r="G182" s="821"/>
      <c r="H182" s="819"/>
    </row>
    <row r="183" spans="1:8" s="791" customFormat="1" ht="12.95">
      <c r="A183" s="792">
        <v>9</v>
      </c>
      <c r="B183" s="800" t="s">
        <v>34</v>
      </c>
      <c r="C183" s="826">
        <v>26.433081645242169</v>
      </c>
      <c r="D183" s="826">
        <v>28.338485333649587</v>
      </c>
      <c r="E183" s="826">
        <v>28.054517176248375</v>
      </c>
      <c r="F183" s="826">
        <v>29.863147159157744</v>
      </c>
      <c r="G183" s="821"/>
      <c r="H183" s="819"/>
    </row>
    <row r="184" spans="1:8" s="791" customFormat="1" ht="12.95">
      <c r="A184" s="792">
        <v>12</v>
      </c>
      <c r="B184" s="802" t="s">
        <v>35</v>
      </c>
      <c r="C184" s="826">
        <v>20.794</v>
      </c>
      <c r="D184" s="826">
        <v>21.86</v>
      </c>
      <c r="E184" s="826">
        <v>22.428571428571427</v>
      </c>
      <c r="F184" s="826">
        <v>23.851000000000003</v>
      </c>
      <c r="G184" s="821"/>
      <c r="H184" s="819"/>
    </row>
    <row r="185" spans="1:8" s="791" customFormat="1" ht="12.95">
      <c r="A185" s="792">
        <v>13</v>
      </c>
      <c r="B185" s="802" t="s">
        <v>115</v>
      </c>
      <c r="C185" s="826">
        <v>20.452500000000001</v>
      </c>
      <c r="D185" s="826">
        <v>21.619999999999997</v>
      </c>
      <c r="E185" s="826">
        <v>22.385999999999999</v>
      </c>
      <c r="F185" s="826">
        <v>23.37</v>
      </c>
      <c r="G185" s="821"/>
      <c r="H185" s="819"/>
    </row>
    <row r="186" spans="1:8" s="791" customFormat="1" ht="12.95">
      <c r="A186" s="792">
        <v>14</v>
      </c>
      <c r="B186" s="802" t="s">
        <v>116</v>
      </c>
      <c r="C186" s="826">
        <v>20.987500000000001</v>
      </c>
      <c r="D186" s="826">
        <v>21.467499999999998</v>
      </c>
      <c r="E186" s="826">
        <v>21.544999999999998</v>
      </c>
      <c r="F186" s="826">
        <v>23.118333333333332</v>
      </c>
      <c r="G186" s="821"/>
      <c r="H186" s="819"/>
    </row>
    <row r="187" spans="1:8" s="791" customFormat="1" ht="12.95">
      <c r="A187" s="792">
        <v>15</v>
      </c>
      <c r="B187" s="802" t="s">
        <v>38</v>
      </c>
      <c r="C187" s="826">
        <v>24.538333333333334</v>
      </c>
      <c r="D187" s="826">
        <v>26.013333333333332</v>
      </c>
      <c r="E187" s="826">
        <v>26.315000000000001</v>
      </c>
      <c r="F187" s="826">
        <v>27.84375</v>
      </c>
      <c r="G187" s="821"/>
      <c r="H187" s="819"/>
    </row>
    <row r="188" spans="1:8" s="791" customFormat="1" ht="12.95">
      <c r="A188" s="792">
        <v>17</v>
      </c>
      <c r="B188" s="803" t="s">
        <v>39</v>
      </c>
      <c r="C188" s="826">
        <v>19.677500000000002</v>
      </c>
      <c r="D188" s="826">
        <v>20.819999999999997</v>
      </c>
      <c r="E188" s="826">
        <v>21.339999999999996</v>
      </c>
      <c r="F188" s="826">
        <v>23.142469777515259</v>
      </c>
      <c r="G188" s="821"/>
      <c r="H188" s="819"/>
    </row>
    <row r="189" spans="1:8" s="791" customFormat="1" ht="12.95">
      <c r="A189" s="792">
        <v>19</v>
      </c>
      <c r="B189" s="802" t="s">
        <v>40</v>
      </c>
      <c r="C189" s="826">
        <v>23.529999999999998</v>
      </c>
      <c r="D189" s="826">
        <v>25.497500000000002</v>
      </c>
      <c r="E189" s="826">
        <v>26.599999999999998</v>
      </c>
      <c r="F189" s="826">
        <v>27.682857142857145</v>
      </c>
      <c r="G189" s="821"/>
      <c r="H189" s="819"/>
    </row>
    <row r="190" spans="1:8" s="791" customFormat="1" ht="12.95">
      <c r="A190" s="792">
        <v>20</v>
      </c>
      <c r="B190" s="802" t="s">
        <v>41</v>
      </c>
      <c r="C190" s="826">
        <v>21.573333333333334</v>
      </c>
      <c r="D190" s="826">
        <v>23.947499999999998</v>
      </c>
      <c r="E190" s="826">
        <v>24.65</v>
      </c>
      <c r="F190" s="826">
        <v>25.3</v>
      </c>
      <c r="G190" s="821"/>
      <c r="H190" s="819"/>
    </row>
    <row r="191" spans="1:8" s="791" customFormat="1" ht="12.95">
      <c r="A191" s="792">
        <v>21</v>
      </c>
      <c r="B191" s="802" t="s">
        <v>42</v>
      </c>
      <c r="C191" s="826">
        <v>20.063333333333333</v>
      </c>
      <c r="D191" s="826">
        <v>21.9025</v>
      </c>
      <c r="E191" s="826">
        <v>22.755000000000003</v>
      </c>
      <c r="F191" s="826">
        <v>23.436666666666667</v>
      </c>
      <c r="G191" s="821"/>
      <c r="H191" s="819"/>
    </row>
    <row r="192" spans="1:8" s="791" customFormat="1" ht="12.95">
      <c r="A192" s="792">
        <v>22</v>
      </c>
      <c r="B192" s="802" t="s">
        <v>43</v>
      </c>
      <c r="C192" s="826">
        <v>19.762499999999999</v>
      </c>
      <c r="D192" s="826">
        <v>21.462499999999999</v>
      </c>
      <c r="E192" s="826">
        <v>22.132499999999997</v>
      </c>
      <c r="F192" s="826">
        <v>23.11</v>
      </c>
      <c r="G192" s="821"/>
      <c r="H192" s="819"/>
    </row>
    <row r="193" spans="1:8" s="791" customFormat="1" ht="12.95">
      <c r="A193" s="792">
        <v>23</v>
      </c>
      <c r="B193" s="802" t="s">
        <v>44</v>
      </c>
      <c r="C193" s="826">
        <v>22.314</v>
      </c>
      <c r="D193" s="826">
        <v>22.943999999999999</v>
      </c>
      <c r="E193" s="826">
        <v>23.524000000000001</v>
      </c>
      <c r="F193" s="826">
        <v>25.521999999999998</v>
      </c>
      <c r="G193" s="821"/>
      <c r="H193" s="819"/>
    </row>
    <row r="194" spans="1:8" s="791" customFormat="1" ht="12.95">
      <c r="A194" s="792">
        <v>24</v>
      </c>
      <c r="B194" s="801" t="s">
        <v>45</v>
      </c>
      <c r="C194" s="826">
        <v>21.436</v>
      </c>
      <c r="D194" s="826">
        <v>22.806000000000001</v>
      </c>
      <c r="E194" s="826">
        <v>21.93</v>
      </c>
      <c r="F194" s="826">
        <v>22.73</v>
      </c>
      <c r="G194" s="821"/>
      <c r="H194" s="819"/>
    </row>
    <row r="195" spans="1:8" s="791" customFormat="1" ht="12.95">
      <c r="A195" s="792">
        <v>25</v>
      </c>
      <c r="B195" s="802" t="s">
        <v>295</v>
      </c>
      <c r="C195" s="826">
        <v>27.359999999999996</v>
      </c>
      <c r="D195" s="826">
        <v>29.032499999999999</v>
      </c>
      <c r="E195" s="826">
        <v>29.32</v>
      </c>
      <c r="F195" s="826">
        <v>32.096666666666664</v>
      </c>
      <c r="G195" s="821"/>
      <c r="H195" s="819"/>
    </row>
    <row r="196" spans="1:8" s="791" customFormat="1" ht="12.95">
      <c r="A196" s="792">
        <v>26</v>
      </c>
      <c r="B196" s="803" t="s">
        <v>47</v>
      </c>
      <c r="C196" s="826">
        <v>22.690265293279008</v>
      </c>
      <c r="D196" s="826">
        <v>23.948648664891955</v>
      </c>
      <c r="E196" s="826">
        <v>24.174751706338078</v>
      </c>
      <c r="F196" s="826">
        <v>25.981243637228367</v>
      </c>
      <c r="G196" s="821"/>
      <c r="H196" s="819"/>
    </row>
    <row r="197" spans="1:8" s="791" customFormat="1" ht="12.95">
      <c r="A197" s="792">
        <v>35</v>
      </c>
      <c r="B197" s="802" t="s">
        <v>48</v>
      </c>
      <c r="C197" s="826">
        <v>20.803333333333335</v>
      </c>
      <c r="D197" s="826">
        <v>21.65</v>
      </c>
      <c r="E197" s="826">
        <v>22.297499999999999</v>
      </c>
      <c r="F197" s="826">
        <v>24.139999999999997</v>
      </c>
      <c r="G197" s="821"/>
      <c r="H197" s="819"/>
    </row>
    <row r="198" spans="1:8" s="791" customFormat="1" ht="12.95">
      <c r="A198" s="792">
        <v>36</v>
      </c>
      <c r="B198" s="800" t="s">
        <v>176</v>
      </c>
      <c r="C198" s="826">
        <v>21.335649849430453</v>
      </c>
      <c r="D198" s="826">
        <v>22.316021499496959</v>
      </c>
      <c r="E198" s="826">
        <v>23.44250708030151</v>
      </c>
      <c r="F198" s="826">
        <v>26.334202948980039</v>
      </c>
      <c r="G198" s="821"/>
      <c r="H198" s="819"/>
    </row>
    <row r="199" spans="1:8" s="791" customFormat="1" ht="12.95">
      <c r="A199" s="792">
        <v>39</v>
      </c>
      <c r="B199" s="802" t="s">
        <v>124</v>
      </c>
      <c r="C199" s="826">
        <v>23.135000000000002</v>
      </c>
      <c r="D199" s="826">
        <v>24.155000000000001</v>
      </c>
      <c r="E199" s="826">
        <v>24.347500000000004</v>
      </c>
      <c r="F199" s="826">
        <v>25.771999999999998</v>
      </c>
      <c r="G199" s="821"/>
      <c r="H199" s="819"/>
    </row>
    <row r="200" spans="1:8" s="791" customFormat="1" ht="12.95">
      <c r="A200" s="792">
        <v>40</v>
      </c>
      <c r="B200" s="802" t="s">
        <v>125</v>
      </c>
      <c r="C200" s="826">
        <v>24.377499999999998</v>
      </c>
      <c r="D200" s="826">
        <v>25.719999999999995</v>
      </c>
      <c r="E200" s="826">
        <v>26.474</v>
      </c>
      <c r="F200" s="826">
        <v>29.221999999999998</v>
      </c>
      <c r="G200" s="821"/>
      <c r="H200" s="819"/>
    </row>
    <row r="201" spans="1:8" s="791" customFormat="1" ht="12.95">
      <c r="A201" s="792">
        <v>41</v>
      </c>
      <c r="B201" s="800" t="s">
        <v>52</v>
      </c>
      <c r="C201" s="826">
        <v>22.111508899563049</v>
      </c>
      <c r="D201" s="826">
        <v>23.113910497812824</v>
      </c>
      <c r="E201" s="826">
        <v>23.887732661900429</v>
      </c>
      <c r="F201" s="826">
        <v>25.460439141292174</v>
      </c>
      <c r="G201" s="821"/>
      <c r="H201" s="819"/>
    </row>
    <row r="202" spans="1:8" s="791" customFormat="1" ht="12.95">
      <c r="A202" s="792">
        <v>46</v>
      </c>
      <c r="B202" s="802" t="s">
        <v>53</v>
      </c>
      <c r="C202" s="826">
        <v>21.368337821904749</v>
      </c>
      <c r="D202" s="826">
        <v>23.204005108232113</v>
      </c>
      <c r="E202" s="826">
        <v>23.468159487971256</v>
      </c>
      <c r="F202" s="826">
        <v>25.240894047165213</v>
      </c>
      <c r="G202" s="821"/>
      <c r="H202" s="819"/>
    </row>
    <row r="203" spans="1:8" s="791" customFormat="1" ht="12.95">
      <c r="A203" s="792">
        <v>48</v>
      </c>
      <c r="B203" s="802" t="s">
        <v>54</v>
      </c>
      <c r="C203" s="826">
        <v>19.683333333333337</v>
      </c>
      <c r="D203" s="826">
        <v>20.641666666666669</v>
      </c>
      <c r="E203" s="826">
        <v>21.14</v>
      </c>
      <c r="F203" s="826">
        <v>22.298888888888886</v>
      </c>
      <c r="G203" s="821"/>
      <c r="H203" s="819"/>
    </row>
    <row r="204" spans="1:8" s="791" customFormat="1" ht="12.95">
      <c r="A204" s="792">
        <v>49</v>
      </c>
      <c r="B204" s="802" t="s">
        <v>55</v>
      </c>
      <c r="C204" s="826">
        <v>21.28</v>
      </c>
      <c r="D204" s="826">
        <v>22.617142857142859</v>
      </c>
      <c r="E204" s="826">
        <v>22.865555555555556</v>
      </c>
      <c r="F204" s="826">
        <v>24.47</v>
      </c>
      <c r="G204" s="821"/>
      <c r="H204" s="819"/>
    </row>
    <row r="205" spans="1:8" s="791" customFormat="1" ht="12.95">
      <c r="A205" s="792">
        <v>50</v>
      </c>
      <c r="B205" s="800" t="s">
        <v>214</v>
      </c>
      <c r="C205" s="826">
        <v>21.604099248616961</v>
      </c>
      <c r="D205" s="826">
        <v>23.112652331018843</v>
      </c>
      <c r="E205" s="826">
        <v>22.90136572345649</v>
      </c>
      <c r="F205" s="826">
        <v>24.206804031604637</v>
      </c>
      <c r="G205" s="821"/>
      <c r="H205" s="819"/>
    </row>
    <row r="206" spans="1:8" s="791" customFormat="1" ht="12.95">
      <c r="A206" s="792">
        <v>53</v>
      </c>
      <c r="B206" s="802" t="s">
        <v>57</v>
      </c>
      <c r="C206" s="826">
        <v>25.093333333333334</v>
      </c>
      <c r="D206" s="826">
        <v>27.042499999999997</v>
      </c>
      <c r="E206" s="826">
        <v>27.791999999999998</v>
      </c>
      <c r="F206" s="826">
        <v>29.582857142857151</v>
      </c>
      <c r="G206" s="821"/>
      <c r="H206" s="824"/>
    </row>
    <row r="207" spans="1:8" s="791" customFormat="1" ht="12.95">
      <c r="A207" s="783"/>
      <c r="B207" s="798" t="s">
        <v>222</v>
      </c>
      <c r="C207" s="794"/>
      <c r="D207" s="794"/>
      <c r="E207" s="794"/>
      <c r="F207" s="794"/>
      <c r="G207" s="822"/>
      <c r="H207" s="823"/>
    </row>
    <row r="208" spans="1:8" s="791" customFormat="1" ht="12.95">
      <c r="A208" s="795"/>
      <c r="B208" s="804" t="s">
        <v>28</v>
      </c>
      <c r="C208" s="796">
        <v>2008</v>
      </c>
      <c r="D208" s="796">
        <v>2009</v>
      </c>
      <c r="E208" s="796">
        <v>2010</v>
      </c>
      <c r="F208" s="817">
        <v>2011</v>
      </c>
      <c r="G208" s="820"/>
      <c r="H208" s="818"/>
    </row>
    <row r="209" spans="1:8" s="791" customFormat="1" ht="12.95">
      <c r="A209" s="792">
        <v>1</v>
      </c>
      <c r="B209" s="800" t="s">
        <v>112</v>
      </c>
      <c r="C209" s="826">
        <v>4.16</v>
      </c>
      <c r="D209" s="826">
        <v>4.3600000000000003</v>
      </c>
      <c r="E209" s="826">
        <v>4.08</v>
      </c>
      <c r="F209" s="826">
        <v>5.57</v>
      </c>
      <c r="G209" s="821"/>
      <c r="H209" s="824"/>
    </row>
    <row r="210" spans="1:8" s="791" customFormat="1" ht="12.95">
      <c r="A210" s="792">
        <v>2</v>
      </c>
      <c r="B210" s="800" t="s">
        <v>174</v>
      </c>
      <c r="C210" s="826">
        <v>5.3506383072127841</v>
      </c>
      <c r="D210" s="826">
        <v>5.3685896870431398</v>
      </c>
      <c r="E210" s="826">
        <v>5.3930746378549044</v>
      </c>
      <c r="F210" s="826">
        <v>6.4928694751482601</v>
      </c>
      <c r="G210" s="821"/>
      <c r="H210" s="824"/>
    </row>
    <row r="211" spans="1:8" s="791" customFormat="1" ht="12.95">
      <c r="A211" s="792">
        <v>6</v>
      </c>
      <c r="B211" s="800" t="s">
        <v>31</v>
      </c>
      <c r="C211" s="826">
        <v>9.24</v>
      </c>
      <c r="D211" s="826">
        <v>10.54</v>
      </c>
      <c r="E211" s="826">
        <v>11.21</v>
      </c>
      <c r="F211" s="826">
        <v>11.529999999999998</v>
      </c>
      <c r="G211" s="821"/>
      <c r="H211" s="824"/>
    </row>
    <row r="212" spans="1:8" s="791" customFormat="1" ht="12.95">
      <c r="A212" s="792">
        <v>7</v>
      </c>
      <c r="B212" s="801" t="s">
        <v>32</v>
      </c>
      <c r="C212" s="826">
        <v>7.3000000000000007</v>
      </c>
      <c r="D212" s="826">
        <v>7.94</v>
      </c>
      <c r="E212" s="826">
        <v>8.98</v>
      </c>
      <c r="F212" s="826">
        <v>10.1</v>
      </c>
      <c r="G212" s="821"/>
      <c r="H212" s="824"/>
    </row>
    <row r="213" spans="1:8" s="791" customFormat="1" ht="12.95">
      <c r="A213" s="792">
        <v>8</v>
      </c>
      <c r="B213" s="800" t="s">
        <v>33</v>
      </c>
      <c r="C213" s="826">
        <v>4.72</v>
      </c>
      <c r="D213" s="826">
        <v>4.95</v>
      </c>
      <c r="E213" s="826">
        <v>5.19</v>
      </c>
      <c r="F213" s="826">
        <v>7.6099999999999977</v>
      </c>
      <c r="G213" s="821"/>
      <c r="H213" s="824"/>
    </row>
    <row r="214" spans="1:8" s="791" customFormat="1" ht="12.95">
      <c r="A214" s="792">
        <v>9</v>
      </c>
      <c r="B214" s="800" t="s">
        <v>34</v>
      </c>
      <c r="C214" s="826">
        <v>8</v>
      </c>
      <c r="D214" s="826">
        <v>8.77</v>
      </c>
      <c r="E214" s="826">
        <v>9.2100000000000009</v>
      </c>
      <c r="F214" s="826">
        <v>10.25</v>
      </c>
      <c r="G214" s="821"/>
      <c r="H214" s="824"/>
    </row>
    <row r="215" spans="1:8" s="791" customFormat="1" ht="12.95">
      <c r="A215" s="792">
        <v>12</v>
      </c>
      <c r="B215" s="802" t="s">
        <v>35</v>
      </c>
      <c r="C215" s="826">
        <v>5.2699999999999987</v>
      </c>
      <c r="D215" s="826">
        <v>5.42</v>
      </c>
      <c r="E215" s="826">
        <v>5.73</v>
      </c>
      <c r="F215" s="826">
        <v>6.1700000000000008</v>
      </c>
      <c r="G215" s="821"/>
      <c r="H215" s="824"/>
    </row>
    <row r="216" spans="1:8" s="791" customFormat="1" ht="12.95">
      <c r="A216" s="792">
        <v>13</v>
      </c>
      <c r="B216" s="802" t="s">
        <v>115</v>
      </c>
      <c r="C216" s="826">
        <v>4.91</v>
      </c>
      <c r="D216" s="826">
        <v>4.91</v>
      </c>
      <c r="E216" s="826">
        <v>5.32</v>
      </c>
      <c r="F216" s="826">
        <v>5.4300000000000006</v>
      </c>
      <c r="G216" s="821"/>
      <c r="H216" s="824"/>
    </row>
    <row r="217" spans="1:8" s="791" customFormat="1" ht="12.95">
      <c r="A217" s="792">
        <v>14</v>
      </c>
      <c r="B217" s="802" t="s">
        <v>116</v>
      </c>
      <c r="C217" s="826">
        <v>5.52</v>
      </c>
      <c r="D217" s="826">
        <v>5.69</v>
      </c>
      <c r="E217" s="826">
        <v>5.51</v>
      </c>
      <c r="F217" s="826">
        <v>6.04</v>
      </c>
      <c r="G217" s="821"/>
      <c r="H217" s="824"/>
    </row>
    <row r="218" spans="1:8" s="791" customFormat="1" ht="12.95">
      <c r="A218" s="792">
        <v>15</v>
      </c>
      <c r="B218" s="802" t="s">
        <v>38</v>
      </c>
      <c r="C218" s="826">
        <v>7.86</v>
      </c>
      <c r="D218" s="826">
        <v>8.19</v>
      </c>
      <c r="E218" s="826">
        <v>8.4499999999999993</v>
      </c>
      <c r="F218" s="826">
        <v>9.09</v>
      </c>
      <c r="G218" s="821"/>
      <c r="H218" s="824"/>
    </row>
    <row r="219" spans="1:8" s="791" customFormat="1" ht="12.95">
      <c r="A219" s="792">
        <v>17</v>
      </c>
      <c r="B219" s="803" t="s">
        <v>39</v>
      </c>
      <c r="C219" s="826">
        <v>3.99</v>
      </c>
      <c r="D219" s="826">
        <v>4.5089438571907268</v>
      </c>
      <c r="E219" s="826">
        <v>4.5106795128811221</v>
      </c>
      <c r="F219" s="826">
        <v>4.7452460129946843</v>
      </c>
      <c r="G219" s="821"/>
      <c r="H219" s="824"/>
    </row>
    <row r="220" spans="1:8" s="791" customFormat="1" ht="12.95">
      <c r="A220" s="792">
        <v>19</v>
      </c>
      <c r="B220" s="802" t="s">
        <v>40</v>
      </c>
      <c r="C220" s="826">
        <v>7.3</v>
      </c>
      <c r="D220" s="826">
        <v>8.5500000000000007</v>
      </c>
      <c r="E220" s="826">
        <v>8.7799999999999994</v>
      </c>
      <c r="F220" s="826">
        <v>9.3900000000000023</v>
      </c>
      <c r="G220" s="821"/>
      <c r="H220" s="824"/>
    </row>
    <row r="221" spans="1:8" s="791" customFormat="1" ht="12.95">
      <c r="A221" s="792">
        <v>20</v>
      </c>
      <c r="B221" s="802" t="s">
        <v>41</v>
      </c>
      <c r="C221" s="826">
        <v>5.59</v>
      </c>
      <c r="D221" s="826">
        <v>5.93</v>
      </c>
      <c r="E221" s="826">
        <v>5.6</v>
      </c>
      <c r="F221" s="826">
        <v>6.31</v>
      </c>
      <c r="G221" s="821"/>
      <c r="H221" s="824"/>
    </row>
    <row r="222" spans="1:8" s="791" customFormat="1" ht="12.95">
      <c r="A222" s="792">
        <v>21</v>
      </c>
      <c r="B222" s="802" t="s">
        <v>42</v>
      </c>
      <c r="C222" s="826">
        <v>5.24</v>
      </c>
      <c r="D222" s="826">
        <v>5.35</v>
      </c>
      <c r="E222" s="826">
        <v>5.35</v>
      </c>
      <c r="F222" s="826">
        <v>5.68</v>
      </c>
      <c r="G222" s="821"/>
      <c r="H222" s="824"/>
    </row>
    <row r="223" spans="1:8" s="791" customFormat="1" ht="12.95">
      <c r="A223" s="792">
        <v>22</v>
      </c>
      <c r="B223" s="802" t="s">
        <v>43</v>
      </c>
      <c r="C223" s="826">
        <v>4.97</v>
      </c>
      <c r="D223" s="826">
        <v>5.4</v>
      </c>
      <c r="E223" s="826">
        <v>5.879999999999999</v>
      </c>
      <c r="F223" s="826">
        <v>6.16</v>
      </c>
      <c r="G223" s="821"/>
      <c r="H223" s="824"/>
    </row>
    <row r="224" spans="1:8" s="791" customFormat="1" ht="12.95">
      <c r="A224" s="792">
        <v>23</v>
      </c>
      <c r="B224" s="802" t="s">
        <v>44</v>
      </c>
      <c r="C224" s="826">
        <v>5.65</v>
      </c>
      <c r="D224" s="826">
        <v>6.19</v>
      </c>
      <c r="E224" s="826">
        <v>6.81</v>
      </c>
      <c r="F224" s="826">
        <v>7.3200000000000012</v>
      </c>
      <c r="G224" s="821"/>
      <c r="H224" s="824"/>
    </row>
    <row r="225" spans="1:8" s="791" customFormat="1" ht="12.95">
      <c r="A225" s="792">
        <v>24</v>
      </c>
      <c r="B225" s="801" t="s">
        <v>45</v>
      </c>
      <c r="C225" s="826">
        <v>5.31</v>
      </c>
      <c r="D225" s="826">
        <v>5.5</v>
      </c>
      <c r="E225" s="826">
        <v>5.71</v>
      </c>
      <c r="F225" s="826">
        <v>6.02</v>
      </c>
      <c r="G225" s="821"/>
      <c r="H225" s="824"/>
    </row>
    <row r="226" spans="1:8" s="791" customFormat="1" ht="12.95">
      <c r="A226" s="792">
        <v>25</v>
      </c>
      <c r="B226" s="802" t="s">
        <v>295</v>
      </c>
      <c r="C226" s="826">
        <v>11.13</v>
      </c>
      <c r="D226" s="826">
        <v>11.23</v>
      </c>
      <c r="E226" s="826">
        <v>11.09</v>
      </c>
      <c r="F226" s="826">
        <v>13.82</v>
      </c>
      <c r="G226" s="821"/>
      <c r="H226" s="824"/>
    </row>
    <row r="227" spans="1:8" s="791" customFormat="1" ht="12.95">
      <c r="A227" s="792">
        <v>26</v>
      </c>
      <c r="B227" s="803" t="s">
        <v>47</v>
      </c>
      <c r="C227" s="826">
        <v>7.1736232136140181</v>
      </c>
      <c r="D227" s="826">
        <v>7.0616693862259696</v>
      </c>
      <c r="E227" s="826">
        <v>7.2798196645513018</v>
      </c>
      <c r="F227" s="826">
        <v>7.6634857093834663</v>
      </c>
      <c r="G227" s="821"/>
      <c r="H227" s="824"/>
    </row>
    <row r="228" spans="1:8" s="791" customFormat="1" ht="12.95">
      <c r="A228" s="792">
        <v>35</v>
      </c>
      <c r="B228" s="802" t="s">
        <v>48</v>
      </c>
      <c r="C228" s="826">
        <v>5.49</v>
      </c>
      <c r="D228" s="826">
        <v>5.79</v>
      </c>
      <c r="E228" s="826">
        <v>5.84</v>
      </c>
      <c r="F228" s="826">
        <v>6.45</v>
      </c>
      <c r="G228" s="821"/>
      <c r="H228" s="824"/>
    </row>
    <row r="229" spans="1:8" s="791" customFormat="1" ht="12.95">
      <c r="A229" s="792">
        <v>36</v>
      </c>
      <c r="B229" s="800" t="s">
        <v>176</v>
      </c>
      <c r="C229" s="826">
        <v>5.999715008946886</v>
      </c>
      <c r="D229" s="826">
        <v>6.2537032500765486</v>
      </c>
      <c r="E229" s="826">
        <v>7.9859269748594839</v>
      </c>
      <c r="F229" s="826">
        <v>8.2893767126266802</v>
      </c>
      <c r="G229" s="821"/>
      <c r="H229" s="824"/>
    </row>
    <row r="230" spans="1:8" s="791" customFormat="1" ht="12.95">
      <c r="A230" s="792">
        <v>39</v>
      </c>
      <c r="B230" s="802" t="s">
        <v>124</v>
      </c>
      <c r="C230" s="826">
        <v>7.08</v>
      </c>
      <c r="D230" s="826">
        <v>7.8500000000000005</v>
      </c>
      <c r="E230" s="826">
        <v>8.1199999999999992</v>
      </c>
      <c r="F230" s="826">
        <v>8.65</v>
      </c>
      <c r="G230" s="821"/>
      <c r="H230" s="824"/>
    </row>
    <row r="231" spans="1:8" s="791" customFormat="1" ht="12.95">
      <c r="A231" s="792">
        <v>40</v>
      </c>
      <c r="B231" s="802" t="s">
        <v>125</v>
      </c>
      <c r="C231" s="826">
        <v>6.31</v>
      </c>
      <c r="D231" s="826">
        <v>6.97</v>
      </c>
      <c r="E231" s="826">
        <v>9.6999999999999993</v>
      </c>
      <c r="F231" s="826">
        <v>9.9199999999999982</v>
      </c>
      <c r="G231" s="821"/>
      <c r="H231" s="824"/>
    </row>
    <row r="232" spans="1:8" s="791" customFormat="1" ht="12.95">
      <c r="A232" s="792">
        <v>41</v>
      </c>
      <c r="B232" s="800" t="s">
        <v>52</v>
      </c>
      <c r="C232" s="826">
        <v>6.1113763286182365</v>
      </c>
      <c r="D232" s="826">
        <v>6.3113924724032442</v>
      </c>
      <c r="E232" s="826">
        <v>7.0800561463769069</v>
      </c>
      <c r="F232" s="826">
        <v>7.4175997637398554</v>
      </c>
      <c r="G232" s="821"/>
      <c r="H232" s="824"/>
    </row>
    <row r="233" spans="1:8" s="791" customFormat="1" ht="12.95">
      <c r="A233" s="792">
        <v>46</v>
      </c>
      <c r="B233" s="802" t="s">
        <v>53</v>
      </c>
      <c r="C233" s="826">
        <v>6.0427352513340704</v>
      </c>
      <c r="D233" s="826">
        <v>7.1244187363481908</v>
      </c>
      <c r="E233" s="826">
        <v>7.3955135671798091</v>
      </c>
      <c r="F233" s="826">
        <v>7.8135537790146579</v>
      </c>
      <c r="G233" s="821"/>
      <c r="H233" s="824"/>
    </row>
    <row r="234" spans="1:8" s="791" customFormat="1" ht="12.95">
      <c r="A234" s="792">
        <v>48</v>
      </c>
      <c r="B234" s="802" t="s">
        <v>54</v>
      </c>
      <c r="C234" s="826">
        <v>4.1900000000000004</v>
      </c>
      <c r="D234" s="826">
        <v>4.4000000000000004</v>
      </c>
      <c r="E234" s="826">
        <v>4.620000000000001</v>
      </c>
      <c r="F234" s="826">
        <v>4.83</v>
      </c>
      <c r="G234" s="821"/>
      <c r="H234" s="824"/>
    </row>
    <row r="235" spans="1:8" s="791" customFormat="1" ht="12.95">
      <c r="A235" s="792">
        <v>49</v>
      </c>
      <c r="B235" s="802" t="s">
        <v>55</v>
      </c>
      <c r="C235" s="826">
        <v>6.18</v>
      </c>
      <c r="D235" s="826">
        <v>6.18</v>
      </c>
      <c r="E235" s="826">
        <v>6.48</v>
      </c>
      <c r="F235" s="826">
        <v>6.8799999999999981</v>
      </c>
      <c r="G235" s="821"/>
      <c r="H235" s="824"/>
    </row>
    <row r="236" spans="1:8" s="791" customFormat="1" ht="12.95">
      <c r="A236" s="792">
        <v>50</v>
      </c>
      <c r="B236" s="800" t="s">
        <v>214</v>
      </c>
      <c r="C236" s="826">
        <v>5.84</v>
      </c>
      <c r="D236" s="826">
        <v>5.588886212271504</v>
      </c>
      <c r="E236" s="826">
        <v>5.9500000000000011</v>
      </c>
      <c r="F236" s="826">
        <v>6.2197515019524126</v>
      </c>
      <c r="G236" s="821"/>
      <c r="H236" s="824"/>
    </row>
    <row r="237" spans="1:8" s="791" customFormat="1" ht="12.95">
      <c r="A237" s="792">
        <v>53</v>
      </c>
      <c r="B237" s="802" t="s">
        <v>57</v>
      </c>
      <c r="C237" s="826">
        <v>7.93</v>
      </c>
      <c r="D237" s="826">
        <v>8.25</v>
      </c>
      <c r="E237" s="826">
        <v>8.66</v>
      </c>
      <c r="F237" s="826">
        <v>9.3000000000000007</v>
      </c>
      <c r="G237" s="821"/>
      <c r="H237" s="824"/>
    </row>
    <row r="238" spans="1:8" s="791" customFormat="1" ht="12.95">
      <c r="A238" s="783"/>
      <c r="B238" s="798" t="s">
        <v>221</v>
      </c>
      <c r="C238" s="794"/>
      <c r="D238" s="794"/>
      <c r="E238" s="794"/>
      <c r="F238" s="794"/>
      <c r="G238" s="822"/>
      <c r="H238" s="823"/>
    </row>
    <row r="239" spans="1:8" s="791" customFormat="1" ht="12.95">
      <c r="A239" s="792"/>
      <c r="B239" s="804" t="s">
        <v>28</v>
      </c>
      <c r="C239" s="796">
        <v>2008</v>
      </c>
      <c r="D239" s="796">
        <v>2009</v>
      </c>
      <c r="E239" s="796">
        <v>2010</v>
      </c>
      <c r="F239" s="817">
        <v>2011</v>
      </c>
      <c r="G239" s="820"/>
      <c r="H239" s="818"/>
    </row>
    <row r="240" spans="1:8" s="791" customFormat="1" ht="12.95">
      <c r="A240" s="792">
        <v>1</v>
      </c>
      <c r="B240" s="800" t="s">
        <v>112</v>
      </c>
      <c r="C240" s="826">
        <v>6.57</v>
      </c>
      <c r="D240" s="826">
        <v>6.7700000000000005</v>
      </c>
      <c r="E240" s="826">
        <v>6.73</v>
      </c>
      <c r="F240" s="826">
        <v>6.9700000000000006</v>
      </c>
      <c r="G240" s="821"/>
      <c r="H240" s="824"/>
    </row>
    <row r="241" spans="1:8" s="791" customFormat="1" ht="12.95">
      <c r="A241" s="792">
        <v>2</v>
      </c>
      <c r="B241" s="800" t="s">
        <v>174</v>
      </c>
      <c r="C241" s="826">
        <v>6.9223245094165682</v>
      </c>
      <c r="D241" s="826">
        <v>7.4246684837822432</v>
      </c>
      <c r="E241" s="826">
        <v>7.3236453823089303</v>
      </c>
      <c r="F241" s="826">
        <v>8.3629039570450452</v>
      </c>
      <c r="G241" s="821"/>
      <c r="H241" s="824"/>
    </row>
    <row r="242" spans="1:8" s="791" customFormat="1" ht="12.95">
      <c r="A242" s="792">
        <v>6</v>
      </c>
      <c r="B242" s="800" t="s">
        <v>31</v>
      </c>
      <c r="C242" s="826">
        <v>12.05</v>
      </c>
      <c r="D242" s="826">
        <v>12.79</v>
      </c>
      <c r="E242" s="826">
        <v>13.510000000000002</v>
      </c>
      <c r="F242" s="826">
        <v>14.119999999999997</v>
      </c>
      <c r="G242" s="821"/>
      <c r="H242" s="824"/>
    </row>
    <row r="243" spans="1:8" s="791" customFormat="1" ht="12.95">
      <c r="A243" s="792">
        <v>7</v>
      </c>
      <c r="B243" s="801" t="s">
        <v>32</v>
      </c>
      <c r="C243" s="826">
        <v>8.91</v>
      </c>
      <c r="D243" s="826">
        <v>10.15</v>
      </c>
      <c r="E243" s="826">
        <v>11.52</v>
      </c>
      <c r="F243" s="826">
        <v>13.03</v>
      </c>
      <c r="G243" s="821"/>
      <c r="H243" s="824"/>
    </row>
    <row r="244" spans="1:8" s="791" customFormat="1" ht="12.95">
      <c r="A244" s="792">
        <v>8</v>
      </c>
      <c r="B244" s="800" t="s">
        <v>33</v>
      </c>
      <c r="C244" s="826">
        <v>7.9799999999999986</v>
      </c>
      <c r="D244" s="826">
        <v>8.35</v>
      </c>
      <c r="E244" s="826">
        <v>8.8000000000000007</v>
      </c>
      <c r="F244" s="826">
        <v>9.6499999999999986</v>
      </c>
      <c r="G244" s="821"/>
      <c r="H244" s="824"/>
    </row>
    <row r="245" spans="1:8" s="791" customFormat="1" ht="12.95">
      <c r="A245" s="792">
        <v>9</v>
      </c>
      <c r="B245" s="800" t="s">
        <v>34</v>
      </c>
      <c r="C245" s="826">
        <v>10.65</v>
      </c>
      <c r="D245" s="826">
        <v>11.45</v>
      </c>
      <c r="E245" s="826">
        <v>11.950000000000001</v>
      </c>
      <c r="F245" s="826">
        <v>13</v>
      </c>
      <c r="G245" s="821"/>
      <c r="H245" s="824"/>
    </row>
    <row r="246" spans="1:8" s="791" customFormat="1" ht="12.95">
      <c r="A246" s="792">
        <v>12</v>
      </c>
      <c r="B246" s="802" t="s">
        <v>35</v>
      </c>
      <c r="C246" s="826">
        <v>7.2199999999999989</v>
      </c>
      <c r="D246" s="826">
        <v>7.16</v>
      </c>
      <c r="E246" s="826">
        <v>7.6000000000000005</v>
      </c>
      <c r="F246" s="826">
        <v>8.1000000000000014</v>
      </c>
      <c r="G246" s="821"/>
      <c r="H246" s="824"/>
    </row>
    <row r="247" spans="1:8" s="791" customFormat="1" ht="12.95">
      <c r="A247" s="792">
        <v>13</v>
      </c>
      <c r="B247" s="802" t="s">
        <v>115</v>
      </c>
      <c r="C247" s="826">
        <v>6.4</v>
      </c>
      <c r="D247" s="826">
        <v>6.4</v>
      </c>
      <c r="E247" s="826">
        <v>6.4</v>
      </c>
      <c r="F247" s="826">
        <v>6.53</v>
      </c>
      <c r="G247" s="821"/>
      <c r="H247" s="824"/>
    </row>
    <row r="248" spans="1:8" s="791" customFormat="1" ht="12.95">
      <c r="A248" s="792">
        <v>14</v>
      </c>
      <c r="B248" s="802" t="s">
        <v>116</v>
      </c>
      <c r="C248" s="826">
        <v>7.17</v>
      </c>
      <c r="D248" s="826">
        <v>7.49</v>
      </c>
      <c r="E248" s="826">
        <v>7.27</v>
      </c>
      <c r="F248" s="826">
        <v>7.98</v>
      </c>
      <c r="G248" s="821"/>
      <c r="H248" s="824"/>
    </row>
    <row r="249" spans="1:8" s="791" customFormat="1" ht="12.95">
      <c r="A249" s="792">
        <v>15</v>
      </c>
      <c r="B249" s="802" t="s">
        <v>38</v>
      </c>
      <c r="C249" s="826">
        <v>10</v>
      </c>
      <c r="D249" s="826">
        <v>10.639999999999999</v>
      </c>
      <c r="E249" s="826">
        <v>10.739999999999998</v>
      </c>
      <c r="F249" s="826">
        <v>11.36</v>
      </c>
      <c r="G249" s="821"/>
      <c r="H249" s="824"/>
    </row>
    <row r="250" spans="1:8" s="791" customFormat="1" ht="12.95">
      <c r="A250" s="792">
        <v>17</v>
      </c>
      <c r="B250" s="803" t="s">
        <v>39</v>
      </c>
      <c r="C250" s="826">
        <v>6.18</v>
      </c>
      <c r="D250" s="826">
        <v>6.6378861912450118</v>
      </c>
      <c r="E250" s="826">
        <v>6.6379141856916304</v>
      </c>
      <c r="F250" s="826">
        <v>7.0500000000000007</v>
      </c>
      <c r="G250" s="821"/>
      <c r="H250" s="824"/>
    </row>
    <row r="251" spans="1:8" s="791" customFormat="1" ht="12.95">
      <c r="A251" s="792">
        <v>19</v>
      </c>
      <c r="B251" s="802" t="s">
        <v>40</v>
      </c>
      <c r="C251" s="826">
        <v>8.73</v>
      </c>
      <c r="D251" s="826">
        <v>10.290000000000001</v>
      </c>
      <c r="E251" s="826">
        <v>10.28</v>
      </c>
      <c r="F251" s="826">
        <v>11.110000000000003</v>
      </c>
      <c r="G251" s="821"/>
      <c r="H251" s="824"/>
    </row>
    <row r="252" spans="1:8" s="791" customFormat="1" ht="12.95">
      <c r="A252" s="792">
        <v>20</v>
      </c>
      <c r="B252" s="802" t="s">
        <v>41</v>
      </c>
      <c r="C252" s="826">
        <v>6.96</v>
      </c>
      <c r="D252" s="826">
        <v>7.63</v>
      </c>
      <c r="E252" s="826">
        <v>7.25</v>
      </c>
      <c r="F252" s="826">
        <v>7.96</v>
      </c>
      <c r="G252" s="821"/>
      <c r="H252" s="824"/>
    </row>
    <row r="253" spans="1:8" s="791" customFormat="1" ht="12.95">
      <c r="A253" s="792">
        <v>21</v>
      </c>
      <c r="B253" s="802" t="s">
        <v>42</v>
      </c>
      <c r="C253" s="826">
        <v>6.63</v>
      </c>
      <c r="D253" s="826">
        <v>7.17</v>
      </c>
      <c r="E253" s="826">
        <v>7.39</v>
      </c>
      <c r="F253" s="826">
        <v>7.76</v>
      </c>
      <c r="G253" s="821"/>
      <c r="H253" s="824"/>
    </row>
    <row r="254" spans="1:8" s="791" customFormat="1" ht="12.95">
      <c r="A254" s="792">
        <v>22</v>
      </c>
      <c r="B254" s="802" t="s">
        <v>43</v>
      </c>
      <c r="C254" s="826">
        <v>6.66</v>
      </c>
      <c r="D254" s="826">
        <v>7.15</v>
      </c>
      <c r="E254" s="826">
        <v>7.7399999999999993</v>
      </c>
      <c r="F254" s="826">
        <v>8.6999999999999993</v>
      </c>
      <c r="G254" s="821"/>
      <c r="H254" s="824"/>
    </row>
    <row r="255" spans="1:8" s="791" customFormat="1" ht="12.95">
      <c r="A255" s="792">
        <v>23</v>
      </c>
      <c r="B255" s="802" t="s">
        <v>44</v>
      </c>
      <c r="C255" s="826">
        <v>7.5500000000000007</v>
      </c>
      <c r="D255" s="826">
        <v>8.2200000000000006</v>
      </c>
      <c r="E255" s="826">
        <v>8.82</v>
      </c>
      <c r="F255" s="826">
        <v>9.3300000000000018</v>
      </c>
      <c r="G255" s="821"/>
      <c r="H255" s="824"/>
    </row>
    <row r="256" spans="1:8" s="791" customFormat="1" ht="12.95">
      <c r="A256" s="792">
        <v>24</v>
      </c>
      <c r="B256" s="801" t="s">
        <v>45</v>
      </c>
      <c r="C256" s="826">
        <v>7.1099999999999994</v>
      </c>
      <c r="D256" s="826">
        <v>7.4700000000000006</v>
      </c>
      <c r="E256" s="826">
        <v>7.9300000000000006</v>
      </c>
      <c r="F256" s="826">
        <v>8.2099999999999991</v>
      </c>
      <c r="G256" s="821"/>
      <c r="H256" s="824"/>
    </row>
    <row r="257" spans="1:8" s="791" customFormat="1" ht="12.95">
      <c r="A257" s="792">
        <v>25</v>
      </c>
      <c r="B257" s="802" t="s">
        <v>295</v>
      </c>
      <c r="C257" s="826">
        <v>12.620000000000001</v>
      </c>
      <c r="D257" s="826">
        <v>13.49</v>
      </c>
      <c r="E257" s="826">
        <v>13.26</v>
      </c>
      <c r="F257" s="826">
        <v>15.63</v>
      </c>
      <c r="G257" s="821"/>
      <c r="H257" s="824"/>
    </row>
    <row r="258" spans="1:8" s="791" customFormat="1" ht="12.95">
      <c r="A258" s="792">
        <v>26</v>
      </c>
      <c r="B258" s="803" t="s">
        <v>47</v>
      </c>
      <c r="C258" s="826">
        <v>8.6345016882842689</v>
      </c>
      <c r="D258" s="826">
        <v>8.7474494096082598</v>
      </c>
      <c r="E258" s="826">
        <v>8.9907227519783532</v>
      </c>
      <c r="F258" s="826">
        <v>9.5823744176830292</v>
      </c>
      <c r="G258" s="821"/>
      <c r="H258" s="824"/>
    </row>
    <row r="259" spans="1:8" s="791" customFormat="1" ht="12.95">
      <c r="A259" s="792">
        <v>35</v>
      </c>
      <c r="B259" s="802" t="s">
        <v>48</v>
      </c>
      <c r="C259" s="826">
        <v>7.42</v>
      </c>
      <c r="D259" s="826">
        <v>7.72</v>
      </c>
      <c r="E259" s="826">
        <v>8.15</v>
      </c>
      <c r="F259" s="826">
        <v>8.81</v>
      </c>
      <c r="G259" s="821"/>
      <c r="H259" s="824"/>
    </row>
    <row r="260" spans="1:8" s="791" customFormat="1" ht="12.95">
      <c r="A260" s="792">
        <v>36</v>
      </c>
      <c r="B260" s="800" t="s">
        <v>176</v>
      </c>
      <c r="C260" s="826">
        <v>7.351174442456248</v>
      </c>
      <c r="D260" s="826">
        <v>7.8492607497484794</v>
      </c>
      <c r="E260" s="826">
        <v>9.9155618491568998</v>
      </c>
      <c r="F260" s="826">
        <v>10.306607803053369</v>
      </c>
      <c r="G260" s="821"/>
      <c r="H260" s="824"/>
    </row>
    <row r="261" spans="1:8" s="791" customFormat="1" ht="12.95">
      <c r="A261" s="792">
        <v>39</v>
      </c>
      <c r="B261" s="802" t="s">
        <v>124</v>
      </c>
      <c r="C261" s="826">
        <v>8.67</v>
      </c>
      <c r="D261" s="826">
        <v>9.56</v>
      </c>
      <c r="E261" s="826">
        <v>9.76</v>
      </c>
      <c r="F261" s="826">
        <v>10.32</v>
      </c>
      <c r="G261" s="821"/>
      <c r="H261" s="824"/>
    </row>
    <row r="262" spans="1:8" s="791" customFormat="1" ht="12.95">
      <c r="A262" s="792">
        <v>40</v>
      </c>
      <c r="B262" s="802" t="s">
        <v>125</v>
      </c>
      <c r="C262" s="826">
        <v>8.64</v>
      </c>
      <c r="D262" s="826">
        <v>9.43</v>
      </c>
      <c r="E262" s="826">
        <v>11.68</v>
      </c>
      <c r="F262" s="826">
        <v>11.939999999999998</v>
      </c>
      <c r="G262" s="821"/>
      <c r="H262" s="824"/>
    </row>
    <row r="263" spans="1:8" s="791" customFormat="1" ht="12.95">
      <c r="A263" s="792">
        <v>41</v>
      </c>
      <c r="B263" s="800" t="s">
        <v>52</v>
      </c>
      <c r="C263" s="826">
        <v>7.9829355070726438</v>
      </c>
      <c r="D263" s="826">
        <v>8.3114556456975652</v>
      </c>
      <c r="E263" s="826">
        <v>9.3313670777776725</v>
      </c>
      <c r="F263" s="826">
        <v>9.7158665879132844</v>
      </c>
      <c r="G263" s="821"/>
      <c r="H263" s="824"/>
    </row>
    <row r="264" spans="1:8" s="791" customFormat="1" ht="12.95">
      <c r="A264" s="792">
        <v>46</v>
      </c>
      <c r="B264" s="802" t="s">
        <v>53</v>
      </c>
      <c r="C264" s="826">
        <v>7.9537392263173459</v>
      </c>
      <c r="D264" s="826">
        <v>9.2493212523258617</v>
      </c>
      <c r="E264" s="826">
        <v>9.7326749740077503</v>
      </c>
      <c r="F264" s="826">
        <v>10.280173917329552</v>
      </c>
      <c r="G264" s="821"/>
      <c r="H264" s="824"/>
    </row>
    <row r="265" spans="1:8" s="791" customFormat="1" ht="12.95">
      <c r="A265" s="792">
        <v>48</v>
      </c>
      <c r="B265" s="802" t="s">
        <v>54</v>
      </c>
      <c r="C265" s="826">
        <v>5.2700000000000005</v>
      </c>
      <c r="D265" s="826">
        <v>6.0400000000000009</v>
      </c>
      <c r="E265" s="826">
        <v>6.3200000000000012</v>
      </c>
      <c r="F265" s="826">
        <v>6.61</v>
      </c>
      <c r="G265" s="821"/>
      <c r="H265" s="824"/>
    </row>
    <row r="266" spans="1:8" s="791" customFormat="1" ht="12.95">
      <c r="A266" s="792">
        <v>49</v>
      </c>
      <c r="B266" s="802" t="s">
        <v>55</v>
      </c>
      <c r="C266" s="826">
        <v>7.8199999999999994</v>
      </c>
      <c r="D266" s="826">
        <v>8.27</v>
      </c>
      <c r="E266" s="826">
        <v>8.73</v>
      </c>
      <c r="F266" s="826">
        <v>9.0399999999999974</v>
      </c>
      <c r="G266" s="821"/>
      <c r="H266" s="824"/>
    </row>
    <row r="267" spans="1:8" s="791" customFormat="1" ht="12.95">
      <c r="A267" s="792">
        <v>50</v>
      </c>
      <c r="B267" s="800" t="s">
        <v>214</v>
      </c>
      <c r="C267" s="826">
        <v>7.8900000000000006</v>
      </c>
      <c r="D267" s="826">
        <v>7.9834221340512972</v>
      </c>
      <c r="E267" s="826">
        <v>8.5000000000000018</v>
      </c>
      <c r="F267" s="826">
        <v>8.94</v>
      </c>
      <c r="G267" s="821"/>
      <c r="H267" s="824"/>
    </row>
    <row r="268" spans="1:8" s="791" customFormat="1" ht="12.95">
      <c r="A268" s="792">
        <v>53</v>
      </c>
      <c r="B268" s="802" t="s">
        <v>57</v>
      </c>
      <c r="C268" s="826">
        <v>9.32</v>
      </c>
      <c r="D268" s="826">
        <v>9.64</v>
      </c>
      <c r="E268" s="826">
        <v>10.050000000000001</v>
      </c>
      <c r="F268" s="826">
        <v>10.72</v>
      </c>
      <c r="G268" s="821"/>
      <c r="H268" s="824"/>
    </row>
    <row r="269" spans="1:8" s="791" customFormat="1" ht="12.95">
      <c r="A269" s="783"/>
      <c r="B269" s="798" t="s">
        <v>223</v>
      </c>
      <c r="C269" s="794"/>
      <c r="D269" s="794"/>
      <c r="E269" s="794"/>
      <c r="F269" s="794"/>
      <c r="G269" s="822"/>
      <c r="H269" s="823"/>
    </row>
    <row r="270" spans="1:8" s="791" customFormat="1" ht="12.95">
      <c r="A270" s="792"/>
      <c r="B270" s="805" t="s">
        <v>28</v>
      </c>
      <c r="C270" s="796">
        <v>2008</v>
      </c>
      <c r="D270" s="796">
        <v>2009</v>
      </c>
      <c r="E270" s="796">
        <v>2010</v>
      </c>
      <c r="F270" s="817">
        <v>2011</v>
      </c>
      <c r="G270" s="820"/>
      <c r="H270" s="818"/>
    </row>
    <row r="271" spans="1:8" s="791" customFormat="1" ht="12.95">
      <c r="A271" s="792">
        <v>1</v>
      </c>
      <c r="B271" s="800" t="s">
        <v>112</v>
      </c>
      <c r="C271" s="826">
        <v>2.41</v>
      </c>
      <c r="D271" s="826">
        <v>2.41</v>
      </c>
      <c r="E271" s="826">
        <v>2.65</v>
      </c>
      <c r="F271" s="826">
        <v>1.4</v>
      </c>
      <c r="G271" s="821"/>
      <c r="H271" s="824"/>
    </row>
    <row r="272" spans="1:8" s="791" customFormat="1" ht="12.95">
      <c r="A272" s="792">
        <v>2</v>
      </c>
      <c r="B272" s="800" t="s">
        <v>174</v>
      </c>
      <c r="C272" s="826">
        <v>1.5716862022037843</v>
      </c>
      <c r="D272" s="826">
        <v>2.0560787967391034</v>
      </c>
      <c r="E272" s="826">
        <v>1.9305707444540261</v>
      </c>
      <c r="F272" s="826">
        <v>1.8700344818967853</v>
      </c>
      <c r="G272" s="821"/>
      <c r="H272" s="824"/>
    </row>
    <row r="273" spans="1:8" s="791" customFormat="1" ht="12.95">
      <c r="A273" s="792">
        <v>6</v>
      </c>
      <c r="B273" s="800" t="s">
        <v>31</v>
      </c>
      <c r="C273" s="826">
        <v>2.81</v>
      </c>
      <c r="D273" s="826">
        <v>2.25</v>
      </c>
      <c r="E273" s="826">
        <v>2.2999999999999998</v>
      </c>
      <c r="F273" s="826">
        <v>2.5899999999999994</v>
      </c>
      <c r="G273" s="821"/>
      <c r="H273" s="824"/>
    </row>
    <row r="274" spans="1:8" s="791" customFormat="1" ht="12.95">
      <c r="A274" s="792">
        <v>7</v>
      </c>
      <c r="B274" s="801" t="s">
        <v>32</v>
      </c>
      <c r="C274" s="826">
        <v>1.6099999999999999</v>
      </c>
      <c r="D274" s="826">
        <v>2.21</v>
      </c>
      <c r="E274" s="826">
        <v>2.54</v>
      </c>
      <c r="F274" s="826">
        <v>2.93</v>
      </c>
      <c r="G274" s="821"/>
      <c r="H274" s="824"/>
    </row>
    <row r="275" spans="1:8" s="791" customFormat="1" ht="12.95">
      <c r="A275" s="792">
        <v>8</v>
      </c>
      <c r="B275" s="800" t="s">
        <v>33</v>
      </c>
      <c r="C275" s="826">
        <v>3.2599999999999993</v>
      </c>
      <c r="D275" s="826">
        <v>3.4</v>
      </c>
      <c r="E275" s="826">
        <v>3.6100000000000008</v>
      </c>
      <c r="F275" s="826">
        <v>2.0400000000000005</v>
      </c>
      <c r="G275" s="821"/>
      <c r="H275" s="824"/>
    </row>
    <row r="276" spans="1:8" s="791" customFormat="1" ht="12.95">
      <c r="A276" s="792">
        <v>9</v>
      </c>
      <c r="B276" s="800" t="s">
        <v>34</v>
      </c>
      <c r="C276" s="826">
        <v>2.65</v>
      </c>
      <c r="D276" s="826">
        <v>2.68</v>
      </c>
      <c r="E276" s="826">
        <v>2.74</v>
      </c>
      <c r="F276" s="826">
        <v>2.75</v>
      </c>
      <c r="G276" s="821"/>
      <c r="H276" s="824"/>
    </row>
    <row r="277" spans="1:8" s="791" customFormat="1" ht="12.95">
      <c r="A277" s="792">
        <v>12</v>
      </c>
      <c r="B277" s="802" t="s">
        <v>35</v>
      </c>
      <c r="C277" s="826">
        <v>1.9499999999999997</v>
      </c>
      <c r="D277" s="826">
        <v>1.7400000000000002</v>
      </c>
      <c r="E277" s="826">
        <v>1.8700000000000003</v>
      </c>
      <c r="F277" s="826">
        <v>1.9300000000000004</v>
      </c>
      <c r="G277" s="821"/>
      <c r="H277" s="824"/>
    </row>
    <row r="278" spans="1:8" s="791" customFormat="1" ht="12.95">
      <c r="A278" s="792">
        <v>13</v>
      </c>
      <c r="B278" s="802" t="s">
        <v>115</v>
      </c>
      <c r="C278" s="826">
        <v>1.49</v>
      </c>
      <c r="D278" s="826">
        <v>1.49</v>
      </c>
      <c r="E278" s="826">
        <v>1.08</v>
      </c>
      <c r="F278" s="826">
        <v>1.0999999999999999</v>
      </c>
      <c r="G278" s="821"/>
      <c r="H278" s="824"/>
    </row>
    <row r="279" spans="1:8" s="791" customFormat="1" ht="12.95">
      <c r="A279" s="792">
        <v>14</v>
      </c>
      <c r="B279" s="802" t="s">
        <v>116</v>
      </c>
      <c r="C279" s="826">
        <v>1.65</v>
      </c>
      <c r="D279" s="826">
        <v>1.8</v>
      </c>
      <c r="E279" s="826">
        <v>1.76</v>
      </c>
      <c r="F279" s="826">
        <v>1.94</v>
      </c>
      <c r="G279" s="821"/>
      <c r="H279" s="824"/>
    </row>
    <row r="280" spans="1:8" s="791" customFormat="1" ht="12.95">
      <c r="A280" s="792">
        <v>15</v>
      </c>
      <c r="B280" s="802" t="s">
        <v>38</v>
      </c>
      <c r="C280" s="826">
        <v>2.14</v>
      </c>
      <c r="D280" s="826">
        <v>2.4499999999999997</v>
      </c>
      <c r="E280" s="826">
        <v>2.29</v>
      </c>
      <c r="F280" s="826">
        <v>2.2700000000000005</v>
      </c>
      <c r="G280" s="821"/>
      <c r="H280" s="824"/>
    </row>
    <row r="281" spans="1:8" s="791" customFormat="1" ht="12.95">
      <c r="A281" s="792">
        <v>17</v>
      </c>
      <c r="B281" s="803" t="s">
        <v>39</v>
      </c>
      <c r="C281" s="826">
        <v>2.19</v>
      </c>
      <c r="D281" s="826">
        <v>2.128942334054285</v>
      </c>
      <c r="E281" s="826">
        <v>2.1272346728105083</v>
      </c>
      <c r="F281" s="826">
        <v>2.304753987005316</v>
      </c>
      <c r="G281" s="821"/>
      <c r="H281" s="824"/>
    </row>
    <row r="282" spans="1:8" s="791" customFormat="1" ht="12.95">
      <c r="A282" s="792">
        <v>19</v>
      </c>
      <c r="B282" s="802" t="s">
        <v>40</v>
      </c>
      <c r="C282" s="826">
        <v>1.43</v>
      </c>
      <c r="D282" s="826">
        <v>1.74</v>
      </c>
      <c r="E282" s="826">
        <v>1.5</v>
      </c>
      <c r="F282" s="826">
        <v>1.72</v>
      </c>
      <c r="G282" s="821"/>
      <c r="H282" s="824"/>
    </row>
    <row r="283" spans="1:8" s="791" customFormat="1" ht="12.95">
      <c r="A283" s="792">
        <v>20</v>
      </c>
      <c r="B283" s="802" t="s">
        <v>41</v>
      </c>
      <c r="C283" s="826">
        <v>1.37</v>
      </c>
      <c r="D283" s="826">
        <v>1.7</v>
      </c>
      <c r="E283" s="826">
        <v>1.65</v>
      </c>
      <c r="F283" s="826">
        <v>1.6500000000000001</v>
      </c>
      <c r="G283" s="821"/>
      <c r="H283" s="824"/>
    </row>
    <row r="284" spans="1:8" s="791" customFormat="1" ht="12.95">
      <c r="A284" s="792">
        <v>21</v>
      </c>
      <c r="B284" s="802" t="s">
        <v>42</v>
      </c>
      <c r="C284" s="826">
        <v>1.39</v>
      </c>
      <c r="D284" s="826">
        <v>1.82</v>
      </c>
      <c r="E284" s="826">
        <v>2.04</v>
      </c>
      <c r="F284" s="826">
        <v>2.08</v>
      </c>
      <c r="G284" s="821"/>
      <c r="H284" s="824"/>
    </row>
    <row r="285" spans="1:8" s="791" customFormat="1" ht="12.95">
      <c r="A285" s="792">
        <v>22</v>
      </c>
      <c r="B285" s="802" t="s">
        <v>43</v>
      </c>
      <c r="C285" s="826">
        <v>1.69</v>
      </c>
      <c r="D285" s="826">
        <v>1.75</v>
      </c>
      <c r="E285" s="826">
        <v>1.86</v>
      </c>
      <c r="F285" s="826">
        <v>2.54</v>
      </c>
      <c r="G285" s="821"/>
      <c r="H285" s="824"/>
    </row>
    <row r="286" spans="1:8" s="791" customFormat="1" ht="12.95">
      <c r="A286" s="792">
        <v>23</v>
      </c>
      <c r="B286" s="802" t="s">
        <v>44</v>
      </c>
      <c r="C286" s="826">
        <v>1.9</v>
      </c>
      <c r="D286" s="826">
        <v>2.0299999999999998</v>
      </c>
      <c r="E286" s="826">
        <v>2.0099999999999998</v>
      </c>
      <c r="F286" s="826">
        <v>2.0099999999999998</v>
      </c>
      <c r="G286" s="821"/>
      <c r="H286" s="824"/>
    </row>
    <row r="287" spans="1:8" s="791" customFormat="1" ht="12.95">
      <c r="A287" s="792">
        <v>24</v>
      </c>
      <c r="B287" s="801" t="s">
        <v>45</v>
      </c>
      <c r="C287" s="826">
        <v>1.8</v>
      </c>
      <c r="D287" s="826">
        <v>1.9700000000000002</v>
      </c>
      <c r="E287" s="826">
        <v>2.2200000000000006</v>
      </c>
      <c r="F287" s="826">
        <v>2.19</v>
      </c>
      <c r="G287" s="821"/>
      <c r="H287" s="824"/>
    </row>
    <row r="288" spans="1:8" s="791" customFormat="1" ht="12.95">
      <c r="A288" s="792">
        <v>25</v>
      </c>
      <c r="B288" s="802" t="s">
        <v>295</v>
      </c>
      <c r="C288" s="826">
        <v>1.49</v>
      </c>
      <c r="D288" s="826">
        <v>2.2599999999999998</v>
      </c>
      <c r="E288" s="826">
        <v>2.17</v>
      </c>
      <c r="F288" s="826">
        <v>1.81</v>
      </c>
      <c r="G288" s="821"/>
      <c r="H288" s="824"/>
    </row>
    <row r="289" spans="1:8" s="791" customFormat="1" ht="12.95">
      <c r="A289" s="792">
        <v>26</v>
      </c>
      <c r="B289" s="803" t="s">
        <v>47</v>
      </c>
      <c r="C289" s="826">
        <v>1.4608784746702508</v>
      </c>
      <c r="D289" s="826">
        <v>1.6857800233822908</v>
      </c>
      <c r="E289" s="826">
        <v>1.7109030874270506</v>
      </c>
      <c r="F289" s="826">
        <v>1.9188887082995623</v>
      </c>
      <c r="G289" s="821"/>
      <c r="H289" s="824"/>
    </row>
    <row r="290" spans="1:8" s="791" customFormat="1" ht="12.95">
      <c r="A290" s="792">
        <v>35</v>
      </c>
      <c r="B290" s="802" t="s">
        <v>48</v>
      </c>
      <c r="C290" s="826">
        <v>1.9300000000000002</v>
      </c>
      <c r="D290" s="826">
        <v>1.93</v>
      </c>
      <c r="E290" s="826">
        <v>2.31</v>
      </c>
      <c r="F290" s="826">
        <v>2.36</v>
      </c>
      <c r="G290" s="821"/>
      <c r="H290" s="824"/>
    </row>
    <row r="291" spans="1:8" s="791" customFormat="1" ht="12.95">
      <c r="A291" s="792">
        <v>36</v>
      </c>
      <c r="B291" s="800" t="s">
        <v>176</v>
      </c>
      <c r="C291" s="826">
        <v>1.3514594335093615</v>
      </c>
      <c r="D291" s="826">
        <v>1.5955574996719304</v>
      </c>
      <c r="E291" s="826">
        <v>1.9296348742974163</v>
      </c>
      <c r="F291" s="826">
        <v>2.017231090426689</v>
      </c>
      <c r="G291" s="821"/>
      <c r="H291" s="824"/>
    </row>
    <row r="292" spans="1:8" s="791" customFormat="1" ht="12.95">
      <c r="A292" s="792">
        <v>39</v>
      </c>
      <c r="B292" s="802" t="s">
        <v>124</v>
      </c>
      <c r="C292" s="826">
        <v>1.59</v>
      </c>
      <c r="D292" s="826">
        <v>1.71</v>
      </c>
      <c r="E292" s="826">
        <v>1.64</v>
      </c>
      <c r="F292" s="826">
        <v>1.67</v>
      </c>
      <c r="G292" s="821"/>
      <c r="H292" s="824"/>
    </row>
    <row r="293" spans="1:8" s="791" customFormat="1" ht="12.95">
      <c r="A293" s="792">
        <v>40</v>
      </c>
      <c r="B293" s="802" t="s">
        <v>125</v>
      </c>
      <c r="C293" s="826">
        <v>2.33</v>
      </c>
      <c r="D293" s="826">
        <v>2.46</v>
      </c>
      <c r="E293" s="826">
        <v>1.9800000000000002</v>
      </c>
      <c r="F293" s="826">
        <v>2.0200000000000005</v>
      </c>
      <c r="G293" s="821"/>
      <c r="H293" s="824"/>
    </row>
    <row r="294" spans="1:8" s="791" customFormat="1" ht="12.95">
      <c r="A294" s="792">
        <v>41</v>
      </c>
      <c r="B294" s="800" t="s">
        <v>52</v>
      </c>
      <c r="C294" s="826">
        <v>1.8715591784544072</v>
      </c>
      <c r="D294" s="826">
        <v>2.0000631732943206</v>
      </c>
      <c r="E294" s="826">
        <v>2.2513109314007655</v>
      </c>
      <c r="F294" s="826">
        <v>2.2982668241734294</v>
      </c>
      <c r="G294" s="821"/>
      <c r="H294" s="824"/>
    </row>
    <row r="295" spans="1:8" s="791" customFormat="1" ht="12.95">
      <c r="A295" s="792">
        <v>46</v>
      </c>
      <c r="B295" s="802" t="s">
        <v>53</v>
      </c>
      <c r="C295" s="826">
        <v>1.9110039749832757</v>
      </c>
      <c r="D295" s="826">
        <v>2.1249025159776713</v>
      </c>
      <c r="E295" s="826">
        <v>2.3371614068279407</v>
      </c>
      <c r="F295" s="826">
        <v>2.466620138314894</v>
      </c>
      <c r="G295" s="821"/>
      <c r="H295" s="824"/>
    </row>
    <row r="296" spans="1:8" s="791" customFormat="1" ht="12.95">
      <c r="A296" s="792">
        <v>48</v>
      </c>
      <c r="B296" s="802" t="s">
        <v>54</v>
      </c>
      <c r="C296" s="826">
        <v>1.0800000000000003</v>
      </c>
      <c r="D296" s="826">
        <v>1.6400000000000001</v>
      </c>
      <c r="E296" s="826">
        <v>1.7</v>
      </c>
      <c r="F296" s="826">
        <v>1.7800000000000002</v>
      </c>
      <c r="G296" s="821"/>
      <c r="H296" s="824"/>
    </row>
    <row r="297" spans="1:8" s="791" customFormat="1" ht="12.95">
      <c r="A297" s="792">
        <v>49</v>
      </c>
      <c r="B297" s="802" t="s">
        <v>55</v>
      </c>
      <c r="C297" s="826">
        <v>1.64</v>
      </c>
      <c r="D297" s="826">
        <v>2.09</v>
      </c>
      <c r="E297" s="826">
        <v>2.25</v>
      </c>
      <c r="F297" s="826">
        <v>2.1599999999999997</v>
      </c>
      <c r="G297" s="821"/>
      <c r="H297" s="824"/>
    </row>
    <row r="298" spans="1:8" s="791" customFormat="1" ht="12.95">
      <c r="A298" s="792">
        <v>50</v>
      </c>
      <c r="B298" s="800" t="s">
        <v>214</v>
      </c>
      <c r="C298" s="826">
        <v>2.0500000000000003</v>
      </c>
      <c r="D298" s="826">
        <v>2.3945359217797932</v>
      </c>
      <c r="E298" s="826">
        <v>2.5500000000000003</v>
      </c>
      <c r="F298" s="826">
        <v>2.7202484980475874</v>
      </c>
      <c r="G298" s="821"/>
      <c r="H298" s="824"/>
    </row>
    <row r="299" spans="1:8" s="791" customFormat="1" ht="12.95">
      <c r="A299" s="792">
        <v>53</v>
      </c>
      <c r="B299" s="802" t="s">
        <v>57</v>
      </c>
      <c r="C299" s="877">
        <v>1.3899999999999997</v>
      </c>
      <c r="D299" s="878">
        <v>1.39</v>
      </c>
      <c r="E299" s="878">
        <v>1.3899999999999997</v>
      </c>
      <c r="F299" s="879">
        <v>1.4200000000000002</v>
      </c>
      <c r="G299" s="821"/>
      <c r="H299" s="824"/>
    </row>
    <row r="300" spans="1:8" ht="409.6">
      <c r="G300" s="825"/>
      <c r="H300" s="825"/>
    </row>
    <row r="301" spans="1:8" ht="409.6">
      <c r="G301" s="825"/>
      <c r="H301" s="825"/>
    </row>
    <row r="302" spans="1:8" ht="409.6">
      <c r="G302" s="825"/>
      <c r="H302" s="825"/>
    </row>
    <row r="303" spans="1:8" ht="409.6">
      <c r="G303" s="825"/>
      <c r="H303" s="825"/>
    </row>
  </sheetData>
  <sheetProtection password="80F5" sheet="1" objects="1" scenarios="1" formatCells="0" formatColumns="0" formatRows="0"/>
  <sortState ref="A176:W228">
    <sortCondition sortBy="cellColor" ref="B176:B228" dxfId="1"/>
  </sortState>
  <pageMargins left="0.7" right="0.7" top="0.75" bottom="0.75" header="0.3" footer="0.3"/>
  <pageSetup paperSize="9" scale="40" fitToWidth="0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B050"/>
  </sheetPr>
  <dimension ref="A2:F75"/>
  <sheetViews>
    <sheetView showGridLines="0" zoomScale="80" zoomScaleNormal="80" workbookViewId="0"/>
  </sheetViews>
  <sheetFormatPr defaultColWidth="9.140625" defaultRowHeight="15"/>
  <cols>
    <col min="1" max="1" width="4.85546875" style="56" customWidth="1"/>
    <col min="2" max="2" width="9.28515625" style="300" bestFit="1" customWidth="1"/>
    <col min="3" max="3" width="26" style="311" customWidth="1"/>
    <col min="4" max="4" width="15.28515625" style="52" customWidth="1"/>
    <col min="5" max="5" width="15.28515625" style="312" customWidth="1"/>
    <col min="6" max="6" width="15.5703125" style="51" customWidth="1"/>
    <col min="7" max="16384" width="9.140625" style="51"/>
  </cols>
  <sheetData>
    <row r="2" spans="1:6" ht="15.75">
      <c r="B2" s="774" t="s">
        <v>318</v>
      </c>
    </row>
    <row r="3" spans="1:6" ht="15.75">
      <c r="B3" s="774"/>
    </row>
    <row r="4" spans="1:6">
      <c r="B4" s="775" t="s">
        <v>560</v>
      </c>
    </row>
    <row r="5" spans="1:6" ht="15.75" thickBot="1"/>
    <row r="6" spans="1:6" s="54" customFormat="1" ht="15.75" thickBot="1">
      <c r="A6" s="53"/>
      <c r="B6" s="779" t="s">
        <v>167</v>
      </c>
      <c r="C6" s="780" t="s">
        <v>210</v>
      </c>
      <c r="D6" s="781" t="s">
        <v>212</v>
      </c>
      <c r="E6" s="782" t="s">
        <v>213</v>
      </c>
    </row>
    <row r="7" spans="1:6">
      <c r="A7" s="313">
        <f>References!G258</f>
        <v>5</v>
      </c>
      <c r="B7" s="776">
        <v>2008</v>
      </c>
      <c r="C7" s="314" t="s">
        <v>112</v>
      </c>
      <c r="D7" s="57">
        <v>88.2</v>
      </c>
      <c r="E7" s="770">
        <v>1.1000000000000001</v>
      </c>
    </row>
    <row r="8" spans="1:6">
      <c r="A8" s="313">
        <f>References!H258</f>
        <v>6</v>
      </c>
      <c r="B8" s="776">
        <v>2009</v>
      </c>
      <c r="C8" s="315" t="s">
        <v>112</v>
      </c>
      <c r="D8" s="57">
        <v>88.2</v>
      </c>
      <c r="E8" s="770">
        <v>1.1000000000000001</v>
      </c>
      <c r="F8" s="58"/>
    </row>
    <row r="9" spans="1:6">
      <c r="A9" s="313">
        <f>References!I258</f>
        <v>7</v>
      </c>
      <c r="B9" s="776">
        <v>2010</v>
      </c>
      <c r="C9" s="316" t="s">
        <v>112</v>
      </c>
      <c r="D9" s="57">
        <v>88.2</v>
      </c>
      <c r="E9" s="770">
        <v>1.1000000000000001</v>
      </c>
    </row>
    <row r="10" spans="1:6">
      <c r="A10" s="313">
        <f>References!J258</f>
        <v>8</v>
      </c>
      <c r="B10" s="776">
        <v>2011</v>
      </c>
      <c r="C10" s="672" t="s">
        <v>112</v>
      </c>
      <c r="D10" s="673">
        <v>164.221</v>
      </c>
      <c r="E10" s="771">
        <v>1.694</v>
      </c>
    </row>
    <row r="11" spans="1:6">
      <c r="A11" s="313">
        <f>References!G259</f>
        <v>28</v>
      </c>
      <c r="B11" s="776">
        <v>2008</v>
      </c>
      <c r="C11" s="314" t="s">
        <v>174</v>
      </c>
      <c r="D11" s="57">
        <v>106.2</v>
      </c>
      <c r="E11" s="770">
        <v>1.62</v>
      </c>
    </row>
    <row r="12" spans="1:6">
      <c r="A12" s="313">
        <f>References!H259</f>
        <v>29</v>
      </c>
      <c r="B12" s="776">
        <v>2009</v>
      </c>
      <c r="C12" s="315" t="s">
        <v>174</v>
      </c>
      <c r="D12" s="57">
        <v>106.2</v>
      </c>
      <c r="E12" s="770">
        <v>1.62</v>
      </c>
      <c r="F12" s="58"/>
    </row>
    <row r="13" spans="1:6">
      <c r="A13" s="313">
        <f>References!I259</f>
        <v>30</v>
      </c>
      <c r="B13" s="776">
        <v>2010</v>
      </c>
      <c r="C13" s="316" t="s">
        <v>174</v>
      </c>
      <c r="D13" s="57">
        <v>106.2</v>
      </c>
      <c r="E13" s="770">
        <v>1.62</v>
      </c>
    </row>
    <row r="14" spans="1:6">
      <c r="A14" s="313">
        <f>References!J259</f>
        <v>31</v>
      </c>
      <c r="B14" s="776">
        <v>2011</v>
      </c>
      <c r="C14" s="672" t="s">
        <v>174</v>
      </c>
      <c r="D14" s="673">
        <v>98.29</v>
      </c>
      <c r="E14" s="771">
        <v>1.67</v>
      </c>
    </row>
    <row r="15" spans="1:6">
      <c r="A15" s="313">
        <f>References!G261</f>
        <v>74</v>
      </c>
      <c r="B15" s="776">
        <v>2008</v>
      </c>
      <c r="C15" s="314" t="s">
        <v>32</v>
      </c>
      <c r="D15" s="57">
        <v>313</v>
      </c>
      <c r="E15" s="770">
        <v>5</v>
      </c>
    </row>
    <row r="16" spans="1:6">
      <c r="A16" s="313">
        <f>References!H261</f>
        <v>75</v>
      </c>
      <c r="B16" s="776">
        <v>2009</v>
      </c>
      <c r="C16" s="315" t="s">
        <v>32</v>
      </c>
      <c r="D16" s="57">
        <v>313</v>
      </c>
      <c r="E16" s="770">
        <v>5</v>
      </c>
      <c r="F16" s="58"/>
    </row>
    <row r="17" spans="1:6">
      <c r="A17" s="313">
        <f>References!I261</f>
        <v>76</v>
      </c>
      <c r="B17" s="776">
        <v>2010</v>
      </c>
      <c r="C17" s="316" t="s">
        <v>32</v>
      </c>
      <c r="D17" s="57">
        <v>313</v>
      </c>
      <c r="E17" s="770">
        <v>5</v>
      </c>
    </row>
    <row r="18" spans="1:6">
      <c r="A18" s="313">
        <f>References!J261</f>
        <v>77</v>
      </c>
      <c r="B18" s="776">
        <v>2011</v>
      </c>
      <c r="C18" s="674" t="s">
        <v>32</v>
      </c>
      <c r="D18" s="673">
        <v>197.54900000000001</v>
      </c>
      <c r="E18" s="771">
        <v>4.5259999999999998</v>
      </c>
    </row>
    <row r="19" spans="1:6">
      <c r="A19" s="313">
        <f>References!G263</f>
        <v>120</v>
      </c>
      <c r="B19" s="776">
        <v>2008</v>
      </c>
      <c r="C19" s="314" t="s">
        <v>177</v>
      </c>
      <c r="D19" s="57">
        <v>377.59</v>
      </c>
      <c r="E19" s="770">
        <v>4.08</v>
      </c>
    </row>
    <row r="20" spans="1:6">
      <c r="A20" s="313">
        <f>References!H263</f>
        <v>121</v>
      </c>
      <c r="B20" s="776">
        <v>2009</v>
      </c>
      <c r="C20" s="315" t="s">
        <v>177</v>
      </c>
      <c r="D20" s="57">
        <v>377.59</v>
      </c>
      <c r="E20" s="770">
        <v>4.08</v>
      </c>
      <c r="F20" s="58"/>
    </row>
    <row r="21" spans="1:6">
      <c r="A21" s="313">
        <f>References!I263</f>
        <v>122</v>
      </c>
      <c r="B21" s="776">
        <v>2010</v>
      </c>
      <c r="C21" s="316" t="s">
        <v>177</v>
      </c>
      <c r="D21" s="57">
        <v>377.59</v>
      </c>
      <c r="E21" s="770">
        <v>4.08</v>
      </c>
    </row>
    <row r="22" spans="1:6">
      <c r="A22" s="313">
        <f>References!J263</f>
        <v>123</v>
      </c>
      <c r="B22" s="776">
        <v>2011</v>
      </c>
      <c r="C22" s="672" t="s">
        <v>177</v>
      </c>
      <c r="D22" s="673">
        <v>302.38</v>
      </c>
      <c r="E22" s="771">
        <v>4.26</v>
      </c>
    </row>
    <row r="23" spans="1:6">
      <c r="A23" s="313">
        <f>References!G265</f>
        <v>166</v>
      </c>
      <c r="B23" s="776">
        <v>2008</v>
      </c>
      <c r="C23" s="314" t="s">
        <v>115</v>
      </c>
      <c r="D23" s="57">
        <v>198.6</v>
      </c>
      <c r="E23" s="770">
        <v>1.64</v>
      </c>
    </row>
    <row r="24" spans="1:6">
      <c r="A24" s="313">
        <f>References!H265</f>
        <v>167</v>
      </c>
      <c r="B24" s="776">
        <v>2009</v>
      </c>
      <c r="C24" s="315" t="s">
        <v>115</v>
      </c>
      <c r="D24" s="57">
        <v>198.6</v>
      </c>
      <c r="E24" s="770">
        <v>1.64</v>
      </c>
      <c r="F24" s="58"/>
    </row>
    <row r="25" spans="1:6">
      <c r="A25" s="313">
        <f>References!I265</f>
        <v>168</v>
      </c>
      <c r="B25" s="776">
        <v>2010</v>
      </c>
      <c r="C25" s="316" t="s">
        <v>115</v>
      </c>
      <c r="D25" s="57">
        <v>198.6</v>
      </c>
      <c r="E25" s="770">
        <v>1.64</v>
      </c>
    </row>
    <row r="26" spans="1:6">
      <c r="A26" s="313">
        <f>References!J265</f>
        <v>169</v>
      </c>
      <c r="B26" s="776">
        <v>2011</v>
      </c>
      <c r="C26" s="672" t="s">
        <v>115</v>
      </c>
      <c r="D26" s="673">
        <v>222.07300000000001</v>
      </c>
      <c r="E26" s="771">
        <v>1.9970000000000001</v>
      </c>
    </row>
    <row r="27" spans="1:6">
      <c r="A27" s="313">
        <f>References!G266</f>
        <v>189</v>
      </c>
      <c r="B27" s="776">
        <v>2008</v>
      </c>
      <c r="C27" s="314" t="s">
        <v>116</v>
      </c>
      <c r="D27" s="57">
        <v>35.44</v>
      </c>
      <c r="E27" s="770">
        <v>0.99</v>
      </c>
    </row>
    <row r="28" spans="1:6">
      <c r="A28" s="313">
        <f>References!H266</f>
        <v>190</v>
      </c>
      <c r="B28" s="776">
        <v>2009</v>
      </c>
      <c r="C28" s="315" t="s">
        <v>116</v>
      </c>
      <c r="D28" s="57">
        <v>35.44</v>
      </c>
      <c r="E28" s="770">
        <v>0.99</v>
      </c>
      <c r="F28" s="58"/>
    </row>
    <row r="29" spans="1:6">
      <c r="A29" s="313">
        <f>References!I266</f>
        <v>191</v>
      </c>
      <c r="B29" s="776">
        <v>2010</v>
      </c>
      <c r="C29" s="316" t="s">
        <v>116</v>
      </c>
      <c r="D29" s="57">
        <v>35.44</v>
      </c>
      <c r="E29" s="770">
        <v>0.99</v>
      </c>
    </row>
    <row r="30" spans="1:6">
      <c r="A30" s="313">
        <f>References!J266</f>
        <v>192</v>
      </c>
      <c r="B30" s="776">
        <v>2011</v>
      </c>
      <c r="C30" s="674" t="s">
        <v>116</v>
      </c>
      <c r="D30" s="673">
        <v>45.645000000000003</v>
      </c>
      <c r="E30" s="771">
        <v>1.1322000000000001</v>
      </c>
    </row>
    <row r="31" spans="1:6">
      <c r="A31" s="313">
        <f>References!G267</f>
        <v>212</v>
      </c>
      <c r="B31" s="776">
        <v>2008</v>
      </c>
      <c r="C31" s="314" t="s">
        <v>175</v>
      </c>
      <c r="D31" s="57">
        <v>161</v>
      </c>
      <c r="E31" s="770">
        <v>1.87</v>
      </c>
    </row>
    <row r="32" spans="1:6">
      <c r="A32" s="313">
        <f>References!H267</f>
        <v>213</v>
      </c>
      <c r="B32" s="776">
        <v>2009</v>
      </c>
      <c r="C32" s="315" t="s">
        <v>175</v>
      </c>
      <c r="D32" s="57">
        <v>161</v>
      </c>
      <c r="E32" s="770">
        <v>1.87</v>
      </c>
      <c r="F32" s="58"/>
    </row>
    <row r="33" spans="1:6">
      <c r="A33" s="313">
        <f>References!I267</f>
        <v>214</v>
      </c>
      <c r="B33" s="776">
        <v>2010</v>
      </c>
      <c r="C33" s="316" t="s">
        <v>175</v>
      </c>
      <c r="D33" s="57">
        <v>161</v>
      </c>
      <c r="E33" s="770">
        <v>1.87</v>
      </c>
    </row>
    <row r="34" spans="1:6">
      <c r="A34" s="313">
        <f>References!J267</f>
        <v>215</v>
      </c>
      <c r="B34" s="776">
        <v>2011</v>
      </c>
      <c r="C34" s="672" t="s">
        <v>175</v>
      </c>
      <c r="D34" s="673">
        <v>220.0583</v>
      </c>
      <c r="E34" s="771">
        <v>2.3961999999999999</v>
      </c>
    </row>
    <row r="35" spans="1:6">
      <c r="A35" s="313">
        <f>References!G270</f>
        <v>281</v>
      </c>
      <c r="B35" s="776">
        <v>2008</v>
      </c>
      <c r="C35" s="314" t="s">
        <v>120</v>
      </c>
      <c r="D35" s="57">
        <v>61.4</v>
      </c>
      <c r="E35" s="770">
        <v>1.28</v>
      </c>
    </row>
    <row r="36" spans="1:6">
      <c r="A36" s="313">
        <f>References!H270</f>
        <v>282</v>
      </c>
      <c r="B36" s="776">
        <v>2009</v>
      </c>
      <c r="C36" s="315" t="s">
        <v>120</v>
      </c>
      <c r="D36" s="57">
        <v>61.4</v>
      </c>
      <c r="E36" s="770">
        <v>1.28</v>
      </c>
      <c r="F36" s="58"/>
    </row>
    <row r="37" spans="1:6">
      <c r="A37" s="313">
        <f>References!I270</f>
        <v>283</v>
      </c>
      <c r="B37" s="776">
        <v>2010</v>
      </c>
      <c r="C37" s="316" t="s">
        <v>120</v>
      </c>
      <c r="D37" s="57">
        <v>61.4</v>
      </c>
      <c r="E37" s="770">
        <v>1.28</v>
      </c>
    </row>
    <row r="38" spans="1:6">
      <c r="A38" s="313">
        <f>References!J270</f>
        <v>284</v>
      </c>
      <c r="B38" s="776">
        <v>2011</v>
      </c>
      <c r="C38" s="672" t="s">
        <v>120</v>
      </c>
      <c r="D38" s="673">
        <v>71.536000000000001</v>
      </c>
      <c r="E38" s="771">
        <v>1.1259999999999999</v>
      </c>
    </row>
    <row r="39" spans="1:6">
      <c r="A39" s="313">
        <f>References!G271</f>
        <v>304</v>
      </c>
      <c r="B39" s="776">
        <v>2008</v>
      </c>
      <c r="C39" s="314" t="s">
        <v>121</v>
      </c>
      <c r="D39" s="57">
        <v>147.4</v>
      </c>
      <c r="E39" s="770">
        <v>2.12</v>
      </c>
    </row>
    <row r="40" spans="1:6">
      <c r="A40" s="313">
        <f>References!H271</f>
        <v>305</v>
      </c>
      <c r="B40" s="776">
        <v>2009</v>
      </c>
      <c r="C40" s="315" t="s">
        <v>121</v>
      </c>
      <c r="D40" s="57">
        <v>147.4</v>
      </c>
      <c r="E40" s="770">
        <v>2.12</v>
      </c>
      <c r="F40" s="58"/>
    </row>
    <row r="41" spans="1:6">
      <c r="A41" s="313">
        <f>References!I271</f>
        <v>306</v>
      </c>
      <c r="B41" s="776">
        <v>2010</v>
      </c>
      <c r="C41" s="316" t="s">
        <v>121</v>
      </c>
      <c r="D41" s="57">
        <v>147.44999999999999</v>
      </c>
      <c r="E41" s="770">
        <v>2.12</v>
      </c>
    </row>
    <row r="42" spans="1:6">
      <c r="A42" s="313">
        <f>References!J271</f>
        <v>307</v>
      </c>
      <c r="B42" s="776">
        <v>2011</v>
      </c>
      <c r="C42" s="674" t="s">
        <v>121</v>
      </c>
      <c r="D42" s="673">
        <v>162.53479999999999</v>
      </c>
      <c r="E42" s="771">
        <v>1.744</v>
      </c>
    </row>
    <row r="43" spans="1:6">
      <c r="A43" s="313">
        <f>References!G274</f>
        <v>373</v>
      </c>
      <c r="B43" s="776">
        <v>2008</v>
      </c>
      <c r="C43" s="314" t="s">
        <v>45</v>
      </c>
      <c r="D43" s="57">
        <v>63.2</v>
      </c>
      <c r="E43" s="770">
        <v>0.76</v>
      </c>
    </row>
    <row r="44" spans="1:6">
      <c r="A44" s="313">
        <f>References!H274</f>
        <v>374</v>
      </c>
      <c r="B44" s="776">
        <v>2009</v>
      </c>
      <c r="C44" s="315" t="s">
        <v>45</v>
      </c>
      <c r="D44" s="57">
        <v>63.2</v>
      </c>
      <c r="E44" s="770">
        <v>0.76</v>
      </c>
      <c r="F44" s="58"/>
    </row>
    <row r="45" spans="1:6">
      <c r="A45" s="313">
        <f>References!I274</f>
        <v>375</v>
      </c>
      <c r="B45" s="776">
        <v>2010</v>
      </c>
      <c r="C45" s="316" t="s">
        <v>45</v>
      </c>
      <c r="D45" s="57">
        <v>63.2</v>
      </c>
      <c r="E45" s="770">
        <v>0.76</v>
      </c>
    </row>
    <row r="46" spans="1:6">
      <c r="A46" s="313">
        <f>References!J274</f>
        <v>376</v>
      </c>
      <c r="B46" s="776">
        <v>2011</v>
      </c>
      <c r="C46" s="674" t="s">
        <v>45</v>
      </c>
      <c r="D46" s="673">
        <v>59.73</v>
      </c>
      <c r="E46" s="771">
        <v>0.77600000000000002</v>
      </c>
    </row>
    <row r="47" spans="1:6">
      <c r="A47" s="313">
        <f>References!G275</f>
        <v>396</v>
      </c>
      <c r="B47" s="776">
        <v>2008</v>
      </c>
      <c r="C47" s="314" t="s">
        <v>123</v>
      </c>
      <c r="D47" s="57">
        <v>249.3</v>
      </c>
      <c r="E47" s="770">
        <v>2.38</v>
      </c>
    </row>
    <row r="48" spans="1:6">
      <c r="A48" s="313">
        <f>References!H275</f>
        <v>397</v>
      </c>
      <c r="B48" s="776">
        <v>2009</v>
      </c>
      <c r="C48" s="315" t="s">
        <v>123</v>
      </c>
      <c r="D48" s="57">
        <v>249.3</v>
      </c>
      <c r="E48" s="770">
        <v>2.38</v>
      </c>
      <c r="F48" s="58"/>
    </row>
    <row r="49" spans="1:6">
      <c r="A49" s="313">
        <f>References!I275</f>
        <v>398</v>
      </c>
      <c r="B49" s="776">
        <v>2010</v>
      </c>
      <c r="C49" s="316" t="s">
        <v>123</v>
      </c>
      <c r="D49" s="57">
        <v>249.3</v>
      </c>
      <c r="E49" s="770">
        <v>2.38</v>
      </c>
    </row>
    <row r="50" spans="1:6">
      <c r="A50" s="313">
        <f>References!J275</f>
        <v>399</v>
      </c>
      <c r="B50" s="776">
        <v>2011</v>
      </c>
      <c r="C50" s="674" t="s">
        <v>123</v>
      </c>
      <c r="D50" s="673">
        <v>361.0754</v>
      </c>
      <c r="E50" s="771">
        <v>3.1139000000000001</v>
      </c>
    </row>
    <row r="51" spans="1:6">
      <c r="A51" s="313">
        <f>References!G276</f>
        <v>419</v>
      </c>
      <c r="B51" s="776">
        <v>2008</v>
      </c>
      <c r="C51" s="314" t="s">
        <v>47</v>
      </c>
      <c r="D51" s="57">
        <v>197.9</v>
      </c>
      <c r="E51" s="770">
        <v>2.7719999999999998</v>
      </c>
    </row>
    <row r="52" spans="1:6">
      <c r="A52" s="313">
        <f>References!H276</f>
        <v>420</v>
      </c>
      <c r="B52" s="776">
        <v>2009</v>
      </c>
      <c r="C52" s="315" t="s">
        <v>47</v>
      </c>
      <c r="D52" s="57">
        <v>197.9</v>
      </c>
      <c r="E52" s="770">
        <v>2.7719999999999998</v>
      </c>
      <c r="F52" s="58"/>
    </row>
    <row r="53" spans="1:6" ht="409.6">
      <c r="A53" s="313">
        <f>References!I276</f>
        <v>421</v>
      </c>
      <c r="B53" s="776">
        <v>2010</v>
      </c>
      <c r="C53" s="316" t="s">
        <v>47</v>
      </c>
      <c r="D53" s="57">
        <v>197.9</v>
      </c>
      <c r="E53" s="770">
        <v>2.7719999999999998</v>
      </c>
    </row>
    <row r="54" spans="1:6" ht="409.6">
      <c r="A54" s="313">
        <f>References!J276</f>
        <v>422</v>
      </c>
      <c r="B54" s="776">
        <v>2011</v>
      </c>
      <c r="C54" s="672" t="s">
        <v>47</v>
      </c>
      <c r="D54" s="673">
        <v>210.1</v>
      </c>
      <c r="E54" s="771">
        <v>2.8</v>
      </c>
    </row>
    <row r="55" spans="1:6" ht="409.6">
      <c r="A55" s="313">
        <f>References!G278</f>
        <v>465</v>
      </c>
      <c r="B55" s="776">
        <v>2008</v>
      </c>
      <c r="C55" s="314" t="s">
        <v>176</v>
      </c>
      <c r="D55" s="57">
        <v>527.30999999999995</v>
      </c>
      <c r="E55" s="770">
        <v>6.27</v>
      </c>
    </row>
    <row r="56" spans="1:6" ht="409.6">
      <c r="A56" s="313">
        <f>References!H278</f>
        <v>466</v>
      </c>
      <c r="B56" s="776">
        <v>2009</v>
      </c>
      <c r="C56" s="315" t="s">
        <v>176</v>
      </c>
      <c r="D56" s="57">
        <v>527.30999999999995</v>
      </c>
      <c r="E56" s="770">
        <v>6.27</v>
      </c>
      <c r="F56" s="58"/>
    </row>
    <row r="57" spans="1:6" ht="409.6">
      <c r="A57" s="313">
        <f>References!I278</f>
        <v>467</v>
      </c>
      <c r="B57" s="776">
        <v>2010</v>
      </c>
      <c r="C57" s="316" t="s">
        <v>176</v>
      </c>
      <c r="D57" s="57">
        <v>527.30999999999995</v>
      </c>
      <c r="E57" s="770">
        <v>6.27</v>
      </c>
    </row>
    <row r="58" spans="1:6" ht="409.6">
      <c r="A58" s="313">
        <f>References!J278</f>
        <v>468</v>
      </c>
      <c r="B58" s="776">
        <v>2011</v>
      </c>
      <c r="C58" s="672" t="s">
        <v>176</v>
      </c>
      <c r="D58" s="673">
        <v>307.673</v>
      </c>
      <c r="E58" s="771">
        <v>4.1769999999999996</v>
      </c>
    </row>
    <row r="59" spans="1:6" ht="409.6">
      <c r="A59" s="313">
        <f>References!G280</f>
        <v>511</v>
      </c>
      <c r="B59" s="776">
        <v>2008</v>
      </c>
      <c r="C59" s="314" t="s">
        <v>125</v>
      </c>
      <c r="D59" s="57">
        <v>464.4</v>
      </c>
      <c r="E59" s="770">
        <v>6.48</v>
      </c>
    </row>
    <row r="60" spans="1:6" ht="409.6">
      <c r="A60" s="313">
        <f>References!H280</f>
        <v>512</v>
      </c>
      <c r="B60" s="776">
        <v>2009</v>
      </c>
      <c r="C60" s="315" t="s">
        <v>125</v>
      </c>
      <c r="D60" s="57">
        <v>464.4</v>
      </c>
      <c r="E60" s="770">
        <v>6.48</v>
      </c>
      <c r="F60" s="58"/>
    </row>
    <row r="61" spans="1:6" ht="409.6">
      <c r="A61" s="313">
        <f>References!I280</f>
        <v>513</v>
      </c>
      <c r="B61" s="776">
        <v>2010</v>
      </c>
      <c r="C61" s="316" t="s">
        <v>125</v>
      </c>
      <c r="D61" s="57">
        <v>464.4</v>
      </c>
      <c r="E61" s="770">
        <v>6.48</v>
      </c>
    </row>
    <row r="62" spans="1:6" ht="409.6">
      <c r="A62" s="313">
        <f>References!J280</f>
        <v>514</v>
      </c>
      <c r="B62" s="776">
        <v>2011</v>
      </c>
      <c r="C62" s="672" t="s">
        <v>125</v>
      </c>
      <c r="D62" s="673">
        <v>579.68100000000004</v>
      </c>
      <c r="E62" s="771">
        <v>7.6630000000000003</v>
      </c>
    </row>
    <row r="63" spans="1:6" ht="409.6">
      <c r="A63" s="313">
        <f>References!G281</f>
        <v>534</v>
      </c>
      <c r="B63" s="776">
        <v>2008</v>
      </c>
      <c r="C63" s="314" t="s">
        <v>52</v>
      </c>
      <c r="D63" s="57">
        <v>152.69999999999999</v>
      </c>
      <c r="E63" s="770">
        <v>2.39</v>
      </c>
    </row>
    <row r="64" spans="1:6" ht="409.6">
      <c r="A64" s="313">
        <f>References!H281</f>
        <v>535</v>
      </c>
      <c r="B64" s="776">
        <v>2009</v>
      </c>
      <c r="C64" s="315" t="s">
        <v>52</v>
      </c>
      <c r="D64" s="57">
        <v>152.69999999999999</v>
      </c>
      <c r="E64" s="770">
        <v>2.39</v>
      </c>
      <c r="F64" s="58"/>
    </row>
    <row r="65" spans="1:6" ht="409.6">
      <c r="A65" s="313">
        <f>References!I281</f>
        <v>536</v>
      </c>
      <c r="B65" s="776">
        <v>2010</v>
      </c>
      <c r="C65" s="316" t="s">
        <v>52</v>
      </c>
      <c r="D65" s="57">
        <v>152.69999999999999</v>
      </c>
      <c r="E65" s="770">
        <v>2.39</v>
      </c>
    </row>
    <row r="66" spans="1:6" ht="409.6">
      <c r="A66" s="313">
        <f>References!J281</f>
        <v>537</v>
      </c>
      <c r="B66" s="776">
        <v>2011</v>
      </c>
      <c r="C66" s="672" t="s">
        <v>52</v>
      </c>
      <c r="D66" s="673">
        <v>147.8587</v>
      </c>
      <c r="E66" s="771">
        <v>2.7012999999999998</v>
      </c>
    </row>
    <row r="67" spans="1:6" ht="409.6">
      <c r="A67" s="313">
        <f>References!G282</f>
        <v>557</v>
      </c>
      <c r="B67" s="776">
        <v>2008</v>
      </c>
      <c r="C67" s="314" t="s">
        <v>53</v>
      </c>
      <c r="D67" s="57">
        <v>85.456789999999998</v>
      </c>
      <c r="E67" s="770">
        <v>1.312757</v>
      </c>
    </row>
    <row r="68" spans="1:6" ht="409.6">
      <c r="A68" s="313">
        <f>References!H282</f>
        <v>558</v>
      </c>
      <c r="B68" s="776">
        <v>2009</v>
      </c>
      <c r="C68" s="315" t="s">
        <v>53</v>
      </c>
      <c r="D68" s="57">
        <v>85.46</v>
      </c>
      <c r="E68" s="770">
        <v>1.3129999999999999</v>
      </c>
      <c r="F68" s="58"/>
    </row>
    <row r="69" spans="1:6" ht="409.6">
      <c r="A69" s="313">
        <f>References!I282</f>
        <v>559</v>
      </c>
      <c r="B69" s="776">
        <v>2010</v>
      </c>
      <c r="C69" s="316" t="s">
        <v>53</v>
      </c>
      <c r="D69" s="57">
        <v>85.46</v>
      </c>
      <c r="E69" s="770">
        <v>1.3129999999999999</v>
      </c>
    </row>
    <row r="70" spans="1:6" ht="409.6">
      <c r="A70" s="313">
        <f>References!J282</f>
        <v>560</v>
      </c>
      <c r="B70" s="776">
        <v>2011</v>
      </c>
      <c r="C70" s="672" t="s">
        <v>53</v>
      </c>
      <c r="D70" s="673">
        <v>127.35</v>
      </c>
      <c r="E70" s="771">
        <v>1.86</v>
      </c>
    </row>
    <row r="71" spans="1:6" ht="409.6">
      <c r="A71" s="313">
        <f>References!G285</f>
        <v>626</v>
      </c>
      <c r="B71" s="776">
        <v>2008</v>
      </c>
      <c r="C71" s="314" t="s">
        <v>214</v>
      </c>
      <c r="D71" s="57"/>
      <c r="E71" s="770"/>
    </row>
    <row r="72" spans="1:6" ht="409.6">
      <c r="A72" s="313">
        <f>References!H285</f>
        <v>627</v>
      </c>
      <c r="B72" s="776">
        <v>2009</v>
      </c>
      <c r="C72" s="317" t="s">
        <v>214</v>
      </c>
      <c r="D72" s="59">
        <v>29.7</v>
      </c>
      <c r="E72" s="772">
        <v>0.436</v>
      </c>
      <c r="F72" s="58"/>
    </row>
    <row r="73" spans="1:6" ht="409.6">
      <c r="A73" s="313">
        <f>References!I285</f>
        <v>628</v>
      </c>
      <c r="B73" s="776">
        <v>2010</v>
      </c>
      <c r="C73" s="318" t="s">
        <v>214</v>
      </c>
      <c r="D73" s="59">
        <v>29.7</v>
      </c>
      <c r="E73" s="772">
        <v>0.436</v>
      </c>
    </row>
    <row r="74" spans="1:6" thickBot="1">
      <c r="A74" s="313">
        <f>References!J285</f>
        <v>629</v>
      </c>
      <c r="B74" s="777">
        <v>2011</v>
      </c>
      <c r="C74" s="675" t="s">
        <v>211</v>
      </c>
      <c r="D74" s="676">
        <v>40.744</v>
      </c>
      <c r="E74" s="773">
        <v>0.60199999999999998</v>
      </c>
    </row>
    <row r="75" spans="1:6" s="60" customFormat="1" ht="409.6">
      <c r="A75" s="319">
        <v>1</v>
      </c>
      <c r="B75" s="778">
        <v>2</v>
      </c>
      <c r="C75" s="319">
        <v>3</v>
      </c>
      <c r="D75" s="320">
        <v>4</v>
      </c>
      <c r="E75" s="319">
        <v>5</v>
      </c>
    </row>
  </sheetData>
  <sheetProtection password="80F5" sheet="1" objects="1" scenarios="1" formatCells="0" formatColumns="0" formatRows="0"/>
  <sortState ref="A11:Y78">
    <sortCondition ref="B11:B78"/>
  </sortState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FF00"/>
  </sheetPr>
  <dimension ref="B1:AB63"/>
  <sheetViews>
    <sheetView showGridLines="0" zoomScale="70" zoomScaleNormal="70" workbookViewId="0"/>
  </sheetViews>
  <sheetFormatPr defaultColWidth="4.140625" defaultRowHeight="15"/>
  <cols>
    <col min="1" max="1" width="4.140625" style="63"/>
    <col min="2" max="2" width="10.85546875" style="63" customWidth="1"/>
    <col min="3" max="3" width="13" style="63" customWidth="1"/>
    <col min="4" max="4" width="31.85546875" style="85" customWidth="1"/>
    <col min="5" max="5" width="31.85546875" style="85" hidden="1" customWidth="1"/>
    <col min="6" max="6" width="12.5703125" style="63" customWidth="1"/>
    <col min="7" max="9" width="13.7109375" style="63" customWidth="1"/>
    <col min="10" max="10" width="4.140625" style="63"/>
    <col min="11" max="11" width="8.140625" style="63" customWidth="1"/>
    <col min="12" max="12" width="4.140625" style="63"/>
    <col min="13" max="13" width="9" style="63" customWidth="1"/>
    <col min="14" max="14" width="4.140625" style="63"/>
    <col min="15" max="15" width="8.140625" style="63" customWidth="1"/>
    <col min="16" max="16" width="4.140625" style="63"/>
    <col min="17" max="17" width="8.140625" style="63" customWidth="1"/>
    <col min="18" max="18" width="4.140625" style="63"/>
    <col min="19" max="19" width="8.140625" style="63" customWidth="1"/>
    <col min="20" max="20" width="4.140625" style="63"/>
    <col min="21" max="21" width="8.140625" style="63" customWidth="1"/>
    <col min="22" max="22" width="5.140625" style="63" customWidth="1"/>
    <col min="23" max="23" width="11.85546875" style="63" customWidth="1"/>
    <col min="24" max="24" width="5.140625" style="63" customWidth="1"/>
    <col min="25" max="25" width="8" style="63" customWidth="1"/>
    <col min="26" max="16384" width="4.140625" style="63"/>
  </cols>
  <sheetData>
    <row r="1" spans="2:28" s="273" customFormat="1">
      <c r="B1" s="321"/>
      <c r="C1" s="322"/>
      <c r="D1" s="323"/>
      <c r="E1" s="323"/>
      <c r="G1" s="322"/>
      <c r="I1" s="322"/>
    </row>
    <row r="2" spans="2:28" s="273" customFormat="1" ht="15.75">
      <c r="B2" s="264" t="s">
        <v>314</v>
      </c>
      <c r="C2" s="322"/>
      <c r="D2" s="323"/>
      <c r="E2" s="323"/>
      <c r="G2" s="322"/>
      <c r="I2" s="322"/>
    </row>
    <row r="3" spans="2:28" s="273" customFormat="1" ht="15.75">
      <c r="B3" s="264"/>
      <c r="C3" s="322"/>
      <c r="D3" s="323"/>
      <c r="E3" s="323"/>
      <c r="G3" s="322"/>
      <c r="I3" s="322"/>
    </row>
    <row r="4" spans="2:28" s="273" customFormat="1" ht="15.75">
      <c r="B4" s="309" t="s">
        <v>315</v>
      </c>
      <c r="C4" s="322"/>
      <c r="D4" s="323"/>
      <c r="E4" s="323"/>
      <c r="G4" s="322"/>
      <c r="I4" s="322"/>
    </row>
    <row r="5" spans="2:28" s="273" customFormat="1" ht="15.75">
      <c r="B5" s="309" t="s">
        <v>316</v>
      </c>
      <c r="C5" s="322"/>
      <c r="D5" s="323"/>
      <c r="E5" s="323"/>
      <c r="G5" s="322"/>
      <c r="I5" s="322"/>
    </row>
    <row r="6" spans="2:28" s="273" customFormat="1" ht="15.75">
      <c r="B6" s="309" t="s">
        <v>317</v>
      </c>
      <c r="C6" s="322"/>
      <c r="D6" s="323"/>
      <c r="E6" s="323"/>
      <c r="G6" s="322"/>
      <c r="I6" s="322"/>
    </row>
    <row r="7" spans="2:28" s="273" customFormat="1" ht="15.75" thickBot="1">
      <c r="C7" s="322"/>
      <c r="D7" s="323"/>
      <c r="E7" s="323"/>
      <c r="G7" s="322"/>
      <c r="I7" s="322"/>
    </row>
    <row r="8" spans="2:28" s="273" customFormat="1" ht="15.75" thickBot="1">
      <c r="B8" s="898" t="s">
        <v>168</v>
      </c>
      <c r="C8" s="899"/>
      <c r="D8" s="899"/>
      <c r="E8" s="899"/>
      <c r="F8" s="899"/>
      <c r="G8" s="899"/>
      <c r="H8" s="899"/>
      <c r="I8" s="900"/>
    </row>
    <row r="9" spans="2:28" s="273" customFormat="1" ht="45.75" thickBot="1">
      <c r="B9" s="324" t="s">
        <v>167</v>
      </c>
      <c r="C9" s="325" t="s">
        <v>128</v>
      </c>
      <c r="D9" s="326" t="s">
        <v>133</v>
      </c>
      <c r="E9" s="326"/>
      <c r="F9" s="327" t="s">
        <v>169</v>
      </c>
      <c r="G9" s="327" t="s">
        <v>170</v>
      </c>
      <c r="H9" s="328" t="s">
        <v>156</v>
      </c>
      <c r="I9" s="329" t="s">
        <v>159</v>
      </c>
    </row>
    <row r="10" spans="2:28">
      <c r="B10" s="330">
        <v>1999</v>
      </c>
      <c r="C10" s="61" t="s">
        <v>131</v>
      </c>
      <c r="D10" s="331">
        <v>830</v>
      </c>
      <c r="E10" s="331"/>
      <c r="F10" s="101"/>
      <c r="G10" s="332"/>
      <c r="H10" s="62">
        <f t="shared" ref="H10:H56" si="0">D10*(1+$W$12)</f>
        <v>846.6</v>
      </c>
      <c r="I10" s="333"/>
      <c r="M10" s="64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6"/>
    </row>
    <row r="11" spans="2:28" s="69" customFormat="1">
      <c r="B11" s="334"/>
      <c r="C11" s="61" t="s">
        <v>132</v>
      </c>
      <c r="D11" s="67">
        <v>832</v>
      </c>
      <c r="E11" s="67"/>
      <c r="F11" s="61"/>
      <c r="G11" s="61"/>
      <c r="H11" s="62">
        <f t="shared" si="0"/>
        <v>848.64</v>
      </c>
      <c r="I11" s="68"/>
      <c r="M11" s="335" t="s">
        <v>171</v>
      </c>
      <c r="N11" s="101"/>
      <c r="O11" s="101"/>
      <c r="P11" s="101"/>
      <c r="Q11" s="101"/>
      <c r="R11" s="101"/>
      <c r="S11" s="101"/>
      <c r="T11" s="101"/>
      <c r="U11" s="101"/>
      <c r="V11" s="336" t="s">
        <v>157</v>
      </c>
      <c r="W11" s="337">
        <v>40513</v>
      </c>
      <c r="X11" s="101"/>
      <c r="Y11" s="101"/>
      <c r="Z11" s="101"/>
      <c r="AA11" s="101"/>
      <c r="AB11" s="70"/>
    </row>
    <row r="12" spans="2:28" s="69" customFormat="1">
      <c r="B12" s="334"/>
      <c r="C12" s="61" t="s">
        <v>129</v>
      </c>
      <c r="D12" s="67">
        <v>835</v>
      </c>
      <c r="E12" s="67"/>
      <c r="F12" s="61"/>
      <c r="G12" s="61"/>
      <c r="H12" s="62">
        <f t="shared" si="0"/>
        <v>851.7</v>
      </c>
      <c r="I12" s="68"/>
      <c r="M12" s="71"/>
      <c r="N12" s="101"/>
      <c r="O12" s="101"/>
      <c r="P12" s="101"/>
      <c r="Q12" s="101"/>
      <c r="R12" s="101"/>
      <c r="S12" s="101"/>
      <c r="T12" s="101"/>
      <c r="U12" s="101"/>
      <c r="V12" s="336" t="s">
        <v>158</v>
      </c>
      <c r="W12" s="338">
        <v>0.02</v>
      </c>
      <c r="X12" s="101"/>
      <c r="Y12" s="101"/>
      <c r="Z12" s="101"/>
      <c r="AA12" s="101"/>
      <c r="AB12" s="70"/>
    </row>
    <row r="13" spans="2:28" s="69" customFormat="1">
      <c r="B13" s="334"/>
      <c r="C13" s="61" t="s">
        <v>130</v>
      </c>
      <c r="D13" s="67">
        <v>837</v>
      </c>
      <c r="E13" s="67"/>
      <c r="F13" s="61"/>
      <c r="G13" s="61"/>
      <c r="H13" s="62">
        <f t="shared" si="0"/>
        <v>853.74</v>
      </c>
      <c r="I13" s="68"/>
      <c r="M13" s="7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70"/>
    </row>
    <row r="14" spans="2:28" s="69" customFormat="1">
      <c r="B14" s="330">
        <v>2000</v>
      </c>
      <c r="C14" s="61" t="s">
        <v>131</v>
      </c>
      <c r="D14" s="67">
        <v>842.76206000000002</v>
      </c>
      <c r="E14" s="67"/>
      <c r="F14" s="72">
        <f>SUM(D11:D14)</f>
        <v>3346.76206</v>
      </c>
      <c r="G14" s="332">
        <f>$F$58/F14</f>
        <v>1.342491614118513</v>
      </c>
      <c r="H14" s="62">
        <f t="shared" si="0"/>
        <v>859.61730120000004</v>
      </c>
      <c r="I14" s="333">
        <f>$F$58/F14</f>
        <v>1.342491614118513</v>
      </c>
      <c r="M14" s="339" t="s">
        <v>172</v>
      </c>
      <c r="N14" s="901" t="s">
        <v>313</v>
      </c>
      <c r="O14" s="901"/>
      <c r="P14" s="901"/>
      <c r="Q14" s="901"/>
      <c r="R14" s="901"/>
      <c r="S14" s="901"/>
      <c r="T14" s="901"/>
      <c r="U14" s="901"/>
      <c r="V14" s="901"/>
      <c r="W14" s="901"/>
      <c r="X14" s="901"/>
      <c r="Y14" s="901"/>
      <c r="Z14" s="901"/>
      <c r="AA14" s="901"/>
      <c r="AB14" s="902"/>
    </row>
    <row r="15" spans="2:28" s="69" customFormat="1">
      <c r="B15" s="330"/>
      <c r="C15" s="61" t="s">
        <v>132</v>
      </c>
      <c r="D15" s="67">
        <v>848.58569</v>
      </c>
      <c r="E15" s="67"/>
      <c r="F15" s="61"/>
      <c r="G15" s="61"/>
      <c r="H15" s="62">
        <f t="shared" si="0"/>
        <v>865.55740379999997</v>
      </c>
      <c r="I15" s="68"/>
      <c r="M15" s="71"/>
      <c r="N15" s="901"/>
      <c r="O15" s="901"/>
      <c r="P15" s="901"/>
      <c r="Q15" s="901"/>
      <c r="R15" s="901"/>
      <c r="S15" s="901"/>
      <c r="T15" s="901"/>
      <c r="U15" s="901"/>
      <c r="V15" s="901"/>
      <c r="W15" s="901"/>
      <c r="X15" s="901"/>
      <c r="Y15" s="901"/>
      <c r="Z15" s="901"/>
      <c r="AA15" s="901"/>
      <c r="AB15" s="902"/>
    </row>
    <row r="16" spans="2:28" s="69" customFormat="1">
      <c r="B16" s="334"/>
      <c r="C16" s="61" t="s">
        <v>129</v>
      </c>
      <c r="D16" s="67">
        <v>860.23294999999996</v>
      </c>
      <c r="E16" s="67"/>
      <c r="F16" s="61"/>
      <c r="G16" s="61"/>
      <c r="H16" s="62">
        <f t="shared" si="0"/>
        <v>877.43760899999995</v>
      </c>
      <c r="I16" s="68"/>
      <c r="M16" s="71"/>
      <c r="N16" s="901"/>
      <c r="O16" s="901"/>
      <c r="P16" s="901"/>
      <c r="Q16" s="901"/>
      <c r="R16" s="901"/>
      <c r="S16" s="901"/>
      <c r="T16" s="901"/>
      <c r="U16" s="901"/>
      <c r="V16" s="901"/>
      <c r="W16" s="901"/>
      <c r="X16" s="901"/>
      <c r="Y16" s="901"/>
      <c r="Z16" s="901"/>
      <c r="AA16" s="901"/>
      <c r="AB16" s="902"/>
    </row>
    <row r="17" spans="2:28" s="69" customFormat="1">
      <c r="B17" s="334"/>
      <c r="C17" s="61" t="s">
        <v>130</v>
      </c>
      <c r="D17" s="67">
        <v>870.21631000000002</v>
      </c>
      <c r="E17" s="67"/>
      <c r="F17" s="61"/>
      <c r="G17" s="61"/>
      <c r="H17" s="62">
        <f t="shared" si="0"/>
        <v>887.62063620000004</v>
      </c>
      <c r="I17" s="68"/>
      <c r="M17" s="71"/>
      <c r="N17" s="901"/>
      <c r="O17" s="901"/>
      <c r="P17" s="901"/>
      <c r="Q17" s="901"/>
      <c r="R17" s="901"/>
      <c r="S17" s="901"/>
      <c r="T17" s="901"/>
      <c r="U17" s="901"/>
      <c r="V17" s="901"/>
      <c r="W17" s="901"/>
      <c r="X17" s="901"/>
      <c r="Y17" s="901"/>
      <c r="Z17" s="901"/>
      <c r="AA17" s="901"/>
      <c r="AB17" s="902"/>
    </row>
    <row r="18" spans="2:28" s="69" customFormat="1" ht="15.75" thickBot="1">
      <c r="B18" s="330">
        <v>2001</v>
      </c>
      <c r="C18" s="61" t="s">
        <v>131</v>
      </c>
      <c r="D18" s="67">
        <v>868.55241000000001</v>
      </c>
      <c r="E18" s="67"/>
      <c r="F18" s="72">
        <f>SUM(D15:D18)</f>
        <v>3447.5873600000004</v>
      </c>
      <c r="G18" s="332">
        <f>$F$58/F18</f>
        <v>1.3032302102418658</v>
      </c>
      <c r="H18" s="62">
        <f t="shared" si="0"/>
        <v>885.92345820000003</v>
      </c>
      <c r="I18" s="333">
        <f>$F$58/F18</f>
        <v>1.3032302102418658</v>
      </c>
      <c r="M18" s="73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74"/>
    </row>
    <row r="19" spans="2:28" s="69" customFormat="1">
      <c r="B19" s="334"/>
      <c r="C19" s="61" t="s">
        <v>132</v>
      </c>
      <c r="D19" s="67">
        <v>876.03993000000003</v>
      </c>
      <c r="E19" s="67"/>
      <c r="F19" s="61"/>
      <c r="G19" s="61"/>
      <c r="H19" s="62">
        <f t="shared" si="0"/>
        <v>893.56072860000006</v>
      </c>
      <c r="I19" s="68"/>
    </row>
    <row r="20" spans="2:28" s="69" customFormat="1">
      <c r="B20" s="334"/>
      <c r="C20" s="61" t="s">
        <v>129</v>
      </c>
      <c r="D20" s="67">
        <v>881.03161</v>
      </c>
      <c r="E20" s="67"/>
      <c r="F20" s="61"/>
      <c r="G20" s="61"/>
      <c r="H20" s="62">
        <f t="shared" si="0"/>
        <v>898.65224220000005</v>
      </c>
      <c r="I20" s="68"/>
    </row>
    <row r="21" spans="2:28" s="69" customFormat="1">
      <c r="B21" s="334"/>
      <c r="C21" s="61" t="s">
        <v>130</v>
      </c>
      <c r="D21" s="67">
        <v>886.02328999999997</v>
      </c>
      <c r="E21" s="67"/>
      <c r="F21" s="61"/>
      <c r="G21" s="61"/>
      <c r="H21" s="62">
        <f t="shared" si="0"/>
        <v>903.74375580000003</v>
      </c>
      <c r="I21" s="68"/>
    </row>
    <row r="22" spans="2:28" s="69" customFormat="1">
      <c r="B22" s="334">
        <v>2002</v>
      </c>
      <c r="C22" s="61" t="s">
        <v>131</v>
      </c>
      <c r="D22" s="67">
        <v>891.01498000000004</v>
      </c>
      <c r="E22" s="67"/>
      <c r="F22" s="72">
        <f>SUM(D19:D22)</f>
        <v>3534.1098099999999</v>
      </c>
      <c r="G22" s="332">
        <f>$F$58/F22</f>
        <v>1.2713243904552021</v>
      </c>
      <c r="H22" s="62">
        <f t="shared" si="0"/>
        <v>908.83527960000004</v>
      </c>
      <c r="I22" s="333">
        <f>$F$58/F22</f>
        <v>1.2713243904552021</v>
      </c>
    </row>
    <row r="23" spans="2:28" s="69" customFormat="1">
      <c r="B23" s="75"/>
      <c r="C23" s="61" t="s">
        <v>132</v>
      </c>
      <c r="D23" s="67">
        <v>900.16638999999998</v>
      </c>
      <c r="E23" s="67"/>
      <c r="F23" s="61"/>
      <c r="G23" s="61"/>
      <c r="H23" s="62">
        <f t="shared" si="0"/>
        <v>918.16971779999994</v>
      </c>
      <c r="I23" s="68"/>
    </row>
    <row r="24" spans="2:28" s="69" customFormat="1">
      <c r="B24" s="75"/>
      <c r="C24" s="61" t="s">
        <v>129</v>
      </c>
      <c r="D24" s="67">
        <v>904.32611999999995</v>
      </c>
      <c r="E24" s="67"/>
      <c r="F24" s="61"/>
      <c r="G24" s="61"/>
      <c r="H24" s="62">
        <f t="shared" si="0"/>
        <v>922.41264239999998</v>
      </c>
      <c r="I24" s="68"/>
    </row>
    <row r="25" spans="2:28" s="69" customFormat="1">
      <c r="B25" s="75"/>
      <c r="C25" s="61" t="s">
        <v>130</v>
      </c>
      <c r="D25" s="67">
        <v>910.14975000000004</v>
      </c>
      <c r="E25" s="67"/>
      <c r="F25" s="61"/>
      <c r="G25" s="61"/>
      <c r="H25" s="62">
        <f t="shared" si="0"/>
        <v>928.35274500000003</v>
      </c>
      <c r="I25" s="68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</row>
    <row r="26" spans="2:28" s="69" customFormat="1">
      <c r="B26" s="340">
        <v>2003</v>
      </c>
      <c r="C26" s="61" t="s">
        <v>131</v>
      </c>
      <c r="D26" s="67">
        <v>913.47753999999998</v>
      </c>
      <c r="E26" s="67"/>
      <c r="F26" s="72">
        <f>SUM(D23:D26)</f>
        <v>3628.1197999999999</v>
      </c>
      <c r="G26" s="332">
        <f>$F$58/F26</f>
        <v>1.2383824811959077</v>
      </c>
      <c r="H26" s="62">
        <f t="shared" si="0"/>
        <v>931.74709080000002</v>
      </c>
      <c r="I26" s="333">
        <f>$F$58/F26</f>
        <v>1.2383824811959077</v>
      </c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</row>
    <row r="27" spans="2:28" s="69" customFormat="1">
      <c r="B27" s="75"/>
      <c r="C27" s="61" t="s">
        <v>132</v>
      </c>
      <c r="D27" s="67">
        <v>913.47753999999998</v>
      </c>
      <c r="E27" s="67"/>
      <c r="F27" s="61"/>
      <c r="G27" s="61"/>
      <c r="H27" s="62">
        <f t="shared" si="0"/>
        <v>931.74709080000002</v>
      </c>
      <c r="I27" s="68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</row>
    <row r="28" spans="2:28">
      <c r="B28" s="75"/>
      <c r="C28" s="341" t="s">
        <v>129</v>
      </c>
      <c r="D28" s="67">
        <v>917.63726999999994</v>
      </c>
      <c r="E28" s="342"/>
      <c r="F28" s="101"/>
      <c r="G28" s="343"/>
      <c r="H28" s="62">
        <f t="shared" si="0"/>
        <v>935.99001539999995</v>
      </c>
      <c r="I28" s="344"/>
    </row>
    <row r="29" spans="2:28">
      <c r="B29" s="75"/>
      <c r="C29" s="341" t="s">
        <v>130</v>
      </c>
      <c r="D29" s="67">
        <v>924.29285000000004</v>
      </c>
      <c r="E29" s="342"/>
      <c r="F29" s="101"/>
      <c r="G29" s="332"/>
      <c r="H29" s="62">
        <f t="shared" si="0"/>
        <v>942.77870700000005</v>
      </c>
      <c r="I29" s="344"/>
    </row>
    <row r="30" spans="2:28">
      <c r="B30" s="340">
        <v>2004</v>
      </c>
      <c r="C30" s="341" t="s">
        <v>131</v>
      </c>
      <c r="D30" s="67">
        <v>927.62063000000001</v>
      </c>
      <c r="E30" s="345"/>
      <c r="F30" s="72">
        <f>SUM(D27:D30)</f>
        <v>3683.0282899999997</v>
      </c>
      <c r="G30" s="332">
        <f>$F$58/F30</f>
        <v>1.2199200348797756</v>
      </c>
      <c r="H30" s="62">
        <f t="shared" si="0"/>
        <v>946.17304260000003</v>
      </c>
      <c r="I30" s="346">
        <f>SUM($H$55:$H$58)/SUM(H27:H30)</f>
        <v>1.2077657144788445</v>
      </c>
    </row>
    <row r="31" spans="2:28">
      <c r="B31" s="75"/>
      <c r="C31" s="341" t="s">
        <v>132</v>
      </c>
      <c r="D31" s="67">
        <v>935.10815000000002</v>
      </c>
      <c r="E31" s="345"/>
      <c r="F31" s="61"/>
      <c r="G31" s="332"/>
      <c r="H31" s="62">
        <f t="shared" si="0"/>
        <v>953.81031300000006</v>
      </c>
      <c r="I31" s="344"/>
    </row>
    <row r="32" spans="2:28">
      <c r="B32" s="75"/>
      <c r="C32" s="341" t="s">
        <v>129</v>
      </c>
      <c r="D32" s="67">
        <v>940.93178</v>
      </c>
      <c r="E32" s="345"/>
      <c r="F32" s="61"/>
      <c r="G32" s="332"/>
      <c r="H32" s="62">
        <f t="shared" si="0"/>
        <v>959.7504156</v>
      </c>
      <c r="I32" s="344"/>
    </row>
    <row r="33" spans="2:28">
      <c r="B33" s="75"/>
      <c r="C33" s="341" t="s">
        <v>130</v>
      </c>
      <c r="D33" s="67">
        <v>949.25125000000003</v>
      </c>
      <c r="E33" s="345"/>
      <c r="F33" s="61"/>
      <c r="G33" s="332"/>
      <c r="H33" s="62">
        <f t="shared" si="0"/>
        <v>968.23627500000009</v>
      </c>
      <c r="I33" s="344"/>
    </row>
    <row r="34" spans="2:28">
      <c r="B34" s="340">
        <v>2005</v>
      </c>
      <c r="C34" s="341" t="s">
        <v>131</v>
      </c>
      <c r="D34" s="67">
        <v>953.41098</v>
      </c>
      <c r="E34" s="345"/>
      <c r="F34" s="72">
        <f>SUM(D31:D34)</f>
        <v>3778.7021600000003</v>
      </c>
      <c r="G34" s="332">
        <f>$F$58/F34</f>
        <v>1.1890325857277939</v>
      </c>
      <c r="H34" s="62">
        <f t="shared" si="0"/>
        <v>972.47919960000002</v>
      </c>
      <c r="I34" s="346">
        <f>SUM($H$55:$H$58)/SUM(H31:H34)</f>
        <v>1.1771860034921744</v>
      </c>
    </row>
    <row r="35" spans="2:28">
      <c r="B35" s="75"/>
      <c r="C35" s="341" t="s">
        <v>132</v>
      </c>
      <c r="D35" s="67">
        <v>961.73045000000002</v>
      </c>
      <c r="E35" s="345"/>
      <c r="F35" s="101"/>
      <c r="G35" s="332"/>
      <c r="H35" s="62">
        <f t="shared" si="0"/>
        <v>980.965059</v>
      </c>
      <c r="I35" s="344"/>
    </row>
    <row r="36" spans="2:28">
      <c r="B36" s="75"/>
      <c r="C36" s="341" t="s">
        <v>129</v>
      </c>
      <c r="D36" s="67">
        <v>972.54575999999997</v>
      </c>
      <c r="E36" s="345"/>
      <c r="F36" s="101"/>
      <c r="G36" s="332"/>
      <c r="H36" s="62">
        <f t="shared" si="0"/>
        <v>991.99667520000003</v>
      </c>
      <c r="I36" s="344"/>
    </row>
    <row r="37" spans="2:28">
      <c r="B37" s="75"/>
      <c r="C37" s="341" t="s">
        <v>130</v>
      </c>
      <c r="D37" s="67">
        <v>979.20132999999998</v>
      </c>
      <c r="E37" s="345"/>
      <c r="F37" s="101"/>
      <c r="G37" s="332"/>
      <c r="H37" s="62">
        <f t="shared" si="0"/>
        <v>998.7853566</v>
      </c>
      <c r="I37" s="344"/>
    </row>
    <row r="38" spans="2:28">
      <c r="B38" s="340">
        <v>2006</v>
      </c>
      <c r="C38" s="341" t="s">
        <v>131</v>
      </c>
      <c r="D38" s="67">
        <v>985.02495999999996</v>
      </c>
      <c r="E38" s="345"/>
      <c r="F38" s="72">
        <f>SUM(D35:D38)</f>
        <v>3898.5024999999996</v>
      </c>
      <c r="G38" s="332">
        <f>$F$58/F38</f>
        <v>1.1524938101232463</v>
      </c>
      <c r="H38" s="62">
        <f t="shared" si="0"/>
        <v>1004.7254591999999</v>
      </c>
      <c r="I38" s="346">
        <f>SUM($H$55:$H$58)/SUM(H35:H38)</f>
        <v>1.1410112714093801</v>
      </c>
    </row>
    <row r="39" spans="2:28">
      <c r="B39" s="75"/>
      <c r="C39" s="341" t="s">
        <v>132</v>
      </c>
      <c r="D39" s="67">
        <v>1000</v>
      </c>
      <c r="E39" s="345"/>
      <c r="F39" s="61"/>
      <c r="G39" s="332"/>
      <c r="H39" s="62">
        <f t="shared" si="0"/>
        <v>1020</v>
      </c>
      <c r="I39" s="344"/>
    </row>
    <row r="40" spans="2:28">
      <c r="B40" s="75"/>
      <c r="C40" s="341" t="s">
        <v>129</v>
      </c>
      <c r="D40" s="67">
        <v>1007</v>
      </c>
      <c r="E40" s="345"/>
      <c r="F40" s="61"/>
      <c r="G40" s="332"/>
      <c r="H40" s="62">
        <f t="shared" si="0"/>
        <v>1027.1400000000001</v>
      </c>
      <c r="I40" s="34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</row>
    <row r="41" spans="2:28">
      <c r="B41" s="75"/>
      <c r="C41" s="341" t="s">
        <v>130</v>
      </c>
      <c r="D41" s="67">
        <v>1005</v>
      </c>
      <c r="E41" s="345"/>
      <c r="F41" s="61"/>
      <c r="G41" s="332"/>
      <c r="H41" s="62">
        <f t="shared" si="0"/>
        <v>1025.0999999999999</v>
      </c>
      <c r="I41" s="344"/>
    </row>
    <row r="42" spans="2:28">
      <c r="B42" s="340">
        <v>2007</v>
      </c>
      <c r="C42" s="341" t="s">
        <v>131</v>
      </c>
      <c r="D42" s="67">
        <v>1010</v>
      </c>
      <c r="E42" s="345"/>
      <c r="F42" s="72">
        <f>SUM(D39:D42)</f>
        <v>4022</v>
      </c>
      <c r="G42" s="332">
        <f>$F$58/F42</f>
        <v>1.117105917454003</v>
      </c>
      <c r="H42" s="62">
        <f t="shared" si="0"/>
        <v>1030.2</v>
      </c>
      <c r="I42" s="346">
        <f>SUM($H$55:$H$58)/SUM(H39:H42)</f>
        <v>1.1059759557726623</v>
      </c>
    </row>
    <row r="43" spans="2:28">
      <c r="B43" s="75"/>
      <c r="C43" s="341" t="s">
        <v>132</v>
      </c>
      <c r="D43" s="67">
        <v>1020</v>
      </c>
      <c r="E43" s="345"/>
      <c r="F43" s="61"/>
      <c r="G43" s="332"/>
      <c r="H43" s="62">
        <f t="shared" si="0"/>
        <v>1040.4000000000001</v>
      </c>
      <c r="I43" s="344"/>
    </row>
    <row r="44" spans="2:28">
      <c r="B44" s="75"/>
      <c r="C44" s="341" t="s">
        <v>129</v>
      </c>
      <c r="D44" s="67">
        <v>1025</v>
      </c>
      <c r="E44" s="345"/>
      <c r="F44" s="61"/>
      <c r="G44" s="332"/>
      <c r="H44" s="62">
        <f t="shared" si="0"/>
        <v>1045.5</v>
      </c>
      <c r="I44" s="344"/>
    </row>
    <row r="45" spans="2:28">
      <c r="B45" s="75"/>
      <c r="C45" s="341" t="s">
        <v>130</v>
      </c>
      <c r="D45" s="67">
        <v>1037</v>
      </c>
      <c r="E45" s="345"/>
      <c r="F45" s="61"/>
      <c r="G45" s="332"/>
      <c r="H45" s="62">
        <f t="shared" si="0"/>
        <v>1057.74</v>
      </c>
      <c r="I45" s="344"/>
    </row>
    <row r="46" spans="2:28">
      <c r="B46" s="340">
        <v>2008</v>
      </c>
      <c r="C46" s="341" t="s">
        <v>131</v>
      </c>
      <c r="D46" s="67">
        <v>1044</v>
      </c>
      <c r="E46" s="345"/>
      <c r="F46" s="72">
        <f>SUM(D43:D46)</f>
        <v>4126</v>
      </c>
      <c r="G46" s="332">
        <f>$F$58/F46</f>
        <v>1.088948133785749</v>
      </c>
      <c r="H46" s="62">
        <f t="shared" si="0"/>
        <v>1064.8800000000001</v>
      </c>
      <c r="I46" s="346">
        <f>SUM($H$55:$H$58)/SUM(H43:H46)</f>
        <v>1.0780987140372387</v>
      </c>
    </row>
    <row r="47" spans="2:28">
      <c r="B47" s="75"/>
      <c r="C47" s="341" t="s">
        <v>132</v>
      </c>
      <c r="D47" s="67">
        <v>1061</v>
      </c>
      <c r="E47" s="345"/>
      <c r="F47" s="61"/>
      <c r="G47" s="332"/>
      <c r="H47" s="62">
        <f t="shared" si="0"/>
        <v>1082.22</v>
      </c>
      <c r="I47" s="344"/>
    </row>
    <row r="48" spans="2:28">
      <c r="B48" s="75"/>
      <c r="C48" s="341" t="s">
        <v>129</v>
      </c>
      <c r="D48" s="67">
        <v>1077</v>
      </c>
      <c r="E48" s="345"/>
      <c r="F48" s="101"/>
      <c r="G48" s="332"/>
      <c r="H48" s="62">
        <f t="shared" si="0"/>
        <v>1098.54</v>
      </c>
      <c r="I48" s="344"/>
    </row>
    <row r="49" spans="2:9">
      <c r="B49" s="75"/>
      <c r="C49" s="341" t="s">
        <v>130</v>
      </c>
      <c r="D49" s="67">
        <v>1072</v>
      </c>
      <c r="E49" s="345"/>
      <c r="F49" s="101"/>
      <c r="G49" s="332"/>
      <c r="H49" s="62">
        <f t="shared" si="0"/>
        <v>1093.44</v>
      </c>
      <c r="I49" s="344"/>
    </row>
    <row r="50" spans="2:9">
      <c r="B50" s="340">
        <v>2009</v>
      </c>
      <c r="C50" s="341" t="s">
        <v>131</v>
      </c>
      <c r="D50" s="67">
        <v>1075</v>
      </c>
      <c r="E50" s="345"/>
      <c r="F50" s="72">
        <f>SUM(D47:D50)</f>
        <v>4285</v>
      </c>
      <c r="G50" s="332">
        <f>$F$58/F50</f>
        <v>1.0485414235705952</v>
      </c>
      <c r="H50" s="62">
        <f t="shared" si="0"/>
        <v>1096.5</v>
      </c>
      <c r="I50" s="346">
        <f>SUM($H$55:$H$58)/SUM(H47:H50)</f>
        <v>1.0380945843915159</v>
      </c>
    </row>
    <row r="51" spans="2:9">
      <c r="B51" s="75"/>
      <c r="C51" s="341" t="s">
        <v>132</v>
      </c>
      <c r="D51" s="67">
        <v>1081</v>
      </c>
      <c r="E51" s="345"/>
      <c r="F51" s="61"/>
      <c r="G51" s="332"/>
      <c r="H51" s="62">
        <f t="shared" si="0"/>
        <v>1102.6200000000001</v>
      </c>
      <c r="I51" s="344"/>
    </row>
    <row r="52" spans="2:9">
      <c r="B52" s="75"/>
      <c r="C52" s="341" t="s">
        <v>129</v>
      </c>
      <c r="D52" s="67">
        <v>1095</v>
      </c>
      <c r="E52" s="345"/>
      <c r="F52" s="61"/>
      <c r="G52" s="332"/>
      <c r="H52" s="62">
        <f t="shared" si="0"/>
        <v>1116.9000000000001</v>
      </c>
      <c r="I52" s="344"/>
    </row>
    <row r="53" spans="2:9">
      <c r="B53" s="75"/>
      <c r="C53" s="341" t="s">
        <v>130</v>
      </c>
      <c r="D53" s="67">
        <v>1093</v>
      </c>
      <c r="E53" s="345"/>
      <c r="F53" s="61"/>
      <c r="G53" s="332"/>
      <c r="H53" s="62">
        <f t="shared" si="0"/>
        <v>1114.8600000000001</v>
      </c>
      <c r="I53" s="344"/>
    </row>
    <row r="54" spans="2:9">
      <c r="B54" s="340">
        <v>2010</v>
      </c>
      <c r="C54" s="341" t="s">
        <v>131</v>
      </c>
      <c r="D54" s="67">
        <v>1097</v>
      </c>
      <c r="E54" s="345"/>
      <c r="F54" s="72">
        <f>SUM(D51:D54)</f>
        <v>4366</v>
      </c>
      <c r="G54" s="332">
        <f>$F$58/F54</f>
        <v>1.0290884104443427</v>
      </c>
      <c r="H54" s="62">
        <f t="shared" si="0"/>
        <v>1118.94</v>
      </c>
      <c r="I54" s="76">
        <f>SUM($H$55:$H$58)/SUM(H51:H54)</f>
        <v>1.0188353857346877</v>
      </c>
    </row>
    <row r="55" spans="2:9">
      <c r="B55" s="340"/>
      <c r="C55" s="341" t="s">
        <v>132</v>
      </c>
      <c r="D55" s="67">
        <v>1099</v>
      </c>
      <c r="E55" s="345"/>
      <c r="F55" s="101"/>
      <c r="G55" s="332"/>
      <c r="H55" s="62">
        <f t="shared" si="0"/>
        <v>1120.98</v>
      </c>
      <c r="I55" s="344"/>
    </row>
    <row r="56" spans="2:9">
      <c r="B56" s="340"/>
      <c r="C56" s="341" t="s">
        <v>129</v>
      </c>
      <c r="D56" s="67">
        <v>1111</v>
      </c>
      <c r="E56" s="345"/>
      <c r="F56" s="101"/>
      <c r="G56" s="332"/>
      <c r="H56" s="62">
        <f t="shared" si="0"/>
        <v>1133.22</v>
      </c>
      <c r="I56" s="344"/>
    </row>
    <row r="57" spans="2:9">
      <c r="B57" s="340"/>
      <c r="C57" s="341" t="s">
        <v>130</v>
      </c>
      <c r="D57" s="67">
        <v>1137</v>
      </c>
      <c r="E57" s="345"/>
      <c r="F57" s="101"/>
      <c r="G57" s="332"/>
      <c r="H57" s="62">
        <f t="shared" ref="H57:H62" si="1">D57</f>
        <v>1137</v>
      </c>
      <c r="I57" s="344"/>
    </row>
    <row r="58" spans="2:9" ht="409.6">
      <c r="B58" s="340">
        <v>2011</v>
      </c>
      <c r="C58" s="341" t="s">
        <v>131</v>
      </c>
      <c r="D58" s="67">
        <v>1146</v>
      </c>
      <c r="E58" s="345"/>
      <c r="F58" s="72">
        <f>SUM(D55:D58)</f>
        <v>4493</v>
      </c>
      <c r="G58" s="332">
        <f>$F$58/F58</f>
        <v>1</v>
      </c>
      <c r="H58" s="62">
        <f t="shared" si="1"/>
        <v>1146</v>
      </c>
      <c r="I58" s="346">
        <f>SUM($H$55:$H$58)/SUM(H55:H58)</f>
        <v>1</v>
      </c>
    </row>
    <row r="59" spans="2:9" ht="409.6">
      <c r="B59" s="340"/>
      <c r="C59" s="341" t="s">
        <v>132</v>
      </c>
      <c r="D59" s="67">
        <v>1157</v>
      </c>
      <c r="E59" s="345"/>
      <c r="F59" s="101"/>
      <c r="G59" s="332"/>
      <c r="H59" s="62">
        <f t="shared" si="1"/>
        <v>1157</v>
      </c>
      <c r="I59" s="344"/>
    </row>
    <row r="60" spans="2:9" ht="409.6">
      <c r="B60" s="340"/>
      <c r="C60" s="341" t="s">
        <v>129</v>
      </c>
      <c r="D60" s="67">
        <v>1162</v>
      </c>
      <c r="E60" s="345"/>
      <c r="F60" s="101"/>
      <c r="G60" s="332"/>
      <c r="H60" s="62">
        <f t="shared" si="1"/>
        <v>1162</v>
      </c>
      <c r="I60" s="344"/>
    </row>
    <row r="61" spans="2:9" ht="409.6">
      <c r="B61" s="347"/>
      <c r="C61" s="341" t="s">
        <v>130</v>
      </c>
      <c r="D61" s="67">
        <v>1158</v>
      </c>
      <c r="E61" s="77"/>
      <c r="F61" s="78"/>
      <c r="G61" s="78"/>
      <c r="H61" s="62">
        <f t="shared" si="1"/>
        <v>1158</v>
      </c>
      <c r="I61" s="79"/>
    </row>
    <row r="62" spans="2:9" ht="409.6">
      <c r="B62" s="347">
        <v>2012</v>
      </c>
      <c r="C62" s="341" t="s">
        <v>131</v>
      </c>
      <c r="D62" s="67">
        <v>1164</v>
      </c>
      <c r="E62" s="77"/>
      <c r="F62" s="72">
        <f>SUM(D59:D62)</f>
        <v>4641</v>
      </c>
      <c r="G62" s="332">
        <f>$F$58/F62</f>
        <v>0.96811032105149752</v>
      </c>
      <c r="H62" s="62">
        <f t="shared" si="1"/>
        <v>1164</v>
      </c>
      <c r="I62" s="346">
        <f>SUM($H$55:$H$58)/SUM(H59:H62)</f>
        <v>0.97763413057530701</v>
      </c>
    </row>
    <row r="63" spans="2:9" thickBot="1">
      <c r="B63" s="80"/>
      <c r="C63" s="348" t="s">
        <v>132</v>
      </c>
      <c r="D63" s="81">
        <v>1168</v>
      </c>
      <c r="E63" s="82"/>
      <c r="F63" s="83"/>
      <c r="G63" s="349"/>
      <c r="H63" s="84">
        <v>1168</v>
      </c>
      <c r="I63" s="350"/>
    </row>
  </sheetData>
  <sheetProtection password="80F5" sheet="1" objects="1" scenarios="1" formatCells="0" formatColumns="0" formatRows="0"/>
  <mergeCells count="2">
    <mergeCell ref="B8:I8"/>
    <mergeCell ref="N14:AB1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0" width="8.5703125" style="102" customWidth="1"/>
    <col min="21" max="21" width="13.140625" style="102" customWidth="1"/>
    <col min="2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31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Buller</v>
      </c>
      <c r="C6" s="108"/>
      <c r="D6" s="109">
        <f>VLOOKUP($B$6,$B$258:$J$286,9,FALSE)</f>
        <v>54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6.5328739699999998</v>
      </c>
      <c r="E7" s="407">
        <f>D7/('Industry calcs'!D4/1000)*100</f>
        <v>0.3169229116758146</v>
      </c>
    </row>
    <row r="8" spans="2:5">
      <c r="B8" s="111" t="s">
        <v>250</v>
      </c>
      <c r="C8" s="114"/>
      <c r="D8" s="406">
        <f>VLOOKUP(D6,'AV (2011)'!A8:F214,'AV (2011)'!F214,FALSE)/1000</f>
        <v>28.583218000000002</v>
      </c>
      <c r="E8" s="407">
        <f>D8/('Industry calcs'!D5/1000)*100</f>
        <v>0.31847096503503408</v>
      </c>
    </row>
    <row r="9" spans="2:5">
      <c r="B9" s="111" t="s">
        <v>230</v>
      </c>
      <c r="C9" s="114"/>
      <c r="D9" s="406">
        <f>VLOOKUP($D$6,'FS (2011)'!$A$13:$AH$244,'FS (2011)'!S245,FALSE)/1000</f>
        <v>2.8747703000000002</v>
      </c>
      <c r="E9" s="407">
        <f>D9/('Industry calcs'!D6/1000)*100</f>
        <v>0.63319891330030409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1.4479550000000001</v>
      </c>
      <c r="E10" s="407">
        <f>D10/('Industry calcs'!D7/1000)*100</f>
        <v>0.24744256463801795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55.909939000000001</v>
      </c>
      <c r="E11" s="407">
        <f>D11/'Industry calcs'!D8*100</f>
        <v>0.18067082690348543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10.593</v>
      </c>
      <c r="E12" s="407">
        <f>D12/'Industry calcs'!D9*100</f>
        <v>0.16939997435252724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623.19000000000005</v>
      </c>
      <c r="E13" s="407">
        <f>D13/'Industry calcs'!D10*100</f>
        <v>0.41665496042667227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4471</v>
      </c>
      <c r="E14" s="407">
        <f>D14/'Industry calcs'!D11*100</f>
        <v>0.22258453955965998</v>
      </c>
    </row>
    <row r="15" spans="2:5">
      <c r="B15" s="115" t="s">
        <v>195</v>
      </c>
      <c r="C15" s="116" t="s">
        <v>239</v>
      </c>
      <c r="D15" s="408">
        <f>D14/D13</f>
        <v>7.1743769957797774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Buller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30.535349243914723</v>
      </c>
      <c r="D20" s="409">
        <f>VLOOKUP($B$2,'MED price allocation'!$B$16:$F$44,3,FALSE)</f>
        <v>31.428313542453147</v>
      </c>
      <c r="E20" s="409">
        <f>VLOOKUP($B$2,'MED price allocation'!$B$16:$F$44,4,FALSE)</f>
        <v>31.734175177171188</v>
      </c>
      <c r="F20" s="503">
        <f>VLOOKUP($B$2,'MED price allocation'!$B$16:$F$44,5,FALSE)</f>
        <v>32.636000000000003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9.9616321177040863</v>
      </c>
      <c r="D21" s="410">
        <f>VLOOKUP($B$2,'MED price allocation'!$B$47:$F$75,3,FALSE)</f>
        <v>10.941516919486578</v>
      </c>
      <c r="E21" s="410">
        <f>VLOOKUP($B$2,'MED price allocation'!$B$47:$F$75,4,FALSE)</f>
        <v>11.42114467408585</v>
      </c>
      <c r="F21" s="504">
        <f>VLOOKUP($B$2,'MED price allocation'!$B$47:$F$75,5,FALSE)</f>
        <v>11.529999999999998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12.991089504148727</v>
      </c>
      <c r="D22" s="409">
        <f>VLOOKUP($B$2,'MED price allocation'!$B$78:$F$106,3,FALSE)</f>
        <v>13.277229734367488</v>
      </c>
      <c r="E22" s="409">
        <f>VLOOKUP($B$2,'MED price allocation'!$B$78:$F$106,4,FALSE)</f>
        <v>13.764466061275632</v>
      </c>
      <c r="F22" s="503">
        <f>VLOOKUP($B$2,'MED price allocation'!$B$78:$F$106,5,FALSE)</f>
        <v>14.119999999999997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3.0294573864446406</v>
      </c>
      <c r="D23" s="411">
        <f>VLOOKUP($B$2,'MED price allocation'!$B$109:$F$137,3,FALSE)</f>
        <v>2.3357128148809108</v>
      </c>
      <c r="E23" s="411">
        <f>VLOOKUP($B$2,'MED price allocation'!$B$109:$F$137,4,FALSE)</f>
        <v>2.3433213871897816</v>
      </c>
      <c r="F23" s="505">
        <f>VLOOKUP($B$2,'MED price allocation'!$B$109:$F$137,5,FALSE)</f>
        <v>2.5899999999999994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Buller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2442.8279395131776</v>
      </c>
      <c r="D26" s="412">
        <f>(D20*8000)/100</f>
        <v>2514.2650833962516</v>
      </c>
      <c r="E26" s="412">
        <f>(E20*8000)/100</f>
        <v>2538.734014173695</v>
      </c>
      <c r="F26" s="506">
        <f>(F20*8000)/100</f>
        <v>2610.88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1039.2871603318981</v>
      </c>
      <c r="D27" s="412">
        <f>(D22*8000)/100</f>
        <v>1062.1783787493989</v>
      </c>
      <c r="E27" s="412">
        <f>(E22*8000)/100</f>
        <v>1101.1572849020506</v>
      </c>
      <c r="F27" s="506">
        <f>(F22*8000)/100</f>
        <v>1129.5999999999999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796.93056941632688</v>
      </c>
      <c r="D28" s="412">
        <f>(D21*8000)/100</f>
        <v>875.32135355892615</v>
      </c>
      <c r="E28" s="412">
        <f>(E21*8000)/100</f>
        <v>913.69157392686805</v>
      </c>
      <c r="F28" s="506">
        <f>(F21*8000)/100</f>
        <v>922.39999999999986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242.35659091557125</v>
      </c>
      <c r="D29" s="413">
        <f>(D23*8000)/100</f>
        <v>186.85702519047285</v>
      </c>
      <c r="E29" s="413">
        <f>(E23*8000)/100</f>
        <v>187.46571097518253</v>
      </c>
      <c r="F29" s="507">
        <f>(F23*8000)/100</f>
        <v>207.19999999999996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Buller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2526.6767592707811</v>
      </c>
      <c r="D32" s="122"/>
    </row>
    <row r="33" spans="2:13">
      <c r="B33" s="120" t="s">
        <v>241</v>
      </c>
      <c r="C33" s="412">
        <f>AVERAGE(C27:F27)</f>
        <v>1083.0557059958369</v>
      </c>
      <c r="D33" s="414">
        <f>C33/$C$32</f>
        <v>0.42864830335812931</v>
      </c>
    </row>
    <row r="34" spans="2:13">
      <c r="B34" s="120" t="s">
        <v>222</v>
      </c>
      <c r="C34" s="412">
        <f>AVERAGE(C28:F28)</f>
        <v>877.08587422553023</v>
      </c>
      <c r="D34" s="414">
        <f>C34/$C$32</f>
        <v>0.34713022590141851</v>
      </c>
    </row>
    <row r="35" spans="2:13">
      <c r="B35" s="124" t="s">
        <v>223</v>
      </c>
      <c r="C35" s="413">
        <f>AVERAGE(C29:F29)</f>
        <v>205.96983177030666</v>
      </c>
      <c r="D35" s="415">
        <f>C35/$C$32</f>
        <v>8.1518077456710844E-2</v>
      </c>
    </row>
    <row r="38" spans="2:13">
      <c r="B38" s="517" t="s">
        <v>227</v>
      </c>
      <c r="C38" s="518">
        <f>VLOOKUP($B$2,$B$258:$J$286,6,FALSE)</f>
        <v>51</v>
      </c>
      <c r="D38" s="518">
        <f>VLOOKUP($B$2,$B$258:$J$286,7,FALSE)</f>
        <v>52</v>
      </c>
      <c r="E38" s="518">
        <f>VLOOKUP($B$2,$B$258:$J$286,8,FALSE)</f>
        <v>53</v>
      </c>
      <c r="F38" s="519">
        <f>VLOOKUP($B$2,$B$258:$J$286,9,FALSE)</f>
        <v>54</v>
      </c>
    </row>
    <row r="39" spans="2:13">
      <c r="B39" s="137" t="str">
        <f>B2</f>
        <v>Buller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5996.3850474751216</v>
      </c>
      <c r="D40" s="418">
        <f>VLOOKUP($D$38,'FS (2011)'!$A$13:$AH$244,'FS (2011)'!E245,FALSE)</f>
        <v>4865.5493170430354</v>
      </c>
      <c r="E40" s="418">
        <f>VLOOKUP($E$38,'FS (2011)'!$A$13:$AH$244,'FS (2011)'!E245,FALSE)</f>
        <v>5465.0330090808648</v>
      </c>
      <c r="F40" s="419">
        <f>VLOOKUP($F$38,'FS (2011)'!$A$13:$AH$244,'FS (2011)'!E245,FALSE)</f>
        <v>6200.4471999999996</v>
      </c>
    </row>
    <row r="41" spans="2:13" ht="30">
      <c r="B41" s="120" t="s">
        <v>198</v>
      </c>
      <c r="C41" s="417">
        <f>VLOOKUP($C$38,'FS (2011)'!$A$13:$AH$244,'FS (2011)'!$F$245,FALSE)</f>
        <v>546.59604801687999</v>
      </c>
      <c r="D41" s="418">
        <f>VLOOKUP($D$38,'FS (2011)'!$A$13:$AH$244,'FS (2011)'!$F$245,FALSE)</f>
        <v>444.30448211956883</v>
      </c>
      <c r="E41" s="418">
        <f>VLOOKUP($E$38,'FS (2011)'!$A$13:$AH$244,'FS (2011)'!$F$245,FALSE)</f>
        <v>1077.9278381072995</v>
      </c>
      <c r="F41" s="419">
        <f>VLOOKUP($F$38,'FS (2011)'!$A$13:$AH$244,'FS (2011)'!$F$245,FALSE)</f>
        <v>325.79676999999998</v>
      </c>
    </row>
    <row r="42" spans="2:13">
      <c r="B42" s="120" t="s">
        <v>13</v>
      </c>
      <c r="C42" s="417">
        <f>VLOOKUP($C$38,'FS (2011)'!$A$13:$AH$244,'FS (2011)'!$H$245,FALSE)</f>
        <v>0</v>
      </c>
      <c r="D42" s="418">
        <f>VLOOKUP($D$38,'FS (2011)'!$A$13:$AH$244,'FS (2011)'!$H$245,FALSE)</f>
        <v>0</v>
      </c>
      <c r="E42" s="418">
        <f>VLOOKUP($E$38,'FS (2011)'!$A$13:$AH$244,'FS (2011)'!$H$245,FALSE)</f>
        <v>0</v>
      </c>
      <c r="F42" s="419">
        <f>VLOOKUP($F$38,'FS (2011)'!$A$13:$AH$244,'FS (2011)'!$H$245,FALSE)</f>
        <v>6.63</v>
      </c>
    </row>
    <row r="43" spans="2:13">
      <c r="B43" s="124" t="s">
        <v>5</v>
      </c>
      <c r="C43" s="420">
        <f>SUM(C40:C42)</f>
        <v>6542.9810954920013</v>
      </c>
      <c r="D43" s="420">
        <f>SUM(D40:D42)</f>
        <v>5309.8537991626044</v>
      </c>
      <c r="E43" s="420">
        <f>SUM(E40:E42)</f>
        <v>6542.9608471881638</v>
      </c>
      <c r="F43" s="421">
        <f>SUM(F40:F42)</f>
        <v>6532.8739699999996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Buller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81.141375654182795</v>
      </c>
      <c r="E46" s="422">
        <f>IF(ISERROR(E40/$C40),"",(E40/$C40))*100</f>
        <v>91.138793886860356</v>
      </c>
      <c r="F46" s="423">
        <f>IF(ISERROR(F40/$C40),"",(F40/$C40))*100</f>
        <v>103.40308620792793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81.285710669069417</v>
      </c>
      <c r="E47" s="422">
        <f t="shared" si="0"/>
        <v>197.20739694664073</v>
      </c>
      <c r="F47" s="423">
        <f t="shared" si="0"/>
        <v>59.604669880441342</v>
      </c>
      <c r="G47" s="141"/>
    </row>
    <row r="48" spans="2:13">
      <c r="B48" s="120" t="s">
        <v>13</v>
      </c>
      <c r="C48" s="422" t="str">
        <f t="shared" si="0"/>
        <v/>
      </c>
      <c r="D48" s="422" t="str">
        <f t="shared" si="0"/>
        <v/>
      </c>
      <c r="E48" s="422" t="str">
        <f t="shared" si="0"/>
        <v/>
      </c>
      <c r="F48" s="423" t="str">
        <f t="shared" si="0"/>
        <v/>
      </c>
      <c r="G48" s="141"/>
      <c r="H48" s="141"/>
    </row>
    <row r="49" spans="2:25">
      <c r="B49" s="124" t="s">
        <v>5</v>
      </c>
      <c r="C49" s="424">
        <f t="shared" si="0"/>
        <v>100</v>
      </c>
      <c r="D49" s="424">
        <f t="shared" si="0"/>
        <v>81.15343330001366</v>
      </c>
      <c r="E49" s="424">
        <f t="shared" si="0"/>
        <v>99.999690533970039</v>
      </c>
      <c r="F49" s="416">
        <f t="shared" si="0"/>
        <v>99.845527209318007</v>
      </c>
    </row>
    <row r="52" spans="2:25">
      <c r="B52" s="517" t="s">
        <v>247</v>
      </c>
      <c r="C52" s="510"/>
      <c r="D52" s="510"/>
      <c r="E52" s="510"/>
      <c r="F52" s="511"/>
      <c r="U52" s="533" t="s">
        <v>247</v>
      </c>
      <c r="V52" s="510"/>
      <c r="W52" s="510"/>
      <c r="X52" s="510"/>
      <c r="Y52" s="511"/>
    </row>
    <row r="53" spans="2:25">
      <c r="B53" s="107" t="str">
        <f>$B$2</f>
        <v>Buller</v>
      </c>
      <c r="C53" s="144">
        <v>2008</v>
      </c>
      <c r="D53" s="144">
        <v>2009</v>
      </c>
      <c r="E53" s="144">
        <v>2010</v>
      </c>
      <c r="F53" s="145">
        <v>2011</v>
      </c>
      <c r="U53" s="154" t="str">
        <f>$B$2</f>
        <v>Buller</v>
      </c>
      <c r="V53" s="144">
        <v>2008</v>
      </c>
      <c r="W53" s="144">
        <v>2009</v>
      </c>
      <c r="X53" s="144">
        <v>2010</v>
      </c>
      <c r="Y53" s="145">
        <v>2011</v>
      </c>
    </row>
    <row r="54" spans="2:25">
      <c r="B54" s="111" t="s">
        <v>185</v>
      </c>
      <c r="C54" s="425">
        <f>VLOOKUP($C$38,'MP (2011)'!$A$14:$AR$245,'MP (2011)'!$Z$246,FALSE)</f>
        <v>3508.1332154771744</v>
      </c>
      <c r="D54" s="426">
        <f>VLOOKUP($D$38,'MP (2011)'!$A$14:$AR$245,'MP (2011)'!$Z$246,FALSE)</f>
        <v>3611.5310590980839</v>
      </c>
      <c r="E54" s="426">
        <f>VLOOKUP($E$38,'MP (2011)'!$A$14:$AR$245,'MP (2011)'!$Z$246,FALSE)</f>
        <v>3934.7422597073637</v>
      </c>
      <c r="F54" s="427">
        <f>VLOOKUP($F$38,'MP (2011)'!$A$14:$AR$245,'MP (2011)'!$Z$246,FALSE)</f>
        <v>2865.5581000000002</v>
      </c>
      <c r="U54" s="170" t="s">
        <v>477</v>
      </c>
      <c r="V54" s="425">
        <f>C54+C55</f>
        <v>3882.2334692480963</v>
      </c>
      <c r="W54" s="426">
        <f t="shared" ref="W54:X54" si="1">D54+D55</f>
        <v>4000.8165282449022</v>
      </c>
      <c r="X54" s="426">
        <f t="shared" si="1"/>
        <v>4405.4442079167893</v>
      </c>
      <c r="Y54" s="427">
        <f>F54+F55</f>
        <v>4420.9443000000001</v>
      </c>
    </row>
    <row r="55" spans="2:25">
      <c r="B55" s="111" t="s">
        <v>180</v>
      </c>
      <c r="C55" s="425">
        <f>VLOOKUP($C$38,'MP (2011)'!$A$14:$AR$245,'MP (2011)'!$AD$246,FALSE)</f>
        <v>374.10025377092182</v>
      </c>
      <c r="D55" s="426">
        <f>VLOOKUP($D$38,'MP (2011)'!$A$14:$AR$245,'MP (2011)'!$AD$246,FALSE)</f>
        <v>389.28546914681846</v>
      </c>
      <c r="E55" s="426">
        <f>VLOOKUP($E$38,'MP (2011)'!$A$14:$AR$245,'MP (2011)'!$AD$246,FALSE)</f>
        <v>470.70194820942572</v>
      </c>
      <c r="F55" s="427">
        <f>VLOOKUP($F$38,'MP (2011)'!$A$14:$AR$245,'MP (2011)'!$AD$246,FALSE)</f>
        <v>1555.3861999999999</v>
      </c>
      <c r="J55" s="139"/>
      <c r="U55" s="170" t="s">
        <v>478</v>
      </c>
      <c r="V55" s="425">
        <f>C56</f>
        <v>210.22924923726154</v>
      </c>
      <c r="W55" s="426">
        <f t="shared" ref="W55:X55" si="2">D56</f>
        <v>238.76175441004867</v>
      </c>
      <c r="X55" s="426">
        <f t="shared" si="2"/>
        <v>252.67117566220256</v>
      </c>
      <c r="Y55" s="427">
        <f>F56</f>
        <v>257.33213000000001</v>
      </c>
    </row>
    <row r="56" spans="2:25">
      <c r="B56" s="111" t="s">
        <v>184</v>
      </c>
      <c r="C56" s="425">
        <f>VLOOKUP($C$38,'MP (2011)'!$A$14:$AR$245,'MP (2011)'!$AH$246,FALSE)</f>
        <v>210.22924923726154</v>
      </c>
      <c r="D56" s="426">
        <f>VLOOKUP($D$38,'MP (2011)'!$A$14:$AR$245,'MP (2011)'!$AH$246,FALSE)</f>
        <v>238.76175441004867</v>
      </c>
      <c r="E56" s="426">
        <f>VLOOKUP($E$38,'MP (2011)'!$A$14:$AR$245,'MP (2011)'!$AH$246,FALSE)</f>
        <v>252.67117566220256</v>
      </c>
      <c r="F56" s="427">
        <f>VLOOKUP($F$38,'MP (2011)'!$A$14:$AR$245,'MP (2011)'!$AH$246,FALSE)</f>
        <v>257.33213000000001</v>
      </c>
      <c r="U56" s="170"/>
      <c r="V56" s="425"/>
      <c r="W56" s="426"/>
      <c r="X56" s="426"/>
      <c r="Y56" s="427"/>
    </row>
    <row r="57" spans="2:25">
      <c r="B57" s="111" t="s">
        <v>181</v>
      </c>
      <c r="C57" s="425">
        <f>VLOOKUP($C$38,'MP (2011)'!$A$14:$AR$245,'MP (2011)'!$AL$246,FALSE)</f>
        <v>1903.9223289897634</v>
      </c>
      <c r="D57" s="426">
        <f>VLOOKUP($D$38,'MP (2011)'!$A$14:$AR$245,'MP (2011)'!$AL$246,FALSE)</f>
        <v>625.97103438808415</v>
      </c>
      <c r="E57" s="426">
        <f>VLOOKUP($E$38,'MP (2011)'!$A$14:$AR$245,'MP (2011)'!$AL$246,FALSE)</f>
        <v>806.91762550187264</v>
      </c>
      <c r="F57" s="427">
        <f>VLOOKUP($F$38,'MP (2011)'!$A$14:$AR$245,'MP (2011)'!$AL$246,FALSE)</f>
        <v>1522.1706999999999</v>
      </c>
      <c r="U57" s="170" t="s">
        <v>181</v>
      </c>
      <c r="V57" s="425">
        <f>C57</f>
        <v>1903.9223289897634</v>
      </c>
      <c r="W57" s="426">
        <f>D57</f>
        <v>625.97103438808415</v>
      </c>
      <c r="X57" s="426">
        <f>E57</f>
        <v>806.91762550187264</v>
      </c>
      <c r="Y57" s="427">
        <f>F57</f>
        <v>1522.1706999999999</v>
      </c>
    </row>
    <row r="58" spans="2:25">
      <c r="B58" s="147" t="s">
        <v>248</v>
      </c>
      <c r="C58" s="428">
        <f>SUM(C54:C57)</f>
        <v>5996.3850474751216</v>
      </c>
      <c r="D58" s="428">
        <f>SUM(D54:D57)</f>
        <v>4865.5493170430354</v>
      </c>
      <c r="E58" s="428">
        <f>SUM(E54:E57)</f>
        <v>5465.0330090808648</v>
      </c>
      <c r="F58" s="429">
        <f>SUM(F54:F57)</f>
        <v>6200.4471299999996</v>
      </c>
      <c r="U58" s="208" t="s">
        <v>248</v>
      </c>
      <c r="V58" s="428">
        <f>SUM(V54:V57)</f>
        <v>5996.3850474751216</v>
      </c>
      <c r="W58" s="428">
        <f>SUM(W54:W57)</f>
        <v>4865.5493170430354</v>
      </c>
      <c r="X58" s="428">
        <f>SUM(X54:X57)</f>
        <v>5465.0330090808648</v>
      </c>
      <c r="Y58" s="429">
        <f>SUM(Y54:Y57)</f>
        <v>6200.4471299999996</v>
      </c>
    </row>
    <row r="59" spans="2:25">
      <c r="B59" s="103" t="s">
        <v>302</v>
      </c>
      <c r="U59" s="102" t="s">
        <v>302</v>
      </c>
    </row>
    <row r="60" spans="2:25">
      <c r="B60" s="137" t="str">
        <f>$B$2</f>
        <v>Buller</v>
      </c>
      <c r="C60" s="144">
        <v>2008</v>
      </c>
      <c r="D60" s="126">
        <v>2009</v>
      </c>
      <c r="E60" s="126">
        <v>2010</v>
      </c>
      <c r="F60" s="127">
        <v>2011</v>
      </c>
      <c r="U60" s="154" t="str">
        <f>$B$2</f>
        <v>Buller</v>
      </c>
      <c r="V60" s="144">
        <v>2008</v>
      </c>
      <c r="W60" s="126">
        <v>2009</v>
      </c>
      <c r="X60" s="126">
        <v>2010</v>
      </c>
      <c r="Y60" s="127">
        <v>2011</v>
      </c>
    </row>
    <row r="61" spans="2:25">
      <c r="B61" s="111" t="s">
        <v>185</v>
      </c>
      <c r="C61" s="422">
        <f t="shared" ref="C61:F65" si="3">IF(ISERROR(C54/$C54),"",(C54/$C54)*100)</f>
        <v>100</v>
      </c>
      <c r="D61" s="422">
        <f t="shared" si="3"/>
        <v>102.94737506445706</v>
      </c>
      <c r="E61" s="422">
        <f t="shared" si="3"/>
        <v>112.16057139301543</v>
      </c>
      <c r="F61" s="423">
        <f t="shared" si="3"/>
        <v>81.683274949700802</v>
      </c>
      <c r="G61" s="141"/>
      <c r="U61" s="170" t="s">
        <v>477</v>
      </c>
      <c r="V61" s="422">
        <f>IF(ISERROR(V54/$V54),"",(V54/$V54)*100)</f>
        <v>100</v>
      </c>
      <c r="W61" s="422">
        <f t="shared" ref="W61:X61" si="4">IF(ISERROR(W54/$V54),"",(W54/$V54)*100)</f>
        <v>103.05450612221354</v>
      </c>
      <c r="X61" s="422">
        <f t="shared" si="4"/>
        <v>113.47705496882514</v>
      </c>
      <c r="Y61" s="423">
        <f>IF(ISERROR(Y54/$V54),"",(Y54/$V54)*100)</f>
        <v>113.87631205127498</v>
      </c>
    </row>
    <row r="62" spans="2:25">
      <c r="B62" s="111" t="s">
        <v>180</v>
      </c>
      <c r="C62" s="422">
        <f t="shared" si="3"/>
        <v>100</v>
      </c>
      <c r="D62" s="422">
        <f t="shared" si="3"/>
        <v>104.05912993183779</v>
      </c>
      <c r="E62" s="422">
        <f t="shared" si="3"/>
        <v>125.82240815523676</v>
      </c>
      <c r="F62" s="423">
        <f t="shared" si="3"/>
        <v>415.76721328620965</v>
      </c>
      <c r="G62" s="141"/>
      <c r="U62" s="170" t="s">
        <v>478</v>
      </c>
      <c r="V62" s="422">
        <f t="shared" ref="V62:Y62" si="5">IF(ISERROR(V55/$V55),"",(V55/$V55)*100)</f>
        <v>100</v>
      </c>
      <c r="W62" s="422">
        <f t="shared" si="5"/>
        <v>113.5720910750082</v>
      </c>
      <c r="X62" s="422">
        <f t="shared" si="5"/>
        <v>120.18840222230051</v>
      </c>
      <c r="Y62" s="423">
        <f t="shared" si="5"/>
        <v>122.40548398171696</v>
      </c>
    </row>
    <row r="63" spans="2:25">
      <c r="B63" s="111" t="s">
        <v>184</v>
      </c>
      <c r="C63" s="422">
        <f t="shared" si="3"/>
        <v>100</v>
      </c>
      <c r="D63" s="422">
        <f t="shared" si="3"/>
        <v>113.5720910750082</v>
      </c>
      <c r="E63" s="422">
        <f t="shared" si="3"/>
        <v>120.18840222230051</v>
      </c>
      <c r="F63" s="423">
        <f t="shared" si="3"/>
        <v>122.40548398171696</v>
      </c>
      <c r="G63" s="141"/>
      <c r="U63" s="170"/>
      <c r="V63" s="422" t="str">
        <f t="shared" ref="V63:Y63" si="6">IF(ISERROR(V56/$V56),"",(V56/$V56)*100)</f>
        <v/>
      </c>
      <c r="W63" s="422" t="str">
        <f t="shared" si="6"/>
        <v/>
      </c>
      <c r="X63" s="422" t="str">
        <f t="shared" si="6"/>
        <v/>
      </c>
      <c r="Y63" s="423" t="str">
        <f t="shared" si="6"/>
        <v/>
      </c>
    </row>
    <row r="64" spans="2:25">
      <c r="B64" s="111" t="s">
        <v>181</v>
      </c>
      <c r="C64" s="422">
        <f t="shared" si="3"/>
        <v>100</v>
      </c>
      <c r="D64" s="422">
        <f t="shared" si="3"/>
        <v>32.877971168090106</v>
      </c>
      <c r="E64" s="422">
        <f t="shared" si="3"/>
        <v>42.381856298204646</v>
      </c>
      <c r="F64" s="423">
        <f t="shared" si="3"/>
        <v>79.949201541623609</v>
      </c>
      <c r="G64" s="141"/>
      <c r="U64" s="170" t="s">
        <v>181</v>
      </c>
      <c r="V64" s="422">
        <f t="shared" ref="V64:Y64" si="7">IF(ISERROR(V57/$V57),"",(V57/$V57)*100)</f>
        <v>100</v>
      </c>
      <c r="W64" s="422">
        <f t="shared" si="7"/>
        <v>32.877971168090106</v>
      </c>
      <c r="X64" s="422">
        <f t="shared" si="7"/>
        <v>42.381856298204646</v>
      </c>
      <c r="Y64" s="423">
        <f t="shared" si="7"/>
        <v>79.949201541623609</v>
      </c>
    </row>
    <row r="65" spans="2:40">
      <c r="B65" s="115" t="s">
        <v>248</v>
      </c>
      <c r="C65" s="424">
        <f t="shared" si="3"/>
        <v>100</v>
      </c>
      <c r="D65" s="424">
        <f t="shared" si="3"/>
        <v>81.141375654182795</v>
      </c>
      <c r="E65" s="424">
        <f t="shared" si="3"/>
        <v>91.138793886860356</v>
      </c>
      <c r="F65" s="416">
        <f t="shared" si="3"/>
        <v>103.40308504055793</v>
      </c>
      <c r="G65" s="141"/>
      <c r="U65" s="208" t="s">
        <v>248</v>
      </c>
      <c r="V65" s="424">
        <f t="shared" ref="V65:Y65" si="8">IF(ISERROR(V58/$V58),"",(V58/$V58)*100)</f>
        <v>100</v>
      </c>
      <c r="W65" s="424">
        <f t="shared" si="8"/>
        <v>81.141375654182795</v>
      </c>
      <c r="X65" s="424">
        <f t="shared" si="8"/>
        <v>91.138793886860356</v>
      </c>
      <c r="Y65" s="416">
        <f t="shared" si="8"/>
        <v>103.40308504055793</v>
      </c>
    </row>
    <row r="68" spans="2:40">
      <c r="B68" s="517" t="s">
        <v>251</v>
      </c>
      <c r="C68" s="510"/>
      <c r="D68" s="510"/>
      <c r="E68" s="510"/>
      <c r="F68" s="511"/>
      <c r="U68" s="533" t="s">
        <v>251</v>
      </c>
      <c r="V68" s="510"/>
      <c r="W68" s="510"/>
      <c r="X68" s="510"/>
      <c r="Y68" s="511"/>
    </row>
    <row r="69" spans="2:40">
      <c r="B69" s="137" t="str">
        <f>$B$2</f>
        <v>Buller</v>
      </c>
      <c r="C69" s="144">
        <v>2008</v>
      </c>
      <c r="D69" s="144">
        <v>2009</v>
      </c>
      <c r="E69" s="144">
        <v>2010</v>
      </c>
      <c r="F69" s="145">
        <v>2011</v>
      </c>
      <c r="U69" s="154" t="str">
        <f>$B$2</f>
        <v>Buller</v>
      </c>
      <c r="V69" s="144">
        <v>2008</v>
      </c>
      <c r="W69" s="144">
        <v>2009</v>
      </c>
      <c r="X69" s="144">
        <v>2010</v>
      </c>
      <c r="Y69" s="145">
        <v>2011</v>
      </c>
    </row>
    <row r="70" spans="2:40">
      <c r="B70" s="111" t="s">
        <v>185</v>
      </c>
      <c r="C70" s="426">
        <f>(C54/C98)*1000</f>
        <v>830.13090759043405</v>
      </c>
      <c r="D70" s="433">
        <f>(D54/D98)*1000</f>
        <v>839.30538208182293</v>
      </c>
      <c r="E70" s="433">
        <f>(E54/E98)*1000</f>
        <v>908.29692052339885</v>
      </c>
      <c r="F70" s="434">
        <f>(F54/F98)*1000</f>
        <v>750.53905185961241</v>
      </c>
      <c r="U70" s="170" t="s">
        <v>477</v>
      </c>
      <c r="V70" s="426">
        <f>V54*1000/V98</f>
        <v>902.42526016924603</v>
      </c>
      <c r="W70" s="433">
        <f t="shared" ref="W70:Y70" si="9">W54*1000/W98</f>
        <v>913.84571225328966</v>
      </c>
      <c r="X70" s="433">
        <f t="shared" si="9"/>
        <v>1000.3279309529495</v>
      </c>
      <c r="Y70" s="434">
        <f t="shared" si="9"/>
        <v>993.02432614555255</v>
      </c>
    </row>
    <row r="71" spans="2:40">
      <c r="B71" s="111" t="s">
        <v>180</v>
      </c>
      <c r="C71" s="433">
        <f>(C55/C99)*1000</f>
        <v>4922.3717601437083</v>
      </c>
      <c r="D71" s="433">
        <f t="shared" ref="C71:F73" si="10">(D55/D99)*1000</f>
        <v>5190.4729219575793</v>
      </c>
      <c r="E71" s="433">
        <f t="shared" si="10"/>
        <v>6537.5270584642458</v>
      </c>
      <c r="F71" s="434">
        <f t="shared" si="10"/>
        <v>2453.2905362776023</v>
      </c>
      <c r="U71" s="170" t="s">
        <v>478</v>
      </c>
      <c r="V71" s="433">
        <f t="shared" ref="V71:Y71" si="11">V55*1000/V99</f>
        <v>16171.480710558581</v>
      </c>
      <c r="W71" s="433">
        <f t="shared" si="11"/>
        <v>26529.08382333874</v>
      </c>
      <c r="X71" s="433">
        <f t="shared" si="11"/>
        <v>28074.57507357806</v>
      </c>
      <c r="Y71" s="434">
        <f t="shared" si="11"/>
        <v>18380.866428571429</v>
      </c>
    </row>
    <row r="72" spans="2:40">
      <c r="B72" s="111" t="s">
        <v>184</v>
      </c>
      <c r="C72" s="433">
        <f>(C56/C100)*1000</f>
        <v>16171.480710558581</v>
      </c>
      <c r="D72" s="433">
        <f t="shared" si="10"/>
        <v>26529.08382333874</v>
      </c>
      <c r="E72" s="433">
        <f t="shared" si="10"/>
        <v>28074.57507357806</v>
      </c>
      <c r="F72" s="434">
        <f t="shared" si="10"/>
        <v>18380.866428571429</v>
      </c>
      <c r="U72" s="170"/>
      <c r="V72" s="433"/>
      <c r="W72" s="433"/>
      <c r="X72" s="433"/>
      <c r="Y72" s="434"/>
    </row>
    <row r="73" spans="2:40">
      <c r="B73" s="115" t="s">
        <v>181</v>
      </c>
      <c r="C73" s="435">
        <f t="shared" si="10"/>
        <v>380784.46579795267</v>
      </c>
      <c r="D73" s="435">
        <f t="shared" si="10"/>
        <v>78246.379298510525</v>
      </c>
      <c r="E73" s="435">
        <f t="shared" si="10"/>
        <v>89657.513944652528</v>
      </c>
      <c r="F73" s="436">
        <f t="shared" si="10"/>
        <v>304434.13999999996</v>
      </c>
      <c r="U73" s="208" t="s">
        <v>181</v>
      </c>
      <c r="V73" s="435">
        <f t="shared" ref="V73:Y73" si="12">V57*1000/V101</f>
        <v>380784.46579795273</v>
      </c>
      <c r="W73" s="435">
        <f t="shared" si="12"/>
        <v>78246.379298510525</v>
      </c>
      <c r="X73" s="435">
        <f t="shared" si="12"/>
        <v>89657.513944652514</v>
      </c>
      <c r="Y73" s="436">
        <f t="shared" si="12"/>
        <v>304434.14</v>
      </c>
    </row>
    <row r="74" spans="2:40">
      <c r="B74" s="103" t="s">
        <v>303</v>
      </c>
      <c r="U74" s="102" t="s">
        <v>303</v>
      </c>
    </row>
    <row r="75" spans="2:40">
      <c r="B75" s="137" t="str">
        <f>$B$2</f>
        <v>Buller</v>
      </c>
      <c r="C75" s="140">
        <v>2008</v>
      </c>
      <c r="D75" s="144">
        <v>2009</v>
      </c>
      <c r="E75" s="144">
        <v>2010</v>
      </c>
      <c r="F75" s="145">
        <v>2011</v>
      </c>
      <c r="U75" s="154" t="str">
        <f>$B$2</f>
        <v>Buller</v>
      </c>
      <c r="V75" s="140">
        <v>2008</v>
      </c>
      <c r="W75" s="144">
        <v>2009</v>
      </c>
      <c r="X75" s="144">
        <v>2010</v>
      </c>
      <c r="Y75" s="145">
        <v>2011</v>
      </c>
      <c r="AN75" s="139"/>
    </row>
    <row r="76" spans="2:40">
      <c r="B76" s="111" t="s">
        <v>185</v>
      </c>
      <c r="C76" s="422">
        <f t="shared" ref="C76:F79" si="13">IF(ISERROR(C70/$C70),"",(C70/$C70)*100)</f>
        <v>100</v>
      </c>
      <c r="D76" s="422">
        <f t="shared" si="13"/>
        <v>101.10518406283884</v>
      </c>
      <c r="E76" s="422">
        <f t="shared" si="13"/>
        <v>109.41610681137655</v>
      </c>
      <c r="F76" s="423">
        <f t="shared" si="13"/>
        <v>90.412131989899322</v>
      </c>
      <c r="U76" s="170" t="s">
        <v>477</v>
      </c>
      <c r="V76" s="422">
        <f>IF(ISERROR(V70/$V70),"",(V70/$V70)*100)</f>
        <v>100</v>
      </c>
      <c r="W76" s="422">
        <f t="shared" ref="W76:X77" si="14">IF(ISERROR(W70/$V70),"",(W70/$V70)*100)</f>
        <v>101.26552885741494</v>
      </c>
      <c r="X76" s="422">
        <f t="shared" si="14"/>
        <v>110.84883979924744</v>
      </c>
      <c r="Y76" s="423">
        <f>IF(ISERROR(Y70/$V70),"",(Y70/$V70)*100)</f>
        <v>110.03950908458779</v>
      </c>
      <c r="AN76" s="139"/>
    </row>
    <row r="77" spans="2:40">
      <c r="B77" s="111" t="s">
        <v>180</v>
      </c>
      <c r="C77" s="422">
        <f t="shared" si="13"/>
        <v>100</v>
      </c>
      <c r="D77" s="422">
        <f t="shared" si="13"/>
        <v>105.44658499759562</v>
      </c>
      <c r="E77" s="422">
        <f t="shared" si="13"/>
        <v>132.81254194163878</v>
      </c>
      <c r="F77" s="423">
        <f t="shared" si="13"/>
        <v>49.83960285449831</v>
      </c>
      <c r="I77" s="139" t="s">
        <v>190</v>
      </c>
      <c r="U77" s="170" t="s">
        <v>478</v>
      </c>
      <c r="V77" s="422">
        <f>IF(ISERROR(V71/$V71),"",(V71/$V71)*100)</f>
        <v>100</v>
      </c>
      <c r="W77" s="422">
        <f t="shared" si="14"/>
        <v>164.04857599723405</v>
      </c>
      <c r="X77" s="422">
        <f t="shared" si="14"/>
        <v>173.60546987665631</v>
      </c>
      <c r="Y77" s="423">
        <f>IF(ISERROR(Y71/$V71),"",(Y71/$V71)*100)</f>
        <v>113.66223512588003</v>
      </c>
      <c r="AN77" s="139"/>
    </row>
    <row r="78" spans="2:40">
      <c r="B78" s="111" t="s">
        <v>184</v>
      </c>
      <c r="C78" s="422">
        <f t="shared" si="13"/>
        <v>100</v>
      </c>
      <c r="D78" s="422">
        <f t="shared" si="13"/>
        <v>164.04857599723405</v>
      </c>
      <c r="E78" s="422">
        <f t="shared" si="13"/>
        <v>173.60546987665631</v>
      </c>
      <c r="F78" s="423">
        <f t="shared" si="13"/>
        <v>113.66223512588003</v>
      </c>
      <c r="G78" s="141"/>
      <c r="U78" s="170"/>
      <c r="V78" s="422" t="str">
        <f>IF(ISERROR(V72/$V72),"",(V72/$V72)*100)</f>
        <v/>
      </c>
      <c r="W78" s="422" t="str">
        <f t="shared" ref="W78:X78" si="15">IF(ISERROR(W72/$V72),"",(W72/$V72)*100)</f>
        <v/>
      </c>
      <c r="X78" s="422" t="str">
        <f t="shared" si="15"/>
        <v/>
      </c>
      <c r="Y78" s="423" t="str">
        <f>IF(ISERROR(Y72/$V72),"",(Y72/$V72)*100)</f>
        <v/>
      </c>
      <c r="AN78" s="139"/>
    </row>
    <row r="79" spans="2:40">
      <c r="B79" s="115" t="s">
        <v>181</v>
      </c>
      <c r="C79" s="424">
        <f t="shared" si="13"/>
        <v>100</v>
      </c>
      <c r="D79" s="424">
        <f t="shared" si="13"/>
        <v>20.548731980056321</v>
      </c>
      <c r="E79" s="424">
        <f t="shared" si="13"/>
        <v>23.545475721224808</v>
      </c>
      <c r="F79" s="416">
        <f t="shared" si="13"/>
        <v>79.949201541623594</v>
      </c>
      <c r="G79" s="141"/>
      <c r="U79" s="208" t="s">
        <v>181</v>
      </c>
      <c r="V79" s="424">
        <f>IF(ISERROR(V73/$V73),"",(V73/$V73)*100)</f>
        <v>100</v>
      </c>
      <c r="W79" s="424">
        <f t="shared" ref="W79:X79" si="16">IF(ISERROR(W73/$V73),"",(W73/$V73)*100)</f>
        <v>20.548731980056317</v>
      </c>
      <c r="X79" s="424">
        <f t="shared" si="16"/>
        <v>23.5454757212248</v>
      </c>
      <c r="Y79" s="416">
        <f>IF(ISERROR(Y73/$V73),"",(Y73/$V73)*100)</f>
        <v>79.949201541623609</v>
      </c>
      <c r="AN79" s="139"/>
    </row>
    <row r="82" spans="2:25">
      <c r="B82" s="517" t="s">
        <v>252</v>
      </c>
      <c r="C82" s="510"/>
      <c r="D82" s="510"/>
      <c r="E82" s="510"/>
      <c r="F82" s="511"/>
      <c r="U82" s="533" t="s">
        <v>252</v>
      </c>
      <c r="V82" s="510"/>
      <c r="W82" s="510"/>
      <c r="X82" s="510"/>
      <c r="Y82" s="511"/>
    </row>
    <row r="83" spans="2:25">
      <c r="B83" s="137" t="str">
        <f>$B$2</f>
        <v>Buller</v>
      </c>
      <c r="C83" s="144">
        <v>2008</v>
      </c>
      <c r="D83" s="144">
        <v>2009</v>
      </c>
      <c r="E83" s="144">
        <v>2010</v>
      </c>
      <c r="F83" s="145">
        <v>2011</v>
      </c>
      <c r="U83" s="154" t="str">
        <f>$B$2</f>
        <v>Buller</v>
      </c>
      <c r="V83" s="144">
        <v>2008</v>
      </c>
      <c r="W83" s="144">
        <v>2009</v>
      </c>
      <c r="X83" s="144">
        <v>2010</v>
      </c>
      <c r="Y83" s="145">
        <v>2011</v>
      </c>
    </row>
    <row r="84" spans="2:25">
      <c r="B84" s="111" t="s">
        <v>185</v>
      </c>
      <c r="C84" s="430">
        <f>(C54/VLOOKUP($C$38,'MP (2011)'!$A$14:$AR$245,'MP (2011)'!$AA$246,FALSE)*100)</f>
        <v>11.920262369953022</v>
      </c>
      <c r="D84" s="437">
        <f>(D54/VLOOKUP($D$38,'MP (2011)'!$A$14:$AR$245,'MP (2011)'!$AA$246,FALSE)*100)</f>
        <v>12.026056038968163</v>
      </c>
      <c r="E84" s="437">
        <f>(E54/VLOOKUP($E$38,'MP (2011)'!$A$14:$AR$245,'MP (2011)'!$AA$246,FALSE)*100)</f>
        <v>12.874201680814593</v>
      </c>
      <c r="F84" s="438">
        <f>(F54/VLOOKUP($F$38,'MP (2011)'!$A$14:$AR$245,'MP (2011)'!$AA$246,FALSE)*100)</f>
        <v>14.243030227118419</v>
      </c>
      <c r="U84" s="170" t="s">
        <v>477</v>
      </c>
      <c r="V84" s="430">
        <f>V54*100/V113</f>
        <v>11.556673917923664</v>
      </c>
      <c r="W84" s="437">
        <f t="shared" ref="W84:Y84" si="17">W54*100/W113</f>
        <v>11.585395616966251</v>
      </c>
      <c r="X84" s="437">
        <f t="shared" si="17"/>
        <v>12.335342464906729</v>
      </c>
      <c r="Y84" s="438">
        <f t="shared" si="17"/>
        <v>12.871873428845916</v>
      </c>
    </row>
    <row r="85" spans="2:25">
      <c r="B85" s="111" t="s">
        <v>180</v>
      </c>
      <c r="C85" s="430">
        <f>(C55/VLOOKUP($C$38,'MP (2011)'!$A$14:$AR$245,'MP (2011)'!$AE$246,FALSE)*100)</f>
        <v>8.9863140468633631</v>
      </c>
      <c r="D85" s="437">
        <f>(D55/VLOOKUP($D$38,'MP (2011)'!$A$14:$AR$245,'MP (2011)'!$AE$246,FALSE)*100)</f>
        <v>8.6461961124384707</v>
      </c>
      <c r="E85" s="437">
        <f>(E55/VLOOKUP($E$38,'MP (2011)'!$A$14:$AR$245,'MP (2011)'!$AE$246,FALSE)*100)</f>
        <v>9.1380692721690107</v>
      </c>
      <c r="F85" s="438">
        <f>(F55/VLOOKUP($F$38,'MP (2011)'!$A$14:$AR$245,'MP (2011)'!$AE$246,FALSE)*100)</f>
        <v>10.932827113314408</v>
      </c>
      <c r="U85" s="170" t="s">
        <v>478</v>
      </c>
      <c r="V85" s="430">
        <f t="shared" ref="V85:Y85" si="18">V55*100/V114</f>
        <v>8.5493797981806239</v>
      </c>
      <c r="W85" s="437">
        <f t="shared" si="18"/>
        <v>8.4671672508593954</v>
      </c>
      <c r="X85" s="437">
        <f t="shared" si="18"/>
        <v>8.9950578733429172</v>
      </c>
      <c r="Y85" s="438">
        <f t="shared" si="18"/>
        <v>7.9245429498481252</v>
      </c>
    </row>
    <row r="86" spans="2:25">
      <c r="B86" s="111" t="s">
        <v>184</v>
      </c>
      <c r="C86" s="430">
        <f>(C56/VLOOKUP($C$38,'MP (2011)'!$A$14:$AR$245,'MP (2011)'!$AI$246,FALSE)*100)</f>
        <v>8.5493797981806239</v>
      </c>
      <c r="D86" s="437">
        <f>(D56/VLOOKUP($D$38,'MP (2011)'!$A$14:$AR$245,'MP (2011)'!$AI$246,FALSE)*100)</f>
        <v>8.4671672508593954</v>
      </c>
      <c r="E86" s="437">
        <f>(E56/VLOOKUP($E$38,'MP (2011)'!$A$14:$AR$245,'MP (2011)'!$AI$246,FALSE)*100)</f>
        <v>8.995057873342919</v>
      </c>
      <c r="F86" s="438">
        <f>(F56/VLOOKUP($F$38,'MP (2011)'!$A$14:$AR$245,'MP (2011)'!$AI$246,FALSE)*100)</f>
        <v>7.9245429498481252</v>
      </c>
      <c r="U86" s="170"/>
      <c r="V86" s="430"/>
      <c r="W86" s="437"/>
      <c r="X86" s="437"/>
      <c r="Y86" s="438"/>
    </row>
    <row r="87" spans="2:25">
      <c r="B87" s="115" t="s">
        <v>181</v>
      </c>
      <c r="C87" s="431">
        <f>(C57/VLOOKUP($C$38,'MP (2011)'!$A$14:$AR$245,'MP (2011)'!$AM$246,FALSE)*100)</f>
        <v>25.433106184741693</v>
      </c>
      <c r="D87" s="431">
        <f>(D57/VLOOKUP($D$38,'MP (2011)'!$A$14:$AR$245,'MP (2011)'!$AM$246,FALSE)*100)</f>
        <v>8.0117144670495843</v>
      </c>
      <c r="E87" s="431">
        <f>(E57/VLOOKUP($E$38,'MP (2011)'!$A$14:$AR$245,'MP (2011)'!$AM$246,FALSE)*100)</f>
        <v>8.5144837554275892</v>
      </c>
      <c r="F87" s="432">
        <f>(F57/VLOOKUP($F$38,'MP (2011)'!$A$14:$AR$245,'MP (2011)'!$AM$246,FALSE)*100)</f>
        <v>8.310204130210554</v>
      </c>
      <c r="U87" s="208" t="s">
        <v>181</v>
      </c>
      <c r="V87" s="431">
        <f t="shared" ref="V87:Y87" si="19">V57*100/V116</f>
        <v>25.433106184741696</v>
      </c>
      <c r="W87" s="431">
        <f t="shared" si="19"/>
        <v>8.0117144670495843</v>
      </c>
      <c r="X87" s="431">
        <f t="shared" si="19"/>
        <v>8.5144837554275892</v>
      </c>
      <c r="Y87" s="432">
        <f t="shared" si="19"/>
        <v>8.3102041302105523</v>
      </c>
    </row>
    <row r="88" spans="2:25">
      <c r="B88" s="103" t="s">
        <v>304</v>
      </c>
      <c r="U88" s="102" t="s">
        <v>304</v>
      </c>
    </row>
    <row r="89" spans="2:25">
      <c r="B89" s="137" t="str">
        <f>$B$2</f>
        <v>Buller</v>
      </c>
      <c r="C89" s="140">
        <v>2008</v>
      </c>
      <c r="D89" s="144">
        <v>2009</v>
      </c>
      <c r="E89" s="144">
        <v>2010</v>
      </c>
      <c r="F89" s="145">
        <v>2011</v>
      </c>
      <c r="U89" s="154" t="str">
        <f>$B$2</f>
        <v>Buller</v>
      </c>
      <c r="V89" s="140">
        <v>2008</v>
      </c>
      <c r="W89" s="144">
        <v>2009</v>
      </c>
      <c r="X89" s="144">
        <v>2010</v>
      </c>
      <c r="Y89" s="145">
        <v>2011</v>
      </c>
    </row>
    <row r="90" spans="2:25">
      <c r="B90" s="111" t="s">
        <v>185</v>
      </c>
      <c r="C90" s="422">
        <f>IF(ISERROR(C84/$C84),"",(C84/$C84)*100)</f>
        <v>100</v>
      </c>
      <c r="D90" s="422">
        <f>IF(ISERROR(D84/$C84),"",(D84/$C84)*100)</f>
        <v>100.88751124540522</v>
      </c>
      <c r="E90" s="422">
        <f>IF(ISERROR(E84/$C84),"",(E84/$C84)*100)</f>
        <v>108.00267042163544</v>
      </c>
      <c r="F90" s="423">
        <f>IF(ISERROR(F84/$C84),"",(F84/$C84)*100)</f>
        <v>119.48587862478861</v>
      </c>
      <c r="U90" s="170" t="s">
        <v>477</v>
      </c>
      <c r="V90" s="422">
        <f>IF(ISERROR(V84/$V84),"",(V84/$V84)*100)</f>
        <v>100</v>
      </c>
      <c r="W90" s="422">
        <f t="shared" ref="W90:Y90" si="20">IF(ISERROR(W84/$V84),"",(W84/$V84)*100)</f>
        <v>100.24852911180648</v>
      </c>
      <c r="X90" s="422">
        <f t="shared" si="20"/>
        <v>106.73782571450249</v>
      </c>
      <c r="Y90" s="423">
        <f t="shared" si="20"/>
        <v>111.3804328153835</v>
      </c>
    </row>
    <row r="91" spans="2:25">
      <c r="B91" s="111" t="s">
        <v>180</v>
      </c>
      <c r="C91" s="422">
        <f t="shared" ref="C91:F92" si="21">IF(ISERROR(C85/$C85),"",(C85/$C85)*100)</f>
        <v>100</v>
      </c>
      <c r="D91" s="422">
        <f t="shared" si="21"/>
        <v>96.21515637389048</v>
      </c>
      <c r="E91" s="422">
        <f t="shared" si="21"/>
        <v>101.68873716758895</v>
      </c>
      <c r="F91" s="423">
        <f t="shared" si="21"/>
        <v>121.66086179828612</v>
      </c>
      <c r="U91" s="170" t="s">
        <v>478</v>
      </c>
      <c r="V91" s="422">
        <f t="shared" ref="V91:Y91" si="22">IF(ISERROR(V85/$V85),"",(V85/$V85)*100)</f>
        <v>100</v>
      </c>
      <c r="W91" s="422">
        <f t="shared" si="22"/>
        <v>99.038379984724457</v>
      </c>
      <c r="X91" s="422">
        <f t="shared" si="22"/>
        <v>105.21298720706194</v>
      </c>
      <c r="Y91" s="423">
        <f t="shared" si="22"/>
        <v>92.691436535952363</v>
      </c>
    </row>
    <row r="92" spans="2:25">
      <c r="B92" s="111" t="s">
        <v>184</v>
      </c>
      <c r="C92" s="422">
        <f t="shared" si="21"/>
        <v>100</v>
      </c>
      <c r="D92" s="422">
        <f t="shared" si="21"/>
        <v>99.038379984724457</v>
      </c>
      <c r="E92" s="422">
        <f t="shared" si="21"/>
        <v>105.21298720706196</v>
      </c>
      <c r="F92" s="423">
        <f t="shared" si="21"/>
        <v>92.691436535952363</v>
      </c>
      <c r="G92" s="141"/>
      <c r="U92" s="170"/>
      <c r="V92" s="422" t="str">
        <f t="shared" ref="V92:Y92" si="23">IF(ISERROR(V86/$V86),"",(V86/$V86)*100)</f>
        <v/>
      </c>
      <c r="W92" s="422" t="str">
        <f t="shared" si="23"/>
        <v/>
      </c>
      <c r="X92" s="422" t="str">
        <f t="shared" si="23"/>
        <v/>
      </c>
      <c r="Y92" s="423" t="str">
        <f t="shared" si="23"/>
        <v/>
      </c>
    </row>
    <row r="93" spans="2:25">
      <c r="B93" s="115" t="s">
        <v>181</v>
      </c>
      <c r="C93" s="424">
        <f>IF(ISERROR(C87/$C87),"",(C87/$C87)*100)</f>
        <v>100</v>
      </c>
      <c r="D93" s="424">
        <f>IF(ISERROR(D87/$C87),"",(D87/$C87)*100)</f>
        <v>31.501124592701629</v>
      </c>
      <c r="E93" s="424">
        <f>IF(ISERROR(E87/$C87),"",(E87/$C87)*100)</f>
        <v>33.477954653198275</v>
      </c>
      <c r="F93" s="416">
        <f>IF(ISERROR(F87/$C87),"",(F87/$C87)*100)</f>
        <v>32.674751050251849</v>
      </c>
      <c r="G93" s="141"/>
      <c r="U93" s="208" t="s">
        <v>181</v>
      </c>
      <c r="V93" s="424">
        <f t="shared" ref="V93:Y93" si="24">IF(ISERROR(V87/$V87),"",(V87/$V87)*100)</f>
        <v>100</v>
      </c>
      <c r="W93" s="424">
        <f t="shared" si="24"/>
        <v>31.501124592701622</v>
      </c>
      <c r="X93" s="424">
        <f t="shared" si="24"/>
        <v>33.477954653198267</v>
      </c>
      <c r="Y93" s="416">
        <f t="shared" si="24"/>
        <v>32.674751050251835</v>
      </c>
    </row>
    <row r="96" spans="2:25">
      <c r="B96" s="517" t="s">
        <v>253</v>
      </c>
      <c r="C96" s="510"/>
      <c r="D96" s="510"/>
      <c r="E96" s="510"/>
      <c r="F96" s="511"/>
      <c r="U96" s="533" t="s">
        <v>253</v>
      </c>
      <c r="V96" s="510"/>
      <c r="W96" s="510"/>
      <c r="X96" s="510"/>
      <c r="Y96" s="511"/>
    </row>
    <row r="97" spans="2:25">
      <c r="B97" s="154"/>
      <c r="C97" s="144">
        <v>2008</v>
      </c>
      <c r="D97" s="144">
        <v>2009</v>
      </c>
      <c r="E97" s="144">
        <v>2010</v>
      </c>
      <c r="F97" s="145">
        <v>2011</v>
      </c>
      <c r="U97" s="154"/>
      <c r="V97" s="144">
        <v>2008</v>
      </c>
      <c r="W97" s="144">
        <v>2009</v>
      </c>
      <c r="X97" s="144">
        <v>2010</v>
      </c>
      <c r="Y97" s="145">
        <v>2011</v>
      </c>
    </row>
    <row r="98" spans="2:25">
      <c r="B98" s="155" t="s">
        <v>308</v>
      </c>
      <c r="C98" s="150">
        <f>VLOOKUP($C$38,'MP (2011)'!$A$14:$AR$245,'MP (2011)'!$AB$246,FALSE)</f>
        <v>4226</v>
      </c>
      <c r="D98" s="150">
        <f>VLOOKUP($D$38,'MP (2011)'!$A$14:$AR$245,'MP (2011)'!$AB$246,FALSE)</f>
        <v>4303</v>
      </c>
      <c r="E98" s="150">
        <f>VLOOKUP($E$38,'MP (2011)'!$A$14:$AR$245,'MP (2011)'!$AB$246,FALSE)</f>
        <v>4332</v>
      </c>
      <c r="F98" s="151">
        <f>VLOOKUP($F$38,'MP (2011)'!$A$14:$AR$245,'MP (2011)'!$AB$246,FALSE)</f>
        <v>3818</v>
      </c>
      <c r="U98" s="170" t="s">
        <v>477</v>
      </c>
      <c r="V98" s="150">
        <f>C98+C99</f>
        <v>4302</v>
      </c>
      <c r="W98" s="150">
        <f t="shared" ref="W98" si="25">D98+D99</f>
        <v>4378</v>
      </c>
      <c r="X98" s="150">
        <f t="shared" ref="X98" si="26">E98+E99</f>
        <v>4404</v>
      </c>
      <c r="Y98" s="151">
        <f>F98+F99</f>
        <v>4452</v>
      </c>
    </row>
    <row r="99" spans="2:25">
      <c r="B99" s="155" t="s">
        <v>309</v>
      </c>
      <c r="C99" s="150">
        <f>VLOOKUP($C$38,'MP (2011)'!$A$14:$AR$245,'MP (2011)'!$AF$246,FALSE)</f>
        <v>76</v>
      </c>
      <c r="D99" s="150">
        <f>VLOOKUP($D$38,'MP (2011)'!$A$14:$AR$245,'MP (2011)'!$AF$246,FALSE)</f>
        <v>75</v>
      </c>
      <c r="E99" s="150">
        <f>VLOOKUP($E$38,'MP (2011)'!$A$14:$AR$245,'MP (2011)'!$AF$246,FALSE)</f>
        <v>72</v>
      </c>
      <c r="F99" s="151">
        <f>VLOOKUP($F$38,'MP (2011)'!$A$14:$AR$245,'MP (2011)'!$AF$246,FALSE)</f>
        <v>634</v>
      </c>
      <c r="U99" s="170" t="s">
        <v>478</v>
      </c>
      <c r="V99" s="150">
        <f>C100</f>
        <v>13</v>
      </c>
      <c r="W99" s="150">
        <f t="shared" ref="W99" si="27">D100</f>
        <v>9</v>
      </c>
      <c r="X99" s="150">
        <f t="shared" ref="X99" si="28">E100</f>
        <v>9</v>
      </c>
      <c r="Y99" s="151">
        <f>F100</f>
        <v>14</v>
      </c>
    </row>
    <row r="100" spans="2:25">
      <c r="B100" s="155" t="s">
        <v>310</v>
      </c>
      <c r="C100" s="150">
        <f>VLOOKUP($C$38,'MP (2011)'!$A$14:$AR$245,'MP (2011)'!$AJ$246,FALSE)</f>
        <v>13</v>
      </c>
      <c r="D100" s="150">
        <f>VLOOKUP($D$38,'MP (2011)'!$A$14:$AR$245,'MP (2011)'!$AJ$246,FALSE)</f>
        <v>9</v>
      </c>
      <c r="E100" s="150">
        <f>VLOOKUP($E$38,'MP (2011)'!$A$14:$AR$245,'MP (2011)'!$AJ$246,FALSE)</f>
        <v>9</v>
      </c>
      <c r="F100" s="151">
        <f>VLOOKUP($F$38,'MP (2011)'!$A$14:$AR$245,'MP (2011)'!$AJ$246,FALSE)</f>
        <v>14</v>
      </c>
      <c r="U100" s="170"/>
      <c r="V100" s="150"/>
      <c r="W100" s="150"/>
      <c r="X100" s="150"/>
      <c r="Y100" s="151"/>
    </row>
    <row r="101" spans="2:25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8</v>
      </c>
      <c r="E101" s="150">
        <f>VLOOKUP($E$38,'MP (2011)'!$A$14:$AR$245,'MP (2011)'!$AN$246,FALSE)</f>
        <v>9</v>
      </c>
      <c r="F101" s="151">
        <f>VLOOKUP($F$38,'MP (2011)'!$A$14:$AR$245,'MP (2011)'!$AN$246,FALSE)</f>
        <v>5</v>
      </c>
      <c r="U101" s="170" t="s">
        <v>181</v>
      </c>
      <c r="V101" s="150">
        <f>C101</f>
        <v>5</v>
      </c>
      <c r="W101" s="150">
        <f>D101</f>
        <v>8</v>
      </c>
      <c r="X101" s="150">
        <f>E101</f>
        <v>9</v>
      </c>
      <c r="Y101" s="151">
        <f>F101</f>
        <v>5</v>
      </c>
    </row>
    <row r="102" spans="2:25">
      <c r="B102" s="156" t="s">
        <v>254</v>
      </c>
      <c r="C102" s="152">
        <f>SUM(C98:C101)</f>
        <v>4320</v>
      </c>
      <c r="D102" s="152">
        <f>SUM(D98:D101)</f>
        <v>4395</v>
      </c>
      <c r="E102" s="152">
        <f>SUM(E98:E101)</f>
        <v>4422</v>
      </c>
      <c r="F102" s="157">
        <f>SUM(F98:F101)</f>
        <v>4471</v>
      </c>
      <c r="U102" s="208" t="s">
        <v>254</v>
      </c>
      <c r="V102" s="152">
        <f>SUM(V98:V101)</f>
        <v>4320</v>
      </c>
      <c r="W102" s="152">
        <f>SUM(W98:W101)</f>
        <v>4395</v>
      </c>
      <c r="X102" s="152">
        <f>SUM(X98:X101)</f>
        <v>4422</v>
      </c>
      <c r="Y102" s="157">
        <f>SUM(Y98:Y101)</f>
        <v>4471</v>
      </c>
    </row>
    <row r="103" spans="2:25">
      <c r="B103" s="103" t="s">
        <v>305</v>
      </c>
      <c r="U103" s="102" t="s">
        <v>305</v>
      </c>
    </row>
    <row r="104" spans="2:25">
      <c r="B104" s="137"/>
      <c r="C104" s="140">
        <v>2008</v>
      </c>
      <c r="D104" s="144">
        <v>2009</v>
      </c>
      <c r="E104" s="144">
        <v>2010</v>
      </c>
      <c r="F104" s="145">
        <v>2011</v>
      </c>
      <c r="U104" s="154"/>
      <c r="V104" s="536">
        <v>2008</v>
      </c>
      <c r="W104" s="534">
        <v>2009</v>
      </c>
      <c r="X104" s="534">
        <v>2010</v>
      </c>
      <c r="Y104" s="535">
        <v>2011</v>
      </c>
    </row>
    <row r="105" spans="2:25">
      <c r="B105" s="111" t="s">
        <v>185</v>
      </c>
      <c r="C105" s="422">
        <f t="shared" ref="C105:F108" si="29">IF(ISERROR(C98/$C98),"",(C98/$C98)*100)</f>
        <v>100</v>
      </c>
      <c r="D105" s="422">
        <f t="shared" si="29"/>
        <v>101.82205395172741</v>
      </c>
      <c r="E105" s="422">
        <f t="shared" si="29"/>
        <v>102.50828206341693</v>
      </c>
      <c r="F105" s="423">
        <f t="shared" si="29"/>
        <v>90.345480359678191</v>
      </c>
      <c r="U105" s="170" t="s">
        <v>477</v>
      </c>
      <c r="V105" s="422">
        <f>IF(ISERROR(V98/$V98),"",(V98/$V98)*100)</f>
        <v>100</v>
      </c>
      <c r="W105" s="422">
        <f t="shared" ref="W105:Y105" si="30">IF(ISERROR(W98/$V98),"",(W98/$V98)*100)</f>
        <v>101.76662017666203</v>
      </c>
      <c r="X105" s="422">
        <f t="shared" si="30"/>
        <v>102.37099023709901</v>
      </c>
      <c r="Y105" s="423">
        <f t="shared" si="30"/>
        <v>103.48675034867503</v>
      </c>
    </row>
    <row r="106" spans="2:25">
      <c r="B106" s="111" t="s">
        <v>180</v>
      </c>
      <c r="C106" s="422">
        <f t="shared" si="29"/>
        <v>100</v>
      </c>
      <c r="D106" s="422">
        <f t="shared" si="29"/>
        <v>98.68421052631578</v>
      </c>
      <c r="E106" s="422">
        <f t="shared" si="29"/>
        <v>94.73684210526315</v>
      </c>
      <c r="F106" s="423">
        <f t="shared" si="29"/>
        <v>834.21052631578959</v>
      </c>
      <c r="G106" s="141"/>
      <c r="U106" s="170" t="s">
        <v>310</v>
      </c>
      <c r="V106" s="422">
        <f t="shared" ref="V106:Y106" si="31">IF(ISERROR(V99/$V99),"",(V99/$V99)*100)</f>
        <v>100</v>
      </c>
      <c r="W106" s="422">
        <f t="shared" si="31"/>
        <v>69.230769230769226</v>
      </c>
      <c r="X106" s="422">
        <f t="shared" si="31"/>
        <v>69.230769230769226</v>
      </c>
      <c r="Y106" s="423">
        <f t="shared" si="31"/>
        <v>107.69230769230769</v>
      </c>
    </row>
    <row r="107" spans="2:25">
      <c r="B107" s="111" t="s">
        <v>184</v>
      </c>
      <c r="C107" s="422">
        <f t="shared" si="29"/>
        <v>100</v>
      </c>
      <c r="D107" s="422">
        <f t="shared" si="29"/>
        <v>69.230769230769226</v>
      </c>
      <c r="E107" s="422">
        <f t="shared" si="29"/>
        <v>69.230769230769226</v>
      </c>
      <c r="F107" s="423">
        <f t="shared" si="29"/>
        <v>107.69230769230769</v>
      </c>
      <c r="G107" s="141"/>
      <c r="U107" s="170"/>
      <c r="V107" s="422" t="str">
        <f t="shared" ref="V107:Y107" si="32">IF(ISERROR(V100/$V100),"",(V100/$V100)*100)</f>
        <v/>
      </c>
      <c r="W107" s="422" t="str">
        <f t="shared" si="32"/>
        <v/>
      </c>
      <c r="X107" s="422" t="str">
        <f t="shared" si="32"/>
        <v/>
      </c>
      <c r="Y107" s="423" t="str">
        <f t="shared" si="32"/>
        <v/>
      </c>
    </row>
    <row r="108" spans="2:25">
      <c r="B108" s="115" t="s">
        <v>181</v>
      </c>
      <c r="C108" s="424">
        <f t="shared" si="29"/>
        <v>100</v>
      </c>
      <c r="D108" s="424">
        <f t="shared" si="29"/>
        <v>160</v>
      </c>
      <c r="E108" s="424">
        <f t="shared" si="29"/>
        <v>180</v>
      </c>
      <c r="F108" s="416">
        <f t="shared" si="29"/>
        <v>100</v>
      </c>
      <c r="U108" s="170" t="s">
        <v>181</v>
      </c>
      <c r="V108" s="422">
        <f t="shared" ref="V108:Y108" si="33">IF(ISERROR(V101/$V101),"",(V101/$V101)*100)</f>
        <v>100</v>
      </c>
      <c r="W108" s="422">
        <f t="shared" si="33"/>
        <v>160</v>
      </c>
      <c r="X108" s="422">
        <f t="shared" si="33"/>
        <v>180</v>
      </c>
      <c r="Y108" s="423">
        <f t="shared" si="33"/>
        <v>100</v>
      </c>
    </row>
    <row r="109" spans="2:25">
      <c r="U109" s="208"/>
      <c r="V109" s="205"/>
      <c r="W109" s="205"/>
      <c r="X109" s="205"/>
      <c r="Y109" s="206"/>
    </row>
    <row r="111" spans="2:25">
      <c r="B111" s="517" t="s">
        <v>255</v>
      </c>
      <c r="C111" s="510"/>
      <c r="D111" s="510"/>
      <c r="E111" s="510"/>
      <c r="F111" s="511"/>
      <c r="U111" s="533" t="s">
        <v>255</v>
      </c>
      <c r="V111" s="510"/>
      <c r="W111" s="510"/>
      <c r="X111" s="510"/>
      <c r="Y111" s="511"/>
    </row>
    <row r="112" spans="2:25">
      <c r="B112" s="137" t="str">
        <f>$B$2</f>
        <v>Buller</v>
      </c>
      <c r="C112" s="144">
        <v>2008</v>
      </c>
      <c r="D112" s="144">
        <v>2009</v>
      </c>
      <c r="E112" s="144">
        <v>2010</v>
      </c>
      <c r="F112" s="145">
        <v>2011</v>
      </c>
      <c r="U112" s="154" t="str">
        <f>$B$2</f>
        <v>Buller</v>
      </c>
      <c r="V112" s="144">
        <v>2008</v>
      </c>
      <c r="W112" s="144">
        <v>2009</v>
      </c>
      <c r="X112" s="144">
        <v>2010</v>
      </c>
      <c r="Y112" s="145">
        <v>2011</v>
      </c>
    </row>
    <row r="113" spans="2:25">
      <c r="B113" s="155" t="s">
        <v>308</v>
      </c>
      <c r="C113" s="146">
        <f>VLOOKUP($C$38,'MP (2011)'!$A$14:$AR$245,'MP (2011)'!$AA$246,FALSE)</f>
        <v>29430</v>
      </c>
      <c r="D113" s="150">
        <f>VLOOKUP($D$38,'MP (2011)'!$A$14:$AR$245,'MP (2011)'!$AA$246,FALSE)</f>
        <v>30030.884999999998</v>
      </c>
      <c r="E113" s="150">
        <f>VLOOKUP($E$38,'MP (2011)'!$A$14:$AR$245,'MP (2011)'!$AA$246,FALSE)</f>
        <v>30563</v>
      </c>
      <c r="F113" s="151">
        <f>VLOOKUP($F$38,'MP (2011)'!$A$14:$AR$245,'MP (2011)'!$AA$246,FALSE)</f>
        <v>20119.02</v>
      </c>
      <c r="U113" s="170" t="s">
        <v>477</v>
      </c>
      <c r="V113" s="426">
        <f>C113+C114</f>
        <v>33593</v>
      </c>
      <c r="W113" s="433">
        <f t="shared" ref="W113" si="34">D113+D114</f>
        <v>34533.275000000001</v>
      </c>
      <c r="X113" s="433">
        <f t="shared" ref="X113" si="35">E113+E114</f>
        <v>35714</v>
      </c>
      <c r="Y113" s="434">
        <f>F113+F114</f>
        <v>34345.771999999997</v>
      </c>
    </row>
    <row r="114" spans="2:25">
      <c r="B114" s="155" t="s">
        <v>309</v>
      </c>
      <c r="C114" s="150">
        <f>VLOOKUP($C$38,'MP (2011)'!$A$14:$AR$245,'MP (2011)'!$AE$246,FALSE)</f>
        <v>4163</v>
      </c>
      <c r="D114" s="150">
        <f>VLOOKUP($D$38,'MP (2011)'!$A$14:$AR$245,'MP (2011)'!$AE$246,FALSE)</f>
        <v>4502.3900000000003</v>
      </c>
      <c r="E114" s="150">
        <f>VLOOKUP($E$38,'MP (2011)'!$A$14:$AR$245,'MP (2011)'!$AE$246,FALSE)</f>
        <v>5151</v>
      </c>
      <c r="F114" s="151">
        <f>VLOOKUP($F$38,'MP (2011)'!$A$14:$AR$245,'MP (2011)'!$AE$246,FALSE)</f>
        <v>14226.752</v>
      </c>
      <c r="U114" s="170" t="s">
        <v>478</v>
      </c>
      <c r="V114" s="433">
        <f>C115</f>
        <v>2459</v>
      </c>
      <c r="W114" s="433">
        <f t="shared" ref="W114" si="36">D115</f>
        <v>2819.8539999999998</v>
      </c>
      <c r="X114" s="433">
        <f t="shared" ref="X114" si="37">E115</f>
        <v>2809</v>
      </c>
      <c r="Y114" s="434">
        <f>F115</f>
        <v>3247.2804000000001</v>
      </c>
    </row>
    <row r="115" spans="2:25">
      <c r="B115" s="155" t="s">
        <v>310</v>
      </c>
      <c r="C115" s="150">
        <f>VLOOKUP($C$38,'MP (2011)'!$A$14:$AR$245,'MP (2011)'!$AI$246,FALSE)</f>
        <v>2459</v>
      </c>
      <c r="D115" s="150">
        <f>VLOOKUP($D$38,'MP (2011)'!$A$14:$AR$245,'MP (2011)'!$AI$246,FALSE)</f>
        <v>2819.8539999999998</v>
      </c>
      <c r="E115" s="150">
        <f>VLOOKUP($E$38,'MP (2011)'!$A$14:$AR$245,'MP (2011)'!$AI$246,FALSE)</f>
        <v>2809</v>
      </c>
      <c r="F115" s="151">
        <f>VLOOKUP($F$38,'MP (2011)'!$A$14:$AR$245,'MP (2011)'!$AI$246,FALSE)</f>
        <v>3247.2804000000001</v>
      </c>
      <c r="U115" s="170"/>
      <c r="V115" s="433"/>
      <c r="W115" s="433"/>
      <c r="X115" s="433"/>
      <c r="Y115" s="434"/>
    </row>
    <row r="116" spans="2:25">
      <c r="B116" s="155" t="s">
        <v>311</v>
      </c>
      <c r="C116" s="150">
        <f>VLOOKUP($C$38,'MP (2011)'!$A$14:$AR$245,'MP (2011)'!$AM$246,FALSE)</f>
        <v>7486</v>
      </c>
      <c r="D116" s="150">
        <f>VLOOKUP($D$38,'MP (2011)'!$A$14:$AR$245,'MP (2011)'!$AM$246,FALSE)</f>
        <v>7813.1970000000001</v>
      </c>
      <c r="E116" s="150">
        <f>VLOOKUP($E$38,'MP (2011)'!$A$14:$AR$245,'MP (2011)'!$AM$246,FALSE)</f>
        <v>9477</v>
      </c>
      <c r="F116" s="151">
        <f>VLOOKUP($F$38,'MP (2011)'!$A$14:$AR$245,'MP (2011)'!$AM$246,FALSE)</f>
        <v>18316.886999999999</v>
      </c>
      <c r="U116" s="170" t="s">
        <v>181</v>
      </c>
      <c r="V116" s="433">
        <f>C116</f>
        <v>7486</v>
      </c>
      <c r="W116" s="433">
        <f>D116</f>
        <v>7813.1970000000001</v>
      </c>
      <c r="X116" s="433">
        <f>E116</f>
        <v>9477</v>
      </c>
      <c r="Y116" s="434">
        <f>F116</f>
        <v>18316.886999999999</v>
      </c>
    </row>
    <row r="117" spans="2:25">
      <c r="B117" s="147" t="s">
        <v>254</v>
      </c>
      <c r="C117" s="158">
        <f>SUM(C113:C116)</f>
        <v>43538</v>
      </c>
      <c r="D117" s="158">
        <f>SUM(D113:D116)</f>
        <v>45166.326000000001</v>
      </c>
      <c r="E117" s="158">
        <f>SUM(E113:E116)</f>
        <v>48000</v>
      </c>
      <c r="F117" s="159">
        <f>SUM(F113:F116)</f>
        <v>55909.939400000003</v>
      </c>
      <c r="U117" s="208" t="s">
        <v>254</v>
      </c>
      <c r="V117" s="445">
        <f>SUM(V113:V116)</f>
        <v>43538</v>
      </c>
      <c r="W117" s="445">
        <f>SUM(W113:W116)</f>
        <v>45166.326000000001</v>
      </c>
      <c r="X117" s="445">
        <f>SUM(X113:X116)</f>
        <v>48000</v>
      </c>
      <c r="Y117" s="537">
        <f>SUM(Y113:Y116)</f>
        <v>55909.939400000003</v>
      </c>
    </row>
    <row r="118" spans="2:25">
      <c r="B118" s="103" t="s">
        <v>306</v>
      </c>
      <c r="U118" s="102" t="s">
        <v>306</v>
      </c>
    </row>
    <row r="119" spans="2:25">
      <c r="B119" s="137" t="str">
        <f>$B$2</f>
        <v>Buller</v>
      </c>
      <c r="C119" s="144">
        <v>2008</v>
      </c>
      <c r="D119" s="144">
        <v>2009</v>
      </c>
      <c r="E119" s="144">
        <v>2010</v>
      </c>
      <c r="F119" s="145">
        <v>2011</v>
      </c>
      <c r="U119" s="154"/>
      <c r="V119" s="534">
        <v>2008</v>
      </c>
      <c r="W119" s="534">
        <v>2009</v>
      </c>
      <c r="X119" s="534">
        <v>2010</v>
      </c>
      <c r="Y119" s="535">
        <v>2011</v>
      </c>
    </row>
    <row r="120" spans="2:25">
      <c r="B120" s="111" t="s">
        <v>185</v>
      </c>
      <c r="C120" s="422">
        <f t="shared" ref="C120:F123" si="38">IF(ISERROR(C113/$C113),"",(C113/$C113)*100)</f>
        <v>100</v>
      </c>
      <c r="D120" s="422">
        <f t="shared" si="38"/>
        <v>102.04174311926606</v>
      </c>
      <c r="E120" s="422">
        <f t="shared" si="38"/>
        <v>103.84981311586816</v>
      </c>
      <c r="F120" s="423">
        <f t="shared" si="38"/>
        <v>68.362283384301733</v>
      </c>
      <c r="U120" s="170" t="s">
        <v>477</v>
      </c>
      <c r="V120" s="422">
        <f>IF(ISERROR(V113/$V113),"",(V113/$V113)*100)</f>
        <v>100</v>
      </c>
      <c r="W120" s="422">
        <f t="shared" ref="W120:Y120" si="39">IF(ISERROR(W113/$V113),"",(W113/$V113)*100)</f>
        <v>102.79902062929777</v>
      </c>
      <c r="X120" s="422">
        <f t="shared" si="39"/>
        <v>106.31381537820378</v>
      </c>
      <c r="Y120" s="423">
        <f t="shared" si="39"/>
        <v>102.24085970291429</v>
      </c>
    </row>
    <row r="121" spans="2:25">
      <c r="B121" s="111" t="s">
        <v>180</v>
      </c>
      <c r="C121" s="422">
        <f t="shared" si="38"/>
        <v>100</v>
      </c>
      <c r="D121" s="422">
        <f t="shared" si="38"/>
        <v>108.15253423012253</v>
      </c>
      <c r="E121" s="422">
        <f t="shared" si="38"/>
        <v>123.7328849387461</v>
      </c>
      <c r="F121" s="423">
        <f t="shared" si="38"/>
        <v>341.74278164785011</v>
      </c>
      <c r="U121" s="170" t="s">
        <v>478</v>
      </c>
      <c r="V121" s="422">
        <f t="shared" ref="V121:Y121" si="40">IF(ISERROR(V114/$V114),"",(V114/$V114)*100)</f>
        <v>100</v>
      </c>
      <c r="W121" s="422">
        <f t="shared" si="40"/>
        <v>114.67482716551443</v>
      </c>
      <c r="X121" s="422">
        <f t="shared" si="40"/>
        <v>114.23342822285483</v>
      </c>
      <c r="Y121" s="423">
        <f t="shared" si="40"/>
        <v>132.05694997966651</v>
      </c>
    </row>
    <row r="122" spans="2:25">
      <c r="B122" s="111" t="s">
        <v>184</v>
      </c>
      <c r="C122" s="422">
        <f t="shared" si="38"/>
        <v>100</v>
      </c>
      <c r="D122" s="422">
        <f t="shared" si="38"/>
        <v>114.67482716551443</v>
      </c>
      <c r="E122" s="422">
        <f t="shared" si="38"/>
        <v>114.23342822285483</v>
      </c>
      <c r="F122" s="423">
        <f t="shared" si="38"/>
        <v>132.05694997966651</v>
      </c>
      <c r="U122" s="170"/>
      <c r="V122" s="422" t="str">
        <f t="shared" ref="V122:Y122" si="41">IF(ISERROR(V115/$V115),"",(V115/$V115)*100)</f>
        <v/>
      </c>
      <c r="W122" s="422" t="str">
        <f t="shared" si="41"/>
        <v/>
      </c>
      <c r="X122" s="422" t="str">
        <f t="shared" si="41"/>
        <v/>
      </c>
      <c r="Y122" s="423" t="str">
        <f t="shared" si="41"/>
        <v/>
      </c>
    </row>
    <row r="123" spans="2:25">
      <c r="B123" s="115" t="s">
        <v>181</v>
      </c>
      <c r="C123" s="424">
        <f t="shared" si="38"/>
        <v>100</v>
      </c>
      <c r="D123" s="424">
        <f t="shared" si="38"/>
        <v>104.37078546620357</v>
      </c>
      <c r="E123" s="424">
        <f t="shared" si="38"/>
        <v>126.59631311781993</v>
      </c>
      <c r="F123" s="416">
        <f t="shared" si="38"/>
        <v>244.68189954581882</v>
      </c>
      <c r="U123" s="170" t="s">
        <v>181</v>
      </c>
      <c r="V123" s="422">
        <f t="shared" ref="V123:Y123" si="42">IF(ISERROR(V116/$V116),"",(V116/$V116)*100)</f>
        <v>100</v>
      </c>
      <c r="W123" s="422">
        <f t="shared" si="42"/>
        <v>104.37078546620357</v>
      </c>
      <c r="X123" s="422">
        <f t="shared" si="42"/>
        <v>126.59631311781993</v>
      </c>
      <c r="Y123" s="423">
        <f t="shared" si="42"/>
        <v>244.68189954581882</v>
      </c>
    </row>
    <row r="124" spans="2:25">
      <c r="U124" s="208"/>
      <c r="V124" s="205"/>
      <c r="W124" s="205"/>
      <c r="X124" s="205"/>
      <c r="Y124" s="206"/>
    </row>
    <row r="126" spans="2:25">
      <c r="B126" s="517" t="s">
        <v>256</v>
      </c>
      <c r="C126" s="510"/>
      <c r="D126" s="510"/>
      <c r="E126" s="510"/>
      <c r="F126" s="511"/>
    </row>
    <row r="127" spans="2:25">
      <c r="B127" s="137" t="str">
        <f>$B$2</f>
        <v>Buller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25">
      <c r="B128" s="162" t="s">
        <v>259</v>
      </c>
      <c r="C128" s="439">
        <f>VLOOKUP($C$38,'FS (2011)'!$A$13:$AH$244,'FS (2011)'!$I$245,FALSE)</f>
        <v>6627.0727951869058</v>
      </c>
      <c r="D128" s="433">
        <f>VLOOKUP($D$38,'FS (2011)'!$A$13:$AH$244,'FS (2011)'!$I$245,FALSE)</f>
        <v>5466.6060814057228</v>
      </c>
      <c r="E128" s="433">
        <f>VLOOKUP($E$38,'FS (2011)'!$A$13:$AH$244,'FS (2011)'!$I$245,FALSE)</f>
        <v>6581.6765918460824</v>
      </c>
      <c r="F128" s="440">
        <f>VLOOKUP($F$38,'FS (2011)'!$A$13:$AH$244,'FS (2011)'!$I$245,FALSE)</f>
        <v>6595.5639000000001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808.52833492344098</v>
      </c>
      <c r="D129" s="433">
        <f>VLOOKUP($D$38,'FS (2011)'!$A$13:$AH$244,'FS (2011)'!$Y$245,FALSE)+VLOOKUP($D$38,'FS (2011)'!$A$13:$AH$244,'FS (2011)'!$Z$245,FALSE)</f>
        <v>881.53005193493016</v>
      </c>
      <c r="E129" s="433">
        <f>VLOOKUP($E$38,'FS (2011)'!$A$13:$AH$244,'FS (2011)'!$Y$245,FALSE)+VLOOKUP($E$38,'FS (2011)'!$A$13:$AH$244,'FS (2011)'!$Z$245,FALSE)</f>
        <v>504.73106028131815</v>
      </c>
      <c r="F129" s="440">
        <f>VLOOKUP($F$38,'FS (2011)'!$A$13:$AH$244,'FS (2011)'!$Y$245,FALSE)+VLOOKUP($F$38,'FS (2011)'!$A$13:$AH$244,'FS (2011)'!$Z$245,FALSE)</f>
        <v>1115.1384</v>
      </c>
      <c r="G129" s="121"/>
    </row>
    <row r="130" spans="1:30">
      <c r="B130" s="162" t="s">
        <v>191</v>
      </c>
      <c r="C130" s="441">
        <f>VLOOKUP($C$38,'FS (2011)'!$A$13:$AH$244,'FS (2011)'!$J$245,FALSE)</f>
        <v>2100.1362949445411</v>
      </c>
      <c r="D130" s="433">
        <f>VLOOKUP($D$38,'FS (2011)'!$A$13:$AH$244,'FS (2011)'!$J$245,FALSE)</f>
        <v>894.83753174548667</v>
      </c>
      <c r="E130" s="433">
        <f>VLOOKUP($E$38,'FS (2011)'!$A$13:$AH$244,'FS (2011)'!$J$245,FALSE)</f>
        <v>841.55802861685197</v>
      </c>
      <c r="F130" s="440">
        <f>VLOOKUP($F$38,'FS (2011)'!$A$13:$AH$244,'FS (2011)'!$J$245,FALSE)</f>
        <v>1046.1690000000001</v>
      </c>
    </row>
    <row r="131" spans="1:30">
      <c r="B131" s="162" t="s">
        <v>182</v>
      </c>
      <c r="C131" s="441">
        <f>VLOOKUP($C$38,'FS (2011)'!$A$13:$AH$244,'FS (2011)'!$S$245,FALSE)</f>
        <v>2890.3826523338371</v>
      </c>
      <c r="D131" s="433">
        <f>VLOOKUP($D$38,'FS (2011)'!$A$13:$AH$244,'FS (2011)'!$S$245,FALSE)</f>
        <v>1941.2368728121348</v>
      </c>
      <c r="E131" s="433">
        <f>VLOOKUP($E$38,'FS (2011)'!$A$13:$AH$244,'FS (2011)'!$S$245,FALSE)</f>
        <v>2568.4840074371477</v>
      </c>
      <c r="F131" s="440">
        <f>VLOOKUP($F$38,'FS (2011)'!$A$13:$AH$244,'FS (2011)'!$S$245,FALSE)</f>
        <v>2874.7703000000001</v>
      </c>
      <c r="I131" s="139"/>
    </row>
    <row r="132" spans="1:30">
      <c r="B132" s="162" t="s">
        <v>143</v>
      </c>
      <c r="C132" s="441">
        <f>VLOOKUP($C$38,'FS (2011)'!$A$13:$AH$244,'FS (2011)'!$U$245,FALSE)</f>
        <v>1094.2701947477972</v>
      </c>
      <c r="D132" s="433">
        <f>VLOOKUP($D$38,'FS (2011)'!$A$13:$AH$244,'FS (2011)'!$U$245,FALSE)</f>
        <v>1147.0945157526251</v>
      </c>
      <c r="E132" s="433">
        <f>VLOOKUP($E$38,'FS (2011)'!$A$13:$AH$244,'FS (2011)'!$U$245,FALSE)</f>
        <v>1250.1110182964617</v>
      </c>
      <c r="F132" s="440">
        <f>VLOOKUP($F$38,'FS (2011)'!$A$13:$AH$244,'FS (2011)'!$U$245,FALSE)</f>
        <v>1149.701</v>
      </c>
    </row>
    <row r="133" spans="1:30">
      <c r="B133" s="162" t="s">
        <v>196</v>
      </c>
      <c r="C133" s="441">
        <f>VLOOKUP($C$38,'FS (2011)'!$A$13:$AH$244,'FS (2011)'!$X$245,FALSE)</f>
        <v>-230.49372093467537</v>
      </c>
      <c r="D133" s="433">
        <f>VLOOKUP($D$38,'FS (2011)'!$A$13:$AH$244,'FS (2011)'!$X$245,FALSE)</f>
        <v>117.98669541629484</v>
      </c>
      <c r="E133" s="433">
        <f>VLOOKUP($E$38,'FS (2011)'!$A$13:$AH$244,'FS (2011)'!$X$245,FALSE)</f>
        <v>104.10588344695641</v>
      </c>
      <c r="F133" s="440">
        <f>VLOOKUP($F$38,'FS (2011)'!$A$13:$AH$244,'FS (2011)'!$X$245,FALSE)</f>
        <v>100.35173</v>
      </c>
      <c r="Q133" s="559"/>
      <c r="R133" s="559"/>
      <c r="S133" s="559"/>
      <c r="T133" s="559"/>
      <c r="U133" s="559"/>
      <c r="V133" s="559"/>
      <c r="W133" s="559"/>
      <c r="X133" s="559"/>
      <c r="Y133" s="559"/>
      <c r="Z133" s="559"/>
      <c r="AA133" s="559"/>
      <c r="AB133" s="559"/>
      <c r="AC133" s="559"/>
      <c r="AD133" s="559"/>
    </row>
    <row r="134" spans="1:30">
      <c r="B134" s="164" t="s">
        <v>258</v>
      </c>
      <c r="C134" s="442">
        <f>VLOOKUP($C$38,'FS (2011)'!$A$13:$AH$244,'FS (2011)'!$AA$245,FALSE)</f>
        <v>1581.3057090188474</v>
      </c>
      <c r="D134" s="435">
        <f>VLOOKUP($D$38,'FS (2011)'!$A$13:$AH$244,'FS (2011)'!$AA$245,FALSE)</f>
        <v>2246.9805383760031</v>
      </c>
      <c r="E134" s="435">
        <f>VLOOKUP($E$38,'FS (2011)'!$A$13:$AH$244,'FS (2011)'!$AA$245,FALSE)</f>
        <v>2322.1486633882132</v>
      </c>
      <c r="F134" s="443">
        <f>VLOOKUP($F$38,'FS (2011)'!$A$13:$AH$244,'FS (2011)'!$AA$245,FALSE)</f>
        <v>2539.7102</v>
      </c>
      <c r="Q134" s="559"/>
      <c r="R134" s="559"/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4</v>
      </c>
      <c r="B138" s="166" t="s">
        <v>204</v>
      </c>
      <c r="C138" s="167"/>
      <c r="D138" s="444">
        <f>VLOOKUP($D$6,'FS (2011)'!$A$13:$AH$244,'FS (2011)'!$L$245,FALSE)</f>
        <v>274.90791999999999</v>
      </c>
      <c r="E138" s="446">
        <f t="shared" ref="E138:E144" si="43">D138/$D$145</f>
        <v>9.5627784335441668E-2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1709.944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44">RANK(D139,$D$138:$D$144)</f>
        <v>1</v>
      </c>
      <c r="B139" s="162" t="s">
        <v>199</v>
      </c>
      <c r="C139" s="121"/>
      <c r="D139" s="441">
        <f>VLOOKUP($D$6,'FS (2011)'!$A$13:$AH$244,'FS (2011)'!K245,FALSE)</f>
        <v>1709.944</v>
      </c>
      <c r="E139" s="414">
        <f t="shared" si="43"/>
        <v>0.59481064080541024</v>
      </c>
      <c r="Q139" s="559"/>
      <c r="R139" s="559"/>
      <c r="S139" s="559"/>
      <c r="T139" s="559">
        <v>2</v>
      </c>
      <c r="U139" s="559" t="str">
        <f t="shared" ref="U139:U144" si="45">VLOOKUP(T139,$A$138:$E$144,2,FALSE)</f>
        <v>Routine and preventative maintenance</v>
      </c>
      <c r="V139" s="559">
        <f t="shared" ref="V139:V144" si="46">VLOOKUP(T139,$A$138:$E$144,4,FALSE)</f>
        <v>323.79111999999998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44"/>
        <v>2</v>
      </c>
      <c r="B140" s="162" t="s">
        <v>201</v>
      </c>
      <c r="C140" s="121"/>
      <c r="D140" s="441">
        <f>VLOOKUP($D$6,'FS (2011)'!$A$13:$AH$244,'FS (2011)'!M245,FALSE)</f>
        <v>323.79111999999998</v>
      </c>
      <c r="E140" s="414">
        <f t="shared" si="43"/>
        <v>0.11263199471696236</v>
      </c>
      <c r="Q140" s="559"/>
      <c r="R140" s="559"/>
      <c r="S140" s="559"/>
      <c r="T140" s="559">
        <v>3</v>
      </c>
      <c r="U140" s="559" t="str">
        <f t="shared" si="45"/>
        <v>Refurbishment and renewal maintenance</v>
      </c>
      <c r="V140" s="559">
        <f t="shared" si="46"/>
        <v>320.76582000000002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44"/>
        <v>3</v>
      </c>
      <c r="B141" s="162" t="s">
        <v>202</v>
      </c>
      <c r="C141" s="121"/>
      <c r="D141" s="441">
        <f>VLOOKUP($D$6,'FS (2011)'!$A$13:$AH$244,'FS (2011)'!N245,FALSE)</f>
        <v>320.76582000000002</v>
      </c>
      <c r="E141" s="414">
        <f t="shared" si="43"/>
        <v>0.11157963239888143</v>
      </c>
      <c r="Q141" s="559"/>
      <c r="R141" s="559"/>
      <c r="S141" s="559"/>
      <c r="T141" s="559">
        <v>4</v>
      </c>
      <c r="U141" s="559" t="str">
        <f t="shared" si="45"/>
        <v>System management and operations</v>
      </c>
      <c r="V141" s="559">
        <f t="shared" si="46"/>
        <v>274.90791999999999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44"/>
        <v>5</v>
      </c>
      <c r="B142" s="162" t="s">
        <v>203</v>
      </c>
      <c r="C142" s="121"/>
      <c r="D142" s="441">
        <f>VLOOKUP($D$6,'FS (2011)'!$A$13:$AH$244,'FS (2011)'!O245,FALSE)</f>
        <v>196.00413</v>
      </c>
      <c r="E142" s="414">
        <f t="shared" si="43"/>
        <v>6.8180795491435353E-2</v>
      </c>
      <c r="Q142" s="559"/>
      <c r="R142" s="559"/>
      <c r="S142" s="559"/>
      <c r="T142" s="559">
        <v>5</v>
      </c>
      <c r="U142" s="559" t="str">
        <f t="shared" si="45"/>
        <v>Fault and emergency maintenance</v>
      </c>
      <c r="V142" s="559">
        <f t="shared" si="46"/>
        <v>196.00413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44"/>
        <v>7</v>
      </c>
      <c r="B143" s="162" t="s">
        <v>13</v>
      </c>
      <c r="C143" s="121"/>
      <c r="D143" s="441">
        <f>VLOOKUP($D$6,'FS (2011)'!$A$13:$AH$244,'FS (2011)'!R245,FALSE)</f>
        <v>0</v>
      </c>
      <c r="E143" s="414">
        <f t="shared" si="43"/>
        <v>0</v>
      </c>
      <c r="Q143" s="559"/>
      <c r="R143" s="559"/>
      <c r="S143" s="559"/>
      <c r="T143" s="559">
        <v>6</v>
      </c>
      <c r="U143" s="559" t="str">
        <f t="shared" si="45"/>
        <v>Pass-through costs</v>
      </c>
      <c r="V143" s="559">
        <f t="shared" si="46"/>
        <v>49.357370000000003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44"/>
        <v>6</v>
      </c>
      <c r="B144" s="162" t="s">
        <v>200</v>
      </c>
      <c r="C144" s="121"/>
      <c r="D144" s="441">
        <f>VLOOKUP($D$6,'FS (2011)'!$A$13:$AH$244,'FS (2011)'!P245,FALSE)</f>
        <v>49.357370000000003</v>
      </c>
      <c r="E144" s="414">
        <f t="shared" si="43"/>
        <v>1.7169152251868911E-2</v>
      </c>
      <c r="Q144" s="559"/>
      <c r="R144" s="559"/>
      <c r="S144" s="559"/>
      <c r="T144" s="559">
        <v>7</v>
      </c>
      <c r="U144" s="559" t="str">
        <f t="shared" si="45"/>
        <v>Other</v>
      </c>
      <c r="V144" s="559">
        <f t="shared" si="46"/>
        <v>0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2874.77036</v>
      </c>
      <c r="E145" s="447">
        <f>SUM(E138:E144)</f>
        <v>1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0.8614008725157537</v>
      </c>
      <c r="D149" s="454">
        <f>(VLOOKUP(D$38,'FS (2011)'!$A$13:$AH$244,'FS (2011)'!$M$245,FALSE)+VLOOKUP(D$38,'FS (2011)'!$A$13:$AH$244,'FS (2011)'!$N$245,FALSE)+VLOOKUP(D$38,'FS (2011)'!$A$13:$AH$244,'FS (2011)'!$O$245,FALSE))/1000</f>
        <v>0.72562811448966968</v>
      </c>
      <c r="E149" s="454">
        <f>(VLOOKUP(E$38,'FS (2011)'!$A$13:$AH$244,'FS (2011)'!$M$245,FALSE)+VLOOKUP(E$38,'FS (2011)'!$A$13:$AH$244,'FS (2011)'!$N$245,FALSE)+VLOOKUP(E$38,'FS (2011)'!$A$13:$AH$244,'FS (2011)'!$O$245,FALSE))/1000</f>
        <v>1.2867890921829106</v>
      </c>
      <c r="F149" s="455">
        <f>(VLOOKUP(F$38,'FS (2011)'!$A$13:$AH$244,'FS (2011)'!$M$245,FALSE)+VLOOKUP(F$38,'FS (2011)'!$A$13:$AH$244,'FS (2011)'!$N$245,FALSE)+VLOOKUP(F$38,'FS (2011)'!$A$13:$AH$244,'FS (2011)'!$O$245,FALSE))/1000</f>
        <v>0.84056107000000002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1.2156087583224653</v>
      </c>
      <c r="E150" s="456">
        <f>(VLOOKUP(E$38,'FS (2011)'!$A$13:$AH$244,'FS (2011)'!$L$245,FALSE)+VLOOKUP(E$38,'FS (2011)'!$A$13:$AH$244,'FS (2011)'!$K$245,FALSE))/1000</f>
        <v>1.281694915254237</v>
      </c>
      <c r="F150" s="457">
        <f>(VLOOKUP(F$38,'FS (2011)'!$A$13:$AH$244,'FS (2011)'!$L$245,FALSE)+VLOOKUP(F$38,'FS (2011)'!$A$13:$AH$244,'FS (2011)'!$K$245,FALSE))/1000</f>
        <v>1.9848519200000001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2.0289817798180834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0</v>
      </c>
      <c r="F151" s="457">
        <f>(VLOOKUP(F$38,'FS (2011)'!$A$13:$AH$244,'FS (2011)'!$R$245,FALSE)+VLOOKUP(F$38,'FS (2011)'!$A$13:$AH$244,'FS (2011)'!$P$245,FALSE)+VLOOKUP(F$38,'FS (2011)'!$A$13:$AH$244,'FS (2011)'!$Q$245,FALSE))/1000</f>
        <v>4.9357370000000005E-2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2.890382652333837</v>
      </c>
      <c r="D152" s="458">
        <f>VLOOKUP($D$38,'FS (2011)'!$A$13:$AH$244,'FS (2011)'!$S$245,FALSE)/1000</f>
        <v>1.9412368728121348</v>
      </c>
      <c r="E152" s="459">
        <f>VLOOKUP($E$38,'FS (2011)'!$A$13:$AH$244,'FS (2011)'!$S$245,FALSE)/1000</f>
        <v>2.5684840074371476</v>
      </c>
      <c r="F152" s="460">
        <f>VLOOKUP($F$38,'FS (2011)'!$A$13:$AH$244,'FS (2011)'!$S$245,FALSE)/1000</f>
        <v>2.8747703000000002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5.1207658861596839E-2</v>
      </c>
      <c r="D154" s="464">
        <f t="shared" ref="D154:E157" si="47">IF(ISERROR(D149/C149 - 1),"",(D149/C149 - 1))</f>
        <v>-0.15761855177782047</v>
      </c>
      <c r="E154" s="464">
        <f t="shared" si="47"/>
        <v>0.77334514262571319</v>
      </c>
      <c r="F154" s="465">
        <f>IF(ISERROR(F149/E149 - 1),"",(F149/E149 - 1))</f>
        <v>-0.34677634811616942</v>
      </c>
      <c r="Q154" s="559"/>
      <c r="R154" s="559" t="s">
        <v>423</v>
      </c>
      <c r="S154" s="559">
        <f t="shared" ref="S154:V157" si="48">LN(C149)</f>
        <v>-0.14919529345835181</v>
      </c>
      <c r="T154" s="559">
        <f t="shared" si="48"/>
        <v>-0.32071763439149942</v>
      </c>
      <c r="U154" s="559">
        <f t="shared" si="48"/>
        <v>0.25215003964717253</v>
      </c>
      <c r="V154" s="559">
        <f t="shared" si="48"/>
        <v>-0.17368566964154419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49">IFERROR(EXP(SLOPE(S155:V155,$C$148:$F$148))-1,(IFERROR(EXP(SLOPE(T155:V155,$D$148:$F$148))-1,F155)))</f>
        <v>0.27781253944236362</v>
      </c>
      <c r="D155" s="467" t="str">
        <f t="shared" si="47"/>
        <v/>
      </c>
      <c r="E155" s="467">
        <f t="shared" si="47"/>
        <v>5.4364660076133609E-2</v>
      </c>
      <c r="F155" s="468">
        <f>IF(ISERROR(F150/E150 - 1),"",(F150/E150 - 1))</f>
        <v>0.54861496006347577</v>
      </c>
      <c r="Q155" s="559"/>
      <c r="R155" s="559" t="s">
        <v>423</v>
      </c>
      <c r="S155" s="559" t="e">
        <f t="shared" si="48"/>
        <v>#NUM!</v>
      </c>
      <c r="T155" s="559">
        <f t="shared" si="48"/>
        <v>0.19524498697240772</v>
      </c>
      <c r="U155" s="559">
        <f t="shared" si="48"/>
        <v>0.24818335455706708</v>
      </c>
      <c r="V155" s="559">
        <f t="shared" si="48"/>
        <v>0.68554431186025133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 t="str">
        <f t="shared" si="49"/>
        <v/>
      </c>
      <c r="D156" s="467">
        <f t="shared" si="47"/>
        <v>-1</v>
      </c>
      <c r="E156" s="467" t="str">
        <f t="shared" si="47"/>
        <v/>
      </c>
      <c r="F156" s="468" t="str">
        <f>IF(ISERROR(F151/E151 - 1),"",(F151/E151 - 1))</f>
        <v/>
      </c>
      <c r="Q156" s="559"/>
      <c r="R156" s="559" t="s">
        <v>423</v>
      </c>
      <c r="S156" s="559">
        <f t="shared" si="48"/>
        <v>0.70753408092069858</v>
      </c>
      <c r="T156" s="559" t="e">
        <f t="shared" si="48"/>
        <v>#NUM!</v>
      </c>
      <c r="U156" s="559" t="e">
        <f t="shared" si="48"/>
        <v>#NUM!</v>
      </c>
      <c r="V156" s="559">
        <f t="shared" si="48"/>
        <v>-3.0086681828142656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49"/>
        <v>2.6725091542006085E-2</v>
      </c>
      <c r="D157" s="470">
        <f t="shared" si="47"/>
        <v>-0.32838066570712199</v>
      </c>
      <c r="E157" s="470">
        <f t="shared" si="47"/>
        <v>0.32311725756391785</v>
      </c>
      <c r="F157" s="471">
        <f>IF(ISERROR(F152/E152 - 1),"",(F152/E152 - 1))</f>
        <v>0.119247887732993</v>
      </c>
      <c r="N157" s="136"/>
      <c r="O157" s="136"/>
      <c r="Q157" s="559"/>
      <c r="R157" s="559" t="s">
        <v>423</v>
      </c>
      <c r="S157" s="559">
        <f t="shared" si="48"/>
        <v>1.0613888990113329</v>
      </c>
      <c r="T157" s="559">
        <f t="shared" si="48"/>
        <v>0.66332533322332254</v>
      </c>
      <c r="U157" s="559">
        <f t="shared" si="48"/>
        <v>0.94331584448460115</v>
      </c>
      <c r="V157" s="559">
        <f t="shared" si="48"/>
        <v>1.0559727754053123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Buller</v>
      </c>
      <c r="C162" s="456">
        <f>(C152/C102)*1000000</f>
        <v>669.0700584106105</v>
      </c>
      <c r="D162" s="456">
        <f>(D152/D102)*1000000</f>
        <v>441.69212123143001</v>
      </c>
      <c r="E162" s="456">
        <f>(E152/E102)*1000000</f>
        <v>580.84215455385515</v>
      </c>
      <c r="F162" s="457">
        <f>(F152/F102)*1000000</f>
        <v>642.98150301945884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Buller</v>
      </c>
      <c r="C165" s="456">
        <f>C152/VLOOKUP(C$38,'MP (2011)'!$A$14:$AR$245,'MP (2011)'!$H$246,FALSE)*1000000</f>
        <v>4821.3221890472678</v>
      </c>
      <c r="D165" s="456">
        <f>D152/VLOOKUP(D$38,'MP (2011)'!$A$14:$AR$245,'MP (2011)'!$H$246,FALSE)*1000000</f>
        <v>3223.146830065974</v>
      </c>
      <c r="E165" s="456">
        <f>E152/VLOOKUP(E$38,'MP (2011)'!$A$14:$AR$245,'MP (2011)'!$H$246,FALSE)*1000000</f>
        <v>4165.5595320096454</v>
      </c>
      <c r="F165" s="457">
        <f>F152/VLOOKUP(F$38,'MP (2011)'!$A$14:$AR$245,'MP (2011)'!$H$246,FALSE)*1000000</f>
        <v>4612.9917039747106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Buller</v>
      </c>
      <c r="C168" s="456">
        <f>(C152/C117)*1000000</f>
        <v>66.387584462626592</v>
      </c>
      <c r="D168" s="456">
        <f>(D152/D117)*1000000</f>
        <v>42.979738330103153</v>
      </c>
      <c r="E168" s="456">
        <f>(E152/E117)*1000000</f>
        <v>53.510083488273906</v>
      </c>
      <c r="F168" s="457">
        <f>(F152/F117)*1000000</f>
        <v>51.417875441303018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1.5574792681457117E-2</v>
      </c>
      <c r="D171" s="464">
        <f>IF(ISERROR(D162/C162 - 1),"",(D162/C162 - 1))</f>
        <v>-0.33984174649710286</v>
      </c>
      <c r="E171" s="464">
        <f>IF(ISERROR(E162/D162 - 1),"",(E162/D162 - 1))</f>
        <v>0.31503852261271326</v>
      </c>
      <c r="F171" s="465">
        <f>IF(ISERROR(F162/E162 - 1),"",(F162/E162 - 1))</f>
        <v>0.10698147160708915</v>
      </c>
      <c r="H171" s="139"/>
      <c r="Q171" s="559"/>
      <c r="R171" s="559" t="s">
        <v>423</v>
      </c>
      <c r="S171" s="559">
        <f>LN(C162)</f>
        <v>6.5058887757374508</v>
      </c>
      <c r="T171" s="559">
        <f>LN(D162)</f>
        <v>6.0906130810683194</v>
      </c>
      <c r="U171" s="559">
        <f>LN(E162)</f>
        <v>6.3644790410314833</v>
      </c>
      <c r="V171" s="559">
        <f>LN(F162)</f>
        <v>6.4661159571356057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1.2474936603641629E-2</v>
      </c>
      <c r="D172" s="467">
        <f>IF(ISERROR(D165/C165 - 1),"",(D165/C165 - 1))</f>
        <v>-0.33148072174307563</v>
      </c>
      <c r="E172" s="467">
        <f>IF(ISERROR(E165/D165 - 1),"",(E165/D165 - 1))</f>
        <v>0.29238900727472639</v>
      </c>
      <c r="F172" s="468">
        <f>IF(ISERROR(F165/E165 - 1),"",(F165/E165 - 1))</f>
        <v>0.10741226203270826</v>
      </c>
      <c r="Q172" s="559"/>
      <c r="R172" s="559" t="s">
        <v>423</v>
      </c>
      <c r="S172" s="559">
        <f>LN(C165)</f>
        <v>8.4808034825080387</v>
      </c>
      <c r="T172" s="559">
        <f>LN(D165)</f>
        <v>8.0781134377327533</v>
      </c>
      <c r="U172" s="559">
        <f>LN(E165)</f>
        <v>8.334605886996826</v>
      </c>
      <c r="V172" s="559">
        <f>LN(F165)</f>
        <v>8.4366318851548829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-5.3271689112188714E-2</v>
      </c>
      <c r="D173" s="470">
        <f>IF(ISERROR(D168/C168 - 1),"",(D168/C168 - 1))</f>
        <v>-0.35259373152371687</v>
      </c>
      <c r="E173" s="470">
        <f>IF(ISERROR(E168/D168 - 1),"",(E168/D168 - 1))</f>
        <v>0.2450071956532891</v>
      </c>
      <c r="F173" s="471">
        <f>IF(ISERROR(F168/E168 - 1),"",(F168/E168 - 1))</f>
        <v>-3.9099323166434052E-2</v>
      </c>
      <c r="Q173" s="559"/>
      <c r="R173" s="559" t="s">
        <v>423</v>
      </c>
      <c r="S173" s="559">
        <f>LN(C168)</f>
        <v>4.1955100580147251</v>
      </c>
      <c r="T173" s="559">
        <f>LN(D168)</f>
        <v>3.7607288030176824</v>
      </c>
      <c r="U173" s="559">
        <f>LN(E168)</f>
        <v>3.9798701125588472</v>
      </c>
      <c r="V173" s="559">
        <f>LN(F168)</f>
        <v>3.9399858832342978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Buller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1286.7890921829105</v>
      </c>
      <c r="X176" s="563">
        <f>D178</f>
        <v>840.56106999999997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Buller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50">C179</f>
        <v>1120.0780768505294</v>
      </c>
      <c r="X177" s="563">
        <f t="shared" si="50"/>
        <v>1088.4941798927541</v>
      </c>
      <c r="Y177" s="563">
        <f t="shared" si="50"/>
        <v>1160.5665950796258</v>
      </c>
      <c r="Z177" s="563">
        <f t="shared" si="50"/>
        <v>1071.1739783352643</v>
      </c>
      <c r="AA177" s="563">
        <f t="shared" si="50"/>
        <v>851.06172509498515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1286.7890921829105</v>
      </c>
      <c r="D178" s="461">
        <f>VLOOKUP(F38,'FS (2011)'!$A$14:$T$246,'FS (2011)'!$M$245,FALSE)+VLOOKUP(F38,'FS (2011)'!$A$14:$AO$245,'FS (2011)'!$N$245,FALSE)+VLOOKUP(F38,'FS (2011)'!$A$14:$AO$245,'FS (2011)'!$O$245,FALSE)</f>
        <v>840.56106999999997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50"/>
        <v>1419</v>
      </c>
      <c r="Y178" s="563">
        <f t="shared" si="50"/>
        <v>1390</v>
      </c>
      <c r="Z178" s="563">
        <f t="shared" si="50"/>
        <v>1390</v>
      </c>
      <c r="AA178" s="563">
        <f t="shared" si="50"/>
        <v>1398</v>
      </c>
      <c r="AB178" s="563">
        <f>H180</f>
        <v>1415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1120.0780768505294</v>
      </c>
      <c r="D179" s="461">
        <f>VLOOKUP(D182,'AM (2011)'!$A$10:$N$444,'AM (2011)'!$N$445,FALSE)</f>
        <v>1088.4941798927541</v>
      </c>
      <c r="E179" s="461">
        <f>VLOOKUP(E182,'AM (2011)'!$A$10:$N$444,'AM (2011)'!$N$445,FALSE)</f>
        <v>1160.5665950796258</v>
      </c>
      <c r="F179" s="461">
        <f>VLOOKUP(F182,'AM (2011)'!$A$10:$N$444,'AM (2011)'!$N$445,FALSE)</f>
        <v>1071.1739783352643</v>
      </c>
      <c r="G179" s="461">
        <f>VLOOKUP(G182,'AM (2011)'!$A$10:$N$444,'AM (2011)'!$N$445,FALSE)</f>
        <v>851.06172509498515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1145.7872010342599</v>
      </c>
      <c r="Z179" s="563">
        <f>F181</f>
        <v>1136.0108597285068</v>
      </c>
      <c r="AA179" s="563">
        <f>G181</f>
        <v>1138.9437621202326</v>
      </c>
      <c r="AB179" s="563">
        <f>H181</f>
        <v>1134.0555914673562</v>
      </c>
      <c r="AC179" s="563">
        <f>I181</f>
        <v>1006.9631544925662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1419</v>
      </c>
      <c r="E180" s="461">
        <f>VLOOKUP(E183,'AM (2011)'!$A$10:$N$444,'AM (2011)'!$N$445,FALSE)</f>
        <v>1390</v>
      </c>
      <c r="F180" s="461">
        <f>VLOOKUP(F183,'AM (2011)'!$A$10:$N$444,'AM (2011)'!$N$445,FALSE)</f>
        <v>1390</v>
      </c>
      <c r="G180" s="461">
        <f>VLOOKUP(G183,'AM (2011)'!$A$10:$N$444,'AM (2011)'!$N$445,FALSE)</f>
        <v>1398</v>
      </c>
      <c r="H180" s="461">
        <f>VLOOKUP(H183,'AM (2011)'!$A$10:$N$444,'AM (2011)'!$N$445,FALSE)</f>
        <v>1415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1145.7872010342599</v>
      </c>
      <c r="F181" s="493">
        <f>VLOOKUP(F184,'AM (2011)'!$A$10:$N$444,'AM (2011)'!$N$445,FALSE)</f>
        <v>1136.0108597285068</v>
      </c>
      <c r="G181" s="493">
        <f>VLOOKUP(G184,'AM (2011)'!$A$10:$N$444,'AM (2011)'!$N$445,FALSE)</f>
        <v>1138.9437621202326</v>
      </c>
      <c r="H181" s="493">
        <f>VLOOKUP(H184,'AM (2011)'!$A$10:$N$444,'AM (2011)'!$N$445,FALSE)</f>
        <v>1134.0555914673562</v>
      </c>
      <c r="I181" s="494">
        <f>VLOOKUP(I184,'AM (2011)'!$A$10:$N$444,'AM (2011)'!$N$445,FALSE)</f>
        <v>1006.9631544925662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55</v>
      </c>
      <c r="D182" s="136">
        <f>VLOOKUP($B$2,$B$257:$Y$286,11,FALSE)</f>
        <v>56</v>
      </c>
      <c r="E182" s="136">
        <f>VLOOKUP($B$2,$B$257:$Y$286,12,FALSE)</f>
        <v>57</v>
      </c>
      <c r="F182" s="136">
        <f>VLOOKUP($B$2,$B$257:$Y$286,13,FALSE)</f>
        <v>58</v>
      </c>
      <c r="G182" s="136">
        <f>VLOOKUP($B$2,$B$257:$Y$286,14,FALSE)</f>
        <v>59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60</v>
      </c>
      <c r="E183" s="136">
        <f>VLOOKUP($B$2,$B$257:$Y$286,16,FALSE)</f>
        <v>61</v>
      </c>
      <c r="F183" s="136">
        <f>VLOOKUP($B$2,$B$257:$Y$286,17,FALSE)</f>
        <v>62</v>
      </c>
      <c r="G183" s="136">
        <f>VLOOKUP($B$2,$B$257:$Y$286,18,FALSE)</f>
        <v>63</v>
      </c>
      <c r="H183" s="136">
        <f>VLOOKUP($B$2,$B$257:$Y$286,19,FALSE)</f>
        <v>64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65</v>
      </c>
      <c r="F184" s="136">
        <f>VLOOKUP($B$2,$B$257:$Y$286,21,FALSE)</f>
        <v>66</v>
      </c>
      <c r="G184" s="136">
        <f>VLOOKUP($B$2,$B$257:$Y$286,22,FALSE)</f>
        <v>67</v>
      </c>
      <c r="H184" s="136">
        <f>VLOOKUP($B$2,$B$257:$Y$286,23,FALSE)</f>
        <v>68</v>
      </c>
      <c r="I184" s="136">
        <f>VLOOKUP($B$2,$B$257:$Y$286,24,FALSE)</f>
        <v>69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51">RANK(D186,$D$186:$D$191)</f>
        <v>6</v>
      </c>
      <c r="B186" s="483" t="s">
        <v>205</v>
      </c>
      <c r="C186" s="490"/>
      <c r="D186" s="484">
        <f>VLOOKUP($D$6,'FS (2011)'!$A$13:$AH$244,'FS (2011)'!AC245,FALSE)/1000</f>
        <v>0</v>
      </c>
      <c r="E186" s="495">
        <f t="shared" ref="E186:E191" si="52">D186/$D$192</f>
        <v>0</v>
      </c>
      <c r="Q186" s="559"/>
      <c r="R186" s="559"/>
      <c r="S186" s="559"/>
      <c r="T186" s="559">
        <v>1</v>
      </c>
      <c r="U186" s="559" t="str">
        <f t="shared" ref="U186:U191" si="53">VLOOKUP(T186,$A$186:$D$191,2,FALSE)</f>
        <v>Asset replacement and renewal</v>
      </c>
      <c r="V186" s="559">
        <f t="shared" ref="V186:V191" si="54">VLOOKUP(T186,$A$186:$D$191,4,FALSE)</f>
        <v>0.73724699999999999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51"/>
        <v>3</v>
      </c>
      <c r="B187" s="162" t="s">
        <v>206</v>
      </c>
      <c r="C187" s="121"/>
      <c r="D187" s="456">
        <f>VLOOKUP($D$6,'FS (2011)'!$A$13:$AH$244,'FS (2011)'!AD245,FALSE)/1000</f>
        <v>0.216</v>
      </c>
      <c r="E187" s="468">
        <f t="shared" si="52"/>
        <v>0.14917590670980799</v>
      </c>
      <c r="Q187" s="559"/>
      <c r="R187" s="559"/>
      <c r="S187" s="559"/>
      <c r="T187" s="559">
        <v>2</v>
      </c>
      <c r="U187" s="559" t="str">
        <f t="shared" si="53"/>
        <v>Customer connection</v>
      </c>
      <c r="V187" s="559">
        <f t="shared" si="54"/>
        <v>0.32100000000000001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51"/>
        <v>2</v>
      </c>
      <c r="B188" s="162" t="s">
        <v>209</v>
      </c>
      <c r="C188" s="121"/>
      <c r="D188" s="456">
        <f>VLOOKUP($D$6,'FS (2011)'!$A$13:$AH$244,'FS (2011)'!AB245,FALSE)/1000</f>
        <v>0.32100000000000001</v>
      </c>
      <c r="E188" s="468">
        <f t="shared" si="52"/>
        <v>0.2216919724715202</v>
      </c>
      <c r="Q188" s="559"/>
      <c r="R188" s="559"/>
      <c r="S188" s="559"/>
      <c r="T188" s="559">
        <v>3</v>
      </c>
      <c r="U188" s="559" t="str">
        <f t="shared" si="53"/>
        <v>Reliability, safety and environment</v>
      </c>
      <c r="V188" s="559">
        <f t="shared" si="54"/>
        <v>0.216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51"/>
        <v>1</v>
      </c>
      <c r="B189" s="162" t="s">
        <v>208</v>
      </c>
      <c r="C189" s="121"/>
      <c r="D189" s="456">
        <f>VLOOKUP($D$6,'FS (2011)'!$A$13:$AH$244,'FS (2011)'!AE245,FALSE)/1000</f>
        <v>0.73724699999999999</v>
      </c>
      <c r="E189" s="468">
        <f t="shared" si="52"/>
        <v>0.50916430413928615</v>
      </c>
      <c r="Q189" s="559"/>
      <c r="R189" s="559"/>
      <c r="S189" s="559"/>
      <c r="T189" s="559">
        <v>4</v>
      </c>
      <c r="U189" s="559" t="str">
        <f t="shared" si="53"/>
        <v>Non-network capex</v>
      </c>
      <c r="V189" s="559">
        <f t="shared" si="54"/>
        <v>0.15270800000000001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51"/>
        <v>4</v>
      </c>
      <c r="B190" s="162" t="s">
        <v>312</v>
      </c>
      <c r="C190" s="121"/>
      <c r="D190" s="456">
        <f>VLOOKUP($D$6,'FS (2011)'!$A$13:$AH$244,'FS (2011)'!AH245,FALSE)/1000</f>
        <v>0.15270800000000001</v>
      </c>
      <c r="E190" s="468">
        <f t="shared" si="52"/>
        <v>0.10546460352704333</v>
      </c>
      <c r="Q190" s="559"/>
      <c r="R190" s="559"/>
      <c r="S190" s="559"/>
      <c r="T190" s="559">
        <v>5</v>
      </c>
      <c r="U190" s="559" t="str">
        <f t="shared" si="53"/>
        <v>Asset relocations</v>
      </c>
      <c r="V190" s="559">
        <f t="shared" si="54"/>
        <v>2.1000000000000001E-2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51"/>
        <v>5</v>
      </c>
      <c r="B191" s="162" t="s">
        <v>207</v>
      </c>
      <c r="C191" s="121"/>
      <c r="D191" s="456">
        <f>VLOOKUP($D$6,'FS (2011)'!$A$13:$AH$244,'FS (2011)'!AF245,FALSE)/1000</f>
        <v>2.1000000000000001E-2</v>
      </c>
      <c r="E191" s="468">
        <f t="shared" si="52"/>
        <v>1.4503213152342443E-2</v>
      </c>
      <c r="Q191" s="559"/>
      <c r="R191" s="559"/>
      <c r="S191" s="559"/>
      <c r="T191" s="559">
        <v>6</v>
      </c>
      <c r="U191" s="559" t="str">
        <f t="shared" si="53"/>
        <v>System growth</v>
      </c>
      <c r="V191" s="559">
        <f t="shared" si="54"/>
        <v>0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1.4479549999999999</v>
      </c>
      <c r="E192" s="496">
        <f>SUM(E186:E191)</f>
        <v>1.0000000000000002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1.1988457700094093</v>
      </c>
      <c r="D196" s="484">
        <f>VLOOKUP($D$38,'FS (2011)'!$A$13:$AH$244,'FS (2011)'!$AG$245,FALSE)/1000</f>
        <v>1.0609326652481292</v>
      </c>
      <c r="E196" s="484">
        <f>VLOOKUP($E$38,'FS (2011)'!$A$13:$AH$244,'FS (2011)'!$AG$245,FALSE)/1000</f>
        <v>1.509914041658807</v>
      </c>
      <c r="F196" s="486">
        <f>VLOOKUP($F$38,'FS (2011)'!$A$13:$AH$244,'FS (2011)'!$AG$245,FALSE)/1000</f>
        <v>1.295247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1.5093381996521341E-2</v>
      </c>
      <c r="D197" s="456">
        <f>VLOOKUP($D$38,'FS (2011)'!$A$13:$AH$244,'FS (2011)'!$AH$245,FALSE)/1000</f>
        <v>0.25848555151348745</v>
      </c>
      <c r="E197" s="456">
        <f>VLOOKUP($E$38,'FS (2011)'!$A$13:$AH$244,'FS (2011)'!$AH$245,FALSE)/1000</f>
        <v>0.13754277707418286</v>
      </c>
      <c r="F197" s="457">
        <f>VLOOKUP($F$38,'FS (2011)'!$A$13:$AH$244,'FS (2011)'!$AH$245,FALSE)/1000</f>
        <v>0.15270800000000001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1.2139391520059306</v>
      </c>
      <c r="D198" s="488">
        <f>SUM(D196:D197)</f>
        <v>1.3194182167616166</v>
      </c>
      <c r="E198" s="488">
        <f>SUM(E196:E197)</f>
        <v>1.6474568187329899</v>
      </c>
      <c r="F198" s="489">
        <f>SUM(F196:F197)</f>
        <v>1.4479550000000001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55">IFERROR(EXP(SLOPE(S200:V200,$C$148:$F$148))-1,(IFERROR(EXP(SLOPE(T200:V200,$D$148:$F$148))-1,F200)))</f>
        <v>6.0237654541627217E-2</v>
      </c>
      <c r="D200" s="498">
        <f t="shared" ref="D200:F202" si="56">D196/C196 - 1</f>
        <v>-0.11503823778783284</v>
      </c>
      <c r="E200" s="498">
        <f t="shared" si="56"/>
        <v>0.42319497845385956</v>
      </c>
      <c r="F200" s="495">
        <f t="shared" si="56"/>
        <v>-0.14217169702122356</v>
      </c>
      <c r="Q200" s="559"/>
      <c r="R200" s="559" t="s">
        <v>423</v>
      </c>
      <c r="S200" s="559">
        <f t="shared" ref="S200:V202" si="57">LN(C196)</f>
        <v>0.18135923558590111</v>
      </c>
      <c r="T200" s="559">
        <f t="shared" si="57"/>
        <v>5.9148394138339964E-2</v>
      </c>
      <c r="U200" s="559">
        <f t="shared" si="57"/>
        <v>0.41205272315271352</v>
      </c>
      <c r="V200" s="559">
        <f t="shared" si="57"/>
        <v>0.25870141055489598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55"/>
        <v>0.87984793348412293</v>
      </c>
      <c r="D201" s="467">
        <f t="shared" si="56"/>
        <v>16.125754292382059</v>
      </c>
      <c r="E201" s="467">
        <f t="shared" si="56"/>
        <v>-0.4678898829399134</v>
      </c>
      <c r="F201" s="468">
        <f t="shared" si="56"/>
        <v>0.11025822837383803</v>
      </c>
      <c r="Q201" s="559"/>
      <c r="R201" s="559" t="s">
        <v>423</v>
      </c>
      <c r="S201" s="559">
        <f t="shared" si="57"/>
        <v>-4.1934989096093682</v>
      </c>
      <c r="T201" s="559">
        <f t="shared" si="57"/>
        <v>-1.3529154801606023</v>
      </c>
      <c r="U201" s="559">
        <f t="shared" si="57"/>
        <v>-1.983820304264889</v>
      </c>
      <c r="V201" s="559">
        <f t="shared" si="57"/>
        <v>-1.8792276778220813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55"/>
        <v>7.7979744291556852E-2</v>
      </c>
      <c r="D202" s="500">
        <f t="shared" si="56"/>
        <v>8.6889910899892175E-2</v>
      </c>
      <c r="E202" s="500">
        <f t="shared" si="56"/>
        <v>0.24862367201243596</v>
      </c>
      <c r="F202" s="501">
        <f t="shared" si="56"/>
        <v>-0.12109684239640384</v>
      </c>
      <c r="Q202" s="559"/>
      <c r="R202" s="559" t="s">
        <v>423</v>
      </c>
      <c r="S202" s="559">
        <f t="shared" si="57"/>
        <v>0.19387056947500911</v>
      </c>
      <c r="T202" s="559">
        <f t="shared" si="57"/>
        <v>0.27719089456414425</v>
      </c>
      <c r="U202" s="559">
        <f t="shared" si="57"/>
        <v>0.49923277687378814</v>
      </c>
      <c r="V202" s="559">
        <f t="shared" si="57"/>
        <v>0.37015221613254762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">
        <v>189</v>
      </c>
      <c r="C206" s="456">
        <f>(C198/C102)*1000000</f>
        <v>281.00443333470616</v>
      </c>
      <c r="D206" s="456">
        <f>(D198/D102)*1000000</f>
        <v>300.20892304018577</v>
      </c>
      <c r="E206" s="456">
        <f>(E198/E102)*1000000</f>
        <v>372.55920821641564</v>
      </c>
      <c r="F206" s="457">
        <f>(F198/F102)*1000000</f>
        <v>323.85484231715503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">
        <v>112</v>
      </c>
      <c r="C209" s="456">
        <f>(C198/C117)*1000000000</f>
        <v>27882.290229361261</v>
      </c>
      <c r="D209" s="456">
        <f>(D198/D117)*1000000000</f>
        <v>29212.431774096847</v>
      </c>
      <c r="E209" s="456">
        <f>(E198/E117)*1000000000</f>
        <v>34322.017056937293</v>
      </c>
      <c r="F209" s="457">
        <f>(F198/F117)*1000000000</f>
        <v>25897.989079201183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">
        <v>112</v>
      </c>
      <c r="C212" s="456">
        <f>(C198/VLOOKUP(C$38,'AV (2011)'!$A$11:$F$213,'AV (2011)'!$F$214,FALSE)*1000)</f>
        <v>4.4730705066745473E-2</v>
      </c>
      <c r="D212" s="456">
        <f>(D198/VLOOKUP(D$38,'AV (2011)'!$A$11:$F$213,'AV (2011)'!$F$214,FALSE)*1000)</f>
        <v>4.8226058873128121E-2</v>
      </c>
      <c r="E212" s="456">
        <f>(E198/VLOOKUP(E$38,'AV (2011)'!$A$11:$F$213,'AV (2011)'!$F$214,FALSE)*1000)</f>
        <v>5.9620714913209277E-2</v>
      </c>
      <c r="F212" s="457">
        <f>(F198/VLOOKUP(F$38,'AV (2011)'!$A$11:$F$213,'AV (2011)'!$F$214,FALSE)*1000)</f>
        <v>5.0657522186620139E-2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58">IFERROR(EXP(SLOPE(S215:V215,$C$195:$F$195))-1,(IFERROR(EXP(SLOPE(T215:V215,$D$195:$F$195))-1,F215)))</f>
        <v>6.627281668894347E-2</v>
      </c>
      <c r="D215" s="464">
        <f>D206/C206 - 1</f>
        <v>6.8342301498869995E-2</v>
      </c>
      <c r="E215" s="464">
        <f>E206/D206 - 1</f>
        <v>0.24099978256324217</v>
      </c>
      <c r="F215" s="465">
        <f>F206/E206 - 1</f>
        <v>-0.13072919639384883</v>
      </c>
      <c r="K215" s="139"/>
      <c r="P215" s="139"/>
      <c r="Q215" s="559"/>
      <c r="R215" s="559" t="s">
        <v>423</v>
      </c>
      <c r="S215" s="559">
        <f>LN(C206)</f>
        <v>5.6383704462011268</v>
      </c>
      <c r="T215" s="559">
        <f>LN(D206)</f>
        <v>5.7044786424091409</v>
      </c>
      <c r="U215" s="559">
        <f>LN(E206)</f>
        <v>5.9203959734206704</v>
      </c>
      <c r="V215" s="559">
        <f>LN(F206)</f>
        <v>5.7802953978628411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58"/>
        <v>-6.0105174290788765E-3</v>
      </c>
      <c r="D216" s="467">
        <f>D209/C209 - 1</f>
        <v>4.7705605737325296E-2</v>
      </c>
      <c r="E216" s="467">
        <f>E209/D209 - 1</f>
        <v>0.17491132961314104</v>
      </c>
      <c r="F216" s="468">
        <f>F209/E209 - 1</f>
        <v>-0.24544093558841162</v>
      </c>
      <c r="Q216" s="559"/>
      <c r="R216" s="559" t="s">
        <v>423</v>
      </c>
      <c r="S216" s="559">
        <f>LN(C209)</f>
        <v>10.235747007460539</v>
      </c>
      <c r="T216" s="559">
        <f>LN(D209)</f>
        <v>10.282349643340641</v>
      </c>
      <c r="U216" s="559">
        <f>LN(E209)</f>
        <v>10.443542323930171</v>
      </c>
      <c r="V216" s="559">
        <f>LN(F209)</f>
        <v>10.16192060294367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6.0285935469546637E-2</v>
      </c>
      <c r="D217" s="470">
        <f>D212/C212 - 1</f>
        <v>7.8142157633487086E-2</v>
      </c>
      <c r="E217" s="470">
        <f>E212/D212 - 1</f>
        <v>0.23627591195162601</v>
      </c>
      <c r="F217" s="471">
        <f>F212/E212 - 1</f>
        <v>-0.15033688776857146</v>
      </c>
      <c r="Q217" s="559"/>
      <c r="R217" s="559" t="s">
        <v>423</v>
      </c>
      <c r="S217" s="559">
        <f>LN(C212)</f>
        <v>-3.1070950989353538</v>
      </c>
      <c r="T217" s="559">
        <f>LN(D212)</f>
        <v>-3.0318557634976853</v>
      </c>
      <c r="U217" s="559">
        <f>LN(E212)</f>
        <v>-2.8197521996399106</v>
      </c>
      <c r="V217" s="559">
        <f>LN(F212)</f>
        <v>-2.9826675462518288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Buller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1509.914041658807</v>
      </c>
      <c r="X220" s="563">
        <f>D222</f>
        <v>1295.2470000000001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Buller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59">C223</f>
        <v>1847.1485543369888</v>
      </c>
      <c r="X221" s="563">
        <f t="shared" si="59"/>
        <v>839.5203578453827</v>
      </c>
      <c r="Y221" s="563">
        <f t="shared" si="59"/>
        <v>855.82172401713763</v>
      </c>
      <c r="Z221" s="563">
        <f t="shared" si="59"/>
        <v>798.76694241599512</v>
      </c>
      <c r="AA221" s="563">
        <f t="shared" si="59"/>
        <v>746.80633774352611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1509.914041658807</v>
      </c>
      <c r="D222" s="461">
        <f>VLOOKUP(D226,'FS (2011)'!$A$14:$AJ$245,'FS (2011)'!$AG$245,FALSE)</f>
        <v>1295.2470000000001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59"/>
        <v>1736</v>
      </c>
      <c r="Y222" s="563">
        <f t="shared" si="59"/>
        <v>1068</v>
      </c>
      <c r="Z222" s="563">
        <f t="shared" si="59"/>
        <v>1031</v>
      </c>
      <c r="AA222" s="563">
        <f t="shared" si="59"/>
        <v>990</v>
      </c>
      <c r="AB222" s="563">
        <f>H224</f>
        <v>990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1847.1485543369888</v>
      </c>
      <c r="D223" s="461">
        <f>VLOOKUP(D227,'AM (2011)'!$A$10:$N$444,'AM (2011)'!$J$445,FALSE)</f>
        <v>839.5203578453827</v>
      </c>
      <c r="E223" s="461">
        <f>VLOOKUP(E226,'AM (2011)'!$A$10:$N$444,'AM (2011)'!$J$445,FALSE)</f>
        <v>855.82172401713763</v>
      </c>
      <c r="F223" s="461">
        <f>VLOOKUP(F226,'AM (2011)'!$A$10:$N$444,'AM (2011)'!$J$445,FALSE)</f>
        <v>798.76694241599512</v>
      </c>
      <c r="G223" s="461">
        <f>VLOOKUP(G226,'AM (2011)'!$A$10:$N$444,'AM (2011)'!$J$445,FALSE)</f>
        <v>746.80633774352611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1593.5436328377505</v>
      </c>
      <c r="Z223" s="563">
        <f>F225</f>
        <v>1459.6077569489335</v>
      </c>
      <c r="AA223" s="563">
        <f>G225</f>
        <v>970.79069166127988</v>
      </c>
      <c r="AB223" s="563">
        <f>H225</f>
        <v>970.79069166127988</v>
      </c>
      <c r="AC223" s="563">
        <f>I225</f>
        <v>1069.5317388493859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1736</v>
      </c>
      <c r="E224" s="461">
        <f>VLOOKUP(E227,'AM (2011)'!$A$10:$N$444,'AM (2011)'!$J$445,FALSE)</f>
        <v>1068</v>
      </c>
      <c r="F224" s="461">
        <f>VLOOKUP(F227,'AM (2011)'!$A$10:$N$444,'AM (2011)'!$J$445,FALSE)</f>
        <v>1031</v>
      </c>
      <c r="G224" s="461">
        <f>VLOOKUP(G227,'AM (2011)'!$A$10:$N$444,'AM (2011)'!$J$445,FALSE)</f>
        <v>990</v>
      </c>
      <c r="H224" s="461">
        <f>VLOOKUP(H227,'AM (2011)'!$A$10:$N$444,'AM (2011)'!$J$445,FALSE)</f>
        <v>990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1593.5436328377505</v>
      </c>
      <c r="F225" s="493">
        <f>VLOOKUP(F228,'AM (2011)'!$A$10:$N$444,'AM (2011)'!$J$445,FALSE)</f>
        <v>1459.6077569489335</v>
      </c>
      <c r="G225" s="493">
        <f>VLOOKUP(G228,'AM (2011)'!$A$10:$N$444,'AM (2011)'!$J$445,FALSE)</f>
        <v>970.79069166127988</v>
      </c>
      <c r="H225" s="493">
        <f>VLOOKUP(H228,'AM (2011)'!$A$10:$N$444,'AM (2011)'!$J$445,FALSE)</f>
        <v>970.79069166127988</v>
      </c>
      <c r="I225" s="494">
        <f>VLOOKUP(I228,'AM (2011)'!$A$10:$N$444,'AM (2011)'!$J$445,FALSE)</f>
        <v>1069.5317388493859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53</v>
      </c>
      <c r="D226" s="136">
        <f>VLOOKUP($B$2,$B$257:$Y$286,9,FALSE)</f>
        <v>54</v>
      </c>
      <c r="E226" s="136">
        <f>VLOOKUP($B$2,$B$257:$Y$286,12,FALSE)</f>
        <v>57</v>
      </c>
      <c r="F226" s="136">
        <f>VLOOKUP($B$2,$B$257:$Y$286,13,FALSE)</f>
        <v>58</v>
      </c>
      <c r="G226" s="136">
        <f>VLOOKUP($B$2,$B$257:$Y$286,14,FALSE)</f>
        <v>59</v>
      </c>
      <c r="H226" s="136"/>
      <c r="I226" s="136"/>
      <c r="Q226" s="559"/>
      <c r="R226" s="559"/>
      <c r="S226" s="559"/>
      <c r="T226" s="559"/>
      <c r="U226" s="559"/>
      <c r="V226" s="559"/>
      <c r="W226" s="559"/>
      <c r="X226" s="559"/>
      <c r="Y226" s="559"/>
      <c r="Z226" s="559"/>
      <c r="AA226" s="559"/>
      <c r="AB226" s="559"/>
      <c r="AC226" s="559"/>
      <c r="AD226" s="559"/>
    </row>
    <row r="227" spans="2:30">
      <c r="C227" s="136">
        <f>VLOOKUP($B$2,$B$257:$Y$286,10,FALSE)</f>
        <v>55</v>
      </c>
      <c r="D227" s="136">
        <f>VLOOKUP($B$2,$B$257:$Y$286,11,FALSE)</f>
        <v>56</v>
      </c>
      <c r="E227" s="136">
        <f>VLOOKUP($B$2,$B$257:$Y$286,16,FALSE)</f>
        <v>61</v>
      </c>
      <c r="F227" s="136">
        <f>VLOOKUP($B$2,$B$257:$Y$286,17,FALSE)</f>
        <v>62</v>
      </c>
      <c r="G227" s="136">
        <f>VLOOKUP($B$2,$B$257:$Y$286,18,FALSE)</f>
        <v>63</v>
      </c>
      <c r="H227" s="136">
        <f>VLOOKUP($B$2,$B$257:$Y$286,19,FALSE)</f>
        <v>64</v>
      </c>
      <c r="I227" s="136"/>
      <c r="Q227" s="559"/>
      <c r="R227" s="559"/>
      <c r="S227" s="559"/>
      <c r="T227" s="559"/>
      <c r="U227" s="559"/>
      <c r="V227" s="559"/>
      <c r="W227" s="559"/>
      <c r="X227" s="559"/>
      <c r="Y227" s="559"/>
      <c r="Z227" s="559"/>
      <c r="AA227" s="559"/>
      <c r="AB227" s="559"/>
      <c r="AC227" s="559"/>
      <c r="AD227" s="559"/>
    </row>
    <row r="228" spans="2:30">
      <c r="B228" s="517" t="s">
        <v>291</v>
      </c>
      <c r="C228" s="518"/>
      <c r="D228" s="518">
        <f>VLOOKUP($B$2,$B$257:$Y$286,15,FALSE)</f>
        <v>60</v>
      </c>
      <c r="E228" s="518">
        <f>VLOOKUP($B$2,$B$257:$Y$286,20,FALSE)</f>
        <v>65</v>
      </c>
      <c r="F228" s="519">
        <f>VLOOKUP($B$2,$B$257:$Y$286,21,FALSE)</f>
        <v>66</v>
      </c>
      <c r="G228" s="136">
        <f>VLOOKUP($B$2,$B$257:$Y$286,22,FALSE)</f>
        <v>67</v>
      </c>
      <c r="H228" s="136">
        <f>VLOOKUP($B$2,$B$257:$Y$286,23,FALSE)</f>
        <v>68</v>
      </c>
      <c r="I228" s="136">
        <f>VLOOKUP($B$2,$B$257:$Y$286,24,FALSE)</f>
        <v>69</v>
      </c>
    </row>
    <row r="229" spans="2:30">
      <c r="B229" s="474" t="str">
        <f>$B$2</f>
        <v>Buller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251</v>
      </c>
      <c r="D230" s="456">
        <f>VLOOKUP(D$38,'MP (2011)'!$A$11:$AR$245,'MP (2011)'!$S$246,FALSE)+VLOOKUP(D$38,'MP (2011)'!$A$11:$AR$245,'MP (2011)'!$T$246,FALSE)</f>
        <v>249.31</v>
      </c>
      <c r="E230" s="456">
        <f>VLOOKUP(E$38,'MP (2011)'!$A$11:$AR$245,'MP (2011)'!$S$246,FALSE)+VLOOKUP(E$38,'MP (2011)'!$A$11:$AR$245,'MP (2011)'!$T$246,FALSE)</f>
        <v>302.3</v>
      </c>
      <c r="F230" s="457">
        <f>VLOOKUP(F$38,'MP (2011)'!$A$11:$AR$245,'MP (2011)'!$S$246,FALSE)+VLOOKUP(F$38,'MP (2011)'!$A$11:$AR$245,'MP (2011)'!$T$246,FALSE)</f>
        <v>288.60000000000002</v>
      </c>
    </row>
    <row r="231" spans="2:30">
      <c r="B231" s="199" t="s">
        <v>292</v>
      </c>
      <c r="C231" s="456" t="str">
        <f>IF(ISERROR(VLOOKUP(C$38,'Compliance data'!$A$7:$E$74,'Compliance data'!$D$75,FALSE)),"",(VLOOKUP(C$38,'Compliance data'!$A$7:$E$74,'Compliance data'!$D$75,FALSE)))</f>
        <v/>
      </c>
      <c r="D231" s="456" t="str">
        <f>IF(ISERROR(VLOOKUP(D$38,'Compliance data'!$A$7:$E$74,'Compliance data'!$D$75,FALSE)),"",(VLOOKUP(D$38,'Compliance data'!$A$7:$E$74,'Compliance data'!$D$75,FALSE)))</f>
        <v/>
      </c>
      <c r="E231" s="456" t="str">
        <f>IF(ISERROR(VLOOKUP(E$38,'Compliance data'!$A$7:$E$74,'Compliance data'!$D$75,FALSE)),"",(VLOOKUP(E$38,'Compliance data'!$A$7:$E$74,'Compliance data'!$D$75,FALSE)))</f>
        <v/>
      </c>
      <c r="F231" s="457" t="str">
        <f>IF(ISERROR(VLOOKUP(F$38,'Compliance data'!$A$7:$E$74,'Compliance data'!$D$75,FALSE)),"",(VLOOKUP(F$38,'Compliance data'!$A$7:$E$74,'Compliance data'!$D$75,FALSE)))</f>
        <v/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2.06</v>
      </c>
      <c r="D237" s="456">
        <f>VLOOKUP(D$38,'MP (2011)'!$A$11:$AR$245,'MP (2011)'!$W$246,FALSE)+VLOOKUP(D$38,'MP (2011)'!$A$11:$AR$245,'MP (2011)'!$X$246,FALSE)</f>
        <v>1.52</v>
      </c>
      <c r="E237" s="456">
        <f>VLOOKUP(E$38,'MP (2011)'!$A$11:$AR$245,'MP (2011)'!$W$246,FALSE)+VLOOKUP(E$38,'MP (2011)'!$A$11:$AR$245,'MP (2011)'!$X$246,FALSE)</f>
        <v>2.2400000000000002</v>
      </c>
      <c r="F237" s="457">
        <f>VLOOKUP(F$38,'MP (2011)'!$A$11:$AR$245,'MP (2011)'!$W$246,FALSE)+VLOOKUP(F$38,'MP (2011)'!$A$11:$AR$245,'MP (2011)'!$X$246,FALSE)</f>
        <v>2.0700000000000003</v>
      </c>
    </row>
    <row r="238" spans="2:30">
      <c r="B238" s="199" t="s">
        <v>292</v>
      </c>
      <c r="C238" s="456" t="str">
        <f>IF(ISERROR(VLOOKUP(C$38,'Compliance data'!$A$7:$E$74,'Compliance data'!$E$75,FALSE)),"",(VLOOKUP(C$38,'Compliance data'!$A$7:$E$74,'Compliance data'!$E$75,FALSE)))</f>
        <v/>
      </c>
      <c r="D238" s="456" t="str">
        <f>IF(ISERROR(VLOOKUP(D$38,'Compliance data'!$A$7:$E$74,'Compliance data'!$E$75,FALSE)),"",(VLOOKUP(D$38,'Compliance data'!$A$7:$E$74,'Compliance data'!$E$75,FALSE)))</f>
        <v/>
      </c>
      <c r="E238" s="456" t="str">
        <f>IF(ISERROR(VLOOKUP(E$38,'Compliance data'!$A$7:$E$74,'Compliance data'!$E$75,FALSE)),"",(VLOOKUP(E$38,'Compliance data'!$A$7:$E$74,'Compliance data'!$E$75,FALSE)))</f>
        <v/>
      </c>
      <c r="F238" s="457" t="str">
        <f>IF(ISERROR(VLOOKUP(F$38,'Compliance data'!$A$7:$E$74,'Compliance data'!$E$75,FALSE)),"",(VLOOKUP(F$38,'Compliance data'!$A$7:$E$74,'Compliance data'!$E$75,FALSE)))</f>
        <v/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Y258" si="60">C258+1</f>
        <v>2</v>
      </c>
      <c r="E258" s="526">
        <f t="shared" si="60"/>
        <v>3</v>
      </c>
      <c r="F258" s="526">
        <f t="shared" si="60"/>
        <v>4</v>
      </c>
      <c r="G258" s="526">
        <f t="shared" si="60"/>
        <v>5</v>
      </c>
      <c r="H258" s="526">
        <f t="shared" si="60"/>
        <v>6</v>
      </c>
      <c r="I258" s="526">
        <f t="shared" si="60"/>
        <v>7</v>
      </c>
      <c r="J258" s="526">
        <f t="shared" si="60"/>
        <v>8</v>
      </c>
      <c r="K258" s="526">
        <f t="shared" si="60"/>
        <v>9</v>
      </c>
      <c r="L258" s="526">
        <f t="shared" si="60"/>
        <v>10</v>
      </c>
      <c r="M258" s="526">
        <f t="shared" si="60"/>
        <v>11</v>
      </c>
      <c r="N258" s="526">
        <f t="shared" si="60"/>
        <v>12</v>
      </c>
      <c r="O258" s="526">
        <f t="shared" si="60"/>
        <v>13</v>
      </c>
      <c r="P258" s="526">
        <f t="shared" si="60"/>
        <v>14</v>
      </c>
      <c r="Q258" s="526">
        <f t="shared" si="60"/>
        <v>15</v>
      </c>
      <c r="R258" s="526">
        <f t="shared" si="60"/>
        <v>16</v>
      </c>
      <c r="S258" s="526">
        <f t="shared" si="60"/>
        <v>17</v>
      </c>
      <c r="T258" s="526">
        <f t="shared" si="60"/>
        <v>18</v>
      </c>
      <c r="U258" s="526">
        <f t="shared" si="60"/>
        <v>19</v>
      </c>
      <c r="V258" s="526">
        <f t="shared" si="60"/>
        <v>20</v>
      </c>
      <c r="W258" s="526">
        <f t="shared" si="60"/>
        <v>21</v>
      </c>
      <c r="X258" s="526">
        <f t="shared" si="60"/>
        <v>22</v>
      </c>
      <c r="Y258" s="526">
        <f t="shared" si="60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ref="D259:S274" si="61">C259+1</f>
        <v>25</v>
      </c>
      <c r="E259" s="526">
        <f t="shared" si="61"/>
        <v>26</v>
      </c>
      <c r="F259" s="526">
        <f t="shared" si="61"/>
        <v>27</v>
      </c>
      <c r="G259" s="526">
        <f t="shared" si="61"/>
        <v>28</v>
      </c>
      <c r="H259" s="526">
        <f t="shared" si="61"/>
        <v>29</v>
      </c>
      <c r="I259" s="526">
        <f t="shared" si="61"/>
        <v>30</v>
      </c>
      <c r="J259" s="526">
        <f t="shared" si="61"/>
        <v>31</v>
      </c>
      <c r="K259" s="526">
        <f t="shared" si="61"/>
        <v>32</v>
      </c>
      <c r="L259" s="526">
        <f t="shared" si="61"/>
        <v>33</v>
      </c>
      <c r="M259" s="526">
        <f t="shared" si="61"/>
        <v>34</v>
      </c>
      <c r="N259" s="526">
        <f t="shared" si="61"/>
        <v>35</v>
      </c>
      <c r="O259" s="526">
        <f t="shared" si="61"/>
        <v>36</v>
      </c>
      <c r="P259" s="526">
        <f t="shared" si="61"/>
        <v>37</v>
      </c>
      <c r="Q259" s="526">
        <f t="shared" si="61"/>
        <v>38</v>
      </c>
      <c r="R259" s="526">
        <f t="shared" si="61"/>
        <v>39</v>
      </c>
      <c r="S259" s="526">
        <f t="shared" si="61"/>
        <v>40</v>
      </c>
      <c r="T259" s="526">
        <f t="shared" ref="T259:Y273" si="62">S259+1</f>
        <v>41</v>
      </c>
      <c r="U259" s="526">
        <f t="shared" si="62"/>
        <v>42</v>
      </c>
      <c r="V259" s="526">
        <f t="shared" si="62"/>
        <v>43</v>
      </c>
      <c r="W259" s="526">
        <f t="shared" si="62"/>
        <v>44</v>
      </c>
      <c r="X259" s="526">
        <f t="shared" si="62"/>
        <v>45</v>
      </c>
      <c r="Y259" s="526">
        <f t="shared" si="62"/>
        <v>46</v>
      </c>
    </row>
    <row r="260" spans="2:25" s="526" customFormat="1" ht="15.75">
      <c r="B260" s="530" t="s">
        <v>31</v>
      </c>
      <c r="C260" s="526">
        <f t="shared" ref="C260:C286" si="63">Y259+1</f>
        <v>47</v>
      </c>
      <c r="D260" s="526">
        <f t="shared" si="61"/>
        <v>48</v>
      </c>
      <c r="E260" s="526">
        <f t="shared" si="61"/>
        <v>49</v>
      </c>
      <c r="F260" s="526">
        <f t="shared" si="61"/>
        <v>50</v>
      </c>
      <c r="G260" s="526">
        <f t="shared" si="61"/>
        <v>51</v>
      </c>
      <c r="H260" s="526">
        <f t="shared" si="61"/>
        <v>52</v>
      </c>
      <c r="I260" s="526">
        <f t="shared" si="61"/>
        <v>53</v>
      </c>
      <c r="J260" s="526">
        <f t="shared" si="61"/>
        <v>54</v>
      </c>
      <c r="K260" s="526">
        <f t="shared" si="61"/>
        <v>55</v>
      </c>
      <c r="L260" s="526">
        <f t="shared" si="61"/>
        <v>56</v>
      </c>
      <c r="M260" s="526">
        <f t="shared" si="61"/>
        <v>57</v>
      </c>
      <c r="N260" s="526">
        <f t="shared" si="61"/>
        <v>58</v>
      </c>
      <c r="O260" s="526">
        <f t="shared" si="61"/>
        <v>59</v>
      </c>
      <c r="P260" s="526">
        <f t="shared" si="61"/>
        <v>60</v>
      </c>
      <c r="Q260" s="526">
        <f t="shared" si="61"/>
        <v>61</v>
      </c>
      <c r="R260" s="526">
        <f t="shared" si="61"/>
        <v>62</v>
      </c>
      <c r="S260" s="526">
        <f t="shared" si="61"/>
        <v>63</v>
      </c>
      <c r="T260" s="526">
        <f t="shared" si="62"/>
        <v>64</v>
      </c>
      <c r="U260" s="526">
        <f t="shared" si="62"/>
        <v>65</v>
      </c>
      <c r="V260" s="526">
        <f t="shared" si="62"/>
        <v>66</v>
      </c>
      <c r="W260" s="526">
        <f t="shared" si="62"/>
        <v>67</v>
      </c>
      <c r="X260" s="526">
        <f t="shared" si="62"/>
        <v>68</v>
      </c>
      <c r="Y260" s="526">
        <f t="shared" si="62"/>
        <v>69</v>
      </c>
    </row>
    <row r="261" spans="2:25" s="526" customFormat="1" ht="15.75">
      <c r="B261" s="530" t="s">
        <v>32</v>
      </c>
      <c r="C261" s="526">
        <f t="shared" si="63"/>
        <v>70</v>
      </c>
      <c r="D261" s="526">
        <f t="shared" si="61"/>
        <v>71</v>
      </c>
      <c r="E261" s="526">
        <f t="shared" si="61"/>
        <v>72</v>
      </c>
      <c r="F261" s="526">
        <f t="shared" si="61"/>
        <v>73</v>
      </c>
      <c r="G261" s="526">
        <f t="shared" si="61"/>
        <v>74</v>
      </c>
      <c r="H261" s="526">
        <f t="shared" si="61"/>
        <v>75</v>
      </c>
      <c r="I261" s="526">
        <f t="shared" si="61"/>
        <v>76</v>
      </c>
      <c r="J261" s="526">
        <f t="shared" si="61"/>
        <v>77</v>
      </c>
      <c r="K261" s="526">
        <f t="shared" si="61"/>
        <v>78</v>
      </c>
      <c r="L261" s="526">
        <f t="shared" si="61"/>
        <v>79</v>
      </c>
      <c r="M261" s="526">
        <f t="shared" si="61"/>
        <v>80</v>
      </c>
      <c r="N261" s="526">
        <f t="shared" si="61"/>
        <v>81</v>
      </c>
      <c r="O261" s="526">
        <f t="shared" si="61"/>
        <v>82</v>
      </c>
      <c r="P261" s="526">
        <f t="shared" si="61"/>
        <v>83</v>
      </c>
      <c r="Q261" s="526">
        <f t="shared" si="61"/>
        <v>84</v>
      </c>
      <c r="R261" s="526">
        <f t="shared" si="61"/>
        <v>85</v>
      </c>
      <c r="S261" s="526">
        <f t="shared" si="61"/>
        <v>86</v>
      </c>
      <c r="T261" s="526">
        <f t="shared" si="62"/>
        <v>87</v>
      </c>
      <c r="U261" s="526">
        <f t="shared" si="62"/>
        <v>88</v>
      </c>
      <c r="V261" s="526">
        <f t="shared" si="62"/>
        <v>89</v>
      </c>
      <c r="W261" s="526">
        <f t="shared" si="62"/>
        <v>90</v>
      </c>
      <c r="X261" s="526">
        <f t="shared" si="62"/>
        <v>91</v>
      </c>
      <c r="Y261" s="526">
        <f t="shared" si="62"/>
        <v>92</v>
      </c>
    </row>
    <row r="262" spans="2:25" s="526" customFormat="1" ht="15.75">
      <c r="B262" s="530" t="s">
        <v>33</v>
      </c>
      <c r="C262" s="526">
        <f t="shared" si="63"/>
        <v>93</v>
      </c>
      <c r="D262" s="526">
        <f t="shared" si="61"/>
        <v>94</v>
      </c>
      <c r="E262" s="526">
        <f t="shared" si="61"/>
        <v>95</v>
      </c>
      <c r="F262" s="526">
        <f t="shared" si="61"/>
        <v>96</v>
      </c>
      <c r="G262" s="526">
        <f t="shared" si="61"/>
        <v>97</v>
      </c>
      <c r="H262" s="526">
        <f t="shared" si="61"/>
        <v>98</v>
      </c>
      <c r="I262" s="526">
        <f t="shared" si="61"/>
        <v>99</v>
      </c>
      <c r="J262" s="526">
        <f t="shared" si="61"/>
        <v>100</v>
      </c>
      <c r="K262" s="526">
        <f t="shared" si="61"/>
        <v>101</v>
      </c>
      <c r="L262" s="526">
        <f t="shared" si="61"/>
        <v>102</v>
      </c>
      <c r="M262" s="526">
        <f t="shared" si="61"/>
        <v>103</v>
      </c>
      <c r="N262" s="526">
        <f t="shared" si="61"/>
        <v>104</v>
      </c>
      <c r="O262" s="526">
        <f t="shared" si="61"/>
        <v>105</v>
      </c>
      <c r="P262" s="526">
        <f t="shared" si="61"/>
        <v>106</v>
      </c>
      <c r="Q262" s="526">
        <f t="shared" si="61"/>
        <v>107</v>
      </c>
      <c r="R262" s="526">
        <f t="shared" si="61"/>
        <v>108</v>
      </c>
      <c r="S262" s="526">
        <f t="shared" si="61"/>
        <v>109</v>
      </c>
      <c r="T262" s="526">
        <f t="shared" si="62"/>
        <v>110</v>
      </c>
      <c r="U262" s="526">
        <f t="shared" si="62"/>
        <v>111</v>
      </c>
      <c r="V262" s="526">
        <f t="shared" si="62"/>
        <v>112</v>
      </c>
      <c r="W262" s="526">
        <f t="shared" si="62"/>
        <v>113</v>
      </c>
      <c r="X262" s="526">
        <f t="shared" si="62"/>
        <v>114</v>
      </c>
      <c r="Y262" s="526">
        <f t="shared" si="62"/>
        <v>115</v>
      </c>
    </row>
    <row r="263" spans="2:25" s="526" customFormat="1" ht="15.75">
      <c r="B263" s="530" t="s">
        <v>34</v>
      </c>
      <c r="C263" s="526">
        <f t="shared" si="63"/>
        <v>116</v>
      </c>
      <c r="D263" s="526">
        <f t="shared" si="61"/>
        <v>117</v>
      </c>
      <c r="E263" s="526">
        <f t="shared" si="61"/>
        <v>118</v>
      </c>
      <c r="F263" s="526">
        <f t="shared" si="61"/>
        <v>119</v>
      </c>
      <c r="G263" s="526">
        <f t="shared" si="61"/>
        <v>120</v>
      </c>
      <c r="H263" s="526">
        <f t="shared" si="61"/>
        <v>121</v>
      </c>
      <c r="I263" s="526">
        <f t="shared" si="61"/>
        <v>122</v>
      </c>
      <c r="J263" s="526">
        <f t="shared" si="61"/>
        <v>123</v>
      </c>
      <c r="K263" s="526">
        <f t="shared" si="61"/>
        <v>124</v>
      </c>
      <c r="L263" s="526">
        <f t="shared" si="61"/>
        <v>125</v>
      </c>
      <c r="M263" s="526">
        <f t="shared" si="61"/>
        <v>126</v>
      </c>
      <c r="N263" s="526">
        <f t="shared" si="61"/>
        <v>127</v>
      </c>
      <c r="O263" s="526">
        <f t="shared" si="61"/>
        <v>128</v>
      </c>
      <c r="P263" s="526">
        <f t="shared" si="61"/>
        <v>129</v>
      </c>
      <c r="Q263" s="526">
        <f t="shared" si="61"/>
        <v>130</v>
      </c>
      <c r="R263" s="526">
        <f t="shared" si="61"/>
        <v>131</v>
      </c>
      <c r="S263" s="526">
        <f t="shared" si="61"/>
        <v>132</v>
      </c>
      <c r="T263" s="526">
        <f t="shared" si="62"/>
        <v>133</v>
      </c>
      <c r="U263" s="526">
        <f t="shared" si="62"/>
        <v>134</v>
      </c>
      <c r="V263" s="526">
        <f t="shared" si="62"/>
        <v>135</v>
      </c>
      <c r="W263" s="526">
        <f t="shared" si="62"/>
        <v>136</v>
      </c>
      <c r="X263" s="526">
        <f t="shared" si="62"/>
        <v>137</v>
      </c>
      <c r="Y263" s="526">
        <f t="shared" si="62"/>
        <v>138</v>
      </c>
    </row>
    <row r="264" spans="2:25" s="526" customFormat="1" ht="15.75">
      <c r="B264" s="530" t="s">
        <v>35</v>
      </c>
      <c r="C264" s="526">
        <f t="shared" si="63"/>
        <v>139</v>
      </c>
      <c r="D264" s="526">
        <f t="shared" si="61"/>
        <v>140</v>
      </c>
      <c r="E264" s="526">
        <f t="shared" si="61"/>
        <v>141</v>
      </c>
      <c r="F264" s="526">
        <f t="shared" si="61"/>
        <v>142</v>
      </c>
      <c r="G264" s="526">
        <f t="shared" si="61"/>
        <v>143</v>
      </c>
      <c r="H264" s="526">
        <f t="shared" si="61"/>
        <v>144</v>
      </c>
      <c r="I264" s="526">
        <f t="shared" si="61"/>
        <v>145</v>
      </c>
      <c r="J264" s="526">
        <f t="shared" si="61"/>
        <v>146</v>
      </c>
      <c r="K264" s="526">
        <f t="shared" si="61"/>
        <v>147</v>
      </c>
      <c r="L264" s="526">
        <f t="shared" si="61"/>
        <v>148</v>
      </c>
      <c r="M264" s="526">
        <f t="shared" si="61"/>
        <v>149</v>
      </c>
      <c r="N264" s="526">
        <f t="shared" si="61"/>
        <v>150</v>
      </c>
      <c r="O264" s="526">
        <f t="shared" si="61"/>
        <v>151</v>
      </c>
      <c r="P264" s="526">
        <f t="shared" si="61"/>
        <v>152</v>
      </c>
      <c r="Q264" s="526">
        <f t="shared" si="61"/>
        <v>153</v>
      </c>
      <c r="R264" s="526">
        <f t="shared" si="61"/>
        <v>154</v>
      </c>
      <c r="S264" s="526">
        <f t="shared" si="61"/>
        <v>155</v>
      </c>
      <c r="T264" s="526">
        <f t="shared" si="62"/>
        <v>156</v>
      </c>
      <c r="U264" s="526">
        <f t="shared" si="62"/>
        <v>157</v>
      </c>
      <c r="V264" s="526">
        <f t="shared" si="62"/>
        <v>158</v>
      </c>
      <c r="W264" s="526">
        <f t="shared" si="62"/>
        <v>159</v>
      </c>
      <c r="X264" s="526">
        <f t="shared" si="62"/>
        <v>160</v>
      </c>
      <c r="Y264" s="526">
        <f t="shared" si="62"/>
        <v>161</v>
      </c>
    </row>
    <row r="265" spans="2:25" s="526" customFormat="1" ht="15.75">
      <c r="B265" s="530" t="s">
        <v>115</v>
      </c>
      <c r="C265" s="526">
        <f t="shared" si="63"/>
        <v>162</v>
      </c>
      <c r="D265" s="526">
        <f t="shared" si="61"/>
        <v>163</v>
      </c>
      <c r="E265" s="526">
        <f t="shared" si="61"/>
        <v>164</v>
      </c>
      <c r="F265" s="526">
        <f t="shared" si="61"/>
        <v>165</v>
      </c>
      <c r="G265" s="526">
        <f t="shared" si="61"/>
        <v>166</v>
      </c>
      <c r="H265" s="526">
        <f t="shared" si="61"/>
        <v>167</v>
      </c>
      <c r="I265" s="526">
        <f t="shared" si="61"/>
        <v>168</v>
      </c>
      <c r="J265" s="526">
        <f t="shared" si="61"/>
        <v>169</v>
      </c>
      <c r="K265" s="526">
        <f t="shared" si="61"/>
        <v>170</v>
      </c>
      <c r="L265" s="526">
        <f t="shared" si="61"/>
        <v>171</v>
      </c>
      <c r="M265" s="526">
        <f t="shared" si="61"/>
        <v>172</v>
      </c>
      <c r="N265" s="526">
        <f t="shared" si="61"/>
        <v>173</v>
      </c>
      <c r="O265" s="526">
        <f t="shared" si="61"/>
        <v>174</v>
      </c>
      <c r="P265" s="526">
        <f t="shared" si="61"/>
        <v>175</v>
      </c>
      <c r="Q265" s="526">
        <f t="shared" si="61"/>
        <v>176</v>
      </c>
      <c r="R265" s="526">
        <f t="shared" si="61"/>
        <v>177</v>
      </c>
      <c r="S265" s="526">
        <f t="shared" si="61"/>
        <v>178</v>
      </c>
      <c r="T265" s="526">
        <f t="shared" si="62"/>
        <v>179</v>
      </c>
      <c r="U265" s="526">
        <f t="shared" si="62"/>
        <v>180</v>
      </c>
      <c r="V265" s="526">
        <f t="shared" si="62"/>
        <v>181</v>
      </c>
      <c r="W265" s="526">
        <f t="shared" si="62"/>
        <v>182</v>
      </c>
      <c r="X265" s="526">
        <f t="shared" si="62"/>
        <v>183</v>
      </c>
      <c r="Y265" s="526">
        <f t="shared" si="62"/>
        <v>184</v>
      </c>
    </row>
    <row r="266" spans="2:25" s="526" customFormat="1" ht="15.75">
      <c r="B266" s="530" t="s">
        <v>116</v>
      </c>
      <c r="C266" s="526">
        <f t="shared" si="63"/>
        <v>185</v>
      </c>
      <c r="D266" s="526">
        <f t="shared" si="61"/>
        <v>186</v>
      </c>
      <c r="E266" s="526">
        <f t="shared" si="61"/>
        <v>187</v>
      </c>
      <c r="F266" s="526">
        <f t="shared" si="61"/>
        <v>188</v>
      </c>
      <c r="G266" s="526">
        <f t="shared" si="61"/>
        <v>189</v>
      </c>
      <c r="H266" s="526">
        <f t="shared" si="61"/>
        <v>190</v>
      </c>
      <c r="I266" s="526">
        <f t="shared" si="61"/>
        <v>191</v>
      </c>
      <c r="J266" s="526">
        <f t="shared" si="61"/>
        <v>192</v>
      </c>
      <c r="K266" s="526">
        <f t="shared" si="61"/>
        <v>193</v>
      </c>
      <c r="L266" s="526">
        <f t="shared" si="61"/>
        <v>194</v>
      </c>
      <c r="M266" s="526">
        <f t="shared" si="61"/>
        <v>195</v>
      </c>
      <c r="N266" s="526">
        <f t="shared" si="61"/>
        <v>196</v>
      </c>
      <c r="O266" s="526">
        <f t="shared" si="61"/>
        <v>197</v>
      </c>
      <c r="P266" s="526">
        <f t="shared" si="61"/>
        <v>198</v>
      </c>
      <c r="Q266" s="526">
        <f t="shared" si="61"/>
        <v>199</v>
      </c>
      <c r="R266" s="526">
        <f t="shared" si="61"/>
        <v>200</v>
      </c>
      <c r="S266" s="526">
        <f t="shared" si="61"/>
        <v>201</v>
      </c>
      <c r="T266" s="526">
        <f t="shared" si="62"/>
        <v>202</v>
      </c>
      <c r="U266" s="526">
        <f t="shared" si="62"/>
        <v>203</v>
      </c>
      <c r="V266" s="526">
        <f t="shared" si="62"/>
        <v>204</v>
      </c>
      <c r="W266" s="526">
        <f t="shared" si="62"/>
        <v>205</v>
      </c>
      <c r="X266" s="526">
        <f t="shared" si="62"/>
        <v>206</v>
      </c>
      <c r="Y266" s="526">
        <f t="shared" si="62"/>
        <v>207</v>
      </c>
    </row>
    <row r="267" spans="2:25" s="526" customFormat="1" ht="15.75">
      <c r="B267" s="530" t="s">
        <v>38</v>
      </c>
      <c r="C267" s="526">
        <f t="shared" si="63"/>
        <v>208</v>
      </c>
      <c r="D267" s="526">
        <f t="shared" si="61"/>
        <v>209</v>
      </c>
      <c r="E267" s="526">
        <f t="shared" si="61"/>
        <v>210</v>
      </c>
      <c r="F267" s="526">
        <f t="shared" si="61"/>
        <v>211</v>
      </c>
      <c r="G267" s="526">
        <f t="shared" si="61"/>
        <v>212</v>
      </c>
      <c r="H267" s="526">
        <f t="shared" si="61"/>
        <v>213</v>
      </c>
      <c r="I267" s="526">
        <f t="shared" si="61"/>
        <v>214</v>
      </c>
      <c r="J267" s="526">
        <f t="shared" si="61"/>
        <v>215</v>
      </c>
      <c r="K267" s="526">
        <f t="shared" si="61"/>
        <v>216</v>
      </c>
      <c r="L267" s="526">
        <f t="shared" si="61"/>
        <v>217</v>
      </c>
      <c r="M267" s="526">
        <f t="shared" si="61"/>
        <v>218</v>
      </c>
      <c r="N267" s="526">
        <f t="shared" si="61"/>
        <v>219</v>
      </c>
      <c r="O267" s="526">
        <f t="shared" si="61"/>
        <v>220</v>
      </c>
      <c r="P267" s="526">
        <f t="shared" si="61"/>
        <v>221</v>
      </c>
      <c r="Q267" s="526">
        <f t="shared" si="61"/>
        <v>222</v>
      </c>
      <c r="R267" s="526">
        <f t="shared" si="61"/>
        <v>223</v>
      </c>
      <c r="S267" s="526">
        <f t="shared" si="61"/>
        <v>224</v>
      </c>
      <c r="T267" s="526">
        <f t="shared" si="62"/>
        <v>225</v>
      </c>
      <c r="U267" s="526">
        <f t="shared" si="62"/>
        <v>226</v>
      </c>
      <c r="V267" s="526">
        <f t="shared" si="62"/>
        <v>227</v>
      </c>
      <c r="W267" s="526">
        <f t="shared" si="62"/>
        <v>228</v>
      </c>
      <c r="X267" s="526">
        <f t="shared" si="62"/>
        <v>229</v>
      </c>
      <c r="Y267" s="526">
        <f t="shared" si="62"/>
        <v>230</v>
      </c>
    </row>
    <row r="268" spans="2:25" s="526" customFormat="1" ht="15.75">
      <c r="B268" s="530" t="s">
        <v>39</v>
      </c>
      <c r="C268" s="526">
        <f t="shared" si="63"/>
        <v>231</v>
      </c>
      <c r="D268" s="526">
        <f t="shared" si="61"/>
        <v>232</v>
      </c>
      <c r="E268" s="526">
        <f t="shared" si="61"/>
        <v>233</v>
      </c>
      <c r="F268" s="526">
        <f t="shared" si="61"/>
        <v>234</v>
      </c>
      <c r="G268" s="526">
        <f t="shared" si="61"/>
        <v>235</v>
      </c>
      <c r="H268" s="526">
        <f t="shared" si="61"/>
        <v>236</v>
      </c>
      <c r="I268" s="526">
        <f t="shared" si="61"/>
        <v>237</v>
      </c>
      <c r="J268" s="526">
        <f t="shared" si="61"/>
        <v>238</v>
      </c>
      <c r="K268" s="526">
        <f t="shared" si="61"/>
        <v>239</v>
      </c>
      <c r="L268" s="526">
        <f t="shared" si="61"/>
        <v>240</v>
      </c>
      <c r="M268" s="526">
        <f t="shared" si="61"/>
        <v>241</v>
      </c>
      <c r="N268" s="526">
        <f t="shared" si="61"/>
        <v>242</v>
      </c>
      <c r="O268" s="526">
        <f t="shared" si="61"/>
        <v>243</v>
      </c>
      <c r="P268" s="526">
        <f t="shared" si="61"/>
        <v>244</v>
      </c>
      <c r="Q268" s="526">
        <f t="shared" si="61"/>
        <v>245</v>
      </c>
      <c r="R268" s="526">
        <f t="shared" si="61"/>
        <v>246</v>
      </c>
      <c r="S268" s="526">
        <f t="shared" si="61"/>
        <v>247</v>
      </c>
      <c r="T268" s="526">
        <f t="shared" si="62"/>
        <v>248</v>
      </c>
      <c r="U268" s="526">
        <f t="shared" si="62"/>
        <v>249</v>
      </c>
      <c r="V268" s="526">
        <f t="shared" si="62"/>
        <v>250</v>
      </c>
      <c r="W268" s="526">
        <f t="shared" si="62"/>
        <v>251</v>
      </c>
      <c r="X268" s="526">
        <f t="shared" si="62"/>
        <v>252</v>
      </c>
      <c r="Y268" s="526">
        <f t="shared" si="62"/>
        <v>253</v>
      </c>
    </row>
    <row r="269" spans="2:25" s="526" customFormat="1" ht="15.75">
      <c r="B269" s="530" t="s">
        <v>40</v>
      </c>
      <c r="C269" s="526">
        <f t="shared" si="63"/>
        <v>254</v>
      </c>
      <c r="D269" s="526">
        <f t="shared" si="61"/>
        <v>255</v>
      </c>
      <c r="E269" s="526">
        <f t="shared" si="61"/>
        <v>256</v>
      </c>
      <c r="F269" s="526">
        <f t="shared" si="61"/>
        <v>257</v>
      </c>
      <c r="G269" s="526">
        <f t="shared" si="61"/>
        <v>258</v>
      </c>
      <c r="H269" s="526">
        <f t="shared" si="61"/>
        <v>259</v>
      </c>
      <c r="I269" s="526">
        <f t="shared" si="61"/>
        <v>260</v>
      </c>
      <c r="J269" s="526">
        <f t="shared" si="61"/>
        <v>261</v>
      </c>
      <c r="K269" s="526">
        <f t="shared" si="61"/>
        <v>262</v>
      </c>
      <c r="L269" s="526">
        <f t="shared" si="61"/>
        <v>263</v>
      </c>
      <c r="M269" s="526">
        <f t="shared" si="61"/>
        <v>264</v>
      </c>
      <c r="N269" s="526">
        <f t="shared" si="61"/>
        <v>265</v>
      </c>
      <c r="O269" s="526">
        <f t="shared" si="61"/>
        <v>266</v>
      </c>
      <c r="P269" s="526">
        <f t="shared" si="61"/>
        <v>267</v>
      </c>
      <c r="Q269" s="526">
        <f t="shared" si="61"/>
        <v>268</v>
      </c>
      <c r="R269" s="526">
        <f t="shared" si="61"/>
        <v>269</v>
      </c>
      <c r="S269" s="526">
        <f t="shared" si="61"/>
        <v>270</v>
      </c>
      <c r="T269" s="526">
        <f t="shared" si="62"/>
        <v>271</v>
      </c>
      <c r="U269" s="526">
        <f t="shared" si="62"/>
        <v>272</v>
      </c>
      <c r="V269" s="526">
        <f t="shared" si="62"/>
        <v>273</v>
      </c>
      <c r="W269" s="526">
        <f t="shared" si="62"/>
        <v>274</v>
      </c>
      <c r="X269" s="526">
        <f t="shared" si="62"/>
        <v>275</v>
      </c>
      <c r="Y269" s="526">
        <f t="shared" si="62"/>
        <v>276</v>
      </c>
    </row>
    <row r="270" spans="2:25" s="526" customFormat="1" ht="15.75">
      <c r="B270" s="530" t="s">
        <v>41</v>
      </c>
      <c r="C270" s="526">
        <f t="shared" si="63"/>
        <v>277</v>
      </c>
      <c r="D270" s="526">
        <f t="shared" si="61"/>
        <v>278</v>
      </c>
      <c r="E270" s="526">
        <f t="shared" si="61"/>
        <v>279</v>
      </c>
      <c r="F270" s="526">
        <f t="shared" si="61"/>
        <v>280</v>
      </c>
      <c r="G270" s="526">
        <f t="shared" si="61"/>
        <v>281</v>
      </c>
      <c r="H270" s="526">
        <f t="shared" si="61"/>
        <v>282</v>
      </c>
      <c r="I270" s="526">
        <f t="shared" si="61"/>
        <v>283</v>
      </c>
      <c r="J270" s="526">
        <f t="shared" si="61"/>
        <v>284</v>
      </c>
      <c r="K270" s="526">
        <f t="shared" si="61"/>
        <v>285</v>
      </c>
      <c r="L270" s="526">
        <f t="shared" si="61"/>
        <v>286</v>
      </c>
      <c r="M270" s="526">
        <f t="shared" si="61"/>
        <v>287</v>
      </c>
      <c r="N270" s="526">
        <f t="shared" si="61"/>
        <v>288</v>
      </c>
      <c r="O270" s="526">
        <f t="shared" si="61"/>
        <v>289</v>
      </c>
      <c r="P270" s="526">
        <f t="shared" si="61"/>
        <v>290</v>
      </c>
      <c r="Q270" s="526">
        <f t="shared" si="61"/>
        <v>291</v>
      </c>
      <c r="R270" s="526">
        <f t="shared" si="61"/>
        <v>292</v>
      </c>
      <c r="S270" s="526">
        <f t="shared" si="61"/>
        <v>293</v>
      </c>
      <c r="T270" s="526">
        <f t="shared" si="62"/>
        <v>294</v>
      </c>
      <c r="U270" s="526">
        <f t="shared" si="62"/>
        <v>295</v>
      </c>
      <c r="V270" s="526">
        <f t="shared" si="62"/>
        <v>296</v>
      </c>
      <c r="W270" s="526">
        <f t="shared" si="62"/>
        <v>297</v>
      </c>
      <c r="X270" s="526">
        <f t="shared" si="62"/>
        <v>298</v>
      </c>
      <c r="Y270" s="526">
        <f t="shared" si="62"/>
        <v>299</v>
      </c>
    </row>
    <row r="271" spans="2:25" s="526" customFormat="1" ht="15.75">
      <c r="B271" s="530" t="s">
        <v>42</v>
      </c>
      <c r="C271" s="526">
        <f t="shared" si="63"/>
        <v>300</v>
      </c>
      <c r="D271" s="526">
        <f t="shared" si="61"/>
        <v>301</v>
      </c>
      <c r="E271" s="526">
        <f t="shared" si="61"/>
        <v>302</v>
      </c>
      <c r="F271" s="526">
        <f t="shared" si="61"/>
        <v>303</v>
      </c>
      <c r="G271" s="526">
        <f t="shared" si="61"/>
        <v>304</v>
      </c>
      <c r="H271" s="526">
        <f t="shared" si="61"/>
        <v>305</v>
      </c>
      <c r="I271" s="526">
        <f t="shared" si="61"/>
        <v>306</v>
      </c>
      <c r="J271" s="526">
        <f t="shared" si="61"/>
        <v>307</v>
      </c>
      <c r="K271" s="526">
        <f t="shared" si="61"/>
        <v>308</v>
      </c>
      <c r="L271" s="526">
        <f t="shared" si="61"/>
        <v>309</v>
      </c>
      <c r="M271" s="526">
        <f t="shared" si="61"/>
        <v>310</v>
      </c>
      <c r="N271" s="526">
        <f t="shared" si="61"/>
        <v>311</v>
      </c>
      <c r="O271" s="526">
        <f t="shared" si="61"/>
        <v>312</v>
      </c>
      <c r="P271" s="526">
        <f t="shared" si="61"/>
        <v>313</v>
      </c>
      <c r="Q271" s="526">
        <f t="shared" si="61"/>
        <v>314</v>
      </c>
      <c r="R271" s="526">
        <f t="shared" si="61"/>
        <v>315</v>
      </c>
      <c r="S271" s="526">
        <f t="shared" si="61"/>
        <v>316</v>
      </c>
      <c r="T271" s="526">
        <f t="shared" si="62"/>
        <v>317</v>
      </c>
      <c r="U271" s="526">
        <f t="shared" si="62"/>
        <v>318</v>
      </c>
      <c r="V271" s="526">
        <f t="shared" si="62"/>
        <v>319</v>
      </c>
      <c r="W271" s="526">
        <f t="shared" si="62"/>
        <v>320</v>
      </c>
      <c r="X271" s="526">
        <f t="shared" si="62"/>
        <v>321</v>
      </c>
      <c r="Y271" s="526">
        <f t="shared" si="62"/>
        <v>322</v>
      </c>
    </row>
    <row r="272" spans="2:25" s="526" customFormat="1" ht="15.75">
      <c r="B272" s="530" t="s">
        <v>43</v>
      </c>
      <c r="C272" s="526">
        <f t="shared" si="63"/>
        <v>323</v>
      </c>
      <c r="D272" s="526">
        <f t="shared" si="61"/>
        <v>324</v>
      </c>
      <c r="E272" s="526">
        <f t="shared" si="61"/>
        <v>325</v>
      </c>
      <c r="F272" s="526">
        <f t="shared" si="61"/>
        <v>326</v>
      </c>
      <c r="G272" s="526">
        <f t="shared" si="61"/>
        <v>327</v>
      </c>
      <c r="H272" s="526">
        <f t="shared" si="61"/>
        <v>328</v>
      </c>
      <c r="I272" s="526">
        <f t="shared" si="61"/>
        <v>329</v>
      </c>
      <c r="J272" s="526">
        <f t="shared" si="61"/>
        <v>330</v>
      </c>
      <c r="K272" s="526">
        <f t="shared" si="61"/>
        <v>331</v>
      </c>
      <c r="L272" s="526">
        <f t="shared" si="61"/>
        <v>332</v>
      </c>
      <c r="M272" s="526">
        <f t="shared" si="61"/>
        <v>333</v>
      </c>
      <c r="N272" s="526">
        <f t="shared" si="61"/>
        <v>334</v>
      </c>
      <c r="O272" s="526">
        <f t="shared" si="61"/>
        <v>335</v>
      </c>
      <c r="P272" s="526">
        <f t="shared" si="61"/>
        <v>336</v>
      </c>
      <c r="Q272" s="526">
        <f t="shared" si="61"/>
        <v>337</v>
      </c>
      <c r="R272" s="526">
        <f t="shared" si="61"/>
        <v>338</v>
      </c>
      <c r="S272" s="526">
        <f t="shared" si="61"/>
        <v>339</v>
      </c>
      <c r="T272" s="526">
        <f t="shared" si="62"/>
        <v>340</v>
      </c>
      <c r="U272" s="526">
        <f t="shared" si="62"/>
        <v>341</v>
      </c>
      <c r="V272" s="526">
        <f t="shared" si="62"/>
        <v>342</v>
      </c>
      <c r="W272" s="526">
        <f t="shared" si="62"/>
        <v>343</v>
      </c>
      <c r="X272" s="526">
        <f t="shared" si="62"/>
        <v>344</v>
      </c>
      <c r="Y272" s="526">
        <f t="shared" si="62"/>
        <v>345</v>
      </c>
    </row>
    <row r="273" spans="2:25" s="526" customFormat="1" ht="15.75">
      <c r="B273" s="530" t="s">
        <v>44</v>
      </c>
      <c r="C273" s="526">
        <f t="shared" si="63"/>
        <v>346</v>
      </c>
      <c r="D273" s="526">
        <f t="shared" si="61"/>
        <v>347</v>
      </c>
      <c r="E273" s="526">
        <f t="shared" si="61"/>
        <v>348</v>
      </c>
      <c r="F273" s="526">
        <f t="shared" si="61"/>
        <v>349</v>
      </c>
      <c r="G273" s="526">
        <f t="shared" si="61"/>
        <v>350</v>
      </c>
      <c r="H273" s="526">
        <f t="shared" si="61"/>
        <v>351</v>
      </c>
      <c r="I273" s="526">
        <f t="shared" si="61"/>
        <v>352</v>
      </c>
      <c r="J273" s="526">
        <f t="shared" si="61"/>
        <v>353</v>
      </c>
      <c r="K273" s="526">
        <f t="shared" si="61"/>
        <v>354</v>
      </c>
      <c r="L273" s="526">
        <f t="shared" si="61"/>
        <v>355</v>
      </c>
      <c r="M273" s="526">
        <f t="shared" si="61"/>
        <v>356</v>
      </c>
      <c r="N273" s="526">
        <f t="shared" si="61"/>
        <v>357</v>
      </c>
      <c r="O273" s="526">
        <f t="shared" si="61"/>
        <v>358</v>
      </c>
      <c r="P273" s="526">
        <f t="shared" si="61"/>
        <v>359</v>
      </c>
      <c r="Q273" s="526">
        <f t="shared" si="61"/>
        <v>360</v>
      </c>
      <c r="R273" s="526">
        <f t="shared" si="61"/>
        <v>361</v>
      </c>
      <c r="S273" s="526">
        <f t="shared" si="61"/>
        <v>362</v>
      </c>
      <c r="T273" s="526">
        <f t="shared" si="62"/>
        <v>363</v>
      </c>
      <c r="U273" s="526">
        <f t="shared" si="62"/>
        <v>364</v>
      </c>
      <c r="V273" s="526">
        <f t="shared" si="62"/>
        <v>365</v>
      </c>
      <c r="W273" s="526">
        <f t="shared" si="62"/>
        <v>366</v>
      </c>
      <c r="X273" s="526">
        <f t="shared" si="62"/>
        <v>367</v>
      </c>
      <c r="Y273" s="526">
        <f t="shared" si="62"/>
        <v>368</v>
      </c>
    </row>
    <row r="274" spans="2:25" s="526" customFormat="1" ht="15.75">
      <c r="B274" s="530" t="s">
        <v>45</v>
      </c>
      <c r="C274" s="526">
        <f t="shared" si="63"/>
        <v>369</v>
      </c>
      <c r="D274" s="526">
        <f t="shared" si="61"/>
        <v>370</v>
      </c>
      <c r="E274" s="526">
        <f t="shared" si="61"/>
        <v>371</v>
      </c>
      <c r="F274" s="526">
        <f t="shared" si="61"/>
        <v>372</v>
      </c>
      <c r="G274" s="526">
        <f t="shared" si="61"/>
        <v>373</v>
      </c>
      <c r="H274" s="526">
        <f t="shared" si="61"/>
        <v>374</v>
      </c>
      <c r="I274" s="526">
        <f t="shared" si="61"/>
        <v>375</v>
      </c>
      <c r="J274" s="526">
        <f t="shared" si="61"/>
        <v>376</v>
      </c>
      <c r="K274" s="526">
        <f t="shared" si="61"/>
        <v>377</v>
      </c>
      <c r="L274" s="526">
        <f t="shared" si="61"/>
        <v>378</v>
      </c>
      <c r="M274" s="526">
        <f t="shared" si="61"/>
        <v>379</v>
      </c>
      <c r="N274" s="526">
        <f t="shared" si="61"/>
        <v>380</v>
      </c>
      <c r="O274" s="526">
        <f t="shared" si="61"/>
        <v>381</v>
      </c>
      <c r="P274" s="526">
        <f t="shared" si="61"/>
        <v>382</v>
      </c>
      <c r="Q274" s="526">
        <f t="shared" si="61"/>
        <v>383</v>
      </c>
      <c r="R274" s="526">
        <f t="shared" si="61"/>
        <v>384</v>
      </c>
      <c r="S274" s="526">
        <f t="shared" ref="S274:Y286" si="64">R274+1</f>
        <v>385</v>
      </c>
      <c r="T274" s="526">
        <f t="shared" si="64"/>
        <v>386</v>
      </c>
      <c r="U274" s="526">
        <f t="shared" si="64"/>
        <v>387</v>
      </c>
      <c r="V274" s="526">
        <f t="shared" si="64"/>
        <v>388</v>
      </c>
      <c r="W274" s="526">
        <f t="shared" si="64"/>
        <v>389</v>
      </c>
      <c r="X274" s="526">
        <f t="shared" si="64"/>
        <v>390</v>
      </c>
      <c r="Y274" s="526">
        <f t="shared" si="64"/>
        <v>391</v>
      </c>
    </row>
    <row r="275" spans="2:25" s="526" customFormat="1" ht="15.75">
      <c r="B275" s="530" t="s">
        <v>295</v>
      </c>
      <c r="C275" s="526">
        <f t="shared" si="63"/>
        <v>392</v>
      </c>
      <c r="D275" s="526">
        <f t="shared" ref="D275:S286" si="65">C275+1</f>
        <v>393</v>
      </c>
      <c r="E275" s="526">
        <f t="shared" si="65"/>
        <v>394</v>
      </c>
      <c r="F275" s="526">
        <f t="shared" si="65"/>
        <v>395</v>
      </c>
      <c r="G275" s="526">
        <f t="shared" si="65"/>
        <v>396</v>
      </c>
      <c r="H275" s="526">
        <f t="shared" si="65"/>
        <v>397</v>
      </c>
      <c r="I275" s="526">
        <f t="shared" si="65"/>
        <v>398</v>
      </c>
      <c r="J275" s="526">
        <f t="shared" si="65"/>
        <v>399</v>
      </c>
      <c r="K275" s="526">
        <f t="shared" si="65"/>
        <v>400</v>
      </c>
      <c r="L275" s="526">
        <f t="shared" si="65"/>
        <v>401</v>
      </c>
      <c r="M275" s="526">
        <f t="shared" si="65"/>
        <v>402</v>
      </c>
      <c r="N275" s="526">
        <f t="shared" si="65"/>
        <v>403</v>
      </c>
      <c r="O275" s="526">
        <f t="shared" si="65"/>
        <v>404</v>
      </c>
      <c r="P275" s="526">
        <f t="shared" si="65"/>
        <v>405</v>
      </c>
      <c r="Q275" s="526">
        <f t="shared" si="65"/>
        <v>406</v>
      </c>
      <c r="R275" s="526">
        <f t="shared" si="65"/>
        <v>407</v>
      </c>
      <c r="S275" s="526">
        <f t="shared" si="65"/>
        <v>408</v>
      </c>
      <c r="T275" s="526">
        <f t="shared" si="64"/>
        <v>409</v>
      </c>
      <c r="U275" s="526">
        <f t="shared" si="64"/>
        <v>410</v>
      </c>
      <c r="V275" s="526">
        <f t="shared" si="64"/>
        <v>411</v>
      </c>
      <c r="W275" s="526">
        <f t="shared" si="64"/>
        <v>412</v>
      </c>
      <c r="X275" s="526">
        <f t="shared" si="64"/>
        <v>413</v>
      </c>
      <c r="Y275" s="526">
        <f t="shared" si="64"/>
        <v>414</v>
      </c>
    </row>
    <row r="276" spans="2:25" s="526" customFormat="1" ht="15.75">
      <c r="B276" s="530" t="s">
        <v>47</v>
      </c>
      <c r="C276" s="526">
        <f t="shared" si="63"/>
        <v>415</v>
      </c>
      <c r="D276" s="526">
        <f t="shared" si="65"/>
        <v>416</v>
      </c>
      <c r="E276" s="526">
        <f t="shared" si="65"/>
        <v>417</v>
      </c>
      <c r="F276" s="526">
        <f t="shared" si="65"/>
        <v>418</v>
      </c>
      <c r="G276" s="526">
        <f t="shared" si="65"/>
        <v>419</v>
      </c>
      <c r="H276" s="526">
        <f t="shared" si="65"/>
        <v>420</v>
      </c>
      <c r="I276" s="526">
        <f t="shared" si="65"/>
        <v>421</v>
      </c>
      <c r="J276" s="526">
        <f t="shared" si="65"/>
        <v>422</v>
      </c>
      <c r="K276" s="526">
        <f t="shared" si="65"/>
        <v>423</v>
      </c>
      <c r="L276" s="526">
        <f t="shared" si="65"/>
        <v>424</v>
      </c>
      <c r="M276" s="526">
        <f t="shared" si="65"/>
        <v>425</v>
      </c>
      <c r="N276" s="526">
        <f t="shared" si="65"/>
        <v>426</v>
      </c>
      <c r="O276" s="526">
        <f t="shared" si="65"/>
        <v>427</v>
      </c>
      <c r="P276" s="526">
        <f t="shared" si="65"/>
        <v>428</v>
      </c>
      <c r="Q276" s="526">
        <f t="shared" si="65"/>
        <v>429</v>
      </c>
      <c r="R276" s="526">
        <f t="shared" si="65"/>
        <v>430</v>
      </c>
      <c r="S276" s="526">
        <f t="shared" si="65"/>
        <v>431</v>
      </c>
      <c r="T276" s="526">
        <f t="shared" si="64"/>
        <v>432</v>
      </c>
      <c r="U276" s="526">
        <f t="shared" si="64"/>
        <v>433</v>
      </c>
      <c r="V276" s="526">
        <f t="shared" si="64"/>
        <v>434</v>
      </c>
      <c r="W276" s="526">
        <f t="shared" si="64"/>
        <v>435</v>
      </c>
      <c r="X276" s="526">
        <f t="shared" si="64"/>
        <v>436</v>
      </c>
      <c r="Y276" s="526">
        <f t="shared" si="64"/>
        <v>437</v>
      </c>
    </row>
    <row r="277" spans="2:25" s="526" customFormat="1" ht="15.75">
      <c r="B277" s="530" t="s">
        <v>48</v>
      </c>
      <c r="C277" s="526">
        <f t="shared" si="63"/>
        <v>438</v>
      </c>
      <c r="D277" s="526">
        <f t="shared" si="65"/>
        <v>439</v>
      </c>
      <c r="E277" s="526">
        <f t="shared" si="65"/>
        <v>440</v>
      </c>
      <c r="F277" s="526">
        <f t="shared" si="65"/>
        <v>441</v>
      </c>
      <c r="G277" s="526">
        <f t="shared" si="65"/>
        <v>442</v>
      </c>
      <c r="H277" s="526">
        <f t="shared" si="65"/>
        <v>443</v>
      </c>
      <c r="I277" s="526">
        <f t="shared" si="65"/>
        <v>444</v>
      </c>
      <c r="J277" s="526">
        <f t="shared" si="65"/>
        <v>445</v>
      </c>
      <c r="K277" s="526">
        <f t="shared" si="65"/>
        <v>446</v>
      </c>
      <c r="L277" s="526">
        <f t="shared" si="65"/>
        <v>447</v>
      </c>
      <c r="M277" s="526">
        <f t="shared" si="65"/>
        <v>448</v>
      </c>
      <c r="N277" s="526">
        <f t="shared" si="65"/>
        <v>449</v>
      </c>
      <c r="O277" s="526">
        <f t="shared" si="65"/>
        <v>450</v>
      </c>
      <c r="P277" s="526">
        <f t="shared" si="65"/>
        <v>451</v>
      </c>
      <c r="Q277" s="526">
        <f t="shared" si="65"/>
        <v>452</v>
      </c>
      <c r="R277" s="526">
        <f t="shared" si="65"/>
        <v>453</v>
      </c>
      <c r="S277" s="526">
        <f t="shared" si="65"/>
        <v>454</v>
      </c>
      <c r="T277" s="526">
        <f t="shared" si="64"/>
        <v>455</v>
      </c>
      <c r="U277" s="526">
        <f t="shared" si="64"/>
        <v>456</v>
      </c>
      <c r="V277" s="526">
        <f t="shared" si="64"/>
        <v>457</v>
      </c>
      <c r="W277" s="526">
        <f t="shared" si="64"/>
        <v>458</v>
      </c>
      <c r="X277" s="526">
        <f t="shared" si="64"/>
        <v>459</v>
      </c>
      <c r="Y277" s="526">
        <f t="shared" si="64"/>
        <v>460</v>
      </c>
    </row>
    <row r="278" spans="2:25" s="526" customFormat="1" ht="15.75">
      <c r="B278" s="530" t="s">
        <v>176</v>
      </c>
      <c r="C278" s="526">
        <f t="shared" si="63"/>
        <v>461</v>
      </c>
      <c r="D278" s="526">
        <f t="shared" si="65"/>
        <v>462</v>
      </c>
      <c r="E278" s="526">
        <f t="shared" si="65"/>
        <v>463</v>
      </c>
      <c r="F278" s="526">
        <f t="shared" si="65"/>
        <v>464</v>
      </c>
      <c r="G278" s="526">
        <f t="shared" si="65"/>
        <v>465</v>
      </c>
      <c r="H278" s="526">
        <f t="shared" si="65"/>
        <v>466</v>
      </c>
      <c r="I278" s="526">
        <f t="shared" si="65"/>
        <v>467</v>
      </c>
      <c r="J278" s="526">
        <f t="shared" si="65"/>
        <v>468</v>
      </c>
      <c r="K278" s="526">
        <f t="shared" si="65"/>
        <v>469</v>
      </c>
      <c r="L278" s="526">
        <f t="shared" si="65"/>
        <v>470</v>
      </c>
      <c r="M278" s="526">
        <f t="shared" si="65"/>
        <v>471</v>
      </c>
      <c r="N278" s="526">
        <f t="shared" si="65"/>
        <v>472</v>
      </c>
      <c r="O278" s="526">
        <f t="shared" si="65"/>
        <v>473</v>
      </c>
      <c r="P278" s="526">
        <f t="shared" si="65"/>
        <v>474</v>
      </c>
      <c r="Q278" s="526">
        <f t="shared" si="65"/>
        <v>475</v>
      </c>
      <c r="R278" s="526">
        <f t="shared" si="65"/>
        <v>476</v>
      </c>
      <c r="S278" s="526">
        <f t="shared" si="65"/>
        <v>477</v>
      </c>
      <c r="T278" s="526">
        <f t="shared" si="64"/>
        <v>478</v>
      </c>
      <c r="U278" s="526">
        <f t="shared" si="64"/>
        <v>479</v>
      </c>
      <c r="V278" s="526">
        <f t="shared" si="64"/>
        <v>480</v>
      </c>
      <c r="W278" s="526">
        <f t="shared" si="64"/>
        <v>481</v>
      </c>
      <c r="X278" s="526">
        <f t="shared" si="64"/>
        <v>482</v>
      </c>
      <c r="Y278" s="526">
        <f t="shared" si="64"/>
        <v>483</v>
      </c>
    </row>
    <row r="279" spans="2:25" s="526" customFormat="1" ht="15.75">
      <c r="B279" s="530" t="s">
        <v>124</v>
      </c>
      <c r="C279" s="526">
        <f t="shared" si="63"/>
        <v>484</v>
      </c>
      <c r="D279" s="526">
        <f t="shared" si="65"/>
        <v>485</v>
      </c>
      <c r="E279" s="526">
        <f t="shared" si="65"/>
        <v>486</v>
      </c>
      <c r="F279" s="526">
        <f t="shared" si="65"/>
        <v>487</v>
      </c>
      <c r="G279" s="526">
        <f t="shared" si="65"/>
        <v>488</v>
      </c>
      <c r="H279" s="526">
        <f t="shared" si="65"/>
        <v>489</v>
      </c>
      <c r="I279" s="526">
        <f t="shared" si="65"/>
        <v>490</v>
      </c>
      <c r="J279" s="526">
        <f t="shared" si="65"/>
        <v>491</v>
      </c>
      <c r="K279" s="526">
        <f t="shared" si="65"/>
        <v>492</v>
      </c>
      <c r="L279" s="526">
        <f t="shared" si="65"/>
        <v>493</v>
      </c>
      <c r="M279" s="526">
        <f t="shared" si="65"/>
        <v>494</v>
      </c>
      <c r="N279" s="526">
        <f t="shared" si="65"/>
        <v>495</v>
      </c>
      <c r="O279" s="526">
        <f t="shared" si="65"/>
        <v>496</v>
      </c>
      <c r="P279" s="526">
        <f t="shared" si="65"/>
        <v>497</v>
      </c>
      <c r="Q279" s="526">
        <f t="shared" si="65"/>
        <v>498</v>
      </c>
      <c r="R279" s="526">
        <f t="shared" si="65"/>
        <v>499</v>
      </c>
      <c r="S279" s="526">
        <f t="shared" si="65"/>
        <v>500</v>
      </c>
      <c r="T279" s="526">
        <f t="shared" si="64"/>
        <v>501</v>
      </c>
      <c r="U279" s="526">
        <f t="shared" si="64"/>
        <v>502</v>
      </c>
      <c r="V279" s="526">
        <f t="shared" si="64"/>
        <v>503</v>
      </c>
      <c r="W279" s="526">
        <f t="shared" si="64"/>
        <v>504</v>
      </c>
      <c r="X279" s="526">
        <f t="shared" si="64"/>
        <v>505</v>
      </c>
      <c r="Y279" s="526">
        <f t="shared" si="64"/>
        <v>506</v>
      </c>
    </row>
    <row r="280" spans="2:25" s="526" customFormat="1" ht="15.75">
      <c r="B280" s="530" t="s">
        <v>125</v>
      </c>
      <c r="C280" s="526">
        <f t="shared" si="63"/>
        <v>507</v>
      </c>
      <c r="D280" s="526">
        <f t="shared" si="65"/>
        <v>508</v>
      </c>
      <c r="E280" s="526">
        <f t="shared" si="65"/>
        <v>509</v>
      </c>
      <c r="F280" s="526">
        <f t="shared" si="65"/>
        <v>510</v>
      </c>
      <c r="G280" s="526">
        <f t="shared" si="65"/>
        <v>511</v>
      </c>
      <c r="H280" s="526">
        <f t="shared" si="65"/>
        <v>512</v>
      </c>
      <c r="I280" s="526">
        <f t="shared" si="65"/>
        <v>513</v>
      </c>
      <c r="J280" s="526">
        <f t="shared" si="65"/>
        <v>514</v>
      </c>
      <c r="K280" s="526">
        <f t="shared" si="65"/>
        <v>515</v>
      </c>
      <c r="L280" s="526">
        <f t="shared" si="65"/>
        <v>516</v>
      </c>
      <c r="M280" s="526">
        <f t="shared" si="65"/>
        <v>517</v>
      </c>
      <c r="N280" s="526">
        <f t="shared" si="65"/>
        <v>518</v>
      </c>
      <c r="O280" s="526">
        <f t="shared" si="65"/>
        <v>519</v>
      </c>
      <c r="P280" s="526">
        <f t="shared" si="65"/>
        <v>520</v>
      </c>
      <c r="Q280" s="526">
        <f t="shared" si="65"/>
        <v>521</v>
      </c>
      <c r="R280" s="526">
        <f t="shared" si="65"/>
        <v>522</v>
      </c>
      <c r="S280" s="526">
        <f t="shared" si="65"/>
        <v>523</v>
      </c>
      <c r="T280" s="526">
        <f t="shared" si="64"/>
        <v>524</v>
      </c>
      <c r="U280" s="526">
        <f t="shared" si="64"/>
        <v>525</v>
      </c>
      <c r="V280" s="526">
        <f t="shared" si="64"/>
        <v>526</v>
      </c>
      <c r="W280" s="526">
        <f t="shared" si="64"/>
        <v>527</v>
      </c>
      <c r="X280" s="526">
        <f t="shared" si="64"/>
        <v>528</v>
      </c>
      <c r="Y280" s="526">
        <f t="shared" si="64"/>
        <v>529</v>
      </c>
    </row>
    <row r="281" spans="2:25" s="526" customFormat="1" ht="15.75">
      <c r="B281" s="530" t="s">
        <v>52</v>
      </c>
      <c r="C281" s="526">
        <f t="shared" si="63"/>
        <v>530</v>
      </c>
      <c r="D281" s="526">
        <f t="shared" si="65"/>
        <v>531</v>
      </c>
      <c r="E281" s="526">
        <f t="shared" si="65"/>
        <v>532</v>
      </c>
      <c r="F281" s="526">
        <f t="shared" si="65"/>
        <v>533</v>
      </c>
      <c r="G281" s="526">
        <f t="shared" si="65"/>
        <v>534</v>
      </c>
      <c r="H281" s="526">
        <f t="shared" si="65"/>
        <v>535</v>
      </c>
      <c r="I281" s="526">
        <f t="shared" si="65"/>
        <v>536</v>
      </c>
      <c r="J281" s="526">
        <f t="shared" si="65"/>
        <v>537</v>
      </c>
      <c r="K281" s="526">
        <f t="shared" si="65"/>
        <v>538</v>
      </c>
      <c r="L281" s="526">
        <f t="shared" si="65"/>
        <v>539</v>
      </c>
      <c r="M281" s="526">
        <f t="shared" si="65"/>
        <v>540</v>
      </c>
      <c r="N281" s="526">
        <f t="shared" si="65"/>
        <v>541</v>
      </c>
      <c r="O281" s="526">
        <f t="shared" si="65"/>
        <v>542</v>
      </c>
      <c r="P281" s="526">
        <f t="shared" si="65"/>
        <v>543</v>
      </c>
      <c r="Q281" s="526">
        <f t="shared" si="65"/>
        <v>544</v>
      </c>
      <c r="R281" s="526">
        <f t="shared" si="65"/>
        <v>545</v>
      </c>
      <c r="S281" s="526">
        <f t="shared" si="65"/>
        <v>546</v>
      </c>
      <c r="T281" s="526">
        <f t="shared" si="64"/>
        <v>547</v>
      </c>
      <c r="U281" s="526">
        <f t="shared" si="64"/>
        <v>548</v>
      </c>
      <c r="V281" s="526">
        <f t="shared" si="64"/>
        <v>549</v>
      </c>
      <c r="W281" s="526">
        <f t="shared" si="64"/>
        <v>550</v>
      </c>
      <c r="X281" s="526">
        <f t="shared" si="64"/>
        <v>551</v>
      </c>
      <c r="Y281" s="526">
        <f t="shared" si="64"/>
        <v>552</v>
      </c>
    </row>
    <row r="282" spans="2:25" s="526" customFormat="1" ht="15.75">
      <c r="B282" s="530" t="s">
        <v>53</v>
      </c>
      <c r="C282" s="526">
        <f t="shared" si="63"/>
        <v>553</v>
      </c>
      <c r="D282" s="526">
        <f t="shared" si="65"/>
        <v>554</v>
      </c>
      <c r="E282" s="526">
        <f t="shared" si="65"/>
        <v>555</v>
      </c>
      <c r="F282" s="526">
        <f t="shared" si="65"/>
        <v>556</v>
      </c>
      <c r="G282" s="526">
        <f t="shared" si="65"/>
        <v>557</v>
      </c>
      <c r="H282" s="526">
        <f t="shared" si="65"/>
        <v>558</v>
      </c>
      <c r="I282" s="526">
        <f t="shared" si="65"/>
        <v>559</v>
      </c>
      <c r="J282" s="526">
        <f t="shared" si="65"/>
        <v>560</v>
      </c>
      <c r="K282" s="526">
        <f t="shared" si="65"/>
        <v>561</v>
      </c>
      <c r="L282" s="526">
        <f t="shared" si="65"/>
        <v>562</v>
      </c>
      <c r="M282" s="526">
        <f t="shared" si="65"/>
        <v>563</v>
      </c>
      <c r="N282" s="526">
        <f t="shared" si="65"/>
        <v>564</v>
      </c>
      <c r="O282" s="526">
        <f t="shared" si="65"/>
        <v>565</v>
      </c>
      <c r="P282" s="526">
        <f t="shared" si="65"/>
        <v>566</v>
      </c>
      <c r="Q282" s="526">
        <f t="shared" si="65"/>
        <v>567</v>
      </c>
      <c r="R282" s="526">
        <f t="shared" si="65"/>
        <v>568</v>
      </c>
      <c r="S282" s="526">
        <f t="shared" si="65"/>
        <v>569</v>
      </c>
      <c r="T282" s="526">
        <f t="shared" si="64"/>
        <v>570</v>
      </c>
      <c r="U282" s="526">
        <f t="shared" si="64"/>
        <v>571</v>
      </c>
      <c r="V282" s="526">
        <f t="shared" si="64"/>
        <v>572</v>
      </c>
      <c r="W282" s="526">
        <f t="shared" si="64"/>
        <v>573</v>
      </c>
      <c r="X282" s="526">
        <f t="shared" si="64"/>
        <v>574</v>
      </c>
      <c r="Y282" s="526">
        <f t="shared" si="64"/>
        <v>575</v>
      </c>
    </row>
    <row r="283" spans="2:25" s="526" customFormat="1" ht="15.75">
      <c r="B283" s="530" t="s">
        <v>54</v>
      </c>
      <c r="C283" s="526">
        <f t="shared" si="63"/>
        <v>576</v>
      </c>
      <c r="D283" s="526">
        <f t="shared" si="65"/>
        <v>577</v>
      </c>
      <c r="E283" s="526">
        <f t="shared" si="65"/>
        <v>578</v>
      </c>
      <c r="F283" s="526">
        <f t="shared" si="65"/>
        <v>579</v>
      </c>
      <c r="G283" s="526">
        <f t="shared" si="65"/>
        <v>580</v>
      </c>
      <c r="H283" s="526">
        <f t="shared" si="65"/>
        <v>581</v>
      </c>
      <c r="I283" s="526">
        <f t="shared" si="65"/>
        <v>582</v>
      </c>
      <c r="J283" s="526">
        <f t="shared" si="65"/>
        <v>583</v>
      </c>
      <c r="K283" s="526">
        <f t="shared" si="65"/>
        <v>584</v>
      </c>
      <c r="L283" s="526">
        <f t="shared" si="65"/>
        <v>585</v>
      </c>
      <c r="M283" s="526">
        <f t="shared" si="65"/>
        <v>586</v>
      </c>
      <c r="N283" s="526">
        <f t="shared" si="65"/>
        <v>587</v>
      </c>
      <c r="O283" s="526">
        <f t="shared" si="65"/>
        <v>588</v>
      </c>
      <c r="P283" s="526">
        <f t="shared" si="65"/>
        <v>589</v>
      </c>
      <c r="Q283" s="526">
        <f t="shared" si="65"/>
        <v>590</v>
      </c>
      <c r="R283" s="526">
        <f t="shared" si="65"/>
        <v>591</v>
      </c>
      <c r="S283" s="526">
        <f t="shared" si="65"/>
        <v>592</v>
      </c>
      <c r="T283" s="526">
        <f t="shared" si="64"/>
        <v>593</v>
      </c>
      <c r="U283" s="526">
        <f t="shared" si="64"/>
        <v>594</v>
      </c>
      <c r="V283" s="526">
        <f t="shared" si="64"/>
        <v>595</v>
      </c>
      <c r="W283" s="526">
        <f t="shared" si="64"/>
        <v>596</v>
      </c>
      <c r="X283" s="526">
        <f t="shared" si="64"/>
        <v>597</v>
      </c>
      <c r="Y283" s="526">
        <f t="shared" si="64"/>
        <v>598</v>
      </c>
    </row>
    <row r="284" spans="2:25" s="526" customFormat="1" ht="15.75">
      <c r="B284" s="530" t="s">
        <v>55</v>
      </c>
      <c r="C284" s="526">
        <f t="shared" si="63"/>
        <v>599</v>
      </c>
      <c r="D284" s="526">
        <f t="shared" si="65"/>
        <v>600</v>
      </c>
      <c r="E284" s="526">
        <f t="shared" si="65"/>
        <v>601</v>
      </c>
      <c r="F284" s="526">
        <f t="shared" si="65"/>
        <v>602</v>
      </c>
      <c r="G284" s="526">
        <f t="shared" si="65"/>
        <v>603</v>
      </c>
      <c r="H284" s="526">
        <f t="shared" si="65"/>
        <v>604</v>
      </c>
      <c r="I284" s="526">
        <f t="shared" si="65"/>
        <v>605</v>
      </c>
      <c r="J284" s="526">
        <f t="shared" si="65"/>
        <v>606</v>
      </c>
      <c r="K284" s="526">
        <f t="shared" si="65"/>
        <v>607</v>
      </c>
      <c r="L284" s="526">
        <f t="shared" si="65"/>
        <v>608</v>
      </c>
      <c r="M284" s="526">
        <f t="shared" si="65"/>
        <v>609</v>
      </c>
      <c r="N284" s="526">
        <f t="shared" si="65"/>
        <v>610</v>
      </c>
      <c r="O284" s="526">
        <f t="shared" si="65"/>
        <v>611</v>
      </c>
      <c r="P284" s="526">
        <f t="shared" si="65"/>
        <v>612</v>
      </c>
      <c r="Q284" s="526">
        <f t="shared" si="65"/>
        <v>613</v>
      </c>
      <c r="R284" s="526">
        <f t="shared" si="65"/>
        <v>614</v>
      </c>
      <c r="S284" s="526">
        <f t="shared" si="65"/>
        <v>615</v>
      </c>
      <c r="T284" s="526">
        <f t="shared" si="64"/>
        <v>616</v>
      </c>
      <c r="U284" s="526">
        <f t="shared" si="64"/>
        <v>617</v>
      </c>
      <c r="V284" s="526">
        <f t="shared" si="64"/>
        <v>618</v>
      </c>
      <c r="W284" s="526">
        <f t="shared" si="64"/>
        <v>619</v>
      </c>
      <c r="X284" s="526">
        <f t="shared" si="64"/>
        <v>620</v>
      </c>
      <c r="Y284" s="526">
        <f t="shared" si="64"/>
        <v>621</v>
      </c>
    </row>
    <row r="285" spans="2:25" s="526" customFormat="1" ht="15.75">
      <c r="B285" s="530" t="s">
        <v>214</v>
      </c>
      <c r="C285" s="526">
        <f t="shared" si="63"/>
        <v>622</v>
      </c>
      <c r="D285" s="526">
        <f t="shared" si="65"/>
        <v>623</v>
      </c>
      <c r="E285" s="526">
        <f t="shared" si="65"/>
        <v>624</v>
      </c>
      <c r="F285" s="526">
        <f t="shared" si="65"/>
        <v>625</v>
      </c>
      <c r="G285" s="526">
        <f t="shared" si="65"/>
        <v>626</v>
      </c>
      <c r="H285" s="526">
        <f t="shared" si="65"/>
        <v>627</v>
      </c>
      <c r="I285" s="526">
        <f t="shared" si="65"/>
        <v>628</v>
      </c>
      <c r="J285" s="526">
        <f t="shared" si="65"/>
        <v>629</v>
      </c>
      <c r="K285" s="526">
        <f t="shared" si="65"/>
        <v>630</v>
      </c>
      <c r="L285" s="526">
        <f t="shared" si="65"/>
        <v>631</v>
      </c>
      <c r="M285" s="526">
        <f t="shared" si="65"/>
        <v>632</v>
      </c>
      <c r="N285" s="526">
        <f t="shared" si="65"/>
        <v>633</v>
      </c>
      <c r="O285" s="526">
        <f t="shared" si="65"/>
        <v>634</v>
      </c>
      <c r="P285" s="526">
        <f t="shared" si="65"/>
        <v>635</v>
      </c>
      <c r="Q285" s="526">
        <f t="shared" si="65"/>
        <v>636</v>
      </c>
      <c r="R285" s="526">
        <f t="shared" si="65"/>
        <v>637</v>
      </c>
      <c r="S285" s="526">
        <f t="shared" si="65"/>
        <v>638</v>
      </c>
      <c r="T285" s="526">
        <f t="shared" si="64"/>
        <v>639</v>
      </c>
      <c r="U285" s="526">
        <f t="shared" si="64"/>
        <v>640</v>
      </c>
      <c r="V285" s="526">
        <f t="shared" si="64"/>
        <v>641</v>
      </c>
      <c r="W285" s="526">
        <f t="shared" si="64"/>
        <v>642</v>
      </c>
      <c r="X285" s="526">
        <f t="shared" si="64"/>
        <v>643</v>
      </c>
      <c r="Y285" s="526">
        <f t="shared" si="64"/>
        <v>644</v>
      </c>
    </row>
    <row r="286" spans="2:25" s="526" customFormat="1" ht="15.75">
      <c r="B286" s="530" t="s">
        <v>57</v>
      </c>
      <c r="C286" s="526">
        <f t="shared" si="63"/>
        <v>645</v>
      </c>
      <c r="D286" s="526">
        <f t="shared" si="65"/>
        <v>646</v>
      </c>
      <c r="E286" s="526">
        <f t="shared" si="65"/>
        <v>647</v>
      </c>
      <c r="F286" s="526">
        <f t="shared" si="65"/>
        <v>648</v>
      </c>
      <c r="G286" s="526">
        <f t="shared" si="65"/>
        <v>649</v>
      </c>
      <c r="H286" s="526">
        <f t="shared" si="65"/>
        <v>650</v>
      </c>
      <c r="I286" s="526">
        <f t="shared" si="65"/>
        <v>651</v>
      </c>
      <c r="J286" s="526">
        <f t="shared" si="65"/>
        <v>652</v>
      </c>
      <c r="K286" s="526">
        <f t="shared" si="65"/>
        <v>653</v>
      </c>
      <c r="L286" s="526">
        <f t="shared" si="65"/>
        <v>654</v>
      </c>
      <c r="M286" s="526">
        <f t="shared" si="65"/>
        <v>655</v>
      </c>
      <c r="N286" s="526">
        <f t="shared" si="65"/>
        <v>656</v>
      </c>
      <c r="O286" s="526">
        <f t="shared" si="65"/>
        <v>657</v>
      </c>
      <c r="P286" s="526">
        <f t="shared" si="65"/>
        <v>658</v>
      </c>
      <c r="Q286" s="526">
        <f t="shared" si="65"/>
        <v>659</v>
      </c>
      <c r="R286" s="526">
        <f t="shared" si="65"/>
        <v>660</v>
      </c>
      <c r="S286" s="526">
        <f t="shared" si="65"/>
        <v>661</v>
      </c>
      <c r="T286" s="526">
        <f t="shared" si="64"/>
        <v>662</v>
      </c>
      <c r="U286" s="526">
        <f t="shared" si="64"/>
        <v>663</v>
      </c>
      <c r="V286" s="526">
        <f t="shared" si="64"/>
        <v>664</v>
      </c>
      <c r="W286" s="526">
        <f t="shared" si="64"/>
        <v>665</v>
      </c>
      <c r="X286" s="526">
        <f t="shared" si="64"/>
        <v>666</v>
      </c>
      <c r="Y286" s="526">
        <f t="shared" si="64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A1:OP291"/>
  <sheetViews>
    <sheetView showGridLines="0" zoomScale="70" zoomScaleNormal="70" workbookViewId="0"/>
  </sheetViews>
  <sheetFormatPr defaultColWidth="9.140625" defaultRowHeight="15.75"/>
  <cols>
    <col min="1" max="1" width="4.85546875" style="351" customWidth="1"/>
    <col min="2" max="2" width="44.42578125" style="351" customWidth="1"/>
    <col min="3" max="3" width="14" style="542" customWidth="1"/>
    <col min="4" max="4" width="13.140625" style="542" customWidth="1"/>
    <col min="5" max="6" width="14.42578125" style="542" customWidth="1"/>
    <col min="7" max="7" width="15.42578125" style="351" customWidth="1"/>
    <col min="8" max="8" width="14.42578125" style="351" customWidth="1"/>
    <col min="9" max="27" width="9.140625" style="351" customWidth="1"/>
    <col min="28" max="71" width="9.140625" style="352" customWidth="1"/>
    <col min="72" max="406" width="9.140625" style="352"/>
    <col min="407" max="16384" width="9.140625" style="351"/>
  </cols>
  <sheetData>
    <row r="1" spans="2:406" ht="19.149999999999999" customHeight="1"/>
    <row r="2" spans="2:406" ht="19.149999999999999" customHeight="1">
      <c r="B2" s="742" t="s">
        <v>244</v>
      </c>
      <c r="C2" s="743"/>
      <c r="D2" s="744"/>
      <c r="E2" s="540"/>
    </row>
    <row r="3" spans="2:406" ht="19.149999999999999" customHeight="1">
      <c r="B3" s="353"/>
      <c r="C3" s="354"/>
      <c r="D3" s="355"/>
      <c r="E3" s="540"/>
      <c r="AA3" s="352"/>
      <c r="OP3" s="351"/>
    </row>
    <row r="4" spans="2:406" ht="19.149999999999999" customHeight="1">
      <c r="B4" s="356" t="s">
        <v>249</v>
      </c>
      <c r="C4" s="357" t="s">
        <v>229</v>
      </c>
      <c r="D4" s="86">
        <f>SUMIF('FS (2011)'!$C$13:$C$244,2011,'FS (2011)'!D13:D244)+SUMIF('FS (2011)'!$C$13:$C$244,2011,'FS (2011)'!F13:F244)+SUMIF('FS (2011)'!$C$13:$C$244,2011,'FS (2011)'!H13:H244)</f>
        <v>2061344.8032064587</v>
      </c>
      <c r="E4" s="540"/>
      <c r="F4" s="543"/>
      <c r="AA4" s="352"/>
      <c r="OP4" s="351"/>
    </row>
    <row r="5" spans="2:406" s="352" customFormat="1" ht="19.149999999999999" customHeight="1">
      <c r="B5" s="356" t="s">
        <v>250</v>
      </c>
      <c r="C5" s="357"/>
      <c r="D5" s="541">
        <f>SUMIF('AV (2011)'!C11:C213,2011,'AV (2011)'!F11:F213)</f>
        <v>8975140.9510300718</v>
      </c>
      <c r="E5" s="540"/>
      <c r="F5" s="540"/>
    </row>
    <row r="6" spans="2:406" s="352" customFormat="1" ht="19.149999999999999" customHeight="1">
      <c r="B6" s="356" t="s">
        <v>230</v>
      </c>
      <c r="C6" s="357"/>
      <c r="D6" s="541">
        <f>SUMIF('FS (2011)'!$C$13:$C$244, 2011,'FS (2011)'!S13:S244)</f>
        <v>454007.45952269144</v>
      </c>
      <c r="E6" s="540"/>
      <c r="F6" s="540"/>
    </row>
    <row r="7" spans="2:406" s="352" customFormat="1" ht="19.149999999999999" customHeight="1">
      <c r="B7" s="356" t="s">
        <v>231</v>
      </c>
      <c r="C7" s="357"/>
      <c r="D7" s="541">
        <f>SUMIF('FS (2011)'!$C$13:$C$244, 2011,'FS (2011)'!AG13:AG244)+SUMIF('FS (2011)'!$C$13:$C$244, 2011,'FS (2011)'!AH13:AH244)</f>
        <v>585168.11855640262</v>
      </c>
      <c r="E7" s="540"/>
      <c r="F7" s="540"/>
    </row>
    <row r="8" spans="2:406" s="352" customFormat="1" ht="19.149999999999999" customHeight="1">
      <c r="B8" s="356" t="s">
        <v>232</v>
      </c>
      <c r="C8" s="357" t="s">
        <v>233</v>
      </c>
      <c r="D8" s="541">
        <f>SUMIF('MP (2011)'!$C$14:$C$245,2011,'MP (2011)'!M14:M245)</f>
        <v>30945.748109</v>
      </c>
      <c r="E8" s="540"/>
      <c r="F8" s="540"/>
    </row>
    <row r="9" spans="2:406" s="352" customFormat="1" ht="19.149999999999999" customHeight="1">
      <c r="B9" s="356" t="s">
        <v>234</v>
      </c>
      <c r="C9" s="357" t="s">
        <v>235</v>
      </c>
      <c r="D9" s="541">
        <f>SUMIF('MP (2011)'!$C$14:$C$245,2011,'MP (2011)'!L14:L245)</f>
        <v>6253.2476999999999</v>
      </c>
      <c r="E9" s="540"/>
      <c r="F9" s="540"/>
    </row>
    <row r="10" spans="2:406" s="352" customFormat="1" ht="19.149999999999999" customHeight="1">
      <c r="B10" s="356" t="s">
        <v>236</v>
      </c>
      <c r="C10" s="357" t="s">
        <v>237</v>
      </c>
      <c r="D10" s="541">
        <f>SUMIF('MP (2011)'!$C$14:$C$245,2011,'MP (2011)'!H14:H245)</f>
        <v>149569.80215999999</v>
      </c>
      <c r="E10" s="540"/>
      <c r="F10" s="540"/>
    </row>
    <row r="11" spans="2:406" s="352" customFormat="1" ht="19.149999999999999" customHeight="1">
      <c r="B11" s="356" t="s">
        <v>238</v>
      </c>
      <c r="C11" s="357" t="s">
        <v>193</v>
      </c>
      <c r="D11" s="541">
        <f>SUMIF('MP (2011)'!$C$14:$C$245,2011,'MP (2011)'!O14:O245)</f>
        <v>2008675</v>
      </c>
      <c r="E11" s="540"/>
      <c r="F11" s="540"/>
    </row>
    <row r="12" spans="2:406" s="352" customFormat="1" ht="19.149999999999999" customHeight="1">
      <c r="B12" s="358" t="s">
        <v>195</v>
      </c>
      <c r="C12" s="359" t="s">
        <v>239</v>
      </c>
      <c r="D12" s="360"/>
      <c r="E12" s="540"/>
      <c r="F12" s="540"/>
    </row>
    <row r="13" spans="2:406" s="352" customFormat="1" ht="19.149999999999999" customHeight="1">
      <c r="B13" s="745"/>
      <c r="C13" s="357"/>
      <c r="D13" s="357"/>
      <c r="E13" s="540"/>
      <c r="F13" s="540"/>
    </row>
    <row r="14" spans="2:406" s="352" customFormat="1" ht="19.149999999999999" customHeight="1">
      <c r="B14" s="746" t="s">
        <v>270</v>
      </c>
      <c r="C14" s="747"/>
      <c r="D14" s="747"/>
      <c r="E14" s="747"/>
      <c r="F14" s="748"/>
    </row>
    <row r="15" spans="2:406" s="352" customFormat="1" ht="19.149999999999999" customHeight="1">
      <c r="B15" s="361"/>
      <c r="C15" s="544">
        <v>2008</v>
      </c>
      <c r="D15" s="544">
        <v>2009</v>
      </c>
      <c r="E15" s="544">
        <v>2010</v>
      </c>
      <c r="F15" s="538">
        <v>2011</v>
      </c>
      <c r="G15" s="362"/>
    </row>
    <row r="16" spans="2:406" s="352" customFormat="1">
      <c r="B16" s="363" t="s">
        <v>186</v>
      </c>
      <c r="C16" s="545">
        <f>SUMIF('FS (2011)'!$C$13:$C$244,2008,'FS (2011)'!$S$13:$S$244)/SUMIF('MP (2011)'!$C$14:$C$245,2008,'MP (2011)'!$O$14:$O$245)*1000</f>
        <v>219.92281235057766</v>
      </c>
      <c r="D16" s="545">
        <f>SUMIF('FS (2011)'!$C$13:$C$244,2009,'FS (2011)'!$S$13:$S$244)/SUMIF('MP (2011)'!$C$14:$C$245,2009,'MP (2011)'!$O$14:$O$245)*1000</f>
        <v>218.64666413393144</v>
      </c>
      <c r="E16" s="545">
        <f>SUMIF('FS (2011)'!$C$13:$C$244,2010,'FS (2011)'!$S$13:$S$244)/SUMIF('MP (2011)'!$C$14:$C$245,2010,'MP (2011)'!$O$14:$O$245)*1000</f>
        <v>224.81562001127224</v>
      </c>
      <c r="F16" s="539">
        <f>SUMIF('FS (2011)'!$C$13:$C$244,2011,'FS (2011)'!$S$13:$S$244)/SUMIF('MP (2011)'!$C$14:$C$245,2011,'MP (2011)'!$O$14:$O$245)*1000</f>
        <v>226.0233534656883</v>
      </c>
      <c r="G16" s="87"/>
    </row>
    <row r="17" spans="2:26" s="352" customFormat="1">
      <c r="B17" s="363" t="s">
        <v>183</v>
      </c>
      <c r="C17" s="549">
        <f>SUMIF('FS (2011)'!$C$13:$C$244,2008,'FS (2011)'!$S$13:$S$244)/SUMIF('MP (2011)'!$C$14:$C$245,2008,'MP (2011)'!$H$14:$H$245)*1000</f>
        <v>2958.0578571355086</v>
      </c>
      <c r="D17" s="550">
        <f>SUMIF('FS (2011)'!$C$13:$C$244,2009,'FS (2011)'!$S$13:$S$244)/SUMIF('MP (2011)'!$C$14:$C$245,2009,'MP (2011)'!$H$14:$H$245)*1000</f>
        <v>2939.6496747811011</v>
      </c>
      <c r="E17" s="550">
        <f>SUMIF('FS (2011)'!$C$13:$C$244,2010,'FS (2011)'!$S$13:$S$244)/SUMIF('MP (2011)'!$C$14:$C$245,2010,'MP (2011)'!$H$14:$H$245)*1000</f>
        <v>3017.8575351243162</v>
      </c>
      <c r="F17" s="551">
        <f>SUMIF('FS (2011)'!$C$13:$C$244,2011,'FS (2011)'!$S$13:$S$244)/SUMIF('MP (2011)'!$C$14:$C$245,2011,'MP (2011)'!$H$14:$H$245)*1000</f>
        <v>3035.4219432410823</v>
      </c>
      <c r="G17" s="87"/>
    </row>
    <row r="18" spans="2:26" s="367" customFormat="1">
      <c r="B18" s="365" t="s">
        <v>192</v>
      </c>
      <c r="C18" s="548">
        <f>SUMIF('FS (2011)'!$C$13:$C$244,2008,'FS (2011)'!$S$13:$S$244)/SUMIF('MP (2011)'!$C$14:$C$245,2008,'MP (2011)'!$M$14:$M$245)</f>
        <v>14.04416610225651</v>
      </c>
      <c r="D18" s="546">
        <f>SUMIF('FS (2011)'!$C$13:$C$244,2009,'FS (2011)'!$S$13:$S$244)/SUMIF('MP (2011)'!$C$14:$C$245,2009,'MP (2011)'!$M$14:$M$245)</f>
        <v>14.476892649765206</v>
      </c>
      <c r="E18" s="546">
        <f>SUMIF('FS (2011)'!$C$13:$C$244,2010,'FS (2011)'!$S$13:$S$244)/SUMIF('MP (2011)'!$C$14:$C$245,2010,'MP (2011)'!$M$14:$M$245)</f>
        <v>14.463353009176652</v>
      </c>
      <c r="F18" s="547">
        <f>SUMIF('FS (2011)'!$C$13:$C$244,2011,'FS (2011)'!$S$13:$S$244)/SUMIF('MP (2011)'!$C$14:$C$245,2011,'MP (2011)'!$M$14:$M$245)</f>
        <v>14.671077200122745</v>
      </c>
      <c r="G18" s="87"/>
      <c r="H18" s="364"/>
      <c r="I18" s="364"/>
      <c r="J18" s="364"/>
      <c r="K18" s="364"/>
      <c r="L18" s="364"/>
      <c r="M18" s="364"/>
      <c r="N18" s="364"/>
      <c r="O18" s="364"/>
      <c r="P18" s="366"/>
      <c r="Q18" s="366"/>
      <c r="R18" s="366"/>
      <c r="S18" s="366"/>
      <c r="T18" s="366"/>
      <c r="U18" s="366"/>
      <c r="V18" s="366"/>
      <c r="W18" s="366"/>
      <c r="X18" s="366"/>
      <c r="Y18" s="366"/>
      <c r="Z18" s="366"/>
    </row>
    <row r="19" spans="2:26" s="367" customFormat="1" ht="18" customHeight="1">
      <c r="B19" s="352"/>
      <c r="C19" s="540"/>
      <c r="D19" s="540"/>
      <c r="E19" s="540"/>
      <c r="F19" s="540"/>
      <c r="G19" s="352"/>
      <c r="H19" s="364"/>
      <c r="I19" s="364"/>
      <c r="J19" s="364"/>
      <c r="K19" s="364"/>
      <c r="L19" s="364"/>
      <c r="M19" s="364"/>
      <c r="N19" s="364"/>
      <c r="O19" s="364"/>
      <c r="P19" s="366"/>
      <c r="Q19" s="366"/>
      <c r="R19" s="366"/>
      <c r="S19" s="366"/>
      <c r="T19" s="366"/>
      <c r="U19" s="366"/>
      <c r="V19" s="366"/>
      <c r="W19" s="366"/>
      <c r="X19" s="366"/>
      <c r="Y19" s="366"/>
      <c r="Z19" s="366"/>
    </row>
    <row r="20" spans="2:26" s="367" customFormat="1" ht="18" customHeight="1">
      <c r="B20" s="746" t="s">
        <v>286</v>
      </c>
      <c r="C20" s="747"/>
      <c r="D20" s="747"/>
      <c r="E20" s="747"/>
      <c r="F20" s="748"/>
      <c r="G20" s="352"/>
      <c r="H20" s="364"/>
      <c r="I20" s="364"/>
      <c r="J20" s="364"/>
      <c r="K20" s="364"/>
      <c r="L20" s="364"/>
      <c r="M20" s="364"/>
      <c r="N20" s="364"/>
      <c r="O20" s="364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</row>
    <row r="21" spans="2:26" s="367" customFormat="1" ht="18" customHeight="1">
      <c r="B21" s="361"/>
      <c r="C21" s="655">
        <v>2008</v>
      </c>
      <c r="D21" s="655">
        <v>2009</v>
      </c>
      <c r="E21" s="655">
        <v>2010</v>
      </c>
      <c r="F21" s="656">
        <v>2011</v>
      </c>
      <c r="G21" s="352"/>
      <c r="H21" s="364"/>
      <c r="I21" s="364"/>
      <c r="J21" s="364"/>
      <c r="K21" s="364"/>
      <c r="L21" s="364"/>
      <c r="M21" s="364"/>
      <c r="N21" s="364"/>
      <c r="O21" s="364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366"/>
    </row>
    <row r="22" spans="2:26" s="367" customFormat="1" ht="18" customHeight="1">
      <c r="B22" s="363" t="s">
        <v>187</v>
      </c>
      <c r="C22" s="552">
        <f>(SUMIF('FS (2011)'!$C$13:$C$244,2008,'FS (2011)'!$AG$13:$AG$244)+SUMIF('FS (2011)'!$C$13:$C$244,2008,'FS (2011)'!$AH$13:$AH$244))/SUMIF('MP (2011)'!$C$14:$C$245,2008,'MP (2011)'!$O$14:$O$245)*1000</f>
        <v>278.20789662228765</v>
      </c>
      <c r="D22" s="552">
        <f>(SUMIF('FS (2011)'!$C$13:$C$244,2009,'FS (2011)'!$AG$13:$AG$244)+SUMIF('FS (2011)'!$C$13:$C$244,2009,'FS (2011)'!$AH$13:$AH$244))/SUMIF('MP (2011)'!$C$14:$C$245,2009,'MP (2011)'!$O$14:$O$245)*1000</f>
        <v>291.79923762758693</v>
      </c>
      <c r="E22" s="552">
        <f>(SUMIF('FS (2011)'!$C$13:$C$244,2010,'FS (2011)'!$AG$13:$AG$244)+SUMIF('FS (2011)'!$C$13:$C$244,2010,'FS (2011)'!$AH$13:$AH$244))/SUMIF('MP (2011)'!$C$14:$C$245,2010,'MP (2011)'!$O$14:$O$245)*1000</f>
        <v>270.96257169694115</v>
      </c>
      <c r="F22" s="553">
        <f>(SUMIF('FS (2011)'!$C$13:$C$244,2011,'FS (2011)'!$AG$13:$AG$244)+SUMIF('FS (2011)'!$C$13:$C$244,2011,'FS (2011)'!$AH$13:$AH$244))/SUMIF('MP (2011)'!$C$14:$C$245,2011,'MP (2011)'!$O$14:$O$245)*1000</f>
        <v>291.32045679684501</v>
      </c>
      <c r="G22" s="352"/>
      <c r="H22" s="364"/>
      <c r="I22" s="364"/>
      <c r="J22" s="364"/>
      <c r="K22" s="364"/>
      <c r="L22" s="364"/>
      <c r="M22" s="364"/>
      <c r="N22" s="364"/>
      <c r="O22" s="364"/>
      <c r="P22" s="366"/>
      <c r="Q22" s="366"/>
      <c r="R22" s="366"/>
      <c r="S22" s="366"/>
      <c r="T22" s="366"/>
      <c r="U22" s="366"/>
      <c r="V22" s="366"/>
      <c r="W22" s="366"/>
      <c r="X22" s="366"/>
      <c r="Y22" s="366"/>
      <c r="Z22" s="366"/>
    </row>
    <row r="23" spans="2:26" s="367" customFormat="1" ht="18" customHeight="1">
      <c r="B23" s="363" t="s">
        <v>215</v>
      </c>
      <c r="C23" s="554">
        <f>(SUMIF('FS (2011)'!$C$13:$C$244,2008,'FS (2011)'!$AG$13:$AG$244)+SUMIF('FS (2011)'!$C$13:$C$244,2008,'FS (2011)'!$AH$13:$AH$244))/SUMIF('MP (2011)'!$C$14:$C$245,2008,'MP (2011)'!$M$14:$M$245)*1000</f>
        <v>17766.223837181449</v>
      </c>
      <c r="D23" s="554">
        <f>(SUMIF('FS (2011)'!$C$13:$C$244,2009,'FS (2011)'!$AG$13:$AG$244)+SUMIF('FS (2011)'!$C$13:$C$244,2009,'FS (2011)'!$AH$13:$AH$244))/SUMIF('MP (2011)'!$C$14:$C$245,2009,'MP (2011)'!$M$14:$M$245)*1000</f>
        <v>19320.423913855331</v>
      </c>
      <c r="E23" s="554">
        <f>(SUMIF('FS (2011)'!$C$13:$C$244,2010,'FS (2011)'!$AG$13:$AG$244)+SUMIF('FS (2011)'!$C$13:$C$244,2010,'FS (2011)'!$AH$13:$AH$244))/SUMIF('MP (2011)'!$C$14:$C$245,2010,'MP (2011)'!$M$14:$M$245)*1000</f>
        <v>17432.184323005218</v>
      </c>
      <c r="F23" s="555">
        <f>(SUMIF('FS (2011)'!$C$13:$C$244,2011,'FS (2011)'!$AG$13:$AG$244)+SUMIF('FS (2011)'!$C$13:$C$244,2011,'FS (2011)'!$AH$13:$AH$244))/SUMIF('MP (2011)'!$C$14:$C$245,2011,'MP (2011)'!$M$14:$M$245)*1000</f>
        <v>18909.483671077171</v>
      </c>
      <c r="G23" s="352"/>
      <c r="H23" s="364"/>
      <c r="I23" s="364"/>
      <c r="J23" s="364"/>
      <c r="K23" s="364"/>
      <c r="L23" s="364"/>
      <c r="M23" s="364"/>
      <c r="N23" s="364"/>
      <c r="O23" s="364"/>
      <c r="P23" s="366"/>
      <c r="Q23" s="366"/>
      <c r="R23" s="366"/>
      <c r="S23" s="366"/>
      <c r="T23" s="366"/>
      <c r="U23" s="366"/>
      <c r="V23" s="366"/>
      <c r="W23" s="366"/>
      <c r="X23" s="366"/>
      <c r="Y23" s="366"/>
      <c r="Z23" s="366"/>
    </row>
    <row r="24" spans="2:26" ht="15.6" customHeight="1">
      <c r="B24" s="657" t="s">
        <v>188</v>
      </c>
      <c r="C24" s="556">
        <f>(SUMIF('FS (2011)'!$C$13:$C$244,C21,'FS (2011)'!$AG$13:$AG$244)+SUMIF('FS (2011)'!$C$13:$C$244,C21,'FS (2011)'!$AH$13:$AH$244))/SUMIF('AV (2011)'!$C$11:$C$213,C21,'AV (2011)'!$F$11:$F$213)</f>
        <v>6.7200573422985591E-2</v>
      </c>
      <c r="D24" s="556">
        <f>(SUMIF('FS (2011)'!$C$13:$C$244,D21,'FS (2011)'!$AG$13:$AG$244)+SUMIF('FS (2011)'!$C$13:$C$244,D21,'FS (2011)'!$AH$13:$AH$244))/SUMIF('AV (2011)'!$C$11:$C$213,D21,'AV (2011)'!$F$11:$F$213)</f>
        <v>6.9687031761162824E-2</v>
      </c>
      <c r="E24" s="556">
        <f>(SUMIF('FS (2011)'!$C$13:$C$244,E21,'FS (2011)'!$AG$13:$AG$244)+SUMIF('FS (2011)'!$C$13:$C$244,E21,'FS (2011)'!$AH$13:$AH$244))/SUMIF('AV (2011)'!$C$11:$C$213,E21,'AV (2011)'!$F$11:$F$213)</f>
        <v>6.3393701017924006E-2</v>
      </c>
      <c r="F24" s="557">
        <f>(SUMIF('FS (2011)'!$C$13:$C$244,F21,'FS (2011)'!$AG$13:$AG$244)+SUMIF('FS (2011)'!$C$13:$C$244,F21,'FS (2011)'!$AH$13:$AH$244))/SUMIF('AV (2011)'!$C$11:$C$213,F21,'AV (2011)'!$F$11:$F$213)</f>
        <v>6.5198766431544805E-2</v>
      </c>
      <c r="P24" s="352"/>
      <c r="Q24" s="352"/>
      <c r="R24" s="352"/>
      <c r="S24" s="352"/>
      <c r="T24" s="352"/>
      <c r="U24" s="352"/>
      <c r="V24" s="352"/>
      <c r="W24" s="352"/>
      <c r="X24" s="352"/>
      <c r="Y24" s="352"/>
      <c r="Z24" s="352"/>
    </row>
    <row r="25" spans="2:26" ht="15.6" customHeight="1">
      <c r="P25" s="352"/>
      <c r="Q25" s="352"/>
      <c r="R25" s="352"/>
      <c r="S25" s="352"/>
      <c r="T25" s="352"/>
      <c r="U25" s="352"/>
      <c r="V25" s="352"/>
      <c r="W25" s="352"/>
      <c r="X25" s="352"/>
      <c r="Y25" s="352"/>
      <c r="Z25" s="352"/>
    </row>
    <row r="26" spans="2:26">
      <c r="B26" s="746" t="s">
        <v>351</v>
      </c>
      <c r="C26" s="747"/>
      <c r="D26" s="747"/>
      <c r="E26" s="747"/>
      <c r="F26" s="748"/>
    </row>
    <row r="27" spans="2:26">
      <c r="B27" s="368"/>
      <c r="C27" s="544">
        <v>2008</v>
      </c>
      <c r="D27" s="544">
        <v>2009</v>
      </c>
      <c r="E27" s="544">
        <v>2010</v>
      </c>
      <c r="F27" s="538">
        <v>2011</v>
      </c>
    </row>
    <row r="28" spans="2:26">
      <c r="B28" s="369" t="s">
        <v>178</v>
      </c>
      <c r="C28" s="545">
        <f>AVERAGEIF('MP (2011)'!$C$14:$C$245,2008,'MP (2011)'!$S$14:$S$245)+AVERAGEIF('MP (2011)'!$C$14:$C$245,2008,'MP (2011)'!$T$14:$T$245)</f>
        <v>214.39787611785715</v>
      </c>
      <c r="D28" s="545">
        <f>AVERAGEIF('MP (2011)'!$C$14:$C$245,2009,'MP (2011)'!$S$14:$S$245)+AVERAGEIF('MP (2011)'!$C$14:$C$245,2009,'MP (2011)'!$T$14:$T$245)</f>
        <v>223.36605543103448</v>
      </c>
      <c r="E28" s="545">
        <f>AVERAGEIF('MP (2011)'!$C$14:$C$245,2010,'MP (2011)'!$S$14:$S$245)+AVERAGEIF('MP (2011)'!$C$14:$C$245,2010,'MP (2011)'!$T$14:$T$245)</f>
        <v>170.65483759655174</v>
      </c>
      <c r="F28" s="539">
        <f>AVERAGEIF('MP (2011)'!$C$14:$C$245,2011,'MP (2011)'!$S$14:$S$245)+AVERAGEIF('MP (2011)'!$C$14:$C$245,2011,'MP (2011)'!$T$14:$T$245)</f>
        <v>189.82731620689657</v>
      </c>
    </row>
    <row r="29" spans="2:26">
      <c r="B29" s="370" t="s">
        <v>179</v>
      </c>
      <c r="C29" s="546">
        <f>AVERAGEIF('MP (2011)'!$C$14:$C$245,2008,'MP (2011)'!$W$14:$W$245)+AVERAGEIF('MP (2011)'!$C$14:$C$245,2008,'MP (2011)'!$X$14:$X$245)</f>
        <v>2.2133361724999996</v>
      </c>
      <c r="D29" s="546">
        <f>AVERAGEIF('MP (2011)'!$C$14:$C$245,2009,'MP (2011)'!$W$14:$W$245)+AVERAGEIF('MP (2011)'!$C$14:$C$245,2009,'MP (2011)'!$X$14:$X$245)</f>
        <v>2.5370004117241378</v>
      </c>
      <c r="E29" s="546">
        <f>AVERAGEIF('MP (2011)'!$C$14:$C$245,2010,'MP (2011)'!$W$14:$W$245)+AVERAGEIF('MP (2011)'!$C$14:$C$245,2010,'MP (2011)'!$X$14:$X$245)</f>
        <v>1.984406743103448</v>
      </c>
      <c r="F29" s="547">
        <f>AVERAGEIF('MP (2011)'!$C$14:$C$245,2011,'MP (2011)'!$W$14:$W$245)+AVERAGEIF('MP (2011)'!$C$14:$C$245,2011,'MP (2011)'!$X$14:$X$245)</f>
        <v>2.1560858624137933</v>
      </c>
    </row>
    <row r="30" spans="2:26">
      <c r="B30" s="352"/>
      <c r="C30" s="545"/>
      <c r="D30" s="545"/>
      <c r="E30" s="545"/>
      <c r="F30" s="545"/>
    </row>
    <row r="31" spans="2:26">
      <c r="B31" s="352"/>
      <c r="C31" s="545"/>
      <c r="D31" s="545"/>
      <c r="E31" s="545"/>
      <c r="F31" s="545"/>
    </row>
    <row r="32" spans="2:26">
      <c r="B32" s="871" t="s">
        <v>425</v>
      </c>
      <c r="C32" s="866" t="s">
        <v>254</v>
      </c>
      <c r="D32" s="867" t="s">
        <v>463</v>
      </c>
      <c r="E32" s="868" t="s">
        <v>462</v>
      </c>
      <c r="F32" s="869" t="s">
        <v>308</v>
      </c>
      <c r="G32" s="868" t="s">
        <v>478</v>
      </c>
    </row>
    <row r="33" spans="1:18">
      <c r="B33" s="863" t="s">
        <v>531</v>
      </c>
      <c r="C33" s="756">
        <v>7.7796387245575138E-2</v>
      </c>
      <c r="D33" s="839">
        <v>6.3948706127553878E-2</v>
      </c>
      <c r="E33" s="414">
        <v>0.1447062715611025</v>
      </c>
      <c r="F33" s="610">
        <v>0.11279248813148435</v>
      </c>
      <c r="G33" s="414">
        <v>1.8987115795417342E-2</v>
      </c>
    </row>
    <row r="34" spans="1:18">
      <c r="B34" s="870" t="s">
        <v>532</v>
      </c>
      <c r="C34" s="757">
        <v>2.6274050943542182E-3</v>
      </c>
      <c r="D34" s="840">
        <v>-2.9543109253149513E-3</v>
      </c>
      <c r="E34" s="415">
        <v>2.8485144456452671E-2</v>
      </c>
      <c r="F34" s="612">
        <v>9.6358437904993099E-3</v>
      </c>
      <c r="G34" s="415">
        <v>-9.9841975014359763E-3</v>
      </c>
    </row>
    <row r="35" spans="1:18">
      <c r="B35" s="864" t="s">
        <v>533</v>
      </c>
      <c r="C35" s="756">
        <v>4.7955429352074752E-2</v>
      </c>
      <c r="D35" s="839">
        <v>3.5434300270181796E-2</v>
      </c>
      <c r="E35" s="414">
        <v>0.10853018741494358</v>
      </c>
      <c r="F35" s="610">
        <v>8.5978741071940146E-2</v>
      </c>
      <c r="G35" s="414">
        <v>-5.1497388984653836E-2</v>
      </c>
    </row>
    <row r="36" spans="1:18">
      <c r="B36" s="865" t="s">
        <v>536</v>
      </c>
      <c r="C36" s="757">
        <v>-1.8599362163896904E-3</v>
      </c>
      <c r="D36" s="840">
        <v>-7.0187745995450301E-3</v>
      </c>
      <c r="E36" s="415">
        <v>2.2068951706887718E-2</v>
      </c>
      <c r="F36" s="612">
        <v>6.7855780179375547E-3</v>
      </c>
      <c r="G36" s="415">
        <v>-3.3314286070867727E-2</v>
      </c>
    </row>
    <row r="37" spans="1:18">
      <c r="B37" s="864" t="s">
        <v>537</v>
      </c>
      <c r="C37" s="756">
        <v>6.2615988780736265E-2</v>
      </c>
      <c r="D37" s="839">
        <v>5.402870361475709E-2</v>
      </c>
      <c r="E37" s="414">
        <v>0.10388455592699453</v>
      </c>
      <c r="F37" s="610">
        <v>7.8586424813556377E-2</v>
      </c>
      <c r="G37" s="414">
        <v>2.087405224836747E-2</v>
      </c>
    </row>
    <row r="38" spans="1:18">
      <c r="B38" s="865" t="s">
        <v>545</v>
      </c>
      <c r="C38" s="757">
        <v>5.7299580122418536E-3</v>
      </c>
      <c r="D38" s="840">
        <v>1.9476394070043757E-3</v>
      </c>
      <c r="E38" s="415">
        <v>2.31748627527808E-2</v>
      </c>
      <c r="F38" s="612">
        <v>1.8258136659552893E-2</v>
      </c>
      <c r="G38" s="415">
        <v>-1.207950633000876E-2</v>
      </c>
    </row>
    <row r="40" spans="1:18">
      <c r="A40" s="102"/>
      <c r="B40" s="871" t="s">
        <v>548</v>
      </c>
      <c r="C40" s="872"/>
      <c r="D40" s="872"/>
      <c r="E40" s="872"/>
      <c r="F40" s="872"/>
      <c r="G40" s="873"/>
      <c r="H40" s="873"/>
      <c r="I40" s="102"/>
      <c r="J40" s="102"/>
      <c r="K40" s="102"/>
      <c r="L40" s="102"/>
      <c r="M40" s="102"/>
      <c r="N40" s="102"/>
      <c r="O40" s="102"/>
      <c r="P40" s="102"/>
      <c r="Q40" s="102"/>
      <c r="R40" s="102"/>
    </row>
    <row r="41" spans="1:18" ht="30" customHeight="1">
      <c r="A41" s="102"/>
      <c r="B41" s="836"/>
      <c r="C41" s="837" t="s">
        <v>531</v>
      </c>
      <c r="D41" s="838" t="s">
        <v>532</v>
      </c>
      <c r="E41" s="844" t="s">
        <v>533</v>
      </c>
      <c r="F41" s="844" t="s">
        <v>536</v>
      </c>
      <c r="G41" s="844" t="s">
        <v>537</v>
      </c>
      <c r="H41" s="846" t="s">
        <v>536</v>
      </c>
      <c r="I41" s="102"/>
      <c r="J41" s="102"/>
      <c r="K41" s="102"/>
      <c r="L41" s="102"/>
      <c r="M41" s="102"/>
      <c r="N41" s="102"/>
      <c r="O41" s="102"/>
      <c r="P41" s="102"/>
      <c r="Q41" s="102"/>
      <c r="R41" s="102"/>
    </row>
    <row r="42" spans="1:18">
      <c r="A42" s="102"/>
      <c r="B42" s="834" t="s">
        <v>112</v>
      </c>
      <c r="C42" s="839">
        <v>5.2720781340460432E-2</v>
      </c>
      <c r="D42" s="839">
        <v>-1.8054736438721575E-2</v>
      </c>
      <c r="E42" s="839">
        <v>1.9355823078939904E-2</v>
      </c>
      <c r="F42" s="839">
        <v>-2.4776025305633609E-2</v>
      </c>
      <c r="G42" s="839">
        <v>-2.2706520422508092E-2</v>
      </c>
      <c r="H42" s="847">
        <v>-3.5355852259821852E-3</v>
      </c>
      <c r="I42" s="102"/>
      <c r="J42" s="102"/>
      <c r="K42" s="102"/>
      <c r="L42" s="102"/>
      <c r="M42" s="102"/>
      <c r="N42" s="102"/>
      <c r="O42" s="102"/>
      <c r="P42" s="102"/>
      <c r="Q42" s="102"/>
      <c r="R42" s="102"/>
    </row>
    <row r="43" spans="1:18">
      <c r="A43" s="102"/>
      <c r="B43" s="834" t="s">
        <v>174</v>
      </c>
      <c r="C43" s="839">
        <v>3.3971116151614966E-2</v>
      </c>
      <c r="D43" s="839">
        <v>-2.9708152513497565E-2</v>
      </c>
      <c r="E43" s="839">
        <v>3.5567070966475933E-2</v>
      </c>
      <c r="F43" s="839">
        <v>-6.7561380004961258E-3</v>
      </c>
      <c r="G43" s="839">
        <v>6.413039486575256E-2</v>
      </c>
      <c r="H43" s="756">
        <v>2.9094168230821005E-3</v>
      </c>
      <c r="I43" s="102"/>
      <c r="J43" s="102"/>
      <c r="K43" s="102"/>
      <c r="L43" s="102"/>
      <c r="M43" s="102"/>
      <c r="N43" s="102"/>
      <c r="O43" s="102"/>
      <c r="P43" s="102"/>
      <c r="Q43" s="102"/>
      <c r="R43" s="102"/>
    </row>
    <row r="44" spans="1:18">
      <c r="A44" s="102"/>
      <c r="B44" s="874" t="s">
        <v>113</v>
      </c>
      <c r="C44" s="875">
        <v>3.4030850405579294E-2</v>
      </c>
      <c r="D44" s="875">
        <v>0.13456718737053341</v>
      </c>
      <c r="E44" s="875">
        <v>-8.9168558441010681E-4</v>
      </c>
      <c r="F44" s="875">
        <v>0.12213287912156079</v>
      </c>
      <c r="G44" s="875">
        <v>-0.19478297333017491</v>
      </c>
      <c r="H44" s="876">
        <v>-2.5947343563287761E-2</v>
      </c>
      <c r="I44" s="102"/>
      <c r="J44" s="102"/>
      <c r="K44" s="102"/>
      <c r="L44" s="102"/>
      <c r="M44" s="102"/>
      <c r="N44" s="102"/>
      <c r="O44" s="102"/>
      <c r="P44" s="102"/>
      <c r="Q44" s="102"/>
      <c r="R44" s="102"/>
    </row>
    <row r="45" spans="1:18">
      <c r="A45" s="102"/>
      <c r="B45" s="834" t="s">
        <v>32</v>
      </c>
      <c r="C45" s="839">
        <v>0.30512286841855096</v>
      </c>
      <c r="D45" s="839">
        <v>8.7259691217415947E-2</v>
      </c>
      <c r="E45" s="839">
        <v>0.25969287894176207</v>
      </c>
      <c r="F45" s="839">
        <v>5.2710020010749759E-2</v>
      </c>
      <c r="G45" s="839">
        <v>0.25954634601687054</v>
      </c>
      <c r="H45" s="756">
        <v>7.2793803649998212E-2</v>
      </c>
      <c r="I45" s="102"/>
      <c r="J45" s="102"/>
      <c r="K45" s="102"/>
      <c r="L45" s="102"/>
      <c r="M45" s="102"/>
      <c r="N45" s="102"/>
      <c r="O45" s="102"/>
      <c r="P45" s="102"/>
      <c r="Q45" s="102"/>
      <c r="R45" s="102"/>
    </row>
    <row r="46" spans="1:18">
      <c r="A46" s="102"/>
      <c r="B46" s="874" t="s">
        <v>114</v>
      </c>
      <c r="C46" s="875">
        <v>0.10341169022851182</v>
      </c>
      <c r="D46" s="875">
        <v>-1.0768612860565296E-2</v>
      </c>
      <c r="E46" s="875">
        <v>6.6111411706991419E-2</v>
      </c>
      <c r="F46" s="875">
        <v>-2.1825975553569799E-2</v>
      </c>
      <c r="G46" s="875">
        <v>5.6589966685977489E-2</v>
      </c>
      <c r="H46" s="876">
        <v>-2.9919788615993759E-2</v>
      </c>
      <c r="I46" s="102"/>
      <c r="J46" s="102"/>
      <c r="K46" s="102"/>
      <c r="L46" s="102"/>
      <c r="M46" s="102"/>
      <c r="N46" s="102"/>
      <c r="O46" s="102"/>
      <c r="P46" s="102"/>
      <c r="Q46" s="102"/>
      <c r="R46" s="102"/>
    </row>
    <row r="47" spans="1:18">
      <c r="A47" s="102"/>
      <c r="B47" s="834" t="s">
        <v>177</v>
      </c>
      <c r="C47" s="839">
        <v>0.12028994983767749</v>
      </c>
      <c r="D47" s="839">
        <v>4.6082768311958899E-2</v>
      </c>
      <c r="E47" s="839">
        <v>0.10632694113467589</v>
      </c>
      <c r="F47" s="839">
        <v>4.2720740131290125E-2</v>
      </c>
      <c r="G47" s="839">
        <v>0.12683526779893706</v>
      </c>
      <c r="H47" s="756">
        <v>3.7760686090907436E-2</v>
      </c>
      <c r="I47" s="102"/>
      <c r="J47" s="102"/>
      <c r="K47" s="102"/>
      <c r="L47" s="102"/>
      <c r="M47" s="102"/>
      <c r="N47" s="102"/>
      <c r="O47" s="102"/>
      <c r="P47" s="102"/>
      <c r="Q47" s="102"/>
      <c r="R47" s="102"/>
    </row>
    <row r="48" spans="1:18">
      <c r="A48" s="102"/>
      <c r="B48" s="874" t="s">
        <v>35</v>
      </c>
      <c r="C48" s="875">
        <v>0.42716790964296369</v>
      </c>
      <c r="D48" s="875">
        <v>0.37155104339354983</v>
      </c>
      <c r="E48" s="875">
        <v>0.39454827260548253</v>
      </c>
      <c r="F48" s="875">
        <v>0.36254361121816681</v>
      </c>
      <c r="G48" s="875">
        <v>0.39824005769184878</v>
      </c>
      <c r="H48" s="876">
        <v>0.38954330126693804</v>
      </c>
      <c r="I48" s="102"/>
      <c r="J48" s="102"/>
      <c r="K48" s="102"/>
      <c r="L48" s="102"/>
      <c r="M48" s="102"/>
      <c r="N48" s="102"/>
      <c r="O48" s="102"/>
      <c r="P48" s="102"/>
      <c r="Q48" s="102"/>
      <c r="R48" s="102"/>
    </row>
    <row r="49" spans="1:18">
      <c r="A49" s="102"/>
      <c r="B49" s="834" t="s">
        <v>115</v>
      </c>
      <c r="C49" s="839">
        <v>8.1476901290375769E-2</v>
      </c>
      <c r="D49" s="839">
        <v>1.6971421549063503E-2</v>
      </c>
      <c r="E49" s="839">
        <v>1.6359914566082434E-2</v>
      </c>
      <c r="F49" s="839">
        <v>-3.1349332947493425E-3</v>
      </c>
      <c r="G49" s="839">
        <v>-4.8599982498207628E-2</v>
      </c>
      <c r="H49" s="756">
        <v>-9.6417624197875362E-3</v>
      </c>
      <c r="I49" s="102"/>
      <c r="J49" s="102"/>
      <c r="K49" s="102"/>
      <c r="L49" s="102"/>
      <c r="M49" s="102"/>
      <c r="N49" s="102"/>
      <c r="O49" s="102"/>
      <c r="P49" s="102"/>
      <c r="Q49" s="102"/>
      <c r="R49" s="102"/>
    </row>
    <row r="50" spans="1:18">
      <c r="A50" s="102"/>
      <c r="B50" s="834" t="s">
        <v>116</v>
      </c>
      <c r="C50" s="839">
        <v>9.1181242918995764E-2</v>
      </c>
      <c r="D50" s="839">
        <v>4.0015464084128816E-2</v>
      </c>
      <c r="E50" s="839">
        <v>7.5128883617395781E-2</v>
      </c>
      <c r="F50" s="839">
        <v>3.591949214171497E-2</v>
      </c>
      <c r="G50" s="839">
        <v>6.6234702050359306E-2</v>
      </c>
      <c r="H50" s="756">
        <v>4.3214039077165145E-2</v>
      </c>
      <c r="I50" s="102"/>
      <c r="J50" s="102"/>
      <c r="K50" s="102"/>
      <c r="L50" s="102"/>
      <c r="M50" s="102"/>
      <c r="N50" s="102"/>
      <c r="O50" s="102"/>
      <c r="P50" s="102"/>
      <c r="Q50" s="102"/>
      <c r="R50" s="102"/>
    </row>
    <row r="51" spans="1:18">
      <c r="A51" s="102"/>
      <c r="B51" s="834" t="s">
        <v>546</v>
      </c>
      <c r="C51" s="839">
        <v>1.0739339793663039E-2</v>
      </c>
      <c r="D51" s="839">
        <v>-1.3091646188259087E-3</v>
      </c>
      <c r="E51" s="839">
        <v>-4.590460301609478E-3</v>
      </c>
      <c r="F51" s="839">
        <v>-4.923342813797249E-3</v>
      </c>
      <c r="G51" s="839">
        <v>1.0676309835674358E-2</v>
      </c>
      <c r="H51" s="756">
        <v>-2.0320106841842378E-4</v>
      </c>
      <c r="I51" s="102"/>
      <c r="J51" s="102"/>
      <c r="K51" s="102"/>
      <c r="L51" s="102"/>
      <c r="M51" s="102"/>
      <c r="N51" s="102"/>
      <c r="O51" s="102"/>
      <c r="P51" s="102"/>
      <c r="Q51" s="102"/>
      <c r="R51" s="102"/>
    </row>
    <row r="52" spans="1:18">
      <c r="A52" s="102"/>
      <c r="B52" s="834" t="s">
        <v>176</v>
      </c>
      <c r="C52" s="839">
        <v>0.25153892653317622</v>
      </c>
      <c r="D52" s="839">
        <v>9.9364661638258633E-2</v>
      </c>
      <c r="E52" s="839">
        <v>0.18782161418291299</v>
      </c>
      <c r="F52" s="839">
        <v>9.7612793459624259E-2</v>
      </c>
      <c r="G52" s="839">
        <v>0.2606931594172166</v>
      </c>
      <c r="H52" s="756">
        <v>0.14348632029932573</v>
      </c>
      <c r="I52" s="102"/>
      <c r="J52" s="102"/>
      <c r="K52" s="102"/>
      <c r="L52" s="102"/>
      <c r="M52" s="102"/>
      <c r="N52" s="102"/>
      <c r="O52" s="102"/>
      <c r="P52" s="102"/>
      <c r="Q52" s="102"/>
      <c r="R52" s="102"/>
    </row>
    <row r="53" spans="1:18">
      <c r="A53" s="102"/>
      <c r="B53" s="874" t="s">
        <v>39</v>
      </c>
      <c r="C53" s="875">
        <v>0.1616704789093597</v>
      </c>
      <c r="D53" s="875">
        <v>8.9854040331036167E-2</v>
      </c>
      <c r="E53" s="875">
        <v>0.10393803066268914</v>
      </c>
      <c r="F53" s="875">
        <v>7.5406242441869553E-2</v>
      </c>
      <c r="G53" s="875">
        <v>5.8410880784083297E-2</v>
      </c>
      <c r="H53" s="876">
        <v>4.1416082982990376E-2</v>
      </c>
      <c r="I53" s="102"/>
      <c r="J53" s="102"/>
      <c r="K53" s="102"/>
      <c r="L53" s="102"/>
      <c r="M53" s="102"/>
      <c r="N53" s="102"/>
      <c r="O53" s="102"/>
      <c r="P53" s="102"/>
      <c r="Q53" s="102"/>
      <c r="R53" s="102"/>
    </row>
    <row r="54" spans="1:18">
      <c r="A54" s="102"/>
      <c r="B54" s="874" t="s">
        <v>119</v>
      </c>
      <c r="C54" s="875">
        <v>0.19573875599509516</v>
      </c>
      <c r="D54" s="875">
        <v>3.0435822807250767E-2</v>
      </c>
      <c r="E54" s="875">
        <v>0.16194078374076337</v>
      </c>
      <c r="F54" s="875">
        <v>2.2071757826079619E-2</v>
      </c>
      <c r="G54" s="875">
        <v>0.14394853511201733</v>
      </c>
      <c r="H54" s="876">
        <v>4.3353292933837606E-2</v>
      </c>
      <c r="I54" s="102"/>
      <c r="J54" s="102"/>
      <c r="K54" s="102"/>
      <c r="L54" s="102"/>
      <c r="M54" s="102"/>
      <c r="N54" s="102"/>
      <c r="O54" s="102"/>
      <c r="P54" s="102"/>
      <c r="Q54" s="102"/>
      <c r="R54" s="102"/>
    </row>
    <row r="55" spans="1:18">
      <c r="A55" s="102"/>
      <c r="B55" s="834" t="s">
        <v>120</v>
      </c>
      <c r="C55" s="839">
        <v>9.5410949790175836E-2</v>
      </c>
      <c r="D55" s="839">
        <v>4.1280663402731177E-2</v>
      </c>
      <c r="E55" s="839">
        <v>7.5192821074994587E-2</v>
      </c>
      <c r="F55" s="839">
        <v>3.6677300611384078E-2</v>
      </c>
      <c r="G55" s="839">
        <v>0.12814082277702954</v>
      </c>
      <c r="H55" s="756">
        <v>5.3764521986964686E-2</v>
      </c>
      <c r="I55" s="102"/>
      <c r="J55" s="102"/>
      <c r="K55" s="102"/>
      <c r="L55" s="102"/>
      <c r="M55" s="102"/>
      <c r="N55" s="102"/>
      <c r="O55" s="102"/>
      <c r="P55" s="102"/>
      <c r="Q55" s="102"/>
      <c r="R55" s="102"/>
    </row>
    <row r="56" spans="1:18">
      <c r="A56" s="102"/>
      <c r="B56" s="834" t="s">
        <v>121</v>
      </c>
      <c r="C56" s="839">
        <v>7.6501923839229935E-2</v>
      </c>
      <c r="D56" s="839">
        <v>-1.5174879363241134E-3</v>
      </c>
      <c r="E56" s="839">
        <v>3.9433794124435595E-2</v>
      </c>
      <c r="F56" s="839">
        <v>-1.4039692891456235E-2</v>
      </c>
      <c r="G56" s="839">
        <v>0.10311524427949448</v>
      </c>
      <c r="H56" s="756">
        <v>-3.5435434627397733E-3</v>
      </c>
      <c r="I56" s="102"/>
      <c r="J56" s="102"/>
      <c r="K56" s="102"/>
      <c r="L56" s="102"/>
      <c r="M56" s="102"/>
      <c r="N56" s="102"/>
      <c r="O56" s="102"/>
      <c r="P56" s="102"/>
      <c r="Q56" s="102"/>
      <c r="R56" s="102"/>
    </row>
    <row r="57" spans="1:18">
      <c r="A57" s="102"/>
      <c r="B57" s="874" t="s">
        <v>122</v>
      </c>
      <c r="C57" s="875">
        <v>0.15314847840102797</v>
      </c>
      <c r="D57" s="875">
        <v>-1.232457103703799E-2</v>
      </c>
      <c r="E57" s="875">
        <v>0.12057048924016112</v>
      </c>
      <c r="F57" s="875">
        <v>-1.7215641110648994E-2</v>
      </c>
      <c r="G57" s="875">
        <v>0.18962845034783715</v>
      </c>
      <c r="H57" s="876">
        <v>6.7651631107156218E-2</v>
      </c>
      <c r="I57" s="102"/>
      <c r="J57" s="102"/>
      <c r="K57" s="102"/>
      <c r="L57" s="102"/>
      <c r="M57" s="102"/>
      <c r="N57" s="102"/>
      <c r="O57" s="102"/>
      <c r="P57" s="102"/>
      <c r="Q57" s="102"/>
      <c r="R57" s="102"/>
    </row>
    <row r="58" spans="1:18">
      <c r="A58" s="102"/>
      <c r="B58" s="874" t="s">
        <v>44</v>
      </c>
      <c r="C58" s="875">
        <v>0.12207412556445907</v>
      </c>
      <c r="D58" s="875">
        <v>-2.0875043663615034E-2</v>
      </c>
      <c r="E58" s="875">
        <v>9.0318866938884357E-2</v>
      </c>
      <c r="F58" s="875">
        <v>-3.3650306803111429E-2</v>
      </c>
      <c r="G58" s="875">
        <v>0.13763965972228442</v>
      </c>
      <c r="H58" s="876">
        <v>-2.7443735417818749E-2</v>
      </c>
      <c r="I58" s="102"/>
      <c r="J58" s="102"/>
      <c r="K58" s="102"/>
      <c r="L58" s="102"/>
      <c r="M58" s="102"/>
      <c r="N58" s="102"/>
      <c r="O58" s="102"/>
      <c r="P58" s="102"/>
      <c r="Q58" s="102"/>
      <c r="R58" s="102"/>
    </row>
    <row r="59" spans="1:18">
      <c r="A59" s="102"/>
      <c r="B59" s="834" t="s">
        <v>45</v>
      </c>
      <c r="C59" s="839">
        <v>4.1359668949095818E-2</v>
      </c>
      <c r="D59" s="839">
        <v>-1.848717270563327E-2</v>
      </c>
      <c r="E59" s="839">
        <v>8.0346856572848235E-3</v>
      </c>
      <c r="F59" s="839">
        <v>-1.848717270563327E-2</v>
      </c>
      <c r="G59" s="839">
        <v>2.4485027031133644E-3</v>
      </c>
      <c r="H59" s="756">
        <v>-1.848717270563327E-2</v>
      </c>
      <c r="I59" s="102"/>
      <c r="J59" s="102"/>
      <c r="K59" s="102"/>
      <c r="L59" s="102"/>
      <c r="M59" s="102"/>
      <c r="N59" s="102"/>
      <c r="O59" s="102"/>
      <c r="P59" s="102"/>
      <c r="Q59" s="102"/>
      <c r="R59" s="102"/>
    </row>
    <row r="60" spans="1:18">
      <c r="A60" s="102"/>
      <c r="B60" s="834" t="s">
        <v>123</v>
      </c>
      <c r="C60" s="839">
        <v>0.16800654834748574</v>
      </c>
      <c r="D60" s="839">
        <v>9.1118093937468059E-2</v>
      </c>
      <c r="E60" s="839">
        <v>0.16374519076281135</v>
      </c>
      <c r="F60" s="839">
        <v>8.8685359858693857E-2</v>
      </c>
      <c r="G60" s="839">
        <v>0.10337814201258677</v>
      </c>
      <c r="H60" s="756">
        <v>0.10177570680727555</v>
      </c>
      <c r="I60" s="102"/>
      <c r="J60" s="102"/>
      <c r="K60" s="102"/>
      <c r="L60" s="102"/>
      <c r="M60" s="102"/>
      <c r="N60" s="102"/>
      <c r="O60" s="102"/>
      <c r="P60" s="102"/>
      <c r="Q60" s="102"/>
      <c r="R60" s="102"/>
    </row>
    <row r="61" spans="1:18">
      <c r="A61" s="102"/>
      <c r="B61" s="874" t="s">
        <v>124</v>
      </c>
      <c r="C61" s="875">
        <v>0.14912964150101038</v>
      </c>
      <c r="D61" s="875">
        <v>1.0176661321116498E-2</v>
      </c>
      <c r="E61" s="875">
        <v>0.10130347391160122</v>
      </c>
      <c r="F61" s="875">
        <v>-1.0015591187008122E-3</v>
      </c>
      <c r="G61" s="875">
        <v>7.6873999522017344E-2</v>
      </c>
      <c r="H61" s="876">
        <v>5.7018891249389636E-3</v>
      </c>
      <c r="I61" s="102"/>
      <c r="J61" s="102"/>
      <c r="K61" s="102"/>
      <c r="L61" s="102"/>
      <c r="M61" s="102"/>
      <c r="N61" s="102"/>
      <c r="O61" s="102"/>
      <c r="P61" s="102"/>
      <c r="Q61" s="102"/>
      <c r="R61" s="102"/>
    </row>
    <row r="62" spans="1:18">
      <c r="A62" s="102"/>
      <c r="B62" s="834" t="s">
        <v>47</v>
      </c>
      <c r="C62" s="839">
        <v>1.6804916400657621E-2</v>
      </c>
      <c r="D62" s="839">
        <v>-1.6151859820122016E-2</v>
      </c>
      <c r="E62" s="839">
        <v>-2.8144868738223749E-2</v>
      </c>
      <c r="F62" s="839">
        <v>-2.1367305141693049E-2</v>
      </c>
      <c r="G62" s="839">
        <v>3.8865470190381668E-2</v>
      </c>
      <c r="H62" s="756">
        <v>-1.8267795766760853E-2</v>
      </c>
      <c r="I62" s="102"/>
      <c r="J62" s="102"/>
      <c r="K62" s="102"/>
      <c r="L62" s="102"/>
      <c r="M62" s="102"/>
      <c r="N62" s="102"/>
      <c r="O62" s="102"/>
      <c r="P62" s="102"/>
      <c r="Q62" s="102"/>
      <c r="R62" s="102"/>
    </row>
    <row r="63" spans="1:18">
      <c r="A63" s="102"/>
      <c r="B63" s="874" t="s">
        <v>48</v>
      </c>
      <c r="C63" s="875">
        <v>1.0621518150295328E-2</v>
      </c>
      <c r="D63" s="875">
        <v>4.1884286402793292E-2</v>
      </c>
      <c r="E63" s="875">
        <v>2.7295275120211571E-3</v>
      </c>
      <c r="F63" s="875">
        <v>4.1730774647024571E-2</v>
      </c>
      <c r="G63" s="875">
        <v>0.11532526967137646</v>
      </c>
      <c r="H63" s="876">
        <v>6.3234741452977694E-2</v>
      </c>
      <c r="I63" s="102"/>
      <c r="J63" s="102"/>
      <c r="K63" s="102"/>
      <c r="L63" s="102"/>
      <c r="M63" s="102"/>
      <c r="N63" s="102"/>
      <c r="O63" s="102"/>
      <c r="P63" s="102"/>
      <c r="Q63" s="102"/>
      <c r="R63" s="102"/>
    </row>
    <row r="64" spans="1:18">
      <c r="A64" s="102"/>
      <c r="B64" s="834" t="s">
        <v>125</v>
      </c>
      <c r="C64" s="839">
        <v>0.23666659434651804</v>
      </c>
      <c r="D64" s="839">
        <v>0.14817932120184363</v>
      </c>
      <c r="E64" s="839">
        <v>0.1956198900828392</v>
      </c>
      <c r="F64" s="839">
        <v>0.14158697492825056</v>
      </c>
      <c r="G64" s="839">
        <v>0.22131975875965049</v>
      </c>
      <c r="H64" s="756">
        <v>0.14968085241390616</v>
      </c>
      <c r="I64" s="102"/>
      <c r="J64" s="102"/>
      <c r="K64" s="102"/>
      <c r="L64" s="102"/>
      <c r="M64" s="102"/>
      <c r="N64" s="102"/>
      <c r="O64" s="102"/>
      <c r="P64" s="102"/>
      <c r="Q64" s="102"/>
      <c r="R64" s="102"/>
    </row>
    <row r="65" spans="1:18">
      <c r="A65" s="102"/>
      <c r="B65" s="834" t="s">
        <v>547</v>
      </c>
      <c r="C65" s="839">
        <v>0.13278127850768651</v>
      </c>
      <c r="D65" s="839">
        <v>-2.576596273233811E-4</v>
      </c>
      <c r="E65" s="839">
        <v>0.12407061478299486</v>
      </c>
      <c r="F65" s="839">
        <v>-7.2847901740894505E-3</v>
      </c>
      <c r="G65" s="839">
        <v>0.11858472037901335</v>
      </c>
      <c r="H65" s="756">
        <v>5.9459445918603748E-3</v>
      </c>
      <c r="I65" s="102"/>
      <c r="J65" s="102"/>
      <c r="K65" s="102"/>
      <c r="L65" s="102"/>
      <c r="M65" s="102"/>
      <c r="N65" s="102"/>
      <c r="O65" s="102"/>
      <c r="P65" s="102"/>
      <c r="Q65" s="102"/>
      <c r="R65" s="102"/>
    </row>
    <row r="66" spans="1:18">
      <c r="A66" s="102"/>
      <c r="B66" s="834" t="s">
        <v>53</v>
      </c>
      <c r="C66" s="839">
        <v>-0.16699159883329995</v>
      </c>
      <c r="D66" s="839">
        <v>-7.8177547147499915E-3</v>
      </c>
      <c r="E66" s="839">
        <v>6.5772761751164754E-2</v>
      </c>
      <c r="F66" s="839">
        <v>-1.5455449743423499E-2</v>
      </c>
      <c r="G66" s="839">
        <v>7.0251502642677766E-2</v>
      </c>
      <c r="H66" s="756">
        <v>-5.2297121613692488E-3</v>
      </c>
      <c r="I66" s="102"/>
      <c r="J66" s="102"/>
      <c r="K66" s="102"/>
      <c r="L66" s="102"/>
      <c r="M66" s="102"/>
      <c r="N66" s="102"/>
      <c r="O66" s="102"/>
      <c r="P66" s="102"/>
      <c r="Q66" s="102"/>
      <c r="R66" s="102"/>
    </row>
    <row r="67" spans="1:18">
      <c r="A67" s="102"/>
      <c r="B67" s="874" t="s">
        <v>126</v>
      </c>
      <c r="C67" s="875">
        <v>0.17653396783281505</v>
      </c>
      <c r="D67" s="875">
        <v>1.1151660878275127E-2</v>
      </c>
      <c r="E67" s="875">
        <v>0.13609843206042394</v>
      </c>
      <c r="F67" s="875">
        <v>-3.2134881958780781E-3</v>
      </c>
      <c r="G67" s="875">
        <v>0.12210233245496083</v>
      </c>
      <c r="H67" s="876">
        <v>2.2991882112279427E-2</v>
      </c>
      <c r="I67" s="102"/>
      <c r="J67" s="102"/>
      <c r="K67" s="102"/>
      <c r="L67" s="102"/>
      <c r="M67" s="102"/>
      <c r="N67" s="102"/>
      <c r="O67" s="102"/>
      <c r="P67" s="102"/>
      <c r="Q67" s="102"/>
      <c r="R67" s="102"/>
    </row>
    <row r="68" spans="1:18">
      <c r="A68" s="102"/>
      <c r="B68" s="874" t="s">
        <v>127</v>
      </c>
      <c r="C68" s="875">
        <v>0.10054775954764961</v>
      </c>
      <c r="D68" s="875">
        <v>-1.4982153029187373E-2</v>
      </c>
      <c r="E68" s="875">
        <v>7.0248276895477968E-2</v>
      </c>
      <c r="F68" s="875">
        <v>-7.1834373273351737E-3</v>
      </c>
      <c r="G68" s="875">
        <v>8.4521554899444018E-2</v>
      </c>
      <c r="H68" s="876">
        <v>-2.5583290421109517E-2</v>
      </c>
      <c r="I68" s="102"/>
      <c r="J68" s="102"/>
      <c r="K68" s="102"/>
      <c r="L68" s="102"/>
      <c r="M68" s="102"/>
      <c r="N68" s="102"/>
      <c r="O68" s="102"/>
      <c r="P68" s="102"/>
      <c r="Q68" s="102"/>
      <c r="R68" s="102"/>
    </row>
    <row r="69" spans="1:18">
      <c r="A69" s="102"/>
      <c r="B69" s="834" t="s">
        <v>214</v>
      </c>
      <c r="C69" s="839"/>
      <c r="D69" s="839">
        <v>-1.3087871123570904E-2</v>
      </c>
      <c r="E69" s="839"/>
      <c r="F69" s="839">
        <v>-1.4241521831298565E-2</v>
      </c>
      <c r="G69" s="839"/>
      <c r="H69" s="756">
        <v>6.9894658340281524E-3</v>
      </c>
      <c r="I69" s="102"/>
      <c r="J69" s="102"/>
      <c r="K69" s="102"/>
      <c r="L69" s="102"/>
      <c r="M69" s="102"/>
      <c r="N69" s="102"/>
      <c r="O69" s="102"/>
      <c r="P69" s="102"/>
      <c r="Q69" s="102"/>
      <c r="R69" s="102"/>
    </row>
    <row r="70" spans="1:18">
      <c r="A70" s="102"/>
      <c r="B70" s="874" t="s">
        <v>57</v>
      </c>
      <c r="C70" s="875">
        <v>6.6689713664586536E-2</v>
      </c>
      <c r="D70" s="875">
        <v>-3.3612951015760006E-2</v>
      </c>
      <c r="E70" s="875">
        <v>2.8416131207842366E-2</v>
      </c>
      <c r="F70" s="875">
        <v>-4.066796675081108E-2</v>
      </c>
      <c r="G70" s="875">
        <v>-0.10902733985332402</v>
      </c>
      <c r="H70" s="876">
        <v>-3.0626189164544848E-2</v>
      </c>
      <c r="I70" s="102"/>
      <c r="J70" s="102"/>
      <c r="K70" s="102"/>
      <c r="L70" s="102"/>
      <c r="M70" s="102"/>
      <c r="N70" s="102"/>
      <c r="O70" s="102"/>
      <c r="P70" s="102"/>
      <c r="Q70" s="102"/>
      <c r="R70" s="102"/>
    </row>
    <row r="71" spans="1:18">
      <c r="A71" s="102"/>
      <c r="B71" s="842" t="s">
        <v>368</v>
      </c>
      <c r="C71" s="843">
        <v>7.7796387245575138E-2</v>
      </c>
      <c r="D71" s="843">
        <v>2.6274050943542182E-3</v>
      </c>
      <c r="E71" s="843">
        <v>4.7955429352074752E-2</v>
      </c>
      <c r="F71" s="843">
        <v>-1.8599362163896904E-3</v>
      </c>
      <c r="G71" s="843">
        <v>6.2615988780736265E-2</v>
      </c>
      <c r="H71" s="841">
        <v>5.7299580122418536E-3</v>
      </c>
      <c r="I71" s="102"/>
      <c r="J71" s="102"/>
      <c r="K71" s="102"/>
      <c r="L71" s="102"/>
      <c r="M71" s="102"/>
      <c r="N71" s="102"/>
      <c r="O71" s="102"/>
      <c r="P71" s="102"/>
      <c r="Q71" s="102"/>
      <c r="R71" s="102"/>
    </row>
    <row r="72" spans="1:18">
      <c r="A72" s="102"/>
      <c r="B72" s="859" t="s">
        <v>463</v>
      </c>
      <c r="C72" s="861">
        <v>6.3948706127553878E-2</v>
      </c>
      <c r="D72" s="861">
        <v>-2.9543109253149513E-3</v>
      </c>
      <c r="E72" s="861">
        <v>3.5434300270181796E-2</v>
      </c>
      <c r="F72" s="861">
        <v>-7.0187745995450301E-3</v>
      </c>
      <c r="G72" s="861">
        <v>5.402870361475709E-2</v>
      </c>
      <c r="H72" s="862">
        <v>1.9476394070043757E-3</v>
      </c>
      <c r="I72" s="102"/>
      <c r="J72" s="102"/>
      <c r="K72" s="102"/>
      <c r="L72" s="102"/>
      <c r="M72" s="102"/>
      <c r="N72" s="102"/>
      <c r="O72" s="102"/>
      <c r="P72" s="102"/>
      <c r="Q72" s="102"/>
      <c r="R72" s="102"/>
    </row>
    <row r="73" spans="1:18">
      <c r="A73" s="102"/>
      <c r="B73" s="835" t="s">
        <v>462</v>
      </c>
      <c r="C73" s="839">
        <v>0.1447062715611025</v>
      </c>
      <c r="D73" s="839">
        <v>2.8485144456452671E-2</v>
      </c>
      <c r="E73" s="839">
        <v>0.10853018741494358</v>
      </c>
      <c r="F73" s="839">
        <v>2.2068951706887718E-2</v>
      </c>
      <c r="G73" s="839">
        <v>0.10388455592699453</v>
      </c>
      <c r="H73" s="756">
        <v>2.31748627527808E-2</v>
      </c>
      <c r="I73" s="102"/>
      <c r="J73" s="102"/>
      <c r="K73" s="102"/>
      <c r="L73" s="102"/>
      <c r="M73" s="102"/>
      <c r="N73" s="102"/>
      <c r="O73" s="102"/>
      <c r="P73" s="102"/>
      <c r="Q73" s="102"/>
      <c r="R73" s="102"/>
    </row>
    <row r="74" spans="1:18">
      <c r="A74" s="102"/>
      <c r="B74" s="859" t="s">
        <v>308</v>
      </c>
      <c r="C74" s="861">
        <v>0.11279248813148435</v>
      </c>
      <c r="D74" s="861">
        <v>9.6358437904993099E-3</v>
      </c>
      <c r="E74" s="861">
        <v>8.5978741071940146E-2</v>
      </c>
      <c r="F74" s="861">
        <v>6.7855780179375547E-3</v>
      </c>
      <c r="G74" s="861">
        <v>7.8586424813556377E-2</v>
      </c>
      <c r="H74" s="862">
        <v>1.8258136659552893E-2</v>
      </c>
      <c r="I74" s="102"/>
      <c r="J74" s="102"/>
      <c r="K74" s="102"/>
      <c r="L74" s="102"/>
      <c r="M74" s="102"/>
      <c r="N74" s="102"/>
      <c r="O74" s="102"/>
      <c r="P74" s="102"/>
      <c r="Q74" s="102"/>
      <c r="R74" s="102"/>
    </row>
    <row r="75" spans="1:18">
      <c r="A75" s="102"/>
      <c r="B75" s="860" t="s">
        <v>478</v>
      </c>
      <c r="C75" s="840">
        <v>1.8987115795417342E-2</v>
      </c>
      <c r="D75" s="840">
        <v>-9.9841975014359763E-3</v>
      </c>
      <c r="E75" s="840">
        <v>-5.1497388984653836E-2</v>
      </c>
      <c r="F75" s="840">
        <v>-3.3314286070867727E-2</v>
      </c>
      <c r="G75" s="840">
        <v>2.087405224836747E-2</v>
      </c>
      <c r="H75" s="757">
        <v>-1.207950633000876E-2</v>
      </c>
      <c r="I75" s="102"/>
      <c r="J75" s="102"/>
      <c r="K75" s="102"/>
      <c r="L75" s="102"/>
      <c r="M75" s="102"/>
      <c r="N75" s="102"/>
      <c r="O75" s="102"/>
      <c r="P75" s="102"/>
      <c r="Q75" s="102"/>
      <c r="R75" s="102"/>
    </row>
    <row r="76" spans="1:18">
      <c r="A76" s="102"/>
      <c r="B76" s="102"/>
      <c r="C76" s="102"/>
      <c r="D76" s="102"/>
      <c r="E76" s="102"/>
      <c r="F76" s="102"/>
      <c r="G76" s="102"/>
      <c r="H76" s="102"/>
      <c r="I76" s="102"/>
      <c r="J76" s="102"/>
      <c r="K76" s="102"/>
      <c r="L76" s="102"/>
      <c r="M76" s="102"/>
      <c r="N76" s="102"/>
      <c r="O76" s="102"/>
      <c r="P76" s="102"/>
      <c r="Q76" s="102"/>
      <c r="R76" s="102"/>
    </row>
    <row r="77" spans="1:18">
      <c r="A77" s="102"/>
      <c r="B77" s="738" t="s">
        <v>28</v>
      </c>
      <c r="C77" s="520" t="s">
        <v>511</v>
      </c>
      <c r="D77" s="520" t="s">
        <v>165</v>
      </c>
      <c r="E77" s="520"/>
      <c r="F77" s="520" t="s">
        <v>514</v>
      </c>
      <c r="G77" s="521" t="s">
        <v>165</v>
      </c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</row>
    <row r="78" spans="1:18">
      <c r="A78" s="102"/>
      <c r="B78" s="170" t="s">
        <v>53</v>
      </c>
      <c r="C78" s="412">
        <v>299335.67</v>
      </c>
      <c r="D78" s="610">
        <f>C78/C$107</f>
        <v>0.301288797845153</v>
      </c>
      <c r="E78" s="121"/>
      <c r="F78" s="412">
        <v>531185</v>
      </c>
      <c r="G78" s="414">
        <f>F78/F$107</f>
        <v>0.26479876575261629</v>
      </c>
      <c r="H78" s="102"/>
      <c r="I78" s="102"/>
      <c r="J78" s="102"/>
      <c r="K78" s="102"/>
      <c r="L78" s="102"/>
      <c r="M78" s="102"/>
      <c r="N78" s="102"/>
      <c r="O78" s="102"/>
      <c r="P78" s="102"/>
      <c r="Q78" s="102"/>
      <c r="R78" s="102"/>
    </row>
    <row r="79" spans="1:18">
      <c r="A79" s="102"/>
      <c r="B79" s="170" t="s">
        <v>47</v>
      </c>
      <c r="C79" s="412">
        <v>146312.60999999999</v>
      </c>
      <c r="D79" s="610">
        <f t="shared" ref="D79:D107" si="0">C79/C$107</f>
        <v>0.14726728149868243</v>
      </c>
      <c r="E79" s="121"/>
      <c r="F79" s="412">
        <v>319181</v>
      </c>
      <c r="G79" s="414">
        <f t="shared" ref="G79:G106" si="1">F79/F$107</f>
        <v>0.15911355714428271</v>
      </c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</row>
    <row r="80" spans="1:18">
      <c r="A80" s="102"/>
      <c r="B80" s="170" t="s">
        <v>456</v>
      </c>
      <c r="C80" s="412">
        <v>74849.528153916617</v>
      </c>
      <c r="D80" s="610">
        <f>C80/C$107</f>
        <v>7.5337911972771149E-2</v>
      </c>
      <c r="E80" s="121"/>
      <c r="F80" s="412">
        <v>192179</v>
      </c>
      <c r="G80" s="414">
        <f t="shared" si="1"/>
        <v>9.5802332527409551E-2</v>
      </c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</row>
    <row r="81" spans="1:18">
      <c r="A81" s="102"/>
      <c r="B81" s="170" t="s">
        <v>214</v>
      </c>
      <c r="C81" s="412">
        <v>68078.323999999993</v>
      </c>
      <c r="D81" s="610">
        <f t="shared" si="0"/>
        <v>6.8522526557803234E-2</v>
      </c>
      <c r="E81" s="121"/>
      <c r="F81" s="412">
        <v>164250</v>
      </c>
      <c r="G81" s="414">
        <f t="shared" si="1"/>
        <v>8.1879566017239239E-2</v>
      </c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</row>
    <row r="82" spans="1:18">
      <c r="A82" s="102"/>
      <c r="B82" s="170" t="s">
        <v>52</v>
      </c>
      <c r="C82" s="412">
        <v>49724.815000000002</v>
      </c>
      <c r="D82" s="610">
        <f t="shared" si="0"/>
        <v>5.004926320482498E-2</v>
      </c>
      <c r="E82" s="121"/>
      <c r="F82" s="412">
        <v>108978</v>
      </c>
      <c r="G82" s="414">
        <f t="shared" si="1"/>
        <v>5.4326157354196027E-2</v>
      </c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</row>
    <row r="83" spans="1:18">
      <c r="A83" s="102"/>
      <c r="B83" s="170" t="s">
        <v>127</v>
      </c>
      <c r="C83" s="412">
        <v>46084.951999999997</v>
      </c>
      <c r="D83" s="610">
        <f t="shared" si="0"/>
        <v>4.6385650553546057E-2</v>
      </c>
      <c r="E83" s="121"/>
      <c r="F83" s="412">
        <v>83614</v>
      </c>
      <c r="G83" s="414">
        <f t="shared" si="1"/>
        <v>4.1682058039363423E-2</v>
      </c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</row>
    <row r="84" spans="1:18">
      <c r="A84" s="102"/>
      <c r="B84" s="170" t="s">
        <v>174</v>
      </c>
      <c r="C84" s="412">
        <v>39945.123</v>
      </c>
      <c r="D84" s="610">
        <f t="shared" si="0"/>
        <v>4.0205759936484592E-2</v>
      </c>
      <c r="E84" s="121"/>
      <c r="F84" s="412">
        <v>79688</v>
      </c>
      <c r="G84" s="414">
        <f t="shared" si="1"/>
        <v>3.9724924546616504E-2</v>
      </c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</row>
    <row r="85" spans="1:18">
      <c r="A85" s="102"/>
      <c r="B85" s="170" t="s">
        <v>44</v>
      </c>
      <c r="C85" s="412">
        <v>19548.625</v>
      </c>
      <c r="D85" s="610">
        <f t="shared" si="0"/>
        <v>1.9676177335550101E-2</v>
      </c>
      <c r="E85" s="121"/>
      <c r="F85" s="412">
        <v>54416</v>
      </c>
      <c r="G85" s="414">
        <f t="shared" si="1"/>
        <v>2.7126687758868132E-2</v>
      </c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</row>
    <row r="86" spans="1:18">
      <c r="A86" s="102"/>
      <c r="B86" s="170" t="s">
        <v>35</v>
      </c>
      <c r="C86" s="412">
        <v>12931.433999999999</v>
      </c>
      <c r="D86" s="610">
        <f t="shared" si="0"/>
        <v>1.3015809991084384E-2</v>
      </c>
      <c r="E86" s="121"/>
      <c r="F86" s="412">
        <v>42483</v>
      </c>
      <c r="G86" s="414">
        <f t="shared" si="1"/>
        <v>2.1178018892605021E-2</v>
      </c>
      <c r="H86" s="102"/>
      <c r="I86" s="102"/>
      <c r="J86" s="102"/>
      <c r="K86" s="102"/>
      <c r="L86" s="102"/>
      <c r="M86" s="102"/>
      <c r="N86" s="102"/>
      <c r="O86" s="102"/>
      <c r="P86" s="102"/>
      <c r="Q86" s="102"/>
      <c r="R86" s="102"/>
    </row>
    <row r="87" spans="1:18">
      <c r="A87" s="102"/>
      <c r="B87" s="170" t="s">
        <v>114</v>
      </c>
      <c r="C87" s="412">
        <v>12376.34</v>
      </c>
      <c r="D87" s="610">
        <f t="shared" si="0"/>
        <v>1.2457094072092648E-2</v>
      </c>
      <c r="E87" s="121"/>
      <c r="F87" s="412">
        <v>36859</v>
      </c>
      <c r="G87" s="414">
        <f t="shared" si="1"/>
        <v>1.8374422671716413E-2</v>
      </c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</row>
    <row r="88" spans="1:18">
      <c r="A88" s="102"/>
      <c r="B88" s="170" t="s">
        <v>121</v>
      </c>
      <c r="C88" s="412">
        <v>17897.39</v>
      </c>
      <c r="D88" s="610">
        <f t="shared" si="0"/>
        <v>1.8014168233494735E-2</v>
      </c>
      <c r="E88" s="121"/>
      <c r="F88" s="412">
        <v>36679</v>
      </c>
      <c r="G88" s="414">
        <f t="shared" si="1"/>
        <v>1.8284691640464645E-2</v>
      </c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</row>
    <row r="89" spans="1:18">
      <c r="A89" s="102"/>
      <c r="B89" s="170" t="s">
        <v>124</v>
      </c>
      <c r="C89" s="412">
        <v>25671.280999999999</v>
      </c>
      <c r="D89" s="610">
        <f t="shared" si="0"/>
        <v>2.5838782900932313E-2</v>
      </c>
      <c r="E89" s="121"/>
      <c r="F89" s="412">
        <v>34431</v>
      </c>
      <c r="G89" s="414">
        <f t="shared" si="1"/>
        <v>1.7164050761275886E-2</v>
      </c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</row>
    <row r="90" spans="1:18">
      <c r="A90" s="102"/>
      <c r="B90" s="170" t="s">
        <v>39</v>
      </c>
      <c r="C90" s="412">
        <v>19917.697</v>
      </c>
      <c r="D90" s="610">
        <f t="shared" si="0"/>
        <v>2.0047657484235041E-2</v>
      </c>
      <c r="E90" s="121"/>
      <c r="F90" s="412">
        <v>34247</v>
      </c>
      <c r="G90" s="414">
        <f t="shared" si="1"/>
        <v>1.707232570710741E-2</v>
      </c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</row>
    <row r="91" spans="1:18">
      <c r="A91" s="102"/>
      <c r="B91" s="170" t="s">
        <v>125</v>
      </c>
      <c r="C91" s="412">
        <v>13472.129000000001</v>
      </c>
      <c r="D91" s="610">
        <f t="shared" si="0"/>
        <v>1.356003295840026E-2</v>
      </c>
      <c r="E91" s="121"/>
      <c r="F91" s="412">
        <v>31002</v>
      </c>
      <c r="G91" s="414">
        <f t="shared" si="1"/>
        <v>1.5454674615929686E-2</v>
      </c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</row>
    <row r="92" spans="1:18">
      <c r="A92" s="102"/>
      <c r="B92" s="170" t="s">
        <v>112</v>
      </c>
      <c r="C92" s="412">
        <v>12048.423000000001</v>
      </c>
      <c r="D92" s="610">
        <f t="shared" si="0"/>
        <v>1.2127037454640445E-2</v>
      </c>
      <c r="E92" s="121"/>
      <c r="F92" s="412">
        <v>30826</v>
      </c>
      <c r="G92" s="414">
        <f t="shared" si="1"/>
        <v>1.5366937607594623E-2</v>
      </c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</row>
    <row r="93" spans="1:18">
      <c r="A93" s="102"/>
      <c r="B93" s="170" t="s">
        <v>177</v>
      </c>
      <c r="C93" s="412">
        <v>14279.221</v>
      </c>
      <c r="D93" s="610">
        <f t="shared" si="0"/>
        <v>1.4372391132855178E-2</v>
      </c>
      <c r="E93" s="121"/>
      <c r="F93" s="412">
        <v>25514</v>
      </c>
      <c r="G93" s="414">
        <f t="shared" si="1"/>
        <v>1.2718875174209084E-2</v>
      </c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</row>
    <row r="94" spans="1:18">
      <c r="A94" s="102"/>
      <c r="B94" s="170" t="s">
        <v>175</v>
      </c>
      <c r="C94" s="412">
        <v>11543.995999999999</v>
      </c>
      <c r="D94" s="610">
        <f t="shared" si="0"/>
        <v>1.1619319131492932E-2</v>
      </c>
      <c r="E94" s="121"/>
      <c r="F94" s="412">
        <v>24593</v>
      </c>
      <c r="G94" s="414">
        <f t="shared" si="1"/>
        <v>1.2259751397637532E-2</v>
      </c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</row>
    <row r="95" spans="1:18">
      <c r="A95" s="102"/>
      <c r="B95" s="170" t="s">
        <v>176</v>
      </c>
      <c r="C95" s="412">
        <v>15471.246999999999</v>
      </c>
      <c r="D95" s="610">
        <f t="shared" si="0"/>
        <v>1.5572194953563101E-2</v>
      </c>
      <c r="E95" s="121"/>
      <c r="F95" s="412">
        <v>24474</v>
      </c>
      <c r="G95" s="414">
        <f t="shared" si="1"/>
        <v>1.2200429215865529E-2</v>
      </c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</row>
    <row r="96" spans="1:18">
      <c r="A96" s="102"/>
      <c r="B96" s="170" t="s">
        <v>119</v>
      </c>
      <c r="C96" s="412">
        <v>13514.004999999999</v>
      </c>
      <c r="D96" s="610">
        <f t="shared" si="0"/>
        <v>1.3602182194067907E-2</v>
      </c>
      <c r="E96" s="121"/>
      <c r="F96" s="412">
        <v>24270</v>
      </c>
      <c r="G96" s="414">
        <f t="shared" si="1"/>
        <v>1.2098734047113525E-2</v>
      </c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</row>
    <row r="97" spans="1:18">
      <c r="A97" s="102"/>
      <c r="B97" s="170" t="s">
        <v>126</v>
      </c>
      <c r="C97" s="412">
        <v>9522.0843999999997</v>
      </c>
      <c r="D97" s="610">
        <f t="shared" si="0"/>
        <v>9.5842148109381194E-3</v>
      </c>
      <c r="E97" s="121"/>
      <c r="F97" s="412">
        <v>23510</v>
      </c>
      <c r="G97" s="414">
        <f t="shared" si="1"/>
        <v>1.1719869692939389E-2</v>
      </c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</row>
    <row r="98" spans="1:18">
      <c r="A98" s="102"/>
      <c r="B98" s="170" t="s">
        <v>115</v>
      </c>
      <c r="C98" s="412">
        <v>17884.327000000001</v>
      </c>
      <c r="D98" s="610">
        <f t="shared" si="0"/>
        <v>1.8001019999051942E-2</v>
      </c>
      <c r="E98" s="121"/>
      <c r="F98" s="412">
        <v>17803.999599999999</v>
      </c>
      <c r="G98" s="414">
        <f t="shared" si="1"/>
        <v>8.8753958028560172E-3</v>
      </c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</row>
    <row r="99" spans="1:18">
      <c r="A99" s="102"/>
      <c r="B99" s="170" t="s">
        <v>116</v>
      </c>
      <c r="C99" s="412">
        <v>6386.5065999999997</v>
      </c>
      <c r="D99" s="610">
        <f t="shared" si="0"/>
        <v>6.4281777575794273E-3</v>
      </c>
      <c r="E99" s="121"/>
      <c r="F99" s="412">
        <v>17266</v>
      </c>
      <c r="G99" s="414">
        <f t="shared" si="1"/>
        <v>8.6071999199613565E-3</v>
      </c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</row>
    <row r="100" spans="1:18">
      <c r="A100" s="102"/>
      <c r="B100" s="170" t="s">
        <v>123</v>
      </c>
      <c r="C100" s="412">
        <v>17142.62</v>
      </c>
      <c r="D100" s="610">
        <f t="shared" si="0"/>
        <v>1.7254473453552251E-2</v>
      </c>
      <c r="E100" s="121"/>
      <c r="F100" s="412">
        <v>14801</v>
      </c>
      <c r="G100" s="414">
        <f t="shared" si="1"/>
        <v>7.3783832975412968E-3</v>
      </c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</row>
    <row r="101" spans="1:18">
      <c r="A101" s="102"/>
      <c r="B101" s="170" t="s">
        <v>57</v>
      </c>
      <c r="C101" s="412">
        <v>9420.0532000000003</v>
      </c>
      <c r="D101" s="610">
        <f t="shared" si="0"/>
        <v>9.4815178701067836E-3</v>
      </c>
      <c r="E101" s="121"/>
      <c r="F101" s="412">
        <v>12876</v>
      </c>
      <c r="G101" s="414">
        <f t="shared" si="1"/>
        <v>6.4187597688765445E-3</v>
      </c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</row>
    <row r="102" spans="1:18">
      <c r="A102" s="102"/>
      <c r="B102" s="170" t="s">
        <v>122</v>
      </c>
      <c r="C102" s="412">
        <v>6883.0550000000003</v>
      </c>
      <c r="D102" s="610">
        <f t="shared" si="0"/>
        <v>6.9279660738463603E-3</v>
      </c>
      <c r="E102" s="121"/>
      <c r="F102" s="412">
        <v>12318</v>
      </c>
      <c r="G102" s="414">
        <f t="shared" si="1"/>
        <v>6.1405935719960605E-3</v>
      </c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</row>
    <row r="103" spans="1:18">
      <c r="A103" s="102"/>
      <c r="B103" s="170" t="s">
        <v>120</v>
      </c>
      <c r="C103" s="412">
        <v>3451.6480000000001</v>
      </c>
      <c r="D103" s="610">
        <f t="shared" si="0"/>
        <v>3.4741695719211372E-3</v>
      </c>
      <c r="E103" s="121"/>
      <c r="F103" s="412">
        <v>9048</v>
      </c>
      <c r="G103" s="414">
        <f t="shared" si="1"/>
        <v>4.5104798375889231E-3</v>
      </c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</row>
    <row r="104" spans="1:18">
      <c r="A104" s="102"/>
      <c r="B104" s="170" t="s">
        <v>32</v>
      </c>
      <c r="C104" s="412">
        <v>4128.1944000000003</v>
      </c>
      <c r="D104" s="610">
        <f t="shared" si="0"/>
        <v>4.1551303526475569E-3</v>
      </c>
      <c r="E104" s="121"/>
      <c r="F104" s="412">
        <v>8245</v>
      </c>
      <c r="G104" s="414">
        <f t="shared" si="1"/>
        <v>4.1101797370601979E-3</v>
      </c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</row>
    <row r="105" spans="1:18">
      <c r="A105" s="102"/>
      <c r="B105" s="170" t="s">
        <v>48</v>
      </c>
      <c r="C105" s="412">
        <v>3156.4140000000002</v>
      </c>
      <c r="D105" s="610">
        <f t="shared" si="0"/>
        <v>3.177009206960236E-3</v>
      </c>
      <c r="E105" s="121"/>
      <c r="F105" s="412">
        <v>6787</v>
      </c>
      <c r="G105" s="414">
        <f t="shared" si="1"/>
        <v>3.383358383920869E-3</v>
      </c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</row>
    <row r="106" spans="1:18">
      <c r="A106" s="102"/>
      <c r="B106" s="170" t="s">
        <v>113</v>
      </c>
      <c r="C106" s="412">
        <v>2539.7102</v>
      </c>
      <c r="D106" s="610">
        <f t="shared" si="0"/>
        <v>2.5562814917215616E-3</v>
      </c>
      <c r="E106" s="121"/>
      <c r="F106" s="412">
        <v>4471</v>
      </c>
      <c r="G106" s="414">
        <f t="shared" si="1"/>
        <v>2.2288191151481076E-3</v>
      </c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</row>
    <row r="107" spans="1:18">
      <c r="A107" s="102"/>
      <c r="B107" s="208" t="s">
        <v>368</v>
      </c>
      <c r="C107" s="635">
        <v>993517.42295391671</v>
      </c>
      <c r="D107" s="736">
        <f t="shared" si="0"/>
        <v>1</v>
      </c>
      <c r="E107" s="205"/>
      <c r="F107" s="635">
        <v>2005994.9996</v>
      </c>
      <c r="G107" s="737">
        <f>F107/F$107</f>
        <v>1</v>
      </c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</row>
    <row r="108" spans="1:18">
      <c r="A108" s="102"/>
      <c r="B108" s="102"/>
      <c r="C108" s="102"/>
      <c r="D108" s="102"/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</row>
    <row r="109" spans="1:18">
      <c r="A109" s="102"/>
      <c r="B109" s="738" t="s">
        <v>28</v>
      </c>
      <c r="C109" s="520" t="s">
        <v>512</v>
      </c>
      <c r="D109" s="521" t="s">
        <v>165</v>
      </c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738" t="s">
        <v>28</v>
      </c>
      <c r="Q109" s="520" t="s">
        <v>513</v>
      </c>
      <c r="R109" s="521" t="s">
        <v>165</v>
      </c>
    </row>
    <row r="110" spans="1:18">
      <c r="A110" s="102"/>
      <c r="B110" s="170" t="s">
        <v>53</v>
      </c>
      <c r="C110" s="412">
        <v>538136</v>
      </c>
      <c r="D110" s="414">
        <f>C110/C$139</f>
        <v>0.27099065162843672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70" t="s">
        <v>53</v>
      </c>
      <c r="Q110" s="739">
        <v>576.80600000000004</v>
      </c>
      <c r="R110" s="414">
        <f>Q110/Q$139</f>
        <v>0.27982024118564158</v>
      </c>
    </row>
    <row r="111" spans="1:18">
      <c r="A111" s="102"/>
      <c r="B111" s="170" t="s">
        <v>355</v>
      </c>
      <c r="C111" s="412">
        <v>292560.43660000002</v>
      </c>
      <c r="D111" s="414">
        <f t="shared" ref="D111:D139" si="2">C111/C$139</f>
        <v>0.1473254778623507</v>
      </c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70" t="s">
        <v>355</v>
      </c>
      <c r="Q111" s="739">
        <v>307.50698019000004</v>
      </c>
      <c r="R111" s="414">
        <f t="shared" ref="R111:R139" si="3">Q111/Q$139</f>
        <v>0.14917784725372848</v>
      </c>
    </row>
    <row r="112" spans="1:18">
      <c r="A112" s="102"/>
      <c r="B112" s="170" t="s">
        <v>456</v>
      </c>
      <c r="C112" s="412">
        <v>190152</v>
      </c>
      <c r="D112" s="414">
        <f t="shared" si="2"/>
        <v>9.575537482801838E-2</v>
      </c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70" t="s">
        <v>456</v>
      </c>
      <c r="Q112" s="739">
        <v>200.53023712645845</v>
      </c>
      <c r="R112" s="414">
        <f t="shared" si="3"/>
        <v>9.7281268429488407E-2</v>
      </c>
    </row>
    <row r="113" spans="1:18">
      <c r="A113" s="102"/>
      <c r="B113" s="170" t="s">
        <v>214</v>
      </c>
      <c r="C113" s="412">
        <v>148081.997</v>
      </c>
      <c r="D113" s="414">
        <f t="shared" si="2"/>
        <v>7.4570065673863511E-2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70" t="s">
        <v>214</v>
      </c>
      <c r="Q113" s="739">
        <v>151.72333209000001</v>
      </c>
      <c r="R113" s="414">
        <f t="shared" si="3"/>
        <v>7.3604052972599088E-2</v>
      </c>
    </row>
    <row r="114" spans="1:18">
      <c r="A114" s="102"/>
      <c r="B114" s="170" t="s">
        <v>52</v>
      </c>
      <c r="C114" s="412">
        <v>105661</v>
      </c>
      <c r="D114" s="414">
        <f t="shared" si="2"/>
        <v>5.3208005488783974E-2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70" t="s">
        <v>52</v>
      </c>
      <c r="Q114" s="739">
        <v>111.29488428000001</v>
      </c>
      <c r="R114" s="414">
        <f t="shared" si="3"/>
        <v>5.3991396348092198E-2</v>
      </c>
    </row>
    <row r="115" spans="1:18">
      <c r="A115" s="102"/>
      <c r="B115" s="170" t="s">
        <v>127</v>
      </c>
      <c r="C115" s="412">
        <v>79115.964500000002</v>
      </c>
      <c r="D115" s="414">
        <f t="shared" si="2"/>
        <v>3.9840647669115742E-2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70" t="s">
        <v>127</v>
      </c>
      <c r="Q115" s="739">
        <v>79.2515523</v>
      </c>
      <c r="R115" s="414">
        <f t="shared" si="3"/>
        <v>3.8446528779039202E-2</v>
      </c>
    </row>
    <row r="116" spans="1:18">
      <c r="A116" s="102"/>
      <c r="B116" s="170" t="s">
        <v>174</v>
      </c>
      <c r="C116" s="412">
        <v>72117</v>
      </c>
      <c r="D116" s="414">
        <f t="shared" si="2"/>
        <v>3.6316159527494854E-2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70" t="s">
        <v>174</v>
      </c>
      <c r="Q116" s="739">
        <v>77.435000000000002</v>
      </c>
      <c r="R116" s="414">
        <f t="shared" si="3"/>
        <v>3.7565282566773148E-2</v>
      </c>
    </row>
    <row r="117" spans="1:18">
      <c r="A117" s="102"/>
      <c r="B117" s="170" t="s">
        <v>44</v>
      </c>
      <c r="C117" s="412">
        <v>50025</v>
      </c>
      <c r="D117" s="414">
        <f t="shared" si="2"/>
        <v>2.5191229257497266E-2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70" t="s">
        <v>44</v>
      </c>
      <c r="Q117" s="739">
        <v>47.776600000000002</v>
      </c>
      <c r="R117" s="414">
        <f t="shared" si="3"/>
        <v>2.3177393673141269E-2</v>
      </c>
    </row>
    <row r="118" spans="1:18">
      <c r="A118" s="102"/>
      <c r="B118" s="170" t="s">
        <v>124</v>
      </c>
      <c r="C118" s="412">
        <v>45000.903099999996</v>
      </c>
      <c r="D118" s="414">
        <f t="shared" si="2"/>
        <v>2.2661230720370198E-2</v>
      </c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70" t="s">
        <v>124</v>
      </c>
      <c r="Q118" s="739">
        <v>42.936878</v>
      </c>
      <c r="R118" s="414">
        <f t="shared" si="3"/>
        <v>2.0829546776071101E-2</v>
      </c>
    </row>
    <row r="119" spans="1:18">
      <c r="A119" s="102"/>
      <c r="B119" s="170" t="s">
        <v>39</v>
      </c>
      <c r="C119" s="412">
        <v>39081</v>
      </c>
      <c r="D119" s="414">
        <f t="shared" si="2"/>
        <v>1.9680128547971024E-2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70" t="s">
        <v>39</v>
      </c>
      <c r="Q119" s="739">
        <v>42.164999999999999</v>
      </c>
      <c r="R119" s="414">
        <f t="shared" si="3"/>
        <v>2.0455093167533928E-2</v>
      </c>
    </row>
    <row r="120" spans="1:18">
      <c r="A120" s="102"/>
      <c r="B120" s="170" t="s">
        <v>121</v>
      </c>
      <c r="C120" s="412">
        <v>33563.5452</v>
      </c>
      <c r="D120" s="414">
        <f t="shared" si="2"/>
        <v>1.6901688392355261E-2</v>
      </c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70" t="s">
        <v>119</v>
      </c>
      <c r="Q120" s="739">
        <v>34.771000000000001</v>
      </c>
      <c r="R120" s="414">
        <f t="shared" si="3"/>
        <v>1.6868114420213975E-2</v>
      </c>
    </row>
    <row r="121" spans="1:18">
      <c r="A121" s="102"/>
      <c r="B121" s="170" t="s">
        <v>112</v>
      </c>
      <c r="C121" s="412">
        <v>33177.611000000004</v>
      </c>
      <c r="D121" s="414">
        <f t="shared" si="2"/>
        <v>1.6707342427127701E-2</v>
      </c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70" t="s">
        <v>112</v>
      </c>
      <c r="Q121" s="739">
        <v>34.530084000000002</v>
      </c>
      <c r="R121" s="414">
        <f t="shared" si="3"/>
        <v>1.6751241202484828E-2</v>
      </c>
    </row>
    <row r="122" spans="1:18">
      <c r="A122" s="102"/>
      <c r="B122" s="170" t="s">
        <v>125</v>
      </c>
      <c r="C122" s="412">
        <v>31490.000219999998</v>
      </c>
      <c r="D122" s="414">
        <f t="shared" si="2"/>
        <v>1.5857507543441465E-2</v>
      </c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70" t="s">
        <v>125</v>
      </c>
      <c r="Q122" s="739">
        <v>32.631</v>
      </c>
      <c r="R122" s="414">
        <f t="shared" si="3"/>
        <v>1.5829957195536575E-2</v>
      </c>
    </row>
    <row r="123" spans="1:18">
      <c r="A123" s="102"/>
      <c r="B123" s="170" t="s">
        <v>176</v>
      </c>
      <c r="C123" s="412">
        <v>30653</v>
      </c>
      <c r="D123" s="414">
        <f t="shared" si="2"/>
        <v>1.5436017000101223E-2</v>
      </c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70" t="s">
        <v>177</v>
      </c>
      <c r="Q123" s="739">
        <v>30.968</v>
      </c>
      <c r="R123" s="414">
        <f t="shared" si="3"/>
        <v>1.5023202305518575E-2</v>
      </c>
    </row>
    <row r="124" spans="1:18">
      <c r="A124" s="102"/>
      <c r="B124" s="170" t="s">
        <v>114</v>
      </c>
      <c r="C124" s="412">
        <v>29865.764300000003</v>
      </c>
      <c r="D124" s="414">
        <f t="shared" si="2"/>
        <v>1.5039586515375859E-2</v>
      </c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70" t="s">
        <v>114</v>
      </c>
      <c r="Q124" s="739">
        <v>30.914999999999999</v>
      </c>
      <c r="R124" s="414">
        <f t="shared" si="3"/>
        <v>1.4997490935000864E-2</v>
      </c>
    </row>
    <row r="125" spans="1:18">
      <c r="A125" s="102"/>
      <c r="B125" s="170" t="s">
        <v>177</v>
      </c>
      <c r="C125" s="412">
        <v>29453</v>
      </c>
      <c r="D125" s="414">
        <f t="shared" si="2"/>
        <v>1.4831729641600538E-2</v>
      </c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70" t="s">
        <v>176</v>
      </c>
      <c r="Q125" s="739">
        <v>30.817</v>
      </c>
      <c r="R125" s="414">
        <f t="shared" si="3"/>
        <v>1.4949949155553021E-2</v>
      </c>
    </row>
    <row r="126" spans="1:18">
      <c r="A126" s="102"/>
      <c r="B126" s="170" t="s">
        <v>115</v>
      </c>
      <c r="C126" s="412">
        <v>28835.999800000001</v>
      </c>
      <c r="D126" s="414">
        <f t="shared" si="2"/>
        <v>1.4521025124056878E-2</v>
      </c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70" t="s">
        <v>123</v>
      </c>
      <c r="Q126" s="739">
        <v>29.491375999999999</v>
      </c>
      <c r="R126" s="414">
        <f t="shared" si="3"/>
        <v>1.4306862177606405E-2</v>
      </c>
    </row>
    <row r="127" spans="1:18">
      <c r="A127" s="102"/>
      <c r="B127" s="170" t="s">
        <v>35</v>
      </c>
      <c r="C127" s="412">
        <v>28435.381999999998</v>
      </c>
      <c r="D127" s="414">
        <f t="shared" si="2"/>
        <v>1.4319284897281579E-2</v>
      </c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70" t="s">
        <v>121</v>
      </c>
      <c r="Q127" s="739">
        <v>29.02077478</v>
      </c>
      <c r="R127" s="414">
        <f t="shared" si="3"/>
        <v>1.4078564020370426E-2</v>
      </c>
    </row>
    <row r="128" spans="1:18">
      <c r="A128" s="102"/>
      <c r="B128" s="170" t="s">
        <v>123</v>
      </c>
      <c r="C128" s="412">
        <v>28166.375800000002</v>
      </c>
      <c r="D128" s="414">
        <f t="shared" si="2"/>
        <v>1.4183820692266326E-2</v>
      </c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70" t="s">
        <v>175</v>
      </c>
      <c r="Q128" s="739">
        <v>28.615608209999998</v>
      </c>
      <c r="R128" s="414">
        <f t="shared" si="3"/>
        <v>1.3882009533527778E-2</v>
      </c>
    </row>
    <row r="129" spans="1:35">
      <c r="A129" s="102"/>
      <c r="B129" s="170" t="s">
        <v>175</v>
      </c>
      <c r="C129" s="412">
        <v>27462.531600000002</v>
      </c>
      <c r="D129" s="414">
        <f t="shared" si="2"/>
        <v>1.382938389858797E-2</v>
      </c>
      <c r="E129" s="102"/>
      <c r="F129" s="102"/>
      <c r="G129" s="102"/>
      <c r="H129" s="102"/>
      <c r="I129" s="102"/>
      <c r="J129" s="102"/>
      <c r="K129" s="102"/>
      <c r="L129" s="102"/>
      <c r="M129" s="102"/>
      <c r="N129" s="102"/>
      <c r="O129" s="102"/>
      <c r="P129" s="170" t="s">
        <v>115</v>
      </c>
      <c r="Q129" s="739">
        <v>27.105</v>
      </c>
      <c r="R129" s="414">
        <f t="shared" si="3"/>
        <v>1.3149182978916332E-2</v>
      </c>
    </row>
    <row r="130" spans="1:35">
      <c r="A130" s="102"/>
      <c r="B130" s="170" t="s">
        <v>119</v>
      </c>
      <c r="C130" s="412">
        <v>27002</v>
      </c>
      <c r="D130" s="414">
        <f t="shared" si="2"/>
        <v>1.3597472711862891E-2</v>
      </c>
      <c r="E130" s="102"/>
      <c r="F130" s="102"/>
      <c r="G130" s="102"/>
      <c r="H130" s="102"/>
      <c r="I130" s="102"/>
      <c r="J130" s="102"/>
      <c r="K130" s="102"/>
      <c r="L130" s="102"/>
      <c r="M130" s="102"/>
      <c r="N130" s="102"/>
      <c r="O130" s="102"/>
      <c r="P130" s="170" t="s">
        <v>35</v>
      </c>
      <c r="Q130" s="739">
        <v>22.716382000000003</v>
      </c>
      <c r="R130" s="414">
        <f t="shared" si="3"/>
        <v>1.1020175743846575E-2</v>
      </c>
    </row>
    <row r="131" spans="1:35">
      <c r="A131" s="102"/>
      <c r="B131" s="170" t="s">
        <v>126</v>
      </c>
      <c r="C131" s="412">
        <v>19847.9074</v>
      </c>
      <c r="D131" s="414">
        <f t="shared" si="2"/>
        <v>9.9948662787601485E-3</v>
      </c>
      <c r="E131" s="102"/>
      <c r="F131" s="102"/>
      <c r="G131" s="102"/>
      <c r="H131" s="102"/>
      <c r="I131" s="102"/>
      <c r="J131" s="102"/>
      <c r="K131" s="102"/>
      <c r="L131" s="102"/>
      <c r="M131" s="102"/>
      <c r="N131" s="102"/>
      <c r="O131" s="102"/>
      <c r="P131" s="170" t="s">
        <v>57</v>
      </c>
      <c r="Q131" s="739">
        <v>17.738</v>
      </c>
      <c r="R131" s="414">
        <f t="shared" si="3"/>
        <v>8.6050620800596899E-3</v>
      </c>
    </row>
    <row r="132" spans="1:35">
      <c r="A132" s="102"/>
      <c r="B132" s="170" t="s">
        <v>57</v>
      </c>
      <c r="C132" s="412">
        <v>18017</v>
      </c>
      <c r="D132" s="414">
        <f t="shared" si="2"/>
        <v>9.0728711150890196E-3</v>
      </c>
      <c r="E132" s="102"/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70" t="s">
        <v>126</v>
      </c>
      <c r="Q132" s="739">
        <v>16.83098146</v>
      </c>
      <c r="R132" s="414">
        <f t="shared" si="3"/>
        <v>8.1650490659394333E-3</v>
      </c>
    </row>
    <row r="133" spans="1:35">
      <c r="A133" s="102"/>
      <c r="B133" s="170" t="s">
        <v>116</v>
      </c>
      <c r="C133" s="412">
        <v>16254.33395</v>
      </c>
      <c r="D133" s="414">
        <f t="shared" si="2"/>
        <v>8.1852404390279077E-3</v>
      </c>
      <c r="E133" s="102"/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70" t="s">
        <v>116</v>
      </c>
      <c r="Q133" s="739">
        <v>16.381</v>
      </c>
      <c r="R133" s="414">
        <f t="shared" si="3"/>
        <v>7.9467539707665912E-3</v>
      </c>
    </row>
    <row r="134" spans="1:35">
      <c r="A134" s="102"/>
      <c r="B134" s="170" t="s">
        <v>122</v>
      </c>
      <c r="C134" s="412">
        <v>12501</v>
      </c>
      <c r="D134" s="414">
        <f t="shared" si="2"/>
        <v>6.2951635571808755E-3</v>
      </c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70" t="s">
        <v>122</v>
      </c>
      <c r="Q134" s="739">
        <v>11.621258800000001</v>
      </c>
      <c r="R134" s="414">
        <f t="shared" si="3"/>
        <v>5.6377073752644034E-3</v>
      </c>
    </row>
    <row r="135" spans="1:35">
      <c r="A135" s="102"/>
      <c r="B135" s="170" t="s">
        <v>32</v>
      </c>
      <c r="C135" s="412">
        <v>9562</v>
      </c>
      <c r="D135" s="414">
        <f t="shared" si="2"/>
        <v>4.8151631016529507E-3</v>
      </c>
      <c r="E135" s="102"/>
      <c r="F135" s="102"/>
      <c r="G135" s="102"/>
      <c r="H135" s="102"/>
      <c r="I135" s="102"/>
      <c r="J135" s="102"/>
      <c r="K135" s="102"/>
      <c r="L135" s="102"/>
      <c r="M135" s="102"/>
      <c r="N135" s="102"/>
      <c r="O135" s="102"/>
      <c r="P135" s="170" t="s">
        <v>32</v>
      </c>
      <c r="Q135" s="739">
        <v>9.2110000000000003</v>
      </c>
      <c r="R135" s="414">
        <f t="shared" si="3"/>
        <v>4.4684421478988507E-3</v>
      </c>
    </row>
    <row r="136" spans="1:35">
      <c r="A136" s="102"/>
      <c r="B136" s="170" t="s">
        <v>120</v>
      </c>
      <c r="C136" s="412">
        <v>8833</v>
      </c>
      <c r="D136" s="414">
        <f t="shared" si="2"/>
        <v>4.448058531363785E-3</v>
      </c>
      <c r="E136" s="102"/>
      <c r="F136" s="102"/>
      <c r="G136" s="102"/>
      <c r="H136" s="102"/>
      <c r="I136" s="102"/>
      <c r="J136" s="102"/>
      <c r="K136" s="102"/>
      <c r="L136" s="102"/>
      <c r="M136" s="102"/>
      <c r="N136" s="102"/>
      <c r="O136" s="102"/>
      <c r="P136" s="170" t="s">
        <v>120</v>
      </c>
      <c r="Q136" s="739">
        <v>8.8989999999999991</v>
      </c>
      <c r="R136" s="414">
        <f t="shared" si="3"/>
        <v>4.3170846459832666E-3</v>
      </c>
    </row>
    <row r="137" spans="1:35">
      <c r="A137" s="102"/>
      <c r="B137" s="170" t="s">
        <v>48</v>
      </c>
      <c r="C137" s="412">
        <v>6558</v>
      </c>
      <c r="D137" s="414">
        <f t="shared" si="2"/>
        <v>3.3024304142062382E-3</v>
      </c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  <c r="P137" s="170" t="s">
        <v>113</v>
      </c>
      <c r="Q137" s="739">
        <v>6.5328739699999998</v>
      </c>
      <c r="R137" s="414">
        <f t="shared" si="3"/>
        <v>3.1692291167581465E-3</v>
      </c>
    </row>
    <row r="138" spans="1:35">
      <c r="A138" s="102"/>
      <c r="B138" s="170" t="s">
        <v>113</v>
      </c>
      <c r="C138" s="412">
        <v>6200.4471300000005</v>
      </c>
      <c r="D138" s="414">
        <f t="shared" si="2"/>
        <v>3.1223765147590397E-3</v>
      </c>
      <c r="E138" s="102"/>
      <c r="F138" s="102"/>
      <c r="G138" s="102"/>
      <c r="H138" s="102"/>
      <c r="I138" s="102"/>
      <c r="J138" s="102"/>
      <c r="K138" s="102"/>
      <c r="L138" s="102"/>
      <c r="M138" s="102"/>
      <c r="N138" s="102"/>
      <c r="O138" s="102"/>
      <c r="P138" s="170" t="s">
        <v>48</v>
      </c>
      <c r="Q138" s="739">
        <v>5.1230000000000002</v>
      </c>
      <c r="R138" s="414">
        <f t="shared" si="3"/>
        <v>2.4852707766459463E-3</v>
      </c>
    </row>
    <row r="139" spans="1:35">
      <c r="A139" s="102"/>
      <c r="B139" s="208" t="s">
        <v>368</v>
      </c>
      <c r="C139" s="635">
        <v>1985810.1995999999</v>
      </c>
      <c r="D139" s="737">
        <f t="shared" si="2"/>
        <v>1</v>
      </c>
      <c r="E139" s="102"/>
      <c r="F139" s="102"/>
      <c r="G139" s="102"/>
      <c r="H139" s="102"/>
      <c r="I139" s="102"/>
      <c r="J139" s="102"/>
      <c r="K139" s="102"/>
      <c r="L139" s="102"/>
      <c r="M139" s="102"/>
      <c r="N139" s="102"/>
      <c r="O139" s="102"/>
      <c r="P139" s="740" t="s">
        <v>368</v>
      </c>
      <c r="Q139" s="741">
        <v>2061.3448032064584</v>
      </c>
      <c r="R139" s="737">
        <f t="shared" si="3"/>
        <v>1</v>
      </c>
    </row>
    <row r="140" spans="1:35">
      <c r="A140" s="102"/>
      <c r="B140" s="102"/>
      <c r="C140" s="102"/>
      <c r="D140" s="102"/>
      <c r="E140" s="102"/>
      <c r="F140" s="102"/>
      <c r="G140" s="102"/>
      <c r="H140" s="102"/>
      <c r="I140" s="102"/>
      <c r="J140" s="102"/>
      <c r="K140" s="102"/>
      <c r="L140" s="102"/>
      <c r="M140" s="102"/>
      <c r="N140" s="102"/>
      <c r="O140" s="102"/>
      <c r="P140" s="102"/>
      <c r="Q140" s="102"/>
      <c r="R140" s="102"/>
    </row>
    <row r="142" spans="1:35">
      <c r="A142" s="210"/>
      <c r="B142" s="711" t="s">
        <v>422</v>
      </c>
      <c r="C142" s="717" t="s">
        <v>167</v>
      </c>
      <c r="D142" s="710" t="s">
        <v>29</v>
      </c>
      <c r="E142" s="710" t="s">
        <v>30</v>
      </c>
      <c r="F142" s="710" t="s">
        <v>31</v>
      </c>
      <c r="G142" s="710" t="s">
        <v>32</v>
      </c>
      <c r="H142" s="710" t="s">
        <v>33</v>
      </c>
      <c r="I142" s="710" t="s">
        <v>34</v>
      </c>
      <c r="J142" s="710" t="s">
        <v>35</v>
      </c>
      <c r="K142" s="710" t="s">
        <v>36</v>
      </c>
      <c r="L142" s="710" t="s">
        <v>37</v>
      </c>
      <c r="M142" s="710" t="s">
        <v>38</v>
      </c>
      <c r="N142" s="710" t="s">
        <v>39</v>
      </c>
      <c r="O142" s="710" t="s">
        <v>40</v>
      </c>
      <c r="P142" s="710" t="s">
        <v>41</v>
      </c>
      <c r="Q142" s="710" t="s">
        <v>42</v>
      </c>
      <c r="R142" s="710" t="s">
        <v>43</v>
      </c>
      <c r="S142" s="710" t="s">
        <v>44</v>
      </c>
      <c r="T142" s="710" t="s">
        <v>45</v>
      </c>
      <c r="U142" s="710" t="s">
        <v>123</v>
      </c>
      <c r="V142" s="710" t="s">
        <v>355</v>
      </c>
      <c r="W142" s="710" t="s">
        <v>48</v>
      </c>
      <c r="X142" s="710" t="s">
        <v>357</v>
      </c>
      <c r="Y142" s="710" t="s">
        <v>50</v>
      </c>
      <c r="Z142" s="710" t="s">
        <v>142</v>
      </c>
      <c r="AA142" s="710" t="s">
        <v>52</v>
      </c>
      <c r="AB142" s="710" t="s">
        <v>53</v>
      </c>
      <c r="AC142" s="710" t="s">
        <v>54</v>
      </c>
      <c r="AD142" s="710" t="s">
        <v>55</v>
      </c>
      <c r="AE142" s="710" t="s">
        <v>56</v>
      </c>
      <c r="AF142" s="710" t="s">
        <v>57</v>
      </c>
      <c r="AG142" s="717" t="s">
        <v>368</v>
      </c>
      <c r="AH142" s="848" t="s">
        <v>463</v>
      </c>
      <c r="AI142" s="849" t="s">
        <v>462</v>
      </c>
    </row>
    <row r="143" spans="1:35">
      <c r="A143" s="210"/>
      <c r="B143" s="712" t="s">
        <v>367</v>
      </c>
      <c r="C143" s="718">
        <v>2008</v>
      </c>
      <c r="D143" s="727">
        <f ca="1">INDIRECT(TEXT(D$142,1)&amp;"!"&amp;INDEX($B$275:$E$275,,MATCH($C143,$B$274:$E$274,0)))</f>
        <v>3376</v>
      </c>
      <c r="E143" s="727">
        <f t="shared" ref="D143:M146" ca="1" si="4">INDIRECT(TEXT(E$142,1)&amp;"!"&amp;INDEX($B$275:$E$275,,MATCH($C143,$B$274:$E$274,0)))</f>
        <v>74147</v>
      </c>
      <c r="F143" s="727">
        <f t="shared" ca="1" si="4"/>
        <v>4226</v>
      </c>
      <c r="G143" s="727">
        <f t="shared" ca="1" si="4"/>
        <v>7904</v>
      </c>
      <c r="H143" s="727">
        <f t="shared" ca="1" si="4"/>
        <v>28093</v>
      </c>
      <c r="I143" s="727">
        <f t="shared" ca="1" si="4"/>
        <v>24791</v>
      </c>
      <c r="J143" s="727">
        <f t="shared" ca="1" si="4"/>
        <v>40940</v>
      </c>
      <c r="K143" s="727">
        <f t="shared" ca="1" si="4"/>
        <v>13695</v>
      </c>
      <c r="L143" s="727">
        <f t="shared" ca="1" si="4"/>
        <v>15620</v>
      </c>
      <c r="M143" s="727">
        <f t="shared" ca="1" si="4"/>
        <v>20636</v>
      </c>
      <c r="N143" s="727">
        <f t="shared" ref="N143:W146" ca="1" si="5">INDIRECT(TEXT(N$142,1)&amp;"!"&amp;INDEX($B$275:$E$275,,MATCH($C143,$B$274:$E$274,0)))</f>
        <v>27600</v>
      </c>
      <c r="O143" s="727">
        <f t="shared" ca="1" si="5"/>
        <v>16429</v>
      </c>
      <c r="P143" s="727">
        <f t="shared" ca="1" si="5"/>
        <v>7437</v>
      </c>
      <c r="Q143" s="727">
        <f t="shared" ca="1" si="5"/>
        <v>33524</v>
      </c>
      <c r="R143" s="727">
        <f t="shared" ca="1" si="5"/>
        <v>10137</v>
      </c>
      <c r="S143" s="727">
        <f t="shared" ca="1" si="5"/>
        <v>42184</v>
      </c>
      <c r="T143" s="727">
        <f t="shared" ca="1" si="5"/>
        <v>185621</v>
      </c>
      <c r="U143" s="727">
        <f t="shared" ca="1" si="5"/>
        <v>14192</v>
      </c>
      <c r="V143" s="727">
        <f t="shared" ca="1" si="5"/>
        <v>296767</v>
      </c>
      <c r="W143" s="727">
        <f t="shared" ca="1" si="5"/>
        <v>6710</v>
      </c>
      <c r="X143" s="727">
        <f t="shared" ref="X143:AF146" ca="1" si="6">INDIRECT(TEXT(X$142,1)&amp;"!"&amp;INDEX($B$275:$E$275,,MATCH($C143,$B$274:$E$274,0)))</f>
        <v>22942</v>
      </c>
      <c r="Y143" s="727">
        <f t="shared" ca="1" si="6"/>
        <v>27994</v>
      </c>
      <c r="Z143" s="727">
        <f t="shared" ca="1" si="6"/>
        <v>29789</v>
      </c>
      <c r="AA143" s="727">
        <f t="shared" ca="1" si="6"/>
        <v>101650</v>
      </c>
      <c r="AB143" s="727">
        <f t="shared" ca="1" si="6"/>
        <v>631963</v>
      </c>
      <c r="AC143" s="727">
        <f t="shared" ca="1" si="6"/>
        <v>21001</v>
      </c>
      <c r="AD143" s="727">
        <f t="shared" ca="1" si="6"/>
        <v>80749</v>
      </c>
      <c r="AE143" s="727">
        <f t="shared" ca="1" si="6"/>
        <v>0</v>
      </c>
      <c r="AF143" s="727">
        <f t="shared" ca="1" si="6"/>
        <v>11577</v>
      </c>
      <c r="AG143" s="728">
        <f ca="1">SUM(D143:AF143)</f>
        <v>1801694</v>
      </c>
      <c r="AH143" s="850">
        <f t="shared" ref="AH143:AH170" ca="1" si="7">SUMIF($D$262:$AF$262,"=N",D143:AF143)</f>
        <v>1484054</v>
      </c>
      <c r="AI143" s="851">
        <f t="shared" ref="AI143:AI170" ca="1" si="8">SUMIF($D$262:$AF$262,"=Y",D143:AF143)</f>
        <v>317640</v>
      </c>
    </row>
    <row r="144" spans="1:35">
      <c r="A144" s="210"/>
      <c r="B144" s="712" t="s">
        <v>367</v>
      </c>
      <c r="C144" s="718">
        <v>2009</v>
      </c>
      <c r="D144" s="727">
        <f t="shared" ca="1" si="4"/>
        <v>4128</v>
      </c>
      <c r="E144" s="727">
        <f t="shared" ca="1" si="4"/>
        <v>74871</v>
      </c>
      <c r="F144" s="727">
        <f t="shared" ca="1" si="4"/>
        <v>4303</v>
      </c>
      <c r="G144" s="727">
        <f t="shared" ca="1" si="4"/>
        <v>7900</v>
      </c>
      <c r="H144" s="727">
        <f t="shared" ca="1" si="4"/>
        <v>28467</v>
      </c>
      <c r="I144" s="727">
        <f t="shared" ca="1" si="4"/>
        <v>24882</v>
      </c>
      <c r="J144" s="727">
        <f t="shared" ca="1" si="4"/>
        <v>41356</v>
      </c>
      <c r="K144" s="727">
        <f t="shared" ca="1" si="4"/>
        <v>13940</v>
      </c>
      <c r="L144" s="727">
        <f t="shared" ca="1" si="4"/>
        <v>15669</v>
      </c>
      <c r="M144" s="727">
        <f t="shared" ca="1" si="4"/>
        <v>20673</v>
      </c>
      <c r="N144" s="727">
        <f t="shared" ca="1" si="5"/>
        <v>27607</v>
      </c>
      <c r="O144" s="727">
        <f t="shared" ca="1" si="5"/>
        <v>16674</v>
      </c>
      <c r="P144" s="727">
        <f t="shared" ca="1" si="5"/>
        <v>7475</v>
      </c>
      <c r="Q144" s="727">
        <f t="shared" ca="1" si="5"/>
        <v>33913</v>
      </c>
      <c r="R144" s="727">
        <f t="shared" ca="1" si="5"/>
        <v>10022</v>
      </c>
      <c r="S144" s="727">
        <f t="shared" ca="1" si="5"/>
        <v>42722</v>
      </c>
      <c r="T144" s="727">
        <f t="shared" ca="1" si="5"/>
        <v>189821</v>
      </c>
      <c r="U144" s="727">
        <f t="shared" ca="1" si="5"/>
        <v>14187</v>
      </c>
      <c r="V144" s="727">
        <f t="shared" ca="1" si="5"/>
        <v>306584</v>
      </c>
      <c r="W144" s="727">
        <f t="shared" ca="1" si="5"/>
        <v>6808</v>
      </c>
      <c r="X144" s="727">
        <f t="shared" ca="1" si="6"/>
        <v>23897</v>
      </c>
      <c r="Y144" s="727">
        <f t="shared" ca="1" si="6"/>
        <v>28550</v>
      </c>
      <c r="Z144" s="727">
        <f t="shared" ca="1" si="6"/>
        <v>30271</v>
      </c>
      <c r="AA144" s="727">
        <f t="shared" ca="1" si="6"/>
        <v>100901</v>
      </c>
      <c r="AB144" s="727">
        <f t="shared" ca="1" si="6"/>
        <v>486419</v>
      </c>
      <c r="AC144" s="727">
        <f t="shared" ca="1" si="6"/>
        <v>21175</v>
      </c>
      <c r="AD144" s="727">
        <f t="shared" ca="1" si="6"/>
        <v>83159</v>
      </c>
      <c r="AE144" s="727">
        <f t="shared" ca="1" si="6"/>
        <v>150575</v>
      </c>
      <c r="AF144" s="727">
        <f t="shared" ca="1" si="6"/>
        <v>11767</v>
      </c>
      <c r="AG144" s="728">
        <f t="shared" ref="AG144:AG224" ca="1" si="9">SUM(D144:AF144)</f>
        <v>1828716</v>
      </c>
      <c r="AH144" s="850">
        <f t="shared" ca="1" si="7"/>
        <v>1506106</v>
      </c>
      <c r="AI144" s="851">
        <f t="shared" ca="1" si="8"/>
        <v>322610</v>
      </c>
    </row>
    <row r="145" spans="1:35">
      <c r="A145" s="210"/>
      <c r="B145" s="712" t="s">
        <v>367</v>
      </c>
      <c r="C145" s="718">
        <v>2010</v>
      </c>
      <c r="D145" s="727">
        <f t="shared" ca="1" si="4"/>
        <v>4856</v>
      </c>
      <c r="E145" s="727">
        <f t="shared" ca="1" si="4"/>
        <v>75623</v>
      </c>
      <c r="F145" s="727">
        <f t="shared" ca="1" si="4"/>
        <v>4332</v>
      </c>
      <c r="G145" s="727">
        <f t="shared" ca="1" si="4"/>
        <v>7902</v>
      </c>
      <c r="H145" s="727">
        <f t="shared" ca="1" si="4"/>
        <v>28902</v>
      </c>
      <c r="I145" s="727">
        <f t="shared" ca="1" si="4"/>
        <v>25000</v>
      </c>
      <c r="J145" s="727">
        <f t="shared" ca="1" si="4"/>
        <v>41799</v>
      </c>
      <c r="K145" s="727">
        <f t="shared" ca="1" si="4"/>
        <v>14045</v>
      </c>
      <c r="L145" s="727">
        <f t="shared" ca="1" si="4"/>
        <v>15743</v>
      </c>
      <c r="M145" s="727">
        <f t="shared" ca="1" si="4"/>
        <v>20867</v>
      </c>
      <c r="N145" s="727">
        <f t="shared" ca="1" si="5"/>
        <v>28009</v>
      </c>
      <c r="O145" s="727">
        <f t="shared" ca="1" si="5"/>
        <v>18629</v>
      </c>
      <c r="P145" s="727">
        <f t="shared" ca="1" si="5"/>
        <v>1745</v>
      </c>
      <c r="Q145" s="727">
        <f t="shared" ca="1" si="5"/>
        <v>34278</v>
      </c>
      <c r="R145" s="727">
        <f t="shared" ca="1" si="5"/>
        <v>10279</v>
      </c>
      <c r="S145" s="727">
        <f t="shared" ca="1" si="5"/>
        <v>43244</v>
      </c>
      <c r="T145" s="727">
        <f t="shared" ca="1" si="5"/>
        <v>191707</v>
      </c>
      <c r="U145" s="727">
        <f t="shared" ca="1" si="5"/>
        <v>14182</v>
      </c>
      <c r="V145" s="727">
        <f t="shared" ca="1" si="5"/>
        <v>308665</v>
      </c>
      <c r="W145" s="727">
        <f t="shared" ca="1" si="5"/>
        <v>6761</v>
      </c>
      <c r="X145" s="727">
        <f t="shared" ca="1" si="6"/>
        <v>24083</v>
      </c>
      <c r="Y145" s="727">
        <f t="shared" ca="1" si="6"/>
        <v>28913</v>
      </c>
      <c r="Z145" s="727">
        <f t="shared" ca="1" si="6"/>
        <v>30631</v>
      </c>
      <c r="AA145" s="727">
        <f t="shared" ca="1" si="6"/>
        <v>101241</v>
      </c>
      <c r="AB145" s="727">
        <f t="shared" ca="1" si="6"/>
        <v>490832.49</v>
      </c>
      <c r="AC145" s="727">
        <f t="shared" ca="1" si="6"/>
        <v>21328</v>
      </c>
      <c r="AD145" s="727">
        <f t="shared" ca="1" si="6"/>
        <v>83745</v>
      </c>
      <c r="AE145" s="727">
        <f t="shared" ca="1" si="6"/>
        <v>151715</v>
      </c>
      <c r="AF145" s="727">
        <f t="shared" ca="1" si="6"/>
        <v>11911</v>
      </c>
      <c r="AG145" s="728">
        <f t="shared" ca="1" si="9"/>
        <v>1840967.49</v>
      </c>
      <c r="AH145" s="850">
        <f t="shared" ca="1" si="7"/>
        <v>1513115.49</v>
      </c>
      <c r="AI145" s="851">
        <f t="shared" ca="1" si="8"/>
        <v>327852</v>
      </c>
    </row>
    <row r="146" spans="1:35">
      <c r="A146" s="210"/>
      <c r="B146" s="712" t="s">
        <v>367</v>
      </c>
      <c r="C146" s="718">
        <v>2011</v>
      </c>
      <c r="D146" s="727">
        <f t="shared" ca="1" si="4"/>
        <v>5718</v>
      </c>
      <c r="E146" s="727">
        <f t="shared" ca="1" si="4"/>
        <v>73656</v>
      </c>
      <c r="F146" s="727">
        <f t="shared" ca="1" si="4"/>
        <v>3818</v>
      </c>
      <c r="G146" s="727">
        <f t="shared" ca="1" si="4"/>
        <v>8192</v>
      </c>
      <c r="H146" s="727">
        <f t="shared" ca="1" si="4"/>
        <v>29222</v>
      </c>
      <c r="I146" s="727">
        <f t="shared" ca="1" si="4"/>
        <v>25065</v>
      </c>
      <c r="J146" s="727">
        <f t="shared" ca="1" si="4"/>
        <v>42078</v>
      </c>
      <c r="K146" s="727">
        <f t="shared" ca="1" si="4"/>
        <v>14298.370999999999</v>
      </c>
      <c r="L146" s="727">
        <f t="shared" ca="1" si="4"/>
        <v>15802</v>
      </c>
      <c r="M146" s="727">
        <f t="shared" ca="1" si="4"/>
        <v>20929</v>
      </c>
      <c r="N146" s="727">
        <f t="shared" ca="1" si="5"/>
        <v>28280</v>
      </c>
      <c r="O146" s="727">
        <f t="shared" ca="1" si="5"/>
        <v>18877</v>
      </c>
      <c r="P146" s="727">
        <f t="shared" ca="1" si="5"/>
        <v>2011</v>
      </c>
      <c r="Q146" s="727">
        <f t="shared" ca="1" si="5"/>
        <v>34700</v>
      </c>
      <c r="R146" s="727">
        <f t="shared" ca="1" si="5"/>
        <v>10510</v>
      </c>
      <c r="S146" s="727">
        <f t="shared" ca="1" si="5"/>
        <v>43793</v>
      </c>
      <c r="T146" s="727">
        <f t="shared" ca="1" si="5"/>
        <v>191707</v>
      </c>
      <c r="U146" s="727">
        <f t="shared" ca="1" si="5"/>
        <v>14201</v>
      </c>
      <c r="V146" s="727">
        <f t="shared" ca="1" si="5"/>
        <v>317593</v>
      </c>
      <c r="W146" s="727">
        <f t="shared" ca="1" si="5"/>
        <v>6762</v>
      </c>
      <c r="X146" s="727">
        <f t="shared" ca="1" si="6"/>
        <v>24207</v>
      </c>
      <c r="Y146" s="727">
        <f t="shared" ca="1" si="6"/>
        <v>29265</v>
      </c>
      <c r="Z146" s="727">
        <f t="shared" ca="1" si="6"/>
        <v>30809</v>
      </c>
      <c r="AA146" s="727">
        <f t="shared" ca="1" si="6"/>
        <v>101909</v>
      </c>
      <c r="AB146" s="727">
        <f t="shared" ca="1" si="6"/>
        <v>483600</v>
      </c>
      <c r="AC146" s="727">
        <f t="shared" ca="1" si="6"/>
        <v>21740</v>
      </c>
      <c r="AD146" s="727">
        <f t="shared" ca="1" si="6"/>
        <v>83031</v>
      </c>
      <c r="AE146" s="727">
        <f t="shared" ca="1" si="6"/>
        <v>152379</v>
      </c>
      <c r="AF146" s="727">
        <f t="shared" ca="1" si="6"/>
        <v>12027</v>
      </c>
      <c r="AG146" s="728">
        <f t="shared" ca="1" si="9"/>
        <v>1846179.371</v>
      </c>
      <c r="AH146" s="850">
        <f t="shared" ca="1" si="7"/>
        <v>1516776.371</v>
      </c>
      <c r="AI146" s="851">
        <f t="shared" ca="1" si="8"/>
        <v>329403</v>
      </c>
    </row>
    <row r="147" spans="1:35">
      <c r="A147" s="210"/>
      <c r="B147" s="712" t="s">
        <v>180</v>
      </c>
      <c r="C147" s="718">
        <v>2008</v>
      </c>
      <c r="D147" s="727">
        <f t="shared" ref="D147:M150" ca="1" si="10">INDIRECT(TEXT(D$142,1)&amp;"!"&amp;INDEX($B$276:$E$276,,MATCH($C147,$B$274:$E$274,0)))</f>
        <v>26315</v>
      </c>
      <c r="E147" s="727">
        <f t="shared" ca="1" si="10"/>
        <v>4622</v>
      </c>
      <c r="F147" s="727">
        <f t="shared" ca="1" si="10"/>
        <v>76</v>
      </c>
      <c r="G147" s="727">
        <f t="shared" ca="1" si="10"/>
        <v>43</v>
      </c>
      <c r="H147" s="727">
        <f t="shared" ca="1" si="10"/>
        <v>6992</v>
      </c>
      <c r="I147" s="727">
        <f t="shared" ca="1" si="10"/>
        <v>303</v>
      </c>
      <c r="J147" s="727">
        <f t="shared" ca="1" si="10"/>
        <v>0</v>
      </c>
      <c r="K147" s="727">
        <f t="shared" ca="1" si="10"/>
        <v>1796</v>
      </c>
      <c r="L147" s="727">
        <f t="shared" ca="1" si="10"/>
        <v>1174</v>
      </c>
      <c r="M147" s="727">
        <f t="shared" ca="1" si="10"/>
        <v>3260</v>
      </c>
      <c r="N147" s="727">
        <f t="shared" ref="N147:W150" ca="1" si="11">INDIRECT(TEXT(N$142,1)&amp;"!"&amp;INDEX($B$276:$E$276,,MATCH($C147,$B$274:$E$274,0)))</f>
        <v>4481</v>
      </c>
      <c r="O147" s="727">
        <f t="shared" ca="1" si="11"/>
        <v>6852</v>
      </c>
      <c r="P147" s="727">
        <f t="shared" ca="1" si="11"/>
        <v>1349</v>
      </c>
      <c r="Q147" s="727">
        <f t="shared" ca="1" si="11"/>
        <v>1505</v>
      </c>
      <c r="R147" s="727">
        <f t="shared" ca="1" si="11"/>
        <v>1777</v>
      </c>
      <c r="S147" s="727">
        <f t="shared" ca="1" si="11"/>
        <v>10220</v>
      </c>
      <c r="T147" s="727">
        <f t="shared" ca="1" si="11"/>
        <v>0</v>
      </c>
      <c r="U147" s="727">
        <f t="shared" ca="1" si="11"/>
        <v>452</v>
      </c>
      <c r="V147" s="727">
        <f t="shared" ca="1" si="11"/>
        <v>7281</v>
      </c>
      <c r="W147" s="727">
        <f t="shared" ca="1" si="11"/>
        <v>9</v>
      </c>
      <c r="X147" s="727">
        <f t="shared" ref="X147:AF150" ca="1" si="12">INDIRECT(TEXT(X$142,1)&amp;"!"&amp;INDEX($B$276:$E$276,,MATCH($C147,$B$274:$E$274,0)))</f>
        <v>225</v>
      </c>
      <c r="Y147" s="727">
        <f t="shared" ca="1" si="12"/>
        <v>4765</v>
      </c>
      <c r="Z147" s="727">
        <f t="shared" ca="1" si="12"/>
        <v>166</v>
      </c>
      <c r="AA147" s="727">
        <f t="shared" ca="1" si="12"/>
        <v>6136</v>
      </c>
      <c r="AB147" s="727">
        <f t="shared" ca="1" si="12"/>
        <v>41160.000999999997</v>
      </c>
      <c r="AC147" s="727">
        <f t="shared" ca="1" si="12"/>
        <v>1632</v>
      </c>
      <c r="AD147" s="727">
        <f t="shared" ca="1" si="12"/>
        <v>162</v>
      </c>
      <c r="AE147" s="727">
        <f t="shared" ca="1" si="12"/>
        <v>0</v>
      </c>
      <c r="AF147" s="727">
        <f t="shared" ca="1" si="12"/>
        <v>812</v>
      </c>
      <c r="AG147" s="728">
        <f t="shared" ca="1" si="9"/>
        <v>133565.00099999999</v>
      </c>
      <c r="AH147" s="850">
        <f t="shared" ca="1" si="7"/>
        <v>95787.000999999989</v>
      </c>
      <c r="AI147" s="851">
        <f t="shared" ca="1" si="8"/>
        <v>37778</v>
      </c>
    </row>
    <row r="148" spans="1:35">
      <c r="A148" s="210"/>
      <c r="B148" s="712" t="s">
        <v>180</v>
      </c>
      <c r="C148" s="718">
        <v>2009</v>
      </c>
      <c r="D148" s="727">
        <f t="shared" ca="1" si="10"/>
        <v>25982</v>
      </c>
      <c r="E148" s="727">
        <f t="shared" ca="1" si="10"/>
        <v>4745</v>
      </c>
      <c r="F148" s="727">
        <f t="shared" ca="1" si="10"/>
        <v>75</v>
      </c>
      <c r="G148" s="727">
        <f t="shared" ca="1" si="10"/>
        <v>68</v>
      </c>
      <c r="H148" s="727">
        <f t="shared" ca="1" si="10"/>
        <v>6976</v>
      </c>
      <c r="I148" s="727">
        <f t="shared" ca="1" si="10"/>
        <v>315</v>
      </c>
      <c r="J148" s="727">
        <f t="shared" ca="1" si="10"/>
        <v>0</v>
      </c>
      <c r="K148" s="727">
        <f t="shared" ca="1" si="10"/>
        <v>1894</v>
      </c>
      <c r="L148" s="727">
        <f t="shared" ca="1" si="10"/>
        <v>1235</v>
      </c>
      <c r="M148" s="727">
        <f t="shared" ca="1" si="10"/>
        <v>3269.0645</v>
      </c>
      <c r="N148" s="727">
        <f t="shared" ca="1" si="11"/>
        <v>5110</v>
      </c>
      <c r="O148" s="727">
        <f t="shared" ca="1" si="11"/>
        <v>6887</v>
      </c>
      <c r="P148" s="727">
        <f t="shared" ca="1" si="11"/>
        <v>1371</v>
      </c>
      <c r="Q148" s="727">
        <f t="shared" ca="1" si="11"/>
        <v>1520</v>
      </c>
      <c r="R148" s="727">
        <f t="shared" ca="1" si="11"/>
        <v>2175</v>
      </c>
      <c r="S148" s="727">
        <f t="shared" ca="1" si="11"/>
        <v>10134</v>
      </c>
      <c r="T148" s="727">
        <f t="shared" ca="1" si="11"/>
        <v>0</v>
      </c>
      <c r="U148" s="727">
        <f t="shared" ca="1" si="11"/>
        <v>468</v>
      </c>
      <c r="V148" s="727">
        <f t="shared" ca="1" si="11"/>
        <v>7813</v>
      </c>
      <c r="W148" s="727">
        <f t="shared" ca="1" si="11"/>
        <v>7</v>
      </c>
      <c r="X148" s="727">
        <f t="shared" ca="1" si="12"/>
        <v>226</v>
      </c>
      <c r="Y148" s="727">
        <f t="shared" ca="1" si="12"/>
        <v>4890</v>
      </c>
      <c r="Z148" s="727">
        <f t="shared" ca="1" si="12"/>
        <v>164</v>
      </c>
      <c r="AA148" s="727">
        <f t="shared" ca="1" si="12"/>
        <v>6205</v>
      </c>
      <c r="AB148" s="727">
        <f t="shared" ca="1" si="12"/>
        <v>30204</v>
      </c>
      <c r="AC148" s="727">
        <f t="shared" ca="1" si="12"/>
        <v>1662</v>
      </c>
      <c r="AD148" s="727">
        <f t="shared" ca="1" si="12"/>
        <v>153</v>
      </c>
      <c r="AE148" s="727">
        <f t="shared" ca="1" si="12"/>
        <v>11121</v>
      </c>
      <c r="AF148" s="727">
        <f t="shared" ca="1" si="12"/>
        <v>824</v>
      </c>
      <c r="AG148" s="728">
        <f t="shared" ca="1" si="9"/>
        <v>135493.06450000001</v>
      </c>
      <c r="AH148" s="850">
        <f t="shared" ca="1" si="7"/>
        <v>96600.064500000008</v>
      </c>
      <c r="AI148" s="851">
        <f t="shared" ca="1" si="8"/>
        <v>38893</v>
      </c>
    </row>
    <row r="149" spans="1:35">
      <c r="A149" s="210"/>
      <c r="B149" s="712" t="s">
        <v>180</v>
      </c>
      <c r="C149" s="718">
        <v>2010</v>
      </c>
      <c r="D149" s="727">
        <f t="shared" ca="1" si="10"/>
        <v>25606</v>
      </c>
      <c r="E149" s="727">
        <f t="shared" ca="1" si="10"/>
        <v>4862</v>
      </c>
      <c r="F149" s="727">
        <f t="shared" ca="1" si="10"/>
        <v>72</v>
      </c>
      <c r="G149" s="727">
        <f t="shared" ca="1" si="10"/>
        <v>68</v>
      </c>
      <c r="H149" s="727">
        <f t="shared" ca="1" si="10"/>
        <v>7025</v>
      </c>
      <c r="I149" s="727">
        <f t="shared" ca="1" si="10"/>
        <v>327</v>
      </c>
      <c r="J149" s="727">
        <f t="shared" ca="1" si="10"/>
        <v>0</v>
      </c>
      <c r="K149" s="727">
        <f t="shared" ca="1" si="10"/>
        <v>1954</v>
      </c>
      <c r="L149" s="727">
        <f t="shared" ca="1" si="10"/>
        <v>1233</v>
      </c>
      <c r="M149" s="727">
        <f t="shared" ca="1" si="10"/>
        <v>3302</v>
      </c>
      <c r="N149" s="727">
        <f t="shared" ca="1" si="11"/>
        <v>5287</v>
      </c>
      <c r="O149" s="727">
        <f t="shared" ca="1" si="11"/>
        <v>5132</v>
      </c>
      <c r="P149" s="727">
        <f t="shared" ca="1" si="11"/>
        <v>7164</v>
      </c>
      <c r="Q149" s="727">
        <f t="shared" ca="1" si="11"/>
        <v>1542</v>
      </c>
      <c r="R149" s="727">
        <f t="shared" ca="1" si="11"/>
        <v>1914</v>
      </c>
      <c r="S149" s="727">
        <f t="shared" ca="1" si="11"/>
        <v>9967</v>
      </c>
      <c r="T149" s="727">
        <f t="shared" ca="1" si="11"/>
        <v>0</v>
      </c>
      <c r="U149" s="727">
        <f t="shared" ca="1" si="11"/>
        <v>480</v>
      </c>
      <c r="V149" s="727">
        <f t="shared" ca="1" si="11"/>
        <v>7821</v>
      </c>
      <c r="W149" s="727">
        <f t="shared" ca="1" si="11"/>
        <v>7</v>
      </c>
      <c r="X149" s="727">
        <f t="shared" ca="1" si="12"/>
        <v>288</v>
      </c>
      <c r="Y149" s="727">
        <f t="shared" ca="1" si="12"/>
        <v>4887</v>
      </c>
      <c r="Z149" s="727">
        <f t="shared" ca="1" si="12"/>
        <v>174</v>
      </c>
      <c r="AA149" s="727">
        <f t="shared" ca="1" si="12"/>
        <v>6624</v>
      </c>
      <c r="AB149" s="727">
        <f t="shared" ca="1" si="12"/>
        <v>30651.169000000002</v>
      </c>
      <c r="AC149" s="727">
        <f t="shared" ca="1" si="12"/>
        <v>1778</v>
      </c>
      <c r="AD149" s="727">
        <f t="shared" ca="1" si="12"/>
        <v>148</v>
      </c>
      <c r="AE149" s="727">
        <f t="shared" ca="1" si="12"/>
        <v>11107</v>
      </c>
      <c r="AF149" s="727">
        <f t="shared" ca="1" si="12"/>
        <v>845</v>
      </c>
      <c r="AG149" s="728">
        <f t="shared" ca="1" si="9"/>
        <v>140265.16899999999</v>
      </c>
      <c r="AH149" s="850">
        <f t="shared" ca="1" si="7"/>
        <v>103203.16899999999</v>
      </c>
      <c r="AI149" s="851">
        <f t="shared" ca="1" si="8"/>
        <v>37062</v>
      </c>
    </row>
    <row r="150" spans="1:35">
      <c r="A150" s="210"/>
      <c r="B150" s="712" t="s">
        <v>180</v>
      </c>
      <c r="C150" s="718">
        <v>2011</v>
      </c>
      <c r="D150" s="727">
        <f t="shared" ca="1" si="10"/>
        <v>24960</v>
      </c>
      <c r="E150" s="727">
        <f t="shared" ca="1" si="10"/>
        <v>5010</v>
      </c>
      <c r="F150" s="727">
        <f t="shared" ca="1" si="10"/>
        <v>634</v>
      </c>
      <c r="G150" s="727">
        <f t="shared" ca="1" si="10"/>
        <v>48</v>
      </c>
      <c r="H150" s="727">
        <f t="shared" ca="1" si="10"/>
        <v>7125</v>
      </c>
      <c r="I150" s="727">
        <f t="shared" ca="1" si="10"/>
        <v>336</v>
      </c>
      <c r="J150" s="727">
        <f t="shared" ca="1" si="10"/>
        <v>0</v>
      </c>
      <c r="K150" s="727">
        <f t="shared" ca="1" si="10"/>
        <v>1993.3497</v>
      </c>
      <c r="L150" s="727">
        <f t="shared" ca="1" si="10"/>
        <v>1237</v>
      </c>
      <c r="M150" s="727">
        <f t="shared" ca="1" si="10"/>
        <v>3313</v>
      </c>
      <c r="N150" s="727">
        <f t="shared" ca="1" si="11"/>
        <v>5409</v>
      </c>
      <c r="O150" s="727">
        <f t="shared" ca="1" si="11"/>
        <v>5075</v>
      </c>
      <c r="P150" s="727">
        <f t="shared" ca="1" si="11"/>
        <v>6942</v>
      </c>
      <c r="Q150" s="727">
        <f t="shared" ca="1" si="11"/>
        <v>1571</v>
      </c>
      <c r="R150" s="727">
        <f t="shared" ca="1" si="11"/>
        <v>1742</v>
      </c>
      <c r="S150" s="727">
        <f t="shared" ca="1" si="11"/>
        <v>10124</v>
      </c>
      <c r="T150" s="727">
        <f t="shared" ca="1" si="11"/>
        <v>0</v>
      </c>
      <c r="U150" s="727">
        <f t="shared" ca="1" si="11"/>
        <v>489</v>
      </c>
      <c r="V150" s="727">
        <f t="shared" ca="1" si="11"/>
        <v>607</v>
      </c>
      <c r="W150" s="727">
        <f t="shared" ca="1" si="11"/>
        <v>7</v>
      </c>
      <c r="X150" s="727">
        <f t="shared" ca="1" si="12"/>
        <v>211</v>
      </c>
      <c r="Y150" s="727">
        <f t="shared" ca="1" si="12"/>
        <v>4895</v>
      </c>
      <c r="Z150" s="727">
        <f t="shared" ca="1" si="12"/>
        <v>174</v>
      </c>
      <c r="AA150" s="727">
        <f t="shared" ca="1" si="12"/>
        <v>6508</v>
      </c>
      <c r="AB150" s="727">
        <f t="shared" ca="1" si="12"/>
        <v>41621</v>
      </c>
      <c r="AC150" s="727">
        <f t="shared" ca="1" si="12"/>
        <v>1707</v>
      </c>
      <c r="AD150" s="727">
        <f t="shared" ca="1" si="12"/>
        <v>179</v>
      </c>
      <c r="AE150" s="727">
        <f t="shared" ca="1" si="12"/>
        <v>10831</v>
      </c>
      <c r="AF150" s="727">
        <f t="shared" ca="1" si="12"/>
        <v>827</v>
      </c>
      <c r="AG150" s="728">
        <f t="shared" ca="1" si="9"/>
        <v>143575.34969999999</v>
      </c>
      <c r="AH150" s="850">
        <f t="shared" ca="1" si="7"/>
        <v>105851.34969999999</v>
      </c>
      <c r="AI150" s="851">
        <f t="shared" ca="1" si="8"/>
        <v>37724</v>
      </c>
    </row>
    <row r="151" spans="1:35">
      <c r="A151" s="210"/>
      <c r="B151" s="712" t="s">
        <v>184</v>
      </c>
      <c r="C151" s="718">
        <v>2008</v>
      </c>
      <c r="D151" s="727">
        <f t="shared" ref="D151:M154" ca="1" si="13">INDIRECT(TEXT(D$142,1)&amp;"!"&amp;INDEX($B$277:$E$277,,MATCH($C151,$B$274:$E$274,0)))</f>
        <v>153</v>
      </c>
      <c r="E151" s="727">
        <f t="shared" ca="1" si="13"/>
        <v>1037</v>
      </c>
      <c r="F151" s="727">
        <f t="shared" ca="1" si="13"/>
        <v>13</v>
      </c>
      <c r="G151" s="727">
        <f t="shared" ca="1" si="13"/>
        <v>7</v>
      </c>
      <c r="H151" s="727">
        <f t="shared" ca="1" si="13"/>
        <v>523</v>
      </c>
      <c r="I151" s="727">
        <f t="shared" ca="1" si="13"/>
        <v>97</v>
      </c>
      <c r="J151" s="727">
        <f t="shared" ca="1" si="13"/>
        <v>567</v>
      </c>
      <c r="K151" s="727">
        <f t="shared" ca="1" si="13"/>
        <v>1236</v>
      </c>
      <c r="L151" s="727">
        <f t="shared" ca="1" si="13"/>
        <v>213</v>
      </c>
      <c r="M151" s="727">
        <f t="shared" ca="1" si="13"/>
        <v>319</v>
      </c>
      <c r="N151" s="727">
        <f t="shared" ref="N151:W154" ca="1" si="14">INDIRECT(TEXT(N$142,1)&amp;"!"&amp;INDEX($B$277:$E$277,,MATCH($C151,$B$274:$E$274,0)))</f>
        <v>459</v>
      </c>
      <c r="O151" s="727">
        <f t="shared" ca="1" si="14"/>
        <v>298</v>
      </c>
      <c r="P151" s="727">
        <f t="shared" ca="1" si="14"/>
        <v>90</v>
      </c>
      <c r="Q151" s="727">
        <f t="shared" ca="1" si="14"/>
        <v>382</v>
      </c>
      <c r="R151" s="727">
        <f t="shared" ca="1" si="14"/>
        <v>51</v>
      </c>
      <c r="S151" s="727">
        <f t="shared" ca="1" si="14"/>
        <v>467</v>
      </c>
      <c r="T151" s="727">
        <f t="shared" ca="1" si="14"/>
        <v>403</v>
      </c>
      <c r="U151" s="727">
        <f t="shared" ca="1" si="14"/>
        <v>98</v>
      </c>
      <c r="V151" s="727">
        <f t="shared" ca="1" si="14"/>
        <v>1018</v>
      </c>
      <c r="W151" s="727">
        <f t="shared" ca="1" si="14"/>
        <v>10</v>
      </c>
      <c r="X151" s="727">
        <f t="shared" ref="X151:AF154" ca="1" si="15">INDIRECT(TEXT(X$142,1)&amp;"!"&amp;INDEX($B$277:$E$277,,MATCH($C151,$B$274:$E$274,0)))</f>
        <v>56</v>
      </c>
      <c r="Y151" s="727">
        <f t="shared" ca="1" si="15"/>
        <v>234</v>
      </c>
      <c r="Z151" s="727">
        <f t="shared" ca="1" si="15"/>
        <v>13</v>
      </c>
      <c r="AA151" s="727">
        <f t="shared" ca="1" si="15"/>
        <v>349</v>
      </c>
      <c r="AB151" s="727">
        <f t="shared" ca="1" si="15"/>
        <v>6473.9976999999999</v>
      </c>
      <c r="AC151" s="727">
        <f t="shared" ca="1" si="15"/>
        <v>64</v>
      </c>
      <c r="AD151" s="727">
        <f t="shared" ca="1" si="15"/>
        <v>396</v>
      </c>
      <c r="AE151" s="727">
        <f t="shared" ca="1" si="15"/>
        <v>0</v>
      </c>
      <c r="AF151" s="727">
        <f t="shared" ca="1" si="15"/>
        <v>20</v>
      </c>
      <c r="AG151" s="728">
        <f t="shared" ca="1" si="9"/>
        <v>15046.9977</v>
      </c>
      <c r="AH151" s="850">
        <f t="shared" ca="1" si="7"/>
        <v>11944.9977</v>
      </c>
      <c r="AI151" s="851">
        <f t="shared" ca="1" si="8"/>
        <v>3102</v>
      </c>
    </row>
    <row r="152" spans="1:35">
      <c r="A152" s="210"/>
      <c r="B152" s="712" t="s">
        <v>184</v>
      </c>
      <c r="C152" s="718">
        <v>2009</v>
      </c>
      <c r="D152" s="727">
        <f t="shared" ca="1" si="13"/>
        <v>152</v>
      </c>
      <c r="E152" s="727">
        <f t="shared" ca="1" si="13"/>
        <v>1065</v>
      </c>
      <c r="F152" s="727">
        <f t="shared" ca="1" si="13"/>
        <v>9</v>
      </c>
      <c r="G152" s="727">
        <f t="shared" ca="1" si="13"/>
        <v>8</v>
      </c>
      <c r="H152" s="727">
        <f t="shared" ca="1" si="13"/>
        <v>522</v>
      </c>
      <c r="I152" s="727">
        <f t="shared" ca="1" si="13"/>
        <v>98</v>
      </c>
      <c r="J152" s="727">
        <f t="shared" ca="1" si="13"/>
        <v>400</v>
      </c>
      <c r="K152" s="727">
        <f t="shared" ca="1" si="13"/>
        <v>1379</v>
      </c>
      <c r="L152" s="727">
        <f t="shared" ca="1" si="13"/>
        <v>217</v>
      </c>
      <c r="M152" s="727">
        <f t="shared" ca="1" si="13"/>
        <v>307</v>
      </c>
      <c r="N152" s="727">
        <f t="shared" ca="1" si="14"/>
        <v>526</v>
      </c>
      <c r="O152" s="727">
        <f t="shared" ca="1" si="14"/>
        <v>304</v>
      </c>
      <c r="P152" s="727">
        <f t="shared" ca="1" si="14"/>
        <v>92</v>
      </c>
      <c r="Q152" s="727">
        <f t="shared" ca="1" si="14"/>
        <v>391</v>
      </c>
      <c r="R152" s="727">
        <f t="shared" ca="1" si="14"/>
        <v>54</v>
      </c>
      <c r="S152" s="727">
        <f t="shared" ca="1" si="14"/>
        <v>470</v>
      </c>
      <c r="T152" s="727">
        <f t="shared" ca="1" si="14"/>
        <v>460</v>
      </c>
      <c r="U152" s="727">
        <f t="shared" ca="1" si="14"/>
        <v>101</v>
      </c>
      <c r="V152" s="727">
        <f t="shared" ca="1" si="14"/>
        <v>972</v>
      </c>
      <c r="W152" s="727">
        <f t="shared" ca="1" si="14"/>
        <v>12</v>
      </c>
      <c r="X152" s="727">
        <f t="shared" ca="1" si="15"/>
        <v>57</v>
      </c>
      <c r="Y152" s="727">
        <f t="shared" ca="1" si="15"/>
        <v>247</v>
      </c>
      <c r="Z152" s="727">
        <f t="shared" ca="1" si="15"/>
        <v>13</v>
      </c>
      <c r="AA152" s="727">
        <f t="shared" ca="1" si="15"/>
        <v>373</v>
      </c>
      <c r="AB152" s="727">
        <f t="shared" ca="1" si="15"/>
        <v>5514</v>
      </c>
      <c r="AC152" s="727">
        <f t="shared" ca="1" si="15"/>
        <v>55</v>
      </c>
      <c r="AD152" s="727">
        <f t="shared" ca="1" si="15"/>
        <v>398</v>
      </c>
      <c r="AE152" s="727">
        <f t="shared" ca="1" si="15"/>
        <v>1199</v>
      </c>
      <c r="AF152" s="727">
        <f t="shared" ca="1" si="15"/>
        <v>21</v>
      </c>
      <c r="AG152" s="728">
        <f t="shared" ca="1" si="9"/>
        <v>15416</v>
      </c>
      <c r="AH152" s="850">
        <f t="shared" ca="1" si="7"/>
        <v>12398</v>
      </c>
      <c r="AI152" s="851">
        <f t="shared" ca="1" si="8"/>
        <v>3018</v>
      </c>
    </row>
    <row r="153" spans="1:35">
      <c r="A153" s="210"/>
      <c r="B153" s="712" t="s">
        <v>184</v>
      </c>
      <c r="C153" s="718">
        <v>2010</v>
      </c>
      <c r="D153" s="727">
        <f t="shared" ca="1" si="13"/>
        <v>148</v>
      </c>
      <c r="E153" s="727">
        <f t="shared" ca="1" si="13"/>
        <v>1083</v>
      </c>
      <c r="F153" s="727">
        <f t="shared" ca="1" si="13"/>
        <v>9</v>
      </c>
      <c r="G153" s="727">
        <f t="shared" ca="1" si="13"/>
        <v>8</v>
      </c>
      <c r="H153" s="727">
        <f t="shared" ca="1" si="13"/>
        <v>515</v>
      </c>
      <c r="I153" s="727">
        <f t="shared" ca="1" si="13"/>
        <v>100</v>
      </c>
      <c r="J153" s="727">
        <f t="shared" ca="1" si="13"/>
        <v>400</v>
      </c>
      <c r="K153" s="727">
        <f t="shared" ca="1" si="13"/>
        <v>1448</v>
      </c>
      <c r="L153" s="727">
        <f t="shared" ca="1" si="13"/>
        <v>217</v>
      </c>
      <c r="M153" s="727">
        <f t="shared" ca="1" si="13"/>
        <v>330</v>
      </c>
      <c r="N153" s="727">
        <f t="shared" ca="1" si="14"/>
        <v>492</v>
      </c>
      <c r="O153" s="727">
        <f t="shared" ca="1" si="14"/>
        <v>307</v>
      </c>
      <c r="P153" s="727">
        <f t="shared" ca="1" si="14"/>
        <v>94</v>
      </c>
      <c r="Q153" s="727">
        <f t="shared" ca="1" si="14"/>
        <v>394</v>
      </c>
      <c r="R153" s="727">
        <f t="shared" ca="1" si="14"/>
        <v>59</v>
      </c>
      <c r="S153" s="727">
        <f t="shared" ca="1" si="14"/>
        <v>490</v>
      </c>
      <c r="T153" s="727">
        <f t="shared" ca="1" si="14"/>
        <v>467</v>
      </c>
      <c r="U153" s="727">
        <f t="shared" ca="1" si="14"/>
        <v>101</v>
      </c>
      <c r="V153" s="727">
        <f t="shared" ca="1" si="14"/>
        <v>998</v>
      </c>
      <c r="W153" s="727">
        <f t="shared" ca="1" si="14"/>
        <v>13</v>
      </c>
      <c r="X153" s="727">
        <f t="shared" ca="1" si="15"/>
        <v>59</v>
      </c>
      <c r="Y153" s="727">
        <f t="shared" ca="1" si="15"/>
        <v>245</v>
      </c>
      <c r="Z153" s="727">
        <f t="shared" ca="1" si="15"/>
        <v>14</v>
      </c>
      <c r="AA153" s="727">
        <f t="shared" ca="1" si="15"/>
        <v>342</v>
      </c>
      <c r="AB153" s="727">
        <f t="shared" ca="1" si="15"/>
        <v>5602.3451999999997</v>
      </c>
      <c r="AC153" s="727">
        <f t="shared" ca="1" si="15"/>
        <v>65</v>
      </c>
      <c r="AD153" s="727">
        <f t="shared" ca="1" si="15"/>
        <v>378</v>
      </c>
      <c r="AE153" s="727">
        <f t="shared" ca="1" si="15"/>
        <v>1231</v>
      </c>
      <c r="AF153" s="727">
        <f t="shared" ca="1" si="15"/>
        <v>21</v>
      </c>
      <c r="AG153" s="728">
        <f t="shared" ca="1" si="9"/>
        <v>15630.3452</v>
      </c>
      <c r="AH153" s="850">
        <f t="shared" ca="1" si="7"/>
        <v>12636.3452</v>
      </c>
      <c r="AI153" s="851">
        <f t="shared" ca="1" si="8"/>
        <v>2994</v>
      </c>
    </row>
    <row r="154" spans="1:35">
      <c r="A154" s="210"/>
      <c r="B154" s="712" t="s">
        <v>184</v>
      </c>
      <c r="C154" s="718">
        <v>2011</v>
      </c>
      <c r="D154" s="727">
        <f t="shared" ca="1" si="13"/>
        <v>143</v>
      </c>
      <c r="E154" s="727">
        <f t="shared" ca="1" si="13"/>
        <v>1017</v>
      </c>
      <c r="F154" s="727">
        <f t="shared" ca="1" si="13"/>
        <v>14</v>
      </c>
      <c r="G154" s="727">
        <f t="shared" ca="1" si="13"/>
        <v>0</v>
      </c>
      <c r="H154" s="727">
        <f t="shared" ca="1" si="13"/>
        <v>507</v>
      </c>
      <c r="I154" s="727">
        <f t="shared" ca="1" si="13"/>
        <v>108</v>
      </c>
      <c r="J154" s="727">
        <f t="shared" ca="1" si="13"/>
        <v>400</v>
      </c>
      <c r="K154" s="727">
        <f t="shared" ca="1" si="13"/>
        <v>1507.2789</v>
      </c>
      <c r="L154" s="727">
        <f t="shared" ca="1" si="13"/>
        <v>222</v>
      </c>
      <c r="M154" s="727">
        <f t="shared" ca="1" si="13"/>
        <v>346</v>
      </c>
      <c r="N154" s="727">
        <f t="shared" ca="1" si="14"/>
        <v>553</v>
      </c>
      <c r="O154" s="727">
        <f t="shared" ca="1" si="14"/>
        <v>313</v>
      </c>
      <c r="P154" s="727">
        <f t="shared" ca="1" si="14"/>
        <v>90</v>
      </c>
      <c r="Q154" s="727">
        <f t="shared" ca="1" si="14"/>
        <v>403</v>
      </c>
      <c r="R154" s="727">
        <f t="shared" ca="1" si="14"/>
        <v>61</v>
      </c>
      <c r="S154" s="727">
        <f t="shared" ca="1" si="14"/>
        <v>494</v>
      </c>
      <c r="T154" s="727">
        <f t="shared" ca="1" si="14"/>
        <v>467</v>
      </c>
      <c r="U154" s="727">
        <f t="shared" ca="1" si="14"/>
        <v>106</v>
      </c>
      <c r="V154" s="727">
        <f t="shared" ca="1" si="14"/>
        <v>976</v>
      </c>
      <c r="W154" s="727">
        <f t="shared" ca="1" si="14"/>
        <v>13</v>
      </c>
      <c r="X154" s="727">
        <f t="shared" ca="1" si="15"/>
        <v>51</v>
      </c>
      <c r="Y154" s="727">
        <f t="shared" ca="1" si="15"/>
        <v>266</v>
      </c>
      <c r="Z154" s="727">
        <f t="shared" ca="1" si="15"/>
        <v>14</v>
      </c>
      <c r="AA154" s="727">
        <f t="shared" ca="1" si="15"/>
        <v>556</v>
      </c>
      <c r="AB154" s="727">
        <f t="shared" ca="1" si="15"/>
        <v>5954</v>
      </c>
      <c r="AC154" s="727">
        <f t="shared" ca="1" si="15"/>
        <v>58</v>
      </c>
      <c r="AD154" s="727">
        <f t="shared" ca="1" si="15"/>
        <v>399</v>
      </c>
      <c r="AE154" s="727">
        <f t="shared" ca="1" si="15"/>
        <v>1035</v>
      </c>
      <c r="AF154" s="727">
        <f t="shared" ca="1" si="15"/>
        <v>17</v>
      </c>
      <c r="AG154" s="728">
        <f t="shared" ca="1" si="9"/>
        <v>16090.278900000001</v>
      </c>
      <c r="AH154" s="850">
        <f t="shared" ca="1" si="7"/>
        <v>12995.278900000001</v>
      </c>
      <c r="AI154" s="851">
        <f t="shared" ca="1" si="8"/>
        <v>3095</v>
      </c>
    </row>
    <row r="155" spans="1:35">
      <c r="A155" s="210"/>
      <c r="B155" s="712" t="s">
        <v>181</v>
      </c>
      <c r="C155" s="718">
        <v>2008</v>
      </c>
      <c r="D155" s="727">
        <f t="shared" ref="D155:M158" ca="1" si="16">INDIRECT(TEXT(D$142,1)&amp;"!"&amp;INDEX($B$278:$E$278,,MATCH($C155,$B$274:$E$274,0)))</f>
        <v>5</v>
      </c>
      <c r="E155" s="727">
        <f t="shared" ca="1" si="16"/>
        <v>5</v>
      </c>
      <c r="F155" s="727">
        <f t="shared" ca="1" si="16"/>
        <v>5</v>
      </c>
      <c r="G155" s="727">
        <f t="shared" ca="1" si="16"/>
        <v>4</v>
      </c>
      <c r="H155" s="727">
        <f t="shared" ca="1" si="16"/>
        <v>5</v>
      </c>
      <c r="I155" s="727">
        <f t="shared" ca="1" si="16"/>
        <v>5</v>
      </c>
      <c r="J155" s="727">
        <f t="shared" ca="1" si="16"/>
        <v>5</v>
      </c>
      <c r="K155" s="727">
        <f t="shared" ca="1" si="16"/>
        <v>5</v>
      </c>
      <c r="L155" s="727">
        <f t="shared" ca="1" si="16"/>
        <v>5</v>
      </c>
      <c r="M155" s="727">
        <f t="shared" ca="1" si="16"/>
        <v>5</v>
      </c>
      <c r="N155" s="727">
        <f t="shared" ref="N155:W158" ca="1" si="17">INDIRECT(TEXT(N$142,1)&amp;"!"&amp;INDEX($B$278:$E$278,,MATCH($C155,$B$274:$E$274,0)))</f>
        <v>5</v>
      </c>
      <c r="O155" s="727">
        <f t="shared" ca="1" si="17"/>
        <v>5</v>
      </c>
      <c r="P155" s="727">
        <f t="shared" ca="1" si="17"/>
        <v>5</v>
      </c>
      <c r="Q155" s="727">
        <f t="shared" ca="1" si="17"/>
        <v>5</v>
      </c>
      <c r="R155" s="727">
        <f t="shared" ca="1" si="17"/>
        <v>5</v>
      </c>
      <c r="S155" s="727">
        <f t="shared" ca="1" si="17"/>
        <v>5</v>
      </c>
      <c r="T155" s="727">
        <f t="shared" ca="1" si="17"/>
        <v>5</v>
      </c>
      <c r="U155" s="727">
        <f t="shared" ca="1" si="17"/>
        <v>5</v>
      </c>
      <c r="V155" s="727">
        <f t="shared" ca="1" si="17"/>
        <v>5</v>
      </c>
      <c r="W155" s="727">
        <f t="shared" ca="1" si="17"/>
        <v>5</v>
      </c>
      <c r="X155" s="727">
        <f t="shared" ref="X155:AF158" ca="1" si="18">INDIRECT(TEXT(X$142,1)&amp;"!"&amp;INDEX($B$278:$E$278,,MATCH($C155,$B$274:$E$274,0)))</f>
        <v>5</v>
      </c>
      <c r="Y155" s="727">
        <f t="shared" ca="1" si="18"/>
        <v>5</v>
      </c>
      <c r="Z155" s="727">
        <f t="shared" ca="1" si="18"/>
        <v>5</v>
      </c>
      <c r="AA155" s="727">
        <f t="shared" ca="1" si="18"/>
        <v>5</v>
      </c>
      <c r="AB155" s="727">
        <f t="shared" ca="1" si="18"/>
        <v>15</v>
      </c>
      <c r="AC155" s="727">
        <f t="shared" ca="1" si="18"/>
        <v>5</v>
      </c>
      <c r="AD155" s="727">
        <f t="shared" ca="1" si="18"/>
        <v>5</v>
      </c>
      <c r="AE155" s="727">
        <f t="shared" ca="1" si="18"/>
        <v>0</v>
      </c>
      <c r="AF155" s="727">
        <f t="shared" ca="1" si="18"/>
        <v>5</v>
      </c>
      <c r="AG155" s="728">
        <f t="shared" ca="1" si="9"/>
        <v>149</v>
      </c>
      <c r="AH155" s="850">
        <f t="shared" ca="1" si="7"/>
        <v>89</v>
      </c>
      <c r="AI155" s="851">
        <f t="shared" ca="1" si="8"/>
        <v>60</v>
      </c>
    </row>
    <row r="156" spans="1:35">
      <c r="A156" s="210"/>
      <c r="B156" s="712" t="s">
        <v>181</v>
      </c>
      <c r="C156" s="718">
        <v>2009</v>
      </c>
      <c r="D156" s="727">
        <f t="shared" ca="1" si="16"/>
        <v>5</v>
      </c>
      <c r="E156" s="727">
        <f t="shared" ca="1" si="16"/>
        <v>5</v>
      </c>
      <c r="F156" s="727">
        <f t="shared" ca="1" si="16"/>
        <v>8</v>
      </c>
      <c r="G156" s="727">
        <f t="shared" ca="1" si="16"/>
        <v>5</v>
      </c>
      <c r="H156" s="727">
        <f t="shared" ca="1" si="16"/>
        <v>5</v>
      </c>
      <c r="I156" s="727">
        <f t="shared" ca="1" si="16"/>
        <v>5</v>
      </c>
      <c r="J156" s="727">
        <f t="shared" ca="1" si="16"/>
        <v>5</v>
      </c>
      <c r="K156" s="727">
        <f t="shared" ca="1" si="16"/>
        <v>5</v>
      </c>
      <c r="L156" s="727">
        <f t="shared" ca="1" si="16"/>
        <v>5</v>
      </c>
      <c r="M156" s="727">
        <f t="shared" ca="1" si="16"/>
        <v>5</v>
      </c>
      <c r="N156" s="727">
        <f t="shared" ca="1" si="17"/>
        <v>5</v>
      </c>
      <c r="O156" s="727">
        <f t="shared" ca="1" si="17"/>
        <v>5</v>
      </c>
      <c r="P156" s="727">
        <f t="shared" ca="1" si="17"/>
        <v>5</v>
      </c>
      <c r="Q156" s="727">
        <f t="shared" ca="1" si="17"/>
        <v>5</v>
      </c>
      <c r="R156" s="727">
        <f t="shared" ca="1" si="17"/>
        <v>5</v>
      </c>
      <c r="S156" s="727">
        <f t="shared" ca="1" si="17"/>
        <v>5</v>
      </c>
      <c r="T156" s="727">
        <f t="shared" ca="1" si="17"/>
        <v>5</v>
      </c>
      <c r="U156" s="727">
        <f t="shared" ca="1" si="17"/>
        <v>5</v>
      </c>
      <c r="V156" s="727">
        <f t="shared" ca="1" si="17"/>
        <v>5</v>
      </c>
      <c r="W156" s="727">
        <f t="shared" ca="1" si="17"/>
        <v>5</v>
      </c>
      <c r="X156" s="727">
        <f t="shared" ca="1" si="18"/>
        <v>5</v>
      </c>
      <c r="Y156" s="727">
        <f t="shared" ca="1" si="18"/>
        <v>5</v>
      </c>
      <c r="Z156" s="727">
        <f t="shared" ca="1" si="18"/>
        <v>5</v>
      </c>
      <c r="AA156" s="727">
        <f t="shared" ca="1" si="18"/>
        <v>5</v>
      </c>
      <c r="AB156" s="727">
        <f t="shared" ca="1" si="18"/>
        <v>10</v>
      </c>
      <c r="AC156" s="727">
        <f t="shared" ca="1" si="18"/>
        <v>5</v>
      </c>
      <c r="AD156" s="727">
        <f t="shared" ca="1" si="18"/>
        <v>5</v>
      </c>
      <c r="AE156" s="727">
        <f t="shared" ca="1" si="18"/>
        <v>5</v>
      </c>
      <c r="AF156" s="727">
        <f t="shared" ca="1" si="18"/>
        <v>5</v>
      </c>
      <c r="AG156" s="728">
        <f t="shared" ca="1" si="9"/>
        <v>153</v>
      </c>
      <c r="AH156" s="850">
        <f t="shared" ca="1" si="7"/>
        <v>90</v>
      </c>
      <c r="AI156" s="851">
        <f t="shared" ca="1" si="8"/>
        <v>63</v>
      </c>
    </row>
    <row r="157" spans="1:35">
      <c r="A157" s="210"/>
      <c r="B157" s="712" t="s">
        <v>181</v>
      </c>
      <c r="C157" s="718">
        <v>2010</v>
      </c>
      <c r="D157" s="727">
        <f t="shared" ca="1" si="16"/>
        <v>5</v>
      </c>
      <c r="E157" s="727">
        <f t="shared" ca="1" si="16"/>
        <v>5</v>
      </c>
      <c r="F157" s="727">
        <f t="shared" ca="1" si="16"/>
        <v>9</v>
      </c>
      <c r="G157" s="727">
        <f t="shared" ca="1" si="16"/>
        <v>5</v>
      </c>
      <c r="H157" s="727">
        <f t="shared" ca="1" si="16"/>
        <v>5</v>
      </c>
      <c r="I157" s="727">
        <f t="shared" ca="1" si="16"/>
        <v>5</v>
      </c>
      <c r="J157" s="727">
        <f t="shared" ca="1" si="16"/>
        <v>5</v>
      </c>
      <c r="K157" s="727">
        <f t="shared" ca="1" si="16"/>
        <v>5</v>
      </c>
      <c r="L157" s="727">
        <f t="shared" ca="1" si="16"/>
        <v>5</v>
      </c>
      <c r="M157" s="727">
        <f t="shared" ca="1" si="16"/>
        <v>5</v>
      </c>
      <c r="N157" s="727">
        <f t="shared" ca="1" si="17"/>
        <v>5</v>
      </c>
      <c r="O157" s="727">
        <f t="shared" ca="1" si="17"/>
        <v>5</v>
      </c>
      <c r="P157" s="727">
        <f t="shared" ca="1" si="17"/>
        <v>5</v>
      </c>
      <c r="Q157" s="727">
        <f t="shared" ca="1" si="17"/>
        <v>5</v>
      </c>
      <c r="R157" s="727">
        <f t="shared" ca="1" si="17"/>
        <v>5</v>
      </c>
      <c r="S157" s="727">
        <f t="shared" ca="1" si="17"/>
        <v>5</v>
      </c>
      <c r="T157" s="727">
        <f t="shared" ca="1" si="17"/>
        <v>5</v>
      </c>
      <c r="U157" s="727">
        <f t="shared" ca="1" si="17"/>
        <v>5</v>
      </c>
      <c r="V157" s="727">
        <f t="shared" ca="1" si="17"/>
        <v>5</v>
      </c>
      <c r="W157" s="727">
        <f t="shared" ca="1" si="17"/>
        <v>5</v>
      </c>
      <c r="X157" s="727">
        <f t="shared" ca="1" si="18"/>
        <v>5</v>
      </c>
      <c r="Y157" s="727">
        <f t="shared" ca="1" si="18"/>
        <v>5</v>
      </c>
      <c r="Z157" s="727">
        <f t="shared" ca="1" si="18"/>
        <v>5</v>
      </c>
      <c r="AA157" s="727">
        <f t="shared" ca="1" si="18"/>
        <v>5</v>
      </c>
      <c r="AB157" s="727">
        <f t="shared" ca="1" si="18"/>
        <v>10</v>
      </c>
      <c r="AC157" s="727">
        <f t="shared" ca="1" si="18"/>
        <v>5</v>
      </c>
      <c r="AD157" s="727">
        <f t="shared" ca="1" si="18"/>
        <v>5</v>
      </c>
      <c r="AE157" s="727">
        <f t="shared" ca="1" si="18"/>
        <v>5</v>
      </c>
      <c r="AF157" s="727">
        <f t="shared" ca="1" si="18"/>
        <v>5</v>
      </c>
      <c r="AG157" s="728">
        <f t="shared" ca="1" si="9"/>
        <v>154</v>
      </c>
      <c r="AH157" s="850">
        <f t="shared" ca="1" si="7"/>
        <v>90</v>
      </c>
      <c r="AI157" s="851">
        <f t="shared" ca="1" si="8"/>
        <v>64</v>
      </c>
    </row>
    <row r="158" spans="1:35">
      <c r="A158" s="210"/>
      <c r="B158" s="712" t="s">
        <v>181</v>
      </c>
      <c r="C158" s="718">
        <v>2011</v>
      </c>
      <c r="D158" s="727">
        <f t="shared" ca="1" si="16"/>
        <v>5</v>
      </c>
      <c r="E158" s="727">
        <f t="shared" ca="1" si="16"/>
        <v>5</v>
      </c>
      <c r="F158" s="727">
        <f t="shared" ca="1" si="16"/>
        <v>5</v>
      </c>
      <c r="G158" s="727">
        <f t="shared" ca="1" si="16"/>
        <v>5</v>
      </c>
      <c r="H158" s="727">
        <f t="shared" ca="1" si="16"/>
        <v>5</v>
      </c>
      <c r="I158" s="727">
        <f t="shared" ca="1" si="16"/>
        <v>5</v>
      </c>
      <c r="J158" s="727">
        <f t="shared" ca="1" si="16"/>
        <v>5</v>
      </c>
      <c r="K158" s="727">
        <f t="shared" ca="1" si="16"/>
        <v>5</v>
      </c>
      <c r="L158" s="727">
        <f t="shared" ca="1" si="16"/>
        <v>5</v>
      </c>
      <c r="M158" s="727">
        <f t="shared" ca="1" si="16"/>
        <v>5</v>
      </c>
      <c r="N158" s="727">
        <f t="shared" ca="1" si="17"/>
        <v>5</v>
      </c>
      <c r="O158" s="727">
        <f t="shared" ca="1" si="17"/>
        <v>5</v>
      </c>
      <c r="P158" s="727">
        <f t="shared" ca="1" si="17"/>
        <v>5</v>
      </c>
      <c r="Q158" s="727">
        <f t="shared" ca="1" si="17"/>
        <v>5</v>
      </c>
      <c r="R158" s="727">
        <f t="shared" ca="1" si="17"/>
        <v>5</v>
      </c>
      <c r="S158" s="727">
        <f t="shared" ca="1" si="17"/>
        <v>5</v>
      </c>
      <c r="T158" s="727">
        <f t="shared" ca="1" si="17"/>
        <v>5</v>
      </c>
      <c r="U158" s="727">
        <f t="shared" ca="1" si="17"/>
        <v>5</v>
      </c>
      <c r="V158" s="727">
        <f t="shared" ca="1" si="17"/>
        <v>5</v>
      </c>
      <c r="W158" s="727">
        <f t="shared" ca="1" si="17"/>
        <v>5</v>
      </c>
      <c r="X158" s="727">
        <f t="shared" ca="1" si="18"/>
        <v>5</v>
      </c>
      <c r="Y158" s="727">
        <f t="shared" ca="1" si="18"/>
        <v>5</v>
      </c>
      <c r="Z158" s="727">
        <f t="shared" ca="1" si="18"/>
        <v>5</v>
      </c>
      <c r="AA158" s="727">
        <f t="shared" ca="1" si="18"/>
        <v>5</v>
      </c>
      <c r="AB158" s="727">
        <f t="shared" ca="1" si="18"/>
        <v>10</v>
      </c>
      <c r="AC158" s="727">
        <f t="shared" ca="1" si="18"/>
        <v>5</v>
      </c>
      <c r="AD158" s="727">
        <f t="shared" ca="1" si="18"/>
        <v>5</v>
      </c>
      <c r="AE158" s="727">
        <f t="shared" ca="1" si="18"/>
        <v>5</v>
      </c>
      <c r="AF158" s="727">
        <f t="shared" ca="1" si="18"/>
        <v>5</v>
      </c>
      <c r="AG158" s="728">
        <f t="shared" ca="1" si="9"/>
        <v>150</v>
      </c>
      <c r="AH158" s="850">
        <f t="shared" ca="1" si="7"/>
        <v>90</v>
      </c>
      <c r="AI158" s="851">
        <f t="shared" ca="1" si="8"/>
        <v>60</v>
      </c>
    </row>
    <row r="159" spans="1:35">
      <c r="A159" s="210"/>
      <c r="B159" s="712" t="s">
        <v>444</v>
      </c>
      <c r="C159" s="718">
        <v>2008</v>
      </c>
      <c r="D159" s="727">
        <f ca="1">D147+D151+D155</f>
        <v>26473</v>
      </c>
      <c r="E159" s="727">
        <f t="shared" ref="E159:AF159" ca="1" si="19">E147+E151+E155</f>
        <v>5664</v>
      </c>
      <c r="F159" s="727">
        <f t="shared" ca="1" si="19"/>
        <v>94</v>
      </c>
      <c r="G159" s="727">
        <f t="shared" ca="1" si="19"/>
        <v>54</v>
      </c>
      <c r="H159" s="727">
        <f t="shared" ca="1" si="19"/>
        <v>7520</v>
      </c>
      <c r="I159" s="727">
        <f t="shared" ca="1" si="19"/>
        <v>405</v>
      </c>
      <c r="J159" s="727">
        <f t="shared" ca="1" si="19"/>
        <v>572</v>
      </c>
      <c r="K159" s="727">
        <f t="shared" ca="1" si="19"/>
        <v>3037</v>
      </c>
      <c r="L159" s="727">
        <f t="shared" ca="1" si="19"/>
        <v>1392</v>
      </c>
      <c r="M159" s="727">
        <f t="shared" ca="1" si="19"/>
        <v>3584</v>
      </c>
      <c r="N159" s="727">
        <f t="shared" ca="1" si="19"/>
        <v>4945</v>
      </c>
      <c r="O159" s="727">
        <f t="shared" ca="1" si="19"/>
        <v>7155</v>
      </c>
      <c r="P159" s="727">
        <f t="shared" ca="1" si="19"/>
        <v>1444</v>
      </c>
      <c r="Q159" s="727">
        <f t="shared" ca="1" si="19"/>
        <v>1892</v>
      </c>
      <c r="R159" s="727">
        <f t="shared" ca="1" si="19"/>
        <v>1833</v>
      </c>
      <c r="S159" s="727">
        <f t="shared" ca="1" si="19"/>
        <v>10692</v>
      </c>
      <c r="T159" s="727">
        <f t="shared" ca="1" si="19"/>
        <v>408</v>
      </c>
      <c r="U159" s="727">
        <f t="shared" ca="1" si="19"/>
        <v>555</v>
      </c>
      <c r="V159" s="727">
        <f t="shared" ca="1" si="19"/>
        <v>8304</v>
      </c>
      <c r="W159" s="727">
        <f t="shared" ca="1" si="19"/>
        <v>24</v>
      </c>
      <c r="X159" s="727">
        <f t="shared" ca="1" si="19"/>
        <v>286</v>
      </c>
      <c r="Y159" s="727">
        <f t="shared" ca="1" si="19"/>
        <v>5004</v>
      </c>
      <c r="Z159" s="727">
        <f t="shared" ca="1" si="19"/>
        <v>184</v>
      </c>
      <c r="AA159" s="727">
        <f t="shared" ca="1" si="19"/>
        <v>6490</v>
      </c>
      <c r="AB159" s="727">
        <f t="shared" ca="1" si="19"/>
        <v>47648.998699999996</v>
      </c>
      <c r="AC159" s="727">
        <f t="shared" ca="1" si="19"/>
        <v>1701</v>
      </c>
      <c r="AD159" s="727">
        <f t="shared" ca="1" si="19"/>
        <v>563</v>
      </c>
      <c r="AE159" s="727">
        <f t="shared" ca="1" si="19"/>
        <v>0</v>
      </c>
      <c r="AF159" s="727">
        <f t="shared" ca="1" si="19"/>
        <v>837</v>
      </c>
      <c r="AG159" s="728">
        <f t="shared" ca="1" si="9"/>
        <v>148760.9987</v>
      </c>
      <c r="AH159" s="850">
        <f t="shared" ca="1" si="7"/>
        <v>107820.9987</v>
      </c>
      <c r="AI159" s="851">
        <f t="shared" ca="1" si="8"/>
        <v>40940</v>
      </c>
    </row>
    <row r="160" spans="1:35">
      <c r="A160" s="210"/>
      <c r="B160" s="712" t="s">
        <v>444</v>
      </c>
      <c r="C160" s="718">
        <v>2009</v>
      </c>
      <c r="D160" s="727">
        <f t="shared" ref="D160:AF162" ca="1" si="20">D148+D152+D156</f>
        <v>26139</v>
      </c>
      <c r="E160" s="727">
        <f t="shared" ca="1" si="20"/>
        <v>5815</v>
      </c>
      <c r="F160" s="727">
        <f t="shared" ca="1" si="20"/>
        <v>92</v>
      </c>
      <c r="G160" s="727">
        <f t="shared" ca="1" si="20"/>
        <v>81</v>
      </c>
      <c r="H160" s="727">
        <f t="shared" ca="1" si="20"/>
        <v>7503</v>
      </c>
      <c r="I160" s="727">
        <f t="shared" ca="1" si="20"/>
        <v>418</v>
      </c>
      <c r="J160" s="727">
        <f t="shared" ca="1" si="20"/>
        <v>405</v>
      </c>
      <c r="K160" s="727">
        <f t="shared" ca="1" si="20"/>
        <v>3278</v>
      </c>
      <c r="L160" s="727">
        <f t="shared" ca="1" si="20"/>
        <v>1457</v>
      </c>
      <c r="M160" s="727">
        <f t="shared" ca="1" si="20"/>
        <v>3581.0645</v>
      </c>
      <c r="N160" s="727">
        <f t="shared" ca="1" si="20"/>
        <v>5641</v>
      </c>
      <c r="O160" s="727">
        <f t="shared" ca="1" si="20"/>
        <v>7196</v>
      </c>
      <c r="P160" s="727">
        <f t="shared" ca="1" si="20"/>
        <v>1468</v>
      </c>
      <c r="Q160" s="727">
        <f t="shared" ca="1" si="20"/>
        <v>1916</v>
      </c>
      <c r="R160" s="727">
        <f t="shared" ca="1" si="20"/>
        <v>2234</v>
      </c>
      <c r="S160" s="727">
        <f t="shared" ca="1" si="20"/>
        <v>10609</v>
      </c>
      <c r="T160" s="727">
        <f t="shared" ca="1" si="20"/>
        <v>465</v>
      </c>
      <c r="U160" s="727">
        <f t="shared" ca="1" si="20"/>
        <v>574</v>
      </c>
      <c r="V160" s="727">
        <f t="shared" ca="1" si="20"/>
        <v>8790</v>
      </c>
      <c r="W160" s="727">
        <f t="shared" ca="1" si="20"/>
        <v>24</v>
      </c>
      <c r="X160" s="727">
        <f t="shared" ca="1" si="20"/>
        <v>288</v>
      </c>
      <c r="Y160" s="727">
        <f t="shared" ca="1" si="20"/>
        <v>5142</v>
      </c>
      <c r="Z160" s="727">
        <f t="shared" ca="1" si="20"/>
        <v>182</v>
      </c>
      <c r="AA160" s="727">
        <f t="shared" ca="1" si="20"/>
        <v>6583</v>
      </c>
      <c r="AB160" s="727">
        <f t="shared" ca="1" si="20"/>
        <v>35728</v>
      </c>
      <c r="AC160" s="727">
        <f t="shared" ca="1" si="20"/>
        <v>1722</v>
      </c>
      <c r="AD160" s="727">
        <f t="shared" ca="1" si="20"/>
        <v>556</v>
      </c>
      <c r="AE160" s="727">
        <f t="shared" ca="1" si="20"/>
        <v>12325</v>
      </c>
      <c r="AF160" s="727">
        <f t="shared" ca="1" si="20"/>
        <v>850</v>
      </c>
      <c r="AG160" s="728">
        <f t="shared" ca="1" si="9"/>
        <v>151062.06450000001</v>
      </c>
      <c r="AH160" s="850">
        <f t="shared" ca="1" si="7"/>
        <v>109088.06450000001</v>
      </c>
      <c r="AI160" s="851">
        <f t="shared" ca="1" si="8"/>
        <v>41974</v>
      </c>
    </row>
    <row r="161" spans="1:35">
      <c r="A161" s="210"/>
      <c r="B161" s="712" t="s">
        <v>444</v>
      </c>
      <c r="C161" s="718">
        <v>2010</v>
      </c>
      <c r="D161" s="727">
        <f t="shared" ca="1" si="20"/>
        <v>25759</v>
      </c>
      <c r="E161" s="727">
        <f t="shared" ca="1" si="20"/>
        <v>5950</v>
      </c>
      <c r="F161" s="727">
        <f t="shared" ca="1" si="20"/>
        <v>90</v>
      </c>
      <c r="G161" s="727">
        <f t="shared" ca="1" si="20"/>
        <v>81</v>
      </c>
      <c r="H161" s="727">
        <f t="shared" ca="1" si="20"/>
        <v>7545</v>
      </c>
      <c r="I161" s="727">
        <f t="shared" ca="1" si="20"/>
        <v>432</v>
      </c>
      <c r="J161" s="727">
        <f t="shared" ca="1" si="20"/>
        <v>405</v>
      </c>
      <c r="K161" s="727">
        <f t="shared" ca="1" si="20"/>
        <v>3407</v>
      </c>
      <c r="L161" s="727">
        <f t="shared" ca="1" si="20"/>
        <v>1455</v>
      </c>
      <c r="M161" s="727">
        <f t="shared" ca="1" si="20"/>
        <v>3637</v>
      </c>
      <c r="N161" s="727">
        <f t="shared" ca="1" si="20"/>
        <v>5784</v>
      </c>
      <c r="O161" s="727">
        <f t="shared" ca="1" si="20"/>
        <v>5444</v>
      </c>
      <c r="P161" s="727">
        <f t="shared" ca="1" si="20"/>
        <v>7263</v>
      </c>
      <c r="Q161" s="727">
        <f t="shared" ca="1" si="20"/>
        <v>1941</v>
      </c>
      <c r="R161" s="727">
        <f t="shared" ca="1" si="20"/>
        <v>1978</v>
      </c>
      <c r="S161" s="727">
        <f t="shared" ca="1" si="20"/>
        <v>10462</v>
      </c>
      <c r="T161" s="727">
        <f t="shared" ca="1" si="20"/>
        <v>472</v>
      </c>
      <c r="U161" s="727">
        <f t="shared" ca="1" si="20"/>
        <v>586</v>
      </c>
      <c r="V161" s="727">
        <f t="shared" ca="1" si="20"/>
        <v>8824</v>
      </c>
      <c r="W161" s="727">
        <f t="shared" ca="1" si="20"/>
        <v>25</v>
      </c>
      <c r="X161" s="727">
        <f t="shared" ca="1" si="20"/>
        <v>352</v>
      </c>
      <c r="Y161" s="727">
        <f t="shared" ca="1" si="20"/>
        <v>5137</v>
      </c>
      <c r="Z161" s="727">
        <f t="shared" ca="1" si="20"/>
        <v>193</v>
      </c>
      <c r="AA161" s="727">
        <f t="shared" ca="1" si="20"/>
        <v>6971</v>
      </c>
      <c r="AB161" s="727">
        <f t="shared" ca="1" si="20"/>
        <v>36263.514200000005</v>
      </c>
      <c r="AC161" s="727">
        <f t="shared" ca="1" si="20"/>
        <v>1848</v>
      </c>
      <c r="AD161" s="727">
        <f t="shared" ca="1" si="20"/>
        <v>531</v>
      </c>
      <c r="AE161" s="727">
        <f t="shared" ca="1" si="20"/>
        <v>12343</v>
      </c>
      <c r="AF161" s="727">
        <f t="shared" ca="1" si="20"/>
        <v>871</v>
      </c>
      <c r="AG161" s="728">
        <f t="shared" ca="1" si="9"/>
        <v>156049.51420000001</v>
      </c>
      <c r="AH161" s="850">
        <f t="shared" ca="1" si="7"/>
        <v>115929.51420000001</v>
      </c>
      <c r="AI161" s="851">
        <f t="shared" ca="1" si="8"/>
        <v>40120</v>
      </c>
    </row>
    <row r="162" spans="1:35">
      <c r="A162" s="210"/>
      <c r="B162" s="712" t="s">
        <v>444</v>
      </c>
      <c r="C162" s="718">
        <v>2011</v>
      </c>
      <c r="D162" s="727">
        <f t="shared" ca="1" si="20"/>
        <v>25108</v>
      </c>
      <c r="E162" s="727">
        <f t="shared" ca="1" si="20"/>
        <v>6032</v>
      </c>
      <c r="F162" s="727">
        <f t="shared" ca="1" si="20"/>
        <v>653</v>
      </c>
      <c r="G162" s="727">
        <f t="shared" ca="1" si="20"/>
        <v>53</v>
      </c>
      <c r="H162" s="727">
        <f t="shared" ca="1" si="20"/>
        <v>7637</v>
      </c>
      <c r="I162" s="727">
        <f t="shared" ca="1" si="20"/>
        <v>449</v>
      </c>
      <c r="J162" s="727">
        <f t="shared" ca="1" si="20"/>
        <v>405</v>
      </c>
      <c r="K162" s="727">
        <f t="shared" ca="1" si="20"/>
        <v>3505.6286</v>
      </c>
      <c r="L162" s="727">
        <f t="shared" ca="1" si="20"/>
        <v>1464</v>
      </c>
      <c r="M162" s="727">
        <f t="shared" ca="1" si="20"/>
        <v>3664</v>
      </c>
      <c r="N162" s="727">
        <f t="shared" ca="1" si="20"/>
        <v>5967</v>
      </c>
      <c r="O162" s="727">
        <f t="shared" ca="1" si="20"/>
        <v>5393</v>
      </c>
      <c r="P162" s="727">
        <f t="shared" ca="1" si="20"/>
        <v>7037</v>
      </c>
      <c r="Q162" s="727">
        <f t="shared" ca="1" si="20"/>
        <v>1979</v>
      </c>
      <c r="R162" s="727">
        <f t="shared" ca="1" si="20"/>
        <v>1808</v>
      </c>
      <c r="S162" s="727">
        <f t="shared" ca="1" si="20"/>
        <v>10623</v>
      </c>
      <c r="T162" s="727">
        <f t="shared" ca="1" si="20"/>
        <v>472</v>
      </c>
      <c r="U162" s="727">
        <f t="shared" ca="1" si="20"/>
        <v>600</v>
      </c>
      <c r="V162" s="727">
        <f t="shared" ca="1" si="20"/>
        <v>1588</v>
      </c>
      <c r="W162" s="727">
        <f t="shared" ca="1" si="20"/>
        <v>25</v>
      </c>
      <c r="X162" s="727">
        <f t="shared" ca="1" si="20"/>
        <v>267</v>
      </c>
      <c r="Y162" s="727">
        <f t="shared" ca="1" si="20"/>
        <v>5166</v>
      </c>
      <c r="Z162" s="727">
        <f t="shared" ca="1" si="20"/>
        <v>193</v>
      </c>
      <c r="AA162" s="727">
        <f t="shared" ca="1" si="20"/>
        <v>7069</v>
      </c>
      <c r="AB162" s="727">
        <f t="shared" ca="1" si="20"/>
        <v>47585</v>
      </c>
      <c r="AC162" s="727">
        <f t="shared" ca="1" si="20"/>
        <v>1770</v>
      </c>
      <c r="AD162" s="727">
        <f t="shared" ca="1" si="20"/>
        <v>583</v>
      </c>
      <c r="AE162" s="727">
        <f t="shared" ca="1" si="20"/>
        <v>11871</v>
      </c>
      <c r="AF162" s="727">
        <f t="shared" ca="1" si="20"/>
        <v>849</v>
      </c>
      <c r="AG162" s="728">
        <f t="shared" ca="1" si="9"/>
        <v>159815.6286</v>
      </c>
      <c r="AH162" s="850">
        <f t="shared" ca="1" si="7"/>
        <v>118936.6286</v>
      </c>
      <c r="AI162" s="851">
        <f t="shared" ca="1" si="8"/>
        <v>40879</v>
      </c>
    </row>
    <row r="163" spans="1:35">
      <c r="A163" s="210"/>
      <c r="B163" s="712" t="s">
        <v>534</v>
      </c>
      <c r="C163" s="718">
        <v>2008</v>
      </c>
      <c r="D163" s="727">
        <f ca="1">D143+D147+D151+D155</f>
        <v>29849</v>
      </c>
      <c r="E163" s="727">
        <f t="shared" ref="E163:AG163" ca="1" si="21">E143+E147+E151+E155</f>
        <v>79811</v>
      </c>
      <c r="F163" s="727">
        <f t="shared" ca="1" si="21"/>
        <v>4320</v>
      </c>
      <c r="G163" s="727">
        <f t="shared" ca="1" si="21"/>
        <v>7958</v>
      </c>
      <c r="H163" s="727">
        <f t="shared" ca="1" si="21"/>
        <v>35613</v>
      </c>
      <c r="I163" s="727">
        <f t="shared" ca="1" si="21"/>
        <v>25196</v>
      </c>
      <c r="J163" s="727">
        <f t="shared" ca="1" si="21"/>
        <v>41512</v>
      </c>
      <c r="K163" s="727">
        <f t="shared" ca="1" si="21"/>
        <v>16732</v>
      </c>
      <c r="L163" s="727">
        <f t="shared" ca="1" si="21"/>
        <v>17012</v>
      </c>
      <c r="M163" s="727">
        <f t="shared" ca="1" si="21"/>
        <v>24220</v>
      </c>
      <c r="N163" s="727">
        <f t="shared" ca="1" si="21"/>
        <v>32545</v>
      </c>
      <c r="O163" s="727">
        <f t="shared" ca="1" si="21"/>
        <v>23584</v>
      </c>
      <c r="P163" s="727">
        <f t="shared" ca="1" si="21"/>
        <v>8881</v>
      </c>
      <c r="Q163" s="727">
        <f t="shared" ca="1" si="21"/>
        <v>35416</v>
      </c>
      <c r="R163" s="727">
        <f t="shared" ca="1" si="21"/>
        <v>11970</v>
      </c>
      <c r="S163" s="727">
        <f t="shared" ca="1" si="21"/>
        <v>52876</v>
      </c>
      <c r="T163" s="727">
        <f t="shared" ca="1" si="21"/>
        <v>186029</v>
      </c>
      <c r="U163" s="727">
        <f t="shared" ca="1" si="21"/>
        <v>14747</v>
      </c>
      <c r="V163" s="727">
        <f t="shared" ca="1" si="21"/>
        <v>305071</v>
      </c>
      <c r="W163" s="727">
        <f t="shared" ca="1" si="21"/>
        <v>6734</v>
      </c>
      <c r="X163" s="727">
        <f t="shared" ca="1" si="21"/>
        <v>23228</v>
      </c>
      <c r="Y163" s="727">
        <f t="shared" ca="1" si="21"/>
        <v>32998</v>
      </c>
      <c r="Z163" s="727">
        <f t="shared" ca="1" si="21"/>
        <v>29973</v>
      </c>
      <c r="AA163" s="727">
        <f t="shared" ca="1" si="21"/>
        <v>108140</v>
      </c>
      <c r="AB163" s="727">
        <f t="shared" ca="1" si="21"/>
        <v>679611.9987</v>
      </c>
      <c r="AC163" s="727">
        <f t="shared" ca="1" si="21"/>
        <v>22702</v>
      </c>
      <c r="AD163" s="727">
        <f t="shared" ca="1" si="21"/>
        <v>81312</v>
      </c>
      <c r="AE163" s="727">
        <f t="shared" ca="1" si="21"/>
        <v>0</v>
      </c>
      <c r="AF163" s="727">
        <f t="shared" ca="1" si="21"/>
        <v>12414</v>
      </c>
      <c r="AG163" s="845">
        <f t="shared" ca="1" si="21"/>
        <v>1950454.9986999999</v>
      </c>
      <c r="AH163" s="850">
        <f t="shared" ca="1" si="7"/>
        <v>1591874.9986999999</v>
      </c>
      <c r="AI163" s="851">
        <f t="shared" ca="1" si="8"/>
        <v>358580</v>
      </c>
    </row>
    <row r="164" spans="1:35">
      <c r="A164" s="210"/>
      <c r="B164" s="712" t="s">
        <v>534</v>
      </c>
      <c r="C164" s="718">
        <v>2009</v>
      </c>
      <c r="D164" s="727">
        <f t="shared" ref="D164:AG164" ca="1" si="22">D144+D148+D152+D156</f>
        <v>30267</v>
      </c>
      <c r="E164" s="727">
        <f t="shared" ca="1" si="22"/>
        <v>80686</v>
      </c>
      <c r="F164" s="727">
        <f t="shared" ca="1" si="22"/>
        <v>4395</v>
      </c>
      <c r="G164" s="727">
        <f t="shared" ca="1" si="22"/>
        <v>7981</v>
      </c>
      <c r="H164" s="727">
        <f t="shared" ca="1" si="22"/>
        <v>35970</v>
      </c>
      <c r="I164" s="727">
        <f t="shared" ca="1" si="22"/>
        <v>25300</v>
      </c>
      <c r="J164" s="727">
        <f t="shared" ca="1" si="22"/>
        <v>41761</v>
      </c>
      <c r="K164" s="727">
        <f t="shared" ca="1" si="22"/>
        <v>17218</v>
      </c>
      <c r="L164" s="727">
        <f t="shared" ca="1" si="22"/>
        <v>17126</v>
      </c>
      <c r="M164" s="727">
        <f t="shared" ca="1" si="22"/>
        <v>24254.0645</v>
      </c>
      <c r="N164" s="727">
        <f t="shared" ca="1" si="22"/>
        <v>33248</v>
      </c>
      <c r="O164" s="727">
        <f t="shared" ca="1" si="22"/>
        <v>23870</v>
      </c>
      <c r="P164" s="727">
        <f t="shared" ca="1" si="22"/>
        <v>8943</v>
      </c>
      <c r="Q164" s="727">
        <f t="shared" ca="1" si="22"/>
        <v>35829</v>
      </c>
      <c r="R164" s="727">
        <f t="shared" ca="1" si="22"/>
        <v>12256</v>
      </c>
      <c r="S164" s="727">
        <f t="shared" ca="1" si="22"/>
        <v>53331</v>
      </c>
      <c r="T164" s="727">
        <f t="shared" ca="1" si="22"/>
        <v>190286</v>
      </c>
      <c r="U164" s="727">
        <f t="shared" ca="1" si="22"/>
        <v>14761</v>
      </c>
      <c r="V164" s="727">
        <f t="shared" ca="1" si="22"/>
        <v>315374</v>
      </c>
      <c r="W164" s="727">
        <f t="shared" ca="1" si="22"/>
        <v>6832</v>
      </c>
      <c r="X164" s="727">
        <f t="shared" ca="1" si="22"/>
        <v>24185</v>
      </c>
      <c r="Y164" s="727">
        <f t="shared" ca="1" si="22"/>
        <v>33692</v>
      </c>
      <c r="Z164" s="727">
        <f t="shared" ca="1" si="22"/>
        <v>30453</v>
      </c>
      <c r="AA164" s="727">
        <f t="shared" ca="1" si="22"/>
        <v>107484</v>
      </c>
      <c r="AB164" s="727">
        <f t="shared" ca="1" si="22"/>
        <v>522147</v>
      </c>
      <c r="AC164" s="727">
        <f t="shared" ca="1" si="22"/>
        <v>22897</v>
      </c>
      <c r="AD164" s="727">
        <f t="shared" ca="1" si="22"/>
        <v>83715</v>
      </c>
      <c r="AE164" s="727">
        <f t="shared" ca="1" si="22"/>
        <v>162900</v>
      </c>
      <c r="AF164" s="727">
        <f t="shared" ca="1" si="22"/>
        <v>12617</v>
      </c>
      <c r="AG164" s="845">
        <f t="shared" ca="1" si="22"/>
        <v>1979778.0645000001</v>
      </c>
      <c r="AH164" s="850">
        <f t="shared" ca="1" si="7"/>
        <v>1615194.0644999999</v>
      </c>
      <c r="AI164" s="851">
        <f t="shared" ca="1" si="8"/>
        <v>364584</v>
      </c>
    </row>
    <row r="165" spans="1:35">
      <c r="A165" s="210"/>
      <c r="B165" s="712" t="s">
        <v>534</v>
      </c>
      <c r="C165" s="718">
        <v>2010</v>
      </c>
      <c r="D165" s="727">
        <f t="shared" ref="D165:AG165" ca="1" si="23">D145+D149+D153+D157</f>
        <v>30615</v>
      </c>
      <c r="E165" s="727">
        <f t="shared" ca="1" si="23"/>
        <v>81573</v>
      </c>
      <c r="F165" s="727">
        <f t="shared" ca="1" si="23"/>
        <v>4422</v>
      </c>
      <c r="G165" s="727">
        <f t="shared" ca="1" si="23"/>
        <v>7983</v>
      </c>
      <c r="H165" s="727">
        <f t="shared" ca="1" si="23"/>
        <v>36447</v>
      </c>
      <c r="I165" s="727">
        <f t="shared" ca="1" si="23"/>
        <v>25432</v>
      </c>
      <c r="J165" s="727">
        <f t="shared" ca="1" si="23"/>
        <v>42204</v>
      </c>
      <c r="K165" s="727">
        <f t="shared" ca="1" si="23"/>
        <v>17452</v>
      </c>
      <c r="L165" s="727">
        <f t="shared" ca="1" si="23"/>
        <v>17198</v>
      </c>
      <c r="M165" s="727">
        <f t="shared" ca="1" si="23"/>
        <v>24504</v>
      </c>
      <c r="N165" s="727">
        <f t="shared" ca="1" si="23"/>
        <v>33793</v>
      </c>
      <c r="O165" s="727">
        <f t="shared" ca="1" si="23"/>
        <v>24073</v>
      </c>
      <c r="P165" s="727">
        <f t="shared" ca="1" si="23"/>
        <v>9008</v>
      </c>
      <c r="Q165" s="727">
        <f t="shared" ca="1" si="23"/>
        <v>36219</v>
      </c>
      <c r="R165" s="727">
        <f t="shared" ca="1" si="23"/>
        <v>12257</v>
      </c>
      <c r="S165" s="727">
        <f t="shared" ca="1" si="23"/>
        <v>53706</v>
      </c>
      <c r="T165" s="727">
        <f t="shared" ca="1" si="23"/>
        <v>192179</v>
      </c>
      <c r="U165" s="727">
        <f t="shared" ca="1" si="23"/>
        <v>14768</v>
      </c>
      <c r="V165" s="727">
        <f t="shared" ca="1" si="23"/>
        <v>317489</v>
      </c>
      <c r="W165" s="727">
        <f t="shared" ca="1" si="23"/>
        <v>6786</v>
      </c>
      <c r="X165" s="727">
        <f t="shared" ca="1" si="23"/>
        <v>24435</v>
      </c>
      <c r="Y165" s="727">
        <f t="shared" ca="1" si="23"/>
        <v>34050</v>
      </c>
      <c r="Z165" s="727">
        <f t="shared" ca="1" si="23"/>
        <v>30824</v>
      </c>
      <c r="AA165" s="727">
        <f t="shared" ca="1" si="23"/>
        <v>108212</v>
      </c>
      <c r="AB165" s="727">
        <f t="shared" ca="1" si="23"/>
        <v>527096.00419999997</v>
      </c>
      <c r="AC165" s="727">
        <f t="shared" ca="1" si="23"/>
        <v>23176</v>
      </c>
      <c r="AD165" s="727">
        <f t="shared" ca="1" si="23"/>
        <v>84276</v>
      </c>
      <c r="AE165" s="727">
        <f t="shared" ca="1" si="23"/>
        <v>164058</v>
      </c>
      <c r="AF165" s="727">
        <f t="shared" ca="1" si="23"/>
        <v>12782</v>
      </c>
      <c r="AG165" s="845">
        <f t="shared" ca="1" si="23"/>
        <v>1997017.0042000001</v>
      </c>
      <c r="AH165" s="850">
        <f t="shared" ca="1" si="7"/>
        <v>1629045.0041999999</v>
      </c>
      <c r="AI165" s="851">
        <f t="shared" ca="1" si="8"/>
        <v>367972</v>
      </c>
    </row>
    <row r="166" spans="1:35">
      <c r="A166" s="210"/>
      <c r="B166" s="712" t="s">
        <v>534</v>
      </c>
      <c r="C166" s="718">
        <v>2011</v>
      </c>
      <c r="D166" s="727">
        <f t="shared" ref="D166:AG166" ca="1" si="24">D146+D150+D154+D158</f>
        <v>30826</v>
      </c>
      <c r="E166" s="727">
        <f t="shared" ca="1" si="24"/>
        <v>79688</v>
      </c>
      <c r="F166" s="727">
        <f t="shared" ca="1" si="24"/>
        <v>4471</v>
      </c>
      <c r="G166" s="727">
        <f t="shared" ca="1" si="24"/>
        <v>8245</v>
      </c>
      <c r="H166" s="727">
        <f t="shared" ca="1" si="24"/>
        <v>36859</v>
      </c>
      <c r="I166" s="727">
        <f t="shared" ca="1" si="24"/>
        <v>25514</v>
      </c>
      <c r="J166" s="727">
        <f t="shared" ca="1" si="24"/>
        <v>42483</v>
      </c>
      <c r="K166" s="727">
        <f t="shared" ca="1" si="24"/>
        <v>17803.999599999999</v>
      </c>
      <c r="L166" s="727">
        <f t="shared" ca="1" si="24"/>
        <v>17266</v>
      </c>
      <c r="M166" s="727">
        <f t="shared" ca="1" si="24"/>
        <v>24593</v>
      </c>
      <c r="N166" s="727">
        <f t="shared" ca="1" si="24"/>
        <v>34247</v>
      </c>
      <c r="O166" s="727">
        <f t="shared" ca="1" si="24"/>
        <v>24270</v>
      </c>
      <c r="P166" s="727">
        <f t="shared" ca="1" si="24"/>
        <v>9048</v>
      </c>
      <c r="Q166" s="727">
        <f t="shared" ca="1" si="24"/>
        <v>36679</v>
      </c>
      <c r="R166" s="727">
        <f t="shared" ca="1" si="24"/>
        <v>12318</v>
      </c>
      <c r="S166" s="727">
        <f t="shared" ca="1" si="24"/>
        <v>54416</v>
      </c>
      <c r="T166" s="727">
        <f t="shared" ca="1" si="24"/>
        <v>192179</v>
      </c>
      <c r="U166" s="727">
        <f t="shared" ca="1" si="24"/>
        <v>14801</v>
      </c>
      <c r="V166" s="727">
        <f t="shared" ca="1" si="24"/>
        <v>319181</v>
      </c>
      <c r="W166" s="727">
        <f t="shared" ca="1" si="24"/>
        <v>6787</v>
      </c>
      <c r="X166" s="727">
        <f t="shared" ca="1" si="24"/>
        <v>24474</v>
      </c>
      <c r="Y166" s="727">
        <f t="shared" ca="1" si="24"/>
        <v>34431</v>
      </c>
      <c r="Z166" s="727">
        <f t="shared" ca="1" si="24"/>
        <v>31002</v>
      </c>
      <c r="AA166" s="727">
        <f t="shared" ca="1" si="24"/>
        <v>108978</v>
      </c>
      <c r="AB166" s="727">
        <f t="shared" ca="1" si="24"/>
        <v>531185</v>
      </c>
      <c r="AC166" s="727">
        <f t="shared" ca="1" si="24"/>
        <v>23510</v>
      </c>
      <c r="AD166" s="727">
        <f t="shared" ca="1" si="24"/>
        <v>83614</v>
      </c>
      <c r="AE166" s="727">
        <f t="shared" ca="1" si="24"/>
        <v>164250</v>
      </c>
      <c r="AF166" s="727">
        <f t="shared" ca="1" si="24"/>
        <v>12876</v>
      </c>
      <c r="AG166" s="845">
        <f t="shared" ca="1" si="24"/>
        <v>2005994.9996</v>
      </c>
      <c r="AH166" s="850">
        <f t="shared" ca="1" si="7"/>
        <v>1635712.9996</v>
      </c>
      <c r="AI166" s="851">
        <f t="shared" ca="1" si="8"/>
        <v>370282</v>
      </c>
    </row>
    <row r="167" spans="1:35">
      <c r="A167" s="210"/>
      <c r="B167" s="712" t="s">
        <v>381</v>
      </c>
      <c r="C167" s="718">
        <v>2008</v>
      </c>
      <c r="D167" s="727">
        <f t="shared" ref="D167:M170" ca="1" si="25">INDIRECT(TEXT(D$142,1)&amp;"!"&amp;INDEX($B$279:$E$279,,MATCH($C167,$B$274:$E$274,0)))</f>
        <v>914.22770950357835</v>
      </c>
      <c r="E167" s="727">
        <f t="shared" ca="1" si="25"/>
        <v>43499.126913974505</v>
      </c>
      <c r="F167" s="727">
        <f t="shared" ca="1" si="25"/>
        <v>3508.1332154771744</v>
      </c>
      <c r="G167" s="727">
        <f t="shared" ca="1" si="25"/>
        <v>5515.9016781386326</v>
      </c>
      <c r="H167" s="727">
        <f t="shared" ca="1" si="25"/>
        <v>13282.17615693878</v>
      </c>
      <c r="I167" s="727">
        <f t="shared" ca="1" si="25"/>
        <v>20799.758489920445</v>
      </c>
      <c r="J167" s="727">
        <f t="shared" ca="1" si="25"/>
        <v>16446.395882638077</v>
      </c>
      <c r="K167" s="727">
        <f t="shared" ca="1" si="25"/>
        <v>7224.3394827635366</v>
      </c>
      <c r="L167" s="727">
        <f t="shared" ca="1" si="25"/>
        <v>9703.0362336688431</v>
      </c>
      <c r="M167" s="727">
        <f t="shared" ca="1" si="25"/>
        <v>13098.338764221149</v>
      </c>
      <c r="N167" s="727">
        <f t="shared" ref="N167:W170" ca="1" si="26">INDIRECT(TEXT(N$142,1)&amp;"!"&amp;INDEX($B$279:$E$279,,MATCH($C167,$B$274:$E$274,0)))</f>
        <v>17251.735622023894</v>
      </c>
      <c r="O167" s="727">
        <f t="shared" ca="1" si="26"/>
        <v>8000.9295637421219</v>
      </c>
      <c r="P167" s="727">
        <f t="shared" ca="1" si="26"/>
        <v>3786.822811154515</v>
      </c>
      <c r="Q167" s="727">
        <f t="shared" ca="1" si="26"/>
        <v>17045.197782783496</v>
      </c>
      <c r="R167" s="727">
        <f t="shared" ca="1" si="26"/>
        <v>4313.4729548629921</v>
      </c>
      <c r="S167" s="727">
        <f t="shared" ca="1" si="26"/>
        <v>21267.653331812606</v>
      </c>
      <c r="T167" s="727">
        <f t="shared" ca="1" si="26"/>
        <v>156243.02489236119</v>
      </c>
      <c r="U167" s="727">
        <f t="shared" ca="1" si="26"/>
        <v>15532.801017079637</v>
      </c>
      <c r="V167" s="727">
        <f t="shared" ca="1" si="26"/>
        <v>217063.95306378487</v>
      </c>
      <c r="W167" s="727">
        <f t="shared" ca="1" si="26"/>
        <v>4861.1471015939096</v>
      </c>
      <c r="X167" s="727">
        <f t="shared" ref="X167:AF170" ca="1" si="27">INDIRECT(TEXT(X$142,1)&amp;"!"&amp;INDEX($B$279:$E$279,,MATCH($C167,$B$274:$E$274,0)))</f>
        <v>14495.309969205326</v>
      </c>
      <c r="Y167" s="727">
        <f t="shared" ca="1" si="27"/>
        <v>18087.503619514697</v>
      </c>
      <c r="Z167" s="727">
        <f t="shared" ca="1" si="27"/>
        <v>20458.00119757064</v>
      </c>
      <c r="AA167" s="727">
        <f t="shared" ca="1" si="27"/>
        <v>57945.755335747475</v>
      </c>
      <c r="AB167" s="727">
        <f t="shared" ca="1" si="27"/>
        <v>377077.57430355565</v>
      </c>
      <c r="AC167" s="727">
        <f t="shared" ca="1" si="27"/>
        <v>8442.7501569958076</v>
      </c>
      <c r="AD167" s="727">
        <f t="shared" ca="1" si="27"/>
        <v>51664.317753984767</v>
      </c>
      <c r="AE167" s="727">
        <f t="shared" ca="1" si="27"/>
        <v>0</v>
      </c>
      <c r="AF167" s="727">
        <f t="shared" ca="1" si="27"/>
        <v>7569.331071255453</v>
      </c>
      <c r="AG167" s="728">
        <f t="shared" ca="1" si="9"/>
        <v>1155098.7160762739</v>
      </c>
      <c r="AH167" s="850">
        <f t="shared" ca="1" si="7"/>
        <v>980403.16964543343</v>
      </c>
      <c r="AI167" s="851">
        <f t="shared" ca="1" si="8"/>
        <v>174695.5464308403</v>
      </c>
    </row>
    <row r="168" spans="1:35">
      <c r="A168" s="210"/>
      <c r="B168" s="712" t="s">
        <v>381</v>
      </c>
      <c r="C168" s="718">
        <v>2009</v>
      </c>
      <c r="D168" s="727">
        <f t="shared" ca="1" si="25"/>
        <v>1046.399341066648</v>
      </c>
      <c r="E168" s="727">
        <f t="shared" ca="1" si="25"/>
        <v>45869.989543551361</v>
      </c>
      <c r="F168" s="727">
        <f t="shared" ca="1" si="25"/>
        <v>3611.5310590980839</v>
      </c>
      <c r="G168" s="727">
        <f t="shared" ca="1" si="25"/>
        <v>6244.4362354039376</v>
      </c>
      <c r="H168" s="727">
        <f t="shared" ca="1" si="25"/>
        <v>14016.353078454247</v>
      </c>
      <c r="I168" s="727">
        <f t="shared" ca="1" si="25"/>
        <v>21437.691262269196</v>
      </c>
      <c r="J168" s="727">
        <f t="shared" ca="1" si="25"/>
        <v>16094.618436406063</v>
      </c>
      <c r="K168" s="727">
        <f t="shared" ca="1" si="25"/>
        <v>7373.5858329329376</v>
      </c>
      <c r="L168" s="727">
        <f t="shared" ca="1" si="25"/>
        <v>9736.9533837325798</v>
      </c>
      <c r="M168" s="727">
        <f t="shared" ca="1" si="25"/>
        <v>13719.919979408329</v>
      </c>
      <c r="N168" s="727">
        <f t="shared" ca="1" si="26"/>
        <v>17252.093898002604</v>
      </c>
      <c r="O168" s="727">
        <f t="shared" ca="1" si="26"/>
        <v>9655.9509671219694</v>
      </c>
      <c r="P168" s="727">
        <f t="shared" ca="1" si="26"/>
        <v>4004.3148031848436</v>
      </c>
      <c r="Q168" s="727">
        <f t="shared" ca="1" si="26"/>
        <v>17934.859087102745</v>
      </c>
      <c r="R168" s="727">
        <f t="shared" ca="1" si="26"/>
        <v>3274.1503191708412</v>
      </c>
      <c r="S168" s="727">
        <f t="shared" ca="1" si="26"/>
        <v>22666.795250188748</v>
      </c>
      <c r="T168" s="727">
        <f t="shared" ca="1" si="26"/>
        <v>159820.88983458022</v>
      </c>
      <c r="U168" s="727">
        <f t="shared" ca="1" si="26"/>
        <v>15293.02463641979</v>
      </c>
      <c r="V168" s="727">
        <f t="shared" ca="1" si="26"/>
        <v>202303.87260621862</v>
      </c>
      <c r="W168" s="727">
        <f t="shared" ca="1" si="26"/>
        <v>4805.339831148327</v>
      </c>
      <c r="X168" s="727">
        <f t="shared" ca="1" si="27"/>
        <v>18717.641575125261</v>
      </c>
      <c r="Y168" s="727">
        <f t="shared" ca="1" si="27"/>
        <v>22440.673335438252</v>
      </c>
      <c r="Z168" s="727">
        <f t="shared" ca="1" si="27"/>
        <v>21587.145739584044</v>
      </c>
      <c r="AA168" s="727">
        <f t="shared" ca="1" si="27"/>
        <v>59164.81186684053</v>
      </c>
      <c r="AB168" s="727">
        <f t="shared" ca="1" si="27"/>
        <v>319362.53222595912</v>
      </c>
      <c r="AC168" s="727">
        <f t="shared" ca="1" si="27"/>
        <v>10744.415976937329</v>
      </c>
      <c r="AD168" s="727">
        <f t="shared" ca="1" si="27"/>
        <v>56901.032778090448</v>
      </c>
      <c r="AE168" s="727">
        <f t="shared" ca="1" si="27"/>
        <v>57801.310963552729</v>
      </c>
      <c r="AF168" s="727">
        <f t="shared" ca="1" si="27"/>
        <v>7680.8618299128266</v>
      </c>
      <c r="AG168" s="728">
        <f t="shared" ca="1" si="9"/>
        <v>1170563.1956769025</v>
      </c>
      <c r="AH168" s="850">
        <f t="shared" ca="1" si="7"/>
        <v>981419.37891693285</v>
      </c>
      <c r="AI168" s="851">
        <f t="shared" ca="1" si="8"/>
        <v>189143.81675996975</v>
      </c>
    </row>
    <row r="169" spans="1:35">
      <c r="A169" s="210"/>
      <c r="B169" s="712" t="s">
        <v>381</v>
      </c>
      <c r="C169" s="718">
        <v>2010</v>
      </c>
      <c r="D169" s="727">
        <f t="shared" ca="1" si="25"/>
        <v>1641.3438064185818</v>
      </c>
      <c r="E169" s="727">
        <f t="shared" ca="1" si="25"/>
        <v>46150.168128587211</v>
      </c>
      <c r="F169" s="727">
        <f t="shared" ca="1" si="25"/>
        <v>3934.7422597073637</v>
      </c>
      <c r="G169" s="727">
        <f t="shared" ca="1" si="25"/>
        <v>6721.2570396917345</v>
      </c>
      <c r="H169" s="727">
        <f t="shared" ca="1" si="25"/>
        <v>15692.36241410902</v>
      </c>
      <c r="I169" s="727">
        <f t="shared" ca="1" si="25"/>
        <v>22375.66274150521</v>
      </c>
      <c r="J169" s="727">
        <f t="shared" ca="1" si="25"/>
        <v>17531.100482336769</v>
      </c>
      <c r="K169" s="727">
        <f t="shared" ca="1" si="25"/>
        <v>7526.5360722427304</v>
      </c>
      <c r="L169" s="727">
        <f t="shared" ca="1" si="25"/>
        <v>10170.497748376491</v>
      </c>
      <c r="M169" s="727">
        <f t="shared" ca="1" si="25"/>
        <v>13813.370159790895</v>
      </c>
      <c r="N169" s="727">
        <f t="shared" ca="1" si="26"/>
        <v>18585.595106572171</v>
      </c>
      <c r="O169" s="727">
        <f t="shared" ca="1" si="26"/>
        <v>10857.616633882135</v>
      </c>
      <c r="P169" s="727">
        <f t="shared" ca="1" si="26"/>
        <v>695.86456845679163</v>
      </c>
      <c r="Q169" s="727">
        <f t="shared" ca="1" si="26"/>
        <v>18771.763840101314</v>
      </c>
      <c r="R169" s="727">
        <f t="shared" ca="1" si="26"/>
        <v>4832.3362345396235</v>
      </c>
      <c r="S169" s="727">
        <f t="shared" ca="1" si="26"/>
        <v>24830.037185740075</v>
      </c>
      <c r="T169" s="727">
        <f t="shared" ca="1" si="26"/>
        <v>163178.71305003905</v>
      </c>
      <c r="U169" s="727">
        <f t="shared" ca="1" si="26"/>
        <v>15884.163269650506</v>
      </c>
      <c r="V169" s="727">
        <f t="shared" ca="1" si="26"/>
        <v>211521.43326776425</v>
      </c>
      <c r="W169" s="727">
        <f t="shared" ca="1" si="26"/>
        <v>5133.9115087170912</v>
      </c>
      <c r="X169" s="727">
        <f t="shared" ca="1" si="27"/>
        <v>17696.151814825789</v>
      </c>
      <c r="Y169" s="727">
        <f t="shared" ca="1" si="27"/>
        <v>25360.234026299477</v>
      </c>
      <c r="Z169" s="727">
        <f t="shared" ca="1" si="27"/>
        <v>22224.875104416478</v>
      </c>
      <c r="AA169" s="727">
        <f t="shared" ca="1" si="27"/>
        <v>69113.707038344422</v>
      </c>
      <c r="AB169" s="727">
        <f t="shared" ca="1" si="27"/>
        <v>341872.75058338494</v>
      </c>
      <c r="AC169" s="727">
        <f t="shared" ca="1" si="27"/>
        <v>10990.399412034167</v>
      </c>
      <c r="AD169" s="727">
        <f t="shared" ca="1" si="27"/>
        <v>60061.016382743655</v>
      </c>
      <c r="AE169" s="727">
        <f t="shared" ca="1" si="27"/>
        <v>97908.334285252335</v>
      </c>
      <c r="AF169" s="727">
        <f t="shared" ca="1" si="27"/>
        <v>8041.6676996038896</v>
      </c>
      <c r="AG169" s="728">
        <f t="shared" ca="1" si="9"/>
        <v>1273117.611865134</v>
      </c>
      <c r="AH169" s="850">
        <f t="shared" ca="1" si="7"/>
        <v>1067266.5925188488</v>
      </c>
      <c r="AI169" s="851">
        <f t="shared" ca="1" si="8"/>
        <v>205851.01934628547</v>
      </c>
    </row>
    <row r="170" spans="1:35">
      <c r="A170" s="210"/>
      <c r="B170" s="712" t="s">
        <v>381</v>
      </c>
      <c r="C170" s="718">
        <v>2011</v>
      </c>
      <c r="D170" s="727">
        <f t="shared" ca="1" si="25"/>
        <v>1847.954</v>
      </c>
      <c r="E170" s="727">
        <f t="shared" ca="1" si="25"/>
        <v>44422.35</v>
      </c>
      <c r="F170" s="727">
        <f t="shared" ca="1" si="25"/>
        <v>2865.5581000000002</v>
      </c>
      <c r="G170" s="727">
        <f t="shared" ca="1" si="25"/>
        <v>7603</v>
      </c>
      <c r="H170" s="727">
        <f t="shared" ca="1" si="25"/>
        <v>15033.242</v>
      </c>
      <c r="I170" s="727">
        <f t="shared" ca="1" si="25"/>
        <v>23259</v>
      </c>
      <c r="J170" s="727">
        <f t="shared" ca="1" si="25"/>
        <v>23678</v>
      </c>
      <c r="K170" s="727">
        <f t="shared" ca="1" si="25"/>
        <v>7655.8152</v>
      </c>
      <c r="L170" s="727">
        <f t="shared" ca="1" si="25"/>
        <v>10685.285</v>
      </c>
      <c r="M170" s="727">
        <f t="shared" ca="1" si="25"/>
        <v>13889.957</v>
      </c>
      <c r="N170" s="727">
        <f t="shared" ca="1" si="26"/>
        <v>19067</v>
      </c>
      <c r="O170" s="727">
        <f t="shared" ca="1" si="26"/>
        <v>11056</v>
      </c>
      <c r="P170" s="727">
        <f t="shared" ca="1" si="26"/>
        <v>767</v>
      </c>
      <c r="Q170" s="727">
        <f t="shared" ca="1" si="26"/>
        <v>18508.471000000001</v>
      </c>
      <c r="R170" s="727">
        <f t="shared" ca="1" si="26"/>
        <v>4236</v>
      </c>
      <c r="S170" s="727">
        <f t="shared" ca="1" si="26"/>
        <v>24786</v>
      </c>
      <c r="T170" s="727">
        <f t="shared" ca="1" si="26"/>
        <v>160162</v>
      </c>
      <c r="U170" s="727">
        <f t="shared" ca="1" si="26"/>
        <v>17503.054</v>
      </c>
      <c r="V170" s="727">
        <f t="shared" ca="1" si="26"/>
        <v>224722</v>
      </c>
      <c r="W170" s="727">
        <f t="shared" ca="1" si="26"/>
        <v>5371</v>
      </c>
      <c r="X170" s="727">
        <f t="shared" ca="1" si="27"/>
        <v>21113</v>
      </c>
      <c r="Y170" s="727">
        <f t="shared" ca="1" si="27"/>
        <v>24585.013999999999</v>
      </c>
      <c r="Z170" s="727">
        <f t="shared" ca="1" si="27"/>
        <v>25763.687999999998</v>
      </c>
      <c r="AA170" s="727">
        <f t="shared" ca="1" si="27"/>
        <v>68243</v>
      </c>
      <c r="AB170" s="727">
        <f t="shared" ca="1" si="27"/>
        <v>335766</v>
      </c>
      <c r="AC170" s="727">
        <f t="shared" ca="1" si="27"/>
        <v>11746.689</v>
      </c>
      <c r="AD170" s="727">
        <f t="shared" ca="1" si="27"/>
        <v>56916.506000000001</v>
      </c>
      <c r="AE170" s="727">
        <f t="shared" ca="1" si="27"/>
        <v>95975.591</v>
      </c>
      <c r="AF170" s="727">
        <f t="shared" ca="1" si="27"/>
        <v>8157</v>
      </c>
      <c r="AG170" s="728">
        <f t="shared" ca="1" si="9"/>
        <v>1285385.1742999998</v>
      </c>
      <c r="AH170" s="850">
        <f t="shared" ca="1" si="7"/>
        <v>1077887.1651999999</v>
      </c>
      <c r="AI170" s="851">
        <f t="shared" ca="1" si="8"/>
        <v>207498.0091</v>
      </c>
    </row>
    <row r="171" spans="1:35">
      <c r="A171" s="210"/>
      <c r="B171" s="712" t="s">
        <v>542</v>
      </c>
      <c r="C171" s="718" t="s">
        <v>527</v>
      </c>
      <c r="D171" s="832">
        <f ca="1">D170/D167-1</f>
        <v>1.0213279260627868</v>
      </c>
      <c r="E171" s="832">
        <f t="shared" ref="E171:AI171" ca="1" si="28">E170/E167-1</f>
        <v>2.1223945203573624E-2</v>
      </c>
      <c r="F171" s="832">
        <f t="shared" ca="1" si="28"/>
        <v>-0.18316725050299199</v>
      </c>
      <c r="G171" s="832">
        <f t="shared" ca="1" si="28"/>
        <v>0.37837844900920503</v>
      </c>
      <c r="H171" s="832">
        <f t="shared" ca="1" si="28"/>
        <v>0.13183576413767417</v>
      </c>
      <c r="I171" s="832">
        <f t="shared" ca="1" si="28"/>
        <v>0.11823413773151747</v>
      </c>
      <c r="J171" s="832">
        <f t="shared" ca="1" si="28"/>
        <v>0.43970753038944488</v>
      </c>
      <c r="K171" s="832">
        <f t="shared" ca="1" si="28"/>
        <v>5.9725282604162766E-2</v>
      </c>
      <c r="L171" s="832">
        <f t="shared" ca="1" si="28"/>
        <v>0.10123107269483578</v>
      </c>
      <c r="M171" s="832">
        <f t="shared" ca="1" si="28"/>
        <v>6.043653703179519E-2</v>
      </c>
      <c r="N171" s="832">
        <f t="shared" ca="1" si="28"/>
        <v>0.10522213055819751</v>
      </c>
      <c r="O171" s="832">
        <f t="shared" ca="1" si="28"/>
        <v>0.38183943652029706</v>
      </c>
      <c r="P171" s="832">
        <f t="shared" ca="1" si="28"/>
        <v>-0.79745553508848777</v>
      </c>
      <c r="Q171" s="832">
        <f t="shared" ca="1" si="28"/>
        <v>8.5846655220069401E-2</v>
      </c>
      <c r="R171" s="832">
        <f t="shared" ca="1" si="28"/>
        <v>-1.7960690996253859E-2</v>
      </c>
      <c r="S171" s="832">
        <f t="shared" ca="1" si="28"/>
        <v>0.16543182330908968</v>
      </c>
      <c r="T171" s="832">
        <f t="shared" ca="1" si="28"/>
        <v>2.5082560391663344E-2</v>
      </c>
      <c r="U171" s="832">
        <f t="shared" ca="1" si="28"/>
        <v>0.12684466766514957</v>
      </c>
      <c r="V171" s="832">
        <f t="shared" ca="1" si="28"/>
        <v>3.5280141304552703E-2</v>
      </c>
      <c r="W171" s="832">
        <f t="shared" ca="1" si="28"/>
        <v>0.10488324828494</v>
      </c>
      <c r="X171" s="832">
        <f t="shared" ca="1" si="28"/>
        <v>0.45654008398948887</v>
      </c>
      <c r="Y171" s="832">
        <f t="shared" ca="1" si="28"/>
        <v>0.35922648681463731</v>
      </c>
      <c r="Z171" s="832">
        <f t="shared" ca="1" si="28"/>
        <v>0.25934531683669082</v>
      </c>
      <c r="AA171" s="832">
        <f t="shared" ca="1" si="28"/>
        <v>0.17770490011888795</v>
      </c>
      <c r="AB171" s="832">
        <f t="shared" ca="1" si="28"/>
        <v>-0.10955722938404955</v>
      </c>
      <c r="AC171" s="832">
        <f t="shared" ca="1" si="28"/>
        <v>0.39133443268678181</v>
      </c>
      <c r="AD171" s="832">
        <f t="shared" ca="1" si="28"/>
        <v>0.10165987811984878</v>
      </c>
      <c r="AE171" s="832"/>
      <c r="AF171" s="832">
        <f t="shared" ca="1" si="28"/>
        <v>7.7638158935367629E-2</v>
      </c>
      <c r="AG171" s="832">
        <f t="shared" ca="1" si="28"/>
        <v>0.11279248813148435</v>
      </c>
      <c r="AH171" s="832">
        <f t="shared" ca="1" si="28"/>
        <v>9.9432558535915261E-2</v>
      </c>
      <c r="AI171" s="832">
        <f t="shared" ca="1" si="28"/>
        <v>0.1877693126089266</v>
      </c>
    </row>
    <row r="172" spans="1:35">
      <c r="A172" s="210"/>
      <c r="B172" s="712" t="s">
        <v>542</v>
      </c>
      <c r="C172" s="718" t="s">
        <v>528</v>
      </c>
      <c r="D172" s="832">
        <f ca="1">D170/D169-1</f>
        <v>0.12587868109865563</v>
      </c>
      <c r="E172" s="832">
        <f t="shared" ref="E172:AI172" ca="1" si="29">E170/E169-1</f>
        <v>-3.7439042990548344E-2</v>
      </c>
      <c r="F172" s="832">
        <f t="shared" ca="1" si="29"/>
        <v>-0.2717291474605712</v>
      </c>
      <c r="G172" s="832">
        <f t="shared" ca="1" si="29"/>
        <v>0.13118721023481439</v>
      </c>
      <c r="H172" s="832">
        <f t="shared" ca="1" si="29"/>
        <v>-4.2002625016893891E-2</v>
      </c>
      <c r="I172" s="832">
        <f t="shared" ca="1" si="29"/>
        <v>3.9477590840528043E-2</v>
      </c>
      <c r="J172" s="832">
        <f t="shared" ca="1" si="29"/>
        <v>0.35062827481118242</v>
      </c>
      <c r="K172" s="832">
        <f t="shared" ca="1" si="29"/>
        <v>1.7176444318660833E-2</v>
      </c>
      <c r="L172" s="832">
        <f t="shared" ca="1" si="29"/>
        <v>5.0615738222417272E-2</v>
      </c>
      <c r="M172" s="832">
        <f t="shared" ca="1" si="29"/>
        <v>5.544399326388838E-3</v>
      </c>
      <c r="N172" s="832">
        <f t="shared" ca="1" si="29"/>
        <v>2.5902043527118224E-2</v>
      </c>
      <c r="O172" s="832">
        <f t="shared" ca="1" si="29"/>
        <v>1.8271354829271891E-2</v>
      </c>
      <c r="P172" s="832">
        <f t="shared" ca="1" si="29"/>
        <v>0.10222597150040902</v>
      </c>
      <c r="Q172" s="832">
        <f t="shared" ca="1" si="29"/>
        <v>-1.4026004287292948E-2</v>
      </c>
      <c r="R172" s="832">
        <f t="shared" ca="1" si="29"/>
        <v>-0.12340536866562568</v>
      </c>
      <c r="S172" s="832">
        <f t="shared" ca="1" si="29"/>
        <v>-1.7735448968786427E-3</v>
      </c>
      <c r="T172" s="832">
        <f t="shared" ca="1" si="29"/>
        <v>-1.848717270563327E-2</v>
      </c>
      <c r="U172" s="832">
        <f t="shared" ca="1" si="29"/>
        <v>0.1019185400494258</v>
      </c>
      <c r="V172" s="832">
        <f t="shared" ca="1" si="29"/>
        <v>6.2407702748142668E-2</v>
      </c>
      <c r="W172" s="832">
        <f t="shared" ca="1" si="29"/>
        <v>4.6180868306815448E-2</v>
      </c>
      <c r="X172" s="832">
        <f t="shared" ca="1" si="29"/>
        <v>0.19308424910276734</v>
      </c>
      <c r="Y172" s="832">
        <f t="shared" ca="1" si="29"/>
        <v>-3.0568330934783394E-2</v>
      </c>
      <c r="Z172" s="832">
        <f t="shared" ca="1" si="29"/>
        <v>0.15922757176171021</v>
      </c>
      <c r="AA172" s="832">
        <f t="shared" ca="1" si="29"/>
        <v>-1.2598181687191956E-2</v>
      </c>
      <c r="AB172" s="832">
        <f t="shared" ca="1" si="29"/>
        <v>-1.7862642088215974E-2</v>
      </c>
      <c r="AC172" s="832">
        <f t="shared" ca="1" si="29"/>
        <v>6.8813658140369105E-2</v>
      </c>
      <c r="AD172" s="832">
        <f t="shared" ca="1" si="29"/>
        <v>-5.2355264231710774E-2</v>
      </c>
      <c r="AE172" s="832">
        <f t="shared" ca="1" si="29"/>
        <v>-1.9740334664680947E-2</v>
      </c>
      <c r="AF172" s="832">
        <f t="shared" ca="1" si="29"/>
        <v>1.4341838621582337E-2</v>
      </c>
      <c r="AG172" s="832">
        <f t="shared" ca="1" si="29"/>
        <v>9.6358437904993099E-3</v>
      </c>
      <c r="AH172" s="832">
        <f t="shared" ca="1" si="29"/>
        <v>9.9511900359268157E-3</v>
      </c>
      <c r="AI172" s="832">
        <f t="shared" ca="1" si="29"/>
        <v>8.0008821862764812E-3</v>
      </c>
    </row>
    <row r="173" spans="1:35">
      <c r="A173" s="210"/>
      <c r="B173" s="712" t="s">
        <v>382</v>
      </c>
      <c r="C173" s="718">
        <v>2008</v>
      </c>
      <c r="D173" s="727">
        <f t="shared" ref="D173:M176" ca="1" si="30">INDIRECT(TEXT(D$142,1)&amp;"!"&amp;INDEX($B$280:$E$280,,MATCH($C173,$B$274:$E$274,0)))</f>
        <v>18921.710530067576</v>
      </c>
      <c r="E173" s="727">
        <f t="shared" ca="1" si="30"/>
        <v>9111.0122323287032</v>
      </c>
      <c r="F173" s="727">
        <f t="shared" ca="1" si="30"/>
        <v>374.10025377092182</v>
      </c>
      <c r="G173" s="727">
        <f t="shared" ca="1" si="30"/>
        <v>653.96891210686886</v>
      </c>
      <c r="H173" s="727">
        <f t="shared" ca="1" si="30"/>
        <v>6268.065923412506</v>
      </c>
      <c r="I173" s="727">
        <f t="shared" ca="1" si="30"/>
        <v>1851.0954920019387</v>
      </c>
      <c r="J173" s="727">
        <f t="shared" ca="1" si="30"/>
        <v>0</v>
      </c>
      <c r="K173" s="727">
        <f t="shared" ca="1" si="30"/>
        <v>4948.4730974309259</v>
      </c>
      <c r="L173" s="727">
        <f t="shared" ca="1" si="30"/>
        <v>2540.4205975307232</v>
      </c>
      <c r="M173" s="727">
        <f t="shared" ca="1" si="30"/>
        <v>5456.2860535485152</v>
      </c>
      <c r="N173" s="727">
        <f t="shared" ref="N173:W176" ca="1" si="31">INDIRECT(TEXT(N$142,1)&amp;"!"&amp;INDEX($B$280:$E$280,,MATCH($C173,$B$274:$E$274,0)))</f>
        <v>8190.3159305409026</v>
      </c>
      <c r="O173" s="727">
        <f t="shared" ca="1" si="31"/>
        <v>7069.1266890023089</v>
      </c>
      <c r="P173" s="727">
        <f t="shared" ca="1" si="31"/>
        <v>1744.3637193122522</v>
      </c>
      <c r="Q173" s="727">
        <f t="shared" ca="1" si="31"/>
        <v>4616.4058641327583</v>
      </c>
      <c r="R173" s="727">
        <f t="shared" ca="1" si="31"/>
        <v>4182.7240536910831</v>
      </c>
      <c r="S173" s="727">
        <f t="shared" ca="1" si="31"/>
        <v>10486.666191440221</v>
      </c>
      <c r="T173" s="727">
        <f t="shared" ca="1" si="31"/>
        <v>0</v>
      </c>
      <c r="U173" s="727">
        <f t="shared" ca="1" si="31"/>
        <v>2971.9789847452307</v>
      </c>
      <c r="V173" s="727">
        <f t="shared" ca="1" si="31"/>
        <v>14595.483667417524</v>
      </c>
      <c r="W173" s="727">
        <f t="shared" ca="1" si="31"/>
        <v>79.779304838755664</v>
      </c>
      <c r="X173" s="727">
        <f t="shared" ref="X173:AF176" ca="1" si="32">INDIRECT(TEXT(X$142,1)&amp;"!"&amp;INDEX($B$280:$E$280,,MATCH($C173,$B$274:$E$274,0)))</f>
        <v>2504.6507915371672</v>
      </c>
      <c r="Y173" s="727">
        <f t="shared" ca="1" si="32"/>
        <v>11512.614036383336</v>
      </c>
      <c r="Z173" s="727">
        <f t="shared" ca="1" si="32"/>
        <v>2791.1975706424109</v>
      </c>
      <c r="AA173" s="727">
        <f t="shared" ca="1" si="32"/>
        <v>21414.792244304408</v>
      </c>
      <c r="AB173" s="727">
        <f t="shared" ca="1" si="32"/>
        <v>92846.046685865818</v>
      </c>
      <c r="AC173" s="727">
        <f t="shared" ca="1" si="32"/>
        <v>5093.2216494539653</v>
      </c>
      <c r="AD173" s="727">
        <f t="shared" ca="1" si="32"/>
        <v>1392.7665121895584</v>
      </c>
      <c r="AE173" s="727">
        <f t="shared" ca="1" si="32"/>
        <v>0</v>
      </c>
      <c r="AF173" s="727">
        <f t="shared" ca="1" si="32"/>
        <v>4599.1691140828598</v>
      </c>
      <c r="AG173" s="728">
        <f t="shared" ca="1" si="9"/>
        <v>246216.43610177923</v>
      </c>
      <c r="AH173" s="850">
        <f t="shared" ref="AH173:AH188" ca="1" si="33">SUMIF($D$262:$AF$262,"=N",D173:AF173)</f>
        <v>186967.88644297281</v>
      </c>
      <c r="AI173" s="851">
        <f t="shared" ref="AI173:AI188" ca="1" si="34">SUMIF($D$262:$AF$262,"=Y",D173:AF173)</f>
        <v>59248.54965880642</v>
      </c>
    </row>
    <row r="174" spans="1:35">
      <c r="A174" s="210"/>
      <c r="B174" s="712" t="s">
        <v>382</v>
      </c>
      <c r="C174" s="718">
        <v>2009</v>
      </c>
      <c r="D174" s="727">
        <f t="shared" ca="1" si="30"/>
        <v>21884.071933557549</v>
      </c>
      <c r="E174" s="727">
        <f t="shared" ca="1" si="30"/>
        <v>9701.7174430640371</v>
      </c>
      <c r="F174" s="727">
        <f t="shared" ca="1" si="30"/>
        <v>389.28546914681846</v>
      </c>
      <c r="G174" s="727">
        <f t="shared" ca="1" si="30"/>
        <v>644.60269370306798</v>
      </c>
      <c r="H174" s="727">
        <f t="shared" ca="1" si="30"/>
        <v>6663.5291372091406</v>
      </c>
      <c r="I174" s="727">
        <f t="shared" ca="1" si="30"/>
        <v>2010.7892099663663</v>
      </c>
      <c r="J174" s="727">
        <f t="shared" ca="1" si="30"/>
        <v>0</v>
      </c>
      <c r="K174" s="727">
        <f t="shared" ca="1" si="30"/>
        <v>4971.43496465097</v>
      </c>
      <c r="L174" s="727">
        <f t="shared" ca="1" si="30"/>
        <v>2586.5900673759347</v>
      </c>
      <c r="M174" s="727">
        <f t="shared" ca="1" si="30"/>
        <v>5705.8779554945413</v>
      </c>
      <c r="N174" s="727">
        <f t="shared" ca="1" si="31"/>
        <v>9992.698469352732</v>
      </c>
      <c r="O174" s="727">
        <f t="shared" ca="1" si="31"/>
        <v>7885.8958912759945</v>
      </c>
      <c r="P174" s="727">
        <f t="shared" ca="1" si="31"/>
        <v>1889.5328072757218</v>
      </c>
      <c r="Q174" s="727">
        <f t="shared" ca="1" si="31"/>
        <v>4662.7714504495834</v>
      </c>
      <c r="R174" s="727">
        <f t="shared" ca="1" si="31"/>
        <v>5694.9868899718567</v>
      </c>
      <c r="S174" s="727">
        <f t="shared" ca="1" si="31"/>
        <v>10716.25039467362</v>
      </c>
      <c r="T174" s="727">
        <f t="shared" ca="1" si="31"/>
        <v>0</v>
      </c>
      <c r="U174" s="727">
        <f t="shared" ca="1" si="31"/>
        <v>3681.7124815704569</v>
      </c>
      <c r="V174" s="727">
        <f t="shared" ca="1" si="31"/>
        <v>25776.926625025731</v>
      </c>
      <c r="W174" s="727">
        <f t="shared" ca="1" si="31"/>
        <v>73.704715491797629</v>
      </c>
      <c r="X174" s="727">
        <f t="shared" ca="1" si="32"/>
        <v>1408.3683893197881</v>
      </c>
      <c r="Y174" s="727">
        <f t="shared" ca="1" si="32"/>
        <v>12050.632744869241</v>
      </c>
      <c r="Z174" s="727">
        <f t="shared" ca="1" si="32"/>
        <v>2825.7142206053941</v>
      </c>
      <c r="AA174" s="727">
        <f t="shared" ca="1" si="32"/>
        <v>19640.567870135212</v>
      </c>
      <c r="AB174" s="727">
        <f t="shared" ca="1" si="32"/>
        <v>64996.140023337204</v>
      </c>
      <c r="AC174" s="727">
        <f t="shared" ca="1" si="32"/>
        <v>4673.5125113048234</v>
      </c>
      <c r="AD174" s="727">
        <f t="shared" ca="1" si="32"/>
        <v>1407.5561841169604</v>
      </c>
      <c r="AE174" s="727">
        <f t="shared" ca="1" si="32"/>
        <v>12134.224273182783</v>
      </c>
      <c r="AF174" s="727">
        <f t="shared" ca="1" si="32"/>
        <v>4784.577939460497</v>
      </c>
      <c r="AG174" s="728">
        <f t="shared" ca="1" si="9"/>
        <v>248853.67275558782</v>
      </c>
      <c r="AH174" s="850">
        <f t="shared" ca="1" si="33"/>
        <v>184521.04240871433</v>
      </c>
      <c r="AI174" s="851">
        <f t="shared" ca="1" si="34"/>
        <v>64332.630346873484</v>
      </c>
    </row>
    <row r="175" spans="1:35">
      <c r="A175" s="210"/>
      <c r="B175" s="712" t="s">
        <v>382</v>
      </c>
      <c r="C175" s="718">
        <v>2010</v>
      </c>
      <c r="D175" s="727">
        <f t="shared" ca="1" si="30"/>
        <v>22778.102718870414</v>
      </c>
      <c r="E175" s="727">
        <f t="shared" ca="1" si="30"/>
        <v>11111.520600361078</v>
      </c>
      <c r="F175" s="727">
        <f t="shared" ca="1" si="30"/>
        <v>470.70194820942572</v>
      </c>
      <c r="G175" s="727">
        <f t="shared" ca="1" si="30"/>
        <v>604.16938374066979</v>
      </c>
      <c r="H175" s="727">
        <f t="shared" ca="1" si="30"/>
        <v>6961.2240512785957</v>
      </c>
      <c r="I175" s="727">
        <f t="shared" ca="1" si="30"/>
        <v>2119.1776023281504</v>
      </c>
      <c r="J175" s="727">
        <f t="shared" ca="1" si="30"/>
        <v>0</v>
      </c>
      <c r="K175" s="727">
        <f t="shared" ca="1" si="30"/>
        <v>4978.4418136132135</v>
      </c>
      <c r="L175" s="727">
        <f t="shared" ca="1" si="30"/>
        <v>2993.4569557274117</v>
      </c>
      <c r="M175" s="727">
        <f t="shared" ca="1" si="30"/>
        <v>5548.5775107111094</v>
      </c>
      <c r="N175" s="727">
        <f t="shared" ca="1" si="31"/>
        <v>8787.4552019616804</v>
      </c>
      <c r="O175" s="727">
        <f t="shared" ca="1" si="31"/>
        <v>6674.4415537172263</v>
      </c>
      <c r="P175" s="727">
        <f t="shared" ca="1" si="31"/>
        <v>5195.0416318611724</v>
      </c>
      <c r="Q175" s="727">
        <f t="shared" ca="1" si="31"/>
        <v>4857.479869257093</v>
      </c>
      <c r="R175" s="727">
        <f t="shared" ca="1" si="31"/>
        <v>4927.0879254129495</v>
      </c>
      <c r="S175" s="727">
        <f t="shared" ca="1" si="31"/>
        <v>11427.257686400257</v>
      </c>
      <c r="T175" s="727">
        <f t="shared" ca="1" si="31"/>
        <v>0</v>
      </c>
      <c r="U175" s="727">
        <f t="shared" ca="1" si="31"/>
        <v>3706.3832472043327</v>
      </c>
      <c r="V175" s="727">
        <f t="shared" ca="1" si="31"/>
        <v>26231.954676511003</v>
      </c>
      <c r="W175" s="727">
        <f t="shared" ca="1" si="31"/>
        <v>68.261970844224081</v>
      </c>
      <c r="X175" s="727">
        <f t="shared" ca="1" si="32"/>
        <v>3211.3691358357355</v>
      </c>
      <c r="Y175" s="727">
        <f t="shared" ca="1" si="32"/>
        <v>11948.409306405107</v>
      </c>
      <c r="Z175" s="727">
        <f t="shared" ca="1" si="32"/>
        <v>3032.0541079464306</v>
      </c>
      <c r="AA175" s="727">
        <f t="shared" ca="1" si="32"/>
        <v>23055.382844439649</v>
      </c>
      <c r="AB175" s="727">
        <f t="shared" ca="1" si="32"/>
        <v>66269.037134542319</v>
      </c>
      <c r="AC175" s="727">
        <f t="shared" ca="1" si="32"/>
        <v>5543.7915314866204</v>
      </c>
      <c r="AD175" s="727">
        <f t="shared" ca="1" si="32"/>
        <v>1270.7252165395703</v>
      </c>
      <c r="AE175" s="727">
        <f t="shared" ca="1" si="32"/>
        <v>18651.613601897006</v>
      </c>
      <c r="AF175" s="727">
        <f t="shared" ca="1" si="32"/>
        <v>5122.7043194740099</v>
      </c>
      <c r="AG175" s="728">
        <f t="shared" ca="1" si="9"/>
        <v>267545.82354657649</v>
      </c>
      <c r="AH175" s="850">
        <f t="shared" ca="1" si="33"/>
        <v>204343.76283484677</v>
      </c>
      <c r="AI175" s="851">
        <f t="shared" ca="1" si="34"/>
        <v>63202.06071172966</v>
      </c>
    </row>
    <row r="176" spans="1:35">
      <c r="A176" s="210"/>
      <c r="B176" s="712" t="s">
        <v>382</v>
      </c>
      <c r="C176" s="718">
        <v>2011</v>
      </c>
      <c r="D176" s="727">
        <f t="shared" ca="1" si="30"/>
        <v>22952.894</v>
      </c>
      <c r="E176" s="727">
        <f t="shared" ca="1" si="30"/>
        <v>11030.181</v>
      </c>
      <c r="F176" s="727">
        <f t="shared" ca="1" si="30"/>
        <v>1555.3861999999999</v>
      </c>
      <c r="G176" s="727">
        <f t="shared" ca="1" si="30"/>
        <v>863</v>
      </c>
      <c r="H176" s="727">
        <f t="shared" ca="1" si="30"/>
        <v>6847.2689</v>
      </c>
      <c r="I176" s="727">
        <f t="shared" ca="1" si="30"/>
        <v>2258</v>
      </c>
      <c r="J176" s="727">
        <f t="shared" ca="1" si="30"/>
        <v>0</v>
      </c>
      <c r="K176" s="727">
        <f t="shared" ca="1" si="30"/>
        <v>5040.7983999999997</v>
      </c>
      <c r="L176" s="727">
        <f t="shared" ca="1" si="30"/>
        <v>3009.2372</v>
      </c>
      <c r="M176" s="727">
        <f t="shared" ca="1" si="30"/>
        <v>5563.13</v>
      </c>
      <c r="N176" s="727">
        <f t="shared" ca="1" si="31"/>
        <v>9938</v>
      </c>
      <c r="O176" s="727">
        <f t="shared" ca="1" si="31"/>
        <v>6796</v>
      </c>
      <c r="P176" s="727">
        <f t="shared" ca="1" si="31"/>
        <v>5325</v>
      </c>
      <c r="Q176" s="727">
        <f t="shared" ca="1" si="31"/>
        <v>5047.0137999999997</v>
      </c>
      <c r="R176" s="727">
        <f t="shared" ca="1" si="31"/>
        <v>5270</v>
      </c>
      <c r="S176" s="727">
        <f t="shared" ca="1" si="31"/>
        <v>11094</v>
      </c>
      <c r="T176" s="727">
        <f t="shared" ca="1" si="31"/>
        <v>0</v>
      </c>
      <c r="U176" s="727">
        <f t="shared" ca="1" si="31"/>
        <v>4024.1122999999998</v>
      </c>
      <c r="V176" s="727">
        <f t="shared" ca="1" si="31"/>
        <v>9257</v>
      </c>
      <c r="W176" s="727">
        <f t="shared" ca="1" si="31"/>
        <v>80</v>
      </c>
      <c r="X176" s="727">
        <f t="shared" ca="1" si="32"/>
        <v>3046</v>
      </c>
      <c r="Y176" s="727">
        <f t="shared" ca="1" si="32"/>
        <v>11484.915999999999</v>
      </c>
      <c r="Z176" s="727">
        <f t="shared" ca="1" si="32"/>
        <v>2843.6651000000002</v>
      </c>
      <c r="AA176" s="727">
        <f t="shared" ca="1" si="32"/>
        <v>18480</v>
      </c>
      <c r="AB176" s="727">
        <f t="shared" ca="1" si="32"/>
        <v>67061</v>
      </c>
      <c r="AC176" s="727">
        <f t="shared" ca="1" si="32"/>
        <v>5495.9745999999996</v>
      </c>
      <c r="AD176" s="727">
        <f t="shared" ca="1" si="32"/>
        <v>1569.3579999999999</v>
      </c>
      <c r="AE176" s="727">
        <f t="shared" ca="1" si="32"/>
        <v>18456.884999999998</v>
      </c>
      <c r="AF176" s="727">
        <f t="shared" ca="1" si="32"/>
        <v>5255</v>
      </c>
      <c r="AG176" s="728">
        <f t="shared" ca="1" si="9"/>
        <v>249643.8205</v>
      </c>
      <c r="AH176" s="850">
        <f t="shared" ca="1" si="33"/>
        <v>184257.91680000001</v>
      </c>
      <c r="AI176" s="851">
        <f t="shared" ca="1" si="34"/>
        <v>65385.903700000003</v>
      </c>
    </row>
    <row r="177" spans="1:35">
      <c r="A177" s="210"/>
      <c r="B177" s="712" t="s">
        <v>383</v>
      </c>
      <c r="C177" s="718">
        <v>2008</v>
      </c>
      <c r="D177" s="727">
        <f t="shared" ref="D177:M180" ca="1" si="35">INDIRECT(TEXT(D$142,1)&amp;"!"&amp;INDEX($B$281:$E$281,,MATCH($C177,$B$274:$E$274,0)))</f>
        <v>7050.7655898035409</v>
      </c>
      <c r="E177" s="727">
        <f t="shared" ca="1" si="35"/>
        <v>15787.677568361323</v>
      </c>
      <c r="F177" s="727">
        <f t="shared" ca="1" si="35"/>
        <v>210.22924923726154</v>
      </c>
      <c r="G177" s="727">
        <f t="shared" ca="1" si="35"/>
        <v>170.05608919905333</v>
      </c>
      <c r="H177" s="727">
        <f t="shared" ca="1" si="35"/>
        <v>5976.9792706224516</v>
      </c>
      <c r="I177" s="727">
        <f t="shared" ca="1" si="35"/>
        <v>2028.9817798180832</v>
      </c>
      <c r="J177" s="727">
        <f t="shared" ca="1" si="35"/>
        <v>2978.7867468848904</v>
      </c>
      <c r="K177" s="727">
        <f t="shared" ca="1" si="35"/>
        <v>12878.967237888854</v>
      </c>
      <c r="L177" s="727">
        <f t="shared" ca="1" si="35"/>
        <v>2257.3160798095291</v>
      </c>
      <c r="M177" s="727">
        <f t="shared" ca="1" si="35"/>
        <v>4642.9478998032555</v>
      </c>
      <c r="N177" s="727">
        <f t="shared" ref="N177:W180" ca="1" si="36">INDIRECT(TEXT(N$142,1)&amp;"!"&amp;INDEX($B$281:$E$281,,MATCH($C177,$B$274:$E$274,0)))</f>
        <v>6273.4564169826917</v>
      </c>
      <c r="O177" s="727">
        <f t="shared" ca="1" si="36"/>
        <v>6490.5315930540901</v>
      </c>
      <c r="P177" s="727">
        <f t="shared" ca="1" si="36"/>
        <v>1812.2839382965983</v>
      </c>
      <c r="Q177" s="727">
        <f t="shared" ca="1" si="36"/>
        <v>7022.3432421658918</v>
      </c>
      <c r="R177" s="727">
        <f t="shared" ca="1" si="36"/>
        <v>1137.0873164152717</v>
      </c>
      <c r="S177" s="727">
        <f t="shared" ca="1" si="36"/>
        <v>6776.9285164380826</v>
      </c>
      <c r="T177" s="727">
        <f t="shared" ca="1" si="36"/>
        <v>24012.061418265799</v>
      </c>
      <c r="U177" s="727">
        <f t="shared" ca="1" si="36"/>
        <v>2713.2700081548855</v>
      </c>
      <c r="V177" s="727">
        <f t="shared" ca="1" si="36"/>
        <v>44962.236240768725</v>
      </c>
      <c r="W177" s="727">
        <f t="shared" ca="1" si="36"/>
        <v>307.25813350061304</v>
      </c>
      <c r="X177" s="727">
        <f t="shared" ref="X177:AF180" ca="1" si="37">INDIRECT(TEXT(X$142,1)&amp;"!"&amp;INDEX($B$281:$E$281,,MATCH($C177,$B$274:$E$274,0)))</f>
        <v>4172.0738399247239</v>
      </c>
      <c r="Y177" s="727">
        <f t="shared" ca="1" si="37"/>
        <v>6030.7140823472382</v>
      </c>
      <c r="Z177" s="727">
        <f t="shared" ca="1" si="37"/>
        <v>528.26836987824697</v>
      </c>
      <c r="AA177" s="727">
        <f t="shared" ca="1" si="37"/>
        <v>10967.951019360724</v>
      </c>
      <c r="AB177" s="727">
        <f t="shared" ca="1" si="37"/>
        <v>162780.45377947591</v>
      </c>
      <c r="AC177" s="727">
        <f t="shared" ca="1" si="37"/>
        <v>1308.8184152433635</v>
      </c>
      <c r="AD177" s="727">
        <f t="shared" ca="1" si="37"/>
        <v>16191.831979983461</v>
      </c>
      <c r="AE177" s="727">
        <f t="shared" ca="1" si="37"/>
        <v>0</v>
      </c>
      <c r="AF177" s="727">
        <f t="shared" ca="1" si="37"/>
        <v>2185.306093353483</v>
      </c>
      <c r="AG177" s="728">
        <f t="shared" ca="1" si="9"/>
        <v>359655.58191503806</v>
      </c>
      <c r="AH177" s="850">
        <f t="shared" ca="1" si="33"/>
        <v>303787.65410097514</v>
      </c>
      <c r="AI177" s="851">
        <f t="shared" ca="1" si="34"/>
        <v>55867.927814062896</v>
      </c>
    </row>
    <row r="178" spans="1:35">
      <c r="A178" s="210"/>
      <c r="B178" s="712" t="s">
        <v>383</v>
      </c>
      <c r="C178" s="718">
        <v>2009</v>
      </c>
      <c r="D178" s="727">
        <f t="shared" ca="1" si="35"/>
        <v>4812.6064932390682</v>
      </c>
      <c r="E178" s="727">
        <f t="shared" ca="1" si="35"/>
        <v>17506.567213947415</v>
      </c>
      <c r="F178" s="727">
        <f t="shared" ca="1" si="35"/>
        <v>238.76175441004867</v>
      </c>
      <c r="G178" s="727">
        <f t="shared" ca="1" si="35"/>
        <v>140.95062447937397</v>
      </c>
      <c r="H178" s="727">
        <f t="shared" ca="1" si="35"/>
        <v>7096.4145789004024</v>
      </c>
      <c r="I178" s="727">
        <f t="shared" ca="1" si="35"/>
        <v>2140.5510330153056</v>
      </c>
      <c r="J178" s="727">
        <f t="shared" ca="1" si="35"/>
        <v>2663.7507035486296</v>
      </c>
      <c r="K178" s="727">
        <f t="shared" ca="1" si="35"/>
        <v>13810.810350744729</v>
      </c>
      <c r="L178" s="727">
        <f t="shared" ca="1" si="35"/>
        <v>2421.0607992312434</v>
      </c>
      <c r="M178" s="727">
        <f t="shared" ca="1" si="35"/>
        <v>4634.6029615210364</v>
      </c>
      <c r="N178" s="727">
        <f t="shared" ca="1" si="36"/>
        <v>6606.4339350676073</v>
      </c>
      <c r="O178" s="727">
        <f t="shared" ca="1" si="36"/>
        <v>7220.3526913309061</v>
      </c>
      <c r="P178" s="727">
        <f t="shared" ca="1" si="36"/>
        <v>1936.0644627359457</v>
      </c>
      <c r="Q178" s="727">
        <f t="shared" ca="1" si="36"/>
        <v>7260.1189805751919</v>
      </c>
      <c r="R178" s="727">
        <f t="shared" ca="1" si="36"/>
        <v>1282.0468117235221</v>
      </c>
      <c r="S178" s="727">
        <f t="shared" ca="1" si="36"/>
        <v>7249.4297206397123</v>
      </c>
      <c r="T178" s="727">
        <f t="shared" ca="1" si="36"/>
        <v>25088.773725032595</v>
      </c>
      <c r="U178" s="727">
        <f t="shared" ca="1" si="36"/>
        <v>2692.3760579037676</v>
      </c>
      <c r="V178" s="727">
        <f t="shared" ca="1" si="36"/>
        <v>49963.492346763662</v>
      </c>
      <c r="W178" s="727">
        <f t="shared" ca="1" si="36"/>
        <v>262.63792985105351</v>
      </c>
      <c r="X178" s="727">
        <f t="shared" ca="1" si="37"/>
        <v>2904.4204758047904</v>
      </c>
      <c r="Y178" s="727">
        <f t="shared" ca="1" si="37"/>
        <v>4598.7161355480803</v>
      </c>
      <c r="Z178" s="727">
        <f t="shared" ca="1" si="37"/>
        <v>496.8113061980917</v>
      </c>
      <c r="AA178" s="727">
        <f t="shared" ca="1" si="37"/>
        <v>12617.899530509983</v>
      </c>
      <c r="AB178" s="727">
        <f t="shared" ca="1" si="37"/>
        <v>114918.1085867252</v>
      </c>
      <c r="AC178" s="727">
        <f t="shared" ca="1" si="37"/>
        <v>1053.6921631409155</v>
      </c>
      <c r="AD178" s="727">
        <f t="shared" ca="1" si="37"/>
        <v>16265.489843091491</v>
      </c>
      <c r="AE178" s="727">
        <f t="shared" ca="1" si="37"/>
        <v>20218.748144141664</v>
      </c>
      <c r="AF178" s="727">
        <f t="shared" ca="1" si="37"/>
        <v>1524.9609444711368</v>
      </c>
      <c r="AG178" s="728">
        <f t="shared" ca="1" si="9"/>
        <v>339626.65030429256</v>
      </c>
      <c r="AH178" s="850">
        <f t="shared" ca="1" si="33"/>
        <v>283563.96309256909</v>
      </c>
      <c r="AI178" s="851">
        <f t="shared" ca="1" si="34"/>
        <v>56062.687211723511</v>
      </c>
    </row>
    <row r="179" spans="1:35">
      <c r="A179" s="210"/>
      <c r="B179" s="712" t="s">
        <v>383</v>
      </c>
      <c r="C179" s="718">
        <v>2010</v>
      </c>
      <c r="D179" s="727">
        <f t="shared" ca="1" si="35"/>
        <v>5520.0501199105374</v>
      </c>
      <c r="E179" s="727">
        <f t="shared" ca="1" si="35"/>
        <v>15669.810492845785</v>
      </c>
      <c r="F179" s="727">
        <f t="shared" ca="1" si="35"/>
        <v>252.67117566220256</v>
      </c>
      <c r="G179" s="727">
        <f t="shared" ca="1" si="35"/>
        <v>257.76535259087598</v>
      </c>
      <c r="H179" s="727">
        <f t="shared" ca="1" si="35"/>
        <v>5993.7043474172078</v>
      </c>
      <c r="I179" s="727">
        <f t="shared" ca="1" si="35"/>
        <v>2138.5354746571093</v>
      </c>
      <c r="J179" s="727">
        <f t="shared" ca="1" si="35"/>
        <v>2723.3469860688201</v>
      </c>
      <c r="K179" s="727">
        <f t="shared" ca="1" si="35"/>
        <v>14423.697384602945</v>
      </c>
      <c r="L179" s="727">
        <f t="shared" ca="1" si="35"/>
        <v>2004.6854664385219</v>
      </c>
      <c r="M179" s="727">
        <f t="shared" ca="1" si="35"/>
        <v>4700.1012841745032</v>
      </c>
      <c r="N179" s="727">
        <f t="shared" ca="1" si="36"/>
        <v>6604.0909703322459</v>
      </c>
      <c r="O179" s="727">
        <f t="shared" ca="1" si="36"/>
        <v>7718.8598959877108</v>
      </c>
      <c r="P179" s="727">
        <f t="shared" ca="1" si="36"/>
        <v>1864.4687558944784</v>
      </c>
      <c r="Q179" s="727">
        <f t="shared" ca="1" si="36"/>
        <v>7518.6794250491757</v>
      </c>
      <c r="R179" s="727">
        <f t="shared" ca="1" si="36"/>
        <v>1612.8164156180105</v>
      </c>
      <c r="S179" s="727">
        <f t="shared" ca="1" si="36"/>
        <v>7608.6626606666478</v>
      </c>
      <c r="T179" s="727">
        <f t="shared" ca="1" si="36"/>
        <v>27971.106679960114</v>
      </c>
      <c r="U179" s="727">
        <f t="shared" ca="1" si="36"/>
        <v>2837.1567060170833</v>
      </c>
      <c r="V179" s="727">
        <f t="shared" ca="1" si="36"/>
        <v>49858.747271698412</v>
      </c>
      <c r="W179" s="727">
        <f t="shared" ca="1" si="36"/>
        <v>297.49993263452882</v>
      </c>
      <c r="X179" s="727">
        <f t="shared" ca="1" si="37"/>
        <v>3839.9905688340377</v>
      </c>
      <c r="Y179" s="727">
        <f t="shared" ca="1" si="37"/>
        <v>4157.6214660882215</v>
      </c>
      <c r="Z179" s="727">
        <f t="shared" ca="1" si="37"/>
        <v>524.70022365336411</v>
      </c>
      <c r="AA179" s="727">
        <f t="shared" ca="1" si="37"/>
        <v>11592.076724421329</v>
      </c>
      <c r="AB179" s="727">
        <f t="shared" ca="1" si="37"/>
        <v>123033.80724313544</v>
      </c>
      <c r="AC179" s="727">
        <f t="shared" ca="1" si="37"/>
        <v>1463.7696625528815</v>
      </c>
      <c r="AD179" s="727">
        <f t="shared" ca="1" si="37"/>
        <v>16200.836665409175</v>
      </c>
      <c r="AE179" s="727">
        <f t="shared" ca="1" si="37"/>
        <v>30775.225916574596</v>
      </c>
      <c r="AF179" s="727">
        <f t="shared" ca="1" si="37"/>
        <v>1922.5423728813557</v>
      </c>
      <c r="AG179" s="728">
        <f t="shared" ca="1" si="9"/>
        <v>361087.0276417773</v>
      </c>
      <c r="AH179" s="850">
        <f t="shared" ca="1" si="33"/>
        <v>304530.6050904583</v>
      </c>
      <c r="AI179" s="851">
        <f t="shared" ca="1" si="34"/>
        <v>56556.42255131901</v>
      </c>
    </row>
    <row r="180" spans="1:35">
      <c r="A180" s="210"/>
      <c r="B180" s="712" t="s">
        <v>383</v>
      </c>
      <c r="C180" s="718">
        <v>2011</v>
      </c>
      <c r="D180" s="727">
        <f t="shared" ca="1" si="35"/>
        <v>4675.4040000000005</v>
      </c>
      <c r="E180" s="727">
        <f t="shared" ca="1" si="35"/>
        <v>15353.165999999999</v>
      </c>
      <c r="F180" s="727">
        <f t="shared" ca="1" si="35"/>
        <v>257.33213000000001</v>
      </c>
      <c r="G180" s="727">
        <f t="shared" ca="1" si="35"/>
        <v>0</v>
      </c>
      <c r="H180" s="727">
        <f t="shared" ca="1" si="35"/>
        <v>6334.9359000000004</v>
      </c>
      <c r="I180" s="727">
        <f t="shared" ca="1" si="35"/>
        <v>2329</v>
      </c>
      <c r="J180" s="727">
        <f t="shared" ca="1" si="35"/>
        <v>4077</v>
      </c>
      <c r="K180" s="727">
        <f t="shared" ca="1" si="35"/>
        <v>14724.16</v>
      </c>
      <c r="L180" s="727">
        <f t="shared" ca="1" si="35"/>
        <v>2099.9636999999998</v>
      </c>
      <c r="M180" s="727">
        <f t="shared" ca="1" si="35"/>
        <v>5257.4161999999997</v>
      </c>
      <c r="N180" s="727">
        <f t="shared" ca="1" si="36"/>
        <v>8156</v>
      </c>
      <c r="O180" s="727">
        <f t="shared" ca="1" si="36"/>
        <v>7814</v>
      </c>
      <c r="P180" s="727">
        <f t="shared" ca="1" si="36"/>
        <v>1769</v>
      </c>
      <c r="Q180" s="727">
        <f t="shared" ca="1" si="36"/>
        <v>7566.6130000000003</v>
      </c>
      <c r="R180" s="727">
        <f t="shared" ca="1" si="36"/>
        <v>1711</v>
      </c>
      <c r="S180" s="727">
        <f t="shared" ca="1" si="36"/>
        <v>7948</v>
      </c>
      <c r="T180" s="727">
        <f t="shared" ca="1" si="36"/>
        <v>27454</v>
      </c>
      <c r="U180" s="727">
        <f t="shared" ca="1" si="36"/>
        <v>3156.9789999999998</v>
      </c>
      <c r="V180" s="727">
        <f t="shared" ca="1" si="36"/>
        <v>49571.741000000002</v>
      </c>
      <c r="W180" s="727">
        <f t="shared" ca="1" si="36"/>
        <v>314</v>
      </c>
      <c r="X180" s="727">
        <f t="shared" ca="1" si="37"/>
        <v>3429</v>
      </c>
      <c r="Y180" s="727">
        <f t="shared" ca="1" si="37"/>
        <v>5954.9094999999998</v>
      </c>
      <c r="Z180" s="727">
        <f t="shared" ca="1" si="37"/>
        <v>516.30462</v>
      </c>
      <c r="AA180" s="727">
        <f t="shared" ca="1" si="37"/>
        <v>17024</v>
      </c>
      <c r="AB180" s="727">
        <f t="shared" ca="1" si="37"/>
        <v>124576</v>
      </c>
      <c r="AC180" s="727">
        <f t="shared" ca="1" si="37"/>
        <v>1061.0476000000001</v>
      </c>
      <c r="AD180" s="727">
        <f t="shared" ca="1" si="37"/>
        <v>17632.895</v>
      </c>
      <c r="AE180" s="727">
        <f t="shared" ca="1" si="37"/>
        <v>31808.23</v>
      </c>
      <c r="AF180" s="727">
        <f t="shared" ca="1" si="37"/>
        <v>1562</v>
      </c>
      <c r="AG180" s="728">
        <f t="shared" ca="1" si="9"/>
        <v>374134.09765000001</v>
      </c>
      <c r="AH180" s="850">
        <f t="shared" ca="1" si="33"/>
        <v>311310.97751999996</v>
      </c>
      <c r="AI180" s="851">
        <f t="shared" ca="1" si="34"/>
        <v>62823.120129999996</v>
      </c>
    </row>
    <row r="181" spans="1:35">
      <c r="A181" s="210"/>
      <c r="B181" s="712" t="s">
        <v>384</v>
      </c>
      <c r="C181" s="718">
        <v>2008</v>
      </c>
      <c r="D181" s="727">
        <f t="shared" ref="D181:M184" ca="1" si="38">INDIRECT(TEXT(D$142,1)&amp;"!"&amp;INDEX($B$282:$E$282,,MATCH($C181,$B$274:$E$274,0)))</f>
        <v>4629.3558780759031</v>
      </c>
      <c r="E181" s="727">
        <f t="shared" ca="1" si="38"/>
        <v>1349.7795899746229</v>
      </c>
      <c r="F181" s="727">
        <f t="shared" ca="1" si="38"/>
        <v>1903.9223289897634</v>
      </c>
      <c r="G181" s="727">
        <f t="shared" ca="1" si="38"/>
        <v>986.58657948447433</v>
      </c>
      <c r="H181" s="727">
        <f t="shared" ca="1" si="38"/>
        <v>1539.5249636451767</v>
      </c>
      <c r="I181" s="727">
        <f t="shared" ca="1" si="38"/>
        <v>1610.6794787716346</v>
      </c>
      <c r="J181" s="727">
        <f t="shared" ca="1" si="38"/>
        <v>499.15970459924148</v>
      </c>
      <c r="K181" s="727">
        <f t="shared" ca="1" si="38"/>
        <v>1611.7575774856718</v>
      </c>
      <c r="L181" s="727">
        <f t="shared" ca="1" si="38"/>
        <v>395.31704240540614</v>
      </c>
      <c r="M181" s="727">
        <f t="shared" ca="1" si="38"/>
        <v>3973.1631178466537</v>
      </c>
      <c r="N181" s="727">
        <f t="shared" ref="N181:W184" ca="1" si="39">INDIRECT(TEXT(N$142,1)&amp;"!"&amp;INDEX($B$282:$E$282,,MATCH($C181,$B$274:$E$274,0)))</f>
        <v>1926.5624019845454</v>
      </c>
      <c r="O181" s="727">
        <f t="shared" ca="1" si="39"/>
        <v>1021.2678184254796</v>
      </c>
      <c r="P181" s="727">
        <f t="shared" ca="1" si="39"/>
        <v>720.16994097687541</v>
      </c>
      <c r="Q181" s="727">
        <f t="shared" ca="1" si="39"/>
        <v>2494.3951619001455</v>
      </c>
      <c r="R181" s="727">
        <f t="shared" ca="1" si="39"/>
        <v>1207.4705597217073</v>
      </c>
      <c r="S181" s="727">
        <f t="shared" ca="1" si="39"/>
        <v>6051.3680818910207</v>
      </c>
      <c r="T181" s="727">
        <f t="shared" ca="1" si="39"/>
        <v>2344.6490832881868</v>
      </c>
      <c r="U181" s="727">
        <f t="shared" ca="1" si="39"/>
        <v>2896.8625646545574</v>
      </c>
      <c r="V181" s="727">
        <f t="shared" ca="1" si="39"/>
        <v>11103.565056599467</v>
      </c>
      <c r="W181" s="727">
        <f t="shared" ca="1" si="39"/>
        <v>1240.8916198568618</v>
      </c>
      <c r="X181" s="727">
        <f t="shared" ref="X181:AF184" ca="1" si="40">INDIRECT(TEXT(X$142,1)&amp;"!"&amp;INDEX($B$282:$E$282,,MATCH($C181,$B$274:$E$274,0)))</f>
        <v>3320.2119848307716</v>
      </c>
      <c r="Y181" s="727">
        <f t="shared" ca="1" si="40"/>
        <v>3530.0265973026144</v>
      </c>
      <c r="Z181" s="727">
        <f t="shared" ca="1" si="40"/>
        <v>1686.1463887542413</v>
      </c>
      <c r="AA181" s="727">
        <f t="shared" ca="1" si="40"/>
        <v>2947.2307975250205</v>
      </c>
      <c r="AB181" s="727">
        <f t="shared" ca="1" si="40"/>
        <v>13311.01853183542</v>
      </c>
      <c r="AC181" s="727">
        <f t="shared" ca="1" si="40"/>
        <v>2025.0222466710386</v>
      </c>
      <c r="AD181" s="727">
        <f t="shared" ca="1" si="40"/>
        <v>2638.8903607253851</v>
      </c>
      <c r="AE181" s="727">
        <f t="shared" ca="1" si="40"/>
        <v>0</v>
      </c>
      <c r="AF181" s="727">
        <f t="shared" ca="1" si="40"/>
        <v>2536.7662741296226</v>
      </c>
      <c r="AG181" s="728">
        <f t="shared" ca="1" si="9"/>
        <v>81501.761732351515</v>
      </c>
      <c r="AH181" s="850">
        <f t="shared" ca="1" si="33"/>
        <v>55380.888774409053</v>
      </c>
      <c r="AI181" s="851">
        <f t="shared" ca="1" si="34"/>
        <v>26120.872957942458</v>
      </c>
    </row>
    <row r="182" spans="1:35">
      <c r="A182" s="210"/>
      <c r="B182" s="712" t="s">
        <v>384</v>
      </c>
      <c r="C182" s="718">
        <v>2009</v>
      </c>
      <c r="D182" s="727">
        <f t="shared" ca="1" si="38"/>
        <v>3532.6358706843289</v>
      </c>
      <c r="E182" s="727">
        <f t="shared" ca="1" si="38"/>
        <v>1518.1645392271257</v>
      </c>
      <c r="F182" s="727">
        <f t="shared" ca="1" si="38"/>
        <v>625.97103438808415</v>
      </c>
      <c r="G182" s="727">
        <f t="shared" ca="1" si="38"/>
        <v>1019.7757237367009</v>
      </c>
      <c r="H182" s="727">
        <f t="shared" ca="1" si="38"/>
        <v>1699.3608346489116</v>
      </c>
      <c r="I182" s="727">
        <f t="shared" ca="1" si="38"/>
        <v>1654.7227675200763</v>
      </c>
      <c r="J182" s="727">
        <f t="shared" ca="1" si="38"/>
        <v>405.89498249708271</v>
      </c>
      <c r="K182" s="727">
        <f t="shared" ca="1" si="38"/>
        <v>1688.9798888049963</v>
      </c>
      <c r="L182" s="727">
        <f t="shared" ca="1" si="38"/>
        <v>420.512703768275</v>
      </c>
      <c r="M182" s="727">
        <f t="shared" ca="1" si="38"/>
        <v>3238.9554870478405</v>
      </c>
      <c r="N182" s="727">
        <f t="shared" ca="1" si="39"/>
        <v>1785.5226851534073</v>
      </c>
      <c r="O182" s="727">
        <f t="shared" ca="1" si="39"/>
        <v>1088.7016953806024</v>
      </c>
      <c r="P182" s="727">
        <f t="shared" ca="1" si="39"/>
        <v>776.21298949275831</v>
      </c>
      <c r="Q182" s="727">
        <f t="shared" ca="1" si="39"/>
        <v>2396.8977982565711</v>
      </c>
      <c r="R182" s="727">
        <f t="shared" ca="1" si="39"/>
        <v>1200.0373395565923</v>
      </c>
      <c r="S182" s="727">
        <f t="shared" ca="1" si="39"/>
        <v>6836.8909328025238</v>
      </c>
      <c r="T182" s="727">
        <f t="shared" ca="1" si="39"/>
        <v>2378.1708833825237</v>
      </c>
      <c r="U182" s="727">
        <f t="shared" ca="1" si="39"/>
        <v>3030.1849080376128</v>
      </c>
      <c r="V182" s="727">
        <f t="shared" ca="1" si="39"/>
        <v>9936.6413617955895</v>
      </c>
      <c r="W182" s="727">
        <f t="shared" ca="1" si="39"/>
        <v>892.76134257670367</v>
      </c>
      <c r="X182" s="727">
        <f t="shared" ca="1" si="40"/>
        <v>2065.5061374150587</v>
      </c>
      <c r="Y182" s="727">
        <f t="shared" ca="1" si="40"/>
        <v>2484.232384213054</v>
      </c>
      <c r="Z182" s="727">
        <f t="shared" ca="1" si="40"/>
        <v>1571.0834868556519</v>
      </c>
      <c r="AA182" s="727">
        <f t="shared" ca="1" si="40"/>
        <v>2005.0704507104119</v>
      </c>
      <c r="AB182" s="727">
        <f t="shared" ca="1" si="40"/>
        <v>9683.3462832040605</v>
      </c>
      <c r="AC182" s="727">
        <f t="shared" ca="1" si="40"/>
        <v>1589.7323370169534</v>
      </c>
      <c r="AD182" s="727">
        <f t="shared" ca="1" si="40"/>
        <v>2678.4912314091557</v>
      </c>
      <c r="AE182" s="727">
        <f t="shared" ca="1" si="40"/>
        <v>1369.3257558102816</v>
      </c>
      <c r="AF182" s="727">
        <f t="shared" ca="1" si="40"/>
        <v>3387.3026288695164</v>
      </c>
      <c r="AG182" s="728">
        <f t="shared" ca="1" si="9"/>
        <v>72961.086464262436</v>
      </c>
      <c r="AH182" s="850">
        <f t="shared" ca="1" si="33"/>
        <v>48286.187035749863</v>
      </c>
      <c r="AI182" s="851">
        <f t="shared" ca="1" si="34"/>
        <v>24674.899428512588</v>
      </c>
    </row>
    <row r="183" spans="1:35">
      <c r="A183" s="210"/>
      <c r="B183" s="712" t="s">
        <v>384</v>
      </c>
      <c r="C183" s="718">
        <v>2010</v>
      </c>
      <c r="D183" s="727">
        <f t="shared" ca="1" si="38"/>
        <v>3848.1412519199152</v>
      </c>
      <c r="E183" s="727">
        <f t="shared" ca="1" si="38"/>
        <v>1393.5610029371344</v>
      </c>
      <c r="F183" s="727">
        <f t="shared" ca="1" si="38"/>
        <v>806.91762550187264</v>
      </c>
      <c r="G183" s="727">
        <f t="shared" ca="1" si="38"/>
        <v>1211.3952736385436</v>
      </c>
      <c r="H183" s="727">
        <f t="shared" ca="1" si="38"/>
        <v>1543.5873662256472</v>
      </c>
      <c r="I183" s="727">
        <f t="shared" ca="1" si="38"/>
        <v>1522.1400662876233</v>
      </c>
      <c r="J183" s="727">
        <f t="shared" ca="1" si="38"/>
        <v>477.83379590956855</v>
      </c>
      <c r="K183" s="727">
        <f t="shared" ca="1" si="38"/>
        <v>1426.103623992886</v>
      </c>
      <c r="L183" s="727">
        <f t="shared" ca="1" si="38"/>
        <v>460.29469756945372</v>
      </c>
      <c r="M183" s="727">
        <f t="shared" ca="1" si="38"/>
        <v>3436.4827501010477</v>
      </c>
      <c r="N183" s="727">
        <f t="shared" ca="1" si="39"/>
        <v>1881.7889574519681</v>
      </c>
      <c r="O183" s="727">
        <f t="shared" ca="1" si="39"/>
        <v>953.52803750909413</v>
      </c>
      <c r="P183" s="727">
        <f t="shared" ca="1" si="39"/>
        <v>727.44846541456695</v>
      </c>
      <c r="Q183" s="727">
        <f t="shared" ca="1" si="39"/>
        <v>2466.6317471100206</v>
      </c>
      <c r="R183" s="727">
        <f t="shared" ca="1" si="39"/>
        <v>1284.7514214114412</v>
      </c>
      <c r="S183" s="727">
        <f t="shared" ca="1" si="39"/>
        <v>7225.5805556304049</v>
      </c>
      <c r="T183" s="727">
        <f t="shared" ca="1" si="39"/>
        <v>2583.766538223168</v>
      </c>
      <c r="U183" s="727">
        <f t="shared" ca="1" si="39"/>
        <v>3386.5289454878603</v>
      </c>
      <c r="V183" s="727">
        <f t="shared" ca="1" si="39"/>
        <v>9751.273476866696</v>
      </c>
      <c r="W183" s="727">
        <f t="shared" ca="1" si="39"/>
        <v>794.69160087305636</v>
      </c>
      <c r="X183" s="727">
        <f t="shared" ca="1" si="40"/>
        <v>3134.9564819056341</v>
      </c>
      <c r="Y183" s="727">
        <f t="shared" ca="1" si="40"/>
        <v>3081.2928938859095</v>
      </c>
      <c r="Z183" s="727">
        <f t="shared" ca="1" si="40"/>
        <v>1644.4003125757858</v>
      </c>
      <c r="AA183" s="727">
        <f t="shared" ca="1" si="40"/>
        <v>1927.064983158632</v>
      </c>
      <c r="AB183" s="727">
        <f t="shared" ca="1" si="40"/>
        <v>11200.568850745061</v>
      </c>
      <c r="AC183" s="727">
        <f t="shared" ca="1" si="40"/>
        <v>1631.0507162835816</v>
      </c>
      <c r="AD183" s="727">
        <f t="shared" ca="1" si="40"/>
        <v>2786.7425915766207</v>
      </c>
      <c r="AE183" s="727">
        <f t="shared" ca="1" si="40"/>
        <v>2710.6029855298962</v>
      </c>
      <c r="AF183" s="727">
        <f t="shared" ca="1" si="40"/>
        <v>3556.7543315997946</v>
      </c>
      <c r="AG183" s="728">
        <f t="shared" ca="1" si="9"/>
        <v>78855.88134732288</v>
      </c>
      <c r="AH183" s="850">
        <f t="shared" ca="1" si="33"/>
        <v>52831.361453463935</v>
      </c>
      <c r="AI183" s="851">
        <f t="shared" ca="1" si="34"/>
        <v>26024.51989385896</v>
      </c>
    </row>
    <row r="184" spans="1:35">
      <c r="A184" s="210"/>
      <c r="B184" s="712" t="s">
        <v>384</v>
      </c>
      <c r="C184" s="718">
        <v>2011</v>
      </c>
      <c r="D184" s="727">
        <f t="shared" ca="1" si="38"/>
        <v>3701.3589999999999</v>
      </c>
      <c r="E184" s="727">
        <f t="shared" ca="1" si="38"/>
        <v>1311.3030000000001</v>
      </c>
      <c r="F184" s="727">
        <f t="shared" ca="1" si="38"/>
        <v>1522.1706999999999</v>
      </c>
      <c r="G184" s="727">
        <f t="shared" ca="1" si="38"/>
        <v>1096</v>
      </c>
      <c r="H184" s="727">
        <f t="shared" ca="1" si="38"/>
        <v>1650.3175000000001</v>
      </c>
      <c r="I184" s="727">
        <f t="shared" ca="1" si="38"/>
        <v>1607</v>
      </c>
      <c r="J184" s="727">
        <f t="shared" ca="1" si="38"/>
        <v>680.38199999999995</v>
      </c>
      <c r="K184" s="727">
        <f t="shared" ca="1" si="38"/>
        <v>1415.2262000000001</v>
      </c>
      <c r="L184" s="727">
        <f t="shared" ca="1" si="38"/>
        <v>459.84805</v>
      </c>
      <c r="M184" s="727">
        <f t="shared" ca="1" si="38"/>
        <v>2752.0284000000001</v>
      </c>
      <c r="N184" s="727">
        <f t="shared" ca="1" si="39"/>
        <v>1920</v>
      </c>
      <c r="O184" s="727">
        <f t="shared" ca="1" si="39"/>
        <v>1336</v>
      </c>
      <c r="P184" s="727">
        <f t="shared" ca="1" si="39"/>
        <v>972</v>
      </c>
      <c r="Q184" s="727">
        <f t="shared" ca="1" si="39"/>
        <v>2441.4474</v>
      </c>
      <c r="R184" s="727">
        <f t="shared" ca="1" si="39"/>
        <v>1284</v>
      </c>
      <c r="S184" s="727">
        <f t="shared" ca="1" si="39"/>
        <v>6197</v>
      </c>
      <c r="T184" s="727">
        <f t="shared" ca="1" si="39"/>
        <v>2536</v>
      </c>
      <c r="U184" s="727">
        <f t="shared" ca="1" si="39"/>
        <v>3482.2305000000001</v>
      </c>
      <c r="V184" s="727">
        <f t="shared" ca="1" si="39"/>
        <v>9009.6955999999991</v>
      </c>
      <c r="W184" s="727">
        <f t="shared" ca="1" si="39"/>
        <v>793</v>
      </c>
      <c r="X184" s="727">
        <f t="shared" ca="1" si="40"/>
        <v>3065</v>
      </c>
      <c r="Y184" s="727">
        <f t="shared" ca="1" si="40"/>
        <v>2976.0636</v>
      </c>
      <c r="Z184" s="727">
        <f t="shared" ca="1" si="40"/>
        <v>2366.3425000000002</v>
      </c>
      <c r="AA184" s="727">
        <f t="shared" ca="1" si="40"/>
        <v>1914</v>
      </c>
      <c r="AB184" s="727">
        <f t="shared" ca="1" si="40"/>
        <v>10733</v>
      </c>
      <c r="AC184" s="727">
        <f t="shared" ca="1" si="40"/>
        <v>1544.1962000000001</v>
      </c>
      <c r="AD184" s="727">
        <f t="shared" ca="1" si="40"/>
        <v>2997.2055</v>
      </c>
      <c r="AE184" s="727">
        <f t="shared" ca="1" si="40"/>
        <v>1841.2909999999999</v>
      </c>
      <c r="AF184" s="727">
        <f t="shared" ca="1" si="40"/>
        <v>3043</v>
      </c>
      <c r="AG184" s="728">
        <f t="shared" ca="1" si="9"/>
        <v>76647.107149999996</v>
      </c>
      <c r="AH184" s="850">
        <f t="shared" ca="1" si="33"/>
        <v>50703.771649999995</v>
      </c>
      <c r="AI184" s="851">
        <f t="shared" ca="1" si="34"/>
        <v>25943.335499999997</v>
      </c>
    </row>
    <row r="185" spans="1:35">
      <c r="A185" s="210"/>
      <c r="B185" s="712" t="s">
        <v>445</v>
      </c>
      <c r="C185" s="718">
        <v>2008</v>
      </c>
      <c r="D185" s="727">
        <f ca="1">D173+D177+D181</f>
        <v>30601.831997947018</v>
      </c>
      <c r="E185" s="727">
        <f t="shared" ref="E185:AF185" ca="1" si="41">E173+E177+E181</f>
        <v>26248.46939066465</v>
      </c>
      <c r="F185" s="727">
        <f t="shared" ca="1" si="41"/>
        <v>2488.2518319979467</v>
      </c>
      <c r="G185" s="727">
        <f t="shared" ca="1" si="41"/>
        <v>1810.6115807903966</v>
      </c>
      <c r="H185" s="727">
        <f t="shared" ca="1" si="41"/>
        <v>13784.570157680135</v>
      </c>
      <c r="I185" s="727">
        <f t="shared" ca="1" si="41"/>
        <v>5490.7567505916568</v>
      </c>
      <c r="J185" s="727">
        <f t="shared" ca="1" si="41"/>
        <v>3477.946451484132</v>
      </c>
      <c r="K185" s="727">
        <f t="shared" ca="1" si="41"/>
        <v>19439.197912805448</v>
      </c>
      <c r="L185" s="727">
        <f t="shared" ca="1" si="41"/>
        <v>5193.0537197456579</v>
      </c>
      <c r="M185" s="727">
        <f t="shared" ca="1" si="41"/>
        <v>14072.397071198424</v>
      </c>
      <c r="N185" s="727">
        <f t="shared" ca="1" si="41"/>
        <v>16390.33474950814</v>
      </c>
      <c r="O185" s="727">
        <f t="shared" ca="1" si="41"/>
        <v>14580.92610048188</v>
      </c>
      <c r="P185" s="727">
        <f t="shared" ca="1" si="41"/>
        <v>4276.817598585726</v>
      </c>
      <c r="Q185" s="727">
        <f t="shared" ca="1" si="41"/>
        <v>14133.144268198796</v>
      </c>
      <c r="R185" s="727">
        <f t="shared" ca="1" si="41"/>
        <v>6527.2819298280619</v>
      </c>
      <c r="S185" s="727">
        <f t="shared" ca="1" si="41"/>
        <v>23314.962789769324</v>
      </c>
      <c r="T185" s="727">
        <f t="shared" ca="1" si="41"/>
        <v>26356.710501553986</v>
      </c>
      <c r="U185" s="727">
        <f t="shared" ca="1" si="41"/>
        <v>8582.1115575546737</v>
      </c>
      <c r="V185" s="727">
        <f t="shared" ca="1" si="41"/>
        <v>70661.284964785722</v>
      </c>
      <c r="W185" s="727">
        <f t="shared" ca="1" si="41"/>
        <v>1627.9290581962305</v>
      </c>
      <c r="X185" s="727">
        <f t="shared" ca="1" si="41"/>
        <v>9996.9366162926635</v>
      </c>
      <c r="Y185" s="727">
        <f t="shared" ca="1" si="41"/>
        <v>21073.354716033191</v>
      </c>
      <c r="Z185" s="727">
        <f t="shared" ca="1" si="41"/>
        <v>5005.6123292748998</v>
      </c>
      <c r="AA185" s="727">
        <f t="shared" ca="1" si="41"/>
        <v>35329.974061190151</v>
      </c>
      <c r="AB185" s="727">
        <f t="shared" ca="1" si="41"/>
        <v>268937.51899717713</v>
      </c>
      <c r="AC185" s="727">
        <f t="shared" ca="1" si="41"/>
        <v>8427.0623113683669</v>
      </c>
      <c r="AD185" s="727">
        <f t="shared" ca="1" si="41"/>
        <v>20223.488852898405</v>
      </c>
      <c r="AE185" s="727">
        <f t="shared" ca="1" si="41"/>
        <v>0</v>
      </c>
      <c r="AF185" s="727">
        <f t="shared" ca="1" si="41"/>
        <v>9321.2414815659649</v>
      </c>
      <c r="AG185" s="728">
        <f t="shared" ca="1" si="9"/>
        <v>687373.77974916878</v>
      </c>
      <c r="AH185" s="850">
        <f t="shared" ca="1" si="33"/>
        <v>546136.42931835703</v>
      </c>
      <c r="AI185" s="851">
        <f t="shared" ca="1" si="34"/>
        <v>141237.35043081178</v>
      </c>
    </row>
    <row r="186" spans="1:35">
      <c r="A186" s="210"/>
      <c r="B186" s="712" t="s">
        <v>445</v>
      </c>
      <c r="C186" s="718">
        <v>2009</v>
      </c>
      <c r="D186" s="727">
        <f t="shared" ref="D186:AF188" ca="1" si="42">D174+D178+D182</f>
        <v>30229.314297480945</v>
      </c>
      <c r="E186" s="727">
        <f t="shared" ca="1" si="42"/>
        <v>28726.44919623858</v>
      </c>
      <c r="F186" s="727">
        <f t="shared" ca="1" si="42"/>
        <v>1254.0182579449513</v>
      </c>
      <c r="G186" s="727">
        <f t="shared" ca="1" si="42"/>
        <v>1805.3290419191428</v>
      </c>
      <c r="H186" s="727">
        <f t="shared" ca="1" si="42"/>
        <v>15459.304550758454</v>
      </c>
      <c r="I186" s="727">
        <f t="shared" ca="1" si="42"/>
        <v>5806.063010501749</v>
      </c>
      <c r="J186" s="727">
        <f t="shared" ca="1" si="42"/>
        <v>3069.6456860457124</v>
      </c>
      <c r="K186" s="727">
        <f t="shared" ca="1" si="42"/>
        <v>20471.225204200695</v>
      </c>
      <c r="L186" s="727">
        <f t="shared" ca="1" si="42"/>
        <v>5428.1635703754537</v>
      </c>
      <c r="M186" s="727">
        <f t="shared" ca="1" si="42"/>
        <v>13579.436404063419</v>
      </c>
      <c r="N186" s="727">
        <f t="shared" ca="1" si="42"/>
        <v>18384.655089573745</v>
      </c>
      <c r="O186" s="727">
        <f t="shared" ca="1" si="42"/>
        <v>16194.950277987504</v>
      </c>
      <c r="P186" s="727">
        <f t="shared" ca="1" si="42"/>
        <v>4601.8102595044256</v>
      </c>
      <c r="Q186" s="727">
        <f t="shared" ca="1" si="42"/>
        <v>14319.788229281345</v>
      </c>
      <c r="R186" s="727">
        <f t="shared" ca="1" si="42"/>
        <v>8177.0710412519711</v>
      </c>
      <c r="S186" s="727">
        <f t="shared" ca="1" si="42"/>
        <v>24802.571048115853</v>
      </c>
      <c r="T186" s="727">
        <f t="shared" ca="1" si="42"/>
        <v>27466.94460841512</v>
      </c>
      <c r="U186" s="727">
        <f t="shared" ca="1" si="42"/>
        <v>9404.2734475118377</v>
      </c>
      <c r="V186" s="727">
        <f t="shared" ca="1" si="42"/>
        <v>85677.060333584974</v>
      </c>
      <c r="W186" s="727">
        <f t="shared" ca="1" si="42"/>
        <v>1229.1039879195548</v>
      </c>
      <c r="X186" s="727">
        <f t="shared" ca="1" si="42"/>
        <v>6378.2950025396367</v>
      </c>
      <c r="Y186" s="727">
        <f t="shared" ca="1" si="42"/>
        <v>19133.581264630375</v>
      </c>
      <c r="Z186" s="727">
        <f t="shared" ca="1" si="42"/>
        <v>4893.6090136591374</v>
      </c>
      <c r="AA186" s="727">
        <f t="shared" ca="1" si="42"/>
        <v>34263.537851355606</v>
      </c>
      <c r="AB186" s="727">
        <f t="shared" ca="1" si="42"/>
        <v>189597.59489326648</v>
      </c>
      <c r="AC186" s="727">
        <f t="shared" ca="1" si="42"/>
        <v>7316.9370114626918</v>
      </c>
      <c r="AD186" s="727">
        <f t="shared" ca="1" si="42"/>
        <v>20351.537258617609</v>
      </c>
      <c r="AE186" s="727">
        <f t="shared" ca="1" si="42"/>
        <v>33722.298173134732</v>
      </c>
      <c r="AF186" s="727">
        <f t="shared" ca="1" si="42"/>
        <v>9696.8415128011511</v>
      </c>
      <c r="AG186" s="728">
        <f t="shared" ca="1" si="9"/>
        <v>661441.40952414263</v>
      </c>
      <c r="AH186" s="850">
        <f t="shared" ca="1" si="33"/>
        <v>516371.19253703329</v>
      </c>
      <c r="AI186" s="851">
        <f t="shared" ca="1" si="34"/>
        <v>145070.2169871096</v>
      </c>
    </row>
    <row r="187" spans="1:35">
      <c r="A187" s="210"/>
      <c r="B187" s="712" t="s">
        <v>445</v>
      </c>
      <c r="C187" s="718">
        <v>2010</v>
      </c>
      <c r="D187" s="727">
        <f t="shared" ca="1" si="42"/>
        <v>32146.294090700867</v>
      </c>
      <c r="E187" s="727">
        <f t="shared" ca="1" si="42"/>
        <v>28174.892096143998</v>
      </c>
      <c r="F187" s="727">
        <f t="shared" ca="1" si="42"/>
        <v>1530.2907493735011</v>
      </c>
      <c r="G187" s="727">
        <f t="shared" ca="1" si="42"/>
        <v>2073.3300099700891</v>
      </c>
      <c r="H187" s="727">
        <f t="shared" ca="1" si="42"/>
        <v>14498.515764921451</v>
      </c>
      <c r="I187" s="727">
        <f t="shared" ca="1" si="42"/>
        <v>5779.8531432728823</v>
      </c>
      <c r="J187" s="727">
        <f t="shared" ca="1" si="42"/>
        <v>3201.1807819783885</v>
      </c>
      <c r="K187" s="727">
        <f t="shared" ca="1" si="42"/>
        <v>20828.242822209046</v>
      </c>
      <c r="L187" s="727">
        <f t="shared" ca="1" si="42"/>
        <v>5458.4371197353876</v>
      </c>
      <c r="M187" s="727">
        <f t="shared" ca="1" si="42"/>
        <v>13685.16154498666</v>
      </c>
      <c r="N187" s="727">
        <f t="shared" ca="1" si="42"/>
        <v>17273.335129745894</v>
      </c>
      <c r="O187" s="727">
        <f t="shared" ca="1" si="42"/>
        <v>15346.82948721403</v>
      </c>
      <c r="P187" s="727">
        <f t="shared" ca="1" si="42"/>
        <v>7786.9588531702175</v>
      </c>
      <c r="Q187" s="727">
        <f t="shared" ca="1" si="42"/>
        <v>14842.791041416289</v>
      </c>
      <c r="R187" s="727">
        <f t="shared" ca="1" si="42"/>
        <v>7824.6557624424022</v>
      </c>
      <c r="S187" s="727">
        <f t="shared" ca="1" si="42"/>
        <v>26261.500902697309</v>
      </c>
      <c r="T187" s="727">
        <f t="shared" ca="1" si="42"/>
        <v>30554.873218183282</v>
      </c>
      <c r="U187" s="727">
        <f t="shared" ca="1" si="42"/>
        <v>9930.0688987092763</v>
      </c>
      <c r="V187" s="727">
        <f t="shared" ca="1" si="42"/>
        <v>85841.975425076118</v>
      </c>
      <c r="W187" s="727">
        <f t="shared" ca="1" si="42"/>
        <v>1160.4535043518092</v>
      </c>
      <c r="X187" s="727">
        <f t="shared" ca="1" si="42"/>
        <v>10186.316186575408</v>
      </c>
      <c r="Y187" s="727">
        <f t="shared" ca="1" si="42"/>
        <v>19187.323666379238</v>
      </c>
      <c r="Z187" s="727">
        <f t="shared" ca="1" si="42"/>
        <v>5201.15464417558</v>
      </c>
      <c r="AA187" s="727">
        <f t="shared" ca="1" si="42"/>
        <v>36574.524552019611</v>
      </c>
      <c r="AB187" s="727">
        <f t="shared" ca="1" si="42"/>
        <v>200503.41322842284</v>
      </c>
      <c r="AC187" s="727">
        <f t="shared" ca="1" si="42"/>
        <v>8638.6119103230831</v>
      </c>
      <c r="AD187" s="727">
        <f t="shared" ca="1" si="42"/>
        <v>20258.304473525368</v>
      </c>
      <c r="AE187" s="727">
        <f t="shared" ca="1" si="42"/>
        <v>52137.442504001505</v>
      </c>
      <c r="AF187" s="727">
        <f t="shared" ca="1" si="42"/>
        <v>10602.001023955159</v>
      </c>
      <c r="AG187" s="728">
        <f t="shared" ca="1" si="9"/>
        <v>707488.7325356768</v>
      </c>
      <c r="AH187" s="850">
        <f t="shared" ca="1" si="33"/>
        <v>561705.72937876917</v>
      </c>
      <c r="AI187" s="851">
        <f t="shared" ca="1" si="34"/>
        <v>145783.00315690762</v>
      </c>
    </row>
    <row r="188" spans="1:35">
      <c r="A188" s="210"/>
      <c r="B188" s="712" t="s">
        <v>445</v>
      </c>
      <c r="C188" s="718">
        <v>2011</v>
      </c>
      <c r="D188" s="727">
        <f t="shared" ca="1" si="42"/>
        <v>31329.657000000003</v>
      </c>
      <c r="E188" s="727">
        <f t="shared" ca="1" si="42"/>
        <v>27694.65</v>
      </c>
      <c r="F188" s="727">
        <f t="shared" ca="1" si="42"/>
        <v>3334.8890299999998</v>
      </c>
      <c r="G188" s="727">
        <f t="shared" ca="1" si="42"/>
        <v>1959</v>
      </c>
      <c r="H188" s="727">
        <f t="shared" ca="1" si="42"/>
        <v>14832.522300000001</v>
      </c>
      <c r="I188" s="727">
        <f t="shared" ca="1" si="42"/>
        <v>6194</v>
      </c>
      <c r="J188" s="727">
        <f t="shared" ca="1" si="42"/>
        <v>4757.3819999999996</v>
      </c>
      <c r="K188" s="727">
        <f t="shared" ca="1" si="42"/>
        <v>21180.184600000001</v>
      </c>
      <c r="L188" s="727">
        <f t="shared" ca="1" si="42"/>
        <v>5569.0489499999994</v>
      </c>
      <c r="M188" s="727">
        <f t="shared" ca="1" si="42"/>
        <v>13572.5746</v>
      </c>
      <c r="N188" s="727">
        <f t="shared" ca="1" si="42"/>
        <v>20014</v>
      </c>
      <c r="O188" s="727">
        <f t="shared" ca="1" si="42"/>
        <v>15946</v>
      </c>
      <c r="P188" s="727">
        <f t="shared" ca="1" si="42"/>
        <v>8066</v>
      </c>
      <c r="Q188" s="727">
        <f t="shared" ca="1" si="42"/>
        <v>15055.074199999999</v>
      </c>
      <c r="R188" s="727">
        <f t="shared" ca="1" si="42"/>
        <v>8265</v>
      </c>
      <c r="S188" s="727">
        <f t="shared" ca="1" si="42"/>
        <v>25239</v>
      </c>
      <c r="T188" s="727">
        <f t="shared" ca="1" si="42"/>
        <v>29990</v>
      </c>
      <c r="U188" s="727">
        <f t="shared" ca="1" si="42"/>
        <v>10663.3218</v>
      </c>
      <c r="V188" s="727">
        <f t="shared" ca="1" si="42"/>
        <v>67838.436600000001</v>
      </c>
      <c r="W188" s="727">
        <f t="shared" ca="1" si="42"/>
        <v>1187</v>
      </c>
      <c r="X188" s="727">
        <f t="shared" ca="1" si="42"/>
        <v>9540</v>
      </c>
      <c r="Y188" s="727">
        <f t="shared" ca="1" si="42"/>
        <v>20415.8891</v>
      </c>
      <c r="Z188" s="727">
        <f t="shared" ca="1" si="42"/>
        <v>5726.3122199999998</v>
      </c>
      <c r="AA188" s="727">
        <f t="shared" ca="1" si="42"/>
        <v>37418</v>
      </c>
      <c r="AB188" s="727">
        <f t="shared" ca="1" si="42"/>
        <v>202370</v>
      </c>
      <c r="AC188" s="727">
        <f t="shared" ca="1" si="42"/>
        <v>8101.2183999999997</v>
      </c>
      <c r="AD188" s="727">
        <f t="shared" ca="1" si="42"/>
        <v>22199.458500000001</v>
      </c>
      <c r="AE188" s="727">
        <f t="shared" ca="1" si="42"/>
        <v>52106.405999999995</v>
      </c>
      <c r="AF188" s="727">
        <f t="shared" ca="1" si="42"/>
        <v>9860</v>
      </c>
      <c r="AG188" s="728">
        <f t="shared" ca="1" si="9"/>
        <v>700425.02529999998</v>
      </c>
      <c r="AH188" s="850">
        <f t="shared" ca="1" si="33"/>
        <v>546272.66596999997</v>
      </c>
      <c r="AI188" s="851">
        <f t="shared" ca="1" si="34"/>
        <v>154152.35933000001</v>
      </c>
    </row>
    <row r="189" spans="1:35">
      <c r="A189" s="210"/>
      <c r="B189" s="712" t="s">
        <v>445</v>
      </c>
      <c r="C189" s="718" t="s">
        <v>527</v>
      </c>
      <c r="D189" s="832">
        <f ca="1">D188/D185-1</f>
        <v>2.378370687420972E-2</v>
      </c>
      <c r="E189" s="832">
        <f t="shared" ref="E189:AI189" ca="1" si="43">E188/E185-1</f>
        <v>5.5095807218751292E-2</v>
      </c>
      <c r="F189" s="832">
        <f t="shared" ca="1" si="43"/>
        <v>0.34025382283040218</v>
      </c>
      <c r="G189" s="832">
        <f t="shared" ca="1" si="43"/>
        <v>8.1954860326711509E-2</v>
      </c>
      <c r="H189" s="832">
        <f t="shared" ca="1" si="43"/>
        <v>7.6023563327144883E-2</v>
      </c>
      <c r="I189" s="832">
        <f t="shared" ca="1" si="43"/>
        <v>0.12807765511239699</v>
      </c>
      <c r="J189" s="832">
        <f t="shared" ca="1" si="43"/>
        <v>0.36787097396795709</v>
      </c>
      <c r="K189" s="832">
        <f t="shared" ca="1" si="43"/>
        <v>8.9560623591762978E-2</v>
      </c>
      <c r="L189" s="832">
        <f t="shared" ca="1" si="43"/>
        <v>7.2403493309666223E-2</v>
      </c>
      <c r="M189" s="832">
        <f t="shared" ca="1" si="43"/>
        <v>-3.5517934056977118E-2</v>
      </c>
      <c r="N189" s="832">
        <f t="shared" ca="1" si="43"/>
        <v>0.22108549372980946</v>
      </c>
      <c r="O189" s="832">
        <f t="shared" ca="1" si="43"/>
        <v>9.3620521091112741E-2</v>
      </c>
      <c r="P189" s="832">
        <f t="shared" ca="1" si="43"/>
        <v>0.88598176426025166</v>
      </c>
      <c r="Q189" s="832">
        <f t="shared" ca="1" si="43"/>
        <v>6.5231764022649408E-2</v>
      </c>
      <c r="R189" s="832">
        <f t="shared" ca="1" si="43"/>
        <v>0.26622384153976819</v>
      </c>
      <c r="S189" s="832">
        <f t="shared" ca="1" si="43"/>
        <v>8.2523709241129506E-2</v>
      </c>
      <c r="T189" s="832">
        <f t="shared" ca="1" si="43"/>
        <v>0.13785064332029595</v>
      </c>
      <c r="U189" s="832">
        <f t="shared" ca="1" si="43"/>
        <v>0.24250561513771918</v>
      </c>
      <c r="V189" s="832">
        <f t="shared" ca="1" si="43"/>
        <v>-3.9949009789342127E-2</v>
      </c>
      <c r="W189" s="832">
        <f t="shared" ca="1" si="43"/>
        <v>-0.27085274752991162</v>
      </c>
      <c r="X189" s="832">
        <f t="shared" ca="1" si="43"/>
        <v>-4.5707663640476071E-2</v>
      </c>
      <c r="Y189" s="832">
        <f t="shared" ca="1" si="43"/>
        <v>-3.1198906149146333E-2</v>
      </c>
      <c r="Z189" s="832">
        <f t="shared" ca="1" si="43"/>
        <v>0.14397836734382086</v>
      </c>
      <c r="AA189" s="832">
        <f t="shared" ca="1" si="43"/>
        <v>5.9100692663783594E-2</v>
      </c>
      <c r="AB189" s="832">
        <f t="shared" ca="1" si="43"/>
        <v>-0.24752038780381491</v>
      </c>
      <c r="AC189" s="832">
        <f t="shared" ca="1" si="43"/>
        <v>-3.8666370240171832E-2</v>
      </c>
      <c r="AD189" s="832">
        <f t="shared" ca="1" si="43"/>
        <v>9.7706664832878376E-2</v>
      </c>
      <c r="AE189" s="832"/>
      <c r="AF189" s="832">
        <f t="shared" ca="1" si="43"/>
        <v>5.7799008801510343E-2</v>
      </c>
      <c r="AG189" s="832">
        <f t="shared" ca="1" si="43"/>
        <v>1.8987115795417342E-2</v>
      </c>
      <c r="AH189" s="832">
        <f t="shared" ca="1" si="43"/>
        <v>2.4945534545817161E-4</v>
      </c>
      <c r="AI189" s="832">
        <f t="shared" ca="1" si="43"/>
        <v>9.1441880351011751E-2</v>
      </c>
    </row>
    <row r="190" spans="1:35">
      <c r="A190" s="210"/>
      <c r="B190" s="712" t="s">
        <v>445</v>
      </c>
      <c r="C190" s="718" t="s">
        <v>528</v>
      </c>
      <c r="D190" s="832">
        <f ca="1">D188/D187-1</f>
        <v>-2.5403770910473189E-2</v>
      </c>
      <c r="E190" s="832">
        <f t="shared" ref="E190:AI190" ca="1" si="44">E188/E187-1</f>
        <v>-1.7045037635112115E-2</v>
      </c>
      <c r="F190" s="832">
        <f t="shared" ca="1" si="44"/>
        <v>1.1792519044928547</v>
      </c>
      <c r="G190" s="832">
        <f t="shared" ca="1" si="44"/>
        <v>-5.5143180014906812E-2</v>
      </c>
      <c r="H190" s="832">
        <f t="shared" ca="1" si="44"/>
        <v>2.3037291574815155E-2</v>
      </c>
      <c r="I190" s="832">
        <f t="shared" ca="1" si="44"/>
        <v>7.1653525870140733E-2</v>
      </c>
      <c r="J190" s="832">
        <f t="shared" ca="1" si="44"/>
        <v>0.48613350010799761</v>
      </c>
      <c r="K190" s="832">
        <f t="shared" ca="1" si="44"/>
        <v>1.6897334105193007E-2</v>
      </c>
      <c r="L190" s="832">
        <f t="shared" ca="1" si="44"/>
        <v>2.0264377483563356E-2</v>
      </c>
      <c r="M190" s="832">
        <f t="shared" ca="1" si="44"/>
        <v>-8.2269357666373555E-3</v>
      </c>
      <c r="N190" s="832">
        <f t="shared" ca="1" si="44"/>
        <v>0.15866448775919872</v>
      </c>
      <c r="O190" s="832">
        <f t="shared" ca="1" si="44"/>
        <v>3.904197367183615E-2</v>
      </c>
      <c r="P190" s="832">
        <f t="shared" ca="1" si="44"/>
        <v>3.5834419070569501E-2</v>
      </c>
      <c r="Q190" s="832">
        <f t="shared" ca="1" si="44"/>
        <v>1.4302105176268398E-2</v>
      </c>
      <c r="R190" s="832">
        <f t="shared" ca="1" si="44"/>
        <v>5.6276499685929737E-2</v>
      </c>
      <c r="S190" s="832">
        <f t="shared" ca="1" si="44"/>
        <v>-3.8935356607599281E-2</v>
      </c>
      <c r="T190" s="832">
        <f t="shared" ca="1" si="44"/>
        <v>-1.848717270563327E-2</v>
      </c>
      <c r="U190" s="832">
        <f t="shared" ca="1" si="44"/>
        <v>7.3841673081042947E-2</v>
      </c>
      <c r="V190" s="832">
        <f t="shared" ca="1" si="44"/>
        <v>-0.20972885043622769</v>
      </c>
      <c r="W190" s="832">
        <f t="shared" ca="1" si="44"/>
        <v>2.2875966636008105E-2</v>
      </c>
      <c r="X190" s="832">
        <f t="shared" ca="1" si="44"/>
        <v>-6.3449452651704541E-2</v>
      </c>
      <c r="Y190" s="832">
        <f t="shared" ca="1" si="44"/>
        <v>6.4030057291080356E-2</v>
      </c>
      <c r="Z190" s="832">
        <f t="shared" ca="1" si="44"/>
        <v>0.10096942155190636</v>
      </c>
      <c r="AA190" s="832">
        <f t="shared" ca="1" si="44"/>
        <v>2.3061829464952277E-2</v>
      </c>
      <c r="AB190" s="832">
        <f t="shared" ca="1" si="44"/>
        <v>9.3095012275459244E-3</v>
      </c>
      <c r="AC190" s="832">
        <f t="shared" ca="1" si="44"/>
        <v>-6.2208317250703415E-2</v>
      </c>
      <c r="AD190" s="832">
        <f t="shared" ca="1" si="44"/>
        <v>9.5820162492445293E-2</v>
      </c>
      <c r="AE190" s="832">
        <f t="shared" ca="1" si="44"/>
        <v>-5.9528244023721033E-4</v>
      </c>
      <c r="AF190" s="832">
        <f t="shared" ca="1" si="44"/>
        <v>-6.9986884766244817E-2</v>
      </c>
      <c r="AG190" s="832">
        <f t="shared" ca="1" si="44"/>
        <v>-9.9841975014359763E-3</v>
      </c>
      <c r="AH190" s="832">
        <f t="shared" ca="1" si="44"/>
        <v>-2.7475353377359624E-2</v>
      </c>
      <c r="AI190" s="832">
        <f t="shared" ca="1" si="44"/>
        <v>5.7409684200869116E-2</v>
      </c>
    </row>
    <row r="191" spans="1:35">
      <c r="A191" s="210"/>
      <c r="B191" s="712" t="s">
        <v>529</v>
      </c>
      <c r="C191" s="718">
        <v>2008</v>
      </c>
      <c r="D191" s="727">
        <f ca="1">D167+D173+D177+D181</f>
        <v>31516.0597074506</v>
      </c>
      <c r="E191" s="727">
        <f t="shared" ref="E191:AF191" ca="1" si="45">E167+E173+E177+E181</f>
        <v>69747.596304639155</v>
      </c>
      <c r="F191" s="727">
        <f t="shared" ca="1" si="45"/>
        <v>5996.3850474751216</v>
      </c>
      <c r="G191" s="727">
        <f t="shared" ca="1" si="45"/>
        <v>7326.5132589290288</v>
      </c>
      <c r="H191" s="727">
        <f t="shared" ca="1" si="45"/>
        <v>27066.746314618915</v>
      </c>
      <c r="I191" s="727">
        <f t="shared" ca="1" si="45"/>
        <v>26290.515240512104</v>
      </c>
      <c r="J191" s="727">
        <f t="shared" ca="1" si="45"/>
        <v>19924.342334122208</v>
      </c>
      <c r="K191" s="727">
        <f t="shared" ca="1" si="45"/>
        <v>26663.537395568987</v>
      </c>
      <c r="L191" s="727">
        <f t="shared" ca="1" si="45"/>
        <v>14896.089953414501</v>
      </c>
      <c r="M191" s="727">
        <f t="shared" ca="1" si="45"/>
        <v>27170.735835419571</v>
      </c>
      <c r="N191" s="727">
        <f t="shared" ca="1" si="45"/>
        <v>33642.070371532034</v>
      </c>
      <c r="O191" s="727">
        <f t="shared" ca="1" si="45"/>
        <v>22581.855664224</v>
      </c>
      <c r="P191" s="727">
        <f t="shared" ca="1" si="45"/>
        <v>8063.640409740241</v>
      </c>
      <c r="Q191" s="727">
        <f t="shared" ca="1" si="45"/>
        <v>31178.34205098229</v>
      </c>
      <c r="R191" s="727">
        <f t="shared" ca="1" si="45"/>
        <v>10840.754884691054</v>
      </c>
      <c r="S191" s="727">
        <f t="shared" ca="1" si="45"/>
        <v>44582.61612158193</v>
      </c>
      <c r="T191" s="727">
        <f t="shared" ca="1" si="45"/>
        <v>182599.73539391518</v>
      </c>
      <c r="U191" s="727">
        <f t="shared" ca="1" si="45"/>
        <v>24114.912574634312</v>
      </c>
      <c r="V191" s="727">
        <f t="shared" ca="1" si="45"/>
        <v>287725.23802857054</v>
      </c>
      <c r="W191" s="727">
        <f t="shared" ca="1" si="45"/>
        <v>6489.0761597901401</v>
      </c>
      <c r="X191" s="727">
        <f t="shared" ca="1" si="45"/>
        <v>24492.246585497986</v>
      </c>
      <c r="Y191" s="727">
        <f t="shared" ca="1" si="45"/>
        <v>39160.858335547891</v>
      </c>
      <c r="Z191" s="727">
        <f t="shared" ca="1" si="45"/>
        <v>25463.613526845536</v>
      </c>
      <c r="AA191" s="727">
        <f t="shared" ca="1" si="45"/>
        <v>93275.729396937619</v>
      </c>
      <c r="AB191" s="727">
        <f t="shared" ca="1" si="45"/>
        <v>646015.09330073278</v>
      </c>
      <c r="AC191" s="727">
        <f t="shared" ca="1" si="45"/>
        <v>16869.812468364176</v>
      </c>
      <c r="AD191" s="727">
        <f t="shared" ca="1" si="45"/>
        <v>71887.806606883169</v>
      </c>
      <c r="AE191" s="727">
        <f t="shared" ca="1" si="45"/>
        <v>0</v>
      </c>
      <c r="AF191" s="727">
        <f t="shared" ca="1" si="45"/>
        <v>16890.572552821417</v>
      </c>
      <c r="AG191" s="728">
        <f t="shared" ca="1" si="9"/>
        <v>1842472.4958254425</v>
      </c>
      <c r="AH191" s="850">
        <f ca="1">SUMIF($D$262:$AF$262,"=N",D191:AF191)</f>
        <v>1526539.5989637906</v>
      </c>
      <c r="AI191" s="851">
        <f ca="1">SUMIF($D$262:$AF$262,"=Y",D191:AF191)</f>
        <v>315932.89686165203</v>
      </c>
    </row>
    <row r="192" spans="1:35">
      <c r="A192" s="210"/>
      <c r="B192" s="712" t="s">
        <v>529</v>
      </c>
      <c r="C192" s="718">
        <v>2009</v>
      </c>
      <c r="D192" s="727">
        <f t="shared" ref="D192:AF192" ca="1" si="46">D168+D174+D178+D182</f>
        <v>31275.713638547593</v>
      </c>
      <c r="E192" s="727">
        <f t="shared" ca="1" si="46"/>
        <v>74596.438739789941</v>
      </c>
      <c r="F192" s="727">
        <f t="shared" ca="1" si="46"/>
        <v>4865.5493170430354</v>
      </c>
      <c r="G192" s="727">
        <f t="shared" ca="1" si="46"/>
        <v>8049.7652773230802</v>
      </c>
      <c r="H192" s="727">
        <f t="shared" ca="1" si="46"/>
        <v>29475.657629212703</v>
      </c>
      <c r="I192" s="727">
        <f t="shared" ca="1" si="46"/>
        <v>27243.754272770944</v>
      </c>
      <c r="J192" s="727">
        <f t="shared" ca="1" si="46"/>
        <v>19164.264122451776</v>
      </c>
      <c r="K192" s="727">
        <f t="shared" ca="1" si="46"/>
        <v>27844.811037133633</v>
      </c>
      <c r="L192" s="727">
        <f t="shared" ca="1" si="46"/>
        <v>15165.116954108033</v>
      </c>
      <c r="M192" s="727">
        <f t="shared" ca="1" si="46"/>
        <v>27299.356383471742</v>
      </c>
      <c r="N192" s="727">
        <f t="shared" ca="1" si="46"/>
        <v>35636.748987576357</v>
      </c>
      <c r="O192" s="727">
        <f t="shared" ca="1" si="46"/>
        <v>25850.901245109471</v>
      </c>
      <c r="P192" s="727">
        <f t="shared" ca="1" si="46"/>
        <v>8606.1250626892688</v>
      </c>
      <c r="Q192" s="727">
        <f t="shared" ca="1" si="46"/>
        <v>32254.647316384093</v>
      </c>
      <c r="R192" s="727">
        <f t="shared" ca="1" si="46"/>
        <v>11451.221360422813</v>
      </c>
      <c r="S192" s="727">
        <f t="shared" ca="1" si="46"/>
        <v>47469.366298304602</v>
      </c>
      <c r="T192" s="727">
        <f t="shared" ca="1" si="46"/>
        <v>187287.83444299534</v>
      </c>
      <c r="U192" s="727">
        <f t="shared" ca="1" si="46"/>
        <v>24697.298083931626</v>
      </c>
      <c r="V192" s="727">
        <f t="shared" ca="1" si="46"/>
        <v>287980.93293980358</v>
      </c>
      <c r="W192" s="727">
        <f t="shared" ca="1" si="46"/>
        <v>6034.443819067882</v>
      </c>
      <c r="X192" s="727">
        <f t="shared" ca="1" si="46"/>
        <v>25095.936577664896</v>
      </c>
      <c r="Y192" s="727">
        <f t="shared" ca="1" si="46"/>
        <v>41574.254600068627</v>
      </c>
      <c r="Z192" s="727">
        <f t="shared" ca="1" si="46"/>
        <v>26480.754753243182</v>
      </c>
      <c r="AA192" s="727">
        <f t="shared" ca="1" si="46"/>
        <v>93428.349718196128</v>
      </c>
      <c r="AB192" s="727">
        <f t="shared" ca="1" si="46"/>
        <v>508960.12711922557</v>
      </c>
      <c r="AC192" s="727">
        <f t="shared" ca="1" si="46"/>
        <v>18061.352988400024</v>
      </c>
      <c r="AD192" s="727">
        <f t="shared" ca="1" si="46"/>
        <v>77252.570036708043</v>
      </c>
      <c r="AE192" s="727">
        <f t="shared" ca="1" si="46"/>
        <v>91523.609136687446</v>
      </c>
      <c r="AF192" s="727">
        <f t="shared" ca="1" si="46"/>
        <v>17377.703342713976</v>
      </c>
      <c r="AG192" s="728">
        <f t="shared" ca="1" si="9"/>
        <v>1832004.6052010455</v>
      </c>
      <c r="AH192" s="850">
        <f ca="1">SUMIF($D$262:$AF$262,"=N",D192:AF192)</f>
        <v>1497790.571453966</v>
      </c>
      <c r="AI192" s="851">
        <f ca="1">SUMIF($D$262:$AF$262,"=Y",D192:AF192)</f>
        <v>334214.03374707932</v>
      </c>
    </row>
    <row r="193" spans="1:35">
      <c r="A193" s="210"/>
      <c r="B193" s="712" t="s">
        <v>529</v>
      </c>
      <c r="C193" s="718">
        <v>2010</v>
      </c>
      <c r="D193" s="727">
        <f t="shared" ref="D193:AF193" ca="1" si="47">D169+D175+D179+D183</f>
        <v>33787.63789711945</v>
      </c>
      <c r="E193" s="727">
        <f t="shared" ca="1" si="47"/>
        <v>74325.060224731205</v>
      </c>
      <c r="F193" s="727">
        <f t="shared" ca="1" si="47"/>
        <v>5465.0330090808648</v>
      </c>
      <c r="G193" s="727">
        <f t="shared" ca="1" si="47"/>
        <v>8794.5870496618245</v>
      </c>
      <c r="H193" s="727">
        <f t="shared" ca="1" si="47"/>
        <v>30190.878179030471</v>
      </c>
      <c r="I193" s="727">
        <f t="shared" ca="1" si="47"/>
        <v>28155.515884778091</v>
      </c>
      <c r="J193" s="727">
        <f t="shared" ca="1" si="47"/>
        <v>20732.281264315159</v>
      </c>
      <c r="K193" s="727">
        <f t="shared" ca="1" si="47"/>
        <v>28354.778894451774</v>
      </c>
      <c r="L193" s="727">
        <f t="shared" ca="1" si="47"/>
        <v>15628.934868111879</v>
      </c>
      <c r="M193" s="727">
        <f t="shared" ca="1" si="47"/>
        <v>27498.531704777557</v>
      </c>
      <c r="N193" s="727">
        <f t="shared" ca="1" si="47"/>
        <v>35858.930236318061</v>
      </c>
      <c r="O193" s="727">
        <f t="shared" ca="1" si="47"/>
        <v>26204.446121096167</v>
      </c>
      <c r="P193" s="727">
        <f t="shared" ca="1" si="47"/>
        <v>8482.8234216270102</v>
      </c>
      <c r="Q193" s="727">
        <f t="shared" ca="1" si="47"/>
        <v>33614.554881517608</v>
      </c>
      <c r="R193" s="727">
        <f t="shared" ca="1" si="47"/>
        <v>12656.991996982026</v>
      </c>
      <c r="S193" s="727">
        <f t="shared" ca="1" si="47"/>
        <v>51091.538088437381</v>
      </c>
      <c r="T193" s="727">
        <f t="shared" ca="1" si="47"/>
        <v>193733.58626822234</v>
      </c>
      <c r="U193" s="727">
        <f t="shared" ca="1" si="47"/>
        <v>25814.232168359784</v>
      </c>
      <c r="V193" s="727">
        <f t="shared" ca="1" si="47"/>
        <v>297363.40869284037</v>
      </c>
      <c r="W193" s="727">
        <f t="shared" ca="1" si="47"/>
        <v>6294.3650130689002</v>
      </c>
      <c r="X193" s="727">
        <f t="shared" ca="1" si="47"/>
        <v>27882.468001401197</v>
      </c>
      <c r="Y193" s="727">
        <f t="shared" ca="1" si="47"/>
        <v>44547.557692678718</v>
      </c>
      <c r="Z193" s="727">
        <f t="shared" ca="1" si="47"/>
        <v>27426.029748592056</v>
      </c>
      <c r="AA193" s="727">
        <f t="shared" ca="1" si="47"/>
        <v>105688.23159036404</v>
      </c>
      <c r="AB193" s="727">
        <f t="shared" ca="1" si="47"/>
        <v>542376.16381180775</v>
      </c>
      <c r="AC193" s="727">
        <f t="shared" ca="1" si="47"/>
        <v>19629.011322357248</v>
      </c>
      <c r="AD193" s="727">
        <f t="shared" ca="1" si="47"/>
        <v>80319.320856269027</v>
      </c>
      <c r="AE193" s="727">
        <f t="shared" ca="1" si="47"/>
        <v>150045.77678925384</v>
      </c>
      <c r="AF193" s="727">
        <f t="shared" ca="1" si="47"/>
        <v>18643.668723559047</v>
      </c>
      <c r="AG193" s="728">
        <f t="shared" ca="1" si="9"/>
        <v>1980606.3444008108</v>
      </c>
      <c r="AH193" s="850">
        <f ca="1">SUMIF($D$262:$AF$262,"=N",D193:AF193)</f>
        <v>1628972.3218976178</v>
      </c>
      <c r="AI193" s="851">
        <f ca="1">SUMIF($D$262:$AF$262,"=Y",D193:AF193)</f>
        <v>351634.02250319306</v>
      </c>
    </row>
    <row r="194" spans="1:35">
      <c r="A194" s="210"/>
      <c r="B194" s="712" t="s">
        <v>529</v>
      </c>
      <c r="C194" s="718">
        <v>2011</v>
      </c>
      <c r="D194" s="727">
        <f t="shared" ref="D194:AF194" ca="1" si="48">D170+D176+D180+D184</f>
        <v>33177.610999999997</v>
      </c>
      <c r="E194" s="727">
        <f t="shared" ca="1" si="48"/>
        <v>72117</v>
      </c>
      <c r="F194" s="727">
        <f t="shared" ca="1" si="48"/>
        <v>6200.4471299999996</v>
      </c>
      <c r="G194" s="727">
        <f t="shared" ca="1" si="48"/>
        <v>9562</v>
      </c>
      <c r="H194" s="727">
        <f t="shared" ca="1" si="48"/>
        <v>29865.764300000003</v>
      </c>
      <c r="I194" s="727">
        <f t="shared" ca="1" si="48"/>
        <v>29453</v>
      </c>
      <c r="J194" s="727">
        <f t="shared" ca="1" si="48"/>
        <v>28435.382000000001</v>
      </c>
      <c r="K194" s="727">
        <f t="shared" ca="1" si="48"/>
        <v>28835.999800000001</v>
      </c>
      <c r="L194" s="727">
        <f t="shared" ca="1" si="48"/>
        <v>16254.33395</v>
      </c>
      <c r="M194" s="727">
        <f t="shared" ca="1" si="48"/>
        <v>27462.531599999998</v>
      </c>
      <c r="N194" s="727">
        <f t="shared" ca="1" si="48"/>
        <v>39081</v>
      </c>
      <c r="O194" s="727">
        <f t="shared" ca="1" si="48"/>
        <v>27002</v>
      </c>
      <c r="P194" s="727">
        <f t="shared" ca="1" si="48"/>
        <v>8833</v>
      </c>
      <c r="Q194" s="727">
        <f t="shared" ca="1" si="48"/>
        <v>33563.5452</v>
      </c>
      <c r="R194" s="727">
        <f t="shared" ca="1" si="48"/>
        <v>12501</v>
      </c>
      <c r="S194" s="727">
        <f t="shared" ca="1" si="48"/>
        <v>50025</v>
      </c>
      <c r="T194" s="727">
        <f t="shared" ca="1" si="48"/>
        <v>190152</v>
      </c>
      <c r="U194" s="727">
        <f t="shared" ca="1" si="48"/>
        <v>28166.375800000002</v>
      </c>
      <c r="V194" s="727">
        <f t="shared" ca="1" si="48"/>
        <v>292560.43659999996</v>
      </c>
      <c r="W194" s="727">
        <f t="shared" ca="1" si="48"/>
        <v>6558</v>
      </c>
      <c r="X194" s="727">
        <f t="shared" ca="1" si="48"/>
        <v>30653</v>
      </c>
      <c r="Y194" s="727">
        <f t="shared" ca="1" si="48"/>
        <v>45000.903100000003</v>
      </c>
      <c r="Z194" s="727">
        <f t="shared" ca="1" si="48"/>
        <v>31490.000219999998</v>
      </c>
      <c r="AA194" s="727">
        <f t="shared" ca="1" si="48"/>
        <v>105661</v>
      </c>
      <c r="AB194" s="727">
        <f t="shared" ca="1" si="48"/>
        <v>538136</v>
      </c>
      <c r="AC194" s="727">
        <f t="shared" ca="1" si="48"/>
        <v>19847.9074</v>
      </c>
      <c r="AD194" s="727">
        <f t="shared" ca="1" si="48"/>
        <v>79115.964500000002</v>
      </c>
      <c r="AE194" s="727">
        <f t="shared" ca="1" si="48"/>
        <v>148081.997</v>
      </c>
      <c r="AF194" s="727">
        <f t="shared" ca="1" si="48"/>
        <v>18017</v>
      </c>
      <c r="AG194" s="728">
        <f t="shared" ca="1" si="9"/>
        <v>1985810.1995999999</v>
      </c>
      <c r="AH194" s="850">
        <f ca="1">SUMIF($D$262:$AF$262,"=N",D194:AF194)</f>
        <v>1624159.8311699999</v>
      </c>
      <c r="AI194" s="851">
        <f ca="1">SUMIF($D$262:$AF$262,"=Y",D194:AF194)</f>
        <v>361650.36843000003</v>
      </c>
    </row>
    <row r="195" spans="1:35">
      <c r="A195" s="210"/>
      <c r="B195" s="712" t="s">
        <v>530</v>
      </c>
      <c r="C195" s="718" t="s">
        <v>527</v>
      </c>
      <c r="D195" s="832">
        <f ca="1">D194/D191-1</f>
        <v>5.2720781340460432E-2</v>
      </c>
      <c r="E195" s="832">
        <f t="shared" ref="E195:AI195" ca="1" si="49">E194/E191-1</f>
        <v>3.3971116151614966E-2</v>
      </c>
      <c r="F195" s="832">
        <f t="shared" ca="1" si="49"/>
        <v>3.4030850405579294E-2</v>
      </c>
      <c r="G195" s="832">
        <f t="shared" ca="1" si="49"/>
        <v>0.30512286841855096</v>
      </c>
      <c r="H195" s="832">
        <f t="shared" ca="1" si="49"/>
        <v>0.10341169022851182</v>
      </c>
      <c r="I195" s="832">
        <f t="shared" ca="1" si="49"/>
        <v>0.12028994983767749</v>
      </c>
      <c r="J195" s="832">
        <f t="shared" ca="1" si="49"/>
        <v>0.42716790964296369</v>
      </c>
      <c r="K195" s="832">
        <f t="shared" ca="1" si="49"/>
        <v>8.1476901290375769E-2</v>
      </c>
      <c r="L195" s="832">
        <f t="shared" ca="1" si="49"/>
        <v>9.1181242918995764E-2</v>
      </c>
      <c r="M195" s="832">
        <f t="shared" ca="1" si="49"/>
        <v>1.0739339793663039E-2</v>
      </c>
      <c r="N195" s="832">
        <f t="shared" ca="1" si="49"/>
        <v>0.1616704789093597</v>
      </c>
      <c r="O195" s="832">
        <f t="shared" ca="1" si="49"/>
        <v>0.19573875599509516</v>
      </c>
      <c r="P195" s="832">
        <f t="shared" ca="1" si="49"/>
        <v>9.5410949790175836E-2</v>
      </c>
      <c r="Q195" s="832">
        <f t="shared" ca="1" si="49"/>
        <v>7.6501923839229935E-2</v>
      </c>
      <c r="R195" s="832">
        <f t="shared" ca="1" si="49"/>
        <v>0.15314847840102797</v>
      </c>
      <c r="S195" s="832">
        <f t="shared" ca="1" si="49"/>
        <v>0.12207412556445907</v>
      </c>
      <c r="T195" s="832">
        <f t="shared" ca="1" si="49"/>
        <v>4.1359668949095818E-2</v>
      </c>
      <c r="U195" s="832">
        <f t="shared" ca="1" si="49"/>
        <v>0.16800654834748574</v>
      </c>
      <c r="V195" s="832">
        <f t="shared" ca="1" si="49"/>
        <v>1.6804916400657621E-2</v>
      </c>
      <c r="W195" s="832">
        <f t="shared" ca="1" si="49"/>
        <v>1.0621518150295328E-2</v>
      </c>
      <c r="X195" s="832">
        <f t="shared" ca="1" si="49"/>
        <v>0.25153892653317622</v>
      </c>
      <c r="Y195" s="832">
        <f t="shared" ca="1" si="49"/>
        <v>0.14912964150101038</v>
      </c>
      <c r="Z195" s="832">
        <f t="shared" ca="1" si="49"/>
        <v>0.23666659434651804</v>
      </c>
      <c r="AA195" s="832">
        <f t="shared" ca="1" si="49"/>
        <v>0.13278127850768651</v>
      </c>
      <c r="AB195" s="832">
        <f t="shared" ca="1" si="49"/>
        <v>-0.16699159883329995</v>
      </c>
      <c r="AC195" s="832">
        <f t="shared" ca="1" si="49"/>
        <v>0.17653396783281505</v>
      </c>
      <c r="AD195" s="832">
        <f t="shared" ca="1" si="49"/>
        <v>0.10054775954764961</v>
      </c>
      <c r="AE195" s="832"/>
      <c r="AF195" s="832">
        <f t="shared" ca="1" si="49"/>
        <v>6.6689713664586536E-2</v>
      </c>
      <c r="AG195" s="833">
        <f t="shared" ca="1" si="49"/>
        <v>7.7796387245575138E-2</v>
      </c>
      <c r="AH195" s="855">
        <f t="shared" ca="1" si="49"/>
        <v>6.3948706127553878E-2</v>
      </c>
      <c r="AI195" s="856">
        <f t="shared" ca="1" si="49"/>
        <v>0.1447062715611025</v>
      </c>
    </row>
    <row r="196" spans="1:35">
      <c r="A196" s="210"/>
      <c r="B196" s="712" t="s">
        <v>530</v>
      </c>
      <c r="C196" s="718" t="s">
        <v>528</v>
      </c>
      <c r="D196" s="832">
        <f ca="1">D194/D193-1</f>
        <v>-1.8054736438721575E-2</v>
      </c>
      <c r="E196" s="832">
        <f t="shared" ref="E196:AF196" ca="1" si="50">E194/E193-1</f>
        <v>-2.9708152513497565E-2</v>
      </c>
      <c r="F196" s="832">
        <f t="shared" ca="1" si="50"/>
        <v>0.13456718737053341</v>
      </c>
      <c r="G196" s="832">
        <f t="shared" ca="1" si="50"/>
        <v>8.7259691217415947E-2</v>
      </c>
      <c r="H196" s="832">
        <f t="shared" ca="1" si="50"/>
        <v>-1.0768612860565296E-2</v>
      </c>
      <c r="I196" s="832">
        <f t="shared" ca="1" si="50"/>
        <v>4.6082768311958899E-2</v>
      </c>
      <c r="J196" s="832">
        <f t="shared" ca="1" si="50"/>
        <v>0.37155104339354983</v>
      </c>
      <c r="K196" s="832">
        <f t="shared" ca="1" si="50"/>
        <v>1.6971421549063503E-2</v>
      </c>
      <c r="L196" s="832">
        <f t="shared" ca="1" si="50"/>
        <v>4.0015464084128816E-2</v>
      </c>
      <c r="M196" s="832">
        <f t="shared" ca="1" si="50"/>
        <v>-1.3091646188259087E-3</v>
      </c>
      <c r="N196" s="832">
        <f t="shared" ca="1" si="50"/>
        <v>8.9854040331036167E-2</v>
      </c>
      <c r="O196" s="832">
        <f t="shared" ca="1" si="50"/>
        <v>3.0435822807250767E-2</v>
      </c>
      <c r="P196" s="832">
        <f t="shared" ca="1" si="50"/>
        <v>4.1280663402731177E-2</v>
      </c>
      <c r="Q196" s="832">
        <f t="shared" ca="1" si="50"/>
        <v>-1.5174879363241134E-3</v>
      </c>
      <c r="R196" s="832">
        <f t="shared" ca="1" si="50"/>
        <v>-1.232457103703799E-2</v>
      </c>
      <c r="S196" s="832">
        <f t="shared" ca="1" si="50"/>
        <v>-2.0875043663615034E-2</v>
      </c>
      <c r="T196" s="832">
        <f t="shared" ca="1" si="50"/>
        <v>-1.848717270563327E-2</v>
      </c>
      <c r="U196" s="832">
        <f t="shared" ca="1" si="50"/>
        <v>9.1118093937468059E-2</v>
      </c>
      <c r="V196" s="832">
        <f t="shared" ca="1" si="50"/>
        <v>-1.6151859820122016E-2</v>
      </c>
      <c r="W196" s="832">
        <f t="shared" ca="1" si="50"/>
        <v>4.1884286402793292E-2</v>
      </c>
      <c r="X196" s="832">
        <f t="shared" ca="1" si="50"/>
        <v>9.9364661638258633E-2</v>
      </c>
      <c r="Y196" s="832">
        <f t="shared" ca="1" si="50"/>
        <v>1.0176661321116498E-2</v>
      </c>
      <c r="Z196" s="832">
        <f t="shared" ca="1" si="50"/>
        <v>0.14817932120184363</v>
      </c>
      <c r="AA196" s="832">
        <f t="shared" ca="1" si="50"/>
        <v>-2.576596273233811E-4</v>
      </c>
      <c r="AB196" s="832">
        <f t="shared" ca="1" si="50"/>
        <v>-7.8177547147499915E-3</v>
      </c>
      <c r="AC196" s="832">
        <f t="shared" ca="1" si="50"/>
        <v>1.1151660878275127E-2</v>
      </c>
      <c r="AD196" s="832">
        <f t="shared" ca="1" si="50"/>
        <v>-1.4982153029187373E-2</v>
      </c>
      <c r="AE196" s="832">
        <f t="shared" ca="1" si="50"/>
        <v>-1.3087871123570904E-2</v>
      </c>
      <c r="AF196" s="832">
        <f t="shared" ca="1" si="50"/>
        <v>-3.3612951015760006E-2</v>
      </c>
      <c r="AG196" s="833">
        <f t="shared" ref="AG196:AI196" ca="1" si="51">AG194/AG193-1</f>
        <v>2.6274050943542182E-3</v>
      </c>
      <c r="AH196" s="855">
        <f t="shared" ca="1" si="51"/>
        <v>-2.9543109253149513E-3</v>
      </c>
      <c r="AI196" s="856">
        <f t="shared" ca="1" si="51"/>
        <v>2.8485144456452671E-2</v>
      </c>
    </row>
    <row r="197" spans="1:35">
      <c r="A197" s="210"/>
      <c r="B197" s="712" t="s">
        <v>535</v>
      </c>
      <c r="C197" s="718" t="s">
        <v>527</v>
      </c>
      <c r="D197" s="832">
        <f ca="1">(D194/D166)/(D191/D163)-1</f>
        <v>1.9355823078939904E-2</v>
      </c>
      <c r="E197" s="832">
        <f t="shared" ref="E197:AF197" ca="1" si="52">(E194/E166)/(E191/E163)-1</f>
        <v>3.5567070966475933E-2</v>
      </c>
      <c r="F197" s="832">
        <f t="shared" ca="1" si="52"/>
        <v>-8.9168558441010681E-4</v>
      </c>
      <c r="G197" s="832">
        <f t="shared" ca="1" si="52"/>
        <v>0.25969287894176207</v>
      </c>
      <c r="H197" s="832">
        <f t="shared" ca="1" si="52"/>
        <v>6.6111411706991419E-2</v>
      </c>
      <c r="I197" s="832">
        <f t="shared" ca="1" si="52"/>
        <v>0.10632694113467589</v>
      </c>
      <c r="J197" s="832">
        <f t="shared" ca="1" si="52"/>
        <v>0.39454827260548253</v>
      </c>
      <c r="K197" s="832">
        <f t="shared" ca="1" si="52"/>
        <v>1.6359914566082434E-2</v>
      </c>
      <c r="L197" s="832">
        <f t="shared" ca="1" si="52"/>
        <v>7.5128883617395781E-2</v>
      </c>
      <c r="M197" s="832">
        <f t="shared" ca="1" si="52"/>
        <v>-4.590460301609478E-3</v>
      </c>
      <c r="N197" s="832">
        <f t="shared" ca="1" si="52"/>
        <v>0.10393803066268914</v>
      </c>
      <c r="O197" s="832">
        <f t="shared" ca="1" si="52"/>
        <v>0.16194078374076337</v>
      </c>
      <c r="P197" s="832">
        <f t="shared" ca="1" si="52"/>
        <v>7.5192821074994587E-2</v>
      </c>
      <c r="Q197" s="832">
        <f t="shared" ca="1" si="52"/>
        <v>3.9433794124435595E-2</v>
      </c>
      <c r="R197" s="832">
        <f t="shared" ca="1" si="52"/>
        <v>0.12057048924016112</v>
      </c>
      <c r="S197" s="832">
        <f t="shared" ca="1" si="52"/>
        <v>9.0318866938884357E-2</v>
      </c>
      <c r="T197" s="832">
        <f t="shared" ca="1" si="52"/>
        <v>8.0346856572848235E-3</v>
      </c>
      <c r="U197" s="832">
        <f t="shared" ca="1" si="52"/>
        <v>0.16374519076281135</v>
      </c>
      <c r="V197" s="832">
        <f t="shared" ca="1" si="52"/>
        <v>-2.8144868738223749E-2</v>
      </c>
      <c r="W197" s="832">
        <f t="shared" ca="1" si="52"/>
        <v>2.7295275120211571E-3</v>
      </c>
      <c r="X197" s="832">
        <f t="shared" ca="1" si="52"/>
        <v>0.18782161418291299</v>
      </c>
      <c r="Y197" s="832">
        <f t="shared" ca="1" si="52"/>
        <v>0.10130347391160122</v>
      </c>
      <c r="Z197" s="832">
        <f t="shared" ca="1" si="52"/>
        <v>0.1956198900828392</v>
      </c>
      <c r="AA197" s="832">
        <f t="shared" ca="1" si="52"/>
        <v>0.12407061478299486</v>
      </c>
      <c r="AB197" s="832">
        <f t="shared" ca="1" si="52"/>
        <v>6.5772761751164754E-2</v>
      </c>
      <c r="AC197" s="832">
        <f t="shared" ca="1" si="52"/>
        <v>0.13609843206042394</v>
      </c>
      <c r="AD197" s="832">
        <f t="shared" ca="1" si="52"/>
        <v>7.0248276895477968E-2</v>
      </c>
      <c r="AE197" s="832"/>
      <c r="AF197" s="832">
        <f t="shared" ca="1" si="52"/>
        <v>2.8416131207842366E-2</v>
      </c>
      <c r="AG197" s="833">
        <f t="shared" ref="AG197:AI197" ca="1" si="53">(AG194/AG166)/(AG191/AG163)-1</f>
        <v>4.7955429352074752E-2</v>
      </c>
      <c r="AH197" s="855">
        <f t="shared" ca="1" si="53"/>
        <v>3.5434300270181796E-2</v>
      </c>
      <c r="AI197" s="856">
        <f t="shared" ca="1" si="53"/>
        <v>0.10853018741494358</v>
      </c>
    </row>
    <row r="198" spans="1:35">
      <c r="A198" s="210"/>
      <c r="B198" s="712" t="s">
        <v>535</v>
      </c>
      <c r="C198" s="718" t="s">
        <v>528</v>
      </c>
      <c r="D198" s="832">
        <f ca="1">(D194/D166)/(D193/D165)-1</f>
        <v>-2.4776025305633609E-2</v>
      </c>
      <c r="E198" s="832">
        <f t="shared" ref="E198:AF198" ca="1" si="54">(E194/E166)/(E193/E165)-1</f>
        <v>-6.7561380004961258E-3</v>
      </c>
      <c r="F198" s="832">
        <f t="shared" ca="1" si="54"/>
        <v>0.12213287912156079</v>
      </c>
      <c r="G198" s="832">
        <f t="shared" ca="1" si="54"/>
        <v>5.2710020010749759E-2</v>
      </c>
      <c r="H198" s="832">
        <f t="shared" ca="1" si="54"/>
        <v>-2.1825975553569799E-2</v>
      </c>
      <c r="I198" s="832">
        <f t="shared" ca="1" si="54"/>
        <v>4.2720740131290125E-2</v>
      </c>
      <c r="J198" s="832">
        <f t="shared" ca="1" si="54"/>
        <v>0.36254361121816681</v>
      </c>
      <c r="K198" s="832">
        <f t="shared" ca="1" si="54"/>
        <v>-3.1349332947493425E-3</v>
      </c>
      <c r="L198" s="832">
        <f t="shared" ca="1" si="54"/>
        <v>3.591949214171497E-2</v>
      </c>
      <c r="M198" s="832">
        <f t="shared" ca="1" si="54"/>
        <v>-4.923342813797249E-3</v>
      </c>
      <c r="N198" s="832">
        <f t="shared" ca="1" si="54"/>
        <v>7.5406242441869553E-2</v>
      </c>
      <c r="O198" s="832">
        <f t="shared" ca="1" si="54"/>
        <v>2.2071757826079619E-2</v>
      </c>
      <c r="P198" s="832">
        <f t="shared" ca="1" si="54"/>
        <v>3.6677300611384078E-2</v>
      </c>
      <c r="Q198" s="832">
        <f t="shared" ca="1" si="54"/>
        <v>-1.4039692891456235E-2</v>
      </c>
      <c r="R198" s="832">
        <f t="shared" ca="1" si="54"/>
        <v>-1.7215641110648994E-2</v>
      </c>
      <c r="S198" s="832">
        <f t="shared" ca="1" si="54"/>
        <v>-3.3650306803111429E-2</v>
      </c>
      <c r="T198" s="832">
        <f t="shared" ca="1" si="54"/>
        <v>-1.848717270563327E-2</v>
      </c>
      <c r="U198" s="832">
        <f t="shared" ca="1" si="54"/>
        <v>8.8685359858693857E-2</v>
      </c>
      <c r="V198" s="832">
        <f t="shared" ca="1" si="54"/>
        <v>-2.1367305141693049E-2</v>
      </c>
      <c r="W198" s="832">
        <f t="shared" ca="1" si="54"/>
        <v>4.1730774647024571E-2</v>
      </c>
      <c r="X198" s="832">
        <f t="shared" ca="1" si="54"/>
        <v>9.7612793459624259E-2</v>
      </c>
      <c r="Y198" s="832">
        <f t="shared" ca="1" si="54"/>
        <v>-1.0015591187008122E-3</v>
      </c>
      <c r="Z198" s="832">
        <f t="shared" ca="1" si="54"/>
        <v>0.14158697492825056</v>
      </c>
      <c r="AA198" s="832">
        <f t="shared" ca="1" si="54"/>
        <v>-7.2847901740894505E-3</v>
      </c>
      <c r="AB198" s="832">
        <f t="shared" ca="1" si="54"/>
        <v>-1.5455449743423499E-2</v>
      </c>
      <c r="AC198" s="832">
        <f t="shared" ca="1" si="54"/>
        <v>-3.2134881958780781E-3</v>
      </c>
      <c r="AD198" s="832">
        <f t="shared" ca="1" si="54"/>
        <v>-7.1834373273351737E-3</v>
      </c>
      <c r="AE198" s="832">
        <f t="shared" ca="1" si="54"/>
        <v>-1.4241521831298565E-2</v>
      </c>
      <c r="AF198" s="832">
        <f t="shared" ca="1" si="54"/>
        <v>-4.066796675081108E-2</v>
      </c>
      <c r="AG198" s="833">
        <f t="shared" ref="AG198:AI198" ca="1" si="55">(AG194/AG166)/(AG193/AG165)-1</f>
        <v>-1.8599362163896904E-3</v>
      </c>
      <c r="AH198" s="855">
        <f t="shared" ca="1" si="55"/>
        <v>-7.0187745995450301E-3</v>
      </c>
      <c r="AI198" s="856">
        <f t="shared" ca="1" si="55"/>
        <v>2.2068951706887718E-2</v>
      </c>
    </row>
    <row r="199" spans="1:35">
      <c r="A199" s="210"/>
      <c r="B199" s="712" t="s">
        <v>385</v>
      </c>
      <c r="C199" s="718">
        <v>2008</v>
      </c>
      <c r="D199" s="727">
        <f t="shared" ref="D199:M202" ca="1" si="56">INDIRECT(TEXT(D$142,1)&amp;"!"&amp;INDEX($B$283:$E$283,,MATCH($C199,$B$274:$E$274,0)))</f>
        <v>15603</v>
      </c>
      <c r="E199" s="727">
        <f t="shared" ca="1" si="56"/>
        <v>634860</v>
      </c>
      <c r="F199" s="727">
        <f t="shared" ca="1" si="56"/>
        <v>29430</v>
      </c>
      <c r="G199" s="727">
        <f t="shared" ca="1" si="56"/>
        <v>60502.777000000002</v>
      </c>
      <c r="H199" s="727">
        <f t="shared" ca="1" si="56"/>
        <v>210435</v>
      </c>
      <c r="I199" s="727">
        <f t="shared" ca="1" si="56"/>
        <v>165999</v>
      </c>
      <c r="J199" s="727">
        <f t="shared" ca="1" si="56"/>
        <v>298484</v>
      </c>
      <c r="K199" s="727">
        <f t="shared" ca="1" si="56"/>
        <v>113341.63</v>
      </c>
      <c r="L199" s="727">
        <f t="shared" ca="1" si="56"/>
        <v>141344.22</v>
      </c>
      <c r="M199" s="727">
        <f t="shared" ca="1" si="56"/>
        <v>127932.51</v>
      </c>
      <c r="N199" s="727">
        <f t="shared" ref="N199:W202" ca="1" si="57">INDIRECT(TEXT(N$142,1)&amp;"!"&amp;INDEX($B$283:$E$283,,MATCH($C199,$B$274:$E$274,0)))</f>
        <v>216283</v>
      </c>
      <c r="O199" s="727">
        <f t="shared" ca="1" si="57"/>
        <v>109034.24000000001</v>
      </c>
      <c r="P199" s="727">
        <f t="shared" ca="1" si="57"/>
        <v>55443.531999999999</v>
      </c>
      <c r="Q199" s="727">
        <f t="shared" ca="1" si="57"/>
        <v>243717.6</v>
      </c>
      <c r="R199" s="727">
        <f t="shared" ca="1" si="57"/>
        <v>72394</v>
      </c>
      <c r="S199" s="727">
        <f t="shared" ca="1" si="57"/>
        <v>273541</v>
      </c>
      <c r="T199" s="727">
        <f t="shared" ca="1" si="57"/>
        <v>2299216.6</v>
      </c>
      <c r="U199" s="727">
        <f t="shared" ca="1" si="57"/>
        <v>104069.23</v>
      </c>
      <c r="V199" s="727">
        <f t="shared" ca="1" si="57"/>
        <v>2402226.9</v>
      </c>
      <c r="W199" s="727">
        <f t="shared" ca="1" si="57"/>
        <v>57103</v>
      </c>
      <c r="X199" s="727">
        <f t="shared" ref="X199:AF202" ca="1" si="58">INDIRECT(TEXT(X$142,1)&amp;"!"&amp;INDEX($B$283:$E$283,,MATCH($C199,$B$274:$E$274,0)))</f>
        <v>140071</v>
      </c>
      <c r="Y199" s="727">
        <f t="shared" ca="1" si="58"/>
        <v>206407.5</v>
      </c>
      <c r="Z199" s="727">
        <f t="shared" ca="1" si="58"/>
        <v>226030</v>
      </c>
      <c r="AA199" s="727">
        <f t="shared" ca="1" si="58"/>
        <v>750545.47</v>
      </c>
      <c r="AB199" s="727">
        <f t="shared" ca="1" si="58"/>
        <v>4779607.0999999996</v>
      </c>
      <c r="AC199" s="727">
        <f t="shared" ca="1" si="58"/>
        <v>144455.35999999999</v>
      </c>
      <c r="AD199" s="727">
        <f t="shared" ca="1" si="58"/>
        <v>710443.57</v>
      </c>
      <c r="AE199" s="727">
        <f t="shared" ca="1" si="58"/>
        <v>0</v>
      </c>
      <c r="AF199" s="727">
        <f t="shared" ca="1" si="58"/>
        <v>78562</v>
      </c>
      <c r="AG199" s="728">
        <f t="shared" ca="1" si="9"/>
        <v>14667083.239000002</v>
      </c>
      <c r="AH199" s="850">
        <f t="shared" ref="AH199:AH218" ca="1" si="59">SUMIF($D$262:$AF$262,"=N",D199:AF199)</f>
        <v>12260510.568999998</v>
      </c>
      <c r="AI199" s="851">
        <f t="shared" ref="AI199:AI218" ca="1" si="60">SUMIF($D$262:$AF$262,"=Y",D199:AF199)</f>
        <v>2406572.67</v>
      </c>
    </row>
    <row r="200" spans="1:35">
      <c r="A200" s="210"/>
      <c r="B200" s="712" t="s">
        <v>385</v>
      </c>
      <c r="C200" s="718">
        <v>2009</v>
      </c>
      <c r="D200" s="727">
        <f t="shared" ca="1" si="56"/>
        <v>20023</v>
      </c>
      <c r="E200" s="727">
        <f t="shared" ca="1" si="56"/>
        <v>631469</v>
      </c>
      <c r="F200" s="727">
        <f t="shared" ca="1" si="56"/>
        <v>30030.884999999998</v>
      </c>
      <c r="G200" s="727">
        <f t="shared" ca="1" si="56"/>
        <v>64471.752999999997</v>
      </c>
      <c r="H200" s="727">
        <f t="shared" ca="1" si="56"/>
        <v>214017.72</v>
      </c>
      <c r="I200" s="727">
        <f t="shared" ca="1" si="56"/>
        <v>164391.74</v>
      </c>
      <c r="J200" s="727">
        <f t="shared" ca="1" si="56"/>
        <v>303730</v>
      </c>
      <c r="K200" s="727">
        <f t="shared" ca="1" si="56"/>
        <v>118499.98</v>
      </c>
      <c r="L200" s="727">
        <f t="shared" ca="1" si="56"/>
        <v>147817.84</v>
      </c>
      <c r="M200" s="727">
        <f t="shared" ca="1" si="56"/>
        <v>129391.81</v>
      </c>
      <c r="N200" s="727">
        <f t="shared" ca="1" si="57"/>
        <v>213883</v>
      </c>
      <c r="O200" s="727">
        <f t="shared" ca="1" si="57"/>
        <v>113363</v>
      </c>
      <c r="P200" s="727">
        <f t="shared" ca="1" si="57"/>
        <v>55762.953000000001</v>
      </c>
      <c r="Q200" s="727">
        <f t="shared" ca="1" si="57"/>
        <v>245311.35999999999</v>
      </c>
      <c r="R200" s="727">
        <f t="shared" ca="1" si="57"/>
        <v>75049.195000000007</v>
      </c>
      <c r="S200" s="727">
        <f t="shared" ca="1" si="57"/>
        <v>273369</v>
      </c>
      <c r="T200" s="727">
        <f t="shared" ca="1" si="57"/>
        <v>2397462</v>
      </c>
      <c r="U200" s="727">
        <f t="shared" ca="1" si="57"/>
        <v>110166.92</v>
      </c>
      <c r="V200" s="727">
        <f t="shared" ca="1" si="57"/>
        <v>2400569</v>
      </c>
      <c r="W200" s="727">
        <f t="shared" ca="1" si="57"/>
        <v>57472</v>
      </c>
      <c r="X200" s="727">
        <f t="shared" ca="1" si="58"/>
        <v>188618.91</v>
      </c>
      <c r="Y200" s="727">
        <f t="shared" ca="1" si="58"/>
        <v>238919.01</v>
      </c>
      <c r="Z200" s="727">
        <f t="shared" ca="1" si="58"/>
        <v>225036.32</v>
      </c>
      <c r="AA200" s="727">
        <f t="shared" ca="1" si="58"/>
        <v>746504.33</v>
      </c>
      <c r="AB200" s="727">
        <f t="shared" ca="1" si="58"/>
        <v>3628963</v>
      </c>
      <c r="AC200" s="727">
        <f t="shared" ca="1" si="58"/>
        <v>157349.01</v>
      </c>
      <c r="AD200" s="727">
        <f t="shared" ca="1" si="58"/>
        <v>714638.26</v>
      </c>
      <c r="AE200" s="727">
        <f t="shared" ca="1" si="58"/>
        <v>737476</v>
      </c>
      <c r="AF200" s="727">
        <f t="shared" ca="1" si="58"/>
        <v>80816</v>
      </c>
      <c r="AG200" s="728">
        <f t="shared" ca="1" si="9"/>
        <v>14484572.995999999</v>
      </c>
      <c r="AH200" s="850">
        <f t="shared" ca="1" si="59"/>
        <v>12011935.916000001</v>
      </c>
      <c r="AI200" s="851">
        <f t="shared" ca="1" si="60"/>
        <v>2472637.08</v>
      </c>
    </row>
    <row r="201" spans="1:35">
      <c r="A201" s="210"/>
      <c r="B201" s="712" t="s">
        <v>385</v>
      </c>
      <c r="C201" s="718">
        <v>2010</v>
      </c>
      <c r="D201" s="727">
        <f t="shared" ca="1" si="56"/>
        <v>24218</v>
      </c>
      <c r="E201" s="727">
        <f t="shared" ca="1" si="56"/>
        <v>651887.72</v>
      </c>
      <c r="F201" s="727">
        <f t="shared" ca="1" si="56"/>
        <v>30563</v>
      </c>
      <c r="G201" s="727">
        <f t="shared" ca="1" si="56"/>
        <v>61621</v>
      </c>
      <c r="H201" s="727">
        <f t="shared" ca="1" si="56"/>
        <v>227438.92</v>
      </c>
      <c r="I201" s="727">
        <f t="shared" ca="1" si="56"/>
        <v>169538</v>
      </c>
      <c r="J201" s="727">
        <f t="shared" ca="1" si="56"/>
        <v>311696</v>
      </c>
      <c r="K201" s="727">
        <f t="shared" ca="1" si="56"/>
        <v>120864.69</v>
      </c>
      <c r="L201" s="727">
        <f t="shared" ca="1" si="56"/>
        <v>151100.13</v>
      </c>
      <c r="M201" s="727">
        <f t="shared" ca="1" si="56"/>
        <v>132396.4</v>
      </c>
      <c r="N201" s="727">
        <f t="shared" ca="1" si="57"/>
        <v>233921</v>
      </c>
      <c r="O201" s="727">
        <f t="shared" ca="1" si="57"/>
        <v>131001</v>
      </c>
      <c r="P201" s="727">
        <f t="shared" ca="1" si="57"/>
        <v>10194.529</v>
      </c>
      <c r="Q201" s="727">
        <f t="shared" ca="1" si="57"/>
        <v>254095</v>
      </c>
      <c r="R201" s="727">
        <f t="shared" ca="1" si="57"/>
        <v>76903</v>
      </c>
      <c r="S201" s="727">
        <f t="shared" ca="1" si="57"/>
        <v>283757</v>
      </c>
      <c r="T201" s="727">
        <f t="shared" ca="1" si="57"/>
        <v>2427539</v>
      </c>
      <c r="U201" s="727">
        <f t="shared" ca="1" si="57"/>
        <v>100695.05</v>
      </c>
      <c r="V201" s="727">
        <f t="shared" ca="1" si="57"/>
        <v>2381923.2000000002</v>
      </c>
      <c r="W201" s="727">
        <f t="shared" ca="1" si="57"/>
        <v>59422</v>
      </c>
      <c r="X201" s="727">
        <f t="shared" ca="1" si="58"/>
        <v>199695</v>
      </c>
      <c r="Y201" s="727">
        <f t="shared" ca="1" si="58"/>
        <v>255227.54</v>
      </c>
      <c r="Z201" s="727">
        <f t="shared" ca="1" si="58"/>
        <v>231579</v>
      </c>
      <c r="AA201" s="727">
        <f t="shared" ca="1" si="58"/>
        <v>783137.64</v>
      </c>
      <c r="AB201" s="727">
        <f t="shared" ca="1" si="58"/>
        <v>3745571</v>
      </c>
      <c r="AC201" s="727">
        <f t="shared" ca="1" si="58"/>
        <v>153960.81</v>
      </c>
      <c r="AD201" s="727">
        <f t="shared" ca="1" si="58"/>
        <v>747606.01</v>
      </c>
      <c r="AE201" s="727">
        <f t="shared" ca="1" si="58"/>
        <v>1221078.7</v>
      </c>
      <c r="AF201" s="727">
        <f t="shared" ca="1" si="58"/>
        <v>82831</v>
      </c>
      <c r="AG201" s="728">
        <f t="shared" ca="1" si="9"/>
        <v>15261461.339000002</v>
      </c>
      <c r="AH201" s="850">
        <f t="shared" ca="1" si="59"/>
        <v>12667134.059</v>
      </c>
      <c r="AI201" s="851">
        <f t="shared" ca="1" si="60"/>
        <v>2594327.2800000003</v>
      </c>
    </row>
    <row r="202" spans="1:35">
      <c r="A202" s="210"/>
      <c r="B202" s="712" t="s">
        <v>385</v>
      </c>
      <c r="C202" s="718">
        <v>2011</v>
      </c>
      <c r="D202" s="727">
        <f t="shared" ca="1" si="56"/>
        <v>29591</v>
      </c>
      <c r="E202" s="727">
        <f t="shared" ca="1" si="56"/>
        <v>618934.56999999995</v>
      </c>
      <c r="F202" s="727">
        <f t="shared" ca="1" si="56"/>
        <v>20119.02</v>
      </c>
      <c r="G202" s="727">
        <f t="shared" ca="1" si="56"/>
        <v>66101</v>
      </c>
      <c r="H202" s="727">
        <f t="shared" ca="1" si="56"/>
        <v>222496.04</v>
      </c>
      <c r="I202" s="727">
        <f t="shared" ca="1" si="56"/>
        <v>167400</v>
      </c>
      <c r="J202" s="727">
        <f t="shared" ca="1" si="56"/>
        <v>300971.8</v>
      </c>
      <c r="K202" s="727">
        <f t="shared" ca="1" si="56"/>
        <v>120992.69</v>
      </c>
      <c r="L202" s="727">
        <f t="shared" ca="1" si="56"/>
        <v>150704.42000000001</v>
      </c>
      <c r="M202" s="727">
        <f t="shared" ca="1" si="56"/>
        <v>129521.01</v>
      </c>
      <c r="N202" s="727">
        <f t="shared" ca="1" si="57"/>
        <v>228829</v>
      </c>
      <c r="O202" s="727">
        <f t="shared" ca="1" si="57"/>
        <v>126805</v>
      </c>
      <c r="P202" s="727">
        <f t="shared" ca="1" si="57"/>
        <v>10613</v>
      </c>
      <c r="Q202" s="727">
        <f t="shared" ca="1" si="57"/>
        <v>245800.27</v>
      </c>
      <c r="R202" s="727">
        <f t="shared" ca="1" si="57"/>
        <v>73240.301000000007</v>
      </c>
      <c r="S202" s="727">
        <f t="shared" ca="1" si="57"/>
        <v>276656</v>
      </c>
      <c r="T202" s="727">
        <f t="shared" ca="1" si="57"/>
        <v>2427539</v>
      </c>
      <c r="U202" s="727">
        <f t="shared" ca="1" si="57"/>
        <v>97637.345000000001</v>
      </c>
      <c r="V202" s="727">
        <f t="shared" ca="1" si="57"/>
        <v>2555588</v>
      </c>
      <c r="W202" s="727">
        <f t="shared" ca="1" si="57"/>
        <v>58669</v>
      </c>
      <c r="X202" s="727">
        <f t="shared" ca="1" si="58"/>
        <v>194974</v>
      </c>
      <c r="Y202" s="727">
        <f t="shared" ca="1" si="58"/>
        <v>255577.39</v>
      </c>
      <c r="Z202" s="727">
        <f t="shared" ca="1" si="58"/>
        <v>225127.36</v>
      </c>
      <c r="AA202" s="727">
        <f t="shared" ca="1" si="58"/>
        <v>755439.15</v>
      </c>
      <c r="AB202" s="727">
        <f t="shared" ca="1" si="58"/>
        <v>3639618</v>
      </c>
      <c r="AC202" s="727">
        <f t="shared" ca="1" si="58"/>
        <v>165916.06</v>
      </c>
      <c r="AD202" s="727">
        <f t="shared" ca="1" si="58"/>
        <v>721340.31</v>
      </c>
      <c r="AE202" s="727">
        <f t="shared" ca="1" si="58"/>
        <v>1164448.3</v>
      </c>
      <c r="AF202" s="727">
        <f t="shared" ca="1" si="58"/>
        <v>81583</v>
      </c>
      <c r="AG202" s="728">
        <f t="shared" ca="1" si="9"/>
        <v>15132232.036</v>
      </c>
      <c r="AH202" s="850">
        <f t="shared" ca="1" si="59"/>
        <v>12600029.115000002</v>
      </c>
      <c r="AI202" s="851">
        <f t="shared" ca="1" si="60"/>
        <v>2532202.9210000001</v>
      </c>
    </row>
    <row r="203" spans="1:35">
      <c r="A203" s="210"/>
      <c r="B203" s="712" t="s">
        <v>386</v>
      </c>
      <c r="C203" s="718">
        <v>2008</v>
      </c>
      <c r="D203" s="727">
        <f t="shared" ref="D203:M206" ca="1" si="61">INDIRECT(TEXT(D$142,1)&amp;"!"&amp;INDEX($B$284:$E$284,,MATCH($C203,$B$274:$E$274,0)))</f>
        <v>354498</v>
      </c>
      <c r="E203" s="727">
        <f t="shared" ca="1" si="61"/>
        <v>173613</v>
      </c>
      <c r="F203" s="727">
        <f t="shared" ca="1" si="61"/>
        <v>4163</v>
      </c>
      <c r="G203" s="727">
        <f t="shared" ca="1" si="61"/>
        <v>9605.0949999999993</v>
      </c>
      <c r="H203" s="727">
        <f t="shared" ca="1" si="61"/>
        <v>89039</v>
      </c>
      <c r="I203" s="727">
        <f t="shared" ca="1" si="61"/>
        <v>26363</v>
      </c>
      <c r="J203" s="727">
        <f t="shared" ca="1" si="61"/>
        <v>0</v>
      </c>
      <c r="K203" s="727">
        <f t="shared" ca="1" si="61"/>
        <v>74984.714000000007</v>
      </c>
      <c r="L203" s="727">
        <f t="shared" ca="1" si="61"/>
        <v>39563.695</v>
      </c>
      <c r="M203" s="727">
        <f t="shared" ca="1" si="61"/>
        <v>58142.292000000001</v>
      </c>
      <c r="N203" s="727">
        <f t="shared" ref="N203:W206" ca="1" si="62">INDIRECT(TEXT(N$142,1)&amp;"!"&amp;INDEX($B$284:$E$284,,MATCH($C203,$B$274:$E$274,0)))</f>
        <v>104811</v>
      </c>
      <c r="O203" s="727">
        <f t="shared" ca="1" si="62"/>
        <v>100581.92</v>
      </c>
      <c r="P203" s="727">
        <f t="shared" ca="1" si="62"/>
        <v>29771.062000000002</v>
      </c>
      <c r="Q203" s="727">
        <f t="shared" ca="1" si="62"/>
        <v>53223.398000000001</v>
      </c>
      <c r="R203" s="727">
        <f t="shared" ca="1" si="62"/>
        <v>70565</v>
      </c>
      <c r="S203" s="727">
        <f t="shared" ca="1" si="62"/>
        <v>121367</v>
      </c>
      <c r="T203" s="727">
        <f t="shared" ca="1" si="62"/>
        <v>0</v>
      </c>
      <c r="U203" s="727">
        <f t="shared" ca="1" si="62"/>
        <v>21063.254000000001</v>
      </c>
      <c r="V203" s="727">
        <f t="shared" ca="1" si="62"/>
        <v>370069.24</v>
      </c>
      <c r="W203" s="727">
        <f t="shared" ca="1" si="62"/>
        <v>1449</v>
      </c>
      <c r="X203" s="727">
        <f t="shared" ref="X203:AF206" ca="1" si="63">INDIRECT(TEXT(X$142,1)&amp;"!"&amp;INDEX($B$284:$E$284,,MATCH($C203,$B$274:$E$274,0)))</f>
        <v>45358</v>
      </c>
      <c r="Y203" s="727">
        <f t="shared" ca="1" si="63"/>
        <v>131651.79999999999</v>
      </c>
      <c r="Z203" s="727">
        <f t="shared" ca="1" si="63"/>
        <v>34979</v>
      </c>
      <c r="AA203" s="727">
        <f t="shared" ca="1" si="63"/>
        <v>367794.33</v>
      </c>
      <c r="AB203" s="727">
        <f t="shared" ca="1" si="63"/>
        <v>1358680.5</v>
      </c>
      <c r="AC203" s="727">
        <f t="shared" ca="1" si="63"/>
        <v>81418.801000000007</v>
      </c>
      <c r="AD203" s="727">
        <f t="shared" ca="1" si="63"/>
        <v>23295.066999999999</v>
      </c>
      <c r="AE203" s="727">
        <f t="shared" ca="1" si="63"/>
        <v>0</v>
      </c>
      <c r="AF203" s="727">
        <f t="shared" ca="1" si="63"/>
        <v>56536</v>
      </c>
      <c r="AG203" s="728">
        <f t="shared" ca="1" si="9"/>
        <v>3802586.1679999996</v>
      </c>
      <c r="AH203" s="850">
        <f t="shared" ca="1" si="59"/>
        <v>3017708.58</v>
      </c>
      <c r="AI203" s="851">
        <f t="shared" ca="1" si="60"/>
        <v>784877.58799999999</v>
      </c>
    </row>
    <row r="204" spans="1:35">
      <c r="A204" s="210"/>
      <c r="B204" s="712" t="s">
        <v>386</v>
      </c>
      <c r="C204" s="718">
        <v>2009</v>
      </c>
      <c r="D204" s="727">
        <f t="shared" ca="1" si="61"/>
        <v>362689</v>
      </c>
      <c r="E204" s="727">
        <f t="shared" ca="1" si="61"/>
        <v>175952</v>
      </c>
      <c r="F204" s="727">
        <f t="shared" ca="1" si="61"/>
        <v>4502.3900000000003</v>
      </c>
      <c r="G204" s="727">
        <f t="shared" ca="1" si="61"/>
        <v>8436.6910000000007</v>
      </c>
      <c r="H204" s="727">
        <f t="shared" ca="1" si="61"/>
        <v>90481.436000000002</v>
      </c>
      <c r="I204" s="727">
        <f t="shared" ca="1" si="61"/>
        <v>26315.342000000001</v>
      </c>
      <c r="J204" s="727">
        <f t="shared" ca="1" si="61"/>
        <v>0</v>
      </c>
      <c r="K204" s="727">
        <f t="shared" ca="1" si="61"/>
        <v>80258.531000000003</v>
      </c>
      <c r="L204" s="727">
        <f t="shared" ca="1" si="61"/>
        <v>40239.705999999998</v>
      </c>
      <c r="M204" s="727">
        <f t="shared" ca="1" si="61"/>
        <v>59785.707999999999</v>
      </c>
      <c r="N204" s="727">
        <f t="shared" ca="1" si="62"/>
        <v>125462</v>
      </c>
      <c r="O204" s="727">
        <f t="shared" ca="1" si="62"/>
        <v>99061.053</v>
      </c>
      <c r="P204" s="727">
        <f t="shared" ca="1" si="62"/>
        <v>30168.944</v>
      </c>
      <c r="Q204" s="727">
        <f t="shared" ca="1" si="62"/>
        <v>52196.281999999999</v>
      </c>
      <c r="R204" s="727">
        <f t="shared" ca="1" si="62"/>
        <v>71752.918999999994</v>
      </c>
      <c r="S204" s="727">
        <f t="shared" ca="1" si="62"/>
        <v>124018</v>
      </c>
      <c r="T204" s="727">
        <f t="shared" ca="1" si="62"/>
        <v>0</v>
      </c>
      <c r="U204" s="727">
        <f t="shared" ca="1" si="62"/>
        <v>27984.68</v>
      </c>
      <c r="V204" s="727">
        <f t="shared" ca="1" si="62"/>
        <v>358711</v>
      </c>
      <c r="W204" s="727">
        <f t="shared" ca="1" si="62"/>
        <v>1367</v>
      </c>
      <c r="X204" s="727">
        <f t="shared" ca="1" si="63"/>
        <v>29323.563999999998</v>
      </c>
      <c r="Y204" s="727">
        <f t="shared" ca="1" si="63"/>
        <v>136688.04</v>
      </c>
      <c r="Z204" s="727">
        <f t="shared" ca="1" si="63"/>
        <v>33416.43</v>
      </c>
      <c r="AA204" s="727">
        <f t="shared" ca="1" si="63"/>
        <v>321798.46000000002</v>
      </c>
      <c r="AB204" s="727">
        <f t="shared" ca="1" si="63"/>
        <v>959874</v>
      </c>
      <c r="AC204" s="727">
        <f t="shared" ca="1" si="63"/>
        <v>75793.398000000001</v>
      </c>
      <c r="AD204" s="727">
        <f t="shared" ca="1" si="63"/>
        <v>22892.064999999999</v>
      </c>
      <c r="AE204" s="727">
        <f t="shared" ca="1" si="63"/>
        <v>260835</v>
      </c>
      <c r="AF204" s="727">
        <f t="shared" ca="1" si="63"/>
        <v>59367</v>
      </c>
      <c r="AG204" s="728">
        <f t="shared" ca="1" si="9"/>
        <v>3639370.6389999995</v>
      </c>
      <c r="AH204" s="850">
        <f t="shared" ca="1" si="59"/>
        <v>2827985.338</v>
      </c>
      <c r="AI204" s="851">
        <f t="shared" ca="1" si="60"/>
        <v>811385.30099999998</v>
      </c>
    </row>
    <row r="205" spans="1:35">
      <c r="A205" s="210"/>
      <c r="B205" s="712" t="s">
        <v>386</v>
      </c>
      <c r="C205" s="718">
        <v>2010</v>
      </c>
      <c r="D205" s="727">
        <f t="shared" ca="1" si="61"/>
        <v>377727</v>
      </c>
      <c r="E205" s="727">
        <f t="shared" ca="1" si="61"/>
        <v>180382</v>
      </c>
      <c r="F205" s="727">
        <f t="shared" ca="1" si="61"/>
        <v>5151</v>
      </c>
      <c r="G205" s="727">
        <f t="shared" ca="1" si="61"/>
        <v>7285</v>
      </c>
      <c r="H205" s="727">
        <f t="shared" ca="1" si="61"/>
        <v>91672.691999999995</v>
      </c>
      <c r="I205" s="727">
        <f t="shared" ca="1" si="61"/>
        <v>26119</v>
      </c>
      <c r="J205" s="727">
        <f t="shared" ca="1" si="61"/>
        <v>0</v>
      </c>
      <c r="K205" s="727">
        <f t="shared" ca="1" si="61"/>
        <v>78829.296000000002</v>
      </c>
      <c r="L205" s="727">
        <f t="shared" ca="1" si="61"/>
        <v>49503.803</v>
      </c>
      <c r="M205" s="727">
        <f t="shared" ca="1" si="61"/>
        <v>60034.014999999999</v>
      </c>
      <c r="N205" s="727">
        <f t="shared" ca="1" si="62"/>
        <v>110359</v>
      </c>
      <c r="O205" s="727">
        <f t="shared" ca="1" si="62"/>
        <v>87554</v>
      </c>
      <c r="P205" s="727">
        <f t="shared" ca="1" si="62"/>
        <v>76620.73</v>
      </c>
      <c r="Q205" s="727">
        <f t="shared" ca="1" si="62"/>
        <v>53926</v>
      </c>
      <c r="R205" s="727">
        <f t="shared" ca="1" si="62"/>
        <v>73141</v>
      </c>
      <c r="S205" s="727">
        <f t="shared" ca="1" si="62"/>
        <v>123049</v>
      </c>
      <c r="T205" s="727">
        <f t="shared" ca="1" si="62"/>
        <v>0</v>
      </c>
      <c r="U205" s="727">
        <f t="shared" ca="1" si="62"/>
        <v>29359.388999999999</v>
      </c>
      <c r="V205" s="727">
        <f t="shared" ca="1" si="62"/>
        <v>363922.13</v>
      </c>
      <c r="W205" s="727">
        <f t="shared" ca="1" si="62"/>
        <v>1354</v>
      </c>
      <c r="X205" s="727">
        <f t="shared" ca="1" si="63"/>
        <v>31046</v>
      </c>
      <c r="Y205" s="727">
        <f t="shared" ca="1" si="63"/>
        <v>148294.89000000001</v>
      </c>
      <c r="Z205" s="727">
        <f t="shared" ca="1" si="63"/>
        <v>34187</v>
      </c>
      <c r="AA205" s="727">
        <f t="shared" ca="1" si="63"/>
        <v>371382.55</v>
      </c>
      <c r="AB205" s="727">
        <f t="shared" ca="1" si="63"/>
        <v>942182.03</v>
      </c>
      <c r="AC205" s="727">
        <f t="shared" ca="1" si="63"/>
        <v>86991.362999999998</v>
      </c>
      <c r="AD205" s="727">
        <f t="shared" ca="1" si="63"/>
        <v>20049.767</v>
      </c>
      <c r="AE205" s="727">
        <f t="shared" ca="1" si="63"/>
        <v>390288.17</v>
      </c>
      <c r="AF205" s="727">
        <f t="shared" ca="1" si="63"/>
        <v>61628</v>
      </c>
      <c r="AG205" s="728">
        <f t="shared" ca="1" si="9"/>
        <v>3882038.8249999993</v>
      </c>
      <c r="AH205" s="850">
        <f t="shared" ca="1" si="59"/>
        <v>3072794.1129999999</v>
      </c>
      <c r="AI205" s="851">
        <f t="shared" ca="1" si="60"/>
        <v>809244.71199999994</v>
      </c>
    </row>
    <row r="206" spans="1:35">
      <c r="A206" s="210"/>
      <c r="B206" s="712" t="s">
        <v>386</v>
      </c>
      <c r="C206" s="718">
        <v>2011</v>
      </c>
      <c r="D206" s="727">
        <f t="shared" ca="1" si="61"/>
        <v>379675</v>
      </c>
      <c r="E206" s="727">
        <f t="shared" ca="1" si="61"/>
        <v>176499.75</v>
      </c>
      <c r="F206" s="727">
        <f t="shared" ca="1" si="61"/>
        <v>14226.752</v>
      </c>
      <c r="G206" s="727">
        <f t="shared" ca="1" si="61"/>
        <v>10200</v>
      </c>
      <c r="H206" s="727">
        <f t="shared" ca="1" si="61"/>
        <v>93473.729000000007</v>
      </c>
      <c r="I206" s="727">
        <f t="shared" ca="1" si="61"/>
        <v>26166</v>
      </c>
      <c r="J206" s="727">
        <f t="shared" ca="1" si="61"/>
        <v>0</v>
      </c>
      <c r="K206" s="727">
        <f t="shared" ca="1" si="61"/>
        <v>84413.638000000006</v>
      </c>
      <c r="L206" s="727">
        <f t="shared" ca="1" si="61"/>
        <v>49548.273000000001</v>
      </c>
      <c r="M206" s="727">
        <f t="shared" ca="1" si="61"/>
        <v>59520.995999999999</v>
      </c>
      <c r="N206" s="727">
        <f t="shared" ca="1" si="62"/>
        <v>120523</v>
      </c>
      <c r="O206" s="727">
        <f t="shared" ca="1" si="62"/>
        <v>85315</v>
      </c>
      <c r="P206" s="727">
        <f t="shared" ca="1" si="62"/>
        <v>73114</v>
      </c>
      <c r="Q206" s="727">
        <f t="shared" ca="1" si="62"/>
        <v>55517.898999999998</v>
      </c>
      <c r="R206" s="727">
        <f t="shared" ca="1" si="62"/>
        <v>69881.53</v>
      </c>
      <c r="S206" s="727">
        <f t="shared" ca="1" si="62"/>
        <v>116548</v>
      </c>
      <c r="T206" s="727">
        <f t="shared" ca="1" si="62"/>
        <v>0</v>
      </c>
      <c r="U206" s="727">
        <f t="shared" ca="1" si="62"/>
        <v>28181.001</v>
      </c>
      <c r="V206" s="727">
        <f t="shared" ca="1" si="62"/>
        <v>138693</v>
      </c>
      <c r="W206" s="727">
        <f t="shared" ca="1" si="62"/>
        <v>1369</v>
      </c>
      <c r="X206" s="727">
        <f t="shared" ca="1" si="63"/>
        <v>23826</v>
      </c>
      <c r="Y206" s="727">
        <f t="shared" ca="1" si="63"/>
        <v>145814.06</v>
      </c>
      <c r="Z206" s="727">
        <f t="shared" ca="1" si="63"/>
        <v>31066.817999999999</v>
      </c>
      <c r="AA206" s="727">
        <f t="shared" ca="1" si="63"/>
        <v>427598.14</v>
      </c>
      <c r="AB206" s="727">
        <f t="shared" ca="1" si="63"/>
        <v>949402</v>
      </c>
      <c r="AC206" s="727">
        <f t="shared" ca="1" si="63"/>
        <v>84337.394</v>
      </c>
      <c r="AD206" s="727">
        <f t="shared" ca="1" si="63"/>
        <v>24886.842000000001</v>
      </c>
      <c r="AE206" s="727">
        <f t="shared" ca="1" si="63"/>
        <v>380816.93</v>
      </c>
      <c r="AF206" s="727">
        <f t="shared" ca="1" si="63"/>
        <v>62168</v>
      </c>
      <c r="AG206" s="728">
        <f t="shared" ca="1" si="9"/>
        <v>3712782.7520000003</v>
      </c>
      <c r="AH206" s="850">
        <f t="shared" ca="1" si="59"/>
        <v>2894239.4450000003</v>
      </c>
      <c r="AI206" s="851">
        <f t="shared" ca="1" si="60"/>
        <v>818543.30699999991</v>
      </c>
    </row>
    <row r="207" spans="1:35">
      <c r="A207" s="210"/>
      <c r="B207" s="712" t="s">
        <v>387</v>
      </c>
      <c r="C207" s="718">
        <v>2008</v>
      </c>
      <c r="D207" s="727">
        <f t="shared" ref="D207:M210" ca="1" si="64">INDIRECT(TEXT(D$142,1)&amp;"!"&amp;INDEX($B$285:$E$285,,MATCH($C207,$B$274:$E$274,0)))</f>
        <v>128561</v>
      </c>
      <c r="E207" s="727">
        <f t="shared" ca="1" si="64"/>
        <v>395833</v>
      </c>
      <c r="F207" s="727">
        <f t="shared" ca="1" si="64"/>
        <v>2459</v>
      </c>
      <c r="G207" s="727">
        <f t="shared" ca="1" si="64"/>
        <v>3217.953</v>
      </c>
      <c r="H207" s="727">
        <f t="shared" ca="1" si="64"/>
        <v>112584</v>
      </c>
      <c r="I207" s="727">
        <f t="shared" ca="1" si="64"/>
        <v>43968</v>
      </c>
      <c r="J207" s="727">
        <f t="shared" ca="1" si="64"/>
        <v>89296</v>
      </c>
      <c r="K207" s="727">
        <f t="shared" ca="1" si="64"/>
        <v>211391.02</v>
      </c>
      <c r="L207" s="727">
        <f t="shared" ca="1" si="64"/>
        <v>70788.407999999996</v>
      </c>
      <c r="M207" s="727">
        <f t="shared" ca="1" si="64"/>
        <v>59510.419000000002</v>
      </c>
      <c r="N207" s="727">
        <f t="shared" ref="N207:W210" ca="1" si="65">INDIRECT(TEXT(N$142,1)&amp;"!"&amp;INDEX($B$285:$E$285,,MATCH($C207,$B$274:$E$274,0)))</f>
        <v>88379</v>
      </c>
      <c r="O207" s="727">
        <f t="shared" ca="1" si="65"/>
        <v>113498.88</v>
      </c>
      <c r="P207" s="727">
        <f t="shared" ca="1" si="65"/>
        <v>37892.311999999998</v>
      </c>
      <c r="Q207" s="727">
        <f t="shared" ca="1" si="65"/>
        <v>129099.42</v>
      </c>
      <c r="R207" s="727">
        <f t="shared" ca="1" si="65"/>
        <v>28213</v>
      </c>
      <c r="S207" s="727">
        <f t="shared" ca="1" si="65"/>
        <v>121566</v>
      </c>
      <c r="T207" s="727">
        <f t="shared" ca="1" si="65"/>
        <v>760065.4</v>
      </c>
      <c r="U207" s="727">
        <f t="shared" ca="1" si="65"/>
        <v>32905.709000000003</v>
      </c>
      <c r="V207" s="727">
        <f t="shared" ca="1" si="65"/>
        <v>1162891.6000000001</v>
      </c>
      <c r="W207" s="727">
        <f t="shared" ca="1" si="65"/>
        <v>4793</v>
      </c>
      <c r="X207" s="727">
        <f t="shared" ref="X207:AF210" ca="1" si="66">INDIRECT(TEXT(X$142,1)&amp;"!"&amp;INDEX($B$285:$E$285,,MATCH($C207,$B$274:$E$274,0)))</f>
        <v>62458</v>
      </c>
      <c r="Y207" s="727">
        <f t="shared" ca="1" si="66"/>
        <v>151731.45000000001</v>
      </c>
      <c r="Z207" s="727">
        <f t="shared" ca="1" si="66"/>
        <v>8530</v>
      </c>
      <c r="AA207" s="727">
        <f t="shared" ca="1" si="66"/>
        <v>357692.48</v>
      </c>
      <c r="AB207" s="727">
        <f t="shared" ca="1" si="66"/>
        <v>3928586.5</v>
      </c>
      <c r="AC207" s="727">
        <f t="shared" ca="1" si="66"/>
        <v>24341.94</v>
      </c>
      <c r="AD207" s="727">
        <f t="shared" ca="1" si="66"/>
        <v>344612.45</v>
      </c>
      <c r="AE207" s="727">
        <f t="shared" ca="1" si="66"/>
        <v>0</v>
      </c>
      <c r="AF207" s="727">
        <f t="shared" ca="1" si="66"/>
        <v>23202</v>
      </c>
      <c r="AG207" s="728">
        <f t="shared" ca="1" si="9"/>
        <v>8498067.9409999996</v>
      </c>
      <c r="AH207" s="850">
        <f t="shared" ca="1" si="59"/>
        <v>7393391.2210000008</v>
      </c>
      <c r="AI207" s="851">
        <f t="shared" ca="1" si="60"/>
        <v>1104676.72</v>
      </c>
    </row>
    <row r="208" spans="1:35">
      <c r="A208" s="210"/>
      <c r="B208" s="712" t="s">
        <v>387</v>
      </c>
      <c r="C208" s="718">
        <v>2009</v>
      </c>
      <c r="D208" s="727">
        <f t="shared" ca="1" si="64"/>
        <v>151719</v>
      </c>
      <c r="E208" s="727">
        <f t="shared" ca="1" si="64"/>
        <v>390231</v>
      </c>
      <c r="F208" s="727">
        <f t="shared" ca="1" si="64"/>
        <v>2819.8539999999998</v>
      </c>
      <c r="G208" s="727">
        <f t="shared" ca="1" si="64"/>
        <v>2291.12</v>
      </c>
      <c r="H208" s="727">
        <f t="shared" ca="1" si="64"/>
        <v>117778.9</v>
      </c>
      <c r="I208" s="727">
        <f t="shared" ca="1" si="64"/>
        <v>43802.038</v>
      </c>
      <c r="J208" s="727">
        <f t="shared" ca="1" si="64"/>
        <v>84850</v>
      </c>
      <c r="K208" s="727">
        <f t="shared" ca="1" si="64"/>
        <v>244830.88</v>
      </c>
      <c r="L208" s="727">
        <f t="shared" ca="1" si="64"/>
        <v>65579.947</v>
      </c>
      <c r="M208" s="727">
        <f t="shared" ca="1" si="64"/>
        <v>59789.190999999999</v>
      </c>
      <c r="N208" s="727">
        <f t="shared" ca="1" si="65"/>
        <v>91092</v>
      </c>
      <c r="O208" s="727">
        <f t="shared" ca="1" si="65"/>
        <v>116086.96</v>
      </c>
      <c r="P208" s="727">
        <f t="shared" ca="1" si="65"/>
        <v>37411.525000000001</v>
      </c>
      <c r="Q208" s="727">
        <f t="shared" ca="1" si="65"/>
        <v>125517.27</v>
      </c>
      <c r="R208" s="727">
        <f t="shared" ca="1" si="65"/>
        <v>29376.544999999998</v>
      </c>
      <c r="S208" s="727">
        <f t="shared" ca="1" si="65"/>
        <v>122774</v>
      </c>
      <c r="T208" s="727">
        <f t="shared" ca="1" si="65"/>
        <v>770327.4</v>
      </c>
      <c r="U208" s="727">
        <f t="shared" ca="1" si="65"/>
        <v>41622.798999999999</v>
      </c>
      <c r="V208" s="727">
        <f t="shared" ca="1" si="65"/>
        <v>1104612</v>
      </c>
      <c r="W208" s="727">
        <f t="shared" ca="1" si="65"/>
        <v>4475</v>
      </c>
      <c r="X208" s="727">
        <f t="shared" ca="1" si="66"/>
        <v>35335.754999999997</v>
      </c>
      <c r="Y208" s="727">
        <f t="shared" ca="1" si="66"/>
        <v>131463.72</v>
      </c>
      <c r="Z208" s="727">
        <f t="shared" ca="1" si="66"/>
        <v>7355.5</v>
      </c>
      <c r="AA208" s="727">
        <f t="shared" ca="1" si="66"/>
        <v>401616.11</v>
      </c>
      <c r="AB208" s="727">
        <f t="shared" ca="1" si="66"/>
        <v>3170144</v>
      </c>
      <c r="AC208" s="727">
        <f t="shared" ca="1" si="66"/>
        <v>18883.603999999999</v>
      </c>
      <c r="AD208" s="727">
        <f t="shared" ca="1" si="66"/>
        <v>336560.4</v>
      </c>
      <c r="AE208" s="727">
        <f t="shared" ca="1" si="66"/>
        <v>551674</v>
      </c>
      <c r="AF208" s="727">
        <f t="shared" ca="1" si="66"/>
        <v>23968</v>
      </c>
      <c r="AG208" s="728">
        <f t="shared" ca="1" si="9"/>
        <v>8283988.5180000011</v>
      </c>
      <c r="AH208" s="850">
        <f t="shared" ca="1" si="59"/>
        <v>7203859.5350000001</v>
      </c>
      <c r="AI208" s="851">
        <f t="shared" ca="1" si="60"/>
        <v>1080128.983</v>
      </c>
    </row>
    <row r="209" spans="1:35">
      <c r="A209" s="210"/>
      <c r="B209" s="712" t="s">
        <v>387</v>
      </c>
      <c r="C209" s="718">
        <v>2010</v>
      </c>
      <c r="D209" s="727">
        <f t="shared" ca="1" si="64"/>
        <v>154609</v>
      </c>
      <c r="E209" s="727">
        <f t="shared" ca="1" si="64"/>
        <v>387909</v>
      </c>
      <c r="F209" s="727">
        <f t="shared" ca="1" si="64"/>
        <v>2809</v>
      </c>
      <c r="G209" s="727">
        <f t="shared" ca="1" si="64"/>
        <v>4395</v>
      </c>
      <c r="H209" s="727">
        <f t="shared" ca="1" si="64"/>
        <v>110827.69</v>
      </c>
      <c r="I209" s="727">
        <f t="shared" ca="1" si="64"/>
        <v>42957</v>
      </c>
      <c r="J209" s="727">
        <f t="shared" ca="1" si="64"/>
        <v>88401</v>
      </c>
      <c r="K209" s="727">
        <f t="shared" ca="1" si="64"/>
        <v>248217.14</v>
      </c>
      <c r="L209" s="727">
        <f t="shared" ca="1" si="64"/>
        <v>58063.12</v>
      </c>
      <c r="M209" s="727">
        <f t="shared" ca="1" si="64"/>
        <v>75159.649000000005</v>
      </c>
      <c r="N209" s="727">
        <f t="shared" ca="1" si="65"/>
        <v>92194</v>
      </c>
      <c r="O209" s="727">
        <f t="shared" ca="1" si="65"/>
        <v>123771</v>
      </c>
      <c r="P209" s="727">
        <f t="shared" ca="1" si="65"/>
        <v>38114.828000000001</v>
      </c>
      <c r="Q209" s="727">
        <f t="shared" ca="1" si="65"/>
        <v>128237</v>
      </c>
      <c r="R209" s="727">
        <f t="shared" ca="1" si="65"/>
        <v>33095</v>
      </c>
      <c r="S209" s="727">
        <f t="shared" ca="1" si="65"/>
        <v>125409</v>
      </c>
      <c r="T209" s="727">
        <f t="shared" ca="1" si="65"/>
        <v>754620</v>
      </c>
      <c r="U209" s="727">
        <f t="shared" ca="1" si="65"/>
        <v>35541.696000000004</v>
      </c>
      <c r="V209" s="727">
        <f t="shared" ca="1" si="65"/>
        <v>1082054.6000000001</v>
      </c>
      <c r="W209" s="727">
        <f t="shared" ca="1" si="65"/>
        <v>4905</v>
      </c>
      <c r="X209" s="727">
        <f t="shared" ca="1" si="66"/>
        <v>37411</v>
      </c>
      <c r="Y209" s="727">
        <f t="shared" ca="1" si="66"/>
        <v>115004.34</v>
      </c>
      <c r="Z209" s="727">
        <f t="shared" ca="1" si="66"/>
        <v>7748</v>
      </c>
      <c r="AA209" s="727">
        <f t="shared" ca="1" si="66"/>
        <v>360925.44</v>
      </c>
      <c r="AB209" s="727">
        <f t="shared" ca="1" si="66"/>
        <v>3172894.3</v>
      </c>
      <c r="AC209" s="727">
        <f t="shared" ca="1" si="66"/>
        <v>24450.012999999999</v>
      </c>
      <c r="AD209" s="727">
        <f t="shared" ca="1" si="66"/>
        <v>322806.59000000003</v>
      </c>
      <c r="AE209" s="727">
        <f t="shared" ca="1" si="66"/>
        <v>847197.32</v>
      </c>
      <c r="AF209" s="727">
        <f t="shared" ca="1" si="66"/>
        <v>24994</v>
      </c>
      <c r="AG209" s="728">
        <f t="shared" ca="1" si="9"/>
        <v>8504720.7259999998</v>
      </c>
      <c r="AH209" s="850">
        <f t="shared" ca="1" si="59"/>
        <v>7436054.0930000003</v>
      </c>
      <c r="AI209" s="851">
        <f t="shared" ca="1" si="60"/>
        <v>1068666.6329999999</v>
      </c>
    </row>
    <row r="210" spans="1:35">
      <c r="A210" s="210"/>
      <c r="B210" s="712" t="s">
        <v>387</v>
      </c>
      <c r="C210" s="718">
        <v>2011</v>
      </c>
      <c r="D210" s="727">
        <f t="shared" ca="1" si="64"/>
        <v>135829</v>
      </c>
      <c r="E210" s="727">
        <f t="shared" ca="1" si="64"/>
        <v>388360.95</v>
      </c>
      <c r="F210" s="727">
        <f t="shared" ca="1" si="64"/>
        <v>3247.2804000000001</v>
      </c>
      <c r="G210" s="727">
        <f t="shared" ca="1" si="64"/>
        <v>0</v>
      </c>
      <c r="H210" s="727">
        <f t="shared" ca="1" si="64"/>
        <v>119926.72</v>
      </c>
      <c r="I210" s="727">
        <f t="shared" ca="1" si="64"/>
        <v>44241</v>
      </c>
      <c r="J210" s="727">
        <f t="shared" ca="1" si="64"/>
        <v>93949.187000000005</v>
      </c>
      <c r="K210" s="727">
        <f t="shared" ca="1" si="64"/>
        <v>260184.31</v>
      </c>
      <c r="L210" s="727">
        <f t="shared" ca="1" si="64"/>
        <v>57286.646000000001</v>
      </c>
      <c r="M210" s="727">
        <f t="shared" ca="1" si="64"/>
        <v>63967.974999999999</v>
      </c>
      <c r="N210" s="727">
        <f t="shared" ca="1" si="65"/>
        <v>109614</v>
      </c>
      <c r="O210" s="727">
        <f t="shared" ca="1" si="65"/>
        <v>130109</v>
      </c>
      <c r="P210" s="727">
        <f t="shared" ca="1" si="65"/>
        <v>34584</v>
      </c>
      <c r="Q210" s="727">
        <f t="shared" ca="1" si="65"/>
        <v>132804.24</v>
      </c>
      <c r="R210" s="727">
        <f t="shared" ca="1" si="65"/>
        <v>29965.454000000002</v>
      </c>
      <c r="S210" s="727">
        <f t="shared" ca="1" si="65"/>
        <v>134330</v>
      </c>
      <c r="T210" s="727">
        <f t="shared" ca="1" si="65"/>
        <v>754620</v>
      </c>
      <c r="U210" s="727">
        <f t="shared" ca="1" si="65"/>
        <v>33761.097999999998</v>
      </c>
      <c r="V210" s="727">
        <f t="shared" ca="1" si="65"/>
        <v>1083865.6000000001</v>
      </c>
      <c r="W210" s="727">
        <f t="shared" ca="1" si="65"/>
        <v>4960</v>
      </c>
      <c r="X210" s="727">
        <f t="shared" ca="1" si="66"/>
        <v>39200</v>
      </c>
      <c r="Y210" s="727">
        <f t="shared" ca="1" si="66"/>
        <v>116237.43</v>
      </c>
      <c r="Z210" s="727">
        <f t="shared" ca="1" si="66"/>
        <v>7006.22</v>
      </c>
      <c r="AA210" s="727">
        <f t="shared" ca="1" si="66"/>
        <v>319045.88</v>
      </c>
      <c r="AB210" s="727">
        <f t="shared" ca="1" si="66"/>
        <v>3193770</v>
      </c>
      <c r="AC210" s="727">
        <f t="shared" ca="1" si="66"/>
        <v>15872.732</v>
      </c>
      <c r="AD210" s="727">
        <f t="shared" ca="1" si="66"/>
        <v>351937.41</v>
      </c>
      <c r="AE210" s="727">
        <f t="shared" ca="1" si="66"/>
        <v>835335.47</v>
      </c>
      <c r="AF210" s="727">
        <f t="shared" ca="1" si="66"/>
        <v>25195</v>
      </c>
      <c r="AG210" s="728">
        <f t="shared" ca="1" si="9"/>
        <v>8519206.6023999993</v>
      </c>
      <c r="AH210" s="850">
        <f t="shared" ca="1" si="59"/>
        <v>7383862.3889999995</v>
      </c>
      <c r="AI210" s="851">
        <f t="shared" ca="1" si="60"/>
        <v>1135344.2134</v>
      </c>
    </row>
    <row r="211" spans="1:35">
      <c r="A211" s="210"/>
      <c r="B211" s="712" t="s">
        <v>388</v>
      </c>
      <c r="C211" s="718">
        <v>2008</v>
      </c>
      <c r="D211" s="727">
        <f t="shared" ref="D211:M214" ca="1" si="67">INDIRECT(TEXT(D$142,1)&amp;"!"&amp;INDEX($B$286:$E$286,,MATCH($C211,$B$274:$E$274,0)))</f>
        <v>166862</v>
      </c>
      <c r="E211" s="727">
        <f t="shared" ca="1" si="67"/>
        <v>70101</v>
      </c>
      <c r="F211" s="727">
        <f t="shared" ca="1" si="67"/>
        <v>7486</v>
      </c>
      <c r="G211" s="727">
        <f t="shared" ca="1" si="67"/>
        <v>32140.876</v>
      </c>
      <c r="H211" s="727">
        <f t="shared" ca="1" si="67"/>
        <v>52811</v>
      </c>
      <c r="I211" s="727">
        <f t="shared" ca="1" si="67"/>
        <v>47388</v>
      </c>
      <c r="J211" s="727">
        <f t="shared" ca="1" si="67"/>
        <v>14587</v>
      </c>
      <c r="K211" s="727">
        <f t="shared" ca="1" si="67"/>
        <v>78022.323999999993</v>
      </c>
      <c r="L211" s="727">
        <f t="shared" ca="1" si="67"/>
        <v>15779.304</v>
      </c>
      <c r="M211" s="727">
        <f t="shared" ca="1" si="67"/>
        <v>294949.78000000003</v>
      </c>
      <c r="N211" s="727">
        <f t="shared" ref="N211:W214" ca="1" si="68">INDIRECT(TEXT(N$142,1)&amp;"!"&amp;INDEX($B$286:$E$286,,MATCH($C211,$B$274:$E$274,0)))</f>
        <v>82527</v>
      </c>
      <c r="O211" s="727">
        <f t="shared" ca="1" si="68"/>
        <v>25037</v>
      </c>
      <c r="P211" s="727">
        <f t="shared" ca="1" si="68"/>
        <v>26999</v>
      </c>
      <c r="Q211" s="727">
        <f t="shared" ca="1" si="68"/>
        <v>168207.9</v>
      </c>
      <c r="R211" s="727">
        <f t="shared" ca="1" si="68"/>
        <v>58828</v>
      </c>
      <c r="S211" s="727">
        <f t="shared" ca="1" si="68"/>
        <v>453611</v>
      </c>
      <c r="T211" s="727">
        <f t="shared" ca="1" si="68"/>
        <v>96550.8</v>
      </c>
      <c r="U211" s="727">
        <f t="shared" ca="1" si="68"/>
        <v>201717.04</v>
      </c>
      <c r="V211" s="727">
        <f t="shared" ca="1" si="68"/>
        <v>462078.6</v>
      </c>
      <c r="W211" s="727">
        <f t="shared" ca="1" si="68"/>
        <v>26485</v>
      </c>
      <c r="X211" s="727">
        <f t="shared" ref="X211:AF214" ca="1" si="69">INDIRECT(TEXT(X$142,1)&amp;"!"&amp;INDEX($B$286:$E$286,,MATCH($C211,$B$274:$E$274,0)))</f>
        <v>53300</v>
      </c>
      <c r="Y211" s="727">
        <f t="shared" ca="1" si="69"/>
        <v>139674.85</v>
      </c>
      <c r="Z211" s="727">
        <f t="shared" ca="1" si="69"/>
        <v>53788</v>
      </c>
      <c r="AA211" s="727">
        <f t="shared" ca="1" si="69"/>
        <v>93000.197</v>
      </c>
      <c r="AB211" s="727">
        <f t="shared" ca="1" si="69"/>
        <v>583242.80000000005</v>
      </c>
      <c r="AC211" s="727">
        <f t="shared" ca="1" si="69"/>
        <v>68585.259999999995</v>
      </c>
      <c r="AD211" s="727">
        <f t="shared" ca="1" si="69"/>
        <v>81894.114000000001</v>
      </c>
      <c r="AE211" s="727">
        <f t="shared" ca="1" si="69"/>
        <v>0</v>
      </c>
      <c r="AF211" s="727">
        <f t="shared" ca="1" si="69"/>
        <v>86823</v>
      </c>
      <c r="AG211" s="728">
        <f t="shared" ca="1" si="9"/>
        <v>3542476.8449999997</v>
      </c>
      <c r="AH211" s="850">
        <f t="shared" ca="1" si="59"/>
        <v>2444127.6209999998</v>
      </c>
      <c r="AI211" s="851">
        <f t="shared" ca="1" si="60"/>
        <v>1098349.2239999999</v>
      </c>
    </row>
    <row r="212" spans="1:35">
      <c r="A212" s="210"/>
      <c r="B212" s="712" t="s">
        <v>388</v>
      </c>
      <c r="C212" s="718">
        <v>2009</v>
      </c>
      <c r="D212" s="727">
        <f t="shared" ca="1" si="67"/>
        <v>174512</v>
      </c>
      <c r="E212" s="727">
        <f t="shared" ca="1" si="67"/>
        <v>68572</v>
      </c>
      <c r="F212" s="727">
        <f t="shared" ca="1" si="67"/>
        <v>7813.1970000000001</v>
      </c>
      <c r="G212" s="727">
        <f t="shared" ca="1" si="67"/>
        <v>34171.894</v>
      </c>
      <c r="H212" s="727">
        <f t="shared" ca="1" si="67"/>
        <v>50493.358</v>
      </c>
      <c r="I212" s="727">
        <f t="shared" ca="1" si="67"/>
        <v>46228.415999999997</v>
      </c>
      <c r="J212" s="727">
        <f t="shared" ca="1" si="67"/>
        <v>12840</v>
      </c>
      <c r="K212" s="727">
        <f t="shared" ca="1" si="67"/>
        <v>81326.607000000004</v>
      </c>
      <c r="L212" s="727">
        <f t="shared" ca="1" si="67"/>
        <v>15961.419</v>
      </c>
      <c r="M212" s="727">
        <f t="shared" ca="1" si="67"/>
        <v>263120.83</v>
      </c>
      <c r="N212" s="727">
        <f t="shared" ca="1" si="68"/>
        <v>78713</v>
      </c>
      <c r="O212" s="727">
        <f t="shared" ca="1" si="68"/>
        <v>24564.428</v>
      </c>
      <c r="P212" s="727">
        <f t="shared" ca="1" si="68"/>
        <v>25072.727999999999</v>
      </c>
      <c r="Q212" s="727">
        <f t="shared" ca="1" si="68"/>
        <v>152208.49</v>
      </c>
      <c r="R212" s="727">
        <f t="shared" ca="1" si="68"/>
        <v>57551.341999999997</v>
      </c>
      <c r="S212" s="727">
        <f t="shared" ca="1" si="68"/>
        <v>445191</v>
      </c>
      <c r="T212" s="727">
        <f t="shared" ca="1" si="68"/>
        <v>95170.9</v>
      </c>
      <c r="U212" s="727">
        <f t="shared" ca="1" si="68"/>
        <v>204335.99</v>
      </c>
      <c r="V212" s="727">
        <f t="shared" ca="1" si="68"/>
        <v>512571</v>
      </c>
      <c r="W212" s="727">
        <f t="shared" ca="1" si="68"/>
        <v>17194</v>
      </c>
      <c r="X212" s="727">
        <f t="shared" ca="1" si="69"/>
        <v>40471.436000000002</v>
      </c>
      <c r="Y212" s="727">
        <f t="shared" ca="1" si="69"/>
        <v>142795.47</v>
      </c>
      <c r="Z212" s="727">
        <f t="shared" ca="1" si="69"/>
        <v>58737.75</v>
      </c>
      <c r="AA212" s="727">
        <f t="shared" ca="1" si="69"/>
        <v>92594.846999999994</v>
      </c>
      <c r="AB212" s="727">
        <f t="shared" ca="1" si="69"/>
        <v>485277</v>
      </c>
      <c r="AC212" s="727">
        <f t="shared" ca="1" si="69"/>
        <v>66450.293000000005</v>
      </c>
      <c r="AD212" s="727">
        <f t="shared" ca="1" si="69"/>
        <v>78451.085000000006</v>
      </c>
      <c r="AE212" s="727">
        <f t="shared" ca="1" si="69"/>
        <v>53090</v>
      </c>
      <c r="AF212" s="727">
        <f t="shared" ca="1" si="69"/>
        <v>107764</v>
      </c>
      <c r="AG212" s="728">
        <f t="shared" ca="1" si="9"/>
        <v>3493244.4800000004</v>
      </c>
      <c r="AH212" s="850">
        <f t="shared" ca="1" si="59"/>
        <v>2403423.307</v>
      </c>
      <c r="AI212" s="851">
        <f t="shared" ca="1" si="60"/>
        <v>1089821.173</v>
      </c>
    </row>
    <row r="213" spans="1:35">
      <c r="A213" s="210"/>
      <c r="B213" s="712" t="s">
        <v>388</v>
      </c>
      <c r="C213" s="718">
        <v>2010</v>
      </c>
      <c r="D213" s="727">
        <f t="shared" ca="1" si="67"/>
        <v>170935</v>
      </c>
      <c r="E213" s="727">
        <f t="shared" ca="1" si="67"/>
        <v>59736</v>
      </c>
      <c r="F213" s="727">
        <f t="shared" ca="1" si="67"/>
        <v>9477</v>
      </c>
      <c r="G213" s="727">
        <f t="shared" ca="1" si="67"/>
        <v>34528</v>
      </c>
      <c r="H213" s="727">
        <f t="shared" ca="1" si="67"/>
        <v>46131.385999999999</v>
      </c>
      <c r="I213" s="727">
        <f t="shared" ca="1" si="67"/>
        <v>41212</v>
      </c>
      <c r="J213" s="727">
        <f t="shared" ca="1" si="67"/>
        <v>15982</v>
      </c>
      <c r="K213" s="727">
        <f t="shared" ca="1" si="67"/>
        <v>80934.581999999995</v>
      </c>
      <c r="L213" s="727">
        <f t="shared" ca="1" si="67"/>
        <v>15908.532999999999</v>
      </c>
      <c r="M213" s="727">
        <f t="shared" ca="1" si="67"/>
        <v>273577.28000000003</v>
      </c>
      <c r="N213" s="727">
        <f t="shared" ca="1" si="68"/>
        <v>79526</v>
      </c>
      <c r="O213" s="727">
        <f t="shared" ca="1" si="68"/>
        <v>26150</v>
      </c>
      <c r="P213" s="727">
        <f t="shared" ca="1" si="68"/>
        <v>22568.313999999998</v>
      </c>
      <c r="Q213" s="727">
        <f t="shared" ca="1" si="68"/>
        <v>142477</v>
      </c>
      <c r="R213" s="727">
        <f t="shared" ca="1" si="68"/>
        <v>57861</v>
      </c>
      <c r="S213" s="727">
        <f t="shared" ca="1" si="68"/>
        <v>418178</v>
      </c>
      <c r="T213" s="727">
        <f t="shared" ca="1" si="68"/>
        <v>96171</v>
      </c>
      <c r="U213" s="727">
        <f t="shared" ca="1" si="68"/>
        <v>218950.89</v>
      </c>
      <c r="V213" s="727">
        <f t="shared" ca="1" si="68"/>
        <v>466733.16</v>
      </c>
      <c r="W213" s="727">
        <f t="shared" ca="1" si="68"/>
        <v>17384</v>
      </c>
      <c r="X213" s="727">
        <f t="shared" ca="1" si="69"/>
        <v>42848</v>
      </c>
      <c r="Y213" s="727">
        <f t="shared" ca="1" si="69"/>
        <v>150199.01999999999</v>
      </c>
      <c r="Z213" s="727">
        <f t="shared" ca="1" si="69"/>
        <v>54304</v>
      </c>
      <c r="AA213" s="727">
        <f t="shared" ca="1" si="69"/>
        <v>83360.010999999999</v>
      </c>
      <c r="AB213" s="727">
        <f t="shared" ca="1" si="69"/>
        <v>450275.77</v>
      </c>
      <c r="AC213" s="727">
        <f t="shared" ca="1" si="69"/>
        <v>72777.922999999995</v>
      </c>
      <c r="AD213" s="727">
        <f t="shared" ca="1" si="69"/>
        <v>74256.498999999996</v>
      </c>
      <c r="AE213" s="727">
        <f t="shared" ca="1" si="69"/>
        <v>46256.267999999996</v>
      </c>
      <c r="AF213" s="727">
        <f t="shared" ca="1" si="69"/>
        <v>124920</v>
      </c>
      <c r="AG213" s="728">
        <f t="shared" ca="1" si="9"/>
        <v>3393618.6359999999</v>
      </c>
      <c r="AH213" s="850">
        <f t="shared" ca="1" si="59"/>
        <v>2300775.8080000002</v>
      </c>
      <c r="AI213" s="851">
        <f t="shared" ca="1" si="60"/>
        <v>1092842.8279999997</v>
      </c>
    </row>
    <row r="214" spans="1:35">
      <c r="A214" s="210"/>
      <c r="B214" s="712" t="s">
        <v>388</v>
      </c>
      <c r="C214" s="718">
        <v>2011</v>
      </c>
      <c r="D214" s="727">
        <f t="shared" ca="1" si="67"/>
        <v>171794</v>
      </c>
      <c r="E214" s="727">
        <f t="shared" ca="1" si="67"/>
        <v>54492.851999999999</v>
      </c>
      <c r="F214" s="727">
        <f t="shared" ca="1" si="67"/>
        <v>18316.886999999999</v>
      </c>
      <c r="G214" s="727">
        <f t="shared" ca="1" si="67"/>
        <v>32982</v>
      </c>
      <c r="H214" s="727">
        <f t="shared" ca="1" si="67"/>
        <v>49572.714</v>
      </c>
      <c r="I214" s="727">
        <f t="shared" ca="1" si="67"/>
        <v>44263</v>
      </c>
      <c r="J214" s="727">
        <f t="shared" ca="1" si="67"/>
        <v>15770.486999999999</v>
      </c>
      <c r="K214" s="727">
        <f t="shared" ca="1" si="67"/>
        <v>77466.36</v>
      </c>
      <c r="L214" s="727">
        <f t="shared" ca="1" si="67"/>
        <v>16194.377</v>
      </c>
      <c r="M214" s="727">
        <f t="shared" ca="1" si="67"/>
        <v>287558.73</v>
      </c>
      <c r="N214" s="727">
        <f t="shared" ca="1" si="68"/>
        <v>81034</v>
      </c>
      <c r="O214" s="727">
        <f t="shared" ca="1" si="68"/>
        <v>21685</v>
      </c>
      <c r="P214" s="727">
        <f t="shared" ca="1" si="68"/>
        <v>27440</v>
      </c>
      <c r="Q214" s="727">
        <f t="shared" ca="1" si="68"/>
        <v>145789.31</v>
      </c>
      <c r="R214" s="727">
        <f t="shared" ca="1" si="68"/>
        <v>49859.762000000002</v>
      </c>
      <c r="S214" s="727">
        <f t="shared" ca="1" si="68"/>
        <v>429278</v>
      </c>
      <c r="T214" s="727">
        <f t="shared" ca="1" si="68"/>
        <v>96171</v>
      </c>
      <c r="U214" s="727">
        <f t="shared" ca="1" si="68"/>
        <v>221247.81</v>
      </c>
      <c r="V214" s="727">
        <f t="shared" ca="1" si="68"/>
        <v>525742.75</v>
      </c>
      <c r="W214" s="727">
        <f t="shared" ca="1" si="68"/>
        <v>16399</v>
      </c>
      <c r="X214" s="727">
        <f t="shared" ca="1" si="69"/>
        <v>41000</v>
      </c>
      <c r="Y214" s="727">
        <f t="shared" ca="1" si="69"/>
        <v>154072.34</v>
      </c>
      <c r="Z214" s="727">
        <f t="shared" ca="1" si="69"/>
        <v>64189.457999999999</v>
      </c>
      <c r="AA214" s="727">
        <f t="shared" ca="1" si="69"/>
        <v>86862.739000000001</v>
      </c>
      <c r="AB214" s="727">
        <f t="shared" ca="1" si="69"/>
        <v>506511</v>
      </c>
      <c r="AC214" s="727">
        <f t="shared" ca="1" si="69"/>
        <v>68139.789000000004</v>
      </c>
      <c r="AD214" s="727">
        <f t="shared" ca="1" si="69"/>
        <v>79225.827999999994</v>
      </c>
      <c r="AE214" s="727">
        <f t="shared" ca="1" si="69"/>
        <v>74278.695000000007</v>
      </c>
      <c r="AF214" s="727">
        <f t="shared" ca="1" si="69"/>
        <v>124520</v>
      </c>
      <c r="AG214" s="728">
        <f t="shared" ca="1" si="9"/>
        <v>3581857.8879999998</v>
      </c>
      <c r="AH214" s="850">
        <f t="shared" ca="1" si="59"/>
        <v>2473984.0809999998</v>
      </c>
      <c r="AI214" s="851">
        <f t="shared" ca="1" si="60"/>
        <v>1107873.807</v>
      </c>
    </row>
    <row r="215" spans="1:35">
      <c r="A215" s="210"/>
      <c r="B215" s="712" t="s">
        <v>538</v>
      </c>
      <c r="C215" s="718">
        <v>2008</v>
      </c>
      <c r="D215" s="727">
        <f ca="1">D199+D203+D207+D211</f>
        <v>665524</v>
      </c>
      <c r="E215" s="727">
        <f t="shared" ref="E215:AG215" ca="1" si="70">E199+E203+E207+E211</f>
        <v>1274407</v>
      </c>
      <c r="F215" s="727">
        <f t="shared" ca="1" si="70"/>
        <v>43538</v>
      </c>
      <c r="G215" s="727">
        <f t="shared" ca="1" si="70"/>
        <v>105466.701</v>
      </c>
      <c r="H215" s="727">
        <f t="shared" ca="1" si="70"/>
        <v>464869</v>
      </c>
      <c r="I215" s="727">
        <f t="shared" ca="1" si="70"/>
        <v>283718</v>
      </c>
      <c r="J215" s="727">
        <f t="shared" ca="1" si="70"/>
        <v>402367</v>
      </c>
      <c r="K215" s="727">
        <f t="shared" ca="1" si="70"/>
        <v>477739.68799999997</v>
      </c>
      <c r="L215" s="727">
        <f t="shared" ca="1" si="70"/>
        <v>267475.62699999998</v>
      </c>
      <c r="M215" s="727">
        <f t="shared" ca="1" si="70"/>
        <v>540535.00100000005</v>
      </c>
      <c r="N215" s="727">
        <f t="shared" ca="1" si="70"/>
        <v>492000</v>
      </c>
      <c r="O215" s="727">
        <f t="shared" ca="1" si="70"/>
        <v>348152.04000000004</v>
      </c>
      <c r="P215" s="727">
        <f t="shared" ca="1" si="70"/>
        <v>150105.90599999999</v>
      </c>
      <c r="Q215" s="727">
        <f t="shared" ca="1" si="70"/>
        <v>594248.31799999997</v>
      </c>
      <c r="R215" s="727">
        <f t="shared" ca="1" si="70"/>
        <v>230000</v>
      </c>
      <c r="S215" s="727">
        <f t="shared" ca="1" si="70"/>
        <v>970085</v>
      </c>
      <c r="T215" s="727">
        <f t="shared" ca="1" si="70"/>
        <v>3155832.8</v>
      </c>
      <c r="U215" s="727">
        <f t="shared" ca="1" si="70"/>
        <v>359755.23300000001</v>
      </c>
      <c r="V215" s="727">
        <f t="shared" ca="1" si="70"/>
        <v>4397266.34</v>
      </c>
      <c r="W215" s="727">
        <f t="shared" ca="1" si="70"/>
        <v>89830</v>
      </c>
      <c r="X215" s="727">
        <f t="shared" ca="1" si="70"/>
        <v>301187</v>
      </c>
      <c r="Y215" s="727">
        <f t="shared" ca="1" si="70"/>
        <v>629465.59999999998</v>
      </c>
      <c r="Z215" s="727">
        <f t="shared" ca="1" si="70"/>
        <v>323327</v>
      </c>
      <c r="AA215" s="727">
        <f t="shared" ca="1" si="70"/>
        <v>1569032.477</v>
      </c>
      <c r="AB215" s="727">
        <f t="shared" ca="1" si="70"/>
        <v>10650116.9</v>
      </c>
      <c r="AC215" s="727">
        <f t="shared" ca="1" si="70"/>
        <v>318801.36099999998</v>
      </c>
      <c r="AD215" s="727">
        <f t="shared" ca="1" si="70"/>
        <v>1160245.2010000001</v>
      </c>
      <c r="AE215" s="727">
        <f t="shared" ca="1" si="70"/>
        <v>0</v>
      </c>
      <c r="AF215" s="727">
        <f t="shared" ca="1" si="70"/>
        <v>245123</v>
      </c>
      <c r="AG215" s="728">
        <f t="shared" ca="1" si="70"/>
        <v>30510214.193</v>
      </c>
      <c r="AH215" s="850">
        <f t="shared" ca="1" si="59"/>
        <v>25115737.991</v>
      </c>
      <c r="AI215" s="851">
        <f t="shared" ca="1" si="60"/>
        <v>5394476.2020000005</v>
      </c>
    </row>
    <row r="216" spans="1:35">
      <c r="A216" s="210"/>
      <c r="B216" s="712" t="s">
        <v>538</v>
      </c>
      <c r="C216" s="718">
        <v>2009</v>
      </c>
      <c r="D216" s="727">
        <f t="shared" ref="D216:AG216" ca="1" si="71">D200+D204+D208+D212</f>
        <v>708943</v>
      </c>
      <c r="E216" s="727">
        <f t="shared" ca="1" si="71"/>
        <v>1266224</v>
      </c>
      <c r="F216" s="727">
        <f t="shared" ca="1" si="71"/>
        <v>45166.326000000001</v>
      </c>
      <c r="G216" s="727">
        <f t="shared" ca="1" si="71"/>
        <v>109371.458</v>
      </c>
      <c r="H216" s="727">
        <f t="shared" ca="1" si="71"/>
        <v>472771.41399999999</v>
      </c>
      <c r="I216" s="727">
        <f t="shared" ca="1" si="71"/>
        <v>280737.53599999996</v>
      </c>
      <c r="J216" s="727">
        <f t="shared" ca="1" si="71"/>
        <v>401420</v>
      </c>
      <c r="K216" s="727">
        <f t="shared" ca="1" si="71"/>
        <v>524915.99800000002</v>
      </c>
      <c r="L216" s="727">
        <f t="shared" ca="1" si="71"/>
        <v>269598.91200000001</v>
      </c>
      <c r="M216" s="727">
        <f t="shared" ca="1" si="71"/>
        <v>512087.53899999999</v>
      </c>
      <c r="N216" s="727">
        <f t="shared" ca="1" si="71"/>
        <v>509150</v>
      </c>
      <c r="O216" s="727">
        <f t="shared" ca="1" si="71"/>
        <v>353075.44100000005</v>
      </c>
      <c r="P216" s="727">
        <f t="shared" ca="1" si="71"/>
        <v>148416.15</v>
      </c>
      <c r="Q216" s="727">
        <f t="shared" ca="1" si="71"/>
        <v>575233.402</v>
      </c>
      <c r="R216" s="727">
        <f t="shared" ca="1" si="71"/>
        <v>233730.00099999999</v>
      </c>
      <c r="S216" s="727">
        <f t="shared" ca="1" si="71"/>
        <v>965352</v>
      </c>
      <c r="T216" s="727">
        <f t="shared" ca="1" si="71"/>
        <v>3262960.3</v>
      </c>
      <c r="U216" s="727">
        <f t="shared" ca="1" si="71"/>
        <v>384110.38899999997</v>
      </c>
      <c r="V216" s="727">
        <f t="shared" ca="1" si="71"/>
        <v>4376463</v>
      </c>
      <c r="W216" s="727">
        <f t="shared" ca="1" si="71"/>
        <v>80508</v>
      </c>
      <c r="X216" s="727">
        <f t="shared" ca="1" si="71"/>
        <v>293749.66499999998</v>
      </c>
      <c r="Y216" s="727">
        <f t="shared" ca="1" si="71"/>
        <v>649866.23999999999</v>
      </c>
      <c r="Z216" s="727">
        <f t="shared" ca="1" si="71"/>
        <v>324546</v>
      </c>
      <c r="AA216" s="727">
        <f t="shared" ca="1" si="71"/>
        <v>1562513.747</v>
      </c>
      <c r="AB216" s="727">
        <f t="shared" ca="1" si="71"/>
        <v>8244258</v>
      </c>
      <c r="AC216" s="727">
        <f t="shared" ca="1" si="71"/>
        <v>318476.30499999999</v>
      </c>
      <c r="AD216" s="727">
        <f t="shared" ca="1" si="71"/>
        <v>1152541.81</v>
      </c>
      <c r="AE216" s="727">
        <f t="shared" ca="1" si="71"/>
        <v>1603075</v>
      </c>
      <c r="AF216" s="727">
        <f t="shared" ca="1" si="71"/>
        <v>271915</v>
      </c>
      <c r="AG216" s="728">
        <f t="shared" ca="1" si="71"/>
        <v>29901176.632999998</v>
      </c>
      <c r="AH216" s="850">
        <f t="shared" ca="1" si="59"/>
        <v>24447204.096000001</v>
      </c>
      <c r="AI216" s="851">
        <f t="shared" ca="1" si="60"/>
        <v>5453972.5370000005</v>
      </c>
    </row>
    <row r="217" spans="1:35">
      <c r="A217" s="210"/>
      <c r="B217" s="712" t="s">
        <v>538</v>
      </c>
      <c r="C217" s="718">
        <v>2010</v>
      </c>
      <c r="D217" s="727">
        <f t="shared" ref="D217:AG217" ca="1" si="72">D201+D205+D209+D213</f>
        <v>727489</v>
      </c>
      <c r="E217" s="727">
        <f t="shared" ca="1" si="72"/>
        <v>1279914.72</v>
      </c>
      <c r="F217" s="727">
        <f t="shared" ca="1" si="72"/>
        <v>48000</v>
      </c>
      <c r="G217" s="727">
        <f t="shared" ca="1" si="72"/>
        <v>107829</v>
      </c>
      <c r="H217" s="727">
        <f t="shared" ca="1" si="72"/>
        <v>476070.68800000002</v>
      </c>
      <c r="I217" s="727">
        <f t="shared" ca="1" si="72"/>
        <v>279826</v>
      </c>
      <c r="J217" s="727">
        <f t="shared" ca="1" si="72"/>
        <v>416079</v>
      </c>
      <c r="K217" s="727">
        <f t="shared" ca="1" si="72"/>
        <v>528845.7080000001</v>
      </c>
      <c r="L217" s="727">
        <f t="shared" ca="1" si="72"/>
        <v>274575.58600000001</v>
      </c>
      <c r="M217" s="727">
        <f t="shared" ca="1" si="72"/>
        <v>541167.34400000004</v>
      </c>
      <c r="N217" s="727">
        <f t="shared" ca="1" si="72"/>
        <v>516000</v>
      </c>
      <c r="O217" s="727">
        <f t="shared" ca="1" si="72"/>
        <v>368476</v>
      </c>
      <c r="P217" s="727">
        <f t="shared" ca="1" si="72"/>
        <v>147498.40100000001</v>
      </c>
      <c r="Q217" s="727">
        <f t="shared" ca="1" si="72"/>
        <v>578735</v>
      </c>
      <c r="R217" s="727">
        <f t="shared" ca="1" si="72"/>
        <v>241000</v>
      </c>
      <c r="S217" s="727">
        <f t="shared" ca="1" si="72"/>
        <v>950393</v>
      </c>
      <c r="T217" s="727">
        <f t="shared" ca="1" si="72"/>
        <v>3278330</v>
      </c>
      <c r="U217" s="727">
        <f t="shared" ca="1" si="72"/>
        <v>384547.02500000002</v>
      </c>
      <c r="V217" s="727">
        <f t="shared" ca="1" si="72"/>
        <v>4294633.09</v>
      </c>
      <c r="W217" s="727">
        <f t="shared" ca="1" si="72"/>
        <v>83065</v>
      </c>
      <c r="X217" s="727">
        <f t="shared" ca="1" si="72"/>
        <v>311000</v>
      </c>
      <c r="Y217" s="727">
        <f t="shared" ca="1" si="72"/>
        <v>668725.79</v>
      </c>
      <c r="Z217" s="727">
        <f t="shared" ca="1" si="72"/>
        <v>327818</v>
      </c>
      <c r="AA217" s="727">
        <f t="shared" ca="1" si="72"/>
        <v>1598805.6409999998</v>
      </c>
      <c r="AB217" s="727">
        <f t="shared" ca="1" si="72"/>
        <v>8310923.0999999996</v>
      </c>
      <c r="AC217" s="727">
        <f t="shared" ca="1" si="72"/>
        <v>338180.109</v>
      </c>
      <c r="AD217" s="727">
        <f t="shared" ca="1" si="72"/>
        <v>1164718.8660000002</v>
      </c>
      <c r="AE217" s="727">
        <f t="shared" ca="1" si="72"/>
        <v>2504820.4580000001</v>
      </c>
      <c r="AF217" s="727">
        <f t="shared" ca="1" si="72"/>
        <v>294373</v>
      </c>
      <c r="AG217" s="728">
        <f t="shared" ca="1" si="72"/>
        <v>31041839.526000001</v>
      </c>
      <c r="AH217" s="850">
        <f t="shared" ca="1" si="59"/>
        <v>25476758.073000003</v>
      </c>
      <c r="AI217" s="851">
        <f t="shared" ca="1" si="60"/>
        <v>5565081.4530000007</v>
      </c>
    </row>
    <row r="218" spans="1:35">
      <c r="A218" s="210"/>
      <c r="B218" s="712" t="s">
        <v>538</v>
      </c>
      <c r="C218" s="718">
        <v>2011</v>
      </c>
      <c r="D218" s="727">
        <f t="shared" ref="D218:AG218" ca="1" si="73">D202+D206+D210+D214</f>
        <v>716889</v>
      </c>
      <c r="E218" s="727">
        <f t="shared" ca="1" si="73"/>
        <v>1238288.122</v>
      </c>
      <c r="F218" s="727">
        <f t="shared" ca="1" si="73"/>
        <v>55909.939400000003</v>
      </c>
      <c r="G218" s="727">
        <f t="shared" ca="1" si="73"/>
        <v>109283</v>
      </c>
      <c r="H218" s="727">
        <f t="shared" ca="1" si="73"/>
        <v>485469.20300000004</v>
      </c>
      <c r="I218" s="727">
        <f t="shared" ca="1" si="73"/>
        <v>282070</v>
      </c>
      <c r="J218" s="727">
        <f t="shared" ca="1" si="73"/>
        <v>410691.47399999999</v>
      </c>
      <c r="K218" s="727">
        <f t="shared" ca="1" si="73"/>
        <v>543056.99800000002</v>
      </c>
      <c r="L218" s="727">
        <f t="shared" ca="1" si="73"/>
        <v>273733.71600000001</v>
      </c>
      <c r="M218" s="727">
        <f t="shared" ca="1" si="73"/>
        <v>540568.71100000001</v>
      </c>
      <c r="N218" s="727">
        <f t="shared" ca="1" si="73"/>
        <v>540000</v>
      </c>
      <c r="O218" s="727">
        <f t="shared" ca="1" si="73"/>
        <v>363914</v>
      </c>
      <c r="P218" s="727">
        <f t="shared" ca="1" si="73"/>
        <v>145751</v>
      </c>
      <c r="Q218" s="727">
        <f t="shared" ca="1" si="73"/>
        <v>579911.71900000004</v>
      </c>
      <c r="R218" s="727">
        <f t="shared" ca="1" si="73"/>
        <v>222947.04700000002</v>
      </c>
      <c r="S218" s="727">
        <f t="shared" ca="1" si="73"/>
        <v>956812</v>
      </c>
      <c r="T218" s="727">
        <f t="shared" ca="1" si="73"/>
        <v>3278330</v>
      </c>
      <c r="U218" s="727">
        <f t="shared" ca="1" si="73"/>
        <v>380827.25400000002</v>
      </c>
      <c r="V218" s="727">
        <f t="shared" ca="1" si="73"/>
        <v>4303889.3499999996</v>
      </c>
      <c r="W218" s="727">
        <f t="shared" ca="1" si="73"/>
        <v>81397</v>
      </c>
      <c r="X218" s="727">
        <f t="shared" ca="1" si="73"/>
        <v>299000</v>
      </c>
      <c r="Y218" s="727">
        <f t="shared" ca="1" si="73"/>
        <v>671701.22</v>
      </c>
      <c r="Z218" s="727">
        <f t="shared" ca="1" si="73"/>
        <v>327389.85599999997</v>
      </c>
      <c r="AA218" s="727">
        <f t="shared" ca="1" si="73"/>
        <v>1588945.909</v>
      </c>
      <c r="AB218" s="727">
        <f t="shared" ca="1" si="73"/>
        <v>8289301</v>
      </c>
      <c r="AC218" s="727">
        <f t="shared" ca="1" si="73"/>
        <v>334265.97499999998</v>
      </c>
      <c r="AD218" s="727">
        <f t="shared" ca="1" si="73"/>
        <v>1177390.3899999999</v>
      </c>
      <c r="AE218" s="727">
        <f t="shared" ca="1" si="73"/>
        <v>2454879.395</v>
      </c>
      <c r="AF218" s="727">
        <f t="shared" ca="1" si="73"/>
        <v>293466</v>
      </c>
      <c r="AG218" s="728">
        <f t="shared" ca="1" si="73"/>
        <v>30946079.2784</v>
      </c>
      <c r="AH218" s="850">
        <f t="shared" ca="1" si="59"/>
        <v>25352115.030000001</v>
      </c>
      <c r="AI218" s="851">
        <f t="shared" ca="1" si="60"/>
        <v>5593964.2483999999</v>
      </c>
    </row>
    <row r="219" spans="1:35">
      <c r="A219" s="210"/>
      <c r="B219" s="712" t="s">
        <v>539</v>
      </c>
      <c r="C219" s="718" t="s">
        <v>527</v>
      </c>
      <c r="D219" s="832">
        <f ca="1">(D194/D218)/(D191/D215)-1</f>
        <v>-2.2706520422508092E-2</v>
      </c>
      <c r="E219" s="832">
        <f t="shared" ref="E219:AG219" ca="1" si="74">(E194/E218)/(E191/E215)-1</f>
        <v>6.413039486575256E-2</v>
      </c>
      <c r="F219" s="832">
        <f t="shared" ca="1" si="74"/>
        <v>-0.19478297333017491</v>
      </c>
      <c r="G219" s="832">
        <f t="shared" ca="1" si="74"/>
        <v>0.25954634601687054</v>
      </c>
      <c r="H219" s="832">
        <f t="shared" ca="1" si="74"/>
        <v>5.6589966685977489E-2</v>
      </c>
      <c r="I219" s="832">
        <f t="shared" ca="1" si="74"/>
        <v>0.12683526779893706</v>
      </c>
      <c r="J219" s="832">
        <f t="shared" ca="1" si="74"/>
        <v>0.39824005769184878</v>
      </c>
      <c r="K219" s="832">
        <f t="shared" ca="1" si="74"/>
        <v>-4.8599982498207628E-2</v>
      </c>
      <c r="L219" s="832">
        <f t="shared" ca="1" si="74"/>
        <v>6.6234702050359306E-2</v>
      </c>
      <c r="M219" s="832">
        <f t="shared" ca="1" si="74"/>
        <v>1.0676309835674358E-2</v>
      </c>
      <c r="N219" s="832">
        <f t="shared" ca="1" si="74"/>
        <v>5.8410880784083297E-2</v>
      </c>
      <c r="O219" s="832">
        <f t="shared" ca="1" si="74"/>
        <v>0.14394853511201733</v>
      </c>
      <c r="P219" s="832">
        <f t="shared" ca="1" si="74"/>
        <v>0.12814082277702954</v>
      </c>
      <c r="Q219" s="832">
        <f t="shared" ca="1" si="74"/>
        <v>0.10311524427949448</v>
      </c>
      <c r="R219" s="832">
        <f t="shared" ca="1" si="74"/>
        <v>0.18962845034783715</v>
      </c>
      <c r="S219" s="832">
        <f t="shared" ca="1" si="74"/>
        <v>0.13763965972228442</v>
      </c>
      <c r="T219" s="832">
        <f t="shared" ca="1" si="74"/>
        <v>2.4485027031133644E-3</v>
      </c>
      <c r="U219" s="832">
        <f t="shared" ca="1" si="74"/>
        <v>0.10337814201258677</v>
      </c>
      <c r="V219" s="832">
        <f t="shared" ca="1" si="74"/>
        <v>3.8865470190381668E-2</v>
      </c>
      <c r="W219" s="832">
        <f t="shared" ca="1" si="74"/>
        <v>0.11532526967137646</v>
      </c>
      <c r="X219" s="832">
        <f t="shared" ca="1" si="74"/>
        <v>0.2606931594172166</v>
      </c>
      <c r="Y219" s="832">
        <f t="shared" ca="1" si="74"/>
        <v>7.6873999522017344E-2</v>
      </c>
      <c r="Z219" s="832">
        <f t="shared" ca="1" si="74"/>
        <v>0.22131975875965049</v>
      </c>
      <c r="AA219" s="832">
        <f t="shared" ca="1" si="74"/>
        <v>0.11858472037901335</v>
      </c>
      <c r="AB219" s="832">
        <f t="shared" ca="1" si="74"/>
        <v>7.0251502642677766E-2</v>
      </c>
      <c r="AC219" s="832">
        <f t="shared" ca="1" si="74"/>
        <v>0.12210233245496083</v>
      </c>
      <c r="AD219" s="832">
        <f t="shared" ca="1" si="74"/>
        <v>8.4521554899444018E-2</v>
      </c>
      <c r="AE219" s="832"/>
      <c r="AF219" s="832">
        <f t="shared" ca="1" si="74"/>
        <v>-0.10902733985332402</v>
      </c>
      <c r="AG219" s="833">
        <f t="shared" ca="1" si="74"/>
        <v>6.2615988780736265E-2</v>
      </c>
      <c r="AH219" s="855">
        <f t="shared" ref="AH219" ca="1" si="75">(AH194/AH218)/(AH191/AH215)-1</f>
        <v>5.402870361475709E-2</v>
      </c>
      <c r="AI219" s="856">
        <f t="shared" ref="AI219" ca="1" si="76">(AI194/AI218)/(AI191/AI215)-1</f>
        <v>0.10388455592699453</v>
      </c>
    </row>
    <row r="220" spans="1:35">
      <c r="A220" s="210"/>
      <c r="B220" s="712" t="s">
        <v>539</v>
      </c>
      <c r="C220" s="718" t="s">
        <v>528</v>
      </c>
      <c r="D220" s="832">
        <f ca="1">(D194/D218)/(D193/D217)-1</f>
        <v>-3.5355852259821852E-3</v>
      </c>
      <c r="E220" s="832">
        <f t="shared" ref="E220:AG220" ca="1" si="77">(E194/E218)/(E193/E217)-1</f>
        <v>2.9094168230821005E-3</v>
      </c>
      <c r="F220" s="832">
        <f t="shared" ca="1" si="77"/>
        <v>-2.5947343563287761E-2</v>
      </c>
      <c r="G220" s="832">
        <f t="shared" ca="1" si="77"/>
        <v>7.2793803649998212E-2</v>
      </c>
      <c r="H220" s="832">
        <f t="shared" ca="1" si="77"/>
        <v>-2.9919788615993759E-2</v>
      </c>
      <c r="I220" s="832">
        <f t="shared" ca="1" si="77"/>
        <v>3.7760686090907436E-2</v>
      </c>
      <c r="J220" s="832">
        <f t="shared" ca="1" si="77"/>
        <v>0.38954330126693804</v>
      </c>
      <c r="K220" s="832">
        <f t="shared" ca="1" si="77"/>
        <v>-9.6417624197875362E-3</v>
      </c>
      <c r="L220" s="832">
        <f t="shared" ca="1" si="77"/>
        <v>4.3214039077165145E-2</v>
      </c>
      <c r="M220" s="832">
        <f t="shared" ca="1" si="77"/>
        <v>-2.0320106841842378E-4</v>
      </c>
      <c r="N220" s="832">
        <f t="shared" ca="1" si="77"/>
        <v>4.1416082982990376E-2</v>
      </c>
      <c r="O220" s="832">
        <f t="shared" ca="1" si="77"/>
        <v>4.3353292933837606E-2</v>
      </c>
      <c r="P220" s="832">
        <f t="shared" ca="1" si="77"/>
        <v>5.3764521986964686E-2</v>
      </c>
      <c r="Q220" s="832">
        <f t="shared" ca="1" si="77"/>
        <v>-3.5435434627397733E-3</v>
      </c>
      <c r="R220" s="832">
        <f t="shared" ca="1" si="77"/>
        <v>6.7651631107156218E-2</v>
      </c>
      <c r="S220" s="832">
        <f t="shared" ca="1" si="77"/>
        <v>-2.7443735417818749E-2</v>
      </c>
      <c r="T220" s="832">
        <f t="shared" ca="1" si="77"/>
        <v>-1.848717270563327E-2</v>
      </c>
      <c r="U220" s="832">
        <f t="shared" ca="1" si="77"/>
        <v>0.10177570680727555</v>
      </c>
      <c r="V220" s="832">
        <f t="shared" ca="1" si="77"/>
        <v>-1.8267795766760853E-2</v>
      </c>
      <c r="W220" s="832">
        <f t="shared" ca="1" si="77"/>
        <v>6.3234741452977694E-2</v>
      </c>
      <c r="X220" s="832">
        <f t="shared" ca="1" si="77"/>
        <v>0.14348632029932573</v>
      </c>
      <c r="Y220" s="832">
        <f t="shared" ca="1" si="77"/>
        <v>5.7018891249389636E-3</v>
      </c>
      <c r="Z220" s="832">
        <f t="shared" ca="1" si="77"/>
        <v>0.14968085241390616</v>
      </c>
      <c r="AA220" s="832">
        <f t="shared" ca="1" si="77"/>
        <v>5.9459445918603748E-3</v>
      </c>
      <c r="AB220" s="832">
        <f t="shared" ca="1" si="77"/>
        <v>-5.2297121613692488E-3</v>
      </c>
      <c r="AC220" s="832">
        <f t="shared" ca="1" si="77"/>
        <v>2.2991882112279427E-2</v>
      </c>
      <c r="AD220" s="832">
        <f t="shared" ca="1" si="77"/>
        <v>-2.5583290421109517E-2</v>
      </c>
      <c r="AE220" s="832">
        <f t="shared" ca="1" si="77"/>
        <v>6.9894658340281524E-3</v>
      </c>
      <c r="AF220" s="832">
        <f t="shared" ca="1" si="77"/>
        <v>-3.0626189164544848E-2</v>
      </c>
      <c r="AG220" s="833">
        <f t="shared" ca="1" si="77"/>
        <v>5.7299580122418536E-3</v>
      </c>
      <c r="AH220" s="855">
        <f t="shared" ref="AH220:AI220" ca="1" si="78">(AH194/AH218)/(AH193/AH217)-1</f>
        <v>1.9476394070043757E-3</v>
      </c>
      <c r="AI220" s="856">
        <f t="shared" ca="1" si="78"/>
        <v>2.31748627527808E-2</v>
      </c>
    </row>
    <row r="221" spans="1:35">
      <c r="A221" s="210"/>
      <c r="B221" s="712" t="s">
        <v>446</v>
      </c>
      <c r="C221" s="718">
        <v>2008</v>
      </c>
      <c r="D221" s="727">
        <f ca="1">D203+D207+D211</f>
        <v>649921</v>
      </c>
      <c r="E221" s="727">
        <f t="shared" ref="E221:AF221" ca="1" si="79">E203+E207+E211</f>
        <v>639547</v>
      </c>
      <c r="F221" s="727">
        <f t="shared" ca="1" si="79"/>
        <v>14108</v>
      </c>
      <c r="G221" s="727">
        <f t="shared" ca="1" si="79"/>
        <v>44963.923999999999</v>
      </c>
      <c r="H221" s="727">
        <f t="shared" ca="1" si="79"/>
        <v>254434</v>
      </c>
      <c r="I221" s="727">
        <f t="shared" ca="1" si="79"/>
        <v>117719</v>
      </c>
      <c r="J221" s="727">
        <f t="shared" ca="1" si="79"/>
        <v>103883</v>
      </c>
      <c r="K221" s="727">
        <f t="shared" ca="1" si="79"/>
        <v>364398.05799999996</v>
      </c>
      <c r="L221" s="727">
        <f t="shared" ca="1" si="79"/>
        <v>126131.40700000001</v>
      </c>
      <c r="M221" s="727">
        <f t="shared" ca="1" si="79"/>
        <v>412602.49100000004</v>
      </c>
      <c r="N221" s="727">
        <f t="shared" ca="1" si="79"/>
        <v>275717</v>
      </c>
      <c r="O221" s="727">
        <f t="shared" ca="1" si="79"/>
        <v>239117.8</v>
      </c>
      <c r="P221" s="727">
        <f t="shared" ca="1" si="79"/>
        <v>94662.373999999996</v>
      </c>
      <c r="Q221" s="727">
        <f t="shared" ca="1" si="79"/>
        <v>350530.71799999999</v>
      </c>
      <c r="R221" s="727">
        <f t="shared" ca="1" si="79"/>
        <v>157606</v>
      </c>
      <c r="S221" s="727">
        <f t="shared" ca="1" si="79"/>
        <v>696544</v>
      </c>
      <c r="T221" s="727">
        <f t="shared" ca="1" si="79"/>
        <v>856616.20000000007</v>
      </c>
      <c r="U221" s="727">
        <f t="shared" ca="1" si="79"/>
        <v>255686.00300000003</v>
      </c>
      <c r="V221" s="727">
        <f t="shared" ca="1" si="79"/>
        <v>1995039.44</v>
      </c>
      <c r="W221" s="727">
        <f t="shared" ca="1" si="79"/>
        <v>32727</v>
      </c>
      <c r="X221" s="727">
        <f t="shared" ca="1" si="79"/>
        <v>161116</v>
      </c>
      <c r="Y221" s="727">
        <f t="shared" ca="1" si="79"/>
        <v>423058.1</v>
      </c>
      <c r="Z221" s="727">
        <f t="shared" ca="1" si="79"/>
        <v>97297</v>
      </c>
      <c r="AA221" s="727">
        <f t="shared" ca="1" si="79"/>
        <v>818487.0070000001</v>
      </c>
      <c r="AB221" s="727">
        <f t="shared" ca="1" si="79"/>
        <v>5870509.7999999998</v>
      </c>
      <c r="AC221" s="727">
        <f t="shared" ca="1" si="79"/>
        <v>174346.00099999999</v>
      </c>
      <c r="AD221" s="727">
        <f t="shared" ca="1" si="79"/>
        <v>449801.63099999999</v>
      </c>
      <c r="AE221" s="727">
        <f t="shared" ca="1" si="79"/>
        <v>0</v>
      </c>
      <c r="AF221" s="727">
        <f t="shared" ca="1" si="79"/>
        <v>166561</v>
      </c>
      <c r="AG221" s="728">
        <f t="shared" ca="1" si="9"/>
        <v>15843130.953999996</v>
      </c>
      <c r="AH221" s="850">
        <f ca="1">SUMIF($D$262:$AF$262,"=N",D221:AF221)</f>
        <v>12855227.422</v>
      </c>
      <c r="AI221" s="851">
        <f ca="1">SUMIF($D$262:$AF$262,"=Y",D221:AF221)</f>
        <v>2987903.5320000001</v>
      </c>
    </row>
    <row r="222" spans="1:35">
      <c r="A222" s="210"/>
      <c r="B222" s="712" t="s">
        <v>446</v>
      </c>
      <c r="C222" s="718">
        <v>2009</v>
      </c>
      <c r="D222" s="727">
        <f t="shared" ref="D222:AF224" ca="1" si="80">D204+D208+D212</f>
        <v>688920</v>
      </c>
      <c r="E222" s="727">
        <f t="shared" ca="1" si="80"/>
        <v>634755</v>
      </c>
      <c r="F222" s="727">
        <f t="shared" ca="1" si="80"/>
        <v>15135.441000000001</v>
      </c>
      <c r="G222" s="727">
        <f t="shared" ca="1" si="80"/>
        <v>44899.705000000002</v>
      </c>
      <c r="H222" s="727">
        <f t="shared" ca="1" si="80"/>
        <v>258753.69400000002</v>
      </c>
      <c r="I222" s="727">
        <f t="shared" ca="1" si="80"/>
        <v>116345.796</v>
      </c>
      <c r="J222" s="727">
        <f t="shared" ca="1" si="80"/>
        <v>97690</v>
      </c>
      <c r="K222" s="727">
        <f t="shared" ca="1" si="80"/>
        <v>406416.01800000004</v>
      </c>
      <c r="L222" s="727">
        <f t="shared" ca="1" si="80"/>
        <v>121781.07199999999</v>
      </c>
      <c r="M222" s="727">
        <f t="shared" ca="1" si="80"/>
        <v>382695.72900000005</v>
      </c>
      <c r="N222" s="727">
        <f t="shared" ca="1" si="80"/>
        <v>295267</v>
      </c>
      <c r="O222" s="727">
        <f t="shared" ca="1" si="80"/>
        <v>239712.44099999999</v>
      </c>
      <c r="P222" s="727">
        <f t="shared" ca="1" si="80"/>
        <v>92653.197</v>
      </c>
      <c r="Q222" s="727">
        <f t="shared" ca="1" si="80"/>
        <v>329922.04200000002</v>
      </c>
      <c r="R222" s="727">
        <f t="shared" ca="1" si="80"/>
        <v>158680.80599999998</v>
      </c>
      <c r="S222" s="727">
        <f t="shared" ca="1" si="80"/>
        <v>691983</v>
      </c>
      <c r="T222" s="727">
        <f t="shared" ca="1" si="80"/>
        <v>865498.3</v>
      </c>
      <c r="U222" s="727">
        <f t="shared" ca="1" si="80"/>
        <v>273943.46899999998</v>
      </c>
      <c r="V222" s="727">
        <f t="shared" ca="1" si="80"/>
        <v>1975894</v>
      </c>
      <c r="W222" s="727">
        <f t="shared" ca="1" si="80"/>
        <v>23036</v>
      </c>
      <c r="X222" s="727">
        <f t="shared" ca="1" si="80"/>
        <v>105130.755</v>
      </c>
      <c r="Y222" s="727">
        <f t="shared" ca="1" si="80"/>
        <v>410947.23</v>
      </c>
      <c r="Z222" s="727">
        <f t="shared" ca="1" si="80"/>
        <v>99509.68</v>
      </c>
      <c r="AA222" s="727">
        <f t="shared" ca="1" si="80"/>
        <v>816009.41700000002</v>
      </c>
      <c r="AB222" s="727">
        <f t="shared" ca="1" si="80"/>
        <v>4615295</v>
      </c>
      <c r="AC222" s="727">
        <f t="shared" ca="1" si="80"/>
        <v>161127.29500000001</v>
      </c>
      <c r="AD222" s="727">
        <f t="shared" ca="1" si="80"/>
        <v>437903.55000000005</v>
      </c>
      <c r="AE222" s="727">
        <f t="shared" ca="1" si="80"/>
        <v>865599</v>
      </c>
      <c r="AF222" s="727">
        <f t="shared" ca="1" si="80"/>
        <v>191099</v>
      </c>
      <c r="AG222" s="728">
        <f t="shared" ca="1" si="9"/>
        <v>15416603.637</v>
      </c>
      <c r="AH222" s="850">
        <f ca="1">SUMIF($D$262:$AF$262,"=N",D222:AF222)</f>
        <v>12435268.18</v>
      </c>
      <c r="AI222" s="851">
        <f ca="1">SUMIF($D$262:$AF$262,"=Y",D222:AF222)</f>
        <v>2981335.4569999995</v>
      </c>
    </row>
    <row r="223" spans="1:35">
      <c r="A223" s="210"/>
      <c r="B223" s="712" t="s">
        <v>446</v>
      </c>
      <c r="C223" s="718">
        <v>2010</v>
      </c>
      <c r="D223" s="727">
        <f t="shared" ca="1" si="80"/>
        <v>703271</v>
      </c>
      <c r="E223" s="727">
        <f t="shared" ca="1" si="80"/>
        <v>628027</v>
      </c>
      <c r="F223" s="727">
        <f t="shared" ca="1" si="80"/>
        <v>17437</v>
      </c>
      <c r="G223" s="727">
        <f t="shared" ca="1" si="80"/>
        <v>46208</v>
      </c>
      <c r="H223" s="727">
        <f t="shared" ca="1" si="80"/>
        <v>248631.76799999998</v>
      </c>
      <c r="I223" s="727">
        <f t="shared" ca="1" si="80"/>
        <v>110288</v>
      </c>
      <c r="J223" s="727">
        <f t="shared" ca="1" si="80"/>
        <v>104383</v>
      </c>
      <c r="K223" s="727">
        <f t="shared" ca="1" si="80"/>
        <v>407981.01799999998</v>
      </c>
      <c r="L223" s="727">
        <f t="shared" ca="1" si="80"/>
        <v>123475.45600000001</v>
      </c>
      <c r="M223" s="727">
        <f t="shared" ca="1" si="80"/>
        <v>408770.94400000002</v>
      </c>
      <c r="N223" s="727">
        <f t="shared" ca="1" si="80"/>
        <v>282079</v>
      </c>
      <c r="O223" s="727">
        <f t="shared" ca="1" si="80"/>
        <v>237475</v>
      </c>
      <c r="P223" s="727">
        <f t="shared" ca="1" si="80"/>
        <v>137303.87199999997</v>
      </c>
      <c r="Q223" s="727">
        <f t="shared" ca="1" si="80"/>
        <v>324640</v>
      </c>
      <c r="R223" s="727">
        <f t="shared" ca="1" si="80"/>
        <v>164097</v>
      </c>
      <c r="S223" s="727">
        <f t="shared" ca="1" si="80"/>
        <v>666636</v>
      </c>
      <c r="T223" s="727">
        <f t="shared" ca="1" si="80"/>
        <v>850791</v>
      </c>
      <c r="U223" s="727">
        <f t="shared" ca="1" si="80"/>
        <v>283851.97500000003</v>
      </c>
      <c r="V223" s="727">
        <f t="shared" ca="1" si="80"/>
        <v>1912709.89</v>
      </c>
      <c r="W223" s="727">
        <f t="shared" ca="1" si="80"/>
        <v>23643</v>
      </c>
      <c r="X223" s="727">
        <f t="shared" ca="1" si="80"/>
        <v>111305</v>
      </c>
      <c r="Y223" s="727">
        <f t="shared" ca="1" si="80"/>
        <v>413498.25</v>
      </c>
      <c r="Z223" s="727">
        <f t="shared" ca="1" si="80"/>
        <v>96239</v>
      </c>
      <c r="AA223" s="727">
        <f t="shared" ca="1" si="80"/>
        <v>815668.00099999993</v>
      </c>
      <c r="AB223" s="727">
        <f t="shared" ca="1" si="80"/>
        <v>4565352.0999999996</v>
      </c>
      <c r="AC223" s="727">
        <f t="shared" ca="1" si="80"/>
        <v>184219.299</v>
      </c>
      <c r="AD223" s="727">
        <f t="shared" ca="1" si="80"/>
        <v>417112.85600000003</v>
      </c>
      <c r="AE223" s="727">
        <f t="shared" ca="1" si="80"/>
        <v>1283741.7579999999</v>
      </c>
      <c r="AF223" s="727">
        <f t="shared" ca="1" si="80"/>
        <v>211542</v>
      </c>
      <c r="AG223" s="728">
        <f t="shared" ca="1" si="9"/>
        <v>15780378.186999999</v>
      </c>
      <c r="AH223" s="850">
        <f ca="1">SUMIF($D$262:$AF$262,"=N",D223:AF223)</f>
        <v>12809624.014</v>
      </c>
      <c r="AI223" s="851">
        <f ca="1">SUMIF($D$262:$AF$262,"=Y",D223:AF223)</f>
        <v>2970754.1730000004</v>
      </c>
    </row>
    <row r="224" spans="1:35">
      <c r="A224" s="210"/>
      <c r="B224" s="712" t="s">
        <v>446</v>
      </c>
      <c r="C224" s="718">
        <v>2011</v>
      </c>
      <c r="D224" s="727">
        <f t="shared" ca="1" si="80"/>
        <v>687298</v>
      </c>
      <c r="E224" s="727">
        <f t="shared" ca="1" si="80"/>
        <v>619353.55199999991</v>
      </c>
      <c r="F224" s="727">
        <f t="shared" ca="1" si="80"/>
        <v>35790.919399999999</v>
      </c>
      <c r="G224" s="727">
        <f t="shared" ca="1" si="80"/>
        <v>43182</v>
      </c>
      <c r="H224" s="727">
        <f t="shared" ca="1" si="80"/>
        <v>262973.163</v>
      </c>
      <c r="I224" s="727">
        <f t="shared" ca="1" si="80"/>
        <v>114670</v>
      </c>
      <c r="J224" s="727">
        <f t="shared" ca="1" si="80"/>
        <v>109719.674</v>
      </c>
      <c r="K224" s="727">
        <f t="shared" ca="1" si="80"/>
        <v>422064.30799999996</v>
      </c>
      <c r="L224" s="727">
        <f t="shared" ca="1" si="80"/>
        <v>123029.296</v>
      </c>
      <c r="M224" s="727">
        <f t="shared" ca="1" si="80"/>
        <v>411047.701</v>
      </c>
      <c r="N224" s="727">
        <f t="shared" ca="1" si="80"/>
        <v>311171</v>
      </c>
      <c r="O224" s="727">
        <f t="shared" ca="1" si="80"/>
        <v>237109</v>
      </c>
      <c r="P224" s="727">
        <f t="shared" ca="1" si="80"/>
        <v>135138</v>
      </c>
      <c r="Q224" s="727">
        <f t="shared" ca="1" si="80"/>
        <v>334111.44900000002</v>
      </c>
      <c r="R224" s="727">
        <f t="shared" ca="1" si="80"/>
        <v>149706.74599999998</v>
      </c>
      <c r="S224" s="727">
        <f t="shared" ca="1" si="80"/>
        <v>680156</v>
      </c>
      <c r="T224" s="727">
        <f t="shared" ca="1" si="80"/>
        <v>850791</v>
      </c>
      <c r="U224" s="727">
        <f t="shared" ca="1" si="80"/>
        <v>283189.90899999999</v>
      </c>
      <c r="V224" s="727">
        <f t="shared" ca="1" si="80"/>
        <v>1748301.35</v>
      </c>
      <c r="W224" s="727">
        <f t="shared" ca="1" si="80"/>
        <v>22728</v>
      </c>
      <c r="X224" s="727">
        <f t="shared" ca="1" si="80"/>
        <v>104026</v>
      </c>
      <c r="Y224" s="727">
        <f t="shared" ca="1" si="80"/>
        <v>416123.82999999996</v>
      </c>
      <c r="Z224" s="727">
        <f t="shared" ca="1" si="80"/>
        <v>102262.496</v>
      </c>
      <c r="AA224" s="727">
        <f t="shared" ca="1" si="80"/>
        <v>833506.75900000008</v>
      </c>
      <c r="AB224" s="727">
        <f t="shared" ca="1" si="80"/>
        <v>4649683</v>
      </c>
      <c r="AC224" s="727">
        <f t="shared" ca="1" si="80"/>
        <v>168349.91500000001</v>
      </c>
      <c r="AD224" s="727">
        <f t="shared" ca="1" si="80"/>
        <v>456050.07999999996</v>
      </c>
      <c r="AE224" s="727">
        <f t="shared" ca="1" si="80"/>
        <v>1290431.095</v>
      </c>
      <c r="AF224" s="727">
        <f t="shared" ca="1" si="80"/>
        <v>211883</v>
      </c>
      <c r="AG224" s="728">
        <f t="shared" ca="1" si="9"/>
        <v>15813847.2424</v>
      </c>
      <c r="AH224" s="850">
        <f ca="1">SUMIF($D$262:$AF$262,"=N",D224:AF224)</f>
        <v>12752085.915000001</v>
      </c>
      <c r="AI224" s="851">
        <f ca="1">SUMIF($D$262:$AF$262,"=Y",D224:AF224)</f>
        <v>3061761.3274000003</v>
      </c>
    </row>
    <row r="225" spans="1:35">
      <c r="A225" s="210"/>
      <c r="B225" s="712" t="s">
        <v>457</v>
      </c>
      <c r="C225" s="718">
        <v>2008</v>
      </c>
      <c r="D225" s="727">
        <f t="shared" ref="D225:AG225" ca="1" si="81">IFERROR(D167*1000/D143,"")</f>
        <v>270.80204665390357</v>
      </c>
      <c r="E225" s="727">
        <f t="shared" ca="1" si="81"/>
        <v>586.66064593273506</v>
      </c>
      <c r="F225" s="727">
        <f t="shared" ca="1" si="81"/>
        <v>830.13090759043416</v>
      </c>
      <c r="G225" s="727">
        <f t="shared" ca="1" si="81"/>
        <v>697.86205442037351</v>
      </c>
      <c r="H225" s="727">
        <f t="shared" ca="1" si="81"/>
        <v>472.79308571312356</v>
      </c>
      <c r="I225" s="727">
        <f t="shared" ca="1" si="81"/>
        <v>839.00441651891595</v>
      </c>
      <c r="J225" s="727">
        <f t="shared" ca="1" si="81"/>
        <v>401.71948907274248</v>
      </c>
      <c r="K225" s="727">
        <f t="shared" ca="1" si="81"/>
        <v>527.51657413388364</v>
      </c>
      <c r="L225" s="727">
        <f t="shared" ca="1" si="81"/>
        <v>621.19310074704504</v>
      </c>
      <c r="M225" s="727">
        <f t="shared" ca="1" si="81"/>
        <v>634.73244641505858</v>
      </c>
      <c r="N225" s="727">
        <f t="shared" ca="1" si="81"/>
        <v>625.06288485593825</v>
      </c>
      <c r="O225" s="727">
        <f t="shared" ca="1" si="81"/>
        <v>487.00039952170687</v>
      </c>
      <c r="P225" s="727">
        <f t="shared" ca="1" si="81"/>
        <v>509.18687792853501</v>
      </c>
      <c r="Q225" s="727">
        <f t="shared" ca="1" si="81"/>
        <v>508.44761313636491</v>
      </c>
      <c r="R225" s="727">
        <f t="shared" ca="1" si="81"/>
        <v>425.51770295580468</v>
      </c>
      <c r="S225" s="727">
        <f t="shared" ca="1" si="81"/>
        <v>504.16397998797186</v>
      </c>
      <c r="T225" s="727">
        <f t="shared" ca="1" si="81"/>
        <v>841.73140373320473</v>
      </c>
      <c r="U225" s="727">
        <f t="shared" ca="1" si="81"/>
        <v>1094.4758326578099</v>
      </c>
      <c r="V225" s="727">
        <f t="shared" ca="1" si="81"/>
        <v>731.42887539310254</v>
      </c>
      <c r="W225" s="727">
        <f t="shared" ca="1" si="81"/>
        <v>724.46305537912212</v>
      </c>
      <c r="X225" s="727">
        <f t="shared" ca="1" si="81"/>
        <v>631.82416394409051</v>
      </c>
      <c r="Y225" s="727">
        <f t="shared" ca="1" si="81"/>
        <v>646.12072656693203</v>
      </c>
      <c r="Z225" s="727">
        <f t="shared" ca="1" si="81"/>
        <v>686.76361064724028</v>
      </c>
      <c r="AA225" s="727">
        <f t="shared" ca="1" si="81"/>
        <v>570.05170030248371</v>
      </c>
      <c r="AB225" s="727">
        <f t="shared" ca="1" si="81"/>
        <v>596.67666351282537</v>
      </c>
      <c r="AC225" s="727">
        <f t="shared" ca="1" si="81"/>
        <v>402.0165781151282</v>
      </c>
      <c r="AD225" s="727">
        <f t="shared" ca="1" si="81"/>
        <v>639.81371600867828</v>
      </c>
      <c r="AE225" s="727" t="str">
        <f t="shared" ca="1" si="81"/>
        <v/>
      </c>
      <c r="AF225" s="727">
        <f t="shared" ca="1" si="81"/>
        <v>653.8249176172975</v>
      </c>
      <c r="AG225" s="728">
        <f t="shared" ca="1" si="81"/>
        <v>641.1181455209786</v>
      </c>
      <c r="AH225" s="850">
        <f t="shared" ref="AH225:AI225" ca="1" si="82">IFERROR(AH167*1000/AH143,"")</f>
        <v>660.62499723422025</v>
      </c>
      <c r="AI225" s="851">
        <f t="shared" ca="1" si="82"/>
        <v>549.97968275670667</v>
      </c>
    </row>
    <row r="226" spans="1:35">
      <c r="A226" s="210"/>
      <c r="B226" s="712" t="s">
        <v>457</v>
      </c>
      <c r="C226" s="718">
        <v>2009</v>
      </c>
      <c r="D226" s="727">
        <f t="shared" ref="D226:AG226" ca="1" si="83">IFERROR(D168*1000/D144,"")</f>
        <v>253.48821246769575</v>
      </c>
      <c r="E226" s="727">
        <f t="shared" ca="1" si="83"/>
        <v>612.65362481536727</v>
      </c>
      <c r="F226" s="727">
        <f t="shared" ca="1" si="83"/>
        <v>839.30538208182293</v>
      </c>
      <c r="G226" s="727">
        <f t="shared" ca="1" si="83"/>
        <v>790.43496650682755</v>
      </c>
      <c r="H226" s="727">
        <f t="shared" ca="1" si="83"/>
        <v>492.37197732301428</v>
      </c>
      <c r="I226" s="727">
        <f t="shared" ca="1" si="83"/>
        <v>861.57428109754824</v>
      </c>
      <c r="J226" s="727">
        <f t="shared" ca="1" si="83"/>
        <v>389.1725127286503</v>
      </c>
      <c r="K226" s="727">
        <f t="shared" ca="1" si="83"/>
        <v>528.95163794353925</v>
      </c>
      <c r="L226" s="727">
        <f t="shared" ca="1" si="83"/>
        <v>621.41511160460652</v>
      </c>
      <c r="M226" s="727">
        <f t="shared" ca="1" si="83"/>
        <v>663.66371496194699</v>
      </c>
      <c r="N226" s="727">
        <f t="shared" ca="1" si="83"/>
        <v>624.91737233319816</v>
      </c>
      <c r="O226" s="727">
        <f t="shared" ca="1" si="83"/>
        <v>579.10225303598236</v>
      </c>
      <c r="P226" s="727">
        <f t="shared" ca="1" si="83"/>
        <v>535.69428805148414</v>
      </c>
      <c r="Q226" s="727">
        <f t="shared" ca="1" si="83"/>
        <v>528.84908699032064</v>
      </c>
      <c r="R226" s="727">
        <f t="shared" ca="1" si="83"/>
        <v>326.69630005695882</v>
      </c>
      <c r="S226" s="727">
        <f t="shared" ca="1" si="83"/>
        <v>530.56493727327256</v>
      </c>
      <c r="T226" s="727">
        <f t="shared" ca="1" si="83"/>
        <v>841.95578905695481</v>
      </c>
      <c r="U226" s="727">
        <f t="shared" ca="1" si="83"/>
        <v>1077.9604311284832</v>
      </c>
      <c r="V226" s="727">
        <f t="shared" ca="1" si="83"/>
        <v>659.86441760241439</v>
      </c>
      <c r="W226" s="727">
        <f t="shared" ca="1" si="83"/>
        <v>705.83722549182244</v>
      </c>
      <c r="X226" s="727">
        <f t="shared" ca="1" si="83"/>
        <v>783.26323702244053</v>
      </c>
      <c r="Y226" s="727">
        <f t="shared" ca="1" si="83"/>
        <v>786.01307654774962</v>
      </c>
      <c r="Z226" s="727">
        <f t="shared" ca="1" si="83"/>
        <v>713.12958738013424</v>
      </c>
      <c r="AA226" s="727">
        <f t="shared" ca="1" si="83"/>
        <v>586.36497028612723</v>
      </c>
      <c r="AB226" s="727">
        <f t="shared" ca="1" si="83"/>
        <v>656.558506608416</v>
      </c>
      <c r="AC226" s="727">
        <f t="shared" ca="1" si="83"/>
        <v>507.41043574674518</v>
      </c>
      <c r="AD226" s="727">
        <f t="shared" ca="1" si="83"/>
        <v>684.24383143244199</v>
      </c>
      <c r="AE226" s="727">
        <f t="shared" ca="1" si="83"/>
        <v>383.87056924159208</v>
      </c>
      <c r="AF226" s="727">
        <f t="shared" ca="1" si="83"/>
        <v>652.74597007842499</v>
      </c>
      <c r="AG226" s="728">
        <f t="shared" ca="1" si="83"/>
        <v>640.10113963945332</v>
      </c>
      <c r="AH226" s="850">
        <f t="shared" ref="AH226:AI226" ca="1" si="84">IFERROR(AH168*1000/AH144,"")</f>
        <v>651.6270295164702</v>
      </c>
      <c r="AI226" s="851">
        <f t="shared" ca="1" si="84"/>
        <v>586.29247934028626</v>
      </c>
    </row>
    <row r="227" spans="1:35">
      <c r="A227" s="210"/>
      <c r="B227" s="712" t="s">
        <v>457</v>
      </c>
      <c r="C227" s="718">
        <v>2010</v>
      </c>
      <c r="D227" s="727">
        <f t="shared" ref="D227:AG227" ca="1" si="85">IFERROR(D169*1000/D145,"")</f>
        <v>338.00325502853826</v>
      </c>
      <c r="E227" s="727">
        <f t="shared" ca="1" si="85"/>
        <v>610.26629634618052</v>
      </c>
      <c r="F227" s="727">
        <f t="shared" ca="1" si="85"/>
        <v>908.29692052339885</v>
      </c>
      <c r="G227" s="727">
        <f t="shared" ca="1" si="85"/>
        <v>850.57669446870841</v>
      </c>
      <c r="H227" s="727">
        <f t="shared" ca="1" si="85"/>
        <v>542.95074438132372</v>
      </c>
      <c r="I227" s="727">
        <f t="shared" ca="1" si="85"/>
        <v>895.02650966020838</v>
      </c>
      <c r="J227" s="727">
        <f t="shared" ca="1" si="85"/>
        <v>419.41435159541544</v>
      </c>
      <c r="K227" s="727">
        <f t="shared" ca="1" si="85"/>
        <v>535.88722479478326</v>
      </c>
      <c r="L227" s="727">
        <f t="shared" ca="1" si="85"/>
        <v>646.03301457006228</v>
      </c>
      <c r="M227" s="727">
        <f t="shared" ca="1" si="85"/>
        <v>661.97202088421398</v>
      </c>
      <c r="N227" s="727">
        <f t="shared" ca="1" si="85"/>
        <v>663.5579673166543</v>
      </c>
      <c r="O227" s="727">
        <f t="shared" ca="1" si="85"/>
        <v>582.83410992979418</v>
      </c>
      <c r="P227" s="727">
        <f t="shared" ca="1" si="85"/>
        <v>398.77625699529602</v>
      </c>
      <c r="Q227" s="727">
        <f t="shared" ca="1" si="85"/>
        <v>547.63299609374269</v>
      </c>
      <c r="R227" s="727">
        <f t="shared" ca="1" si="85"/>
        <v>470.11734940554754</v>
      </c>
      <c r="S227" s="727">
        <f t="shared" ca="1" si="85"/>
        <v>574.18456169040962</v>
      </c>
      <c r="T227" s="727">
        <f t="shared" ca="1" si="85"/>
        <v>851.18807894359122</v>
      </c>
      <c r="U227" s="727">
        <f t="shared" ca="1" si="85"/>
        <v>1120.022794362608</v>
      </c>
      <c r="V227" s="727">
        <f t="shared" ca="1" si="85"/>
        <v>685.27832202473314</v>
      </c>
      <c r="W227" s="727">
        <f t="shared" ca="1" si="85"/>
        <v>759.34203649121298</v>
      </c>
      <c r="X227" s="727">
        <f t="shared" ca="1" si="85"/>
        <v>734.7984808713943</v>
      </c>
      <c r="Y227" s="727">
        <f t="shared" ca="1" si="85"/>
        <v>877.12219507832037</v>
      </c>
      <c r="Z227" s="727">
        <f t="shared" ca="1" si="85"/>
        <v>725.56805538234073</v>
      </c>
      <c r="AA227" s="727">
        <f t="shared" ca="1" si="85"/>
        <v>682.66519530965149</v>
      </c>
      <c r="AB227" s="727">
        <f t="shared" ca="1" si="85"/>
        <v>696.51613849642456</v>
      </c>
      <c r="AC227" s="727">
        <f t="shared" ca="1" si="85"/>
        <v>515.30379838869874</v>
      </c>
      <c r="AD227" s="727">
        <f t="shared" ca="1" si="85"/>
        <v>717.18928154210585</v>
      </c>
      <c r="AE227" s="727">
        <f t="shared" ca="1" si="85"/>
        <v>645.34379781334962</v>
      </c>
      <c r="AF227" s="727">
        <f t="shared" ca="1" si="85"/>
        <v>675.14631010023413</v>
      </c>
      <c r="AG227" s="728">
        <f t="shared" ca="1" si="85"/>
        <v>691.54812281075863</v>
      </c>
      <c r="AH227" s="850">
        <f t="shared" ref="AH227:AI227" ca="1" si="86">IFERROR(AH169*1000/AH145,"")</f>
        <v>705.34377552294359</v>
      </c>
      <c r="AI227" s="851">
        <f t="shared" ca="1" si="86"/>
        <v>627.87788192930179</v>
      </c>
    </row>
    <row r="228" spans="1:35">
      <c r="A228" s="210"/>
      <c r="B228" s="712" t="s">
        <v>457</v>
      </c>
      <c r="C228" s="718">
        <v>2011</v>
      </c>
      <c r="D228" s="727">
        <f t="shared" ref="D228:AG228" ca="1" si="87">IFERROR(D170*1000/D146,"")</f>
        <v>323.18188177684505</v>
      </c>
      <c r="E228" s="727">
        <f t="shared" ca="1" si="87"/>
        <v>603.10565330726627</v>
      </c>
      <c r="F228" s="727">
        <f t="shared" ca="1" si="87"/>
        <v>750.53905185961241</v>
      </c>
      <c r="G228" s="727">
        <f t="shared" ca="1" si="87"/>
        <v>928.1005859375</v>
      </c>
      <c r="H228" s="727">
        <f t="shared" ca="1" si="87"/>
        <v>514.44945588939845</v>
      </c>
      <c r="I228" s="727">
        <f t="shared" ca="1" si="87"/>
        <v>927.94733692399757</v>
      </c>
      <c r="J228" s="727">
        <f t="shared" ca="1" si="87"/>
        <v>562.7168591663102</v>
      </c>
      <c r="K228" s="727">
        <f t="shared" ca="1" si="87"/>
        <v>535.43268670256214</v>
      </c>
      <c r="L228" s="727">
        <f t="shared" ca="1" si="87"/>
        <v>676.19826604227308</v>
      </c>
      <c r="M228" s="727">
        <f t="shared" ca="1" si="87"/>
        <v>663.67036169907783</v>
      </c>
      <c r="N228" s="727">
        <f t="shared" ca="1" si="87"/>
        <v>674.22206506364921</v>
      </c>
      <c r="O228" s="727">
        <f t="shared" ca="1" si="87"/>
        <v>585.68628489696459</v>
      </c>
      <c r="P228" s="727">
        <f t="shared" ca="1" si="87"/>
        <v>381.40228741919441</v>
      </c>
      <c r="Q228" s="727">
        <f t="shared" ca="1" si="87"/>
        <v>533.38533141210371</v>
      </c>
      <c r="R228" s="727">
        <f t="shared" ca="1" si="87"/>
        <v>403.04471931493816</v>
      </c>
      <c r="S228" s="727">
        <f t="shared" ca="1" si="87"/>
        <v>565.9808645217272</v>
      </c>
      <c r="T228" s="727">
        <f t="shared" ca="1" si="87"/>
        <v>835.45201792318483</v>
      </c>
      <c r="U228" s="727">
        <f t="shared" ca="1" si="87"/>
        <v>1232.522639250757</v>
      </c>
      <c r="V228" s="727">
        <f t="shared" ca="1" si="87"/>
        <v>707.57856753769761</v>
      </c>
      <c r="W228" s="727">
        <f t="shared" ca="1" si="87"/>
        <v>794.29162969535639</v>
      </c>
      <c r="X228" s="727">
        <f t="shared" ca="1" si="87"/>
        <v>872.18573140000831</v>
      </c>
      <c r="Y228" s="727">
        <f t="shared" ca="1" si="87"/>
        <v>840.08248761318987</v>
      </c>
      <c r="Z228" s="727">
        <f t="shared" ca="1" si="87"/>
        <v>836.23902106527316</v>
      </c>
      <c r="AA228" s="727">
        <f t="shared" ca="1" si="87"/>
        <v>669.64644928318398</v>
      </c>
      <c r="AB228" s="727">
        <f t="shared" ca="1" si="87"/>
        <v>694.3052109181142</v>
      </c>
      <c r="AC228" s="727">
        <f t="shared" ca="1" si="87"/>
        <v>540.32608095676176</v>
      </c>
      <c r="AD228" s="727">
        <f t="shared" ca="1" si="87"/>
        <v>685.48501162216519</v>
      </c>
      <c r="AE228" s="727">
        <f t="shared" ca="1" si="87"/>
        <v>629.84788586353761</v>
      </c>
      <c r="AF228" s="727">
        <f t="shared" ca="1" si="87"/>
        <v>678.22399600897984</v>
      </c>
      <c r="AG228" s="728">
        <f t="shared" ca="1" si="87"/>
        <v>696.24067655124929</v>
      </c>
      <c r="AH228" s="850">
        <f t="shared" ref="AH228:AI228" ca="1" si="88">IFERROR(AH170*1000/AH146,"")</f>
        <v>710.6434315622655</v>
      </c>
      <c r="AI228" s="851">
        <f t="shared" ca="1" si="88"/>
        <v>629.92143089164335</v>
      </c>
    </row>
    <row r="229" spans="1:35">
      <c r="A229" s="210"/>
      <c r="B229" s="712" t="s">
        <v>543</v>
      </c>
      <c r="C229" s="718" t="s">
        <v>527</v>
      </c>
      <c r="D229" s="832">
        <f ca="1">D228/D225-1</f>
        <v>0.19342481258971089</v>
      </c>
      <c r="E229" s="832">
        <f t="shared" ref="E229:AI229" ca="1" si="89">E228/E225-1</f>
        <v>2.8031550247222148E-2</v>
      </c>
      <c r="F229" s="832">
        <f t="shared" ca="1" si="89"/>
        <v>-9.5878680101006863E-2</v>
      </c>
      <c r="G229" s="832">
        <f t="shared" ca="1" si="89"/>
        <v>0.32991983166122529</v>
      </c>
      <c r="H229" s="832">
        <f t="shared" ca="1" si="89"/>
        <v>8.8106978369710598E-2</v>
      </c>
      <c r="I229" s="832">
        <f t="shared" ca="1" si="89"/>
        <v>0.1060100741472989</v>
      </c>
      <c r="J229" s="832">
        <f t="shared" ca="1" si="89"/>
        <v>0.40077062346461045</v>
      </c>
      <c r="K229" s="832">
        <f t="shared" ca="1" si="89"/>
        <v>1.5006376968677682E-2</v>
      </c>
      <c r="L229" s="832">
        <f t="shared" ca="1" si="89"/>
        <v>8.8547611409526272E-2</v>
      </c>
      <c r="M229" s="832">
        <f t="shared" ca="1" si="89"/>
        <v>4.5590729523060203E-2</v>
      </c>
      <c r="N229" s="832">
        <f t="shared" ca="1" si="89"/>
        <v>7.8646775226529408E-2</v>
      </c>
      <c r="O229" s="832">
        <f t="shared" ca="1" si="89"/>
        <v>0.20264025547449083</v>
      </c>
      <c r="P229" s="832">
        <f t="shared" ca="1" si="89"/>
        <v>-0.25095813747045403</v>
      </c>
      <c r="Q229" s="832">
        <f t="shared" ca="1" si="89"/>
        <v>4.9046780103677134E-2</v>
      </c>
      <c r="R229" s="832">
        <f t="shared" ca="1" si="89"/>
        <v>-5.2813275416653149E-2</v>
      </c>
      <c r="S229" s="832">
        <f t="shared" ca="1" si="89"/>
        <v>0.12261265577765035</v>
      </c>
      <c r="T229" s="832">
        <f t="shared" ca="1" si="89"/>
        <v>-7.4600826132539266E-3</v>
      </c>
      <c r="U229" s="832">
        <f t="shared" ca="1" si="89"/>
        <v>0.12613052063261754</v>
      </c>
      <c r="V229" s="832">
        <f t="shared" ca="1" si="89"/>
        <v>-3.2607829220013707E-2</v>
      </c>
      <c r="W229" s="832">
        <f t="shared" ca="1" si="89"/>
        <v>9.6386660158525261E-2</v>
      </c>
      <c r="X229" s="832">
        <f t="shared" ca="1" si="89"/>
        <v>0.38042477824128795</v>
      </c>
      <c r="Y229" s="832">
        <f t="shared" ca="1" si="89"/>
        <v>0.30019430281527315</v>
      </c>
      <c r="Z229" s="832">
        <f t="shared" ca="1" si="89"/>
        <v>0.21765190831407</v>
      </c>
      <c r="AA229" s="832">
        <f t="shared" ca="1" si="89"/>
        <v>0.17471178303275448</v>
      </c>
      <c r="AB229" s="832">
        <f t="shared" ca="1" si="89"/>
        <v>0.16362052242921399</v>
      </c>
      <c r="AC229" s="832">
        <f t="shared" ca="1" si="89"/>
        <v>0.34403930178726339</v>
      </c>
      <c r="AD229" s="832">
        <f t="shared" ca="1" si="89"/>
        <v>7.1382176515996099E-2</v>
      </c>
      <c r="AE229" s="832"/>
      <c r="AF229" s="832">
        <f t="shared" ca="1" si="89"/>
        <v>3.7317449571360406E-2</v>
      </c>
      <c r="AG229" s="832">
        <f t="shared" ca="1" si="89"/>
        <v>8.5978741071940146E-2</v>
      </c>
      <c r="AH229" s="832">
        <f t="shared" ca="1" si="89"/>
        <v>7.5713808192927834E-2</v>
      </c>
      <c r="AI229" s="832">
        <f t="shared" ca="1" si="89"/>
        <v>0.14535400241375895</v>
      </c>
    </row>
    <row r="230" spans="1:35">
      <c r="A230" s="210"/>
      <c r="B230" s="712" t="s">
        <v>543</v>
      </c>
      <c r="C230" s="718" t="s">
        <v>528</v>
      </c>
      <c r="D230" s="832">
        <f ca="1">D228/D227-1</f>
        <v>-4.3849794435979139E-2</v>
      </c>
      <c r="E230" s="832">
        <f t="shared" ref="E230:AI230" ca="1" si="90">E228/E227-1</f>
        <v>-1.1733636744789666E-2</v>
      </c>
      <c r="F230" s="832">
        <f t="shared" ca="1" si="90"/>
        <v>-0.17368535013074771</v>
      </c>
      <c r="G230" s="832">
        <f t="shared" ca="1" si="90"/>
        <v>9.1142741122498094E-2</v>
      </c>
      <c r="H230" s="832">
        <f t="shared" ca="1" si="90"/>
        <v>-5.2493322436460876E-2</v>
      </c>
      <c r="I230" s="832">
        <f t="shared" ca="1" si="90"/>
        <v>3.6781957750376959E-2</v>
      </c>
      <c r="J230" s="832">
        <f t="shared" ca="1" si="90"/>
        <v>0.34167287558421533</v>
      </c>
      <c r="K230" s="832">
        <f t="shared" ca="1" si="90"/>
        <v>-8.4819729075491512E-4</v>
      </c>
      <c r="L230" s="832">
        <f t="shared" ca="1" si="90"/>
        <v>4.6693049413714327E-2</v>
      </c>
      <c r="M230" s="832">
        <f t="shared" ca="1" si="90"/>
        <v>2.5655779417916857E-3</v>
      </c>
      <c r="N230" s="832">
        <f t="shared" ca="1" si="90"/>
        <v>1.6071086886529695E-2</v>
      </c>
      <c r="O230" s="832">
        <f t="shared" ca="1" si="90"/>
        <v>4.8936308266411821E-3</v>
      </c>
      <c r="P230" s="832">
        <f t="shared" ca="1" si="90"/>
        <v>-4.3568214685124951E-2</v>
      </c>
      <c r="Q230" s="832">
        <f t="shared" ca="1" si="90"/>
        <v>-2.6016811958496588E-2</v>
      </c>
      <c r="R230" s="832">
        <f t="shared" ca="1" si="90"/>
        <v>-0.14267210128581975</v>
      </c>
      <c r="S230" s="832">
        <f t="shared" ca="1" si="90"/>
        <v>-1.428756138014331E-2</v>
      </c>
      <c r="T230" s="832">
        <f t="shared" ca="1" si="90"/>
        <v>-1.848717270563327E-2</v>
      </c>
      <c r="U230" s="832">
        <f t="shared" ca="1" si="90"/>
        <v>0.10044424582641764</v>
      </c>
      <c r="V230" s="832">
        <f t="shared" ca="1" si="90"/>
        <v>3.2541880862473338E-2</v>
      </c>
      <c r="W230" s="832">
        <f t="shared" ca="1" si="90"/>
        <v>4.6026153596921082E-2</v>
      </c>
      <c r="X230" s="832">
        <f t="shared" ca="1" si="90"/>
        <v>0.18697269265675009</v>
      </c>
      <c r="Y230" s="832">
        <f t="shared" ca="1" si="90"/>
        <v>-4.2228674263365518E-2</v>
      </c>
      <c r="Z230" s="832">
        <f t="shared" ca="1" si="90"/>
        <v>0.1525300967455272</v>
      </c>
      <c r="AA230" s="832">
        <f t="shared" ca="1" si="90"/>
        <v>-1.9070469852446981E-2</v>
      </c>
      <c r="AB230" s="832">
        <f t="shared" ca="1" si="90"/>
        <v>-3.1742661169102959E-3</v>
      </c>
      <c r="AC230" s="832">
        <f t="shared" ca="1" si="90"/>
        <v>4.855831190514226E-2</v>
      </c>
      <c r="AD230" s="832">
        <f t="shared" ca="1" si="90"/>
        <v>-4.4206279619474875E-2</v>
      </c>
      <c r="AE230" s="832">
        <f t="shared" ca="1" si="90"/>
        <v>-2.4011870885437436E-2</v>
      </c>
      <c r="AF230" s="832">
        <f t="shared" ca="1" si="90"/>
        <v>4.5585465886479604E-3</v>
      </c>
      <c r="AG230" s="832">
        <f t="shared" ca="1" si="90"/>
        <v>6.7855780179375547E-3</v>
      </c>
      <c r="AH230" s="832">
        <f t="shared" ca="1" si="90"/>
        <v>7.5135788011919669E-3</v>
      </c>
      <c r="AI230" s="832">
        <f t="shared" ca="1" si="90"/>
        <v>3.2546917500300143E-3</v>
      </c>
    </row>
    <row r="231" spans="1:35">
      <c r="A231" s="210"/>
      <c r="B231" s="712" t="s">
        <v>458</v>
      </c>
      <c r="C231" s="718">
        <v>2008</v>
      </c>
      <c r="D231" s="727">
        <f t="shared" ref="D231:AG231" ca="1" si="91">IFERROR(D185*1000/D159,"")</f>
        <v>1155.963887657123</v>
      </c>
      <c r="E231" s="727">
        <f t="shared" ca="1" si="91"/>
        <v>4634.263663606047</v>
      </c>
      <c r="F231" s="727">
        <f t="shared" ca="1" si="91"/>
        <v>26470.764170190923</v>
      </c>
      <c r="G231" s="727">
        <f t="shared" ca="1" si="91"/>
        <v>33529.844088711048</v>
      </c>
      <c r="H231" s="727">
        <f t="shared" ca="1" si="91"/>
        <v>1833.0545422446987</v>
      </c>
      <c r="I231" s="727">
        <f t="shared" ca="1" si="91"/>
        <v>13557.424075534957</v>
      </c>
      <c r="J231" s="727">
        <f t="shared" ca="1" si="91"/>
        <v>6080.3259641330978</v>
      </c>
      <c r="K231" s="727">
        <f t="shared" ca="1" si="91"/>
        <v>6400.7895662843102</v>
      </c>
      <c r="L231" s="727">
        <f t="shared" ca="1" si="91"/>
        <v>3730.6420400471684</v>
      </c>
      <c r="M231" s="727">
        <f t="shared" ca="1" si="91"/>
        <v>3926.4500756692032</v>
      </c>
      <c r="N231" s="727">
        <f t="shared" ca="1" si="91"/>
        <v>3314.5267440865805</v>
      </c>
      <c r="O231" s="727">
        <f t="shared" ca="1" si="91"/>
        <v>2037.8652830862168</v>
      </c>
      <c r="P231" s="727">
        <f t="shared" ca="1" si="91"/>
        <v>2961.7850405718323</v>
      </c>
      <c r="Q231" s="727">
        <f t="shared" ca="1" si="91"/>
        <v>7469.9494017964034</v>
      </c>
      <c r="R231" s="727">
        <f t="shared" ca="1" si="91"/>
        <v>3560.9830495515885</v>
      </c>
      <c r="S231" s="727">
        <f t="shared" ca="1" si="91"/>
        <v>2180.5988392975428</v>
      </c>
      <c r="T231" s="727">
        <f t="shared" ca="1" si="91"/>
        <v>64599.780641063691</v>
      </c>
      <c r="U231" s="727">
        <f t="shared" ca="1" si="91"/>
        <v>15463.264067666078</v>
      </c>
      <c r="V231" s="727">
        <f t="shared" ca="1" si="91"/>
        <v>8509.3069562603232</v>
      </c>
      <c r="W231" s="727">
        <f t="shared" ca="1" si="91"/>
        <v>67830.37742484294</v>
      </c>
      <c r="X231" s="727">
        <f t="shared" ca="1" si="91"/>
        <v>34954.323833191127</v>
      </c>
      <c r="Y231" s="727">
        <f t="shared" ca="1" si="91"/>
        <v>4211.3019016852895</v>
      </c>
      <c r="Z231" s="727">
        <f t="shared" ca="1" si="91"/>
        <v>27204.414833015762</v>
      </c>
      <c r="AA231" s="727">
        <f t="shared" ca="1" si="91"/>
        <v>5443.7556334653545</v>
      </c>
      <c r="AB231" s="727">
        <f t="shared" ca="1" si="91"/>
        <v>5644.1378902926899</v>
      </c>
      <c r="AC231" s="727">
        <f t="shared" ca="1" si="91"/>
        <v>4954.1812530090338</v>
      </c>
      <c r="AD231" s="727">
        <f t="shared" ca="1" si="91"/>
        <v>35920.93934795454</v>
      </c>
      <c r="AE231" s="727" t="str">
        <f t="shared" ca="1" si="91"/>
        <v/>
      </c>
      <c r="AF231" s="727">
        <f t="shared" ca="1" si="91"/>
        <v>11136.489225287891</v>
      </c>
      <c r="AG231" s="728">
        <f t="shared" ca="1" si="91"/>
        <v>4620.6585446187164</v>
      </c>
      <c r="AH231" s="850">
        <f t="shared" ref="AH231:AI231" ca="1" si="92">IFERROR(AH185*1000/AH159,"")</f>
        <v>5065.213974115758</v>
      </c>
      <c r="AI231" s="851">
        <f t="shared" ca="1" si="92"/>
        <v>3449.8620036837274</v>
      </c>
    </row>
    <row r="232" spans="1:35">
      <c r="A232" s="210"/>
      <c r="B232" s="712" t="s">
        <v>458</v>
      </c>
      <c r="C232" s="718">
        <v>2009</v>
      </c>
      <c r="D232" s="727">
        <f t="shared" ref="D232:AG232" ca="1" si="93">IFERROR(D186*1000/D160,"")</f>
        <v>1156.4831974245742</v>
      </c>
      <c r="E232" s="727">
        <f t="shared" ca="1" si="93"/>
        <v>4940.0600509438664</v>
      </c>
      <c r="F232" s="727">
        <f t="shared" ca="1" si="93"/>
        <v>13630.63323853208</v>
      </c>
      <c r="G232" s="727">
        <f t="shared" ca="1" si="93"/>
        <v>22288.012863199292</v>
      </c>
      <c r="H232" s="727">
        <f t="shared" ca="1" si="93"/>
        <v>2060.4164401917169</v>
      </c>
      <c r="I232" s="727">
        <f t="shared" ca="1" si="93"/>
        <v>13890.102895937198</v>
      </c>
      <c r="J232" s="727">
        <f t="shared" ca="1" si="93"/>
        <v>7579.3720643104007</v>
      </c>
      <c r="K232" s="727">
        <f t="shared" ca="1" si="93"/>
        <v>6245.0351446615914</v>
      </c>
      <c r="L232" s="727">
        <f t="shared" ca="1" si="93"/>
        <v>3725.575545899419</v>
      </c>
      <c r="M232" s="727">
        <f t="shared" ca="1" si="93"/>
        <v>3792.0111196163652</v>
      </c>
      <c r="N232" s="727">
        <f t="shared" ca="1" si="93"/>
        <v>3259.1127618460814</v>
      </c>
      <c r="O232" s="727">
        <f t="shared" ca="1" si="93"/>
        <v>2250.5489546953177</v>
      </c>
      <c r="P232" s="727">
        <f t="shared" ca="1" si="93"/>
        <v>3134.7481331774015</v>
      </c>
      <c r="Q232" s="727">
        <f t="shared" ca="1" si="93"/>
        <v>7473.7934390821219</v>
      </c>
      <c r="R232" s="727">
        <f t="shared" ca="1" si="93"/>
        <v>3660.2824714646245</v>
      </c>
      <c r="S232" s="727">
        <f t="shared" ca="1" si="93"/>
        <v>2337.8802005953298</v>
      </c>
      <c r="T232" s="727">
        <f t="shared" ca="1" si="93"/>
        <v>59068.698082613162</v>
      </c>
      <c r="U232" s="727">
        <f t="shared" ca="1" si="93"/>
        <v>16383.751650717486</v>
      </c>
      <c r="V232" s="727">
        <f t="shared" ca="1" si="93"/>
        <v>9747.1058399982903</v>
      </c>
      <c r="W232" s="727">
        <f t="shared" ca="1" si="93"/>
        <v>51212.666163314781</v>
      </c>
      <c r="X232" s="727">
        <f t="shared" ca="1" si="93"/>
        <v>22146.857647707071</v>
      </c>
      <c r="Y232" s="727">
        <f t="shared" ca="1" si="93"/>
        <v>3721.0387523590771</v>
      </c>
      <c r="Z232" s="727">
        <f t="shared" ca="1" si="93"/>
        <v>26887.961613511743</v>
      </c>
      <c r="AA232" s="727">
        <f t="shared" ca="1" si="93"/>
        <v>5204.8515648421089</v>
      </c>
      <c r="AB232" s="727">
        <f t="shared" ca="1" si="93"/>
        <v>5306.6948861751698</v>
      </c>
      <c r="AC232" s="727">
        <f t="shared" ca="1" si="93"/>
        <v>4249.0923411513895</v>
      </c>
      <c r="AD232" s="727">
        <f t="shared" ca="1" si="93"/>
        <v>36603.484278089229</v>
      </c>
      <c r="AE232" s="727">
        <f t="shared" ca="1" si="93"/>
        <v>2736.0891012685379</v>
      </c>
      <c r="AF232" s="727">
        <f t="shared" ca="1" si="93"/>
        <v>11408.04883858959</v>
      </c>
      <c r="AG232" s="728">
        <f t="shared" ca="1" si="93"/>
        <v>4378.6069766320625</v>
      </c>
      <c r="AH232" s="850">
        <f t="shared" ref="AH232:AI232" ca="1" si="94">IFERROR(AH186*1000/AH160,"")</f>
        <v>4733.5260269195933</v>
      </c>
      <c r="AI232" s="851">
        <f t="shared" ca="1" si="94"/>
        <v>3456.1923330421118</v>
      </c>
    </row>
    <row r="233" spans="1:35">
      <c r="A233" s="210"/>
      <c r="B233" s="712" t="s">
        <v>458</v>
      </c>
      <c r="C233" s="718">
        <v>2010</v>
      </c>
      <c r="D233" s="727">
        <f t="shared" ref="D233:AG233" ca="1" si="95">IFERROR(D187*1000/D161,"")</f>
        <v>1247.9635890640502</v>
      </c>
      <c r="E233" s="727">
        <f t="shared" ca="1" si="95"/>
        <v>4735.2759825452094</v>
      </c>
      <c r="F233" s="727">
        <f t="shared" ca="1" si="95"/>
        <v>17003.230548594456</v>
      </c>
      <c r="G233" s="727">
        <f t="shared" ca="1" si="95"/>
        <v>25596.666789754188</v>
      </c>
      <c r="H233" s="727">
        <f t="shared" ca="1" si="95"/>
        <v>1921.6058005197417</v>
      </c>
      <c r="I233" s="727">
        <f t="shared" ca="1" si="95"/>
        <v>13379.289683502042</v>
      </c>
      <c r="J233" s="727">
        <f t="shared" ca="1" si="95"/>
        <v>7904.1500789589836</v>
      </c>
      <c r="K233" s="727">
        <f t="shared" ca="1" si="95"/>
        <v>6113.3674265362624</v>
      </c>
      <c r="L233" s="727">
        <f t="shared" ca="1" si="95"/>
        <v>3751.5031750758676</v>
      </c>
      <c r="M233" s="727">
        <f t="shared" ca="1" si="95"/>
        <v>3762.7609417065328</v>
      </c>
      <c r="N233" s="727">
        <f t="shared" ca="1" si="95"/>
        <v>2986.3995729159565</v>
      </c>
      <c r="O233" s="727">
        <f t="shared" ca="1" si="95"/>
        <v>2819.0355413692196</v>
      </c>
      <c r="P233" s="727">
        <f t="shared" ca="1" si="95"/>
        <v>1072.1408306719286</v>
      </c>
      <c r="Q233" s="727">
        <f t="shared" ca="1" si="95"/>
        <v>7646.9814741969549</v>
      </c>
      <c r="R233" s="727">
        <f t="shared" ca="1" si="95"/>
        <v>3955.8421448141571</v>
      </c>
      <c r="S233" s="727">
        <f t="shared" ca="1" si="95"/>
        <v>2510.1797842379383</v>
      </c>
      <c r="T233" s="727">
        <f t="shared" ca="1" si="95"/>
        <v>64734.900885981529</v>
      </c>
      <c r="U233" s="727">
        <f t="shared" ca="1" si="95"/>
        <v>16945.510066056788</v>
      </c>
      <c r="V233" s="727">
        <f t="shared" ca="1" si="95"/>
        <v>9728.238375461935</v>
      </c>
      <c r="W233" s="727">
        <f t="shared" ca="1" si="95"/>
        <v>46418.140174072367</v>
      </c>
      <c r="X233" s="727">
        <f t="shared" ca="1" si="95"/>
        <v>28938.398257316501</v>
      </c>
      <c r="Y233" s="727">
        <f t="shared" ca="1" si="95"/>
        <v>3735.1223800621451</v>
      </c>
      <c r="Z233" s="727">
        <f t="shared" ca="1" si="95"/>
        <v>26948.987793655855</v>
      </c>
      <c r="AA233" s="727">
        <f t="shared" ca="1" si="95"/>
        <v>5246.6682760033873</v>
      </c>
      <c r="AB233" s="727">
        <f t="shared" ca="1" si="95"/>
        <v>5529.067373961866</v>
      </c>
      <c r="AC233" s="727">
        <f t="shared" ca="1" si="95"/>
        <v>4674.5735445471228</v>
      </c>
      <c r="AD233" s="727">
        <f t="shared" ca="1" si="95"/>
        <v>38151.232530179601</v>
      </c>
      <c r="AE233" s="727">
        <f t="shared" ca="1" si="95"/>
        <v>4224.0494615572798</v>
      </c>
      <c r="AF233" s="727">
        <f t="shared" ca="1" si="95"/>
        <v>12172.217019466314</v>
      </c>
      <c r="AG233" s="728">
        <f t="shared" ca="1" si="95"/>
        <v>4533.7451780139972</v>
      </c>
      <c r="AH233" s="850">
        <f t="shared" ref="AH233:AI233" ca="1" si="96">IFERROR(AH187*1000/AH161,"")</f>
        <v>4845.2349106692727</v>
      </c>
      <c r="AI233" s="851">
        <f t="shared" ca="1" si="96"/>
        <v>3633.674056752433</v>
      </c>
    </row>
    <row r="234" spans="1:35">
      <c r="A234" s="210"/>
      <c r="B234" s="712" t="s">
        <v>458</v>
      </c>
      <c r="C234" s="718">
        <v>2011</v>
      </c>
      <c r="D234" s="727">
        <f t="shared" ref="D234:AG234" ca="1" si="97">IFERROR(D188*1000/D162,"")</f>
        <v>1247.7958021347779</v>
      </c>
      <c r="E234" s="727">
        <f t="shared" ca="1" si="97"/>
        <v>4591.2881299734745</v>
      </c>
      <c r="F234" s="727">
        <f t="shared" ca="1" si="97"/>
        <v>5107.0276110260338</v>
      </c>
      <c r="G234" s="727">
        <f t="shared" ca="1" si="97"/>
        <v>36962.264150943396</v>
      </c>
      <c r="H234" s="727">
        <f t="shared" ca="1" si="97"/>
        <v>1942.1922613591726</v>
      </c>
      <c r="I234" s="727">
        <f t="shared" ca="1" si="97"/>
        <v>13795.100222717148</v>
      </c>
      <c r="J234" s="727">
        <f t="shared" ca="1" si="97"/>
        <v>11746.622222222222</v>
      </c>
      <c r="K234" s="727">
        <f t="shared" ca="1" si="97"/>
        <v>6041.7651202412035</v>
      </c>
      <c r="L234" s="727">
        <f t="shared" ca="1" si="97"/>
        <v>3803.9951844262291</v>
      </c>
      <c r="M234" s="727">
        <f t="shared" ca="1" si="97"/>
        <v>3704.3052947598253</v>
      </c>
      <c r="N234" s="727">
        <f t="shared" ca="1" si="97"/>
        <v>3354.1142952907658</v>
      </c>
      <c r="O234" s="727">
        <f t="shared" ca="1" si="97"/>
        <v>2956.7958464676431</v>
      </c>
      <c r="P234" s="727">
        <f t="shared" ca="1" si="97"/>
        <v>1146.2270854057126</v>
      </c>
      <c r="Q234" s="727">
        <f t="shared" ca="1" si="97"/>
        <v>7607.4149570490144</v>
      </c>
      <c r="R234" s="727">
        <f t="shared" ca="1" si="97"/>
        <v>4571.3495575221241</v>
      </c>
      <c r="S234" s="727">
        <f t="shared" ca="1" si="97"/>
        <v>2375.8825190624116</v>
      </c>
      <c r="T234" s="727">
        <f t="shared" ca="1" si="97"/>
        <v>63538.135593220337</v>
      </c>
      <c r="U234" s="727">
        <f t="shared" ca="1" si="97"/>
        <v>17772.202999999998</v>
      </c>
      <c r="V234" s="727">
        <f t="shared" ca="1" si="97"/>
        <v>42719.418513853903</v>
      </c>
      <c r="W234" s="727">
        <f t="shared" ca="1" si="97"/>
        <v>47480</v>
      </c>
      <c r="X234" s="727">
        <f t="shared" ca="1" si="97"/>
        <v>35730.337078651683</v>
      </c>
      <c r="Y234" s="727">
        <f t="shared" ca="1" si="97"/>
        <v>3951.9723383662413</v>
      </c>
      <c r="Z234" s="727">
        <f t="shared" ca="1" si="97"/>
        <v>29670.011502590671</v>
      </c>
      <c r="AA234" s="727">
        <f t="shared" ca="1" si="97"/>
        <v>5293.2522280379117</v>
      </c>
      <c r="AB234" s="727">
        <f t="shared" ca="1" si="97"/>
        <v>4252.8107596931804</v>
      </c>
      <c r="AC234" s="727">
        <f t="shared" ca="1" si="97"/>
        <v>4576.9595480225989</v>
      </c>
      <c r="AD234" s="727">
        <f t="shared" ca="1" si="97"/>
        <v>38077.973413379077</v>
      </c>
      <c r="AE234" s="727">
        <f t="shared" ca="1" si="97"/>
        <v>4389.386403841293</v>
      </c>
      <c r="AF234" s="727">
        <f t="shared" ca="1" si="97"/>
        <v>11613.663133097762</v>
      </c>
      <c r="AG234" s="728">
        <f t="shared" ca="1" si="97"/>
        <v>4382.7066941812218</v>
      </c>
      <c r="AH234" s="850">
        <f t="shared" ref="AH234:AI234" ca="1" si="98">IFERROR(AH188*1000/AH162,"")</f>
        <v>4592.9725131791738</v>
      </c>
      <c r="AI234" s="851">
        <f t="shared" ca="1" si="98"/>
        <v>3770.9425213434774</v>
      </c>
    </row>
    <row r="235" spans="1:35">
      <c r="A235" s="210"/>
      <c r="B235" s="712" t="s">
        <v>544</v>
      </c>
      <c r="C235" s="718" t="s">
        <v>527</v>
      </c>
      <c r="D235" s="832">
        <f ca="1">D234/D231-1</f>
        <v>7.9441854073640128E-2</v>
      </c>
      <c r="E235" s="832">
        <f t="shared" ref="E235:AI235" ca="1" si="99">E234/E231-1</f>
        <v>-9.2734330094486062E-3</v>
      </c>
      <c r="F235" s="832">
        <f t="shared" ca="1" si="99"/>
        <v>-0.80706912810710896</v>
      </c>
      <c r="G235" s="832">
        <f t="shared" ca="1" si="99"/>
        <v>0.1023691029743854</v>
      </c>
      <c r="H235" s="832">
        <f t="shared" ca="1" si="99"/>
        <v>5.9538718897489629E-2</v>
      </c>
      <c r="I235" s="832">
        <f t="shared" ca="1" si="99"/>
        <v>1.7531069756170803E-2</v>
      </c>
      <c r="J235" s="832">
        <f t="shared" ca="1" si="99"/>
        <v>0.93190665953005314</v>
      </c>
      <c r="K235" s="832">
        <f t="shared" ca="1" si="99"/>
        <v>-5.609064980580547E-2</v>
      </c>
      <c r="L235" s="832">
        <f t="shared" ca="1" si="99"/>
        <v>1.966233790099392E-2</v>
      </c>
      <c r="M235" s="832">
        <f t="shared" ca="1" si="99"/>
        <v>-5.657649444874624E-2</v>
      </c>
      <c r="N235" s="832">
        <f t="shared" ca="1" si="99"/>
        <v>1.1943651163718316E-2</v>
      </c>
      <c r="O235" s="832">
        <f t="shared" ca="1" si="99"/>
        <v>0.45092802306822</v>
      </c>
      <c r="P235" s="832">
        <f t="shared" ca="1" si="99"/>
        <v>-0.61299450510277054</v>
      </c>
      <c r="Q235" s="832">
        <f t="shared" ca="1" si="99"/>
        <v>1.8402474750304654E-2</v>
      </c>
      <c r="R235" s="832">
        <f t="shared" ca="1" si="99"/>
        <v>0.28373246766725391</v>
      </c>
      <c r="S235" s="832">
        <f t="shared" ca="1" si="99"/>
        <v>8.9555069114765518E-2</v>
      </c>
      <c r="T235" s="832">
        <f t="shared" ca="1" si="99"/>
        <v>-1.6434189672286714E-2</v>
      </c>
      <c r="U235" s="832">
        <f t="shared" ca="1" si="99"/>
        <v>0.14931769400239037</v>
      </c>
      <c r="V235" s="832">
        <f t="shared" ca="1" si="99"/>
        <v>4.02031701681946</v>
      </c>
      <c r="W235" s="832">
        <f t="shared" ca="1" si="99"/>
        <v>-0.30001863762871528</v>
      </c>
      <c r="X235" s="832">
        <f t="shared" ca="1" si="99"/>
        <v>2.2200779770875867E-2</v>
      </c>
      <c r="Y235" s="832">
        <f t="shared" ca="1" si="99"/>
        <v>-6.1579428255967406E-2</v>
      </c>
      <c r="Z235" s="832">
        <f t="shared" ca="1" si="99"/>
        <v>9.0632225861466242E-2</v>
      </c>
      <c r="AA235" s="832">
        <f t="shared" ca="1" si="99"/>
        <v>-2.7646980423262746E-2</v>
      </c>
      <c r="AB235" s="832">
        <f t="shared" ca="1" si="99"/>
        <v>-0.24650835214221867</v>
      </c>
      <c r="AC235" s="832">
        <f t="shared" ca="1" si="99"/>
        <v>-7.6142088010470066E-2</v>
      </c>
      <c r="AD235" s="832">
        <f t="shared" ca="1" si="99"/>
        <v>6.0049489366913456E-2</v>
      </c>
      <c r="AE235" s="832"/>
      <c r="AF235" s="832">
        <f t="shared" ca="1" si="99"/>
        <v>4.2847786062266469E-2</v>
      </c>
      <c r="AG235" s="832">
        <f t="shared" ca="1" si="99"/>
        <v>-5.1497388984653836E-2</v>
      </c>
      <c r="AH235" s="832">
        <f t="shared" ca="1" si="99"/>
        <v>-9.3232282653769594E-2</v>
      </c>
      <c r="AI235" s="832">
        <f t="shared" ca="1" si="99"/>
        <v>9.3070539435172739E-2</v>
      </c>
    </row>
    <row r="236" spans="1:35">
      <c r="A236" s="210"/>
      <c r="B236" s="712" t="s">
        <v>544</v>
      </c>
      <c r="C236" s="718" t="s">
        <v>528</v>
      </c>
      <c r="D236" s="832">
        <f ca="1">D234/D233-1</f>
        <v>-1.3444857746058858E-4</v>
      </c>
      <c r="E236" s="832">
        <f t="shared" ref="E236:AI236" ca="1" si="100">E234/E233-1</f>
        <v>-3.0407489046571201E-2</v>
      </c>
      <c r="F236" s="832">
        <f t="shared" ca="1" si="100"/>
        <v>-0.69964368850787606</v>
      </c>
      <c r="G236" s="832">
        <f t="shared" ca="1" si="100"/>
        <v>0.44402646073193486</v>
      </c>
      <c r="H236" s="832">
        <f t="shared" ca="1" si="100"/>
        <v>1.0713155025792842E-2</v>
      </c>
      <c r="I236" s="832">
        <f t="shared" ca="1" si="100"/>
        <v>3.107867077038029E-2</v>
      </c>
      <c r="J236" s="832">
        <f t="shared" ca="1" si="100"/>
        <v>0.48613350010799783</v>
      </c>
      <c r="K236" s="832">
        <f t="shared" ca="1" si="100"/>
        <v>-1.1712416627251199E-2</v>
      </c>
      <c r="L236" s="832">
        <f t="shared" ca="1" si="100"/>
        <v>1.3992260408869361E-2</v>
      </c>
      <c r="M236" s="832">
        <f t="shared" ca="1" si="100"/>
        <v>-1.5535307146086197E-2</v>
      </c>
      <c r="N236" s="832">
        <f t="shared" ca="1" si="100"/>
        <v>0.12312977998981167</v>
      </c>
      <c r="O236" s="832">
        <f t="shared" ca="1" si="100"/>
        <v>4.8867885160295943E-2</v>
      </c>
      <c r="P236" s="832">
        <f t="shared" ca="1" si="100"/>
        <v>6.9101234291536917E-2</v>
      </c>
      <c r="Q236" s="832">
        <f t="shared" ca="1" si="100"/>
        <v>-5.1741353475811547E-3</v>
      </c>
      <c r="R236" s="832">
        <f t="shared" ca="1" si="100"/>
        <v>0.1555945333953368</v>
      </c>
      <c r="S236" s="832">
        <f t="shared" ca="1" si="100"/>
        <v>-5.3501054394117009E-2</v>
      </c>
      <c r="T236" s="832">
        <f t="shared" ca="1" si="100"/>
        <v>-1.848717270563327E-2</v>
      </c>
      <c r="U236" s="832">
        <f t="shared" ca="1" si="100"/>
        <v>4.8785367375818511E-2</v>
      </c>
      <c r="V236" s="832">
        <f t="shared" ca="1" si="100"/>
        <v>3.3912799897674608</v>
      </c>
      <c r="W236" s="832">
        <f t="shared" ca="1" si="100"/>
        <v>2.2875966636008327E-2</v>
      </c>
      <c r="X236" s="832">
        <f t="shared" ca="1" si="100"/>
        <v>0.23470334332059917</v>
      </c>
      <c r="Y236" s="832">
        <f t="shared" ca="1" si="100"/>
        <v>5.805698883164534E-2</v>
      </c>
      <c r="Z236" s="832">
        <f t="shared" ca="1" si="100"/>
        <v>0.10096942155190636</v>
      </c>
      <c r="AA236" s="832">
        <f t="shared" ca="1" si="100"/>
        <v>8.8787683123754402E-3</v>
      </c>
      <c r="AB236" s="832">
        <f t="shared" ca="1" si="100"/>
        <v>-0.23082674309215023</v>
      </c>
      <c r="AC236" s="832">
        <f t="shared" ca="1" si="100"/>
        <v>-2.0881904112598715E-2</v>
      </c>
      <c r="AD236" s="832">
        <f t="shared" ca="1" si="100"/>
        <v>-1.9202293593679753E-3</v>
      </c>
      <c r="AE236" s="832">
        <f t="shared" ca="1" si="100"/>
        <v>3.9141810196289262E-2</v>
      </c>
      <c r="AF236" s="832">
        <f t="shared" ca="1" si="100"/>
        <v>-4.5887604983980257E-2</v>
      </c>
      <c r="AG236" s="832">
        <f t="shared" ca="1" si="100"/>
        <v>-3.3314286070867727E-2</v>
      </c>
      <c r="AH236" s="832">
        <f t="shared" ca="1" si="100"/>
        <v>-5.2064017976633847E-2</v>
      </c>
      <c r="AI236" s="832">
        <f t="shared" ca="1" si="100"/>
        <v>3.7776768759971491E-2</v>
      </c>
    </row>
    <row r="237" spans="1:35">
      <c r="A237" s="210"/>
      <c r="B237" s="712" t="s">
        <v>460</v>
      </c>
      <c r="C237" s="718">
        <v>2008</v>
      </c>
      <c r="D237" s="723">
        <f t="shared" ref="D237:AG237" ca="1" si="101">IFERROR((D167*1000*100)/(D199*1000),"")</f>
        <v>5.8593072454244597</v>
      </c>
      <c r="E237" s="723">
        <f t="shared" ca="1" si="101"/>
        <v>6.8517668326835057</v>
      </c>
      <c r="F237" s="723">
        <f t="shared" ca="1" si="101"/>
        <v>11.920262369953022</v>
      </c>
      <c r="G237" s="723">
        <f t="shared" ca="1" si="101"/>
        <v>9.1167743889485156</v>
      </c>
      <c r="H237" s="723">
        <f t="shared" ca="1" si="101"/>
        <v>6.3117714053930092</v>
      </c>
      <c r="I237" s="723">
        <f t="shared" ca="1" si="101"/>
        <v>12.530050476159763</v>
      </c>
      <c r="J237" s="723">
        <f t="shared" ca="1" si="101"/>
        <v>5.5099757047741509</v>
      </c>
      <c r="K237" s="723">
        <f t="shared" ca="1" si="101"/>
        <v>6.3739505799974259</v>
      </c>
      <c r="L237" s="723">
        <f t="shared" ca="1" si="101"/>
        <v>6.8648270397394695</v>
      </c>
      <c r="M237" s="723">
        <f t="shared" ca="1" si="101"/>
        <v>10.238475555760727</v>
      </c>
      <c r="N237" s="723">
        <f t="shared" ca="1" si="101"/>
        <v>7.9764639948696363</v>
      </c>
      <c r="O237" s="723">
        <f t="shared" ca="1" si="101"/>
        <v>7.3379972784165064</v>
      </c>
      <c r="P237" s="723">
        <f t="shared" ca="1" si="101"/>
        <v>6.8300533435613646</v>
      </c>
      <c r="Q237" s="723">
        <f t="shared" ca="1" si="101"/>
        <v>6.9938312960506321</v>
      </c>
      <c r="R237" s="723">
        <f t="shared" ca="1" si="101"/>
        <v>5.9583293572160567</v>
      </c>
      <c r="S237" s="723">
        <f t="shared" ca="1" si="101"/>
        <v>7.7749417205510714</v>
      </c>
      <c r="T237" s="723">
        <f t="shared" ca="1" si="101"/>
        <v>6.7954895981684027</v>
      </c>
      <c r="U237" s="723">
        <f t="shared" ca="1" si="101"/>
        <v>14.92545012303794</v>
      </c>
      <c r="V237" s="723">
        <f t="shared" ca="1" si="101"/>
        <v>9.0359471481975682</v>
      </c>
      <c r="W237" s="723">
        <f t="shared" ca="1" si="101"/>
        <v>8.5129452070712741</v>
      </c>
      <c r="X237" s="723">
        <f t="shared" ca="1" si="101"/>
        <v>10.348544644648303</v>
      </c>
      <c r="Y237" s="723">
        <f t="shared" ca="1" si="101"/>
        <v>8.7630069738331677</v>
      </c>
      <c r="Z237" s="723">
        <f t="shared" ca="1" si="101"/>
        <v>9.0510114575811365</v>
      </c>
      <c r="AA237" s="723">
        <f t="shared" ca="1" si="101"/>
        <v>7.7204856536869739</v>
      </c>
      <c r="AB237" s="723">
        <f t="shared" ca="1" si="101"/>
        <v>7.8893006561889925</v>
      </c>
      <c r="AC237" s="723">
        <f t="shared" ca="1" si="101"/>
        <v>5.8445392105878291</v>
      </c>
      <c r="AD237" s="723">
        <f t="shared" ca="1" si="101"/>
        <v>7.2721212402534325</v>
      </c>
      <c r="AE237" s="723" t="str">
        <f t="shared" ca="1" si="101"/>
        <v/>
      </c>
      <c r="AF237" s="723">
        <f t="shared" ca="1" si="101"/>
        <v>9.6348502727214846</v>
      </c>
      <c r="AG237" s="724">
        <f t="shared" ca="1" si="101"/>
        <v>7.8754493804524719</v>
      </c>
      <c r="AH237" s="857">
        <f t="shared" ref="AH237:AI237" ca="1" si="102">IFERROR((AH167*1000*100)/(AH199*1000),"")</f>
        <v>7.9964301986275093</v>
      </c>
      <c r="AI237" s="858">
        <f t="shared" ca="1" si="102"/>
        <v>7.2591012359016069</v>
      </c>
    </row>
    <row r="238" spans="1:35">
      <c r="A238" s="210"/>
      <c r="B238" s="712" t="s">
        <v>460</v>
      </c>
      <c r="C238" s="718">
        <v>2009</v>
      </c>
      <c r="D238" s="723">
        <f t="shared" ref="D238:AG238" ca="1" si="103">IFERROR((D168*1000*100)/(D200*1000),"")</f>
        <v>5.2259868204896769</v>
      </c>
      <c r="E238" s="723">
        <f t="shared" ca="1" si="103"/>
        <v>7.2640128879725463</v>
      </c>
      <c r="F238" s="723">
        <f t="shared" ca="1" si="103"/>
        <v>12.026056038968163</v>
      </c>
      <c r="G238" s="723">
        <f t="shared" ca="1" si="103"/>
        <v>9.6855381540562995</v>
      </c>
      <c r="H238" s="723">
        <f t="shared" ca="1" si="103"/>
        <v>6.5491554056618524</v>
      </c>
      <c r="I238" s="723">
        <f t="shared" ca="1" si="103"/>
        <v>13.040613392296471</v>
      </c>
      <c r="J238" s="723">
        <f t="shared" ca="1" si="103"/>
        <v>5.298988719061688</v>
      </c>
      <c r="K238" s="723">
        <f t="shared" ca="1" si="103"/>
        <v>6.2224363522533404</v>
      </c>
      <c r="L238" s="723">
        <f t="shared" ca="1" si="103"/>
        <v>6.587130067475333</v>
      </c>
      <c r="M238" s="723">
        <f t="shared" ca="1" si="103"/>
        <v>10.603391342472394</v>
      </c>
      <c r="N238" s="723">
        <f t="shared" ca="1" si="103"/>
        <v>8.0661361108655676</v>
      </c>
      <c r="O238" s="723">
        <f t="shared" ca="1" si="103"/>
        <v>8.5177270953679507</v>
      </c>
      <c r="P238" s="723">
        <f t="shared" ca="1" si="103"/>
        <v>7.1809590198439519</v>
      </c>
      <c r="Q238" s="723">
        <f t="shared" ca="1" si="103"/>
        <v>7.3110593358182614</v>
      </c>
      <c r="R238" s="723">
        <f t="shared" ca="1" si="103"/>
        <v>4.3626721368175119</v>
      </c>
      <c r="S238" s="723">
        <f t="shared" ca="1" si="103"/>
        <v>8.2916480106335211</v>
      </c>
      <c r="T238" s="723">
        <f t="shared" ca="1" si="103"/>
        <v>6.6662533059785813</v>
      </c>
      <c r="U238" s="723">
        <f t="shared" ca="1" si="103"/>
        <v>13.881684843707884</v>
      </c>
      <c r="V238" s="723">
        <f t="shared" ca="1" si="103"/>
        <v>8.4273300457607601</v>
      </c>
      <c r="W238" s="723">
        <f t="shared" ca="1" si="103"/>
        <v>8.3611842830392664</v>
      </c>
      <c r="X238" s="723">
        <f t="shared" ca="1" si="103"/>
        <v>9.9235233493424726</v>
      </c>
      <c r="Y238" s="723">
        <f t="shared" ca="1" si="103"/>
        <v>9.392585937568656</v>
      </c>
      <c r="Z238" s="723">
        <f t="shared" ca="1" si="103"/>
        <v>9.5927385142025283</v>
      </c>
      <c r="AA238" s="723">
        <f t="shared" ca="1" si="103"/>
        <v>7.9255818739645525</v>
      </c>
      <c r="AB238" s="723">
        <f t="shared" ca="1" si="103"/>
        <v>8.8003799494775539</v>
      </c>
      <c r="AC238" s="723">
        <f t="shared" ca="1" si="103"/>
        <v>6.828397571066593</v>
      </c>
      <c r="AD238" s="723">
        <f t="shared" ca="1" si="103"/>
        <v>7.9622147263834497</v>
      </c>
      <c r="AE238" s="723">
        <f t="shared" ca="1" si="103"/>
        <v>7.837720951400823</v>
      </c>
      <c r="AF238" s="723">
        <f t="shared" ca="1" si="103"/>
        <v>9.5041351092764135</v>
      </c>
      <c r="AG238" s="724">
        <f t="shared" ca="1" si="103"/>
        <v>8.0814477306314814</v>
      </c>
      <c r="AH238" s="857">
        <f t="shared" ref="AH238:AI238" ca="1" si="104">IFERROR((AH168*1000*100)/(AH200*1000),"")</f>
        <v>8.1703680887081145</v>
      </c>
      <c r="AI238" s="858">
        <f t="shared" ca="1" si="104"/>
        <v>7.6494774866018656</v>
      </c>
    </row>
    <row r="239" spans="1:35">
      <c r="A239" s="210"/>
      <c r="B239" s="712" t="s">
        <v>460</v>
      </c>
      <c r="C239" s="718">
        <v>2010</v>
      </c>
      <c r="D239" s="723">
        <f t="shared" ref="D239:AG239" ca="1" si="105">IFERROR((D169*1000*100)/(D201*1000),"")</f>
        <v>6.7773714031653398</v>
      </c>
      <c r="E239" s="723">
        <f t="shared" ca="1" si="105"/>
        <v>7.0794657903031535</v>
      </c>
      <c r="F239" s="723">
        <f t="shared" ca="1" si="105"/>
        <v>12.874201680814592</v>
      </c>
      <c r="G239" s="723">
        <f t="shared" ca="1" si="105"/>
        <v>10.907413121649656</v>
      </c>
      <c r="H239" s="723">
        <f t="shared" ca="1" si="105"/>
        <v>6.8995941477865879</v>
      </c>
      <c r="I239" s="723">
        <f t="shared" ca="1" si="105"/>
        <v>13.198022119822816</v>
      </c>
      <c r="J239" s="723">
        <f t="shared" ca="1" si="105"/>
        <v>5.6244226689905457</v>
      </c>
      <c r="K239" s="723">
        <f t="shared" ca="1" si="105"/>
        <v>6.227241448468309</v>
      </c>
      <c r="L239" s="723">
        <f t="shared" ca="1" si="105"/>
        <v>6.7309655844614369</v>
      </c>
      <c r="M239" s="723">
        <f t="shared" ca="1" si="105"/>
        <v>10.433342719130501</v>
      </c>
      <c r="N239" s="723">
        <f t="shared" ca="1" si="105"/>
        <v>7.9452443801848363</v>
      </c>
      <c r="O239" s="723">
        <f t="shared" ca="1" si="105"/>
        <v>8.2881937037748852</v>
      </c>
      <c r="P239" s="723">
        <f t="shared" ca="1" si="105"/>
        <v>6.8258628569970385</v>
      </c>
      <c r="Q239" s="723">
        <f t="shared" ca="1" si="105"/>
        <v>7.3876950904588101</v>
      </c>
      <c r="R239" s="723">
        <f t="shared" ca="1" si="105"/>
        <v>6.2836771446362603</v>
      </c>
      <c r="S239" s="723">
        <f t="shared" ca="1" si="105"/>
        <v>8.7504580277279764</v>
      </c>
      <c r="T239" s="723">
        <f t="shared" ca="1" si="105"/>
        <v>6.7219811113246406</v>
      </c>
      <c r="U239" s="723">
        <f t="shared" ca="1" si="105"/>
        <v>15.774522451352382</v>
      </c>
      <c r="V239" s="723">
        <f t="shared" ca="1" si="105"/>
        <v>8.8802793166364165</v>
      </c>
      <c r="W239" s="723">
        <f t="shared" ca="1" si="105"/>
        <v>8.6397487609254</v>
      </c>
      <c r="X239" s="723">
        <f t="shared" ca="1" si="105"/>
        <v>8.8615898319065511</v>
      </c>
      <c r="Y239" s="723">
        <f t="shared" ca="1" si="105"/>
        <v>9.9363234963983427</v>
      </c>
      <c r="Z239" s="723">
        <f t="shared" ca="1" si="105"/>
        <v>9.5971029775655303</v>
      </c>
      <c r="AA239" s="723">
        <f t="shared" ca="1" si="105"/>
        <v>8.8252311609418275</v>
      </c>
      <c r="AB239" s="723">
        <f t="shared" ca="1" si="105"/>
        <v>9.1273867344494324</v>
      </c>
      <c r="AC239" s="723">
        <f t="shared" ca="1" si="105"/>
        <v>7.1384395886421785</v>
      </c>
      <c r="AD239" s="723">
        <f t="shared" ca="1" si="105"/>
        <v>8.0337792338966949</v>
      </c>
      <c r="AE239" s="723">
        <f t="shared" ca="1" si="105"/>
        <v>8.0181837817048436</v>
      </c>
      <c r="AF239" s="723">
        <f t="shared" ca="1" si="105"/>
        <v>9.7085242235441918</v>
      </c>
      <c r="AG239" s="724">
        <f t="shared" ca="1" si="105"/>
        <v>8.3420426365838054</v>
      </c>
      <c r="AH239" s="857">
        <f t="shared" ref="AH239:AI239" ca="1" si="106">IFERROR((AH169*1000*100)/(AH201*1000),"")</f>
        <v>8.4254779932683803</v>
      </c>
      <c r="AI239" s="858">
        <f t="shared" ca="1" si="106"/>
        <v>7.9346588587036493</v>
      </c>
    </row>
    <row r="240" spans="1:35">
      <c r="A240" s="210"/>
      <c r="B240" s="712" t="s">
        <v>460</v>
      </c>
      <c r="C240" s="718">
        <v>2011</v>
      </c>
      <c r="D240" s="723">
        <f t="shared" ref="D240:AG240" ca="1" si="107">IFERROR((D170*1000*100)/(D202*1000),"")</f>
        <v>6.244986651346693</v>
      </c>
      <c r="E240" s="723">
        <f t="shared" ca="1" si="107"/>
        <v>7.1772287658774658</v>
      </c>
      <c r="F240" s="723">
        <f t="shared" ca="1" si="107"/>
        <v>14.243030227118417</v>
      </c>
      <c r="G240" s="723">
        <f t="shared" ca="1" si="107"/>
        <v>11.502095278437542</v>
      </c>
      <c r="H240" s="723">
        <f t="shared" ca="1" si="107"/>
        <v>6.7566335113200218</v>
      </c>
      <c r="I240" s="723">
        <f t="shared" ca="1" si="107"/>
        <v>13.894265232974911</v>
      </c>
      <c r="J240" s="723">
        <f t="shared" ca="1" si="107"/>
        <v>7.8671822409940066</v>
      </c>
      <c r="K240" s="723">
        <f t="shared" ca="1" si="107"/>
        <v>6.3275022648062453</v>
      </c>
      <c r="L240" s="723">
        <f t="shared" ca="1" si="107"/>
        <v>7.0902266834642278</v>
      </c>
      <c r="M240" s="723">
        <f t="shared" ca="1" si="107"/>
        <v>10.724095650582095</v>
      </c>
      <c r="N240" s="723">
        <f t="shared" ca="1" si="107"/>
        <v>8.3324229009434987</v>
      </c>
      <c r="O240" s="723">
        <f t="shared" ca="1" si="107"/>
        <v>8.7188990970387596</v>
      </c>
      <c r="P240" s="723">
        <f t="shared" ca="1" si="107"/>
        <v>7.226985772166211</v>
      </c>
      <c r="Q240" s="723">
        <f t="shared" ca="1" si="107"/>
        <v>7.5298822902025293</v>
      </c>
      <c r="R240" s="723">
        <f t="shared" ca="1" si="107"/>
        <v>5.7837009708630225</v>
      </c>
      <c r="S240" s="723">
        <f t="shared" ca="1" si="107"/>
        <v>8.9591405933722754</v>
      </c>
      <c r="T240" s="723">
        <f t="shared" ca="1" si="107"/>
        <v>6.5977106855955761</v>
      </c>
      <c r="U240" s="723">
        <f t="shared" ca="1" si="107"/>
        <v>17.926597655845722</v>
      </c>
      <c r="V240" s="723">
        <f t="shared" ca="1" si="107"/>
        <v>8.7933579278036991</v>
      </c>
      <c r="W240" s="723">
        <f t="shared" ca="1" si="107"/>
        <v>9.1547495270074482</v>
      </c>
      <c r="X240" s="723">
        <f t="shared" ca="1" si="107"/>
        <v>10.82862330361997</v>
      </c>
      <c r="Y240" s="723">
        <f t="shared" ca="1" si="107"/>
        <v>9.619400996308789</v>
      </c>
      <c r="Z240" s="723">
        <f t="shared" ca="1" si="107"/>
        <v>11.444050158985563</v>
      </c>
      <c r="AA240" s="723">
        <f t="shared" ca="1" si="107"/>
        <v>9.0335535297581551</v>
      </c>
      <c r="AB240" s="723">
        <f t="shared" ca="1" si="107"/>
        <v>9.2253088098805982</v>
      </c>
      <c r="AC240" s="723">
        <f t="shared" ca="1" si="107"/>
        <v>7.0798987150490431</v>
      </c>
      <c r="AD240" s="723">
        <f t="shared" ca="1" si="107"/>
        <v>7.8903820029134373</v>
      </c>
      <c r="AE240" s="723">
        <f t="shared" ca="1" si="107"/>
        <v>8.2421513260829187</v>
      </c>
      <c r="AF240" s="723">
        <f t="shared" ca="1" si="107"/>
        <v>9.9984065307723426</v>
      </c>
      <c r="AG240" s="724">
        <f t="shared" ca="1" si="107"/>
        <v>8.4943527910623686</v>
      </c>
      <c r="AH240" s="857">
        <f t="shared" ref="AH240:AI240" ca="1" si="108">IFERROR((AH170*1000*100)/(AH202*1000),"")</f>
        <v>8.5546402739403504</v>
      </c>
      <c r="AI240" s="858">
        <f t="shared" ca="1" si="108"/>
        <v>8.1943673383828308</v>
      </c>
    </row>
    <row r="241" spans="1:35">
      <c r="A241" s="210"/>
      <c r="B241" s="712" t="s">
        <v>540</v>
      </c>
      <c r="C241" s="718" t="s">
        <v>527</v>
      </c>
      <c r="D241" s="832">
        <f ca="1">D240/D237-1</f>
        <v>6.582337975592778E-2</v>
      </c>
      <c r="E241" s="832">
        <f t="shared" ref="E241:AI241" ca="1" si="109">E240/E237-1</f>
        <v>4.7500439104477321E-2</v>
      </c>
      <c r="F241" s="832">
        <f t="shared" ca="1" si="109"/>
        <v>0.19485878624788611</v>
      </c>
      <c r="G241" s="832">
        <f t="shared" ca="1" si="109"/>
        <v>0.26164088171146882</v>
      </c>
      <c r="H241" s="832">
        <f t="shared" ca="1" si="109"/>
        <v>7.0481339920977826E-2</v>
      </c>
      <c r="I241" s="832">
        <f t="shared" ca="1" si="109"/>
        <v>0.10887543984046699</v>
      </c>
      <c r="J241" s="832">
        <f t="shared" ca="1" si="109"/>
        <v>0.42780706531563117</v>
      </c>
      <c r="K241" s="832">
        <f t="shared" ca="1" si="109"/>
        <v>-7.2872098093987869E-3</v>
      </c>
      <c r="L241" s="832">
        <f t="shared" ca="1" si="109"/>
        <v>3.2833987283285238E-2</v>
      </c>
      <c r="M241" s="832">
        <f t="shared" ca="1" si="109"/>
        <v>4.7430898494271512E-2</v>
      </c>
      <c r="N241" s="832">
        <f t="shared" ca="1" si="109"/>
        <v>4.4626153431245985E-2</v>
      </c>
      <c r="O241" s="832">
        <f t="shared" ca="1" si="109"/>
        <v>0.18818510912833752</v>
      </c>
      <c r="P241" s="832">
        <f t="shared" ca="1" si="109"/>
        <v>5.8115567864346351E-2</v>
      </c>
      <c r="Q241" s="832">
        <f t="shared" ca="1" si="109"/>
        <v>7.6646257460428302E-2</v>
      </c>
      <c r="R241" s="832">
        <f t="shared" ca="1" si="109"/>
        <v>-2.9308280204675796E-2</v>
      </c>
      <c r="S241" s="832">
        <f t="shared" ca="1" si="109"/>
        <v>0.15230967837238918</v>
      </c>
      <c r="T241" s="832">
        <f t="shared" ca="1" si="109"/>
        <v>-2.9104439012920369E-2</v>
      </c>
      <c r="U241" s="832">
        <f t="shared" ca="1" si="109"/>
        <v>0.20107584749992946</v>
      </c>
      <c r="V241" s="832">
        <f t="shared" ca="1" si="109"/>
        <v>-2.6847126971327961E-2</v>
      </c>
      <c r="W241" s="832">
        <f t="shared" ca="1" si="109"/>
        <v>7.5391571815011771E-2</v>
      </c>
      <c r="X241" s="832">
        <f t="shared" ca="1" si="109"/>
        <v>4.6390934711765253E-2</v>
      </c>
      <c r="Y241" s="832">
        <f t="shared" ca="1" si="109"/>
        <v>9.772832830475453E-2</v>
      </c>
      <c r="Z241" s="832">
        <f t="shared" ca="1" si="109"/>
        <v>0.26439461629451544</v>
      </c>
      <c r="AA241" s="832">
        <f t="shared" ca="1" si="109"/>
        <v>0.17007581322868148</v>
      </c>
      <c r="AB241" s="832">
        <f t="shared" ca="1" si="109"/>
        <v>0.16934430717170534</v>
      </c>
      <c r="AC241" s="832">
        <f t="shared" ca="1" si="109"/>
        <v>0.21136987193503054</v>
      </c>
      <c r="AD241" s="832">
        <f t="shared" ca="1" si="109"/>
        <v>8.5017939365166439E-2</v>
      </c>
      <c r="AE241" s="832"/>
      <c r="AF241" s="832">
        <f t="shared" ca="1" si="109"/>
        <v>3.7733462146284813E-2</v>
      </c>
      <c r="AG241" s="833">
        <f t="shared" ca="1" si="109"/>
        <v>7.8586424813556377E-2</v>
      </c>
      <c r="AH241" s="855">
        <f t="shared" ca="1" si="109"/>
        <v>6.9807409237268248E-2</v>
      </c>
      <c r="AI241" s="856">
        <f t="shared" ca="1" si="109"/>
        <v>0.12884048204971199</v>
      </c>
    </row>
    <row r="242" spans="1:35">
      <c r="A242" s="210"/>
      <c r="B242" s="712" t="s">
        <v>540</v>
      </c>
      <c r="C242" s="718" t="s">
        <v>528</v>
      </c>
      <c r="D242" s="832">
        <f ca="1">D240/D239-1</f>
        <v>-7.855327975238291E-2</v>
      </c>
      <c r="E242" s="832">
        <f t="shared" ref="E242:AI242" ca="1" si="110">E240/E239-1</f>
        <v>1.3809371846703389E-2</v>
      </c>
      <c r="F242" s="832">
        <f t="shared" ca="1" si="110"/>
        <v>0.10632337291590543</v>
      </c>
      <c r="G242" s="832">
        <f t="shared" ca="1" si="110"/>
        <v>5.4520916202167813E-2</v>
      </c>
      <c r="H242" s="832">
        <f t="shared" ca="1" si="110"/>
        <v>-2.0720151563179745E-2</v>
      </c>
      <c r="I242" s="832">
        <f t="shared" ca="1" si="110"/>
        <v>5.2753594957714922E-2</v>
      </c>
      <c r="J242" s="832">
        <f t="shared" ca="1" si="110"/>
        <v>0.39875373953821014</v>
      </c>
      <c r="K242" s="832">
        <f t="shared" ca="1" si="110"/>
        <v>1.6100357946229549E-2</v>
      </c>
      <c r="L242" s="832">
        <f t="shared" ca="1" si="110"/>
        <v>5.3374377642362747E-2</v>
      </c>
      <c r="M242" s="832">
        <f t="shared" ca="1" si="110"/>
        <v>2.7867668040701066E-2</v>
      </c>
      <c r="N242" s="832">
        <f t="shared" ca="1" si="110"/>
        <v>4.8730851089271887E-2</v>
      </c>
      <c r="O242" s="832">
        <f t="shared" ca="1" si="110"/>
        <v>5.1966135041910055E-2</v>
      </c>
      <c r="P242" s="832">
        <f t="shared" ca="1" si="110"/>
        <v>5.8765158863101075E-2</v>
      </c>
      <c r="Q242" s="832">
        <f t="shared" ca="1" si="110"/>
        <v>1.9246490008413275E-2</v>
      </c>
      <c r="R242" s="832">
        <f t="shared" ca="1" si="110"/>
        <v>-7.9567451074410656E-2</v>
      </c>
      <c r="S242" s="832">
        <f t="shared" ca="1" si="110"/>
        <v>2.3848187715778568E-2</v>
      </c>
      <c r="T242" s="832">
        <f t="shared" ca="1" si="110"/>
        <v>-1.8487172705633492E-2</v>
      </c>
      <c r="U242" s="832">
        <f t="shared" ca="1" si="110"/>
        <v>0.13642728083402855</v>
      </c>
      <c r="V242" s="832">
        <f t="shared" ca="1" si="110"/>
        <v>-9.7881368066743413E-3</v>
      </c>
      <c r="W242" s="832">
        <f t="shared" ca="1" si="110"/>
        <v>5.9608303474195878E-2</v>
      </c>
      <c r="X242" s="832">
        <f t="shared" ca="1" si="110"/>
        <v>0.22197297652290637</v>
      </c>
      <c r="Y242" s="832">
        <f t="shared" ca="1" si="110"/>
        <v>-3.1895348435910909E-2</v>
      </c>
      <c r="Z242" s="832">
        <f t="shared" ca="1" si="110"/>
        <v>0.1924484071638608</v>
      </c>
      <c r="AA242" s="832">
        <f t="shared" ca="1" si="110"/>
        <v>2.3605315828814533E-2</v>
      </c>
      <c r="AB242" s="832">
        <f t="shared" ca="1" si="110"/>
        <v>1.0728380234134249E-2</v>
      </c>
      <c r="AC242" s="832">
        <f t="shared" ca="1" si="110"/>
        <v>-8.2007941464236067E-3</v>
      </c>
      <c r="AD242" s="832">
        <f t="shared" ca="1" si="110"/>
        <v>-1.7849286967984601E-2</v>
      </c>
      <c r="AE242" s="832">
        <f t="shared" ca="1" si="110"/>
        <v>2.7932453343000763E-2</v>
      </c>
      <c r="AF242" s="832">
        <f t="shared" ca="1" si="110"/>
        <v>2.9858534680807125E-2</v>
      </c>
      <c r="AG242" s="833">
        <f t="shared" ca="1" si="110"/>
        <v>1.8258136659552893E-2</v>
      </c>
      <c r="AH242" s="855">
        <f t="shared" ca="1" si="110"/>
        <v>1.5329964753948211E-2</v>
      </c>
      <c r="AI242" s="856">
        <f t="shared" ca="1" si="110"/>
        <v>3.273089420779618E-2</v>
      </c>
    </row>
    <row r="243" spans="1:35">
      <c r="A243" s="210"/>
      <c r="B243" s="712" t="s">
        <v>459</v>
      </c>
      <c r="C243" s="718">
        <v>2008</v>
      </c>
      <c r="D243" s="723">
        <f t="shared" ref="D243:AG243" ca="1" si="111">IFERROR((D185*1000*100)/(D221*1000),"")</f>
        <v>4.7085464230186469</v>
      </c>
      <c r="E243" s="723">
        <f t="shared" ca="1" si="111"/>
        <v>4.1042283664319665</v>
      </c>
      <c r="F243" s="723">
        <f t="shared" ca="1" si="111"/>
        <v>17.637169208944901</v>
      </c>
      <c r="G243" s="723">
        <f t="shared" ca="1" si="111"/>
        <v>4.0268095391105021</v>
      </c>
      <c r="H243" s="723">
        <f t="shared" ca="1" si="111"/>
        <v>5.417739043398341</v>
      </c>
      <c r="I243" s="723">
        <f t="shared" ca="1" si="111"/>
        <v>4.6642910240417068</v>
      </c>
      <c r="J243" s="723">
        <f t="shared" ca="1" si="111"/>
        <v>3.3479457192073121</v>
      </c>
      <c r="K243" s="723">
        <f t="shared" ca="1" si="111"/>
        <v>5.3346052444674257</v>
      </c>
      <c r="L243" s="723">
        <f t="shared" ca="1" si="111"/>
        <v>4.1171773496078252</v>
      </c>
      <c r="M243" s="723">
        <f t="shared" ca="1" si="111"/>
        <v>3.4106427804378967</v>
      </c>
      <c r="N243" s="723">
        <f t="shared" ca="1" si="111"/>
        <v>5.944622475040763</v>
      </c>
      <c r="O243" s="723">
        <f t="shared" ca="1" si="111"/>
        <v>6.0978003730721344</v>
      </c>
      <c r="P243" s="723">
        <f t="shared" ca="1" si="111"/>
        <v>4.5179699365935253</v>
      </c>
      <c r="Q243" s="723">
        <f t="shared" ca="1" si="111"/>
        <v>4.0319274581233122</v>
      </c>
      <c r="R243" s="723">
        <f t="shared" ca="1" si="111"/>
        <v>4.1415186793828038</v>
      </c>
      <c r="S243" s="723">
        <f t="shared" ca="1" si="111"/>
        <v>3.3472347460848599</v>
      </c>
      <c r="T243" s="723">
        <f t="shared" ca="1" si="111"/>
        <v>3.0768400716159681</v>
      </c>
      <c r="U243" s="723">
        <f t="shared" ca="1" si="111"/>
        <v>3.3565042500799982</v>
      </c>
      <c r="V243" s="723">
        <f t="shared" ca="1" si="111"/>
        <v>3.5418490255403539</v>
      </c>
      <c r="W243" s="723">
        <f t="shared" ca="1" si="111"/>
        <v>4.9742691300645658</v>
      </c>
      <c r="X243" s="723">
        <f t="shared" ca="1" si="111"/>
        <v>6.2048068573528781</v>
      </c>
      <c r="Y243" s="723">
        <f t="shared" ca="1" si="111"/>
        <v>4.9811963690172085</v>
      </c>
      <c r="Z243" s="723">
        <f t="shared" ca="1" si="111"/>
        <v>5.1446728360328686</v>
      </c>
      <c r="AA243" s="723">
        <f t="shared" ca="1" si="111"/>
        <v>4.316497850183973</v>
      </c>
      <c r="AB243" s="723">
        <f t="shared" ca="1" si="111"/>
        <v>4.5811612306170941</v>
      </c>
      <c r="AC243" s="723">
        <f t="shared" ca="1" si="111"/>
        <v>4.8335277339503566</v>
      </c>
      <c r="AD243" s="723">
        <f t="shared" ca="1" si="111"/>
        <v>4.4960906006359957</v>
      </c>
      <c r="AE243" s="723" t="str">
        <f t="shared" ca="1" si="111"/>
        <v/>
      </c>
      <c r="AF243" s="723">
        <f t="shared" ca="1" si="111"/>
        <v>5.5962929386626916</v>
      </c>
      <c r="AG243" s="724">
        <f t="shared" ca="1" si="111"/>
        <v>4.3386233550990374</v>
      </c>
      <c r="AH243" s="857">
        <f t="shared" ref="AH243:AI243" ca="1" si="112">IFERROR((AH185*1000*100)/(AH221*1000),"")</f>
        <v>4.2483606970944567</v>
      </c>
      <c r="AI243" s="858">
        <f t="shared" ca="1" si="112"/>
        <v>4.7269715677959772</v>
      </c>
    </row>
    <row r="244" spans="1:35">
      <c r="A244" s="210"/>
      <c r="B244" s="712" t="s">
        <v>459</v>
      </c>
      <c r="C244" s="718">
        <v>2009</v>
      </c>
      <c r="D244" s="723">
        <f t="shared" ref="D244:AG244" ca="1" si="113">IFERROR((D186*1000*100)/(D222*1000),"")</f>
        <v>4.3879281044941276</v>
      </c>
      <c r="E244" s="723">
        <f t="shared" ca="1" si="113"/>
        <v>4.5255963633588676</v>
      </c>
      <c r="F244" s="723">
        <f t="shared" ca="1" si="113"/>
        <v>8.2853103384628923</v>
      </c>
      <c r="G244" s="723">
        <f t="shared" ca="1" si="113"/>
        <v>4.0208037935196739</v>
      </c>
      <c r="H244" s="723">
        <f t="shared" ca="1" si="113"/>
        <v>5.9745251601155696</v>
      </c>
      <c r="I244" s="723">
        <f t="shared" ca="1" si="113"/>
        <v>4.9903504983555642</v>
      </c>
      <c r="J244" s="723">
        <f t="shared" ca="1" si="113"/>
        <v>3.1422312273986202</v>
      </c>
      <c r="K244" s="723">
        <f t="shared" ca="1" si="113"/>
        <v>5.0370123955598363</v>
      </c>
      <c r="L244" s="723">
        <f t="shared" ca="1" si="113"/>
        <v>4.4573130136146721</v>
      </c>
      <c r="M244" s="723">
        <f t="shared" ca="1" si="113"/>
        <v>3.5483637195395552</v>
      </c>
      <c r="N244" s="723">
        <f t="shared" ca="1" si="113"/>
        <v>6.2264510052168873</v>
      </c>
      <c r="O244" s="723">
        <f t="shared" ca="1" si="113"/>
        <v>6.755990723897181</v>
      </c>
      <c r="P244" s="723">
        <f t="shared" ca="1" si="113"/>
        <v>4.9667042352617639</v>
      </c>
      <c r="Q244" s="723">
        <f t="shared" ca="1" si="113"/>
        <v>4.340355116158424</v>
      </c>
      <c r="R244" s="723">
        <f t="shared" ca="1" si="113"/>
        <v>5.1531569868960538</v>
      </c>
      <c r="S244" s="723">
        <f t="shared" ca="1" si="113"/>
        <v>3.5842746206360352</v>
      </c>
      <c r="T244" s="723">
        <f t="shared" ca="1" si="113"/>
        <v>3.1735411390657982</v>
      </c>
      <c r="U244" s="723">
        <f t="shared" ca="1" si="113"/>
        <v>3.4329248592204391</v>
      </c>
      <c r="V244" s="723">
        <f t="shared" ca="1" si="113"/>
        <v>4.3361162255457515</v>
      </c>
      <c r="W244" s="723">
        <f t="shared" ca="1" si="113"/>
        <v>5.3355790411510453</v>
      </c>
      <c r="X244" s="723">
        <f t="shared" ca="1" si="113"/>
        <v>6.0670115063281314</v>
      </c>
      <c r="Y244" s="723">
        <f t="shared" ca="1" si="113"/>
        <v>4.6559703698770214</v>
      </c>
      <c r="Z244" s="723">
        <f t="shared" ca="1" si="113"/>
        <v>4.917721586140301</v>
      </c>
      <c r="AA244" s="723">
        <f t="shared" ca="1" si="113"/>
        <v>4.1989145146538922</v>
      </c>
      <c r="AB244" s="723">
        <f t="shared" ca="1" si="113"/>
        <v>4.1080276535577136</v>
      </c>
      <c r="AC244" s="723">
        <f t="shared" ca="1" si="113"/>
        <v>4.5410909501476411</v>
      </c>
      <c r="AD244" s="723">
        <f t="shared" ca="1" si="113"/>
        <v>4.6474930971940305</v>
      </c>
      <c r="AE244" s="723">
        <f t="shared" ca="1" si="113"/>
        <v>3.8958337721201999</v>
      </c>
      <c r="AF244" s="723">
        <f t="shared" ca="1" si="113"/>
        <v>5.0742502644185219</v>
      </c>
      <c r="AG244" s="724">
        <f t="shared" ca="1" si="113"/>
        <v>4.2904483055961604</v>
      </c>
      <c r="AH244" s="857">
        <f t="shared" ref="AH244:AI244" ca="1" si="114">IFERROR((AH186*1000*100)/(AH222*1000),"")</f>
        <v>4.1524733126988602</v>
      </c>
      <c r="AI244" s="858">
        <f t="shared" ca="1" si="114"/>
        <v>4.86594746144696</v>
      </c>
    </row>
    <row r="245" spans="1:35">
      <c r="A245" s="210"/>
      <c r="B245" s="712" t="s">
        <v>459</v>
      </c>
      <c r="C245" s="718">
        <v>2010</v>
      </c>
      <c r="D245" s="723">
        <f t="shared" ref="D245:AG245" ca="1" si="115">IFERROR((D187*1000*100)/(D223*1000),"")</f>
        <v>4.5709682456266316</v>
      </c>
      <c r="E245" s="723">
        <f t="shared" ca="1" si="115"/>
        <v>4.4862549056241212</v>
      </c>
      <c r="F245" s="723">
        <f t="shared" ca="1" si="115"/>
        <v>8.7761125731117815</v>
      </c>
      <c r="G245" s="723">
        <f t="shared" ca="1" si="115"/>
        <v>4.4869503332108929</v>
      </c>
      <c r="H245" s="723">
        <f t="shared" ca="1" si="115"/>
        <v>5.8313207043282791</v>
      </c>
      <c r="I245" s="723">
        <f t="shared" ca="1" si="115"/>
        <v>5.2406908668874967</v>
      </c>
      <c r="J245" s="723">
        <f t="shared" ca="1" si="115"/>
        <v>3.0667644941977033</v>
      </c>
      <c r="K245" s="723">
        <f t="shared" ca="1" si="115"/>
        <v>5.1051989929122259</v>
      </c>
      <c r="L245" s="723">
        <f t="shared" ca="1" si="115"/>
        <v>4.4206656906255022</v>
      </c>
      <c r="M245" s="723">
        <f t="shared" ca="1" si="115"/>
        <v>3.3478802116098203</v>
      </c>
      <c r="N245" s="723">
        <f t="shared" ca="1" si="115"/>
        <v>6.1235806741182053</v>
      </c>
      <c r="O245" s="723">
        <f t="shared" ca="1" si="115"/>
        <v>6.4625032054801688</v>
      </c>
      <c r="P245" s="723">
        <f t="shared" ca="1" si="115"/>
        <v>5.6713323082179503</v>
      </c>
      <c r="Q245" s="723">
        <f t="shared" ca="1" si="115"/>
        <v>4.5720770827428199</v>
      </c>
      <c r="R245" s="723">
        <f t="shared" ca="1" si="115"/>
        <v>4.7683112807927035</v>
      </c>
      <c r="S245" s="723">
        <f t="shared" ca="1" si="115"/>
        <v>3.9394063480966088</v>
      </c>
      <c r="T245" s="723">
        <f t="shared" ca="1" si="115"/>
        <v>3.5913488998100926</v>
      </c>
      <c r="U245" s="723">
        <f t="shared" ca="1" si="115"/>
        <v>3.4983265128626551</v>
      </c>
      <c r="V245" s="723">
        <f t="shared" ca="1" si="115"/>
        <v>4.4879767639553592</v>
      </c>
      <c r="W245" s="723">
        <f t="shared" ca="1" si="115"/>
        <v>4.9082328991744246</v>
      </c>
      <c r="X245" s="723">
        <f t="shared" ca="1" si="115"/>
        <v>9.1517148255472875</v>
      </c>
      <c r="Y245" s="723">
        <f t="shared" ca="1" si="115"/>
        <v>4.640243015872314</v>
      </c>
      <c r="Z245" s="723">
        <f t="shared" ca="1" si="115"/>
        <v>5.4044146803017279</v>
      </c>
      <c r="AA245" s="723">
        <f t="shared" ca="1" si="115"/>
        <v>4.483996492099684</v>
      </c>
      <c r="AB245" s="723">
        <f t="shared" ca="1" si="115"/>
        <v>4.3918499348258999</v>
      </c>
      <c r="AC245" s="723">
        <f t="shared" ca="1" si="115"/>
        <v>4.6893088602639201</v>
      </c>
      <c r="AD245" s="723">
        <f t="shared" ca="1" si="115"/>
        <v>4.8567921563955263</v>
      </c>
      <c r="AE245" s="723">
        <f t="shared" ca="1" si="115"/>
        <v>4.061365315811555</v>
      </c>
      <c r="AF245" s="723">
        <f t="shared" ca="1" si="115"/>
        <v>5.0117711962424289</v>
      </c>
      <c r="AG245" s="724">
        <f t="shared" ca="1" si="115"/>
        <v>4.4833445951156721</v>
      </c>
      <c r="AH245" s="857">
        <f t="shared" ref="AH245:AI245" ca="1" si="116">IFERROR((AH187*1000*100)/(AH223*1000),"")</f>
        <v>4.3850290122868953</v>
      </c>
      <c r="AI245" s="858">
        <f t="shared" ca="1" si="116"/>
        <v>4.9072725196137457</v>
      </c>
    </row>
    <row r="246" spans="1:35">
      <c r="A246" s="210"/>
      <c r="B246" s="712" t="s">
        <v>459</v>
      </c>
      <c r="C246" s="718">
        <v>2011</v>
      </c>
      <c r="D246" s="723">
        <f t="shared" ref="D246:AG246" ca="1" si="117">IFERROR((D188*1000*100)/(D224*1000),"")</f>
        <v>4.5583803532092348</v>
      </c>
      <c r="E246" s="723">
        <f t="shared" ca="1" si="117"/>
        <v>4.4715413208770949</v>
      </c>
      <c r="F246" s="723">
        <f t="shared" ca="1" si="117"/>
        <v>9.3176959013799472</v>
      </c>
      <c r="G246" s="723">
        <f t="shared" ca="1" si="117"/>
        <v>4.5366124774211478</v>
      </c>
      <c r="H246" s="723">
        <f t="shared" ca="1" si="117"/>
        <v>5.6403178677209738</v>
      </c>
      <c r="I246" s="723">
        <f t="shared" ca="1" si="117"/>
        <v>5.4015871631638612</v>
      </c>
      <c r="J246" s="723">
        <f t="shared" ca="1" si="117"/>
        <v>4.33594252203119</v>
      </c>
      <c r="K246" s="723">
        <f t="shared" ca="1" si="117"/>
        <v>5.0182363679043922</v>
      </c>
      <c r="L246" s="723">
        <f t="shared" ca="1" si="117"/>
        <v>4.526603931798487</v>
      </c>
      <c r="M246" s="723">
        <f t="shared" ca="1" si="117"/>
        <v>3.3019463597486465</v>
      </c>
      <c r="N246" s="723">
        <f t="shared" ca="1" si="117"/>
        <v>6.4318333006610517</v>
      </c>
      <c r="O246" s="723">
        <f t="shared" ca="1" si="117"/>
        <v>6.725177028286569</v>
      </c>
      <c r="P246" s="723">
        <f t="shared" ca="1" si="117"/>
        <v>5.9687134632745789</v>
      </c>
      <c r="Q246" s="723">
        <f t="shared" ca="1" si="117"/>
        <v>4.5060036838186885</v>
      </c>
      <c r="R246" s="723">
        <f t="shared" ca="1" si="117"/>
        <v>5.5207932981189787</v>
      </c>
      <c r="S246" s="723">
        <f t="shared" ca="1" si="117"/>
        <v>3.7107663536012327</v>
      </c>
      <c r="T246" s="723">
        <f t="shared" ca="1" si="117"/>
        <v>3.524955012453117</v>
      </c>
      <c r="U246" s="723">
        <f t="shared" ca="1" si="117"/>
        <v>3.7654314158489308</v>
      </c>
      <c r="V246" s="723">
        <f t="shared" ca="1" si="117"/>
        <v>3.8802484823340091</v>
      </c>
      <c r="W246" s="723">
        <f t="shared" ca="1" si="117"/>
        <v>5.2226328757479763</v>
      </c>
      <c r="X246" s="723">
        <f t="shared" ca="1" si="117"/>
        <v>9.1707842270201674</v>
      </c>
      <c r="Y246" s="723">
        <f t="shared" ca="1" si="117"/>
        <v>4.9062052274199255</v>
      </c>
      <c r="Z246" s="723">
        <f t="shared" ca="1" si="117"/>
        <v>5.5996210184425772</v>
      </c>
      <c r="AA246" s="723">
        <f t="shared" ca="1" si="117"/>
        <v>4.4892257436391096</v>
      </c>
      <c r="AB246" s="723">
        <f t="shared" ca="1" si="117"/>
        <v>4.3523397186431847</v>
      </c>
      <c r="AC246" s="723">
        <f t="shared" ca="1" si="117"/>
        <v>4.8121309713758986</v>
      </c>
      <c r="AD246" s="723">
        <f t="shared" ca="1" si="117"/>
        <v>4.867767702178674</v>
      </c>
      <c r="AE246" s="723">
        <f t="shared" ca="1" si="117"/>
        <v>4.0379068825832958</v>
      </c>
      <c r="AF246" s="723">
        <f t="shared" ca="1" si="117"/>
        <v>4.6535116078212972</v>
      </c>
      <c r="AG246" s="724">
        <f t="shared" ca="1" si="117"/>
        <v>4.4291880056993618</v>
      </c>
      <c r="AH246" s="857">
        <f t="shared" ref="AH246:AI246" ca="1" si="118">IFERROR((AH188*1000*100)/(AH224*1000),"")</f>
        <v>4.2837906646114368</v>
      </c>
      <c r="AI246" s="858">
        <f t="shared" ca="1" si="118"/>
        <v>5.0347608074631927</v>
      </c>
    </row>
    <row r="247" spans="1:35">
      <c r="A247" s="210"/>
      <c r="B247" s="712" t="s">
        <v>541</v>
      </c>
      <c r="C247" s="718" t="s">
        <v>527</v>
      </c>
      <c r="D247" s="832">
        <f ca="1">D246/D243-1</f>
        <v>-3.1892235165250971E-2</v>
      </c>
      <c r="E247" s="832">
        <f t="shared" ref="E247:AI247" ca="1" si="119">E246/E243-1</f>
        <v>8.9496227220039914E-2</v>
      </c>
      <c r="F247" s="832">
        <f t="shared" ca="1" si="119"/>
        <v>-0.47170116751761015</v>
      </c>
      <c r="G247" s="832">
        <f t="shared" ca="1" si="119"/>
        <v>0.12660219793341865</v>
      </c>
      <c r="H247" s="832">
        <f t="shared" ca="1" si="119"/>
        <v>4.1083341692850883E-2</v>
      </c>
      <c r="I247" s="832">
        <f t="shared" ca="1" si="119"/>
        <v>0.15807249919051403</v>
      </c>
      <c r="J247" s="832">
        <f t="shared" ca="1" si="119"/>
        <v>0.29510538272938436</v>
      </c>
      <c r="K247" s="832">
        <f t="shared" ca="1" si="119"/>
        <v>-5.930502109619884E-2</v>
      </c>
      <c r="L247" s="832">
        <f t="shared" ca="1" si="119"/>
        <v>9.944351370476201E-2</v>
      </c>
      <c r="M247" s="832">
        <f t="shared" ca="1" si="119"/>
        <v>-3.1869775783230692E-2</v>
      </c>
      <c r="N247" s="832">
        <f t="shared" ca="1" si="119"/>
        <v>8.1958245063652679E-2</v>
      </c>
      <c r="O247" s="832">
        <f t="shared" ca="1" si="119"/>
        <v>0.10288573203952822</v>
      </c>
      <c r="P247" s="832">
        <f t="shared" ca="1" si="119"/>
        <v>0.3211051748996121</v>
      </c>
      <c r="Q247" s="832">
        <f t="shared" ca="1" si="119"/>
        <v>0.11758054444661026</v>
      </c>
      <c r="R247" s="832">
        <f t="shared" ca="1" si="119"/>
        <v>0.33303595263313479</v>
      </c>
      <c r="S247" s="832">
        <f t="shared" ca="1" si="119"/>
        <v>0.10860654692401916</v>
      </c>
      <c r="T247" s="832">
        <f t="shared" ca="1" si="119"/>
        <v>0.14564128469693172</v>
      </c>
      <c r="U247" s="832">
        <f t="shared" ca="1" si="119"/>
        <v>0.12183126708663816</v>
      </c>
      <c r="V247" s="832">
        <f t="shared" ca="1" si="119"/>
        <v>9.5543162442399243E-2</v>
      </c>
      <c r="W247" s="832">
        <f t="shared" ca="1" si="119"/>
        <v>4.9929696039624272E-2</v>
      </c>
      <c r="X247" s="832">
        <f t="shared" ca="1" si="119"/>
        <v>0.47801284356700302</v>
      </c>
      <c r="Y247" s="832">
        <f t="shared" ca="1" si="119"/>
        <v>-1.505484547120528E-2</v>
      </c>
      <c r="Z247" s="832">
        <f t="shared" ca="1" si="119"/>
        <v>8.8430925912973191E-2</v>
      </c>
      <c r="AA247" s="832">
        <f t="shared" ca="1" si="119"/>
        <v>4.0015748750523494E-2</v>
      </c>
      <c r="AB247" s="832">
        <f t="shared" ca="1" si="119"/>
        <v>-4.9948364716927096E-2</v>
      </c>
      <c r="AC247" s="832">
        <f t="shared" ca="1" si="119"/>
        <v>-4.4267383476810362E-3</v>
      </c>
      <c r="AD247" s="832">
        <f t="shared" ca="1" si="119"/>
        <v>8.2666728621995089E-2</v>
      </c>
      <c r="AE247" s="832"/>
      <c r="AF247" s="832">
        <f t="shared" ca="1" si="119"/>
        <v>-0.16846532895518596</v>
      </c>
      <c r="AG247" s="833">
        <f t="shared" ca="1" si="119"/>
        <v>2.087405224836747E-2</v>
      </c>
      <c r="AH247" s="855">
        <f t="shared" ca="1" si="119"/>
        <v>8.3396797125092625E-3</v>
      </c>
      <c r="AI247" s="856">
        <f t="shared" ca="1" si="119"/>
        <v>6.5113410405116312E-2</v>
      </c>
    </row>
    <row r="248" spans="1:35">
      <c r="A248" s="210"/>
      <c r="B248" s="712" t="s">
        <v>541</v>
      </c>
      <c r="C248" s="718" t="s">
        <v>528</v>
      </c>
      <c r="D248" s="832">
        <f ca="1">D246/D245-1</f>
        <v>-2.7538787716235857E-3</v>
      </c>
      <c r="E248" s="832">
        <f t="shared" ref="E248:AI248" ca="1" si="120">E246/E245-1</f>
        <v>-3.2797032394616954E-3</v>
      </c>
      <c r="F248" s="832">
        <f t="shared" ca="1" si="120"/>
        <v>6.171107352559102E-2</v>
      </c>
      <c r="G248" s="832">
        <f t="shared" ca="1" si="120"/>
        <v>1.1068128800685084E-2</v>
      </c>
      <c r="H248" s="832">
        <f t="shared" ca="1" si="120"/>
        <v>-3.275464449512E-2</v>
      </c>
      <c r="I248" s="832">
        <f t="shared" ca="1" si="120"/>
        <v>3.0701352238301949E-2</v>
      </c>
      <c r="J248" s="832">
        <f t="shared" ca="1" si="120"/>
        <v>0.41384919847440615</v>
      </c>
      <c r="K248" s="832">
        <f t="shared" ca="1" si="120"/>
        <v>-1.7034130330388253E-2</v>
      </c>
      <c r="L248" s="832">
        <f t="shared" ca="1" si="120"/>
        <v>2.3964318631385817E-2</v>
      </c>
      <c r="M248" s="832">
        <f t="shared" ca="1" si="120"/>
        <v>-1.3720279388098722E-2</v>
      </c>
      <c r="N248" s="832">
        <f t="shared" ca="1" si="120"/>
        <v>5.03386242375643E-2</v>
      </c>
      <c r="O248" s="832">
        <f t="shared" ca="1" si="120"/>
        <v>4.064583249779341E-2</v>
      </c>
      <c r="P248" s="832">
        <f t="shared" ca="1" si="120"/>
        <v>5.2435854380409541E-2</v>
      </c>
      <c r="Q248" s="832">
        <f t="shared" ca="1" si="120"/>
        <v>-1.4451505897291939E-2</v>
      </c>
      <c r="R248" s="832">
        <f t="shared" ca="1" si="120"/>
        <v>0.15780891242510897</v>
      </c>
      <c r="S248" s="832">
        <f t="shared" ca="1" si="120"/>
        <v>-5.8039200400295643E-2</v>
      </c>
      <c r="T248" s="832">
        <f t="shared" ca="1" si="120"/>
        <v>-1.8487172705633381E-2</v>
      </c>
      <c r="U248" s="832">
        <f t="shared" ca="1" si="120"/>
        <v>7.6352193542879476E-2</v>
      </c>
      <c r="V248" s="832">
        <f t="shared" ca="1" si="120"/>
        <v>-0.13541252853674424</v>
      </c>
      <c r="W248" s="832">
        <f t="shared" ca="1" si="120"/>
        <v>6.4055635303376546E-2</v>
      </c>
      <c r="X248" s="832">
        <f t="shared" ca="1" si="120"/>
        <v>2.0836970815181211E-3</v>
      </c>
      <c r="Y248" s="832">
        <f t="shared" ca="1" si="120"/>
        <v>5.7316440246311773E-2</v>
      </c>
      <c r="Z248" s="832">
        <f t="shared" ca="1" si="120"/>
        <v>3.6119792741357681E-2</v>
      </c>
      <c r="AA248" s="832">
        <f t="shared" ca="1" si="120"/>
        <v>1.1662033073931433E-3</v>
      </c>
      <c r="AB248" s="832">
        <f t="shared" ca="1" si="120"/>
        <v>-8.9962582440288319E-3</v>
      </c>
      <c r="AC248" s="832">
        <f t="shared" ca="1" si="120"/>
        <v>2.6191943156643749E-2</v>
      </c>
      <c r="AD248" s="832">
        <f t="shared" ca="1" si="120"/>
        <v>2.2598343576829549E-3</v>
      </c>
      <c r="AE248" s="832">
        <f t="shared" ca="1" si="120"/>
        <v>-5.7759968395189043E-3</v>
      </c>
      <c r="AF248" s="832">
        <f t="shared" ca="1" si="120"/>
        <v>-7.1483628121279064E-2</v>
      </c>
      <c r="AG248" s="833">
        <f t="shared" ca="1" si="120"/>
        <v>-1.207950633000876E-2</v>
      </c>
      <c r="AH248" s="855">
        <f t="shared" ca="1" si="120"/>
        <v>-2.3087269751645323E-2</v>
      </c>
      <c r="AI248" s="856">
        <f t="shared" ca="1" si="120"/>
        <v>2.5979459534780869E-2</v>
      </c>
    </row>
    <row r="249" spans="1:35">
      <c r="A249" s="210"/>
      <c r="B249" s="712" t="s">
        <v>178</v>
      </c>
      <c r="C249" s="718">
        <v>2008</v>
      </c>
      <c r="D249" s="723">
        <f t="shared" ref="D249:M252" ca="1" si="121">INDIRECT(TEXT(D$142,1)&amp;"!"&amp;INDEX($B$287:$E$287,,MATCH($C249,$B$274:$E$274,0)))</f>
        <v>149.5</v>
      </c>
      <c r="E249" s="723">
        <f t="shared" ca="1" si="121"/>
        <v>129.10999999999999</v>
      </c>
      <c r="F249" s="723">
        <f t="shared" ca="1" si="121"/>
        <v>251</v>
      </c>
      <c r="G249" s="723">
        <f t="shared" ca="1" si="121"/>
        <v>157.09</v>
      </c>
      <c r="H249" s="723">
        <f t="shared" ca="1" si="121"/>
        <v>167.78100000000001</v>
      </c>
      <c r="I249" s="723">
        <f t="shared" ca="1" si="121"/>
        <v>244.97</v>
      </c>
      <c r="J249" s="723">
        <f t="shared" ca="1" si="121"/>
        <v>103.97</v>
      </c>
      <c r="K249" s="723">
        <f t="shared" ca="1" si="121"/>
        <v>199.26999999999998</v>
      </c>
      <c r="L249" s="723">
        <f t="shared" ca="1" si="121"/>
        <v>54.66</v>
      </c>
      <c r="M249" s="723">
        <f t="shared" ca="1" si="121"/>
        <v>143.07753199999999</v>
      </c>
      <c r="N249" s="723">
        <f t="shared" ref="N249:W252" ca="1" si="122">INDIRECT(TEXT(N$142,1)&amp;"!"&amp;INDEX($B$287:$E$287,,MATCH($C249,$B$274:$E$274,0)))</f>
        <v>110.11</v>
      </c>
      <c r="O249" s="723">
        <f t="shared" ca="1" si="122"/>
        <v>265.3</v>
      </c>
      <c r="P249" s="723">
        <f t="shared" ca="1" si="122"/>
        <v>16.935000000000002</v>
      </c>
      <c r="Q249" s="723">
        <f t="shared" ca="1" si="122"/>
        <v>157.54</v>
      </c>
      <c r="R249" s="723">
        <f t="shared" ca="1" si="122"/>
        <v>94.68</v>
      </c>
      <c r="S249" s="723">
        <f t="shared" ca="1" si="122"/>
        <v>783.08</v>
      </c>
      <c r="T249" s="723">
        <f t="shared" ca="1" si="122"/>
        <v>44.849999999999994</v>
      </c>
      <c r="U249" s="723">
        <f t="shared" ca="1" si="122"/>
        <v>502.51</v>
      </c>
      <c r="V249" s="723">
        <f t="shared" ca="1" si="122"/>
        <v>328.65657899999997</v>
      </c>
      <c r="W249" s="723">
        <f t="shared" ca="1" si="122"/>
        <v>58.31</v>
      </c>
      <c r="X249" s="723">
        <f t="shared" ref="X249:AD252" ca="1" si="123">INDIRECT(TEXT(X$142,1)&amp;"!"&amp;INDEX($B$287:$E$287,,MATCH($C249,$B$274:$E$274,0)))</f>
        <v>267.11</v>
      </c>
      <c r="Y249" s="723">
        <f t="shared" ca="1" si="123"/>
        <v>294.77999999999997</v>
      </c>
      <c r="Z249" s="723">
        <f t="shared" ca="1" si="123"/>
        <v>818.30200000000002</v>
      </c>
      <c r="AA249" s="723">
        <f t="shared" ca="1" si="123"/>
        <v>117.79870700000001</v>
      </c>
      <c r="AB249" s="723">
        <f t="shared" ca="1" si="123"/>
        <v>199.4297133</v>
      </c>
      <c r="AC249" s="723">
        <f t="shared" ca="1" si="123"/>
        <v>112.67</v>
      </c>
      <c r="AD249" s="723">
        <f t="shared" ca="1" si="123"/>
        <v>80.13</v>
      </c>
      <c r="AE249" s="723"/>
      <c r="AF249" s="723">
        <f ca="1">INDIRECT(TEXT(AF$142,1)&amp;"!"&amp;INDEX($B$287:$E$287,,MATCH($C249,$B$274:$E$274,0)))</f>
        <v>150.52000000000001</v>
      </c>
      <c r="AG249" s="724"/>
      <c r="AH249" s="850"/>
      <c r="AI249" s="851"/>
    </row>
    <row r="250" spans="1:35">
      <c r="A250" s="210"/>
      <c r="B250" s="712" t="s">
        <v>178</v>
      </c>
      <c r="C250" s="718">
        <v>2009</v>
      </c>
      <c r="D250" s="723">
        <f t="shared" ca="1" si="121"/>
        <v>200.942508</v>
      </c>
      <c r="E250" s="723">
        <f t="shared" ca="1" si="121"/>
        <v>67.97</v>
      </c>
      <c r="F250" s="723">
        <f t="shared" ca="1" si="121"/>
        <v>249.31</v>
      </c>
      <c r="G250" s="723">
        <f t="shared" ca="1" si="121"/>
        <v>198.76</v>
      </c>
      <c r="H250" s="723">
        <f t="shared" ca="1" si="121"/>
        <v>171.67810499999999</v>
      </c>
      <c r="I250" s="723">
        <f t="shared" ca="1" si="121"/>
        <v>243.09</v>
      </c>
      <c r="J250" s="723">
        <f t="shared" ca="1" si="121"/>
        <v>683.12</v>
      </c>
      <c r="K250" s="723">
        <f t="shared" ca="1" si="121"/>
        <v>337.32</v>
      </c>
      <c r="L250" s="723">
        <f t="shared" ca="1" si="121"/>
        <v>32.872</v>
      </c>
      <c r="M250" s="723">
        <f t="shared" ca="1" si="121"/>
        <v>133.26300700000002</v>
      </c>
      <c r="N250" s="723">
        <f t="shared" ca="1" si="122"/>
        <v>146.16000000000003</v>
      </c>
      <c r="O250" s="723">
        <f t="shared" ca="1" si="122"/>
        <v>249.88</v>
      </c>
      <c r="P250" s="723">
        <f t="shared" ca="1" si="122"/>
        <v>115.81</v>
      </c>
      <c r="Q250" s="723">
        <f t="shared" ca="1" si="122"/>
        <v>245.03</v>
      </c>
      <c r="R250" s="723">
        <f t="shared" ca="1" si="122"/>
        <v>69.36</v>
      </c>
      <c r="S250" s="723">
        <f t="shared" ca="1" si="122"/>
        <v>254.34</v>
      </c>
      <c r="T250" s="723">
        <f t="shared" ca="1" si="122"/>
        <v>61.61</v>
      </c>
      <c r="U250" s="723">
        <f t="shared" ca="1" si="122"/>
        <v>270.20000000000005</v>
      </c>
      <c r="V250" s="723">
        <f t="shared" ca="1" si="122"/>
        <v>290.69</v>
      </c>
      <c r="W250" s="723">
        <f t="shared" ca="1" si="122"/>
        <v>35.57</v>
      </c>
      <c r="X250" s="723">
        <f t="shared" ca="1" si="123"/>
        <v>285.14</v>
      </c>
      <c r="Y250" s="723">
        <f t="shared" ca="1" si="123"/>
        <v>210.227</v>
      </c>
      <c r="Z250" s="723">
        <f t="shared" ca="1" si="123"/>
        <v>915.15621999999996</v>
      </c>
      <c r="AA250" s="723">
        <f t="shared" ca="1" si="123"/>
        <v>129.24463</v>
      </c>
      <c r="AB250" s="723">
        <f t="shared" ca="1" si="123"/>
        <v>153.44</v>
      </c>
      <c r="AC250" s="723">
        <f t="shared" ca="1" si="123"/>
        <v>234.45000000000002</v>
      </c>
      <c r="AD250" s="723">
        <f t="shared" ca="1" si="123"/>
        <v>84.1621375</v>
      </c>
      <c r="AE250" s="723">
        <f ca="1">INDIRECT(TEXT(AE$142,1)&amp;"!"&amp;INDEX($B$287:$E$287,,MATCH($C250,$B$274:$E$274,0)))</f>
        <v>26.35</v>
      </c>
      <c r="AF250" s="723">
        <f ca="1">INDIRECT(TEXT(AF$142,1)&amp;"!"&amp;INDEX($B$287:$E$287,,MATCH($C250,$B$274:$E$274,0)))</f>
        <v>382.46999999999997</v>
      </c>
      <c r="AG250" s="724"/>
      <c r="AH250" s="850"/>
      <c r="AI250" s="851"/>
    </row>
    <row r="251" spans="1:35">
      <c r="A251" s="210"/>
      <c r="B251" s="712" t="s">
        <v>178</v>
      </c>
      <c r="C251" s="718">
        <v>2010</v>
      </c>
      <c r="D251" s="723">
        <f t="shared" ca="1" si="121"/>
        <v>332.37</v>
      </c>
      <c r="E251" s="723">
        <f t="shared" ca="1" si="121"/>
        <v>72.47</v>
      </c>
      <c r="F251" s="723">
        <f t="shared" ca="1" si="121"/>
        <v>302.3</v>
      </c>
      <c r="G251" s="723">
        <f t="shared" ca="1" si="121"/>
        <v>133</v>
      </c>
      <c r="H251" s="723">
        <f t="shared" ca="1" si="121"/>
        <v>78.294295000000005</v>
      </c>
      <c r="I251" s="723">
        <f t="shared" ca="1" si="121"/>
        <v>312.27</v>
      </c>
      <c r="J251" s="723">
        <f t="shared" ca="1" si="121"/>
        <v>163.29</v>
      </c>
      <c r="K251" s="723">
        <f t="shared" ca="1" si="121"/>
        <v>186.06482299999999</v>
      </c>
      <c r="L251" s="723">
        <f t="shared" ca="1" si="121"/>
        <v>29.991</v>
      </c>
      <c r="M251" s="723">
        <f t="shared" ca="1" si="121"/>
        <v>139.89975200000001</v>
      </c>
      <c r="N251" s="723">
        <f t="shared" ca="1" si="122"/>
        <v>140.11000000000001</v>
      </c>
      <c r="O251" s="723">
        <f t="shared" ca="1" si="122"/>
        <v>283.78999999999996</v>
      </c>
      <c r="P251" s="723">
        <f t="shared" ca="1" si="122"/>
        <v>79.296000000000006</v>
      </c>
      <c r="Q251" s="723">
        <f t="shared" ca="1" si="122"/>
        <v>148.30000000000001</v>
      </c>
      <c r="R251" s="723">
        <f t="shared" ca="1" si="122"/>
        <v>64.289999999999992</v>
      </c>
      <c r="S251" s="723">
        <f t="shared" ca="1" si="122"/>
        <v>132.30000000000001</v>
      </c>
      <c r="T251" s="723">
        <f t="shared" ca="1" si="122"/>
        <v>61.16</v>
      </c>
      <c r="U251" s="723">
        <f t="shared" ca="1" si="122"/>
        <v>332.63800000000003</v>
      </c>
      <c r="V251" s="723">
        <f t="shared" ca="1" si="122"/>
        <v>226.085228</v>
      </c>
      <c r="W251" s="723">
        <f t="shared" ca="1" si="122"/>
        <v>65.88</v>
      </c>
      <c r="X251" s="723">
        <f t="shared" ca="1" si="123"/>
        <v>293.26</v>
      </c>
      <c r="Y251" s="723">
        <f t="shared" ca="1" si="123"/>
        <v>209.51</v>
      </c>
      <c r="Z251" s="723">
        <f t="shared" ca="1" si="123"/>
        <v>463.03188299999999</v>
      </c>
      <c r="AA251" s="723">
        <f t="shared" ca="1" si="123"/>
        <v>110.88</v>
      </c>
      <c r="AB251" s="723">
        <f t="shared" ca="1" si="123"/>
        <v>66.779208300000008</v>
      </c>
      <c r="AC251" s="723">
        <f t="shared" ca="1" si="123"/>
        <v>126.82000000000001</v>
      </c>
      <c r="AD251" s="723">
        <f t="shared" ca="1" si="123"/>
        <v>74.980100999999991</v>
      </c>
      <c r="AE251" s="723">
        <f ca="1">INDIRECT(TEXT(AE$142,1)&amp;"!"&amp;INDEX($B$287:$E$287,,MATCH($C251,$B$274:$E$274,0)))</f>
        <v>40.629999999999995</v>
      </c>
      <c r="AF251" s="723">
        <f ca="1">INDIRECT(TEXT(AF$142,1)&amp;"!"&amp;INDEX($B$287:$E$287,,MATCH($C251,$B$274:$E$274,0)))</f>
        <v>279.3</v>
      </c>
      <c r="AG251" s="724"/>
      <c r="AH251" s="850"/>
      <c r="AI251" s="851"/>
    </row>
    <row r="252" spans="1:35">
      <c r="A252" s="210"/>
      <c r="B252" s="712" t="s">
        <v>178</v>
      </c>
      <c r="C252" s="718">
        <v>2011</v>
      </c>
      <c r="D252" s="723">
        <f t="shared" ca="1" si="121"/>
        <v>225.53</v>
      </c>
      <c r="E252" s="723">
        <f t="shared" ca="1" si="121"/>
        <v>111.54</v>
      </c>
      <c r="F252" s="723">
        <f t="shared" ca="1" si="121"/>
        <v>288.60000000000002</v>
      </c>
      <c r="G252" s="723">
        <f t="shared" ca="1" si="121"/>
        <v>191.45</v>
      </c>
      <c r="H252" s="723">
        <f t="shared" ca="1" si="121"/>
        <v>138.17529999999999</v>
      </c>
      <c r="I252" s="723">
        <f t="shared" ca="1" si="121"/>
        <v>333.99</v>
      </c>
      <c r="J252" s="723">
        <f t="shared" ca="1" si="121"/>
        <v>74.712999999999994</v>
      </c>
      <c r="K252" s="723">
        <f t="shared" ca="1" si="121"/>
        <v>262.67931599999997</v>
      </c>
      <c r="L252" s="723">
        <f t="shared" ca="1" si="121"/>
        <v>44.769999999999996</v>
      </c>
      <c r="M252" s="723">
        <f t="shared" ca="1" si="121"/>
        <v>177.40687600000001</v>
      </c>
      <c r="N252" s="723">
        <f t="shared" ca="1" si="122"/>
        <v>337.1</v>
      </c>
      <c r="O252" s="723">
        <f t="shared" ca="1" si="122"/>
        <v>422.92</v>
      </c>
      <c r="P252" s="723">
        <f t="shared" ca="1" si="122"/>
        <v>114.66</v>
      </c>
      <c r="Q252" s="723">
        <f t="shared" ca="1" si="122"/>
        <v>178.04000000000002</v>
      </c>
      <c r="R252" s="723">
        <f t="shared" ca="1" si="122"/>
        <v>61.31</v>
      </c>
      <c r="S252" s="723">
        <f t="shared" ca="1" si="122"/>
        <v>134.81</v>
      </c>
      <c r="T252" s="723">
        <f t="shared" ca="1" si="122"/>
        <v>61.16</v>
      </c>
      <c r="U252" s="723">
        <f t="shared" ca="1" si="122"/>
        <v>247.08</v>
      </c>
      <c r="V252" s="723">
        <f t="shared" ca="1" si="122"/>
        <v>273.93</v>
      </c>
      <c r="W252" s="723">
        <f t="shared" ca="1" si="122"/>
        <v>103.65</v>
      </c>
      <c r="X252" s="723">
        <f t="shared" ca="1" si="123"/>
        <v>292.43</v>
      </c>
      <c r="Y252" s="723">
        <f t="shared" ca="1" si="123"/>
        <v>209.06</v>
      </c>
      <c r="Z252" s="723">
        <f t="shared" ca="1" si="123"/>
        <v>440.017</v>
      </c>
      <c r="AA252" s="723">
        <f t="shared" ca="1" si="123"/>
        <v>127.98</v>
      </c>
      <c r="AB252" s="723">
        <f t="shared" ca="1" si="123"/>
        <v>123.15</v>
      </c>
      <c r="AC252" s="723">
        <f t="shared" ca="1" si="123"/>
        <v>114.27000000000001</v>
      </c>
      <c r="AD252" s="723">
        <f t="shared" ca="1" si="123"/>
        <v>82.552322000000004</v>
      </c>
      <c r="AE252" s="723">
        <f ca="1">INDIRECT(TEXT(AE$142,1)&amp;"!"&amp;INDEX($B$287:$E$287,,MATCH($C252,$B$274:$E$274,0)))</f>
        <v>34.738355999999996</v>
      </c>
      <c r="AF252" s="723">
        <f ca="1">INDIRECT(TEXT(AF$142,1)&amp;"!"&amp;INDEX($B$287:$E$287,,MATCH($C252,$B$274:$E$274,0)))</f>
        <v>297.28000000000003</v>
      </c>
      <c r="AG252" s="724"/>
      <c r="AH252" s="850"/>
      <c r="AI252" s="851"/>
    </row>
    <row r="253" spans="1:35">
      <c r="A253" s="210"/>
      <c r="B253" s="712" t="s">
        <v>179</v>
      </c>
      <c r="C253" s="718">
        <v>2008</v>
      </c>
      <c r="D253" s="721">
        <f t="shared" ref="D253:M256" ca="1" si="124">INDIRECT(TEXT(D$142,1)&amp;"!"&amp;INDEX($B$288:$E$288,,MATCH($C253,$B$274:$E$274,0)))</f>
        <v>1.68</v>
      </c>
      <c r="E253" s="721">
        <f t="shared" ca="1" si="124"/>
        <v>1.4700000000000002</v>
      </c>
      <c r="F253" s="721">
        <f t="shared" ca="1" si="124"/>
        <v>2.06</v>
      </c>
      <c r="G253" s="721">
        <f t="shared" ca="1" si="124"/>
        <v>2.6799999999999997</v>
      </c>
      <c r="H253" s="721">
        <f t="shared" ca="1" si="124"/>
        <v>2.1968000000000001</v>
      </c>
      <c r="I253" s="721">
        <f t="shared" ca="1" si="124"/>
        <v>3.91</v>
      </c>
      <c r="J253" s="721">
        <f t="shared" ca="1" si="124"/>
        <v>1.6099999999999999</v>
      </c>
      <c r="K253" s="721">
        <f t="shared" ca="1" si="124"/>
        <v>1.44</v>
      </c>
      <c r="L253" s="721">
        <f t="shared" ca="1" si="124"/>
        <v>1.1499999999999999</v>
      </c>
      <c r="M253" s="721">
        <f t="shared" ca="1" si="124"/>
        <v>1.5654832999999999</v>
      </c>
      <c r="N253" s="721">
        <f t="shared" ref="N253:W256" ca="1" si="125">INDIRECT(TEXT(N$142,1)&amp;"!"&amp;INDEX($B$288:$E$288,,MATCH($C253,$B$274:$E$274,0)))</f>
        <v>1.2490000000000001</v>
      </c>
      <c r="O253" s="721">
        <f t="shared" ca="1" si="125"/>
        <v>2.95</v>
      </c>
      <c r="P253" s="721">
        <f t="shared" ca="1" si="125"/>
        <v>0.184</v>
      </c>
      <c r="Q253" s="721">
        <f t="shared" ca="1" si="125"/>
        <v>1.53</v>
      </c>
      <c r="R253" s="721">
        <f t="shared" ca="1" si="125"/>
        <v>2.1</v>
      </c>
      <c r="S253" s="721">
        <f t="shared" ca="1" si="125"/>
        <v>4.63</v>
      </c>
      <c r="T253" s="721">
        <f t="shared" ca="1" si="125"/>
        <v>0.63</v>
      </c>
      <c r="U253" s="721">
        <f t="shared" ca="1" si="125"/>
        <v>3.1</v>
      </c>
      <c r="V253" s="721">
        <f t="shared" ca="1" si="125"/>
        <v>2.4961819099999998</v>
      </c>
      <c r="W253" s="721">
        <f t="shared" ca="1" si="125"/>
        <v>1.2999999999999998</v>
      </c>
      <c r="X253" s="721">
        <f t="shared" ref="X253:AD256" ca="1" si="126">INDIRECT(TEXT(X$142,1)&amp;"!"&amp;INDEX($B$288:$E$288,,MATCH($C253,$B$274:$E$274,0)))</f>
        <v>3.68</v>
      </c>
      <c r="Y253" s="721">
        <f t="shared" ca="1" si="126"/>
        <v>3.75</v>
      </c>
      <c r="Z253" s="721">
        <f t="shared" ca="1" si="126"/>
        <v>6.3956900000000001</v>
      </c>
      <c r="AA253" s="721">
        <f t="shared" ca="1" si="126"/>
        <v>2.0245850000000001</v>
      </c>
      <c r="AB253" s="721">
        <f t="shared" ca="1" si="126"/>
        <v>1.49237474</v>
      </c>
      <c r="AC253" s="721">
        <f t="shared" ca="1" si="126"/>
        <v>1.8783999999999998</v>
      </c>
      <c r="AD253" s="721">
        <f t="shared" ca="1" si="126"/>
        <v>1.41089788</v>
      </c>
      <c r="AE253" s="721"/>
      <c r="AF253" s="721">
        <f ca="1">INDIRECT(TEXT(AF$142,1)&amp;"!"&amp;INDEX($B$288:$E$288,,MATCH($C253,$B$274:$E$274,0)))</f>
        <v>1.41</v>
      </c>
      <c r="AG253" s="722"/>
      <c r="AH253" s="850"/>
      <c r="AI253" s="851"/>
    </row>
    <row r="254" spans="1:35">
      <c r="A254" s="210"/>
      <c r="B254" s="712" t="s">
        <v>179</v>
      </c>
      <c r="C254" s="718">
        <v>2009</v>
      </c>
      <c r="D254" s="721">
        <f t="shared" ca="1" si="124"/>
        <v>1.69198465</v>
      </c>
      <c r="E254" s="721">
        <f t="shared" ca="1" si="124"/>
        <v>1.22624037</v>
      </c>
      <c r="F254" s="721">
        <f t="shared" ca="1" si="124"/>
        <v>1.52</v>
      </c>
      <c r="G254" s="721">
        <f t="shared" ca="1" si="124"/>
        <v>4.93</v>
      </c>
      <c r="H254" s="721">
        <f t="shared" ca="1" si="124"/>
        <v>3.6193340000000003</v>
      </c>
      <c r="I254" s="721">
        <f t="shared" ca="1" si="124"/>
        <v>3.4</v>
      </c>
      <c r="J254" s="721">
        <f t="shared" ca="1" si="124"/>
        <v>2.94</v>
      </c>
      <c r="K254" s="721">
        <f t="shared" ca="1" si="124"/>
        <v>2.34</v>
      </c>
      <c r="L254" s="721">
        <f t="shared" ca="1" si="124"/>
        <v>0.84520000000000006</v>
      </c>
      <c r="M254" s="721">
        <f t="shared" ca="1" si="124"/>
        <v>2.2192286499999998</v>
      </c>
      <c r="N254" s="721">
        <f t="shared" ca="1" si="125"/>
        <v>1.33</v>
      </c>
      <c r="O254" s="721">
        <f t="shared" ca="1" si="125"/>
        <v>1.98</v>
      </c>
      <c r="P254" s="721">
        <f t="shared" ca="1" si="125"/>
        <v>1.89</v>
      </c>
      <c r="Q254" s="721">
        <f t="shared" ca="1" si="125"/>
        <v>1.6600000000000001</v>
      </c>
      <c r="R254" s="721">
        <f t="shared" ca="1" si="125"/>
        <v>1.07</v>
      </c>
      <c r="S254" s="721">
        <f t="shared" ca="1" si="125"/>
        <v>3.2530000000000001</v>
      </c>
      <c r="T254" s="721">
        <f t="shared" ca="1" si="125"/>
        <v>0.6</v>
      </c>
      <c r="U254" s="721">
        <f t="shared" ca="1" si="125"/>
        <v>2.8</v>
      </c>
      <c r="V254" s="721">
        <f t="shared" ca="1" si="125"/>
        <v>2.76</v>
      </c>
      <c r="W254" s="721">
        <f t="shared" ca="1" si="125"/>
        <v>0.89</v>
      </c>
      <c r="X254" s="721">
        <f t="shared" ca="1" si="126"/>
        <v>4.26</v>
      </c>
      <c r="Y254" s="721">
        <f t="shared" ca="1" si="126"/>
        <v>4.0663</v>
      </c>
      <c r="Z254" s="721">
        <f t="shared" ca="1" si="126"/>
        <v>10.88180624</v>
      </c>
      <c r="AA254" s="721">
        <f t="shared" ca="1" si="126"/>
        <v>2.0699540000000001</v>
      </c>
      <c r="AB254" s="721">
        <f t="shared" ca="1" si="126"/>
        <v>1.68</v>
      </c>
      <c r="AC254" s="721">
        <f t="shared" ca="1" si="126"/>
        <v>2.5291000000000001</v>
      </c>
      <c r="AD254" s="721">
        <f t="shared" ca="1" si="126"/>
        <v>1.6408640299999999</v>
      </c>
      <c r="AE254" s="721">
        <f ca="1">INDIRECT(TEXT(AE$142,1)&amp;"!"&amp;INDEX($B$288:$E$288,,MATCH($C254,$B$274:$E$274,0)))</f>
        <v>0.38800000000000001</v>
      </c>
      <c r="AF254" s="721">
        <f ca="1">INDIRECT(TEXT(AF$142,1)&amp;"!"&amp;INDEX($B$288:$E$288,,MATCH($C254,$B$274:$E$274,0)))</f>
        <v>3.0920000000000001</v>
      </c>
      <c r="AG254" s="722"/>
      <c r="AH254" s="850"/>
      <c r="AI254" s="851"/>
    </row>
    <row r="255" spans="1:35">
      <c r="A255" s="210"/>
      <c r="B255" s="712" t="s">
        <v>179</v>
      </c>
      <c r="C255" s="718">
        <v>2010</v>
      </c>
      <c r="D255" s="721">
        <f t="shared" ca="1" si="124"/>
        <v>2.1800000000000002</v>
      </c>
      <c r="E255" s="721">
        <f t="shared" ca="1" si="124"/>
        <v>1.34</v>
      </c>
      <c r="F255" s="721">
        <f t="shared" ca="1" si="124"/>
        <v>2.2400000000000002</v>
      </c>
      <c r="G255" s="721">
        <f t="shared" ca="1" si="124"/>
        <v>2.34</v>
      </c>
      <c r="H255" s="721">
        <f t="shared" ca="1" si="124"/>
        <v>2.1146691</v>
      </c>
      <c r="I255" s="721">
        <f t="shared" ca="1" si="124"/>
        <v>3.46</v>
      </c>
      <c r="J255" s="721">
        <f t="shared" ca="1" si="124"/>
        <v>3.15</v>
      </c>
      <c r="K255" s="721">
        <f t="shared" ca="1" si="124"/>
        <v>1.47053061</v>
      </c>
      <c r="L255" s="721">
        <f t="shared" ca="1" si="124"/>
        <v>0.84299999999999997</v>
      </c>
      <c r="M255" s="721">
        <f t="shared" ca="1" si="124"/>
        <v>2.3630308200000001</v>
      </c>
      <c r="N255" s="721">
        <f t="shared" ca="1" si="125"/>
        <v>1.83</v>
      </c>
      <c r="O255" s="721">
        <f t="shared" ca="1" si="125"/>
        <v>2.83</v>
      </c>
      <c r="P255" s="721">
        <f t="shared" ca="1" si="125"/>
        <v>0.7569999999999999</v>
      </c>
      <c r="Q255" s="721">
        <f t="shared" ca="1" si="125"/>
        <v>1.76</v>
      </c>
      <c r="R255" s="721">
        <f t="shared" ca="1" si="125"/>
        <v>1.46</v>
      </c>
      <c r="S255" s="721">
        <f t="shared" ca="1" si="125"/>
        <v>2.37</v>
      </c>
      <c r="T255" s="721">
        <f t="shared" ca="1" si="125"/>
        <v>0.56999999999999995</v>
      </c>
      <c r="U255" s="721">
        <f t="shared" ca="1" si="125"/>
        <v>3.2590999999999997</v>
      </c>
      <c r="V255" s="721">
        <f t="shared" ca="1" si="125"/>
        <v>2.4788800000000002</v>
      </c>
      <c r="W255" s="721">
        <f t="shared" ca="1" si="125"/>
        <v>0.74</v>
      </c>
      <c r="X255" s="721">
        <f t="shared" ca="1" si="126"/>
        <v>2.63</v>
      </c>
      <c r="Y255" s="721">
        <f t="shared" ca="1" si="126"/>
        <v>2.8813</v>
      </c>
      <c r="Z255" s="721">
        <f t="shared" ca="1" si="126"/>
        <v>4.19263034</v>
      </c>
      <c r="AA255" s="721">
        <f t="shared" ca="1" si="126"/>
        <v>1.5899999999999999</v>
      </c>
      <c r="AB255" s="721">
        <f t="shared" ca="1" si="126"/>
        <v>1.01823792</v>
      </c>
      <c r="AC255" s="721">
        <f t="shared" ca="1" si="126"/>
        <v>1.9085000000000001</v>
      </c>
      <c r="AD255" s="721">
        <f t="shared" ca="1" si="126"/>
        <v>1.1609167599999999</v>
      </c>
      <c r="AE255" s="721">
        <f ca="1">INDIRECT(TEXT(AE$142,1)&amp;"!"&amp;INDEX($B$288:$E$288,,MATCH($C255,$B$274:$E$274,0)))</f>
        <v>0.59000000000000008</v>
      </c>
      <c r="AF255" s="721">
        <f ca="1">INDIRECT(TEXT(AF$142,1)&amp;"!"&amp;INDEX($B$288:$E$288,,MATCH($C255,$B$274:$E$274,0)))</f>
        <v>2.02</v>
      </c>
      <c r="AG255" s="722"/>
      <c r="AH255" s="850"/>
      <c r="AI255" s="851"/>
    </row>
    <row r="256" spans="1:35">
      <c r="A256" s="210"/>
      <c r="B256" s="712" t="s">
        <v>179</v>
      </c>
      <c r="C256" s="718">
        <v>2011</v>
      </c>
      <c r="D256" s="721">
        <f t="shared" ca="1" si="124"/>
        <v>1.7</v>
      </c>
      <c r="E256" s="721">
        <f t="shared" ca="1" si="124"/>
        <v>1.4785322299999999</v>
      </c>
      <c r="F256" s="721">
        <f t="shared" ca="1" si="124"/>
        <v>2.0700000000000003</v>
      </c>
      <c r="G256" s="721">
        <f t="shared" ca="1" si="124"/>
        <v>4.72</v>
      </c>
      <c r="H256" s="721">
        <f t="shared" ca="1" si="124"/>
        <v>2.9518</v>
      </c>
      <c r="I256" s="721">
        <f t="shared" ca="1" si="124"/>
        <v>3.48</v>
      </c>
      <c r="J256" s="721">
        <f t="shared" ca="1" si="124"/>
        <v>1.617</v>
      </c>
      <c r="K256" s="721">
        <f t="shared" ca="1" si="124"/>
        <v>2.13319722</v>
      </c>
      <c r="L256" s="721">
        <f t="shared" ca="1" si="124"/>
        <v>1.18</v>
      </c>
      <c r="M256" s="721">
        <f t="shared" ca="1" si="124"/>
        <v>2.3926608199999997</v>
      </c>
      <c r="N256" s="721">
        <f t="shared" ca="1" si="125"/>
        <v>2.9000000000000004</v>
      </c>
      <c r="O256" s="721">
        <f t="shared" ca="1" si="125"/>
        <v>2.84</v>
      </c>
      <c r="P256" s="721">
        <f t="shared" ca="1" si="125"/>
        <v>0.58000000000000007</v>
      </c>
      <c r="Q256" s="721">
        <f t="shared" ca="1" si="125"/>
        <v>1.6400000000000001</v>
      </c>
      <c r="R256" s="721">
        <f t="shared" ca="1" si="125"/>
        <v>0.81</v>
      </c>
      <c r="S256" s="721">
        <f t="shared" ca="1" si="125"/>
        <v>2.3240000000000003</v>
      </c>
      <c r="T256" s="721">
        <f t="shared" ca="1" si="125"/>
        <v>0.56999999999999995</v>
      </c>
      <c r="U256" s="721">
        <f t="shared" ca="1" si="125"/>
        <v>2.25</v>
      </c>
      <c r="V256" s="721">
        <f t="shared" ca="1" si="125"/>
        <v>2.62</v>
      </c>
      <c r="W256" s="721">
        <f t="shared" ca="1" si="125"/>
        <v>1.63</v>
      </c>
      <c r="X256" s="721">
        <f t="shared" ca="1" si="126"/>
        <v>3.47</v>
      </c>
      <c r="Y256" s="721">
        <f t="shared" ca="1" si="126"/>
        <v>3.21</v>
      </c>
      <c r="Z256" s="721">
        <f t="shared" ca="1" si="126"/>
        <v>4.9260000000000002</v>
      </c>
      <c r="AA256" s="721">
        <f t="shared" ca="1" si="126"/>
        <v>1.8199999999999998</v>
      </c>
      <c r="AB256" s="721">
        <f t="shared" ca="1" si="126"/>
        <v>1.24</v>
      </c>
      <c r="AC256" s="721">
        <f t="shared" ca="1" si="126"/>
        <v>1.5618999999999998</v>
      </c>
      <c r="AD256" s="721">
        <f t="shared" ca="1" si="126"/>
        <v>1.2553997399999999</v>
      </c>
      <c r="AE256" s="721">
        <f ca="1">INDIRECT(TEXT(AE$142,1)&amp;"!"&amp;INDEX($B$288:$E$288,,MATCH($C256,$B$274:$E$274,0)))</f>
        <v>0.53600000000000003</v>
      </c>
      <c r="AF256" s="721">
        <f ca="1">INDIRECT(TEXT(AF$142,1)&amp;"!"&amp;INDEX($B$288:$E$288,,MATCH($C256,$B$274:$E$274,0)))</f>
        <v>2.62</v>
      </c>
      <c r="AG256" s="722"/>
      <c r="AH256" s="850"/>
      <c r="AI256" s="851"/>
    </row>
    <row r="257" spans="1:35">
      <c r="A257" s="210"/>
      <c r="B257" s="712" t="s">
        <v>454</v>
      </c>
      <c r="C257" s="718">
        <v>2011</v>
      </c>
      <c r="D257" s="727">
        <f>'FS (2011)'!$AA20</f>
        <v>12048.423000000001</v>
      </c>
      <c r="E257" s="727">
        <f>'FS (2011)'!$AA28</f>
        <v>39945.123</v>
      </c>
      <c r="F257" s="727">
        <f>'FS (2011)'!$AA36</f>
        <v>2539.7102</v>
      </c>
      <c r="G257" s="727">
        <f>'FS (2011)'!$AA44</f>
        <v>4128.1944000000003</v>
      </c>
      <c r="H257" s="727">
        <f>'FS (2011)'!$AA52</f>
        <v>12376.34</v>
      </c>
      <c r="I257" s="727">
        <f>'FS (2011)'!$AA60</f>
        <v>14279.221</v>
      </c>
      <c r="J257" s="727">
        <f>'FS (2011)'!$AA68</f>
        <v>12931.433999999999</v>
      </c>
      <c r="K257" s="727">
        <f>'FS (2011)'!$AA76</f>
        <v>17884.327000000001</v>
      </c>
      <c r="L257" s="727">
        <f>'FS (2011)'!$AA84</f>
        <v>6386.5065999999997</v>
      </c>
      <c r="M257" s="727">
        <f>'FS (2011)'!$AA92</f>
        <v>11543.995999999999</v>
      </c>
      <c r="N257" s="727">
        <f>'FS (2011)'!$AA100</f>
        <v>19917.697</v>
      </c>
      <c r="O257" s="727">
        <f>'FS (2011)'!$AA108</f>
        <v>13514.004999999999</v>
      </c>
      <c r="P257" s="727">
        <f>'FS (2011)'!$AA116</f>
        <v>3451.6480000000001</v>
      </c>
      <c r="Q257" s="727">
        <f>'FS (2011)'!$AA124</f>
        <v>17897.39</v>
      </c>
      <c r="R257" s="727">
        <f>'FS (2011)'!$AA132</f>
        <v>6883.0550000000003</v>
      </c>
      <c r="S257" s="727">
        <f>'FS (2011)'!$AA140</f>
        <v>19548.625</v>
      </c>
      <c r="T257" s="727">
        <f>'FS (2011)'!$AA148</f>
        <v>74849.528153916617</v>
      </c>
      <c r="U257" s="727">
        <f>'FS (2011)'!$AA156</f>
        <v>17142.62</v>
      </c>
      <c r="V257" s="727">
        <f>'FS (2011)'!$AA164</f>
        <v>146312.60999999999</v>
      </c>
      <c r="W257" s="727">
        <f>'FS (2011)'!$AA172</f>
        <v>3156.4140000000002</v>
      </c>
      <c r="X257" s="727">
        <f>'FS (2011)'!$AA180</f>
        <v>15471.246999999999</v>
      </c>
      <c r="Y257" s="727">
        <f>'FS (2011)'!$AA188</f>
        <v>25671.280999999999</v>
      </c>
      <c r="Z257" s="727">
        <f>'FS (2011)'!$AA196</f>
        <v>13472.129000000001</v>
      </c>
      <c r="AA257" s="727">
        <f>'FS (2011)'!$AA204</f>
        <v>49724.815000000002</v>
      </c>
      <c r="AB257" s="727">
        <f>'FS (2011)'!$AA212</f>
        <v>299335.67</v>
      </c>
      <c r="AC257" s="727">
        <f>'FS (2011)'!$AA220</f>
        <v>9522.0843999999997</v>
      </c>
      <c r="AD257" s="727">
        <f>'FS (2011)'!$AA228</f>
        <v>46084.951999999997</v>
      </c>
      <c r="AE257" s="727">
        <f>'FS (2011)'!$AA236</f>
        <v>68078.323999999993</v>
      </c>
      <c r="AF257" s="727">
        <f>'FS (2011)'!$AA244</f>
        <v>9420.0532000000003</v>
      </c>
      <c r="AG257" s="728">
        <f t="shared" ref="AG257:AG261" si="127">SUM(D257:AF257)</f>
        <v>993517.42295391671</v>
      </c>
      <c r="AH257" s="850">
        <f>SUMIF($D$262:$AF$262,"=N",D257:AF257)</f>
        <v>811951.77215391654</v>
      </c>
      <c r="AI257" s="851">
        <f>SUMIF($D$262:$AF$262,"=Y",D257:AF257)</f>
        <v>181565.65079999997</v>
      </c>
    </row>
    <row r="258" spans="1:35">
      <c r="A258" s="210"/>
      <c r="B258" s="712" t="s">
        <v>455</v>
      </c>
      <c r="C258" s="718">
        <v>2011</v>
      </c>
      <c r="D258" s="727">
        <f ca="1">D146+D162</f>
        <v>30826</v>
      </c>
      <c r="E258" s="727">
        <f t="shared" ref="E258:AF258" ca="1" si="128">E146+E162</f>
        <v>79688</v>
      </c>
      <c r="F258" s="727">
        <f t="shared" ca="1" si="128"/>
        <v>4471</v>
      </c>
      <c r="G258" s="727">
        <f t="shared" ca="1" si="128"/>
        <v>8245</v>
      </c>
      <c r="H258" s="727">
        <f t="shared" ca="1" si="128"/>
        <v>36859</v>
      </c>
      <c r="I258" s="727">
        <f t="shared" ca="1" si="128"/>
        <v>25514</v>
      </c>
      <c r="J258" s="727">
        <f t="shared" ca="1" si="128"/>
        <v>42483</v>
      </c>
      <c r="K258" s="727">
        <f t="shared" ca="1" si="128"/>
        <v>17803.999599999999</v>
      </c>
      <c r="L258" s="727">
        <f t="shared" ca="1" si="128"/>
        <v>17266</v>
      </c>
      <c r="M258" s="727">
        <f t="shared" ca="1" si="128"/>
        <v>24593</v>
      </c>
      <c r="N258" s="727">
        <f t="shared" ca="1" si="128"/>
        <v>34247</v>
      </c>
      <c r="O258" s="727">
        <f t="shared" ca="1" si="128"/>
        <v>24270</v>
      </c>
      <c r="P258" s="727">
        <f t="shared" ca="1" si="128"/>
        <v>9048</v>
      </c>
      <c r="Q258" s="727">
        <f t="shared" ca="1" si="128"/>
        <v>36679</v>
      </c>
      <c r="R258" s="727">
        <f t="shared" ca="1" si="128"/>
        <v>12318</v>
      </c>
      <c r="S258" s="727">
        <f t="shared" ca="1" si="128"/>
        <v>54416</v>
      </c>
      <c r="T258" s="727">
        <f t="shared" ca="1" si="128"/>
        <v>192179</v>
      </c>
      <c r="U258" s="727">
        <f t="shared" ca="1" si="128"/>
        <v>14801</v>
      </c>
      <c r="V258" s="727">
        <f t="shared" ca="1" si="128"/>
        <v>319181</v>
      </c>
      <c r="W258" s="727">
        <f t="shared" ca="1" si="128"/>
        <v>6787</v>
      </c>
      <c r="X258" s="727">
        <f t="shared" ca="1" si="128"/>
        <v>24474</v>
      </c>
      <c r="Y258" s="727">
        <f t="shared" ca="1" si="128"/>
        <v>34431</v>
      </c>
      <c r="Z258" s="727">
        <f t="shared" ca="1" si="128"/>
        <v>31002</v>
      </c>
      <c r="AA258" s="727">
        <f t="shared" ca="1" si="128"/>
        <v>108978</v>
      </c>
      <c r="AB258" s="727">
        <f t="shared" ca="1" si="128"/>
        <v>531185</v>
      </c>
      <c r="AC258" s="727">
        <f t="shared" ca="1" si="128"/>
        <v>23510</v>
      </c>
      <c r="AD258" s="727">
        <f t="shared" ca="1" si="128"/>
        <v>83614</v>
      </c>
      <c r="AE258" s="727">
        <f t="shared" ca="1" si="128"/>
        <v>164250</v>
      </c>
      <c r="AF258" s="727">
        <f t="shared" ca="1" si="128"/>
        <v>12876</v>
      </c>
      <c r="AG258" s="728">
        <f t="shared" ca="1" si="127"/>
        <v>2005994.9996</v>
      </c>
      <c r="AH258" s="850">
        <f ca="1">SUMIF($D$262:$AF$262,"=N",D258:AF258)</f>
        <v>1635712.9996</v>
      </c>
      <c r="AI258" s="851">
        <f ca="1">SUMIF($D$262:$AF$262,"=Y",D258:AF258)</f>
        <v>370282</v>
      </c>
    </row>
    <row r="259" spans="1:35">
      <c r="A259" s="121"/>
      <c r="B259" s="713" t="s">
        <v>487</v>
      </c>
      <c r="C259" s="719">
        <v>2011</v>
      </c>
      <c r="D259" s="729">
        <f ca="1">D170+D188</f>
        <v>33177.611000000004</v>
      </c>
      <c r="E259" s="729">
        <f t="shared" ref="E259:AF259" ca="1" si="129">E170+E188</f>
        <v>72117</v>
      </c>
      <c r="F259" s="729">
        <f t="shared" ca="1" si="129"/>
        <v>6200.4471300000005</v>
      </c>
      <c r="G259" s="729">
        <f t="shared" ca="1" si="129"/>
        <v>9562</v>
      </c>
      <c r="H259" s="729">
        <f t="shared" ca="1" si="129"/>
        <v>29865.764300000003</v>
      </c>
      <c r="I259" s="729">
        <f t="shared" ca="1" si="129"/>
        <v>29453</v>
      </c>
      <c r="J259" s="729">
        <f t="shared" ca="1" si="129"/>
        <v>28435.381999999998</v>
      </c>
      <c r="K259" s="729">
        <f t="shared" ca="1" si="129"/>
        <v>28835.999800000001</v>
      </c>
      <c r="L259" s="729">
        <f t="shared" ca="1" si="129"/>
        <v>16254.33395</v>
      </c>
      <c r="M259" s="729">
        <f t="shared" ca="1" si="129"/>
        <v>27462.531600000002</v>
      </c>
      <c r="N259" s="729">
        <f t="shared" ca="1" si="129"/>
        <v>39081</v>
      </c>
      <c r="O259" s="729">
        <f t="shared" ca="1" si="129"/>
        <v>27002</v>
      </c>
      <c r="P259" s="729">
        <f t="shared" ca="1" si="129"/>
        <v>8833</v>
      </c>
      <c r="Q259" s="729">
        <f t="shared" ca="1" si="129"/>
        <v>33563.5452</v>
      </c>
      <c r="R259" s="729">
        <f t="shared" ca="1" si="129"/>
        <v>12501</v>
      </c>
      <c r="S259" s="729">
        <f t="shared" ca="1" si="129"/>
        <v>50025</v>
      </c>
      <c r="T259" s="729">
        <f t="shared" ca="1" si="129"/>
        <v>190152</v>
      </c>
      <c r="U259" s="729">
        <f t="shared" ca="1" si="129"/>
        <v>28166.375800000002</v>
      </c>
      <c r="V259" s="729">
        <f t="shared" ca="1" si="129"/>
        <v>292560.43660000002</v>
      </c>
      <c r="W259" s="729">
        <f t="shared" ca="1" si="129"/>
        <v>6558</v>
      </c>
      <c r="X259" s="729">
        <f t="shared" ca="1" si="129"/>
        <v>30653</v>
      </c>
      <c r="Y259" s="729">
        <f t="shared" ca="1" si="129"/>
        <v>45000.903099999996</v>
      </c>
      <c r="Z259" s="729">
        <f t="shared" ca="1" si="129"/>
        <v>31490.000219999998</v>
      </c>
      <c r="AA259" s="729">
        <f t="shared" ca="1" si="129"/>
        <v>105661</v>
      </c>
      <c r="AB259" s="729">
        <f t="shared" ca="1" si="129"/>
        <v>538136</v>
      </c>
      <c r="AC259" s="729">
        <f t="shared" ca="1" si="129"/>
        <v>19847.9074</v>
      </c>
      <c r="AD259" s="729">
        <f t="shared" ca="1" si="129"/>
        <v>79115.964500000002</v>
      </c>
      <c r="AE259" s="729">
        <f t="shared" ca="1" si="129"/>
        <v>148081.997</v>
      </c>
      <c r="AF259" s="729">
        <f t="shared" ca="1" si="129"/>
        <v>18017</v>
      </c>
      <c r="AG259" s="730">
        <f t="shared" ca="1" si="127"/>
        <v>1985810.1995999999</v>
      </c>
      <c r="AH259" s="850">
        <f ca="1">SUMIF($D$262:$AF$262,"=N",D259:AF259)</f>
        <v>1624159.8311700001</v>
      </c>
      <c r="AI259" s="851">
        <f ca="1">SUMIF($D$262:$AF$262,"=Y",D259:AF259)</f>
        <v>361650.36843000003</v>
      </c>
    </row>
    <row r="260" spans="1:35">
      <c r="A260" s="121"/>
      <c r="B260" s="713" t="s">
        <v>549</v>
      </c>
      <c r="C260" s="719">
        <v>2011</v>
      </c>
      <c r="D260" s="729">
        <f ca="1">D259*1000/D258</f>
        <v>1076.2866087069358</v>
      </c>
      <c r="E260" s="729">
        <f t="shared" ref="E260:AI260" ca="1" si="130">E259*1000/E258</f>
        <v>904.9919686778436</v>
      </c>
      <c r="F260" s="729">
        <f t="shared" ca="1" si="130"/>
        <v>1386.8143882800271</v>
      </c>
      <c r="G260" s="729">
        <f t="shared" ca="1" si="130"/>
        <v>1159.7331716191632</v>
      </c>
      <c r="H260" s="729">
        <f t="shared" ca="1" si="130"/>
        <v>810.27060690740393</v>
      </c>
      <c r="I260" s="729">
        <f t="shared" ca="1" si="130"/>
        <v>1154.3858273888845</v>
      </c>
      <c r="J260" s="729">
        <f t="shared" ca="1" si="130"/>
        <v>669.335545983099</v>
      </c>
      <c r="K260" s="729">
        <f t="shared" ca="1" si="130"/>
        <v>1619.6360620003609</v>
      </c>
      <c r="L260" s="729">
        <f t="shared" ca="1" si="130"/>
        <v>941.4070398470983</v>
      </c>
      <c r="M260" s="729">
        <f t="shared" ca="1" si="130"/>
        <v>1116.6808278778515</v>
      </c>
      <c r="N260" s="729">
        <f t="shared" ca="1" si="130"/>
        <v>1141.1510497269833</v>
      </c>
      <c r="O260" s="729">
        <f t="shared" ca="1" si="130"/>
        <v>1112.5669550885868</v>
      </c>
      <c r="P260" s="729">
        <f t="shared" ca="1" si="130"/>
        <v>976.23784261715298</v>
      </c>
      <c r="Q260" s="729">
        <f t="shared" ca="1" si="130"/>
        <v>915.06162109108766</v>
      </c>
      <c r="R260" s="729">
        <f t="shared" ca="1" si="130"/>
        <v>1014.8563078421822</v>
      </c>
      <c r="S260" s="729">
        <f t="shared" ca="1" si="130"/>
        <v>919.30682152308145</v>
      </c>
      <c r="T260" s="729">
        <f t="shared" ca="1" si="130"/>
        <v>989.45254164086612</v>
      </c>
      <c r="U260" s="729">
        <f t="shared" ca="1" si="130"/>
        <v>1903.0049185865821</v>
      </c>
      <c r="V260" s="729">
        <f t="shared" ca="1" si="130"/>
        <v>916.59728053988181</v>
      </c>
      <c r="W260" s="729">
        <f t="shared" ca="1" si="130"/>
        <v>966.25902460586417</v>
      </c>
      <c r="X260" s="729">
        <f t="shared" ca="1" si="130"/>
        <v>1252.4720111138352</v>
      </c>
      <c r="Y260" s="729">
        <f t="shared" ca="1" si="130"/>
        <v>1306.987978856263</v>
      </c>
      <c r="Z260" s="729">
        <f t="shared" ca="1" si="130"/>
        <v>1015.7409270369653</v>
      </c>
      <c r="AA260" s="729">
        <f t="shared" ca="1" si="130"/>
        <v>969.56266402393146</v>
      </c>
      <c r="AB260" s="729">
        <f t="shared" ca="1" si="130"/>
        <v>1013.085836384687</v>
      </c>
      <c r="AC260" s="729">
        <f t="shared" ca="1" si="130"/>
        <v>844.23255635899613</v>
      </c>
      <c r="AD260" s="729">
        <f t="shared" ca="1" si="130"/>
        <v>946.20475638051039</v>
      </c>
      <c r="AE260" s="729">
        <f t="shared" ca="1" si="130"/>
        <v>901.5646697108067</v>
      </c>
      <c r="AF260" s="729">
        <f t="shared" ca="1" si="130"/>
        <v>1399.2699596147872</v>
      </c>
      <c r="AG260" s="729">
        <f t="shared" ca="1" si="130"/>
        <v>989.9377615577182</v>
      </c>
      <c r="AH260" s="729">
        <f t="shared" ca="1" si="130"/>
        <v>992.93692204388844</v>
      </c>
      <c r="AI260" s="729">
        <f t="shared" ca="1" si="130"/>
        <v>976.68903276421759</v>
      </c>
    </row>
    <row r="261" spans="1:35">
      <c r="A261" s="121"/>
      <c r="B261" s="713" t="s">
        <v>479</v>
      </c>
      <c r="C261" s="719">
        <v>2011</v>
      </c>
      <c r="D261" s="725">
        <f t="shared" ref="D261:AF261" ca="1" si="131">INDIRECT(TEXT(D$142,1)&amp;"!"&amp;INDEX($B$291:$E$291,,MATCH($C256,$B$274:$E$274,0)))</f>
        <v>34.530084000000002</v>
      </c>
      <c r="E261" s="725">
        <f t="shared" ca="1" si="131"/>
        <v>77.435000000000002</v>
      </c>
      <c r="F261" s="725">
        <f t="shared" ca="1" si="131"/>
        <v>6.5328739699999998</v>
      </c>
      <c r="G261" s="725">
        <f t="shared" ca="1" si="131"/>
        <v>9.2110000000000003</v>
      </c>
      <c r="H261" s="725">
        <f t="shared" ca="1" si="131"/>
        <v>30.914999999999999</v>
      </c>
      <c r="I261" s="725">
        <f t="shared" ca="1" si="131"/>
        <v>30.968</v>
      </c>
      <c r="J261" s="725">
        <f t="shared" ca="1" si="131"/>
        <v>22.716382000000003</v>
      </c>
      <c r="K261" s="725">
        <f t="shared" ca="1" si="131"/>
        <v>27.105</v>
      </c>
      <c r="L261" s="725">
        <f t="shared" ca="1" si="131"/>
        <v>16.381</v>
      </c>
      <c r="M261" s="725">
        <f t="shared" ca="1" si="131"/>
        <v>28.615608209999998</v>
      </c>
      <c r="N261" s="725">
        <f t="shared" ca="1" si="131"/>
        <v>42.164999999999999</v>
      </c>
      <c r="O261" s="725">
        <f t="shared" ca="1" si="131"/>
        <v>34.771000000000001</v>
      </c>
      <c r="P261" s="725">
        <f t="shared" ca="1" si="131"/>
        <v>8.8989999999999991</v>
      </c>
      <c r="Q261" s="725">
        <f t="shared" ca="1" si="131"/>
        <v>29.02077478</v>
      </c>
      <c r="R261" s="725">
        <f t="shared" ca="1" si="131"/>
        <v>11.621258800000001</v>
      </c>
      <c r="S261" s="725">
        <f t="shared" ca="1" si="131"/>
        <v>47.776600000000002</v>
      </c>
      <c r="T261" s="725">
        <f t="shared" ca="1" si="131"/>
        <v>200.53023712645845</v>
      </c>
      <c r="U261" s="725">
        <f t="shared" ca="1" si="131"/>
        <v>29.491375999999999</v>
      </c>
      <c r="V261" s="725">
        <f t="shared" ca="1" si="131"/>
        <v>307.50698019000004</v>
      </c>
      <c r="W261" s="725">
        <f t="shared" ca="1" si="131"/>
        <v>5.1230000000000002</v>
      </c>
      <c r="X261" s="725">
        <f t="shared" ca="1" si="131"/>
        <v>30.817</v>
      </c>
      <c r="Y261" s="725">
        <f t="shared" ca="1" si="131"/>
        <v>42.936878</v>
      </c>
      <c r="Z261" s="725">
        <f t="shared" ca="1" si="131"/>
        <v>32.631</v>
      </c>
      <c r="AA261" s="725">
        <f t="shared" ca="1" si="131"/>
        <v>111.29488428000001</v>
      </c>
      <c r="AB261" s="725">
        <f t="shared" ca="1" si="131"/>
        <v>576.80600000000004</v>
      </c>
      <c r="AC261" s="725">
        <f t="shared" ca="1" si="131"/>
        <v>16.83098146</v>
      </c>
      <c r="AD261" s="725">
        <f t="shared" ca="1" si="131"/>
        <v>79.2515523</v>
      </c>
      <c r="AE261" s="725">
        <f t="shared" ca="1" si="131"/>
        <v>151.72333209000001</v>
      </c>
      <c r="AF261" s="725">
        <f t="shared" ca="1" si="131"/>
        <v>17.738</v>
      </c>
      <c r="AG261" s="726">
        <f t="shared" ca="1" si="127"/>
        <v>2061.3448032064584</v>
      </c>
      <c r="AH261" s="850">
        <f ca="1">SUMIF($D$262:$AF$262,"=N",D261:AF261)</f>
        <v>1702.9662766764584</v>
      </c>
      <c r="AI261" s="851">
        <f ca="1">SUMIF($D$262:$AF$262,"=Y",D261:AF261)</f>
        <v>358.37852652999999</v>
      </c>
    </row>
    <row r="262" spans="1:35">
      <c r="A262" s="121"/>
      <c r="B262" s="714" t="s">
        <v>426</v>
      </c>
      <c r="C262" s="719"/>
      <c r="D262" s="731" t="s">
        <v>427</v>
      </c>
      <c r="E262" s="731" t="s">
        <v>427</v>
      </c>
      <c r="F262" s="731" t="s">
        <v>428</v>
      </c>
      <c r="G262" s="731" t="s">
        <v>427</v>
      </c>
      <c r="H262" s="731" t="s">
        <v>428</v>
      </c>
      <c r="I262" s="731" t="s">
        <v>427</v>
      </c>
      <c r="J262" s="731" t="s">
        <v>428</v>
      </c>
      <c r="K262" s="731" t="s">
        <v>427</v>
      </c>
      <c r="L262" s="731" t="s">
        <v>427</v>
      </c>
      <c r="M262" s="731" t="s">
        <v>427</v>
      </c>
      <c r="N262" s="731" t="s">
        <v>428</v>
      </c>
      <c r="O262" s="731" t="s">
        <v>428</v>
      </c>
      <c r="P262" s="731" t="s">
        <v>427</v>
      </c>
      <c r="Q262" s="731" t="s">
        <v>427</v>
      </c>
      <c r="R262" s="731" t="s">
        <v>428</v>
      </c>
      <c r="S262" s="731" t="s">
        <v>428</v>
      </c>
      <c r="T262" s="731" t="s">
        <v>427</v>
      </c>
      <c r="U262" s="731" t="s">
        <v>427</v>
      </c>
      <c r="V262" s="731" t="s">
        <v>427</v>
      </c>
      <c r="W262" s="731" t="s">
        <v>428</v>
      </c>
      <c r="X262" s="731" t="s">
        <v>427</v>
      </c>
      <c r="Y262" s="731" t="s">
        <v>428</v>
      </c>
      <c r="Z262" s="731" t="s">
        <v>427</v>
      </c>
      <c r="AA262" s="731" t="s">
        <v>427</v>
      </c>
      <c r="AB262" s="731" t="s">
        <v>427</v>
      </c>
      <c r="AC262" s="731" t="s">
        <v>428</v>
      </c>
      <c r="AD262" s="731" t="s">
        <v>428</v>
      </c>
      <c r="AE262" s="731" t="s">
        <v>427</v>
      </c>
      <c r="AF262" s="731" t="s">
        <v>428</v>
      </c>
      <c r="AG262" s="732"/>
      <c r="AH262" s="369"/>
      <c r="AI262" s="852"/>
    </row>
    <row r="263" spans="1:35">
      <c r="A263" s="121"/>
      <c r="B263" s="715" t="s">
        <v>467</v>
      </c>
      <c r="C263" s="719">
        <v>2008</v>
      </c>
      <c r="D263" s="731" t="str">
        <f t="shared" ref="D263:AF263" ca="1" si="132">IF(D$262="Y",".",IF(INDIRECT(TEXT(D$142,1)&amp;"!"&amp;INDEX($B$287:$E$287,,MATCH($C263,$B$274:$E$274,0)))&gt;(INDIRECT(TEXT(D$142,1)&amp;"!"&amp;INDEX($B$289:$E$289,,MATCH($C221,$B$274:$E$274,0)))),"YES","NO"))</f>
        <v>YES</v>
      </c>
      <c r="E263" s="731" t="str">
        <f t="shared" ca="1" si="132"/>
        <v>YES</v>
      </c>
      <c r="F263" s="731" t="str">
        <f t="shared" ca="1" si="132"/>
        <v>.</v>
      </c>
      <c r="G263" s="731" t="str">
        <f t="shared" ca="1" si="132"/>
        <v>NO</v>
      </c>
      <c r="H263" s="731" t="str">
        <f t="shared" ca="1" si="132"/>
        <v>.</v>
      </c>
      <c r="I263" s="731" t="str">
        <f t="shared" ca="1" si="132"/>
        <v>NO</v>
      </c>
      <c r="J263" s="731" t="str">
        <f t="shared" ca="1" si="132"/>
        <v>.</v>
      </c>
      <c r="K263" s="731" t="str">
        <f t="shared" ca="1" si="132"/>
        <v>YES</v>
      </c>
      <c r="L263" s="731" t="str">
        <f t="shared" ca="1" si="132"/>
        <v>YES</v>
      </c>
      <c r="M263" s="731" t="str">
        <f t="shared" ca="1" si="132"/>
        <v>NO</v>
      </c>
      <c r="N263" s="731" t="str">
        <f t="shared" ca="1" si="132"/>
        <v>.</v>
      </c>
      <c r="O263" s="731" t="str">
        <f t="shared" ca="1" si="132"/>
        <v>.</v>
      </c>
      <c r="P263" s="731" t="str">
        <f t="shared" ca="1" si="132"/>
        <v>NO</v>
      </c>
      <c r="Q263" s="731" t="str">
        <f t="shared" ca="1" si="132"/>
        <v>YES</v>
      </c>
      <c r="R263" s="731" t="str">
        <f t="shared" ca="1" si="132"/>
        <v>.</v>
      </c>
      <c r="S263" s="731" t="str">
        <f t="shared" ca="1" si="132"/>
        <v>.</v>
      </c>
      <c r="T263" s="731" t="str">
        <f t="shared" ca="1" si="132"/>
        <v>NO</v>
      </c>
      <c r="U263" s="731" t="str">
        <f t="shared" ca="1" si="132"/>
        <v>YES</v>
      </c>
      <c r="V263" s="731" t="str">
        <f t="shared" ca="1" si="132"/>
        <v>YES</v>
      </c>
      <c r="W263" s="731" t="str">
        <f t="shared" ca="1" si="132"/>
        <v>.</v>
      </c>
      <c r="X263" s="731" t="str">
        <f t="shared" ca="1" si="132"/>
        <v>NO</v>
      </c>
      <c r="Y263" s="731" t="str">
        <f t="shared" ca="1" si="132"/>
        <v>.</v>
      </c>
      <c r="Z263" s="731" t="str">
        <f t="shared" ca="1" si="132"/>
        <v>YES</v>
      </c>
      <c r="AA263" s="731" t="str">
        <f t="shared" ca="1" si="132"/>
        <v>NO</v>
      </c>
      <c r="AB263" s="731" t="str">
        <f t="shared" ca="1" si="132"/>
        <v>YES</v>
      </c>
      <c r="AC263" s="731" t="str">
        <f t="shared" ca="1" si="132"/>
        <v>.</v>
      </c>
      <c r="AD263" s="731" t="str">
        <f t="shared" ca="1" si="132"/>
        <v>.</v>
      </c>
      <c r="AE263" s="731" t="str">
        <f t="shared" ca="1" si="132"/>
        <v>NO</v>
      </c>
      <c r="AF263" s="731" t="str">
        <f t="shared" ca="1" si="132"/>
        <v>.</v>
      </c>
      <c r="AG263" s="732"/>
      <c r="AH263" s="369"/>
      <c r="AI263" s="852"/>
    </row>
    <row r="264" spans="1:35">
      <c r="A264" s="121"/>
      <c r="B264" s="715" t="s">
        <v>467</v>
      </c>
      <c r="C264" s="719">
        <v>2009</v>
      </c>
      <c r="D264" s="731" t="str">
        <f t="shared" ref="D264:AF264" ca="1" si="133">IF(D$262="Y",".",IF(INDIRECT(TEXT(D$142,1)&amp;"!"&amp;INDEX($B$287:$E$287,,MATCH($C264,$B$274:$E$274,0)))&gt;(INDIRECT(TEXT(D$142,1)&amp;"!"&amp;INDEX($B$289:$E$289,,MATCH($C222,$B$274:$E$274,0)))),"YES","NO"))</f>
        <v>YES</v>
      </c>
      <c r="E264" s="731" t="str">
        <f t="shared" ca="1" si="133"/>
        <v>NO</v>
      </c>
      <c r="F264" s="731" t="str">
        <f t="shared" ca="1" si="133"/>
        <v>.</v>
      </c>
      <c r="G264" s="731" t="str">
        <f t="shared" ca="1" si="133"/>
        <v>NO</v>
      </c>
      <c r="H264" s="731" t="str">
        <f t="shared" ca="1" si="133"/>
        <v>.</v>
      </c>
      <c r="I264" s="731" t="str">
        <f t="shared" ca="1" si="133"/>
        <v>NO</v>
      </c>
      <c r="J264" s="731" t="str">
        <f t="shared" ca="1" si="133"/>
        <v>.</v>
      </c>
      <c r="K264" s="731" t="str">
        <f t="shared" ca="1" si="133"/>
        <v>YES</v>
      </c>
      <c r="L264" s="731" t="str">
        <f t="shared" ca="1" si="133"/>
        <v>NO</v>
      </c>
      <c r="M264" s="731" t="str">
        <f t="shared" ca="1" si="133"/>
        <v>NO</v>
      </c>
      <c r="N264" s="731" t="str">
        <f t="shared" ca="1" si="133"/>
        <v>.</v>
      </c>
      <c r="O264" s="731" t="str">
        <f t="shared" ca="1" si="133"/>
        <v>.</v>
      </c>
      <c r="P264" s="731" t="str">
        <f t="shared" ca="1" si="133"/>
        <v>YES</v>
      </c>
      <c r="Q264" s="731" t="str">
        <f t="shared" ca="1" si="133"/>
        <v>YES</v>
      </c>
      <c r="R264" s="731" t="str">
        <f t="shared" ca="1" si="133"/>
        <v>.</v>
      </c>
      <c r="S264" s="731" t="str">
        <f t="shared" ca="1" si="133"/>
        <v>.</v>
      </c>
      <c r="T264" s="731" t="str">
        <f t="shared" ca="1" si="133"/>
        <v>NO</v>
      </c>
      <c r="U264" s="731" t="str">
        <f t="shared" ca="1" si="133"/>
        <v>YES</v>
      </c>
      <c r="V264" s="731" t="str">
        <f t="shared" ca="1" si="133"/>
        <v>YES</v>
      </c>
      <c r="W264" s="731" t="str">
        <f t="shared" ca="1" si="133"/>
        <v>.</v>
      </c>
      <c r="X264" s="731" t="str">
        <f t="shared" ca="1" si="133"/>
        <v>NO</v>
      </c>
      <c r="Y264" s="731" t="str">
        <f t="shared" ca="1" si="133"/>
        <v>.</v>
      </c>
      <c r="Z264" s="731" t="str">
        <f t="shared" ca="1" si="133"/>
        <v>YES</v>
      </c>
      <c r="AA264" s="731" t="str">
        <f t="shared" ca="1" si="133"/>
        <v>NO</v>
      </c>
      <c r="AB264" s="731" t="str">
        <f t="shared" ca="1" si="133"/>
        <v>YES</v>
      </c>
      <c r="AC264" s="731" t="str">
        <f t="shared" ca="1" si="133"/>
        <v>.</v>
      </c>
      <c r="AD264" s="731" t="str">
        <f t="shared" ca="1" si="133"/>
        <v>.</v>
      </c>
      <c r="AE264" s="731" t="str">
        <f t="shared" ca="1" si="133"/>
        <v>NO</v>
      </c>
      <c r="AF264" s="731" t="str">
        <f t="shared" ca="1" si="133"/>
        <v>.</v>
      </c>
      <c r="AG264" s="732"/>
      <c r="AH264" s="369"/>
      <c r="AI264" s="852"/>
    </row>
    <row r="265" spans="1:35">
      <c r="A265" s="121"/>
      <c r="B265" s="715" t="s">
        <v>467</v>
      </c>
      <c r="C265" s="719">
        <v>2010</v>
      </c>
      <c r="D265" s="731" t="str">
        <f t="shared" ref="D265:AF265" ca="1" si="134">IF(D$262="Y",".",IF(INDIRECT(TEXT(D$142,1)&amp;"!"&amp;INDEX($B$287:$E$287,,MATCH($C265,$B$274:$E$274,0)))&gt;(INDIRECT(TEXT(D$142,1)&amp;"!"&amp;INDEX($B$289:$E$289,,MATCH($C223,$B$274:$E$274,0)))),"YES","NO"))</f>
        <v>YES</v>
      </c>
      <c r="E265" s="731" t="str">
        <f t="shared" ca="1" si="134"/>
        <v>NO</v>
      </c>
      <c r="F265" s="731" t="str">
        <f t="shared" ca="1" si="134"/>
        <v>.</v>
      </c>
      <c r="G265" s="731" t="str">
        <f t="shared" ca="1" si="134"/>
        <v>NO</v>
      </c>
      <c r="H265" s="731" t="str">
        <f t="shared" ca="1" si="134"/>
        <v>.</v>
      </c>
      <c r="I265" s="731" t="str">
        <f t="shared" ca="1" si="134"/>
        <v>NO</v>
      </c>
      <c r="J265" s="731" t="str">
        <f t="shared" ca="1" si="134"/>
        <v>.</v>
      </c>
      <c r="K265" s="731" t="str">
        <f t="shared" ca="1" si="134"/>
        <v>NO</v>
      </c>
      <c r="L265" s="731" t="str">
        <f t="shared" ca="1" si="134"/>
        <v>NO</v>
      </c>
      <c r="M265" s="731" t="str">
        <f t="shared" ca="1" si="134"/>
        <v>NO</v>
      </c>
      <c r="N265" s="731" t="str">
        <f t="shared" ca="1" si="134"/>
        <v>.</v>
      </c>
      <c r="O265" s="731" t="str">
        <f t="shared" ca="1" si="134"/>
        <v>.</v>
      </c>
      <c r="P265" s="731" t="str">
        <f t="shared" ca="1" si="134"/>
        <v>YES</v>
      </c>
      <c r="Q265" s="731" t="str">
        <f t="shared" ca="1" si="134"/>
        <v>YES</v>
      </c>
      <c r="R265" s="731" t="str">
        <f t="shared" ca="1" si="134"/>
        <v>.</v>
      </c>
      <c r="S265" s="731" t="str">
        <f t="shared" ca="1" si="134"/>
        <v>.</v>
      </c>
      <c r="T265" s="731" t="str">
        <f t="shared" ca="1" si="134"/>
        <v>NO</v>
      </c>
      <c r="U265" s="731" t="str">
        <f t="shared" ca="1" si="134"/>
        <v>YES</v>
      </c>
      <c r="V265" s="731" t="str">
        <f t="shared" ca="1" si="134"/>
        <v>YES</v>
      </c>
      <c r="W265" s="731" t="str">
        <f t="shared" ca="1" si="134"/>
        <v>.</v>
      </c>
      <c r="X265" s="731" t="str">
        <f t="shared" ca="1" si="134"/>
        <v>NO</v>
      </c>
      <c r="Y265" s="731" t="str">
        <f t="shared" ca="1" si="134"/>
        <v>.</v>
      </c>
      <c r="Z265" s="731" t="str">
        <f t="shared" ca="1" si="134"/>
        <v>NO</v>
      </c>
      <c r="AA265" s="731" t="str">
        <f t="shared" ca="1" si="134"/>
        <v>NO</v>
      </c>
      <c r="AB265" s="731" t="str">
        <f t="shared" ca="1" si="134"/>
        <v>NO</v>
      </c>
      <c r="AC265" s="731" t="str">
        <f t="shared" ca="1" si="134"/>
        <v>.</v>
      </c>
      <c r="AD265" s="731" t="str">
        <f t="shared" ca="1" si="134"/>
        <v>.</v>
      </c>
      <c r="AE265" s="731" t="str">
        <f t="shared" ca="1" si="134"/>
        <v>YES</v>
      </c>
      <c r="AF265" s="731" t="str">
        <f t="shared" ca="1" si="134"/>
        <v>.</v>
      </c>
      <c r="AG265" s="732"/>
      <c r="AH265" s="369"/>
      <c r="AI265" s="852"/>
    </row>
    <row r="266" spans="1:35">
      <c r="A266" s="121"/>
      <c r="B266" s="715" t="s">
        <v>467</v>
      </c>
      <c r="C266" s="719">
        <v>2011</v>
      </c>
      <c r="D266" s="731" t="str">
        <f t="shared" ref="D266:AF266" ca="1" si="135">IF(D$262="Y",".",IF(INDIRECT(TEXT(D$142,1)&amp;"!"&amp;INDEX($B$287:$E$287,,MATCH($C266,$B$274:$E$274,0)))&gt;(INDIRECT(TEXT(D$142,1)&amp;"!"&amp;INDEX($B$289:$E$289,,MATCH($C224,$B$274:$E$274,0)))),"YES","NO"))</f>
        <v>YES</v>
      </c>
      <c r="E266" s="731" t="str">
        <f t="shared" ca="1" si="135"/>
        <v>YES</v>
      </c>
      <c r="F266" s="731" t="str">
        <f t="shared" ca="1" si="135"/>
        <v>.</v>
      </c>
      <c r="G266" s="731" t="str">
        <f t="shared" ca="1" si="135"/>
        <v>NO</v>
      </c>
      <c r="H266" s="731" t="str">
        <f t="shared" ca="1" si="135"/>
        <v>.</v>
      </c>
      <c r="I266" s="731" t="str">
        <f t="shared" ca="1" si="135"/>
        <v>YES</v>
      </c>
      <c r="J266" s="731" t="str">
        <f t="shared" ca="1" si="135"/>
        <v>.</v>
      </c>
      <c r="K266" s="731" t="str">
        <f t="shared" ca="1" si="135"/>
        <v>YES</v>
      </c>
      <c r="L266" s="731" t="str">
        <f t="shared" ca="1" si="135"/>
        <v>NO</v>
      </c>
      <c r="M266" s="731" t="str">
        <f t="shared" ca="1" si="135"/>
        <v>NO</v>
      </c>
      <c r="N266" s="731" t="str">
        <f t="shared" ca="1" si="135"/>
        <v>.</v>
      </c>
      <c r="O266" s="731" t="str">
        <f t="shared" ca="1" si="135"/>
        <v>.</v>
      </c>
      <c r="P266" s="731" t="str">
        <f t="shared" ca="1" si="135"/>
        <v>YES</v>
      </c>
      <c r="Q266" s="731" t="str">
        <f t="shared" ca="1" si="135"/>
        <v>YES</v>
      </c>
      <c r="R266" s="731" t="str">
        <f t="shared" ca="1" si="135"/>
        <v>.</v>
      </c>
      <c r="S266" s="731" t="str">
        <f t="shared" ca="1" si="135"/>
        <v>.</v>
      </c>
      <c r="T266" s="731" t="str">
        <f t="shared" ca="1" si="135"/>
        <v>YES</v>
      </c>
      <c r="U266" s="731" t="str">
        <f t="shared" ca="1" si="135"/>
        <v>NO</v>
      </c>
      <c r="V266" s="731" t="str">
        <f t="shared" ca="1" si="135"/>
        <v>YES</v>
      </c>
      <c r="W266" s="731" t="str">
        <f t="shared" ca="1" si="135"/>
        <v>.</v>
      </c>
      <c r="X266" s="731" t="str">
        <f t="shared" ca="1" si="135"/>
        <v>NO</v>
      </c>
      <c r="Y266" s="731" t="str">
        <f t="shared" ca="1" si="135"/>
        <v>.</v>
      </c>
      <c r="Z266" s="731" t="str">
        <f t="shared" ca="1" si="135"/>
        <v>NO</v>
      </c>
      <c r="AA266" s="731" t="str">
        <f t="shared" ca="1" si="135"/>
        <v>NO</v>
      </c>
      <c r="AB266" s="731" t="str">
        <f t="shared" ca="1" si="135"/>
        <v>NO</v>
      </c>
      <c r="AC266" s="731" t="str">
        <f t="shared" ca="1" si="135"/>
        <v>.</v>
      </c>
      <c r="AD266" s="731" t="str">
        <f t="shared" ca="1" si="135"/>
        <v>.</v>
      </c>
      <c r="AE266" s="731" t="str">
        <f t="shared" ca="1" si="135"/>
        <v>NO</v>
      </c>
      <c r="AF266" s="731" t="str">
        <f t="shared" ca="1" si="135"/>
        <v>.</v>
      </c>
      <c r="AG266" s="732"/>
      <c r="AH266" s="369"/>
      <c r="AI266" s="852"/>
    </row>
    <row r="267" spans="1:35">
      <c r="A267" s="121"/>
      <c r="B267" s="715" t="s">
        <v>468</v>
      </c>
      <c r="C267" s="719">
        <v>2008</v>
      </c>
      <c r="D267" s="731" t="str">
        <f t="shared" ref="D267:AF267" ca="1" si="136">IF(D$262="Y",".",IF(INDIRECT(TEXT(D$142,1)&amp;"!"&amp;INDEX($B$288:$E$288,,MATCH($C267,$B$274:$E$274,0)))&gt;(INDIRECT(TEXT(D$142,1)&amp;"!"&amp;INDEX($B$290:$E$290,,MATCH($C225,$B$274:$E$274,0)))),"YES","NO"))</f>
        <v>YES</v>
      </c>
      <c r="E267" s="731" t="str">
        <f t="shared" ca="1" si="136"/>
        <v>NO</v>
      </c>
      <c r="F267" s="731" t="str">
        <f t="shared" ca="1" si="136"/>
        <v>.</v>
      </c>
      <c r="G267" s="731" t="str">
        <f t="shared" ca="1" si="136"/>
        <v>NO</v>
      </c>
      <c r="H267" s="731" t="str">
        <f t="shared" ca="1" si="136"/>
        <v>.</v>
      </c>
      <c r="I267" s="731" t="str">
        <f t="shared" ca="1" si="136"/>
        <v>NO</v>
      </c>
      <c r="J267" s="731" t="str">
        <f t="shared" ca="1" si="136"/>
        <v>.</v>
      </c>
      <c r="K267" s="731" t="str">
        <f t="shared" ca="1" si="136"/>
        <v>NO</v>
      </c>
      <c r="L267" s="731" t="str">
        <f t="shared" ca="1" si="136"/>
        <v>YES</v>
      </c>
      <c r="M267" s="731" t="str">
        <f t="shared" ca="1" si="136"/>
        <v>NO</v>
      </c>
      <c r="N267" s="731" t="str">
        <f t="shared" ca="1" si="136"/>
        <v>.</v>
      </c>
      <c r="O267" s="731" t="str">
        <f t="shared" ca="1" si="136"/>
        <v>.</v>
      </c>
      <c r="P267" s="731" t="str">
        <f t="shared" ca="1" si="136"/>
        <v>NO</v>
      </c>
      <c r="Q267" s="731" t="str">
        <f t="shared" ca="1" si="136"/>
        <v>NO</v>
      </c>
      <c r="R267" s="731" t="str">
        <f t="shared" ca="1" si="136"/>
        <v>.</v>
      </c>
      <c r="S267" s="731" t="str">
        <f t="shared" ca="1" si="136"/>
        <v>.</v>
      </c>
      <c r="T267" s="731" t="str">
        <f t="shared" ca="1" si="136"/>
        <v>NO</v>
      </c>
      <c r="U267" s="731" t="str">
        <f t="shared" ca="1" si="136"/>
        <v>YES</v>
      </c>
      <c r="V267" s="731" t="str">
        <f t="shared" ca="1" si="136"/>
        <v>NO</v>
      </c>
      <c r="W267" s="731" t="str">
        <f t="shared" ca="1" si="136"/>
        <v>.</v>
      </c>
      <c r="X267" s="731" t="str">
        <f t="shared" ca="1" si="136"/>
        <v>NO</v>
      </c>
      <c r="Y267" s="731" t="str">
        <f t="shared" ca="1" si="136"/>
        <v>.</v>
      </c>
      <c r="Z267" s="731" t="str">
        <f t="shared" ca="1" si="136"/>
        <v>NO</v>
      </c>
      <c r="AA267" s="731" t="str">
        <f t="shared" ca="1" si="136"/>
        <v>NO</v>
      </c>
      <c r="AB267" s="731" t="str">
        <f t="shared" ca="1" si="136"/>
        <v>YES</v>
      </c>
      <c r="AC267" s="731" t="str">
        <f t="shared" ca="1" si="136"/>
        <v>.</v>
      </c>
      <c r="AD267" s="731" t="str">
        <f t="shared" ca="1" si="136"/>
        <v>.</v>
      </c>
      <c r="AE267" s="731" t="str">
        <f t="shared" ca="1" si="136"/>
        <v>NO</v>
      </c>
      <c r="AF267" s="731" t="str">
        <f t="shared" ca="1" si="136"/>
        <v>.</v>
      </c>
      <c r="AG267" s="732"/>
      <c r="AH267" s="369"/>
      <c r="AI267" s="852"/>
    </row>
    <row r="268" spans="1:35">
      <c r="A268" s="121"/>
      <c r="B268" s="715" t="s">
        <v>468</v>
      </c>
      <c r="C268" s="719">
        <v>2009</v>
      </c>
      <c r="D268" s="731" t="str">
        <f t="shared" ref="D268:AF268" ca="1" si="137">IF(D$262="Y",".",IF(INDIRECT(TEXT(D$142,1)&amp;"!"&amp;INDEX($B$288:$E$288,,MATCH($C268,$B$274:$E$274,0)))&gt;(INDIRECT(TEXT(D$142,1)&amp;"!"&amp;INDEX($B$290:$E$290,,MATCH($C226,$B$274:$E$274,0)))),"YES","NO"))</f>
        <v>YES</v>
      </c>
      <c r="E268" s="731" t="str">
        <f t="shared" ca="1" si="137"/>
        <v>NO</v>
      </c>
      <c r="F268" s="731" t="str">
        <f t="shared" ca="1" si="137"/>
        <v>.</v>
      </c>
      <c r="G268" s="731" t="str">
        <f t="shared" ca="1" si="137"/>
        <v>NO</v>
      </c>
      <c r="H268" s="731" t="str">
        <f t="shared" ca="1" si="137"/>
        <v>.</v>
      </c>
      <c r="I268" s="731" t="str">
        <f t="shared" ca="1" si="137"/>
        <v>NO</v>
      </c>
      <c r="J268" s="731" t="str">
        <f t="shared" ca="1" si="137"/>
        <v>.</v>
      </c>
      <c r="K268" s="731" t="str">
        <f t="shared" ca="1" si="137"/>
        <v>YES</v>
      </c>
      <c r="L268" s="731" t="str">
        <f t="shared" ca="1" si="137"/>
        <v>NO</v>
      </c>
      <c r="M268" s="731" t="str">
        <f t="shared" ca="1" si="137"/>
        <v>YES</v>
      </c>
      <c r="N268" s="731" t="str">
        <f t="shared" ca="1" si="137"/>
        <v>.</v>
      </c>
      <c r="O268" s="731" t="str">
        <f t="shared" ca="1" si="137"/>
        <v>.</v>
      </c>
      <c r="P268" s="731" t="str">
        <f t="shared" ca="1" si="137"/>
        <v>YES</v>
      </c>
      <c r="Q268" s="731" t="str">
        <f t="shared" ca="1" si="137"/>
        <v>NO</v>
      </c>
      <c r="R268" s="731" t="str">
        <f t="shared" ca="1" si="137"/>
        <v>.</v>
      </c>
      <c r="S268" s="731" t="str">
        <f t="shared" ca="1" si="137"/>
        <v>.</v>
      </c>
      <c r="T268" s="731" t="str">
        <f t="shared" ca="1" si="137"/>
        <v>NO</v>
      </c>
      <c r="U268" s="731" t="str">
        <f t="shared" ca="1" si="137"/>
        <v>YES</v>
      </c>
      <c r="V268" s="731" t="str">
        <f t="shared" ca="1" si="137"/>
        <v>NO</v>
      </c>
      <c r="W268" s="731" t="str">
        <f t="shared" ca="1" si="137"/>
        <v>.</v>
      </c>
      <c r="X268" s="731" t="str">
        <f t="shared" ca="1" si="137"/>
        <v>NO</v>
      </c>
      <c r="Y268" s="731" t="str">
        <f t="shared" ca="1" si="137"/>
        <v>.</v>
      </c>
      <c r="Z268" s="731" t="str">
        <f t="shared" ca="1" si="137"/>
        <v>YES</v>
      </c>
      <c r="AA268" s="731" t="str">
        <f t="shared" ca="1" si="137"/>
        <v>NO</v>
      </c>
      <c r="AB268" s="731" t="str">
        <f t="shared" ca="1" si="137"/>
        <v>YES</v>
      </c>
      <c r="AC268" s="731" t="str">
        <f t="shared" ca="1" si="137"/>
        <v>.</v>
      </c>
      <c r="AD268" s="731" t="str">
        <f t="shared" ca="1" si="137"/>
        <v>.</v>
      </c>
      <c r="AE268" s="731" t="str">
        <f t="shared" ca="1" si="137"/>
        <v>NO</v>
      </c>
      <c r="AF268" s="731" t="str">
        <f t="shared" ca="1" si="137"/>
        <v>.</v>
      </c>
      <c r="AG268" s="732"/>
      <c r="AH268" s="369"/>
      <c r="AI268" s="852"/>
    </row>
    <row r="269" spans="1:35">
      <c r="A269" s="121"/>
      <c r="B269" s="715" t="s">
        <v>468</v>
      </c>
      <c r="C269" s="719">
        <v>2010</v>
      </c>
      <c r="D269" s="731" t="str">
        <f t="shared" ref="D269:AF269" ca="1" si="138">IF(D$262="Y",".",IF(INDIRECT(TEXT(D$142,1)&amp;"!"&amp;INDEX($B$288:$E$288,,MATCH($C269,$B$274:$E$274,0)))&gt;(INDIRECT(TEXT(D$142,1)&amp;"!"&amp;INDEX($B$290:$E$290,,MATCH($C227,$B$274:$E$274,0)))),"YES","NO"))</f>
        <v>YES</v>
      </c>
      <c r="E269" s="731" t="str">
        <f t="shared" ca="1" si="138"/>
        <v>NO</v>
      </c>
      <c r="F269" s="731" t="str">
        <f t="shared" ca="1" si="138"/>
        <v>.</v>
      </c>
      <c r="G269" s="731" t="str">
        <f t="shared" ca="1" si="138"/>
        <v>NO</v>
      </c>
      <c r="H269" s="731" t="str">
        <f t="shared" ca="1" si="138"/>
        <v>.</v>
      </c>
      <c r="I269" s="731" t="str">
        <f t="shared" ca="1" si="138"/>
        <v>NO</v>
      </c>
      <c r="J269" s="731" t="str">
        <f t="shared" ca="1" si="138"/>
        <v>.</v>
      </c>
      <c r="K269" s="731" t="str">
        <f t="shared" ca="1" si="138"/>
        <v>NO</v>
      </c>
      <c r="L269" s="731" t="str">
        <f t="shared" ca="1" si="138"/>
        <v>NO</v>
      </c>
      <c r="M269" s="731" t="str">
        <f t="shared" ca="1" si="138"/>
        <v>YES</v>
      </c>
      <c r="N269" s="731" t="str">
        <f t="shared" ca="1" si="138"/>
        <v>.</v>
      </c>
      <c r="O269" s="731" t="str">
        <f t="shared" ca="1" si="138"/>
        <v>.</v>
      </c>
      <c r="P269" s="731" t="str">
        <f t="shared" ca="1" si="138"/>
        <v>NO</v>
      </c>
      <c r="Q269" s="731" t="str">
        <f t="shared" ca="1" si="138"/>
        <v>NO</v>
      </c>
      <c r="R269" s="731" t="str">
        <f t="shared" ca="1" si="138"/>
        <v>.</v>
      </c>
      <c r="S269" s="731" t="str">
        <f t="shared" ca="1" si="138"/>
        <v>.</v>
      </c>
      <c r="T269" s="731" t="str">
        <f t="shared" ca="1" si="138"/>
        <v>NO</v>
      </c>
      <c r="U269" s="731" t="str">
        <f t="shared" ca="1" si="138"/>
        <v>YES</v>
      </c>
      <c r="V269" s="731" t="str">
        <f t="shared" ca="1" si="138"/>
        <v>NO</v>
      </c>
      <c r="W269" s="731" t="str">
        <f t="shared" ca="1" si="138"/>
        <v>.</v>
      </c>
      <c r="X269" s="731" t="str">
        <f t="shared" ca="1" si="138"/>
        <v>NO</v>
      </c>
      <c r="Y269" s="731" t="str">
        <f t="shared" ca="1" si="138"/>
        <v>.</v>
      </c>
      <c r="Z269" s="731" t="str">
        <f t="shared" ca="1" si="138"/>
        <v>NO</v>
      </c>
      <c r="AA269" s="731" t="str">
        <f t="shared" ca="1" si="138"/>
        <v>NO</v>
      </c>
      <c r="AB269" s="731" t="str">
        <f t="shared" ca="1" si="138"/>
        <v>NO</v>
      </c>
      <c r="AC269" s="731" t="str">
        <f t="shared" ca="1" si="138"/>
        <v>.</v>
      </c>
      <c r="AD269" s="731" t="str">
        <f t="shared" ca="1" si="138"/>
        <v>.</v>
      </c>
      <c r="AE269" s="731" t="str">
        <f t="shared" ca="1" si="138"/>
        <v>YES</v>
      </c>
      <c r="AF269" s="731" t="str">
        <f t="shared" ca="1" si="138"/>
        <v>.</v>
      </c>
      <c r="AG269" s="732"/>
      <c r="AH269" s="369"/>
      <c r="AI269" s="852"/>
    </row>
    <row r="270" spans="1:35">
      <c r="A270" s="121"/>
      <c r="B270" s="716" t="s">
        <v>468</v>
      </c>
      <c r="C270" s="720">
        <v>2011</v>
      </c>
      <c r="D270" s="733" t="str">
        <f t="shared" ref="D270:AF270" ca="1" si="139">IF(D$262="Y",".",IF(INDIRECT(TEXT(D$142,1)&amp;"!"&amp;INDEX($B$288:$E$288,,MATCH($C270,$B$274:$E$274,0)))&gt;(INDIRECT(TEXT(D$142,1)&amp;"!"&amp;INDEX($B$290:$E$290,,MATCH($C228,$B$274:$E$274,0)))),"YES","NO"))</f>
        <v>YES</v>
      </c>
      <c r="E270" s="733" t="str">
        <f t="shared" ca="1" si="139"/>
        <v>NO</v>
      </c>
      <c r="F270" s="733" t="str">
        <f t="shared" ca="1" si="139"/>
        <v>.</v>
      </c>
      <c r="G270" s="733" t="str">
        <f t="shared" ca="1" si="139"/>
        <v>YES</v>
      </c>
      <c r="H270" s="733" t="str">
        <f t="shared" ca="1" si="139"/>
        <v>.</v>
      </c>
      <c r="I270" s="733" t="str">
        <f t="shared" ca="1" si="139"/>
        <v>NO</v>
      </c>
      <c r="J270" s="733" t="str">
        <f t="shared" ca="1" si="139"/>
        <v>.</v>
      </c>
      <c r="K270" s="733" t="str">
        <f t="shared" ca="1" si="139"/>
        <v>YES</v>
      </c>
      <c r="L270" s="733" t="str">
        <f t="shared" ca="1" si="139"/>
        <v>YES</v>
      </c>
      <c r="M270" s="733" t="str">
        <f t="shared" ca="1" si="139"/>
        <v>NO</v>
      </c>
      <c r="N270" s="733" t="str">
        <f t="shared" ca="1" si="139"/>
        <v>.</v>
      </c>
      <c r="O270" s="733" t="str">
        <f t="shared" ca="1" si="139"/>
        <v>.</v>
      </c>
      <c r="P270" s="733" t="str">
        <f t="shared" ca="1" si="139"/>
        <v>NO</v>
      </c>
      <c r="Q270" s="733" t="str">
        <f t="shared" ca="1" si="139"/>
        <v>NO</v>
      </c>
      <c r="R270" s="733" t="str">
        <f t="shared" ca="1" si="139"/>
        <v>.</v>
      </c>
      <c r="S270" s="733" t="str">
        <f t="shared" ca="1" si="139"/>
        <v>.</v>
      </c>
      <c r="T270" s="733" t="str">
        <f t="shared" ca="1" si="139"/>
        <v>NO</v>
      </c>
      <c r="U270" s="733" t="str">
        <f t="shared" ca="1" si="139"/>
        <v>NO</v>
      </c>
      <c r="V270" s="733" t="str">
        <f t="shared" ca="1" si="139"/>
        <v>NO</v>
      </c>
      <c r="W270" s="733" t="str">
        <f t="shared" ca="1" si="139"/>
        <v>.</v>
      </c>
      <c r="X270" s="733" t="str">
        <f t="shared" ca="1" si="139"/>
        <v>NO</v>
      </c>
      <c r="Y270" s="733" t="str">
        <f t="shared" ca="1" si="139"/>
        <v>.</v>
      </c>
      <c r="Z270" s="733" t="str">
        <f t="shared" ca="1" si="139"/>
        <v>NO</v>
      </c>
      <c r="AA270" s="733" t="str">
        <f t="shared" ca="1" si="139"/>
        <v>NO</v>
      </c>
      <c r="AB270" s="733" t="str">
        <f t="shared" ca="1" si="139"/>
        <v>NO</v>
      </c>
      <c r="AC270" s="733" t="str">
        <f t="shared" ca="1" si="139"/>
        <v>.</v>
      </c>
      <c r="AD270" s="733" t="str">
        <f t="shared" ca="1" si="139"/>
        <v>.</v>
      </c>
      <c r="AE270" s="733" t="str">
        <f t="shared" ca="1" si="139"/>
        <v>NO</v>
      </c>
      <c r="AF270" s="734" t="str">
        <f t="shared" ca="1" si="139"/>
        <v>.</v>
      </c>
      <c r="AG270" s="735"/>
      <c r="AH270" s="853"/>
      <c r="AI270" s="854"/>
    </row>
    <row r="271" spans="1:35">
      <c r="A271" s="121"/>
      <c r="B271" s="211"/>
      <c r="C271" s="211"/>
      <c r="D271" s="211"/>
      <c r="E271" s="21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</row>
    <row r="272" spans="1:35">
      <c r="A272" s="121"/>
      <c r="B272" s="211"/>
      <c r="C272" s="211"/>
      <c r="D272" s="211"/>
      <c r="E272" s="21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</row>
    <row r="273" spans="1:31">
      <c r="A273" s="121"/>
      <c r="B273" s="211"/>
      <c r="C273" s="211"/>
      <c r="D273" s="211"/>
      <c r="E273" s="21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</row>
    <row r="274" spans="1:31">
      <c r="A274" s="121"/>
      <c r="B274" s="211">
        <v>2008</v>
      </c>
      <c r="C274" s="211">
        <v>2009</v>
      </c>
      <c r="D274" s="211">
        <v>2010</v>
      </c>
      <c r="E274" s="211">
        <v>2011</v>
      </c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</row>
    <row r="275" spans="1:31">
      <c r="A275" s="121"/>
      <c r="B275" s="211" t="s">
        <v>363</v>
      </c>
      <c r="C275" s="211" t="s">
        <v>364</v>
      </c>
      <c r="D275" s="211" t="s">
        <v>365</v>
      </c>
      <c r="E275" s="211" t="s">
        <v>366</v>
      </c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</row>
    <row r="276" spans="1:31">
      <c r="A276" s="121"/>
      <c r="B276" s="211" t="s">
        <v>369</v>
      </c>
      <c r="C276" s="211" t="s">
        <v>370</v>
      </c>
      <c r="D276" s="211" t="s">
        <v>371</v>
      </c>
      <c r="E276" s="211" t="s">
        <v>372</v>
      </c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</row>
    <row r="277" spans="1:31">
      <c r="A277" s="121"/>
      <c r="B277" s="211" t="s">
        <v>373</v>
      </c>
      <c r="C277" s="211" t="s">
        <v>374</v>
      </c>
      <c r="D277" s="211" t="s">
        <v>375</v>
      </c>
      <c r="E277" s="211" t="s">
        <v>376</v>
      </c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</row>
    <row r="278" spans="1:31">
      <c r="A278" s="121"/>
      <c r="B278" s="211" t="s">
        <v>377</v>
      </c>
      <c r="C278" s="211" t="s">
        <v>378</v>
      </c>
      <c r="D278" s="211" t="s">
        <v>379</v>
      </c>
      <c r="E278" s="211" t="s">
        <v>380</v>
      </c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</row>
    <row r="279" spans="1:31">
      <c r="A279" s="121"/>
      <c r="B279" s="211" t="s">
        <v>389</v>
      </c>
      <c r="C279" s="211" t="s">
        <v>393</v>
      </c>
      <c r="D279" s="211" t="s">
        <v>394</v>
      </c>
      <c r="E279" s="211" t="s">
        <v>395</v>
      </c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</row>
    <row r="280" spans="1:31">
      <c r="A280" s="121"/>
      <c r="B280" s="211" t="s">
        <v>390</v>
      </c>
      <c r="C280" s="211" t="s">
        <v>396</v>
      </c>
      <c r="D280" s="211" t="s">
        <v>397</v>
      </c>
      <c r="E280" s="211" t="s">
        <v>398</v>
      </c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</row>
    <row r="281" spans="1:31">
      <c r="A281" s="102"/>
      <c r="B281" s="211" t="s">
        <v>391</v>
      </c>
      <c r="C281" s="211" t="s">
        <v>399</v>
      </c>
      <c r="D281" s="211" t="s">
        <v>400</v>
      </c>
      <c r="E281" s="211" t="s">
        <v>401</v>
      </c>
      <c r="F281" s="102"/>
      <c r="G281" s="102"/>
      <c r="H281" s="102"/>
      <c r="I281" s="102"/>
      <c r="J281" s="102"/>
      <c r="K281" s="102"/>
      <c r="L281" s="102"/>
      <c r="M281" s="102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</row>
    <row r="282" spans="1:31">
      <c r="A282" s="102"/>
      <c r="B282" s="211" t="s">
        <v>392</v>
      </c>
      <c r="C282" s="211" t="s">
        <v>402</v>
      </c>
      <c r="D282" s="211" t="s">
        <v>403</v>
      </c>
      <c r="E282" s="211" t="s">
        <v>404</v>
      </c>
      <c r="F282" s="102"/>
      <c r="G282" s="102"/>
      <c r="H282" s="102"/>
      <c r="I282" s="102"/>
      <c r="J282" s="102"/>
      <c r="K282" s="102"/>
      <c r="L282" s="102"/>
      <c r="M282" s="102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</row>
    <row r="283" spans="1:31">
      <c r="A283" s="102"/>
      <c r="B283" s="211" t="s">
        <v>405</v>
      </c>
      <c r="C283" s="211" t="s">
        <v>410</v>
      </c>
      <c r="D283" s="211" t="s">
        <v>409</v>
      </c>
      <c r="E283" s="211" t="s">
        <v>408</v>
      </c>
      <c r="F283" s="102"/>
      <c r="G283" s="102"/>
      <c r="H283" s="102"/>
      <c r="I283" s="102"/>
      <c r="J283" s="102"/>
      <c r="K283" s="102"/>
      <c r="L283" s="102"/>
      <c r="M283" s="102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</row>
    <row r="284" spans="1:31">
      <c r="A284" s="102"/>
      <c r="B284" s="211" t="s">
        <v>411</v>
      </c>
      <c r="C284" s="211" t="s">
        <v>406</v>
      </c>
      <c r="D284" s="211" t="s">
        <v>412</v>
      </c>
      <c r="E284" s="211" t="s">
        <v>413</v>
      </c>
      <c r="F284" s="102"/>
      <c r="G284" s="102"/>
      <c r="H284" s="102"/>
      <c r="I284" s="102"/>
      <c r="J284" s="102"/>
      <c r="K284" s="102"/>
      <c r="L284" s="102"/>
      <c r="M284" s="102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</row>
    <row r="285" spans="1:31">
      <c r="A285" s="102"/>
      <c r="B285" s="211" t="s">
        <v>414</v>
      </c>
      <c r="C285" s="211" t="s">
        <v>415</v>
      </c>
      <c r="D285" s="211" t="s">
        <v>407</v>
      </c>
      <c r="E285" s="211" t="s">
        <v>416</v>
      </c>
      <c r="F285" s="102"/>
      <c r="G285" s="102"/>
      <c r="H285" s="102"/>
      <c r="I285" s="102"/>
      <c r="J285" s="102"/>
      <c r="K285" s="102"/>
      <c r="L285" s="102"/>
      <c r="M285" s="102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</row>
    <row r="286" spans="1:31">
      <c r="A286" s="102"/>
      <c r="B286" s="211" t="s">
        <v>417</v>
      </c>
      <c r="C286" s="211" t="s">
        <v>418</v>
      </c>
      <c r="D286" s="211" t="s">
        <v>419</v>
      </c>
      <c r="E286" s="211" t="s">
        <v>420</v>
      </c>
      <c r="F286" s="102"/>
      <c r="G286" s="102"/>
      <c r="H286" s="102"/>
      <c r="I286" s="102"/>
      <c r="J286" s="102"/>
      <c r="K286" s="102"/>
      <c r="L286" s="102"/>
      <c r="M286" s="102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</row>
    <row r="287" spans="1:31">
      <c r="A287" s="102"/>
      <c r="B287" s="211" t="s">
        <v>431</v>
      </c>
      <c r="C287" s="211" t="s">
        <v>432</v>
      </c>
      <c r="D287" s="211" t="s">
        <v>434</v>
      </c>
      <c r="E287" s="211" t="s">
        <v>433</v>
      </c>
      <c r="F287" s="102"/>
      <c r="G287" s="102"/>
      <c r="H287" s="102"/>
      <c r="I287" s="102"/>
      <c r="J287" s="102"/>
      <c r="K287" s="102"/>
      <c r="L287" s="102"/>
      <c r="M287" s="102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</row>
    <row r="288" spans="1:31">
      <c r="A288" s="102"/>
      <c r="B288" s="211" t="s">
        <v>435</v>
      </c>
      <c r="C288" s="211" t="s">
        <v>436</v>
      </c>
      <c r="D288" s="211" t="s">
        <v>437</v>
      </c>
      <c r="E288" s="211" t="s">
        <v>438</v>
      </c>
      <c r="F288" s="102"/>
      <c r="G288" s="102"/>
      <c r="H288" s="102"/>
      <c r="I288" s="102"/>
      <c r="J288" s="102"/>
      <c r="K288" s="102"/>
      <c r="L288" s="102"/>
      <c r="M288" s="102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</row>
    <row r="289" spans="1:31">
      <c r="A289" s="102"/>
      <c r="B289" s="214" t="s">
        <v>469</v>
      </c>
      <c r="C289" s="214" t="s">
        <v>470</v>
      </c>
      <c r="D289" s="214" t="s">
        <v>471</v>
      </c>
      <c r="E289" s="214" t="s">
        <v>472</v>
      </c>
      <c r="F289" s="102"/>
      <c r="G289" s="102"/>
      <c r="H289" s="102"/>
      <c r="I289" s="102"/>
      <c r="J289" s="102"/>
      <c r="K289" s="102"/>
      <c r="L289" s="102"/>
      <c r="M289" s="102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</row>
    <row r="290" spans="1:31">
      <c r="A290" s="102"/>
      <c r="B290" s="214" t="s">
        <v>473</v>
      </c>
      <c r="C290" s="214" t="s">
        <v>474</v>
      </c>
      <c r="D290" s="214" t="s">
        <v>475</v>
      </c>
      <c r="E290" s="214" t="s">
        <v>476</v>
      </c>
      <c r="F290" s="102"/>
      <c r="G290" s="102"/>
      <c r="H290" s="102"/>
      <c r="I290" s="102"/>
      <c r="J290" s="102"/>
      <c r="K290" s="102"/>
      <c r="L290" s="102"/>
      <c r="M290" s="102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</row>
    <row r="291" spans="1:31">
      <c r="A291" s="102"/>
      <c r="B291" s="102"/>
      <c r="C291" s="102"/>
      <c r="D291" s="102"/>
      <c r="E291" s="214" t="s">
        <v>488</v>
      </c>
      <c r="F291" s="102"/>
      <c r="G291" s="102"/>
      <c r="H291" s="102"/>
      <c r="I291" s="102"/>
      <c r="J291" s="102"/>
      <c r="K291" s="102"/>
      <c r="L291" s="102"/>
      <c r="M291" s="102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</row>
  </sheetData>
  <sheetProtection password="80F5" sheet="1" objects="1" scenarios="1"/>
  <sortState ref="B294:I321">
    <sortCondition ref="B293"/>
  </sortState>
  <conditionalFormatting sqref="C42:H75 C33:G38">
    <cfRule type="cellIs" dxfId="0" priority="5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 filterMode="1">
    <tabColor theme="0" tint="-0.499984740745262"/>
  </sheetPr>
  <dimension ref="A2:AG246"/>
  <sheetViews>
    <sheetView showGridLines="0" zoomScale="80" zoomScaleNormal="80" workbookViewId="0">
      <pane xSplit="3" ySplit="13" topLeftCell="D18" activePane="bottomRight" state="frozen"/>
      <selection activeCell="V3" sqref="V3"/>
      <selection pane="topRight" activeCell="V3" sqref="V3"/>
      <selection pane="bottomLeft" activeCell="V3" sqref="V3"/>
      <selection pane="bottomRight"/>
    </sheetView>
  </sheetViews>
  <sheetFormatPr defaultColWidth="9.140625" defaultRowHeight="15"/>
  <cols>
    <col min="1" max="1" width="4.28515625" style="377" customWidth="1"/>
    <col min="2" max="2" width="17.42578125" style="377" customWidth="1"/>
    <col min="3" max="3" width="10.28515625" style="284" customWidth="1"/>
    <col min="4" max="4" width="11.28515625" style="284" customWidth="1"/>
    <col min="5" max="5" width="13.42578125" style="378" customWidth="1"/>
    <col min="6" max="6" width="18.5703125" style="378" customWidth="1"/>
    <col min="7" max="7" width="13.140625" style="27" customWidth="1"/>
    <col min="8" max="8" width="10.28515625" style="91" customWidth="1"/>
    <col min="9" max="9" width="14.140625" style="92" customWidth="1"/>
    <col min="10" max="10" width="15.42578125" style="92" customWidth="1"/>
    <col min="11" max="11" width="16.7109375" style="91" customWidth="1"/>
    <col min="12" max="12" width="14.5703125" style="91" customWidth="1"/>
    <col min="13" max="13" width="12.7109375" style="91" customWidth="1"/>
    <col min="14" max="14" width="13.42578125" style="91" customWidth="1"/>
    <col min="15" max="15" width="19.140625" style="31" customWidth="1"/>
    <col min="16" max="16" width="9.28515625" style="91" customWidth="1"/>
    <col min="17" max="17" width="15.28515625" style="91" customWidth="1"/>
    <col min="18" max="18" width="10.28515625" style="91" customWidth="1"/>
    <col min="19" max="19" width="15.140625" style="92" customWidth="1"/>
    <col min="20" max="20" width="15.28515625" style="27" customWidth="1"/>
    <col min="21" max="21" width="14.7109375" style="27" customWidth="1"/>
    <col min="22" max="22" width="12.7109375" style="31" customWidth="1"/>
    <col min="23" max="23" width="13.5703125" style="31" customWidth="1"/>
    <col min="24" max="24" width="18.7109375" style="31" customWidth="1"/>
    <col min="25" max="25" width="19" style="31" customWidth="1"/>
    <col min="26" max="26" width="17.28515625" style="27" customWidth="1"/>
    <col min="27" max="27" width="18.85546875" style="31" customWidth="1"/>
    <col min="28" max="28" width="13.42578125" style="31" customWidth="1"/>
    <col min="29" max="29" width="15.5703125" style="31" customWidth="1"/>
    <col min="30" max="30" width="19" style="31" customWidth="1"/>
    <col min="31" max="31" width="12.28515625" style="31" customWidth="1"/>
    <col min="32" max="32" width="17.28515625" style="378" customWidth="1"/>
    <col min="33" max="33" width="14.85546875" style="284" customWidth="1"/>
    <col min="34" max="37" width="9.140625" style="284"/>
    <col min="38" max="38" width="12.140625" style="284" customWidth="1"/>
    <col min="39" max="39" width="20" style="284" customWidth="1"/>
    <col min="40" max="42" width="9.140625" style="284"/>
    <col min="43" max="43" width="9" style="284" customWidth="1"/>
    <col min="44" max="52" width="9.140625" style="284"/>
    <col min="53" max="53" width="9" style="284" customWidth="1"/>
    <col min="54" max="61" width="9.140625" style="284"/>
    <col min="62" max="62" width="11.85546875" style="284" customWidth="1"/>
    <col min="63" max="63" width="9" style="284" customWidth="1"/>
    <col min="64" max="16384" width="9.140625" style="284"/>
  </cols>
  <sheetData>
    <row r="2" spans="1:33" ht="15.75">
      <c r="B2" s="372" t="s">
        <v>335</v>
      </c>
    </row>
    <row r="3" spans="1:33">
      <c r="B3" s="379"/>
    </row>
    <row r="4" spans="1:33">
      <c r="B4" s="380" t="s">
        <v>337</v>
      </c>
    </row>
    <row r="5" spans="1:33">
      <c r="B5" s="374" t="s">
        <v>349</v>
      </c>
    </row>
    <row r="6" spans="1:33">
      <c r="B6" s="374" t="s">
        <v>332</v>
      </c>
    </row>
    <row r="7" spans="1:33">
      <c r="B7" s="374" t="s">
        <v>333</v>
      </c>
    </row>
    <row r="8" spans="1:33">
      <c r="B8" s="374" t="s">
        <v>334</v>
      </c>
    </row>
    <row r="9" spans="1:33">
      <c r="B9" s="374"/>
    </row>
    <row r="10" spans="1:33" s="280" customFormat="1" ht="28.15" customHeight="1">
      <c r="B10" s="381"/>
      <c r="C10" s="276"/>
      <c r="D10" s="909" t="s">
        <v>343</v>
      </c>
      <c r="E10" s="903"/>
      <c r="F10" s="903"/>
      <c r="G10" s="903"/>
      <c r="H10" s="903"/>
      <c r="I10" s="903"/>
      <c r="J10" s="903"/>
      <c r="K10" s="903"/>
      <c r="L10" s="903"/>
      <c r="M10" s="903"/>
      <c r="N10" s="903"/>
      <c r="O10" s="903"/>
      <c r="P10" s="903"/>
      <c r="Q10" s="903"/>
      <c r="R10" s="903"/>
      <c r="S10" s="903"/>
      <c r="T10" s="903"/>
      <c r="U10" s="903"/>
      <c r="V10" s="903"/>
      <c r="W10" s="903"/>
      <c r="X10" s="903"/>
      <c r="Y10" s="903"/>
      <c r="Z10" s="903"/>
      <c r="AA10" s="893" t="s">
        <v>342</v>
      </c>
      <c r="AB10" s="903"/>
      <c r="AC10" s="903"/>
      <c r="AD10" s="903"/>
      <c r="AE10" s="903"/>
      <c r="AF10" s="903"/>
      <c r="AG10" s="903"/>
    </row>
    <row r="11" spans="1:33" ht="91.5" hidden="1" customHeight="1" thickBot="1">
      <c r="B11" s="382"/>
    </row>
    <row r="12" spans="1:33" ht="45" customHeight="1">
      <c r="B12" s="904"/>
      <c r="C12" s="905"/>
      <c r="D12" s="906" t="s">
        <v>105</v>
      </c>
      <c r="E12" s="907"/>
      <c r="F12" s="907"/>
      <c r="G12" s="907"/>
      <c r="H12" s="907"/>
      <c r="I12" s="907"/>
      <c r="J12" s="894" t="s">
        <v>106</v>
      </c>
      <c r="K12" s="894"/>
      <c r="L12" s="894"/>
      <c r="M12" s="894"/>
      <c r="N12" s="894"/>
      <c r="O12" s="894"/>
      <c r="P12" s="894"/>
      <c r="Q12" s="894"/>
      <c r="R12" s="894"/>
      <c r="S12" s="894"/>
      <c r="T12" s="894"/>
      <c r="U12" s="570"/>
      <c r="V12" s="93" t="s">
        <v>17</v>
      </c>
      <c r="W12" s="908" t="s">
        <v>144</v>
      </c>
      <c r="X12" s="908"/>
      <c r="Y12" s="908"/>
      <c r="Z12" s="213" t="s">
        <v>145</v>
      </c>
      <c r="AA12" s="654" t="s">
        <v>107</v>
      </c>
      <c r="AB12" s="569"/>
      <c r="AC12" s="569"/>
      <c r="AD12" s="569"/>
      <c r="AE12" s="569"/>
      <c r="AF12" s="569"/>
      <c r="AG12" s="569"/>
    </row>
    <row r="13" spans="1:33" s="288" customFormat="1" ht="90">
      <c r="A13" s="383"/>
      <c r="B13" s="269" t="s">
        <v>28</v>
      </c>
      <c r="C13" s="270" t="s">
        <v>139</v>
      </c>
      <c r="D13" s="288" t="s">
        <v>0</v>
      </c>
      <c r="E13" s="94" t="s">
        <v>1</v>
      </c>
      <c r="F13" s="384" t="s">
        <v>2</v>
      </c>
      <c r="G13" s="212" t="s">
        <v>3</v>
      </c>
      <c r="H13" s="95" t="s">
        <v>4</v>
      </c>
      <c r="I13" s="94" t="s">
        <v>5</v>
      </c>
      <c r="J13" s="94" t="s">
        <v>6</v>
      </c>
      <c r="K13" s="95" t="s">
        <v>7</v>
      </c>
      <c r="L13" s="95" t="s">
        <v>8</v>
      </c>
      <c r="M13" s="95" t="s">
        <v>9</v>
      </c>
      <c r="N13" s="95" t="s">
        <v>10</v>
      </c>
      <c r="O13" s="25" t="s">
        <v>11</v>
      </c>
      <c r="P13" s="95" t="s">
        <v>12</v>
      </c>
      <c r="Q13" s="95" t="s">
        <v>109</v>
      </c>
      <c r="R13" s="95" t="s">
        <v>13</v>
      </c>
      <c r="S13" s="94" t="s">
        <v>14</v>
      </c>
      <c r="T13" s="212" t="s">
        <v>15</v>
      </c>
      <c r="U13" s="212" t="s">
        <v>16</v>
      </c>
      <c r="V13" s="33" t="s">
        <v>17</v>
      </c>
      <c r="W13" s="25" t="s">
        <v>18</v>
      </c>
      <c r="X13" s="25" t="s">
        <v>19</v>
      </c>
      <c r="Y13" s="25" t="s">
        <v>20</v>
      </c>
      <c r="Z13" s="212" t="s">
        <v>340</v>
      </c>
      <c r="AA13" s="25" t="s">
        <v>21</v>
      </c>
      <c r="AB13" s="25" t="s">
        <v>22</v>
      </c>
      <c r="AC13" s="25" t="s">
        <v>23</v>
      </c>
      <c r="AD13" s="25" t="s">
        <v>24</v>
      </c>
      <c r="AE13" s="25" t="s">
        <v>25</v>
      </c>
      <c r="AF13" s="384" t="s">
        <v>26</v>
      </c>
      <c r="AG13" s="288" t="s">
        <v>27</v>
      </c>
    </row>
    <row r="14" spans="1:33" s="31" customFormat="1" hidden="1">
      <c r="A14" s="385">
        <f>References!C258</f>
        <v>1</v>
      </c>
      <c r="B14" s="386" t="s">
        <v>29</v>
      </c>
      <c r="C14" s="284">
        <v>2004</v>
      </c>
      <c r="D14" s="31">
        <v>25217.612000000001</v>
      </c>
      <c r="E14" s="27">
        <v>25217.612000000001</v>
      </c>
      <c r="G14" s="27">
        <v>984.26700000000005</v>
      </c>
      <c r="H14" s="31">
        <v>1939.9110000000001</v>
      </c>
      <c r="I14" s="27">
        <v>28141.79</v>
      </c>
      <c r="J14" s="27">
        <v>7546.6490000000003</v>
      </c>
      <c r="Q14" s="31">
        <v>0</v>
      </c>
      <c r="S14" s="27">
        <v>12492.734</v>
      </c>
      <c r="T14" s="27">
        <v>15649.056</v>
      </c>
      <c r="U14" s="27">
        <v>3229.174</v>
      </c>
      <c r="W14" s="31">
        <v>3624.01</v>
      </c>
      <c r="Z14" s="27">
        <v>8795.8720000000012</v>
      </c>
    </row>
    <row r="15" spans="1:33" s="31" customFormat="1" hidden="1">
      <c r="A15" s="385">
        <f>References!D258</f>
        <v>2</v>
      </c>
      <c r="B15" s="386" t="s">
        <v>29</v>
      </c>
      <c r="C15" s="284">
        <v>2005</v>
      </c>
      <c r="D15" s="31">
        <v>24814.466</v>
      </c>
      <c r="E15" s="27">
        <v>24814.466</v>
      </c>
      <c r="G15" s="27">
        <v>674.14</v>
      </c>
      <c r="H15" s="31">
        <v>1674.0540000000001</v>
      </c>
      <c r="I15" s="27">
        <v>27162.66</v>
      </c>
      <c r="J15" s="27">
        <v>8533.8919999999998</v>
      </c>
      <c r="Q15" s="31">
        <v>0</v>
      </c>
      <c r="S15" s="27">
        <v>13171.927</v>
      </c>
      <c r="T15" s="27">
        <v>13990.733</v>
      </c>
      <c r="U15" s="27">
        <v>3611.4470000000001</v>
      </c>
      <c r="W15" s="31">
        <v>4186.2060000000001</v>
      </c>
      <c r="Z15" s="27">
        <v>6193.08</v>
      </c>
    </row>
    <row r="16" spans="1:33" s="31" customFormat="1" hidden="1">
      <c r="A16" s="385">
        <f>References!E258</f>
        <v>3</v>
      </c>
      <c r="B16" s="386" t="s">
        <v>29</v>
      </c>
      <c r="C16" s="284">
        <v>2006</v>
      </c>
      <c r="D16" s="31">
        <v>26644.166000000001</v>
      </c>
      <c r="E16" s="27">
        <v>26644.166000000001</v>
      </c>
      <c r="G16" s="27">
        <v>1391.624</v>
      </c>
      <c r="H16" s="31">
        <v>2422.1579999999999</v>
      </c>
      <c r="I16" s="27">
        <v>30457.948</v>
      </c>
      <c r="J16" s="27">
        <v>8480.8259999999991</v>
      </c>
      <c r="Q16" s="31">
        <v>0</v>
      </c>
      <c r="S16" s="27">
        <v>12881.48</v>
      </c>
      <c r="T16" s="27">
        <v>17576.468000000001</v>
      </c>
      <c r="U16" s="27">
        <v>4197.2759999999998</v>
      </c>
      <c r="W16" s="31">
        <v>5080.1139999999996</v>
      </c>
      <c r="Z16" s="27">
        <v>8299.0780000000013</v>
      </c>
    </row>
    <row r="17" spans="1:33" s="31" customFormat="1" hidden="1">
      <c r="A17" s="385">
        <f>References!F258</f>
        <v>4</v>
      </c>
      <c r="B17" s="386" t="s">
        <v>29</v>
      </c>
      <c r="C17" s="284">
        <v>2007</v>
      </c>
      <c r="D17" s="31">
        <v>27650.62</v>
      </c>
      <c r="E17" s="27">
        <v>27650.62</v>
      </c>
      <c r="G17" s="27">
        <v>771.11</v>
      </c>
      <c r="H17" s="31">
        <v>2701.1439999999998</v>
      </c>
      <c r="I17" s="27">
        <v>31122.874</v>
      </c>
      <c r="J17" s="27">
        <v>8652.8529999999992</v>
      </c>
      <c r="Q17" s="31">
        <v>0</v>
      </c>
      <c r="S17" s="27">
        <v>15638.183999999999</v>
      </c>
      <c r="T17" s="27">
        <v>15484.69</v>
      </c>
      <c r="U17" s="27">
        <v>4583.96</v>
      </c>
      <c r="W17" s="31">
        <v>4517.5820000000003</v>
      </c>
      <c r="Z17" s="27">
        <v>6383.1479999999992</v>
      </c>
    </row>
    <row r="18" spans="1:33" s="31" customFormat="1">
      <c r="A18" s="385">
        <f>References!G258</f>
        <v>5</v>
      </c>
      <c r="B18" s="382" t="s">
        <v>29</v>
      </c>
      <c r="C18" s="284">
        <v>2008</v>
      </c>
      <c r="D18" s="91">
        <v>29233</v>
      </c>
      <c r="E18" s="92">
        <v>29233</v>
      </c>
      <c r="F18" s="92">
        <v>2648.3969999999999</v>
      </c>
      <c r="G18" s="27">
        <v>851.846</v>
      </c>
      <c r="H18" s="91">
        <v>16.056999999999999</v>
      </c>
      <c r="I18" s="92">
        <v>32749.3</v>
      </c>
      <c r="J18" s="92">
        <v>9355.7189999999991</v>
      </c>
      <c r="K18" s="91">
        <v>0</v>
      </c>
      <c r="L18" s="91">
        <v>0</v>
      </c>
      <c r="M18" s="91">
        <v>0</v>
      </c>
      <c r="N18" s="91">
        <v>0</v>
      </c>
      <c r="O18" s="31">
        <v>0</v>
      </c>
      <c r="P18" s="91">
        <v>0</v>
      </c>
      <c r="Q18" s="91"/>
      <c r="R18" s="91">
        <v>0</v>
      </c>
      <c r="S18" s="92">
        <v>7647</v>
      </c>
      <c r="T18" s="27">
        <v>15746.581</v>
      </c>
      <c r="U18" s="27">
        <v>5618</v>
      </c>
      <c r="V18" s="31">
        <v>10128.581</v>
      </c>
      <c r="W18" s="31">
        <v>1678.9395999999999</v>
      </c>
      <c r="X18" s="31">
        <v>3170.4684000000002</v>
      </c>
      <c r="Y18" s="31">
        <v>0</v>
      </c>
      <c r="Z18" s="27">
        <v>11620.11</v>
      </c>
      <c r="AA18" s="31">
        <v>0</v>
      </c>
      <c r="AB18" s="31">
        <v>0</v>
      </c>
      <c r="AC18" s="31">
        <v>0</v>
      </c>
      <c r="AD18" s="31">
        <v>0</v>
      </c>
      <c r="AE18" s="31">
        <v>9610</v>
      </c>
      <c r="AF18" s="92">
        <v>9610</v>
      </c>
      <c r="AG18" s="91">
        <v>1071</v>
      </c>
    </row>
    <row r="19" spans="1:33" s="31" customFormat="1">
      <c r="A19" s="385">
        <f>References!H258</f>
        <v>6</v>
      </c>
      <c r="B19" s="382" t="s">
        <v>29</v>
      </c>
      <c r="C19" s="284">
        <v>2009</v>
      </c>
      <c r="D19" s="91">
        <v>30128</v>
      </c>
      <c r="E19" s="92">
        <v>30128</v>
      </c>
      <c r="F19" s="92">
        <v>3653.3629999999998</v>
      </c>
      <c r="G19" s="27">
        <v>1921.5</v>
      </c>
      <c r="H19" s="91">
        <v>3.7970000000000002</v>
      </c>
      <c r="I19" s="92">
        <v>35706.660000000003</v>
      </c>
      <c r="J19" s="92">
        <v>8794.0519999999997</v>
      </c>
      <c r="K19" s="91">
        <v>0</v>
      </c>
      <c r="L19" s="91">
        <v>0</v>
      </c>
      <c r="M19" s="91">
        <v>0</v>
      </c>
      <c r="N19" s="91">
        <v>0</v>
      </c>
      <c r="O19" s="31">
        <v>0</v>
      </c>
      <c r="P19" s="91">
        <v>0</v>
      </c>
      <c r="Q19" s="91"/>
      <c r="R19" s="91">
        <v>0</v>
      </c>
      <c r="S19" s="92">
        <v>8206.2279999999992</v>
      </c>
      <c r="T19" s="27">
        <v>18706.38</v>
      </c>
      <c r="U19" s="27">
        <v>6135</v>
      </c>
      <c r="V19" s="31">
        <v>12571.38</v>
      </c>
      <c r="W19" s="31">
        <v>1764.3672999999999</v>
      </c>
      <c r="X19" s="31">
        <v>3104.2469999999998</v>
      </c>
      <c r="Y19" s="31">
        <v>0</v>
      </c>
      <c r="Z19" s="27">
        <v>13911.26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92">
        <v>9964</v>
      </c>
      <c r="AG19" s="91">
        <v>180</v>
      </c>
    </row>
    <row r="20" spans="1:33" s="31" customFormat="1">
      <c r="A20" s="385">
        <f>References!I258</f>
        <v>7</v>
      </c>
      <c r="B20" s="382" t="s">
        <v>29</v>
      </c>
      <c r="C20" s="284">
        <v>2010</v>
      </c>
      <c r="D20" s="91">
        <v>33163</v>
      </c>
      <c r="E20" s="92">
        <v>33163</v>
      </c>
      <c r="F20" s="92">
        <v>1607</v>
      </c>
      <c r="G20" s="27">
        <v>791</v>
      </c>
      <c r="H20" s="91">
        <v>3</v>
      </c>
      <c r="I20" s="92">
        <v>35564</v>
      </c>
      <c r="J20" s="92">
        <v>9727</v>
      </c>
      <c r="K20" s="91">
        <v>2593.3989999999999</v>
      </c>
      <c r="L20" s="91">
        <v>3171.4470000000001</v>
      </c>
      <c r="M20" s="91">
        <v>2638.0720000000001</v>
      </c>
      <c r="N20" s="91">
        <v>833.92399999999998</v>
      </c>
      <c r="O20" s="31">
        <v>498.09300000000002</v>
      </c>
      <c r="P20" s="91">
        <v>169.797</v>
      </c>
      <c r="Q20" s="91"/>
      <c r="R20" s="91">
        <v>384</v>
      </c>
      <c r="S20" s="92">
        <v>10288.732</v>
      </c>
      <c r="T20" s="27">
        <v>15548.268</v>
      </c>
      <c r="U20" s="27">
        <v>5711</v>
      </c>
      <c r="V20" s="31">
        <v>9837.268</v>
      </c>
      <c r="W20" s="31">
        <v>1531.5944</v>
      </c>
      <c r="X20" s="31">
        <v>2362.1098000000002</v>
      </c>
      <c r="Y20" s="31">
        <v>0</v>
      </c>
      <c r="Z20" s="27">
        <v>10667.782999999999</v>
      </c>
      <c r="AA20" s="31">
        <v>2090.2539999999999</v>
      </c>
      <c r="AB20" s="31">
        <v>7032.4859999999999</v>
      </c>
      <c r="AC20" s="31">
        <v>990.899</v>
      </c>
      <c r="AD20" s="31">
        <v>1531.7660000000001</v>
      </c>
      <c r="AE20" s="31">
        <v>0</v>
      </c>
      <c r="AF20" s="92">
        <v>11645.405000000001</v>
      </c>
      <c r="AG20" s="91">
        <v>218</v>
      </c>
    </row>
    <row r="21" spans="1:33" s="31" customFormat="1">
      <c r="A21" s="385">
        <f>References!J258</f>
        <v>8</v>
      </c>
      <c r="B21" s="382" t="s">
        <v>29</v>
      </c>
      <c r="C21" s="284">
        <v>2011</v>
      </c>
      <c r="D21" s="91">
        <v>33177.610999999997</v>
      </c>
      <c r="E21" s="92">
        <v>33177.610999999997</v>
      </c>
      <c r="F21" s="92">
        <v>1351.8019999999999</v>
      </c>
      <c r="G21" s="27">
        <v>872.846</v>
      </c>
      <c r="H21" s="91">
        <v>0.67100000000000004</v>
      </c>
      <c r="I21" s="92">
        <v>35402.93</v>
      </c>
      <c r="J21" s="92">
        <v>9646.2929999999997</v>
      </c>
      <c r="K21" s="91">
        <v>3074.7080000000001</v>
      </c>
      <c r="L21" s="91">
        <v>3176.0970000000002</v>
      </c>
      <c r="M21" s="91">
        <v>2897.585</v>
      </c>
      <c r="N21" s="91">
        <v>1404.713</v>
      </c>
      <c r="O21" s="31">
        <v>656.97299999999996</v>
      </c>
      <c r="P21" s="91">
        <v>200.76900000000001</v>
      </c>
      <c r="Q21" s="91"/>
      <c r="R21" s="91">
        <v>646.995</v>
      </c>
      <c r="S21" s="92">
        <v>12057.84</v>
      </c>
      <c r="T21" s="27">
        <v>13698.797</v>
      </c>
      <c r="U21" s="27">
        <v>5733.5649999999996</v>
      </c>
      <c r="V21" s="31">
        <v>7965.232</v>
      </c>
      <c r="W21" s="31">
        <v>1289.8969</v>
      </c>
      <c r="X21" s="31">
        <v>5373.0883000000003</v>
      </c>
      <c r="Y21" s="31">
        <v>0</v>
      </c>
      <c r="Z21" s="27">
        <v>12048.423000000001</v>
      </c>
      <c r="AA21" s="31">
        <v>1625.0450000000001</v>
      </c>
      <c r="AB21" s="31">
        <v>9622.7999999999993</v>
      </c>
      <c r="AC21" s="31">
        <v>1856.827</v>
      </c>
      <c r="AD21" s="31">
        <v>1598.9159999999999</v>
      </c>
      <c r="AE21" s="31">
        <v>0</v>
      </c>
      <c r="AF21" s="92">
        <v>14703.588</v>
      </c>
      <c r="AG21" s="91">
        <v>261</v>
      </c>
    </row>
    <row r="22" spans="1:33" s="31" customFormat="1" hidden="1">
      <c r="A22" s="385">
        <f>References!C259</f>
        <v>24</v>
      </c>
      <c r="B22" s="386" t="s">
        <v>110</v>
      </c>
      <c r="C22" s="284">
        <v>2004</v>
      </c>
      <c r="D22" s="31">
        <v>53023</v>
      </c>
      <c r="E22" s="27">
        <v>53023</v>
      </c>
      <c r="G22" s="27">
        <v>2261</v>
      </c>
      <c r="H22" s="31">
        <v>6777</v>
      </c>
      <c r="I22" s="27">
        <v>62061</v>
      </c>
      <c r="J22" s="27">
        <v>15177</v>
      </c>
      <c r="Q22" s="31">
        <v>2261</v>
      </c>
      <c r="S22" s="27">
        <v>31760</v>
      </c>
      <c r="T22" s="27">
        <v>30301</v>
      </c>
      <c r="U22" s="27">
        <v>9735</v>
      </c>
      <c r="W22" s="31">
        <v>7512</v>
      </c>
      <c r="Z22" s="27">
        <v>5517</v>
      </c>
    </row>
    <row r="23" spans="1:33" s="31" customFormat="1" hidden="1">
      <c r="A23" s="385">
        <f>References!D259</f>
        <v>25</v>
      </c>
      <c r="B23" s="386" t="s">
        <v>110</v>
      </c>
      <c r="C23" s="284">
        <v>2005</v>
      </c>
      <c r="D23" s="31">
        <v>55620</v>
      </c>
      <c r="E23" s="27">
        <v>55620</v>
      </c>
      <c r="G23" s="27">
        <v>1124</v>
      </c>
      <c r="H23" s="31">
        <v>8078</v>
      </c>
      <c r="I23" s="27">
        <v>64822</v>
      </c>
      <c r="J23" s="27">
        <v>16023</v>
      </c>
      <c r="Q23" s="31">
        <v>1124</v>
      </c>
      <c r="S23" s="27">
        <v>31259</v>
      </c>
      <c r="T23" s="27">
        <v>33563</v>
      </c>
      <c r="U23" s="27">
        <v>9643</v>
      </c>
      <c r="W23" s="31">
        <v>8136</v>
      </c>
      <c r="Z23" s="27">
        <v>8460</v>
      </c>
    </row>
    <row r="24" spans="1:33" s="31" customFormat="1" hidden="1">
      <c r="A24" s="385">
        <f>References!E259</f>
        <v>26</v>
      </c>
      <c r="B24" s="386" t="s">
        <v>110</v>
      </c>
      <c r="C24" s="284">
        <v>2006</v>
      </c>
      <c r="D24" s="31">
        <v>57714</v>
      </c>
      <c r="E24" s="27">
        <v>57714</v>
      </c>
      <c r="G24" s="27">
        <v>2464</v>
      </c>
      <c r="H24" s="31">
        <v>8938</v>
      </c>
      <c r="I24" s="27">
        <v>69116</v>
      </c>
      <c r="J24" s="27">
        <v>16238</v>
      </c>
      <c r="Q24" s="31">
        <v>2464</v>
      </c>
      <c r="S24" s="27">
        <v>33329</v>
      </c>
      <c r="T24" s="27">
        <v>35787</v>
      </c>
      <c r="U24" s="27">
        <v>9620</v>
      </c>
      <c r="W24" s="31">
        <v>-2575</v>
      </c>
      <c r="Z24" s="27">
        <v>21294</v>
      </c>
    </row>
    <row r="25" spans="1:33" s="31" customFormat="1" hidden="1">
      <c r="A25" s="385">
        <f>References!F259</f>
        <v>27</v>
      </c>
      <c r="B25" s="386" t="s">
        <v>110</v>
      </c>
      <c r="C25" s="284">
        <v>2007</v>
      </c>
      <c r="D25" s="31">
        <v>61461</v>
      </c>
      <c r="E25" s="27">
        <v>61461</v>
      </c>
      <c r="G25" s="27">
        <v>1832</v>
      </c>
      <c r="H25" s="31">
        <v>7895</v>
      </c>
      <c r="I25" s="27">
        <v>71188</v>
      </c>
      <c r="J25" s="27">
        <v>16866</v>
      </c>
      <c r="Q25" s="31">
        <v>1832</v>
      </c>
      <c r="S25" s="27">
        <v>34261</v>
      </c>
      <c r="T25" s="27">
        <v>36927</v>
      </c>
      <c r="U25" s="27">
        <v>10231</v>
      </c>
      <c r="W25" s="31">
        <v>7138</v>
      </c>
      <c r="Z25" s="27">
        <v>11782</v>
      </c>
    </row>
    <row r="26" spans="1:33" s="31" customFormat="1">
      <c r="A26" s="385">
        <f>References!G259</f>
        <v>28</v>
      </c>
      <c r="B26" s="382" t="s">
        <v>30</v>
      </c>
      <c r="C26" s="284">
        <v>2008</v>
      </c>
      <c r="D26" s="91">
        <v>64695</v>
      </c>
      <c r="E26" s="92">
        <v>64695</v>
      </c>
      <c r="F26" s="92">
        <v>7372</v>
      </c>
      <c r="G26" s="27">
        <v>0</v>
      </c>
      <c r="H26" s="91">
        <v>585</v>
      </c>
      <c r="I26" s="92">
        <v>72652</v>
      </c>
      <c r="J26" s="92">
        <v>18498</v>
      </c>
      <c r="K26" s="91">
        <v>1968</v>
      </c>
      <c r="L26" s="91">
        <v>4382</v>
      </c>
      <c r="M26" s="91">
        <v>9470</v>
      </c>
      <c r="N26" s="91">
        <v>0</v>
      </c>
      <c r="O26" s="31">
        <v>0</v>
      </c>
      <c r="P26" s="91">
        <v>720</v>
      </c>
      <c r="Q26" s="91"/>
      <c r="R26" s="91">
        <v>1620</v>
      </c>
      <c r="S26" s="92">
        <v>18160</v>
      </c>
      <c r="T26" s="27">
        <v>35994</v>
      </c>
      <c r="U26" s="27">
        <v>7238.5</v>
      </c>
      <c r="V26" s="31">
        <v>28755.5</v>
      </c>
      <c r="W26" s="31">
        <v>2729.7240999999999</v>
      </c>
      <c r="X26" s="31">
        <v>8043.2411000000002</v>
      </c>
      <c r="Y26" s="31">
        <v>0</v>
      </c>
      <c r="Z26" s="27">
        <v>34069.017</v>
      </c>
      <c r="AA26" s="31">
        <v>18132</v>
      </c>
      <c r="AB26" s="31">
        <v>0</v>
      </c>
      <c r="AC26" s="31">
        <v>0</v>
      </c>
      <c r="AD26" s="31">
        <v>0</v>
      </c>
      <c r="AE26" s="31">
        <v>0</v>
      </c>
      <c r="AF26" s="92">
        <v>18132</v>
      </c>
      <c r="AG26" s="91">
        <v>0</v>
      </c>
    </row>
    <row r="27" spans="1:33" s="31" customFormat="1">
      <c r="A27" s="385">
        <f>References!H259</f>
        <v>29</v>
      </c>
      <c r="B27" s="382" t="s">
        <v>30</v>
      </c>
      <c r="C27" s="284">
        <v>2009</v>
      </c>
      <c r="D27" s="91">
        <v>71859</v>
      </c>
      <c r="E27" s="92">
        <v>71859</v>
      </c>
      <c r="F27" s="92">
        <v>6000</v>
      </c>
      <c r="G27" s="27">
        <v>0</v>
      </c>
      <c r="H27" s="91">
        <v>494</v>
      </c>
      <c r="I27" s="92">
        <v>78353</v>
      </c>
      <c r="J27" s="92">
        <v>21627</v>
      </c>
      <c r="K27" s="91">
        <v>0</v>
      </c>
      <c r="L27" s="91">
        <v>19823</v>
      </c>
      <c r="M27" s="91">
        <v>0</v>
      </c>
      <c r="N27" s="91">
        <v>0</v>
      </c>
      <c r="O27" s="31">
        <v>0</v>
      </c>
      <c r="P27" s="91">
        <v>0</v>
      </c>
      <c r="Q27" s="91"/>
      <c r="R27" s="91">
        <v>0</v>
      </c>
      <c r="S27" s="92">
        <v>19823</v>
      </c>
      <c r="T27" s="27">
        <v>36903</v>
      </c>
      <c r="U27" s="27">
        <v>7660.5</v>
      </c>
      <c r="V27" s="31">
        <v>29242.5</v>
      </c>
      <c r="W27" s="31">
        <v>2627.5814</v>
      </c>
      <c r="X27" s="31">
        <v>7713.2043000000003</v>
      </c>
      <c r="Y27" s="31">
        <v>0</v>
      </c>
      <c r="Z27" s="27">
        <v>34328.123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92">
        <v>18525</v>
      </c>
      <c r="AG27" s="91">
        <v>0</v>
      </c>
    </row>
    <row r="28" spans="1:33" s="31" customFormat="1">
      <c r="A28" s="385">
        <f>References!I259</f>
        <v>30</v>
      </c>
      <c r="B28" s="382" t="s">
        <v>30</v>
      </c>
      <c r="C28" s="284">
        <v>2010</v>
      </c>
      <c r="D28" s="91">
        <v>72951</v>
      </c>
      <c r="E28" s="92">
        <v>72951</v>
      </c>
      <c r="F28" s="92">
        <v>4223</v>
      </c>
      <c r="G28" s="27">
        <v>0</v>
      </c>
      <c r="H28" s="91">
        <v>598</v>
      </c>
      <c r="I28" s="92">
        <v>77772</v>
      </c>
      <c r="J28" s="92">
        <v>20995</v>
      </c>
      <c r="K28" s="91">
        <v>3586</v>
      </c>
      <c r="L28" s="91">
        <v>4841</v>
      </c>
      <c r="M28" s="91">
        <v>3147</v>
      </c>
      <c r="N28" s="91">
        <v>1417</v>
      </c>
      <c r="O28" s="31">
        <v>4527</v>
      </c>
      <c r="P28" s="91">
        <v>911</v>
      </c>
      <c r="Q28" s="91"/>
      <c r="R28" s="91">
        <v>1584</v>
      </c>
      <c r="S28" s="92">
        <v>20013</v>
      </c>
      <c r="T28" s="27">
        <v>36764</v>
      </c>
      <c r="U28" s="27">
        <v>8187.5</v>
      </c>
      <c r="V28" s="31">
        <v>28576.5</v>
      </c>
      <c r="W28" s="31">
        <v>3676.4245999999998</v>
      </c>
      <c r="X28" s="31">
        <v>5688.3409000000001</v>
      </c>
      <c r="Y28" s="31">
        <v>0</v>
      </c>
      <c r="Z28" s="27">
        <v>30588.416000000001</v>
      </c>
      <c r="AA28" s="31">
        <v>7725</v>
      </c>
      <c r="AB28" s="31">
        <v>9157</v>
      </c>
      <c r="AC28" s="31">
        <v>2528</v>
      </c>
      <c r="AD28" s="31">
        <v>2102</v>
      </c>
      <c r="AE28" s="31">
        <v>186</v>
      </c>
      <c r="AF28" s="92">
        <v>21698</v>
      </c>
      <c r="AG28" s="91">
        <v>0</v>
      </c>
    </row>
    <row r="29" spans="1:33" s="31" customFormat="1">
      <c r="A29" s="385">
        <f>References!J259</f>
        <v>31</v>
      </c>
      <c r="B29" s="382" t="s">
        <v>30</v>
      </c>
      <c r="C29" s="284">
        <v>2011</v>
      </c>
      <c r="D29" s="91">
        <v>72117</v>
      </c>
      <c r="E29" s="92">
        <v>72117</v>
      </c>
      <c r="F29" s="92">
        <v>4620</v>
      </c>
      <c r="G29" s="27">
        <v>0</v>
      </c>
      <c r="H29" s="91">
        <v>698</v>
      </c>
      <c r="I29" s="92">
        <v>77435</v>
      </c>
      <c r="J29" s="92">
        <v>19547</v>
      </c>
      <c r="K29" s="91">
        <v>4453</v>
      </c>
      <c r="L29" s="91">
        <v>4907</v>
      </c>
      <c r="M29" s="91">
        <v>3194</v>
      </c>
      <c r="N29" s="91">
        <v>1103</v>
      </c>
      <c r="O29" s="31">
        <v>4155</v>
      </c>
      <c r="P29" s="91">
        <v>862</v>
      </c>
      <c r="Q29" s="91"/>
      <c r="R29" s="91">
        <v>331</v>
      </c>
      <c r="S29" s="92">
        <v>19005</v>
      </c>
      <c r="T29" s="27">
        <v>38883</v>
      </c>
      <c r="U29" s="27">
        <v>8545</v>
      </c>
      <c r="V29" s="31">
        <v>30338</v>
      </c>
      <c r="W29" s="31">
        <v>3625.9308000000001</v>
      </c>
      <c r="X29" s="31">
        <v>13233.054</v>
      </c>
      <c r="Y29" s="31">
        <v>0</v>
      </c>
      <c r="Z29" s="27">
        <v>39945.123</v>
      </c>
      <c r="AA29" s="31">
        <v>5776</v>
      </c>
      <c r="AB29" s="31">
        <v>5996</v>
      </c>
      <c r="AC29" s="31">
        <v>2041</v>
      </c>
      <c r="AD29" s="31">
        <v>7055</v>
      </c>
      <c r="AE29" s="31">
        <v>1426</v>
      </c>
      <c r="AF29" s="92">
        <v>22294</v>
      </c>
      <c r="AG29" s="91">
        <v>0</v>
      </c>
    </row>
    <row r="30" spans="1:33" s="31" customFormat="1" hidden="1">
      <c r="A30" s="385">
        <f>References!C260</f>
        <v>47</v>
      </c>
      <c r="B30" s="386" t="s">
        <v>111</v>
      </c>
      <c r="C30" s="284">
        <v>2004</v>
      </c>
      <c r="D30" s="31">
        <v>4991.3230000000003</v>
      </c>
      <c r="E30" s="27">
        <v>4991.3230000000003</v>
      </c>
      <c r="G30" s="27">
        <v>113.343</v>
      </c>
      <c r="H30" s="31">
        <v>343.75099999999998</v>
      </c>
      <c r="I30" s="27">
        <v>5448.4170000000004</v>
      </c>
      <c r="J30" s="27">
        <v>1804.057</v>
      </c>
      <c r="Q30" s="31">
        <v>0</v>
      </c>
      <c r="S30" s="27">
        <v>3816.6190000000001</v>
      </c>
      <c r="T30" s="27">
        <v>1631.7980000000002</v>
      </c>
      <c r="U30" s="27">
        <v>384.15899999999999</v>
      </c>
      <c r="W30" s="31">
        <v>334.74799999999999</v>
      </c>
      <c r="Z30" s="27">
        <v>847.25600000000009</v>
      </c>
    </row>
    <row r="31" spans="1:33" s="31" customFormat="1" hidden="1">
      <c r="A31" s="385">
        <f>References!D260</f>
        <v>48</v>
      </c>
      <c r="B31" s="386" t="s">
        <v>111</v>
      </c>
      <c r="C31" s="284">
        <v>2005</v>
      </c>
      <c r="D31" s="31">
        <v>4848.0600000000004</v>
      </c>
      <c r="E31" s="27">
        <v>4848.0600000000004</v>
      </c>
      <c r="G31" s="27">
        <v>70.474000000000004</v>
      </c>
      <c r="H31" s="31">
        <v>156.01499999999999</v>
      </c>
      <c r="I31" s="27">
        <v>5074.549</v>
      </c>
      <c r="J31" s="27">
        <v>1944.759</v>
      </c>
      <c r="Q31" s="31">
        <v>0</v>
      </c>
      <c r="S31" s="27">
        <v>3606.6089999999999</v>
      </c>
      <c r="T31" s="27">
        <v>1467.94</v>
      </c>
      <c r="U31" s="27">
        <v>796.31000000000006</v>
      </c>
      <c r="W31" s="31">
        <v>-36</v>
      </c>
      <c r="Z31" s="27">
        <v>498.58199999999999</v>
      </c>
    </row>
    <row r="32" spans="1:33" s="31" customFormat="1" hidden="1">
      <c r="A32" s="385">
        <f>References!E260</f>
        <v>49</v>
      </c>
      <c r="B32" s="386" t="s">
        <v>111</v>
      </c>
      <c r="C32" s="284">
        <v>2006</v>
      </c>
      <c r="D32" s="31">
        <v>5027.9989999999998</v>
      </c>
      <c r="E32" s="27">
        <v>5027.9989999999998</v>
      </c>
      <c r="G32" s="27">
        <v>147.14400000000001</v>
      </c>
      <c r="H32" s="31">
        <v>353.51299999999998</v>
      </c>
      <c r="I32" s="27">
        <v>5528.6559999999999</v>
      </c>
      <c r="J32" s="27">
        <v>1769.223</v>
      </c>
      <c r="Q32" s="31">
        <v>0</v>
      </c>
      <c r="S32" s="27">
        <v>3668.712</v>
      </c>
      <c r="T32" s="27">
        <v>1859.944</v>
      </c>
      <c r="U32" s="27">
        <v>827.40499999999997</v>
      </c>
      <c r="W32" s="31">
        <v>115</v>
      </c>
      <c r="Z32" s="27">
        <v>693.26099999999997</v>
      </c>
    </row>
    <row r="33" spans="1:33" s="31" customFormat="1" hidden="1">
      <c r="A33" s="385">
        <f>References!F260</f>
        <v>50</v>
      </c>
      <c r="B33" s="386" t="s">
        <v>111</v>
      </c>
      <c r="C33" s="284">
        <v>2007</v>
      </c>
      <c r="D33" s="31">
        <v>5562.2879999999996</v>
      </c>
      <c r="E33" s="27">
        <v>5562.2879999999996</v>
      </c>
      <c r="G33" s="27">
        <v>112.003</v>
      </c>
      <c r="H33" s="31">
        <v>577.726</v>
      </c>
      <c r="I33" s="27">
        <v>6252.0169999999998</v>
      </c>
      <c r="J33" s="27">
        <v>1796.162</v>
      </c>
      <c r="Q33" s="31">
        <v>0</v>
      </c>
      <c r="S33" s="27">
        <v>3738.6210000000001</v>
      </c>
      <c r="T33" s="27">
        <v>2513.3959999999997</v>
      </c>
      <c r="U33" s="27">
        <v>809.65100000000007</v>
      </c>
      <c r="W33" s="31">
        <v>261.36</v>
      </c>
      <c r="Z33" s="27">
        <v>1297.0849999999998</v>
      </c>
    </row>
    <row r="34" spans="1:33" s="31" customFormat="1">
      <c r="A34" s="385">
        <f>References!G260</f>
        <v>51</v>
      </c>
      <c r="B34" s="382" t="s">
        <v>31</v>
      </c>
      <c r="C34" s="284">
        <v>2008</v>
      </c>
      <c r="D34" s="91">
        <v>5562</v>
      </c>
      <c r="E34" s="92">
        <v>5562</v>
      </c>
      <c r="F34" s="92">
        <v>507</v>
      </c>
      <c r="G34" s="27">
        <v>78</v>
      </c>
      <c r="H34" s="91">
        <v>0</v>
      </c>
      <c r="I34" s="92">
        <v>6147</v>
      </c>
      <c r="J34" s="92">
        <v>1948</v>
      </c>
      <c r="K34" s="91">
        <v>0</v>
      </c>
      <c r="L34" s="91">
        <v>0</v>
      </c>
      <c r="M34" s="91">
        <v>799</v>
      </c>
      <c r="N34" s="91">
        <v>0</v>
      </c>
      <c r="O34" s="31">
        <v>0</v>
      </c>
      <c r="P34" s="91">
        <v>0</v>
      </c>
      <c r="Q34" s="91"/>
      <c r="R34" s="91">
        <v>1882</v>
      </c>
      <c r="S34" s="92">
        <v>2681</v>
      </c>
      <c r="T34" s="27">
        <v>1518</v>
      </c>
      <c r="U34" s="27">
        <v>1015</v>
      </c>
      <c r="V34" s="31">
        <v>503</v>
      </c>
      <c r="W34" s="31">
        <v>-213.79649000000001</v>
      </c>
      <c r="X34" s="31">
        <v>749.95761000000005</v>
      </c>
      <c r="Y34" s="31">
        <v>0</v>
      </c>
      <c r="Z34" s="27">
        <v>1466.7541000000001</v>
      </c>
      <c r="AA34" s="31">
        <v>1112</v>
      </c>
      <c r="AB34" s="31">
        <v>0</v>
      </c>
      <c r="AC34" s="31">
        <v>0</v>
      </c>
      <c r="AD34" s="31">
        <v>0</v>
      </c>
      <c r="AE34" s="31">
        <v>0</v>
      </c>
      <c r="AF34" s="92">
        <v>1112</v>
      </c>
      <c r="AG34" s="91">
        <v>14</v>
      </c>
    </row>
    <row r="35" spans="1:33" s="31" customFormat="1">
      <c r="A35" s="385">
        <f>References!H260</f>
        <v>52</v>
      </c>
      <c r="B35" s="382" t="s">
        <v>31</v>
      </c>
      <c r="C35" s="284">
        <v>2009</v>
      </c>
      <c r="D35" s="91">
        <v>4390</v>
      </c>
      <c r="E35" s="92">
        <v>4687</v>
      </c>
      <c r="F35" s="92">
        <v>428</v>
      </c>
      <c r="G35" s="27">
        <v>151</v>
      </c>
      <c r="H35" s="91">
        <v>0</v>
      </c>
      <c r="I35" s="92">
        <v>5266</v>
      </c>
      <c r="J35" s="92">
        <v>862</v>
      </c>
      <c r="K35" s="91">
        <v>677</v>
      </c>
      <c r="L35" s="91">
        <v>494</v>
      </c>
      <c r="M35" s="91">
        <v>468</v>
      </c>
      <c r="N35" s="91">
        <v>0</v>
      </c>
      <c r="O35" s="31">
        <v>231</v>
      </c>
      <c r="P35" s="91">
        <v>0</v>
      </c>
      <c r="Q35" s="91"/>
      <c r="R35" s="91">
        <v>0</v>
      </c>
      <c r="S35" s="92">
        <v>1870</v>
      </c>
      <c r="T35" s="27">
        <v>2534</v>
      </c>
      <c r="U35" s="27">
        <v>1105</v>
      </c>
      <c r="V35" s="31">
        <v>1429</v>
      </c>
      <c r="W35" s="31">
        <v>113.65698</v>
      </c>
      <c r="X35" s="31">
        <v>692.18086000000005</v>
      </c>
      <c r="Y35" s="31">
        <v>157</v>
      </c>
      <c r="Z35" s="27">
        <v>2164.5239000000001</v>
      </c>
      <c r="AA35" s="31">
        <v>401</v>
      </c>
      <c r="AB35" s="31">
        <v>0</v>
      </c>
      <c r="AC35" s="31">
        <v>0</v>
      </c>
      <c r="AD35" s="31">
        <v>621</v>
      </c>
      <c r="AE35" s="31">
        <v>0</v>
      </c>
      <c r="AF35" s="92">
        <v>1022</v>
      </c>
      <c r="AG35" s="91">
        <v>249</v>
      </c>
    </row>
    <row r="36" spans="1:33" s="31" customFormat="1">
      <c r="A36" s="385">
        <f>References!I260</f>
        <v>53</v>
      </c>
      <c r="B36" s="382" t="s">
        <v>31</v>
      </c>
      <c r="C36" s="284">
        <v>2010</v>
      </c>
      <c r="D36" s="91">
        <v>5364</v>
      </c>
      <c r="E36" s="92">
        <v>5364</v>
      </c>
      <c r="F36" s="92">
        <v>1058</v>
      </c>
      <c r="G36" s="27">
        <v>38</v>
      </c>
      <c r="H36" s="91">
        <v>0</v>
      </c>
      <c r="I36" s="92">
        <v>6460</v>
      </c>
      <c r="J36" s="92">
        <v>826</v>
      </c>
      <c r="K36" s="91">
        <v>710</v>
      </c>
      <c r="L36" s="91">
        <v>548</v>
      </c>
      <c r="M36" s="91">
        <v>1172</v>
      </c>
      <c r="N36" s="91">
        <v>0</v>
      </c>
      <c r="O36" s="31">
        <v>91</v>
      </c>
      <c r="P36" s="91">
        <v>0</v>
      </c>
      <c r="Q36" s="91"/>
      <c r="R36" s="91">
        <v>0</v>
      </c>
      <c r="S36" s="92">
        <v>2521</v>
      </c>
      <c r="T36" s="27">
        <v>3113</v>
      </c>
      <c r="U36" s="27">
        <v>1227</v>
      </c>
      <c r="V36" s="31">
        <v>1886</v>
      </c>
      <c r="W36" s="31">
        <v>102.18125999999999</v>
      </c>
      <c r="X36" s="31">
        <v>495.40001000000001</v>
      </c>
      <c r="Y36" s="31">
        <v>0</v>
      </c>
      <c r="Z36" s="27">
        <v>2279.2186999999999</v>
      </c>
      <c r="AA36" s="31">
        <v>447</v>
      </c>
      <c r="AB36" s="31">
        <v>335</v>
      </c>
      <c r="AC36" s="31">
        <v>536</v>
      </c>
      <c r="AD36" s="31">
        <v>164</v>
      </c>
      <c r="AE36" s="31">
        <v>0</v>
      </c>
      <c r="AF36" s="92">
        <v>1482</v>
      </c>
      <c r="AG36" s="91">
        <v>135</v>
      </c>
    </row>
    <row r="37" spans="1:33" s="31" customFormat="1">
      <c r="A37" s="385">
        <f>References!J260</f>
        <v>54</v>
      </c>
      <c r="B37" s="382" t="s">
        <v>31</v>
      </c>
      <c r="C37" s="284">
        <v>2011</v>
      </c>
      <c r="D37" s="91">
        <v>6200.4471999999996</v>
      </c>
      <c r="E37" s="92">
        <v>6200.4471999999996</v>
      </c>
      <c r="F37" s="92">
        <v>325.79676999999998</v>
      </c>
      <c r="G37" s="27">
        <v>62.689950000000003</v>
      </c>
      <c r="H37" s="91">
        <v>6.63</v>
      </c>
      <c r="I37" s="92">
        <v>6595.5639000000001</v>
      </c>
      <c r="J37" s="92">
        <v>1046.1690000000001</v>
      </c>
      <c r="K37" s="91">
        <v>1709.944</v>
      </c>
      <c r="L37" s="91">
        <v>274.90791999999999</v>
      </c>
      <c r="M37" s="91">
        <v>323.79111999999998</v>
      </c>
      <c r="N37" s="91">
        <v>320.76582000000002</v>
      </c>
      <c r="O37" s="31">
        <v>196.00413</v>
      </c>
      <c r="P37" s="91">
        <v>49.357370000000003</v>
      </c>
      <c r="Q37" s="91"/>
      <c r="R37" s="91">
        <v>0</v>
      </c>
      <c r="S37" s="92">
        <v>2874.7703000000001</v>
      </c>
      <c r="T37" s="27">
        <v>2674.6246000000001</v>
      </c>
      <c r="U37" s="27">
        <v>1149.701</v>
      </c>
      <c r="V37" s="31">
        <v>1524.9236000000001</v>
      </c>
      <c r="W37" s="31">
        <v>100.35173</v>
      </c>
      <c r="X37" s="31">
        <v>1115.1384</v>
      </c>
      <c r="Y37" s="31">
        <v>0</v>
      </c>
      <c r="Z37" s="27">
        <v>2539.7102</v>
      </c>
      <c r="AA37" s="31">
        <v>321</v>
      </c>
      <c r="AB37" s="31">
        <v>0</v>
      </c>
      <c r="AC37" s="31">
        <v>216</v>
      </c>
      <c r="AD37" s="31">
        <v>737.24699999999996</v>
      </c>
      <c r="AE37" s="31">
        <v>21</v>
      </c>
      <c r="AF37" s="92">
        <v>1295.2470000000001</v>
      </c>
      <c r="AG37" s="91">
        <v>152.708</v>
      </c>
    </row>
    <row r="38" spans="1:33" s="31" customFormat="1" hidden="1">
      <c r="A38" s="385">
        <f>References!C261</f>
        <v>70</v>
      </c>
      <c r="B38" s="386" t="s">
        <v>32</v>
      </c>
      <c r="C38" s="284">
        <v>2004</v>
      </c>
      <c r="D38" s="31">
        <v>6399</v>
      </c>
      <c r="E38" s="27">
        <v>6399</v>
      </c>
      <c r="G38" s="27">
        <v>82</v>
      </c>
      <c r="H38" s="31">
        <v>700</v>
      </c>
      <c r="I38" s="27">
        <v>7181</v>
      </c>
      <c r="J38" s="27">
        <v>2245</v>
      </c>
      <c r="Q38" s="31">
        <v>0</v>
      </c>
      <c r="S38" s="27">
        <v>4429</v>
      </c>
      <c r="T38" s="27">
        <v>2752</v>
      </c>
      <c r="U38" s="27">
        <v>1069</v>
      </c>
      <c r="W38" s="31">
        <v>5</v>
      </c>
      <c r="Z38" s="27">
        <v>1675</v>
      </c>
    </row>
    <row r="39" spans="1:33" s="31" customFormat="1" hidden="1">
      <c r="A39" s="385">
        <f>References!D261</f>
        <v>71</v>
      </c>
      <c r="B39" s="386" t="s">
        <v>32</v>
      </c>
      <c r="C39" s="284">
        <v>2005</v>
      </c>
      <c r="D39" s="31">
        <v>6663</v>
      </c>
      <c r="E39" s="27">
        <v>6663</v>
      </c>
      <c r="G39" s="27">
        <v>256</v>
      </c>
      <c r="H39" s="31">
        <v>415</v>
      </c>
      <c r="I39" s="27">
        <v>7334</v>
      </c>
      <c r="J39" s="27">
        <v>2354</v>
      </c>
      <c r="Q39" s="31">
        <v>0</v>
      </c>
      <c r="S39" s="27">
        <v>4411</v>
      </c>
      <c r="T39" s="27">
        <v>2923</v>
      </c>
      <c r="U39" s="27">
        <v>1534</v>
      </c>
      <c r="W39" s="31">
        <v>493</v>
      </c>
      <c r="Z39" s="27">
        <v>896</v>
      </c>
    </row>
    <row r="40" spans="1:33" s="31" customFormat="1" hidden="1">
      <c r="A40" s="385">
        <f>References!E261</f>
        <v>72</v>
      </c>
      <c r="B40" s="386" t="s">
        <v>32</v>
      </c>
      <c r="C40" s="284">
        <v>2006</v>
      </c>
      <c r="D40" s="31">
        <v>6623</v>
      </c>
      <c r="E40" s="27">
        <v>6623</v>
      </c>
      <c r="G40" s="27">
        <v>109</v>
      </c>
      <c r="H40" s="31">
        <v>593</v>
      </c>
      <c r="I40" s="27">
        <v>7325</v>
      </c>
      <c r="J40" s="27">
        <v>1448</v>
      </c>
      <c r="Q40" s="31">
        <v>0</v>
      </c>
      <c r="S40" s="27">
        <v>2994</v>
      </c>
      <c r="T40" s="27">
        <v>4331</v>
      </c>
      <c r="U40" s="27">
        <v>1562</v>
      </c>
      <c r="W40" s="31">
        <v>939</v>
      </c>
      <c r="Z40" s="27">
        <v>1830</v>
      </c>
    </row>
    <row r="41" spans="1:33" s="31" customFormat="1" hidden="1">
      <c r="A41" s="385">
        <f>References!F261</f>
        <v>73</v>
      </c>
      <c r="B41" s="386" t="s">
        <v>32</v>
      </c>
      <c r="C41" s="284">
        <v>2007</v>
      </c>
      <c r="D41" s="31">
        <v>6716</v>
      </c>
      <c r="E41" s="27">
        <v>6716</v>
      </c>
      <c r="G41" s="27">
        <v>46</v>
      </c>
      <c r="H41" s="31">
        <v>1358</v>
      </c>
      <c r="I41" s="27">
        <v>8120</v>
      </c>
      <c r="J41" s="27">
        <v>1454</v>
      </c>
      <c r="Q41" s="31">
        <v>0</v>
      </c>
      <c r="S41" s="27">
        <v>3281</v>
      </c>
      <c r="T41" s="27">
        <v>4839</v>
      </c>
      <c r="U41" s="27">
        <v>1593</v>
      </c>
      <c r="W41" s="31">
        <v>818</v>
      </c>
      <c r="Z41" s="27">
        <v>2428</v>
      </c>
    </row>
    <row r="42" spans="1:33" s="31" customFormat="1">
      <c r="A42" s="385">
        <f>References!G261</f>
        <v>74</v>
      </c>
      <c r="B42" s="382" t="s">
        <v>32</v>
      </c>
      <c r="C42" s="284">
        <v>2008</v>
      </c>
      <c r="D42" s="91">
        <v>6486.4290000000001</v>
      </c>
      <c r="E42" s="92">
        <v>6795.7722000000003</v>
      </c>
      <c r="F42" s="92">
        <v>653.17899</v>
      </c>
      <c r="G42" s="27">
        <v>28.47418</v>
      </c>
      <c r="H42" s="91">
        <v>22.049469999999999</v>
      </c>
      <c r="I42" s="92">
        <v>7499.4748</v>
      </c>
      <c r="J42" s="92">
        <v>1529.2183</v>
      </c>
      <c r="K42" s="91">
        <v>810.76148999999998</v>
      </c>
      <c r="L42" s="91">
        <v>425.15309000000002</v>
      </c>
      <c r="M42" s="91">
        <v>346.63810000000001</v>
      </c>
      <c r="N42" s="91">
        <v>131.92350999999999</v>
      </c>
      <c r="O42" s="31">
        <v>288.61896000000002</v>
      </c>
      <c r="P42" s="91">
        <v>46.561853999999997</v>
      </c>
      <c r="Q42" s="91"/>
      <c r="R42" s="91">
        <v>2.7894199999999998</v>
      </c>
      <c r="S42" s="92">
        <v>2052.4463999999998</v>
      </c>
      <c r="T42" s="27">
        <v>3917.8101000000001</v>
      </c>
      <c r="U42" s="27">
        <v>1847.18</v>
      </c>
      <c r="V42" s="31">
        <v>2070.6300999999999</v>
      </c>
      <c r="W42" s="31">
        <v>1082.2791999999999</v>
      </c>
      <c r="X42" s="31">
        <v>1180.8115</v>
      </c>
      <c r="Y42" s="31">
        <v>8.8409999999999993</v>
      </c>
      <c r="Z42" s="27">
        <v>2178.0034000000001</v>
      </c>
      <c r="AA42" s="31">
        <v>184.30457000000001</v>
      </c>
      <c r="AB42" s="31">
        <v>471.17988000000003</v>
      </c>
      <c r="AC42" s="31">
        <v>328.91595000000001</v>
      </c>
      <c r="AD42" s="31">
        <v>2056.7240000000002</v>
      </c>
      <c r="AE42" s="31">
        <v>0</v>
      </c>
      <c r="AF42" s="92">
        <v>3041.1244000000002</v>
      </c>
      <c r="AG42" s="91">
        <v>56.143999999999998</v>
      </c>
    </row>
    <row r="43" spans="1:33" s="31" customFormat="1">
      <c r="A43" s="385">
        <f>References!H261</f>
        <v>75</v>
      </c>
      <c r="B43" s="382" t="s">
        <v>32</v>
      </c>
      <c r="C43" s="284">
        <v>2009</v>
      </c>
      <c r="D43" s="91">
        <v>7257.9883</v>
      </c>
      <c r="E43" s="92">
        <v>7754.366</v>
      </c>
      <c r="F43" s="92">
        <v>650.65652</v>
      </c>
      <c r="G43" s="27">
        <v>2.0306700000000002</v>
      </c>
      <c r="H43" s="91">
        <v>26.14996</v>
      </c>
      <c r="I43" s="92">
        <v>8433.2031000000006</v>
      </c>
      <c r="J43" s="92">
        <v>2001.69</v>
      </c>
      <c r="K43" s="91">
        <v>1031.4109000000001</v>
      </c>
      <c r="L43" s="91">
        <v>451.58105</v>
      </c>
      <c r="M43" s="91">
        <v>347.67720000000003</v>
      </c>
      <c r="N43" s="91">
        <v>233.06737000000001</v>
      </c>
      <c r="O43" s="31">
        <v>553.87843999999996</v>
      </c>
      <c r="P43" s="91">
        <v>62.469937999999999</v>
      </c>
      <c r="Q43" s="91"/>
      <c r="R43" s="91">
        <v>4.9070622000000004</v>
      </c>
      <c r="S43" s="92">
        <v>2684.9920000000002</v>
      </c>
      <c r="T43" s="27">
        <v>3746.5210999999999</v>
      </c>
      <c r="U43" s="27">
        <v>1929.9032</v>
      </c>
      <c r="V43" s="31">
        <v>1816.6179</v>
      </c>
      <c r="W43" s="31">
        <v>-0.28434801999999998</v>
      </c>
      <c r="X43" s="31">
        <v>1111.3662999999999</v>
      </c>
      <c r="Y43" s="31">
        <v>0</v>
      </c>
      <c r="Z43" s="27">
        <v>2928.2685999999999</v>
      </c>
      <c r="AA43" s="31">
        <v>776.8202</v>
      </c>
      <c r="AB43" s="31">
        <v>0</v>
      </c>
      <c r="AC43" s="31">
        <v>2066.2723000000001</v>
      </c>
      <c r="AD43" s="31">
        <v>1530.2267999999999</v>
      </c>
      <c r="AE43" s="31">
        <v>7.2480000000000002</v>
      </c>
      <c r="AF43" s="92">
        <v>4380.5672999999997</v>
      </c>
      <c r="AG43" s="91">
        <v>55.286999999999999</v>
      </c>
    </row>
    <row r="44" spans="1:33" s="31" customFormat="1">
      <c r="A44" s="385">
        <f>References!I261</f>
        <v>76</v>
      </c>
      <c r="B44" s="382" t="s">
        <v>32</v>
      </c>
      <c r="C44" s="284">
        <v>2010</v>
      </c>
      <c r="D44" s="91">
        <v>7860.2889999999998</v>
      </c>
      <c r="E44" s="92">
        <v>8632</v>
      </c>
      <c r="F44" s="92">
        <v>269.91399999999999</v>
      </c>
      <c r="G44" s="27">
        <v>83.284999999999997</v>
      </c>
      <c r="H44" s="91">
        <v>238.18700000000001</v>
      </c>
      <c r="I44" s="92">
        <v>9223.3860000000004</v>
      </c>
      <c r="J44" s="92">
        <v>2256.8829999999998</v>
      </c>
      <c r="K44" s="91">
        <v>1137.43</v>
      </c>
      <c r="L44" s="91">
        <v>363.63</v>
      </c>
      <c r="M44" s="91">
        <v>509.61</v>
      </c>
      <c r="N44" s="91">
        <v>128.56</v>
      </c>
      <c r="O44" s="31">
        <v>416.28899999999999</v>
      </c>
      <c r="P44" s="91">
        <v>63.054000000000002</v>
      </c>
      <c r="Q44" s="91"/>
      <c r="R44" s="91">
        <v>2.6520000000000001</v>
      </c>
      <c r="S44" s="92">
        <v>2621.2249999999999</v>
      </c>
      <c r="T44" s="27">
        <v>4345.2780000000002</v>
      </c>
      <c r="U44" s="27">
        <v>2047.4389000000001</v>
      </c>
      <c r="V44" s="31">
        <v>2297.8391000000001</v>
      </c>
      <c r="W44" s="31">
        <v>104.93313999999999</v>
      </c>
      <c r="X44" s="31">
        <v>854.95090000000005</v>
      </c>
      <c r="Y44" s="31">
        <v>0</v>
      </c>
      <c r="Z44" s="27">
        <v>3047.8569000000002</v>
      </c>
      <c r="AA44" s="31">
        <v>355.11599999999999</v>
      </c>
      <c r="AB44" s="31">
        <v>727.09500000000003</v>
      </c>
      <c r="AC44" s="31">
        <v>1931.577</v>
      </c>
      <c r="AD44" s="31">
        <v>2098.011</v>
      </c>
      <c r="AE44" s="31">
        <v>9.7387700000000006</v>
      </c>
      <c r="AF44" s="92">
        <v>5121.5378000000001</v>
      </c>
      <c r="AG44" s="91">
        <v>74.91</v>
      </c>
    </row>
    <row r="45" spans="1:33" s="31" customFormat="1">
      <c r="A45" s="385">
        <f>References!J261</f>
        <v>77</v>
      </c>
      <c r="B45" s="382" t="s">
        <v>32</v>
      </c>
      <c r="C45" s="284">
        <v>2011</v>
      </c>
      <c r="D45" s="91">
        <v>8793</v>
      </c>
      <c r="E45" s="92">
        <v>9562</v>
      </c>
      <c r="F45" s="92">
        <v>389</v>
      </c>
      <c r="G45" s="27">
        <v>141</v>
      </c>
      <c r="H45" s="91">
        <v>29</v>
      </c>
      <c r="I45" s="92">
        <v>10121</v>
      </c>
      <c r="J45" s="92">
        <v>2259</v>
      </c>
      <c r="K45" s="91">
        <v>1409</v>
      </c>
      <c r="L45" s="91">
        <v>391</v>
      </c>
      <c r="M45" s="91">
        <v>526</v>
      </c>
      <c r="N45" s="91">
        <v>621</v>
      </c>
      <c r="O45" s="31">
        <v>233</v>
      </c>
      <c r="P45" s="91">
        <v>66</v>
      </c>
      <c r="Q45" s="91"/>
      <c r="R45" s="91">
        <v>5</v>
      </c>
      <c r="S45" s="92">
        <v>3251</v>
      </c>
      <c r="T45" s="27">
        <v>4611</v>
      </c>
      <c r="U45" s="27">
        <v>2228</v>
      </c>
      <c r="V45" s="31">
        <v>2383</v>
      </c>
      <c r="W45" s="31">
        <v>190.48240999999999</v>
      </c>
      <c r="X45" s="31">
        <v>1935.6768999999999</v>
      </c>
      <c r="Y45" s="31">
        <v>0</v>
      </c>
      <c r="Z45" s="27">
        <v>4128.1944000000003</v>
      </c>
      <c r="AA45" s="31">
        <v>227</v>
      </c>
      <c r="AB45" s="31">
        <v>984</v>
      </c>
      <c r="AC45" s="31">
        <v>3322</v>
      </c>
      <c r="AD45" s="31">
        <v>573</v>
      </c>
      <c r="AE45" s="31">
        <v>19</v>
      </c>
      <c r="AF45" s="92">
        <v>5125</v>
      </c>
      <c r="AG45" s="91">
        <v>438</v>
      </c>
    </row>
    <row r="46" spans="1:33" s="31" customFormat="1" hidden="1">
      <c r="A46" s="385">
        <f>References!C262</f>
        <v>93</v>
      </c>
      <c r="B46" s="386" t="s">
        <v>33</v>
      </c>
      <c r="C46" s="284">
        <v>2004</v>
      </c>
      <c r="D46" s="31">
        <v>24275</v>
      </c>
      <c r="E46" s="27">
        <v>24275</v>
      </c>
      <c r="G46" s="27">
        <v>980</v>
      </c>
      <c r="H46" s="31">
        <v>1070</v>
      </c>
      <c r="I46" s="27">
        <v>26325</v>
      </c>
      <c r="J46" s="27">
        <v>4941</v>
      </c>
      <c r="Q46" s="31">
        <v>0</v>
      </c>
      <c r="S46" s="27">
        <v>17901</v>
      </c>
      <c r="T46" s="27">
        <v>8424</v>
      </c>
      <c r="U46" s="27">
        <v>4132</v>
      </c>
      <c r="W46" s="31">
        <v>907</v>
      </c>
      <c r="Z46" s="27">
        <v>3273</v>
      </c>
    </row>
    <row r="47" spans="1:33" s="31" customFormat="1" hidden="1">
      <c r="A47" s="385">
        <f>References!D262</f>
        <v>94</v>
      </c>
      <c r="B47" s="386" t="s">
        <v>33</v>
      </c>
      <c r="C47" s="284">
        <v>2005</v>
      </c>
      <c r="D47" s="31">
        <v>26961</v>
      </c>
      <c r="E47" s="27">
        <v>26961</v>
      </c>
      <c r="G47" s="27">
        <v>493</v>
      </c>
      <c r="H47" s="31">
        <v>1173</v>
      </c>
      <c r="I47" s="27">
        <v>28627</v>
      </c>
      <c r="J47" s="27">
        <v>5043</v>
      </c>
      <c r="Q47" s="31">
        <v>0</v>
      </c>
      <c r="S47" s="27">
        <v>18034</v>
      </c>
      <c r="T47" s="27">
        <v>10593</v>
      </c>
      <c r="U47" s="27">
        <v>4370</v>
      </c>
      <c r="W47" s="31">
        <v>2085</v>
      </c>
      <c r="Z47" s="27">
        <v>4138</v>
      </c>
    </row>
    <row r="48" spans="1:33" s="31" customFormat="1" hidden="1">
      <c r="A48" s="385">
        <f>References!E262</f>
        <v>95</v>
      </c>
      <c r="B48" s="386" t="s">
        <v>33</v>
      </c>
      <c r="C48" s="284">
        <v>2006</v>
      </c>
      <c r="D48" s="31">
        <v>27890</v>
      </c>
      <c r="E48" s="27">
        <v>27890</v>
      </c>
      <c r="G48" s="27">
        <v>1128</v>
      </c>
      <c r="H48" s="31">
        <v>1645</v>
      </c>
      <c r="I48" s="27">
        <v>30663</v>
      </c>
      <c r="J48" s="27">
        <v>5343</v>
      </c>
      <c r="Q48" s="31">
        <v>0</v>
      </c>
      <c r="S48" s="27">
        <v>19419</v>
      </c>
      <c r="T48" s="27">
        <v>11244</v>
      </c>
      <c r="U48" s="27">
        <v>4440</v>
      </c>
      <c r="W48" s="31">
        <v>1620</v>
      </c>
      <c r="Z48" s="27">
        <v>5184</v>
      </c>
    </row>
    <row r="49" spans="1:33" s="31" customFormat="1" hidden="1">
      <c r="A49" s="385">
        <f>References!F262</f>
        <v>96</v>
      </c>
      <c r="B49" s="386" t="s">
        <v>33</v>
      </c>
      <c r="C49" s="284">
        <v>2007</v>
      </c>
      <c r="D49" s="31">
        <v>31012</v>
      </c>
      <c r="E49" s="27">
        <v>31012</v>
      </c>
      <c r="G49" s="27">
        <v>883</v>
      </c>
      <c r="H49" s="31">
        <v>1727</v>
      </c>
      <c r="I49" s="27">
        <v>33622</v>
      </c>
      <c r="J49" s="27">
        <v>5844</v>
      </c>
      <c r="Q49" s="31">
        <v>0</v>
      </c>
      <c r="S49" s="27">
        <v>21381</v>
      </c>
      <c r="T49" s="27">
        <v>12241</v>
      </c>
      <c r="U49" s="27">
        <v>4860</v>
      </c>
      <c r="W49" s="31">
        <v>1617</v>
      </c>
      <c r="Z49" s="27">
        <v>5110</v>
      </c>
    </row>
    <row r="50" spans="1:33" s="31" customFormat="1">
      <c r="A50" s="385">
        <f>References!G262</f>
        <v>97</v>
      </c>
      <c r="B50" s="382" t="s">
        <v>33</v>
      </c>
      <c r="C50" s="284">
        <v>2008</v>
      </c>
      <c r="D50" s="91">
        <v>25106</v>
      </c>
      <c r="E50" s="92">
        <v>25106</v>
      </c>
      <c r="F50" s="92">
        <v>1685</v>
      </c>
      <c r="G50" s="27">
        <v>0</v>
      </c>
      <c r="H50" s="91">
        <v>416</v>
      </c>
      <c r="I50" s="92">
        <v>27207</v>
      </c>
      <c r="J50" s="92">
        <v>6558</v>
      </c>
      <c r="K50" s="91">
        <v>0</v>
      </c>
      <c r="L50" s="91">
        <v>0</v>
      </c>
      <c r="M50" s="91">
        <v>0</v>
      </c>
      <c r="N50" s="91">
        <v>0</v>
      </c>
      <c r="O50" s="31">
        <v>0</v>
      </c>
      <c r="P50" s="91">
        <v>0</v>
      </c>
      <c r="Q50" s="91"/>
      <c r="R50" s="91">
        <v>0</v>
      </c>
      <c r="S50" s="92">
        <v>9247</v>
      </c>
      <c r="T50" s="27">
        <v>11402</v>
      </c>
      <c r="U50" s="27">
        <v>6160.8014999999996</v>
      </c>
      <c r="V50" s="31">
        <v>5241.1985000000004</v>
      </c>
      <c r="W50" s="31">
        <v>-750.44979999999998</v>
      </c>
      <c r="X50" s="31">
        <v>4545.6522999999997</v>
      </c>
      <c r="Y50" s="31">
        <v>7326</v>
      </c>
      <c r="Z50" s="27">
        <v>17863.300999999999</v>
      </c>
      <c r="AA50" s="31">
        <v>0</v>
      </c>
      <c r="AB50" s="31">
        <v>0</v>
      </c>
      <c r="AC50" s="31">
        <v>0</v>
      </c>
      <c r="AD50" s="31">
        <v>0</v>
      </c>
      <c r="AE50" s="31">
        <v>0</v>
      </c>
      <c r="AF50" s="92">
        <v>9648</v>
      </c>
      <c r="AG50" s="91">
        <v>1044</v>
      </c>
    </row>
    <row r="51" spans="1:33" s="31" customFormat="1">
      <c r="A51" s="385">
        <f>References!H262</f>
        <v>98</v>
      </c>
      <c r="B51" s="382" t="s">
        <v>33</v>
      </c>
      <c r="C51" s="284">
        <v>2009</v>
      </c>
      <c r="D51" s="91">
        <v>28394</v>
      </c>
      <c r="E51" s="92">
        <v>28394</v>
      </c>
      <c r="F51" s="92">
        <v>986</v>
      </c>
      <c r="G51" s="27">
        <v>0</v>
      </c>
      <c r="H51" s="91">
        <v>361</v>
      </c>
      <c r="I51" s="92">
        <v>29741</v>
      </c>
      <c r="J51" s="92">
        <v>7440</v>
      </c>
      <c r="K51" s="91">
        <v>0</v>
      </c>
      <c r="L51" s="91">
        <v>0</v>
      </c>
      <c r="M51" s="91">
        <v>0</v>
      </c>
      <c r="N51" s="91">
        <v>0</v>
      </c>
      <c r="O51" s="31">
        <v>0</v>
      </c>
      <c r="P51" s="91">
        <v>0</v>
      </c>
      <c r="Q51" s="91"/>
      <c r="R51" s="91">
        <v>0</v>
      </c>
      <c r="S51" s="92">
        <v>9775</v>
      </c>
      <c r="T51" s="27">
        <v>12526</v>
      </c>
      <c r="U51" s="27">
        <v>4679.5730000000003</v>
      </c>
      <c r="V51" s="31">
        <v>7846.4269999999997</v>
      </c>
      <c r="W51" s="31">
        <v>-348.35133999999999</v>
      </c>
      <c r="X51" s="31">
        <v>4267.5932000000003</v>
      </c>
      <c r="Y51" s="31">
        <v>1672</v>
      </c>
      <c r="Z51" s="27">
        <v>14134.371999999999</v>
      </c>
      <c r="AA51" s="31">
        <v>2485.3355999999999</v>
      </c>
      <c r="AB51" s="31">
        <v>3902.1774</v>
      </c>
      <c r="AC51" s="31">
        <v>1005.6202</v>
      </c>
      <c r="AD51" s="31">
        <v>2782.6377000000002</v>
      </c>
      <c r="AE51" s="31">
        <v>486.58710000000002</v>
      </c>
      <c r="AF51" s="92">
        <v>10662.358</v>
      </c>
      <c r="AG51" s="91">
        <v>1472</v>
      </c>
    </row>
    <row r="52" spans="1:33" s="31" customFormat="1">
      <c r="A52" s="385">
        <f>References!I262</f>
        <v>99</v>
      </c>
      <c r="B52" s="382" t="s">
        <v>33</v>
      </c>
      <c r="C52" s="284">
        <v>2010</v>
      </c>
      <c r="D52" s="91">
        <v>29632.734</v>
      </c>
      <c r="E52" s="92">
        <v>29632.734</v>
      </c>
      <c r="F52" s="92">
        <v>921.72338000000002</v>
      </c>
      <c r="G52" s="27">
        <v>0</v>
      </c>
      <c r="H52" s="91">
        <v>371.67599999999999</v>
      </c>
      <c r="I52" s="92">
        <v>30926.133000000002</v>
      </c>
      <c r="J52" s="92">
        <v>7978.9539999999997</v>
      </c>
      <c r="K52" s="91">
        <v>4377.0280000000002</v>
      </c>
      <c r="L52" s="91">
        <v>1750.008</v>
      </c>
      <c r="M52" s="91">
        <v>1331.1737000000001</v>
      </c>
      <c r="N52" s="91">
        <v>788.02665999999999</v>
      </c>
      <c r="O52" s="31">
        <v>1354.164</v>
      </c>
      <c r="P52" s="91">
        <v>0</v>
      </c>
      <c r="Q52" s="91"/>
      <c r="R52" s="91">
        <v>0</v>
      </c>
      <c r="S52" s="92">
        <v>9602</v>
      </c>
      <c r="T52" s="27">
        <v>13345.179</v>
      </c>
      <c r="U52" s="27">
        <v>7004.1679999999997</v>
      </c>
      <c r="V52" s="31">
        <v>6341.0113000000001</v>
      </c>
      <c r="W52" s="31">
        <v>255.50613000000001</v>
      </c>
      <c r="X52" s="31">
        <v>2972.8238000000001</v>
      </c>
      <c r="Y52" s="31">
        <v>0</v>
      </c>
      <c r="Z52" s="27">
        <v>9059</v>
      </c>
      <c r="AA52" s="31">
        <v>1342.3996</v>
      </c>
      <c r="AB52" s="31">
        <v>4137.1044000000002</v>
      </c>
      <c r="AC52" s="31">
        <v>1282.0563</v>
      </c>
      <c r="AD52" s="31">
        <v>4001.5716000000002</v>
      </c>
      <c r="AE52" s="31">
        <v>104.75242</v>
      </c>
      <c r="AF52" s="92">
        <v>10867.884</v>
      </c>
      <c r="AG52" s="91">
        <v>1678.6679999999999</v>
      </c>
    </row>
    <row r="53" spans="1:33" s="31" customFormat="1">
      <c r="A53" s="385">
        <f>References!J262</f>
        <v>100</v>
      </c>
      <c r="B53" s="382" t="s">
        <v>33</v>
      </c>
      <c r="C53" s="284">
        <v>2011</v>
      </c>
      <c r="D53" s="91">
        <v>29866</v>
      </c>
      <c r="E53" s="92">
        <v>29866</v>
      </c>
      <c r="F53" s="92">
        <v>764</v>
      </c>
      <c r="G53" s="27">
        <v>0</v>
      </c>
      <c r="H53" s="91">
        <v>285</v>
      </c>
      <c r="I53" s="92">
        <v>30915</v>
      </c>
      <c r="J53" s="92">
        <v>8022</v>
      </c>
      <c r="K53" s="91">
        <v>4188</v>
      </c>
      <c r="L53" s="91">
        <v>1831</v>
      </c>
      <c r="M53" s="91">
        <v>1342</v>
      </c>
      <c r="N53" s="91">
        <v>787</v>
      </c>
      <c r="O53" s="31">
        <v>1695</v>
      </c>
      <c r="P53" s="91">
        <v>0</v>
      </c>
      <c r="Q53" s="91"/>
      <c r="R53" s="91">
        <v>0</v>
      </c>
      <c r="S53" s="92">
        <v>9843</v>
      </c>
      <c r="T53" s="27">
        <v>13050</v>
      </c>
      <c r="U53" s="27">
        <v>7141.1477999999997</v>
      </c>
      <c r="V53" s="31">
        <v>5908.8522000000003</v>
      </c>
      <c r="W53" s="31">
        <v>-143.25961000000001</v>
      </c>
      <c r="X53" s="31">
        <v>6800.2286999999997</v>
      </c>
      <c r="Y53" s="31">
        <v>-476</v>
      </c>
      <c r="Z53" s="27">
        <v>12376.34</v>
      </c>
      <c r="AA53" s="31">
        <v>1966.0478000000001</v>
      </c>
      <c r="AB53" s="31">
        <v>2585.6104999999998</v>
      </c>
      <c r="AC53" s="31">
        <v>1407.6402</v>
      </c>
      <c r="AD53" s="31">
        <v>4594.1194999999998</v>
      </c>
      <c r="AE53" s="31">
        <v>385.9418</v>
      </c>
      <c r="AF53" s="92">
        <v>10939.36</v>
      </c>
      <c r="AG53" s="91">
        <v>424</v>
      </c>
    </row>
    <row r="54" spans="1:33" s="31" customFormat="1" hidden="1">
      <c r="A54" s="385">
        <f>References!C263</f>
        <v>116</v>
      </c>
      <c r="B54" s="386" t="s">
        <v>34</v>
      </c>
      <c r="C54" s="284">
        <v>2004</v>
      </c>
      <c r="D54" s="31">
        <v>19872</v>
      </c>
      <c r="E54" s="27">
        <v>19872</v>
      </c>
      <c r="G54" s="27">
        <v>2061</v>
      </c>
      <c r="H54" s="31">
        <v>585</v>
      </c>
      <c r="I54" s="27">
        <v>22518</v>
      </c>
      <c r="J54" s="27">
        <v>5731</v>
      </c>
      <c r="Q54" s="31">
        <v>0</v>
      </c>
      <c r="S54" s="27">
        <v>10851</v>
      </c>
      <c r="T54" s="27">
        <v>11667</v>
      </c>
      <c r="U54" s="27">
        <v>3000</v>
      </c>
      <c r="W54" s="31">
        <v>1616</v>
      </c>
      <c r="Z54" s="27">
        <v>4303</v>
      </c>
    </row>
    <row r="55" spans="1:33" s="31" customFormat="1" hidden="1">
      <c r="A55" s="385">
        <f>References!D263</f>
        <v>117</v>
      </c>
      <c r="B55" s="386" t="s">
        <v>34</v>
      </c>
      <c r="C55" s="284">
        <v>2005</v>
      </c>
      <c r="D55" s="31">
        <v>21888</v>
      </c>
      <c r="E55" s="27">
        <v>21888</v>
      </c>
      <c r="G55" s="27">
        <v>735</v>
      </c>
      <c r="H55" s="31">
        <v>726</v>
      </c>
      <c r="I55" s="27">
        <v>23349</v>
      </c>
      <c r="J55" s="27">
        <v>5409</v>
      </c>
      <c r="Q55" s="31">
        <v>661</v>
      </c>
      <c r="S55" s="27">
        <v>11563</v>
      </c>
      <c r="T55" s="27">
        <v>11786</v>
      </c>
      <c r="U55" s="27">
        <v>2979</v>
      </c>
      <c r="W55" s="31">
        <v>2209</v>
      </c>
      <c r="Z55" s="27">
        <v>3626</v>
      </c>
    </row>
    <row r="56" spans="1:33" s="31" customFormat="1" hidden="1">
      <c r="A56" s="385">
        <f>References!E263</f>
        <v>118</v>
      </c>
      <c r="B56" s="386" t="s">
        <v>34</v>
      </c>
      <c r="C56" s="284">
        <v>2006</v>
      </c>
      <c r="D56" s="31">
        <v>22914</v>
      </c>
      <c r="E56" s="27">
        <v>22914</v>
      </c>
      <c r="G56" s="27">
        <v>1290</v>
      </c>
      <c r="H56" s="31">
        <v>1303</v>
      </c>
      <c r="I56" s="27">
        <v>25507</v>
      </c>
      <c r="J56" s="27">
        <v>5046</v>
      </c>
      <c r="Q56" s="31">
        <v>1290</v>
      </c>
      <c r="S56" s="27">
        <v>11923</v>
      </c>
      <c r="T56" s="27">
        <v>13584</v>
      </c>
      <c r="U56" s="27">
        <v>3486</v>
      </c>
      <c r="W56" s="31">
        <v>2061.2260000000001</v>
      </c>
      <c r="Z56" s="27">
        <v>4816.7739999999994</v>
      </c>
    </row>
    <row r="57" spans="1:33" s="31" customFormat="1" hidden="1">
      <c r="A57" s="385">
        <f>References!F263</f>
        <v>119</v>
      </c>
      <c r="B57" s="386" t="s">
        <v>34</v>
      </c>
      <c r="C57" s="284">
        <v>2007</v>
      </c>
      <c r="D57" s="31">
        <v>24488</v>
      </c>
      <c r="E57" s="27">
        <v>24488</v>
      </c>
      <c r="G57" s="27">
        <v>1048</v>
      </c>
      <c r="H57" s="31">
        <v>648</v>
      </c>
      <c r="I57" s="27">
        <v>26184</v>
      </c>
      <c r="J57" s="27">
        <v>6059</v>
      </c>
      <c r="Q57" s="31">
        <v>1048</v>
      </c>
      <c r="S57" s="27">
        <v>13464</v>
      </c>
      <c r="T57" s="27">
        <v>12720</v>
      </c>
      <c r="U57" s="27">
        <v>3638</v>
      </c>
      <c r="W57" s="31">
        <v>2363</v>
      </c>
      <c r="Z57" s="27">
        <v>3220</v>
      </c>
    </row>
    <row r="58" spans="1:33" s="31" customFormat="1">
      <c r="A58" s="385">
        <f>References!G263</f>
        <v>120</v>
      </c>
      <c r="B58" s="382" t="s">
        <v>34</v>
      </c>
      <c r="C58" s="284">
        <v>2008</v>
      </c>
      <c r="D58" s="91">
        <v>24386</v>
      </c>
      <c r="E58" s="92">
        <v>24386</v>
      </c>
      <c r="F58" s="92">
        <v>762.16</v>
      </c>
      <c r="G58" s="27">
        <v>50.46</v>
      </c>
      <c r="H58" s="91">
        <v>428</v>
      </c>
      <c r="I58" s="92">
        <v>25626.62</v>
      </c>
      <c r="J58" s="92">
        <v>8083.07</v>
      </c>
      <c r="K58" s="91">
        <v>3203.98</v>
      </c>
      <c r="L58" s="91">
        <v>0</v>
      </c>
      <c r="M58" s="91">
        <v>0</v>
      </c>
      <c r="N58" s="91">
        <v>0</v>
      </c>
      <c r="O58" s="31">
        <v>1703.1</v>
      </c>
      <c r="P58" s="91">
        <v>0</v>
      </c>
      <c r="Q58" s="91"/>
      <c r="R58" s="91">
        <v>0</v>
      </c>
      <c r="S58" s="92">
        <v>4907.08</v>
      </c>
      <c r="T58" s="27">
        <v>12636.47</v>
      </c>
      <c r="U58" s="27">
        <v>4168.53</v>
      </c>
      <c r="V58" s="31">
        <v>8467.94</v>
      </c>
      <c r="W58" s="31">
        <v>945.52161000000001</v>
      </c>
      <c r="X58" s="31">
        <v>3402.732</v>
      </c>
      <c r="Y58" s="31">
        <v>107.2</v>
      </c>
      <c r="Z58" s="27">
        <v>11032.35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92">
        <v>4378.82</v>
      </c>
      <c r="AG58" s="91">
        <v>18.7</v>
      </c>
    </row>
    <row r="59" spans="1:33" s="31" customFormat="1">
      <c r="A59" s="385">
        <f>References!H263</f>
        <v>121</v>
      </c>
      <c r="B59" s="382" t="s">
        <v>34</v>
      </c>
      <c r="C59" s="284">
        <v>2009</v>
      </c>
      <c r="D59" s="91">
        <v>26244</v>
      </c>
      <c r="E59" s="92">
        <v>26244</v>
      </c>
      <c r="F59" s="92">
        <v>1186.479</v>
      </c>
      <c r="G59" s="27">
        <v>55</v>
      </c>
      <c r="H59" s="91">
        <v>531</v>
      </c>
      <c r="I59" s="92">
        <v>28016.478999999999</v>
      </c>
      <c r="J59" s="92">
        <v>8437.2513999999992</v>
      </c>
      <c r="K59" s="91">
        <v>0</v>
      </c>
      <c r="L59" s="91">
        <v>0</v>
      </c>
      <c r="M59" s="91">
        <v>0</v>
      </c>
      <c r="N59" s="91">
        <v>0</v>
      </c>
      <c r="O59" s="31">
        <v>0</v>
      </c>
      <c r="P59" s="91">
        <v>0</v>
      </c>
      <c r="Q59" s="91"/>
      <c r="R59" s="91">
        <v>0</v>
      </c>
      <c r="S59" s="92">
        <v>6117</v>
      </c>
      <c r="T59" s="27">
        <v>13462.227999999999</v>
      </c>
      <c r="U59" s="27">
        <v>4130.1189999999997</v>
      </c>
      <c r="V59" s="31">
        <v>9332.1085000000003</v>
      </c>
      <c r="W59" s="31">
        <v>1007.5212</v>
      </c>
      <c r="X59" s="31">
        <v>3060.6237000000001</v>
      </c>
      <c r="Y59" s="31">
        <v>0</v>
      </c>
      <c r="Z59" s="27">
        <v>11385.210999999999</v>
      </c>
      <c r="AA59" s="31">
        <v>0</v>
      </c>
      <c r="AB59" s="31">
        <v>0</v>
      </c>
      <c r="AC59" s="31">
        <v>0</v>
      </c>
      <c r="AD59" s="31">
        <v>0</v>
      </c>
      <c r="AE59" s="31">
        <v>0</v>
      </c>
      <c r="AF59" s="92">
        <v>3683</v>
      </c>
      <c r="AG59" s="91">
        <v>355</v>
      </c>
    </row>
    <row r="60" spans="1:33" s="31" customFormat="1">
      <c r="A60" s="385">
        <f>References!I263</f>
        <v>122</v>
      </c>
      <c r="B60" s="382" t="s">
        <v>34</v>
      </c>
      <c r="C60" s="284">
        <v>2010</v>
      </c>
      <c r="D60" s="91">
        <v>27635</v>
      </c>
      <c r="E60" s="92">
        <v>27635</v>
      </c>
      <c r="F60" s="92">
        <v>196</v>
      </c>
      <c r="G60" s="27">
        <v>55</v>
      </c>
      <c r="H60" s="91">
        <v>519</v>
      </c>
      <c r="I60" s="92">
        <v>28405</v>
      </c>
      <c r="J60" s="92">
        <v>8729</v>
      </c>
      <c r="K60" s="91">
        <v>2122</v>
      </c>
      <c r="L60" s="91">
        <v>1385</v>
      </c>
      <c r="M60" s="91">
        <v>958</v>
      </c>
      <c r="N60" s="91">
        <v>144</v>
      </c>
      <c r="O60" s="31">
        <v>1029</v>
      </c>
      <c r="P60" s="91">
        <v>112</v>
      </c>
      <c r="Q60" s="91"/>
      <c r="R60" s="91">
        <v>89</v>
      </c>
      <c r="S60" s="92">
        <v>5839</v>
      </c>
      <c r="T60" s="27">
        <v>13837</v>
      </c>
      <c r="U60" s="27">
        <v>4380</v>
      </c>
      <c r="V60" s="31">
        <v>9457</v>
      </c>
      <c r="W60" s="31">
        <v>1674.7316000000001</v>
      </c>
      <c r="X60" s="31">
        <v>2236.0295000000001</v>
      </c>
      <c r="Y60" s="31">
        <v>303</v>
      </c>
      <c r="Z60" s="27">
        <v>10321.298000000001</v>
      </c>
      <c r="AA60" s="31">
        <v>63</v>
      </c>
      <c r="AB60" s="31">
        <v>517</v>
      </c>
      <c r="AC60" s="31">
        <v>83</v>
      </c>
      <c r="AD60" s="31">
        <v>4005</v>
      </c>
      <c r="AE60" s="31">
        <v>3</v>
      </c>
      <c r="AF60" s="92">
        <v>4671</v>
      </c>
      <c r="AG60" s="91">
        <v>329</v>
      </c>
    </row>
    <row r="61" spans="1:33" s="31" customFormat="1">
      <c r="A61" s="385">
        <f>References!J263</f>
        <v>123</v>
      </c>
      <c r="B61" s="382" t="s">
        <v>34</v>
      </c>
      <c r="C61" s="284">
        <v>2011</v>
      </c>
      <c r="D61" s="91">
        <v>29453</v>
      </c>
      <c r="E61" s="92">
        <v>29453</v>
      </c>
      <c r="F61" s="92">
        <v>1234</v>
      </c>
      <c r="G61" s="27">
        <v>55</v>
      </c>
      <c r="H61" s="91">
        <v>281</v>
      </c>
      <c r="I61" s="92">
        <v>31023</v>
      </c>
      <c r="J61" s="92">
        <v>9172</v>
      </c>
      <c r="K61" s="91">
        <v>2189</v>
      </c>
      <c r="L61" s="91">
        <v>1242</v>
      </c>
      <c r="M61" s="91">
        <v>1019</v>
      </c>
      <c r="N61" s="91">
        <v>143</v>
      </c>
      <c r="O61" s="31">
        <v>937</v>
      </c>
      <c r="P61" s="91">
        <v>136</v>
      </c>
      <c r="Q61" s="91"/>
      <c r="R61" s="91">
        <v>158</v>
      </c>
      <c r="S61" s="92">
        <v>5824</v>
      </c>
      <c r="T61" s="27">
        <v>16027</v>
      </c>
      <c r="U61" s="27">
        <v>4854</v>
      </c>
      <c r="V61" s="31">
        <v>11173</v>
      </c>
      <c r="W61" s="31">
        <v>1904.8026</v>
      </c>
      <c r="X61" s="31">
        <v>5011.0231999999996</v>
      </c>
      <c r="Y61" s="31">
        <v>0</v>
      </c>
      <c r="Z61" s="27">
        <v>14279.221</v>
      </c>
      <c r="AA61" s="31">
        <v>78</v>
      </c>
      <c r="AB61" s="31">
        <v>643</v>
      </c>
      <c r="AC61" s="31">
        <v>84</v>
      </c>
      <c r="AD61" s="31">
        <v>3801</v>
      </c>
      <c r="AE61" s="31">
        <v>0</v>
      </c>
      <c r="AF61" s="92">
        <v>4606</v>
      </c>
      <c r="AG61" s="91">
        <v>512</v>
      </c>
    </row>
    <row r="62" spans="1:33" s="31" customFormat="1" hidden="1">
      <c r="A62" s="385">
        <f>References!C264</f>
        <v>139</v>
      </c>
      <c r="B62" s="386" t="s">
        <v>35</v>
      </c>
      <c r="C62" s="284">
        <v>2004</v>
      </c>
      <c r="D62" s="31">
        <v>20878</v>
      </c>
      <c r="E62" s="27">
        <v>20878</v>
      </c>
      <c r="G62" s="27">
        <v>842</v>
      </c>
      <c r="H62" s="31">
        <v>423</v>
      </c>
      <c r="I62" s="27">
        <v>22143</v>
      </c>
      <c r="J62" s="27">
        <v>5390</v>
      </c>
      <c r="Q62" s="31">
        <v>0</v>
      </c>
      <c r="S62" s="27">
        <v>17815</v>
      </c>
      <c r="T62" s="27">
        <v>4328</v>
      </c>
      <c r="U62" s="27">
        <v>3081</v>
      </c>
      <c r="W62" s="31">
        <v>0</v>
      </c>
      <c r="Z62" s="27">
        <v>328</v>
      </c>
    </row>
    <row r="63" spans="1:33" s="31" customFormat="1" hidden="1">
      <c r="A63" s="385">
        <f>References!D264</f>
        <v>140</v>
      </c>
      <c r="B63" s="386" t="s">
        <v>35</v>
      </c>
      <c r="C63" s="284">
        <v>2005</v>
      </c>
      <c r="D63" s="31">
        <v>21889</v>
      </c>
      <c r="E63" s="27">
        <v>21889</v>
      </c>
      <c r="G63" s="27">
        <v>437</v>
      </c>
      <c r="H63" s="31">
        <v>487</v>
      </c>
      <c r="I63" s="27">
        <v>22813</v>
      </c>
      <c r="J63" s="27">
        <v>5812</v>
      </c>
      <c r="Q63" s="31">
        <v>0</v>
      </c>
      <c r="S63" s="27">
        <v>18039</v>
      </c>
      <c r="T63" s="27">
        <v>4774</v>
      </c>
      <c r="U63" s="27">
        <v>3906</v>
      </c>
      <c r="W63" s="31">
        <v>0</v>
      </c>
      <c r="Z63" s="27">
        <v>-10</v>
      </c>
    </row>
    <row r="64" spans="1:33" s="31" customFormat="1" hidden="1">
      <c r="A64" s="385">
        <f>References!E264</f>
        <v>141</v>
      </c>
      <c r="B64" s="386" t="s">
        <v>35</v>
      </c>
      <c r="C64" s="284">
        <v>2006</v>
      </c>
      <c r="D64" s="31">
        <v>13928</v>
      </c>
      <c r="E64" s="27">
        <v>13928</v>
      </c>
      <c r="G64" s="27">
        <v>1136</v>
      </c>
      <c r="H64" s="31">
        <v>444</v>
      </c>
      <c r="I64" s="27">
        <v>15508</v>
      </c>
      <c r="J64" s="27">
        <v>5745</v>
      </c>
      <c r="Q64" s="31">
        <v>0</v>
      </c>
      <c r="S64" s="27">
        <v>10580</v>
      </c>
      <c r="T64" s="27">
        <v>4928</v>
      </c>
      <c r="U64" s="27">
        <v>3881</v>
      </c>
      <c r="W64" s="31">
        <v>0</v>
      </c>
      <c r="Z64" s="27">
        <v>217</v>
      </c>
    </row>
    <row r="65" spans="1:33" s="31" customFormat="1" hidden="1">
      <c r="A65" s="385">
        <f>References!F264</f>
        <v>142</v>
      </c>
      <c r="B65" s="386" t="s">
        <v>35</v>
      </c>
      <c r="C65" s="284">
        <v>2007</v>
      </c>
      <c r="D65" s="31">
        <v>15460</v>
      </c>
      <c r="E65" s="27">
        <v>15460</v>
      </c>
      <c r="G65" s="27">
        <v>608</v>
      </c>
      <c r="H65" s="31">
        <v>443</v>
      </c>
      <c r="I65" s="27">
        <v>16511</v>
      </c>
      <c r="J65" s="27">
        <v>6016</v>
      </c>
      <c r="Q65" s="31">
        <v>0</v>
      </c>
      <c r="S65" s="27">
        <v>11665</v>
      </c>
      <c r="T65" s="27">
        <v>4846</v>
      </c>
      <c r="U65" s="27">
        <v>3815</v>
      </c>
      <c r="W65" s="31">
        <v>336</v>
      </c>
      <c r="Z65" s="27">
        <v>-64</v>
      </c>
    </row>
    <row r="66" spans="1:33" s="31" customFormat="1">
      <c r="A66" s="385">
        <f>References!G264</f>
        <v>143</v>
      </c>
      <c r="B66" s="382" t="s">
        <v>35</v>
      </c>
      <c r="C66" s="284">
        <v>2008</v>
      </c>
      <c r="D66" s="91">
        <v>17863</v>
      </c>
      <c r="E66" s="92">
        <v>18481</v>
      </c>
      <c r="F66" s="92">
        <v>878</v>
      </c>
      <c r="G66" s="27">
        <v>663</v>
      </c>
      <c r="H66" s="91">
        <v>535</v>
      </c>
      <c r="I66" s="92">
        <v>20557</v>
      </c>
      <c r="J66" s="92">
        <v>6344</v>
      </c>
      <c r="K66" s="91">
        <v>0</v>
      </c>
      <c r="L66" s="91">
        <v>0</v>
      </c>
      <c r="M66" s="91">
        <v>0</v>
      </c>
      <c r="N66" s="91">
        <v>0</v>
      </c>
      <c r="O66" s="31">
        <v>0</v>
      </c>
      <c r="P66" s="91">
        <v>0</v>
      </c>
      <c r="Q66" s="91"/>
      <c r="R66" s="91">
        <v>0</v>
      </c>
      <c r="S66" s="92">
        <v>6607</v>
      </c>
      <c r="T66" s="27">
        <v>7606</v>
      </c>
      <c r="U66" s="27">
        <v>5333</v>
      </c>
      <c r="V66" s="31">
        <v>2273</v>
      </c>
      <c r="W66" s="31">
        <v>110.5791</v>
      </c>
      <c r="X66" s="31">
        <v>3717.9092999999998</v>
      </c>
      <c r="Y66" s="31">
        <v>0</v>
      </c>
      <c r="Z66" s="27">
        <v>5880.3302000000003</v>
      </c>
      <c r="AA66" s="31">
        <v>0</v>
      </c>
      <c r="AB66" s="31">
        <v>790</v>
      </c>
      <c r="AC66" s="31">
        <v>1667</v>
      </c>
      <c r="AD66" s="31">
        <v>5329</v>
      </c>
      <c r="AE66" s="31">
        <v>0</v>
      </c>
      <c r="AF66" s="92">
        <v>7786</v>
      </c>
      <c r="AG66" s="91">
        <v>917</v>
      </c>
    </row>
    <row r="67" spans="1:33" s="31" customFormat="1">
      <c r="A67" s="385">
        <f>References!H264</f>
        <v>144</v>
      </c>
      <c r="B67" s="382" t="s">
        <v>35</v>
      </c>
      <c r="C67" s="284">
        <v>2009</v>
      </c>
      <c r="D67" s="91">
        <v>18461</v>
      </c>
      <c r="E67" s="92">
        <v>18461</v>
      </c>
      <c r="F67" s="92">
        <v>870</v>
      </c>
      <c r="G67" s="27">
        <v>1752</v>
      </c>
      <c r="H67" s="91">
        <v>611</v>
      </c>
      <c r="I67" s="92">
        <v>21694</v>
      </c>
      <c r="J67" s="92">
        <v>6201</v>
      </c>
      <c r="K67" s="91">
        <v>0</v>
      </c>
      <c r="L67" s="91">
        <v>0</v>
      </c>
      <c r="M67" s="91">
        <v>0</v>
      </c>
      <c r="N67" s="91">
        <v>0</v>
      </c>
      <c r="O67" s="31">
        <v>0</v>
      </c>
      <c r="P67" s="91">
        <v>0</v>
      </c>
      <c r="Q67" s="91"/>
      <c r="R67" s="91">
        <v>0</v>
      </c>
      <c r="S67" s="92">
        <v>7979</v>
      </c>
      <c r="T67" s="27">
        <v>7514</v>
      </c>
      <c r="U67" s="27">
        <v>5638</v>
      </c>
      <c r="V67" s="31">
        <v>1876</v>
      </c>
      <c r="W67" s="31">
        <v>55.090032999999998</v>
      </c>
      <c r="X67" s="31">
        <v>3526.0014999999999</v>
      </c>
      <c r="Y67" s="31">
        <v>0</v>
      </c>
      <c r="Z67" s="27">
        <v>5346.9115000000002</v>
      </c>
      <c r="AA67" s="31">
        <v>0</v>
      </c>
      <c r="AB67" s="31">
        <v>0</v>
      </c>
      <c r="AC67" s="31">
        <v>0</v>
      </c>
      <c r="AD67" s="31">
        <v>0</v>
      </c>
      <c r="AE67" s="31">
        <v>0</v>
      </c>
      <c r="AF67" s="92">
        <v>7309</v>
      </c>
      <c r="AG67" s="91">
        <v>601</v>
      </c>
    </row>
    <row r="68" spans="1:33" s="31" customFormat="1">
      <c r="A68" s="385">
        <f>References!I264</f>
        <v>145</v>
      </c>
      <c r="B68" s="382" t="s">
        <v>35</v>
      </c>
      <c r="C68" s="284">
        <v>2010</v>
      </c>
      <c r="D68" s="91">
        <v>20349</v>
      </c>
      <c r="E68" s="92">
        <v>20349</v>
      </c>
      <c r="F68" s="92">
        <v>1451</v>
      </c>
      <c r="G68" s="27">
        <v>518</v>
      </c>
      <c r="H68" s="91">
        <v>657</v>
      </c>
      <c r="I68" s="92">
        <v>22975</v>
      </c>
      <c r="J68" s="92">
        <v>6721</v>
      </c>
      <c r="K68" s="91">
        <v>2178</v>
      </c>
      <c r="L68" s="91">
        <v>1228</v>
      </c>
      <c r="M68" s="91">
        <v>2225</v>
      </c>
      <c r="N68" s="91">
        <v>875</v>
      </c>
      <c r="O68" s="31">
        <v>1400</v>
      </c>
      <c r="P68" s="91">
        <v>123</v>
      </c>
      <c r="Q68" s="91"/>
      <c r="R68" s="91">
        <v>229</v>
      </c>
      <c r="S68" s="92">
        <v>8258</v>
      </c>
      <c r="T68" s="27">
        <v>7996</v>
      </c>
      <c r="U68" s="27">
        <v>6393</v>
      </c>
      <c r="V68" s="31">
        <v>1603</v>
      </c>
      <c r="W68" s="31">
        <v>517.33408999999995</v>
      </c>
      <c r="X68" s="31">
        <v>2491.8910000000001</v>
      </c>
      <c r="Y68" s="31">
        <v>0</v>
      </c>
      <c r="Z68" s="27">
        <v>3577.5569</v>
      </c>
      <c r="AA68" s="31">
        <v>115</v>
      </c>
      <c r="AB68" s="31">
        <v>1056</v>
      </c>
      <c r="AC68" s="31">
        <v>869</v>
      </c>
      <c r="AD68" s="31">
        <v>3941</v>
      </c>
      <c r="AE68" s="31">
        <v>16</v>
      </c>
      <c r="AF68" s="92">
        <v>5997</v>
      </c>
      <c r="AG68" s="91">
        <v>256</v>
      </c>
    </row>
    <row r="69" spans="1:33" s="31" customFormat="1">
      <c r="A69" s="385">
        <f>References!J264</f>
        <v>146</v>
      </c>
      <c r="B69" s="382" t="s">
        <v>35</v>
      </c>
      <c r="C69" s="284">
        <v>2011</v>
      </c>
      <c r="D69" s="91">
        <v>21380.382000000001</v>
      </c>
      <c r="E69" s="92">
        <v>28435.382000000001</v>
      </c>
      <c r="F69" s="92">
        <v>696</v>
      </c>
      <c r="G69" s="27">
        <v>659</v>
      </c>
      <c r="H69" s="91">
        <v>640</v>
      </c>
      <c r="I69" s="92">
        <v>30430.382000000001</v>
      </c>
      <c r="J69" s="92">
        <v>6955</v>
      </c>
      <c r="K69" s="91">
        <v>2290</v>
      </c>
      <c r="L69" s="91">
        <v>1247</v>
      </c>
      <c r="M69" s="91">
        <v>1838</v>
      </c>
      <c r="N69" s="91">
        <v>619</v>
      </c>
      <c r="O69" s="31">
        <v>1445</v>
      </c>
      <c r="P69" s="91">
        <v>120</v>
      </c>
      <c r="Q69" s="91"/>
      <c r="R69" s="91">
        <v>219</v>
      </c>
      <c r="S69" s="92">
        <v>7778</v>
      </c>
      <c r="T69" s="27">
        <v>15697.382</v>
      </c>
      <c r="U69" s="27">
        <v>6573</v>
      </c>
      <c r="V69" s="31">
        <v>9124.3819999999996</v>
      </c>
      <c r="W69" s="31">
        <v>338.62488999999999</v>
      </c>
      <c r="X69" s="31">
        <v>5750.6764999999996</v>
      </c>
      <c r="Y69" s="31">
        <v>-1605</v>
      </c>
      <c r="Z69" s="27">
        <v>12931.433999999999</v>
      </c>
      <c r="AA69" s="31">
        <v>0</v>
      </c>
      <c r="AB69" s="31">
        <v>2529</v>
      </c>
      <c r="AC69" s="31">
        <v>873</v>
      </c>
      <c r="AD69" s="31">
        <v>2111</v>
      </c>
      <c r="AE69" s="31">
        <v>217</v>
      </c>
      <c r="AF69" s="92">
        <v>5730</v>
      </c>
      <c r="AG69" s="91">
        <v>159</v>
      </c>
    </row>
    <row r="70" spans="1:33" s="31" customFormat="1" hidden="1">
      <c r="A70" s="385">
        <f>References!C265</f>
        <v>162</v>
      </c>
      <c r="B70" s="386" t="s">
        <v>36</v>
      </c>
      <c r="C70" s="284">
        <v>2004</v>
      </c>
      <c r="D70" s="31">
        <v>17204.593000000001</v>
      </c>
      <c r="E70" s="27">
        <v>17204.593000000001</v>
      </c>
      <c r="G70" s="27">
        <v>754.18200000000002</v>
      </c>
      <c r="H70" s="31">
        <v>1847.95</v>
      </c>
      <c r="I70" s="27">
        <v>19806.725000000002</v>
      </c>
      <c r="J70" s="27">
        <v>5130.0309999999999</v>
      </c>
      <c r="Q70" s="31">
        <v>0</v>
      </c>
      <c r="S70" s="27">
        <v>8562.7960000000003</v>
      </c>
      <c r="T70" s="27">
        <v>11243.929000000002</v>
      </c>
      <c r="U70" s="27">
        <v>3475.8879999999999</v>
      </c>
      <c r="W70" s="31">
        <v>2768.4209999999998</v>
      </c>
      <c r="Z70" s="27">
        <v>4010.4820000000027</v>
      </c>
    </row>
    <row r="71" spans="1:33" s="31" customFormat="1" hidden="1">
      <c r="A71" s="385">
        <f>References!D265</f>
        <v>163</v>
      </c>
      <c r="B71" s="386" t="s">
        <v>36</v>
      </c>
      <c r="C71" s="284">
        <v>2005</v>
      </c>
      <c r="D71" s="31">
        <v>19071.738000000001</v>
      </c>
      <c r="E71" s="27">
        <v>19071.738000000001</v>
      </c>
      <c r="G71" s="27">
        <v>470.93900000000002</v>
      </c>
      <c r="H71" s="31">
        <v>1079.902</v>
      </c>
      <c r="I71" s="27">
        <v>20622.579000000002</v>
      </c>
      <c r="J71" s="27">
        <v>5639.4870000000001</v>
      </c>
      <c r="Q71" s="31">
        <v>0</v>
      </c>
      <c r="S71" s="27">
        <v>12092.62</v>
      </c>
      <c r="T71" s="27">
        <v>8529.9590000000007</v>
      </c>
      <c r="U71" s="27">
        <v>4191.2240000000002</v>
      </c>
      <c r="W71" s="31">
        <v>2042.5119999999999</v>
      </c>
      <c r="Z71" s="27">
        <v>1253.0590000000009</v>
      </c>
    </row>
    <row r="72" spans="1:33" s="31" customFormat="1" hidden="1">
      <c r="A72" s="385">
        <f>References!E265</f>
        <v>164</v>
      </c>
      <c r="B72" s="386" t="s">
        <v>36</v>
      </c>
      <c r="C72" s="284">
        <v>2006</v>
      </c>
      <c r="D72" s="31">
        <v>20942.004000000001</v>
      </c>
      <c r="E72" s="27">
        <v>20942.004000000001</v>
      </c>
      <c r="G72" s="27">
        <v>1085.155</v>
      </c>
      <c r="H72" s="31">
        <v>1352.7819999999999</v>
      </c>
      <c r="I72" s="27">
        <v>23379.940999999999</v>
      </c>
      <c r="J72" s="27">
        <v>5919.78</v>
      </c>
      <c r="Q72" s="31">
        <v>0</v>
      </c>
      <c r="S72" s="27">
        <v>13209.800999999999</v>
      </c>
      <c r="T72" s="27">
        <v>10170.14</v>
      </c>
      <c r="U72" s="27">
        <v>4217.8109999999997</v>
      </c>
      <c r="W72" s="31">
        <v>2580.9180000000001</v>
      </c>
      <c r="Z72" s="27">
        <v>2218.6269999999995</v>
      </c>
    </row>
    <row r="73" spans="1:33" s="31" customFormat="1" hidden="1">
      <c r="A73" s="385">
        <f>References!F265</f>
        <v>165</v>
      </c>
      <c r="B73" s="386" t="s">
        <v>36</v>
      </c>
      <c r="C73" s="284">
        <v>2007</v>
      </c>
      <c r="D73" s="31">
        <v>22786.977999999999</v>
      </c>
      <c r="E73" s="27">
        <v>22786.977999999999</v>
      </c>
      <c r="G73" s="27">
        <v>867.78499999999997</v>
      </c>
      <c r="H73" s="31">
        <v>1050.096</v>
      </c>
      <c r="I73" s="27">
        <v>24704.859</v>
      </c>
      <c r="J73" s="27">
        <v>6163.8829999999998</v>
      </c>
      <c r="Q73" s="31">
        <v>0</v>
      </c>
      <c r="S73" s="27">
        <v>15136.999</v>
      </c>
      <c r="T73" s="27">
        <v>9567.86</v>
      </c>
      <c r="U73" s="27">
        <v>4237.9830000000002</v>
      </c>
      <c r="W73" s="31">
        <v>2327.0540000000001</v>
      </c>
      <c r="Z73" s="27">
        <v>1512.3410000000003</v>
      </c>
    </row>
    <row r="74" spans="1:33" s="31" customFormat="1">
      <c r="A74" s="385">
        <f>References!G265</f>
        <v>166</v>
      </c>
      <c r="B74" s="382" t="s">
        <v>36</v>
      </c>
      <c r="C74" s="284">
        <v>2008</v>
      </c>
      <c r="D74" s="91">
        <v>21875</v>
      </c>
      <c r="E74" s="92">
        <v>24733</v>
      </c>
      <c r="F74" s="92">
        <v>676</v>
      </c>
      <c r="G74" s="27">
        <v>0</v>
      </c>
      <c r="H74" s="91">
        <v>502</v>
      </c>
      <c r="I74" s="92">
        <v>25911</v>
      </c>
      <c r="J74" s="92">
        <v>6897</v>
      </c>
      <c r="K74" s="91">
        <v>1602</v>
      </c>
      <c r="L74" s="91">
        <v>1522</v>
      </c>
      <c r="M74" s="91">
        <v>875</v>
      </c>
      <c r="N74" s="91">
        <v>0</v>
      </c>
      <c r="O74" s="31">
        <v>1007</v>
      </c>
      <c r="P74" s="91">
        <v>246</v>
      </c>
      <c r="Q74" s="91"/>
      <c r="R74" s="91">
        <v>0</v>
      </c>
      <c r="S74" s="92">
        <v>5252</v>
      </c>
      <c r="T74" s="27">
        <v>13762</v>
      </c>
      <c r="U74" s="27">
        <v>6064</v>
      </c>
      <c r="V74" s="31">
        <v>7698</v>
      </c>
      <c r="W74" s="31">
        <v>-171</v>
      </c>
      <c r="X74" s="31">
        <v>4394</v>
      </c>
      <c r="Y74" s="31">
        <v>0</v>
      </c>
      <c r="Z74" s="27">
        <v>12263</v>
      </c>
      <c r="AA74" s="31">
        <v>0</v>
      </c>
      <c r="AB74" s="31">
        <v>0</v>
      </c>
      <c r="AC74" s="31">
        <v>0</v>
      </c>
      <c r="AD74" s="31">
        <v>0</v>
      </c>
      <c r="AE74" s="31">
        <v>10020</v>
      </c>
      <c r="AF74" s="92">
        <v>10020</v>
      </c>
      <c r="AG74" s="91">
        <v>532</v>
      </c>
    </row>
    <row r="75" spans="1:33" s="31" customFormat="1">
      <c r="A75" s="385">
        <f>References!H265</f>
        <v>167</v>
      </c>
      <c r="B75" s="382" t="s">
        <v>36</v>
      </c>
      <c r="C75" s="284">
        <v>2009</v>
      </c>
      <c r="D75" s="91">
        <v>23679</v>
      </c>
      <c r="E75" s="92">
        <v>26823</v>
      </c>
      <c r="F75" s="92">
        <v>1015</v>
      </c>
      <c r="G75" s="27">
        <v>0</v>
      </c>
      <c r="H75" s="91">
        <v>501</v>
      </c>
      <c r="I75" s="92">
        <v>28339</v>
      </c>
      <c r="J75" s="92">
        <v>3768</v>
      </c>
      <c r="K75" s="91">
        <v>2210</v>
      </c>
      <c r="L75" s="91">
        <v>1617</v>
      </c>
      <c r="M75" s="91">
        <v>1371</v>
      </c>
      <c r="N75" s="91">
        <v>0</v>
      </c>
      <c r="O75" s="31">
        <v>432</v>
      </c>
      <c r="P75" s="91">
        <v>339</v>
      </c>
      <c r="Q75" s="91"/>
      <c r="R75" s="91">
        <v>0</v>
      </c>
      <c r="S75" s="92">
        <v>5969</v>
      </c>
      <c r="T75" s="27">
        <v>18602</v>
      </c>
      <c r="U75" s="27">
        <v>7151</v>
      </c>
      <c r="V75" s="31">
        <v>11451</v>
      </c>
      <c r="W75" s="31">
        <v>608</v>
      </c>
      <c r="X75" s="31">
        <v>4151</v>
      </c>
      <c r="Y75" s="31">
        <v>0</v>
      </c>
      <c r="Z75" s="27">
        <v>14994</v>
      </c>
      <c r="AA75" s="31">
        <v>0</v>
      </c>
      <c r="AB75" s="31">
        <v>0</v>
      </c>
      <c r="AC75" s="31">
        <v>0</v>
      </c>
      <c r="AD75" s="31">
        <v>0</v>
      </c>
      <c r="AE75" s="31">
        <v>0</v>
      </c>
      <c r="AF75" s="92">
        <v>15854</v>
      </c>
      <c r="AG75" s="91">
        <v>724</v>
      </c>
    </row>
    <row r="76" spans="1:33" s="31" customFormat="1">
      <c r="A76" s="385">
        <f>References!I265</f>
        <v>168</v>
      </c>
      <c r="B76" s="382" t="s">
        <v>36</v>
      </c>
      <c r="C76" s="284">
        <v>2010</v>
      </c>
      <c r="D76" s="91">
        <v>24695.579000000002</v>
      </c>
      <c r="E76" s="92">
        <v>27830.579000000002</v>
      </c>
      <c r="F76" s="92">
        <v>430</v>
      </c>
      <c r="G76" s="27">
        <v>0</v>
      </c>
      <c r="H76" s="91">
        <v>409</v>
      </c>
      <c r="I76" s="92">
        <v>28669.579000000002</v>
      </c>
      <c r="J76" s="92">
        <v>4816</v>
      </c>
      <c r="K76" s="91">
        <v>2388</v>
      </c>
      <c r="L76" s="91">
        <v>1405</v>
      </c>
      <c r="M76" s="91">
        <v>1735</v>
      </c>
      <c r="N76" s="91">
        <v>0</v>
      </c>
      <c r="O76" s="31">
        <v>384</v>
      </c>
      <c r="P76" s="91">
        <v>287</v>
      </c>
      <c r="Q76" s="91"/>
      <c r="R76" s="91">
        <v>0</v>
      </c>
      <c r="S76" s="92">
        <v>6199</v>
      </c>
      <c r="T76" s="27">
        <v>17654.579000000002</v>
      </c>
      <c r="U76" s="27">
        <v>6622</v>
      </c>
      <c r="V76" s="31">
        <v>11032.579</v>
      </c>
      <c r="W76" s="31">
        <v>899.74198000000001</v>
      </c>
      <c r="X76" s="31">
        <v>3094.9661999999998</v>
      </c>
      <c r="Y76" s="31">
        <v>0</v>
      </c>
      <c r="Z76" s="27">
        <v>13227.803</v>
      </c>
      <c r="AA76" s="31">
        <v>842</v>
      </c>
      <c r="AB76" s="31">
        <v>5231</v>
      </c>
      <c r="AC76" s="31">
        <v>3320</v>
      </c>
      <c r="AD76" s="31">
        <v>3825</v>
      </c>
      <c r="AE76" s="31">
        <v>0</v>
      </c>
      <c r="AF76" s="92">
        <v>13218</v>
      </c>
      <c r="AG76" s="91">
        <v>455</v>
      </c>
    </row>
    <row r="77" spans="1:33" s="31" customFormat="1">
      <c r="A77" s="385">
        <f>References!J265</f>
        <v>169</v>
      </c>
      <c r="B77" s="382" t="s">
        <v>36</v>
      </c>
      <c r="C77" s="284">
        <v>2011</v>
      </c>
      <c r="D77" s="91">
        <v>25651</v>
      </c>
      <c r="E77" s="92">
        <v>28836</v>
      </c>
      <c r="F77" s="92">
        <v>795</v>
      </c>
      <c r="G77" s="27">
        <v>0</v>
      </c>
      <c r="H77" s="91">
        <v>659</v>
      </c>
      <c r="I77" s="92">
        <v>30290</v>
      </c>
      <c r="J77" s="92">
        <v>4555</v>
      </c>
      <c r="K77" s="91">
        <v>3029</v>
      </c>
      <c r="L77" s="91">
        <v>1277</v>
      </c>
      <c r="M77" s="91">
        <v>1322</v>
      </c>
      <c r="N77" s="91">
        <v>0</v>
      </c>
      <c r="O77" s="31">
        <v>471</v>
      </c>
      <c r="P77" s="91">
        <v>287</v>
      </c>
      <c r="Q77" s="91"/>
      <c r="R77" s="91">
        <v>0</v>
      </c>
      <c r="S77" s="92">
        <v>6386</v>
      </c>
      <c r="T77" s="27">
        <v>19349</v>
      </c>
      <c r="U77" s="27">
        <v>7791</v>
      </c>
      <c r="V77" s="31">
        <v>11558</v>
      </c>
      <c r="W77" s="31">
        <v>922.37915999999996</v>
      </c>
      <c r="X77" s="31">
        <v>7248.7066000000004</v>
      </c>
      <c r="Y77" s="31">
        <v>0</v>
      </c>
      <c r="Z77" s="27">
        <v>17884.327000000001</v>
      </c>
      <c r="AA77" s="31">
        <v>3265</v>
      </c>
      <c r="AB77" s="31">
        <v>5311</v>
      </c>
      <c r="AC77" s="31">
        <v>908</v>
      </c>
      <c r="AD77" s="31">
        <v>3342</v>
      </c>
      <c r="AE77" s="31">
        <v>0</v>
      </c>
      <c r="AF77" s="92">
        <v>12826</v>
      </c>
      <c r="AG77" s="91">
        <v>3557</v>
      </c>
    </row>
    <row r="78" spans="1:33" s="31" customFormat="1" hidden="1">
      <c r="A78" s="385">
        <f>References!C266</f>
        <v>185</v>
      </c>
      <c r="B78" s="386" t="s">
        <v>37</v>
      </c>
      <c r="C78" s="284">
        <v>2004</v>
      </c>
      <c r="D78" s="31">
        <v>12092</v>
      </c>
      <c r="E78" s="27">
        <v>12092</v>
      </c>
      <c r="G78" s="27">
        <v>493</v>
      </c>
      <c r="H78" s="31">
        <v>152</v>
      </c>
      <c r="I78" s="27">
        <v>12737</v>
      </c>
      <c r="J78" s="27">
        <v>2822</v>
      </c>
      <c r="Q78" s="31">
        <v>493</v>
      </c>
      <c r="S78" s="27">
        <v>5651</v>
      </c>
      <c r="T78" s="27">
        <v>7086</v>
      </c>
      <c r="U78" s="27">
        <v>1590</v>
      </c>
      <c r="W78" s="31">
        <v>1829</v>
      </c>
      <c r="Z78" s="27">
        <v>3665</v>
      </c>
    </row>
    <row r="79" spans="1:33" s="31" customFormat="1" hidden="1">
      <c r="A79" s="385">
        <f>References!D266</f>
        <v>186</v>
      </c>
      <c r="B79" s="386" t="s">
        <v>37</v>
      </c>
      <c r="C79" s="284">
        <v>2005</v>
      </c>
      <c r="D79" s="31">
        <v>12779</v>
      </c>
      <c r="E79" s="27">
        <v>12779</v>
      </c>
      <c r="G79" s="27">
        <v>258</v>
      </c>
      <c r="H79" s="31">
        <v>261</v>
      </c>
      <c r="I79" s="27">
        <v>13298</v>
      </c>
      <c r="J79" s="27">
        <v>3182</v>
      </c>
      <c r="Q79" s="31">
        <v>258</v>
      </c>
      <c r="S79" s="27">
        <v>5611</v>
      </c>
      <c r="T79" s="27">
        <v>7687</v>
      </c>
      <c r="U79" s="27">
        <v>1763</v>
      </c>
      <c r="W79" s="31">
        <v>1874</v>
      </c>
      <c r="Z79" s="27">
        <v>4050</v>
      </c>
    </row>
    <row r="80" spans="1:33" s="31" customFormat="1" hidden="1">
      <c r="A80" s="385">
        <f>References!E266</f>
        <v>187</v>
      </c>
      <c r="B80" s="386" t="s">
        <v>37</v>
      </c>
      <c r="C80" s="284">
        <v>2006</v>
      </c>
      <c r="D80" s="31">
        <v>12980</v>
      </c>
      <c r="E80" s="27">
        <v>12980</v>
      </c>
      <c r="G80" s="27">
        <v>556</v>
      </c>
      <c r="H80" s="31">
        <v>321</v>
      </c>
      <c r="I80" s="27">
        <v>13857</v>
      </c>
      <c r="J80" s="27">
        <v>3258</v>
      </c>
      <c r="Q80" s="31">
        <v>556</v>
      </c>
      <c r="S80" s="27">
        <v>6297</v>
      </c>
      <c r="T80" s="27">
        <v>7560</v>
      </c>
      <c r="U80" s="27">
        <v>1779</v>
      </c>
      <c r="W80" s="31">
        <v>1940</v>
      </c>
      <c r="Z80" s="27">
        <v>3841</v>
      </c>
    </row>
    <row r="81" spans="1:33" s="31" customFormat="1" hidden="1">
      <c r="A81" s="385">
        <f>References!F266</f>
        <v>188</v>
      </c>
      <c r="B81" s="386" t="s">
        <v>37</v>
      </c>
      <c r="C81" s="284">
        <v>2007</v>
      </c>
      <c r="D81" s="31">
        <v>14077</v>
      </c>
      <c r="E81" s="27">
        <v>14077</v>
      </c>
      <c r="G81" s="27">
        <v>445</v>
      </c>
      <c r="H81" s="31">
        <v>561</v>
      </c>
      <c r="I81" s="27">
        <v>15083</v>
      </c>
      <c r="J81" s="27">
        <v>3914</v>
      </c>
      <c r="Q81" s="31">
        <v>445</v>
      </c>
      <c r="S81" s="27">
        <v>7425</v>
      </c>
      <c r="T81" s="27">
        <v>7658</v>
      </c>
      <c r="U81" s="27">
        <v>1860</v>
      </c>
      <c r="W81" s="31">
        <v>1915</v>
      </c>
      <c r="Z81" s="27">
        <v>3883</v>
      </c>
    </row>
    <row r="82" spans="1:33" s="31" customFormat="1">
      <c r="A82" s="385">
        <f>References!G266</f>
        <v>189</v>
      </c>
      <c r="B82" s="382" t="s">
        <v>37</v>
      </c>
      <c r="C82" s="284">
        <v>2008</v>
      </c>
      <c r="D82" s="91">
        <v>13817</v>
      </c>
      <c r="E82" s="92">
        <v>13817</v>
      </c>
      <c r="F82" s="92">
        <v>28</v>
      </c>
      <c r="G82" s="27">
        <v>0</v>
      </c>
      <c r="H82" s="91">
        <v>320</v>
      </c>
      <c r="I82" s="92">
        <v>14165</v>
      </c>
      <c r="J82" s="92">
        <v>3385</v>
      </c>
      <c r="K82" s="91">
        <v>0</v>
      </c>
      <c r="L82" s="91">
        <v>0</v>
      </c>
      <c r="M82" s="91">
        <v>0</v>
      </c>
      <c r="N82" s="91">
        <v>0</v>
      </c>
      <c r="O82" s="31">
        <v>0</v>
      </c>
      <c r="P82" s="91">
        <v>0</v>
      </c>
      <c r="Q82" s="91"/>
      <c r="R82" s="91">
        <v>0</v>
      </c>
      <c r="S82" s="92">
        <v>3325</v>
      </c>
      <c r="T82" s="27">
        <v>7455</v>
      </c>
      <c r="U82" s="27">
        <v>2004</v>
      </c>
      <c r="V82" s="31">
        <v>5451</v>
      </c>
      <c r="W82" s="31">
        <v>1266.5545999999999</v>
      </c>
      <c r="X82" s="31">
        <v>1674.6043</v>
      </c>
      <c r="Y82" s="31">
        <v>0</v>
      </c>
      <c r="Z82" s="27">
        <v>5859.0496999999996</v>
      </c>
      <c r="AA82" s="31">
        <v>0</v>
      </c>
      <c r="AB82" s="31">
        <v>0</v>
      </c>
      <c r="AC82" s="31">
        <v>0</v>
      </c>
      <c r="AD82" s="31">
        <v>0</v>
      </c>
      <c r="AE82" s="31">
        <v>2602</v>
      </c>
      <c r="AF82" s="92">
        <v>2602</v>
      </c>
      <c r="AG82" s="91">
        <v>110</v>
      </c>
    </row>
    <row r="83" spans="1:33" s="31" customFormat="1">
      <c r="A83" s="385">
        <f>References!H266</f>
        <v>190</v>
      </c>
      <c r="B83" s="382" t="s">
        <v>37</v>
      </c>
      <c r="C83" s="284">
        <v>2009</v>
      </c>
      <c r="D83" s="91">
        <v>14609</v>
      </c>
      <c r="E83" s="92">
        <v>14609</v>
      </c>
      <c r="F83" s="92">
        <v>113</v>
      </c>
      <c r="G83" s="27">
        <v>0</v>
      </c>
      <c r="H83" s="91">
        <v>84</v>
      </c>
      <c r="I83" s="92">
        <v>14806</v>
      </c>
      <c r="J83" s="92">
        <v>3895</v>
      </c>
      <c r="K83" s="91">
        <v>0</v>
      </c>
      <c r="L83" s="91">
        <v>0</v>
      </c>
      <c r="M83" s="91">
        <v>0</v>
      </c>
      <c r="N83" s="91">
        <v>0</v>
      </c>
      <c r="O83" s="31">
        <v>0</v>
      </c>
      <c r="P83" s="91">
        <v>0</v>
      </c>
      <c r="Q83" s="91"/>
      <c r="R83" s="91">
        <v>0</v>
      </c>
      <c r="S83" s="92">
        <v>3774</v>
      </c>
      <c r="T83" s="27">
        <v>7137</v>
      </c>
      <c r="U83" s="27">
        <v>2235</v>
      </c>
      <c r="V83" s="31">
        <v>4902</v>
      </c>
      <c r="W83" s="31">
        <v>1047.8253</v>
      </c>
      <c r="X83" s="31">
        <v>1537.1784</v>
      </c>
      <c r="Y83" s="31">
        <v>0</v>
      </c>
      <c r="Z83" s="27">
        <v>5391.3531999999996</v>
      </c>
      <c r="AA83" s="31">
        <v>0</v>
      </c>
      <c r="AB83" s="31">
        <v>0</v>
      </c>
      <c r="AC83" s="31">
        <v>0</v>
      </c>
      <c r="AD83" s="31">
        <v>0</v>
      </c>
      <c r="AE83" s="31">
        <v>0</v>
      </c>
      <c r="AF83" s="92">
        <v>2872</v>
      </c>
      <c r="AG83" s="91">
        <v>78</v>
      </c>
    </row>
    <row r="84" spans="1:33" s="31" customFormat="1">
      <c r="A84" s="385">
        <f>References!I266</f>
        <v>191</v>
      </c>
      <c r="B84" s="382" t="s">
        <v>37</v>
      </c>
      <c r="C84" s="284">
        <v>2010</v>
      </c>
      <c r="D84" s="91">
        <v>15340</v>
      </c>
      <c r="E84" s="92">
        <v>15340</v>
      </c>
      <c r="F84" s="92">
        <v>134</v>
      </c>
      <c r="G84" s="27">
        <v>0</v>
      </c>
      <c r="H84" s="91">
        <v>86</v>
      </c>
      <c r="I84" s="92">
        <v>15560</v>
      </c>
      <c r="J84" s="92">
        <v>4032</v>
      </c>
      <c r="K84" s="91">
        <v>1873</v>
      </c>
      <c r="L84" s="91">
        <v>993</v>
      </c>
      <c r="M84" s="91">
        <v>439</v>
      </c>
      <c r="N84" s="91">
        <v>280</v>
      </c>
      <c r="O84" s="31">
        <v>414</v>
      </c>
      <c r="P84" s="91">
        <v>127</v>
      </c>
      <c r="Q84" s="91"/>
      <c r="R84" s="91">
        <v>292</v>
      </c>
      <c r="S84" s="92">
        <v>4418</v>
      </c>
      <c r="T84" s="27">
        <v>7110</v>
      </c>
      <c r="U84" s="27">
        <v>2246</v>
      </c>
      <c r="V84" s="31">
        <v>4864</v>
      </c>
      <c r="W84" s="31">
        <v>1077.5268000000001</v>
      </c>
      <c r="X84" s="31">
        <v>1110.6701</v>
      </c>
      <c r="Y84" s="31">
        <v>0</v>
      </c>
      <c r="Z84" s="27">
        <v>4897.1432999999997</v>
      </c>
      <c r="AA84" s="31">
        <v>239</v>
      </c>
      <c r="AB84" s="31">
        <v>41</v>
      </c>
      <c r="AC84" s="31">
        <v>1503</v>
      </c>
      <c r="AD84" s="31">
        <v>686</v>
      </c>
      <c r="AE84" s="31">
        <v>0</v>
      </c>
      <c r="AF84" s="92">
        <v>2469</v>
      </c>
      <c r="AG84" s="91">
        <v>309</v>
      </c>
    </row>
    <row r="85" spans="1:33" s="31" customFormat="1">
      <c r="A85" s="385">
        <f>References!J266</f>
        <v>192</v>
      </c>
      <c r="B85" s="382" t="s">
        <v>37</v>
      </c>
      <c r="C85" s="284">
        <v>2011</v>
      </c>
      <c r="D85" s="91">
        <v>16254</v>
      </c>
      <c r="E85" s="92">
        <v>16254</v>
      </c>
      <c r="F85" s="92">
        <v>41</v>
      </c>
      <c r="G85" s="27">
        <v>0</v>
      </c>
      <c r="H85" s="91">
        <v>86</v>
      </c>
      <c r="I85" s="92">
        <v>16381</v>
      </c>
      <c r="J85" s="92">
        <v>4338</v>
      </c>
      <c r="K85" s="91">
        <v>2002</v>
      </c>
      <c r="L85" s="91">
        <v>1081</v>
      </c>
      <c r="M85" s="91">
        <v>565</v>
      </c>
      <c r="N85" s="91">
        <v>253</v>
      </c>
      <c r="O85" s="31">
        <v>464</v>
      </c>
      <c r="P85" s="91">
        <v>145</v>
      </c>
      <c r="Q85" s="91"/>
      <c r="R85" s="91">
        <v>222</v>
      </c>
      <c r="S85" s="92">
        <v>4732</v>
      </c>
      <c r="T85" s="27">
        <v>7311</v>
      </c>
      <c r="U85" s="27">
        <v>2439</v>
      </c>
      <c r="V85" s="31">
        <v>4872</v>
      </c>
      <c r="W85" s="31">
        <v>1000.9333</v>
      </c>
      <c r="X85" s="31">
        <v>2515.4398999999999</v>
      </c>
      <c r="Y85" s="31">
        <v>0</v>
      </c>
      <c r="Z85" s="27">
        <v>6386.5065999999997</v>
      </c>
      <c r="AA85" s="31">
        <v>378</v>
      </c>
      <c r="AB85" s="31">
        <v>78</v>
      </c>
      <c r="AC85" s="31">
        <v>1523</v>
      </c>
      <c r="AD85" s="31">
        <v>1393</v>
      </c>
      <c r="AE85" s="31">
        <v>4</v>
      </c>
      <c r="AF85" s="92">
        <v>3376</v>
      </c>
      <c r="AG85" s="91">
        <v>496</v>
      </c>
    </row>
    <row r="86" spans="1:33" s="31" customFormat="1" hidden="1">
      <c r="A86" s="385">
        <f>References!C267</f>
        <v>208</v>
      </c>
      <c r="B86" s="386" t="s">
        <v>38</v>
      </c>
      <c r="C86" s="284">
        <v>2004</v>
      </c>
      <c r="D86" s="31">
        <v>21674</v>
      </c>
      <c r="E86" s="27">
        <v>21674</v>
      </c>
      <c r="G86" s="27">
        <v>503</v>
      </c>
      <c r="H86" s="31">
        <v>1656</v>
      </c>
      <c r="I86" s="27">
        <v>23833</v>
      </c>
      <c r="J86" s="27">
        <v>7318</v>
      </c>
      <c r="Q86" s="31">
        <v>246</v>
      </c>
      <c r="S86" s="27">
        <v>10791</v>
      </c>
      <c r="T86" s="27">
        <v>13042</v>
      </c>
      <c r="U86" s="27">
        <v>2317</v>
      </c>
      <c r="W86" s="31">
        <v>3018</v>
      </c>
      <c r="Z86" s="27">
        <v>5566</v>
      </c>
    </row>
    <row r="87" spans="1:33" s="31" customFormat="1" hidden="1">
      <c r="A87" s="385">
        <f>References!D267</f>
        <v>209</v>
      </c>
      <c r="B87" s="386" t="s">
        <v>38</v>
      </c>
      <c r="C87" s="284">
        <v>2005</v>
      </c>
      <c r="D87" s="31">
        <v>23187</v>
      </c>
      <c r="E87" s="27">
        <v>23187</v>
      </c>
      <c r="G87" s="27">
        <v>203</v>
      </c>
      <c r="H87" s="31">
        <v>291</v>
      </c>
      <c r="I87" s="27">
        <v>23681</v>
      </c>
      <c r="J87" s="27">
        <v>7878</v>
      </c>
      <c r="Q87" s="31">
        <v>89</v>
      </c>
      <c r="S87" s="27">
        <v>12092</v>
      </c>
      <c r="T87" s="27">
        <v>11589</v>
      </c>
      <c r="U87" s="27">
        <v>2895</v>
      </c>
      <c r="W87" s="31">
        <v>2812</v>
      </c>
      <c r="Z87" s="27">
        <v>3835</v>
      </c>
    </row>
    <row r="88" spans="1:33" s="31" customFormat="1" hidden="1">
      <c r="A88" s="385">
        <f>References!E267</f>
        <v>210</v>
      </c>
      <c r="B88" s="386" t="s">
        <v>38</v>
      </c>
      <c r="C88" s="284">
        <v>2006</v>
      </c>
      <c r="D88" s="31">
        <v>23682</v>
      </c>
      <c r="E88" s="27">
        <v>23682</v>
      </c>
      <c r="G88" s="27">
        <v>335</v>
      </c>
      <c r="H88" s="31">
        <v>838</v>
      </c>
      <c r="I88" s="27">
        <v>24855</v>
      </c>
      <c r="J88" s="27">
        <v>7899</v>
      </c>
      <c r="Q88" s="31">
        <v>214</v>
      </c>
      <c r="S88" s="27">
        <v>11010</v>
      </c>
      <c r="T88" s="27">
        <v>13845</v>
      </c>
      <c r="U88" s="27">
        <v>2983</v>
      </c>
      <c r="W88" s="31">
        <v>3372</v>
      </c>
      <c r="Z88" s="27">
        <v>5386</v>
      </c>
    </row>
    <row r="89" spans="1:33" s="31" customFormat="1" hidden="1">
      <c r="A89" s="385">
        <f>References!F267</f>
        <v>211</v>
      </c>
      <c r="B89" s="386" t="s">
        <v>38</v>
      </c>
      <c r="C89" s="284">
        <v>2007</v>
      </c>
      <c r="D89" s="31">
        <v>23935</v>
      </c>
      <c r="E89" s="27">
        <v>23935</v>
      </c>
      <c r="G89" s="27">
        <v>264</v>
      </c>
      <c r="H89" s="31">
        <v>1308</v>
      </c>
      <c r="I89" s="27">
        <v>25507</v>
      </c>
      <c r="J89" s="27">
        <v>9056</v>
      </c>
      <c r="Q89" s="31">
        <v>169</v>
      </c>
      <c r="S89" s="27">
        <v>15125</v>
      </c>
      <c r="T89" s="27">
        <v>10382</v>
      </c>
      <c r="U89" s="27">
        <v>3027</v>
      </c>
      <c r="W89" s="31">
        <v>2193</v>
      </c>
      <c r="Z89" s="27">
        <v>3033</v>
      </c>
    </row>
    <row r="90" spans="1:33" s="31" customFormat="1">
      <c r="A90" s="385">
        <f>References!G267</f>
        <v>212</v>
      </c>
      <c r="B90" s="382" t="s">
        <v>38</v>
      </c>
      <c r="C90" s="284">
        <v>2008</v>
      </c>
      <c r="D90" s="91">
        <v>25202.455999999998</v>
      </c>
      <c r="E90" s="92">
        <v>25202.455999999998</v>
      </c>
      <c r="F90" s="92">
        <v>1063.9018000000001</v>
      </c>
      <c r="G90" s="27">
        <v>23.81795</v>
      </c>
      <c r="H90" s="91">
        <v>168.53121999999999</v>
      </c>
      <c r="I90" s="92">
        <v>26458.706999999999</v>
      </c>
      <c r="J90" s="92">
        <v>7657.0171</v>
      </c>
      <c r="K90" s="91">
        <v>0</v>
      </c>
      <c r="L90" s="91">
        <v>0</v>
      </c>
      <c r="M90" s="91">
        <v>0</v>
      </c>
      <c r="N90" s="91">
        <v>0</v>
      </c>
      <c r="O90" s="31">
        <v>0</v>
      </c>
      <c r="P90" s="91">
        <v>169.52923999999999</v>
      </c>
      <c r="Q90" s="91"/>
      <c r="R90" s="91">
        <v>0</v>
      </c>
      <c r="S90" s="92">
        <v>6458.5614999999998</v>
      </c>
      <c r="T90" s="27">
        <v>12343.129000000001</v>
      </c>
      <c r="U90" s="27">
        <v>4108.9247999999998</v>
      </c>
      <c r="V90" s="31">
        <v>8234.2037999999993</v>
      </c>
      <c r="W90" s="31">
        <v>2189.6614</v>
      </c>
      <c r="X90" s="31">
        <v>2733.3510999999999</v>
      </c>
      <c r="Y90" s="31">
        <v>0</v>
      </c>
      <c r="Z90" s="27">
        <v>8777.8934000000008</v>
      </c>
      <c r="AA90" s="31">
        <v>0</v>
      </c>
      <c r="AB90" s="31">
        <v>0</v>
      </c>
      <c r="AC90" s="31">
        <v>0</v>
      </c>
      <c r="AD90" s="31">
        <v>0</v>
      </c>
      <c r="AE90" s="31">
        <v>2799</v>
      </c>
      <c r="AF90" s="92">
        <v>2799</v>
      </c>
      <c r="AG90" s="91">
        <v>188</v>
      </c>
    </row>
    <row r="91" spans="1:33" s="31" customFormat="1">
      <c r="A91" s="385">
        <f>References!H267</f>
        <v>213</v>
      </c>
      <c r="B91" s="382" t="s">
        <v>38</v>
      </c>
      <c r="C91" s="284">
        <v>2009</v>
      </c>
      <c r="D91" s="91">
        <v>26297.562000000002</v>
      </c>
      <c r="E91" s="92">
        <v>26297.562000000002</v>
      </c>
      <c r="F91" s="92">
        <v>719.16278</v>
      </c>
      <c r="G91" s="27">
        <v>121.01976999999999</v>
      </c>
      <c r="H91" s="91">
        <v>1601.9346</v>
      </c>
      <c r="I91" s="92">
        <v>28739.679</v>
      </c>
      <c r="J91" s="92">
        <v>7495.4341000000004</v>
      </c>
      <c r="K91" s="91">
        <v>0</v>
      </c>
      <c r="L91" s="91">
        <v>0</v>
      </c>
      <c r="M91" s="91">
        <v>0</v>
      </c>
      <c r="N91" s="91">
        <v>0</v>
      </c>
      <c r="O91" s="31">
        <v>0</v>
      </c>
      <c r="P91" s="91">
        <v>164.98112</v>
      </c>
      <c r="Q91" s="91"/>
      <c r="R91" s="91">
        <v>0</v>
      </c>
      <c r="S91" s="92">
        <v>7002.9490999999998</v>
      </c>
      <c r="T91" s="27">
        <v>14241.296</v>
      </c>
      <c r="U91" s="27">
        <v>3979.0011</v>
      </c>
      <c r="V91" s="31">
        <v>10262.295</v>
      </c>
      <c r="W91" s="31">
        <v>1926.6324999999999</v>
      </c>
      <c r="X91" s="31">
        <v>2543.4920999999999</v>
      </c>
      <c r="Y91" s="31">
        <v>0</v>
      </c>
      <c r="Z91" s="27">
        <v>10879.154</v>
      </c>
      <c r="AA91" s="31">
        <v>0</v>
      </c>
      <c r="AB91" s="31">
        <v>0</v>
      </c>
      <c r="AC91" s="31">
        <v>0</v>
      </c>
      <c r="AD91" s="31">
        <v>0</v>
      </c>
      <c r="AE91" s="31">
        <v>2978</v>
      </c>
      <c r="AF91" s="92">
        <v>2978</v>
      </c>
      <c r="AG91" s="91">
        <v>223</v>
      </c>
    </row>
    <row r="92" spans="1:33" s="31" customFormat="1">
      <c r="A92" s="385">
        <f>References!I267</f>
        <v>214</v>
      </c>
      <c r="B92" s="382" t="s">
        <v>38</v>
      </c>
      <c r="C92" s="284">
        <v>2010</v>
      </c>
      <c r="D92" s="91">
        <v>26990.755000000001</v>
      </c>
      <c r="E92" s="92">
        <v>26990.755000000001</v>
      </c>
      <c r="F92" s="92">
        <v>591.66726000000006</v>
      </c>
      <c r="G92" s="27">
        <v>0</v>
      </c>
      <c r="H92" s="91">
        <v>179.54265000000001</v>
      </c>
      <c r="I92" s="92">
        <v>27761.965</v>
      </c>
      <c r="J92" s="92">
        <v>7324.3069999999998</v>
      </c>
      <c r="K92" s="91">
        <v>2990.9521</v>
      </c>
      <c r="L92" s="91">
        <v>1656.5643</v>
      </c>
      <c r="M92" s="91">
        <v>1208.0398</v>
      </c>
      <c r="N92" s="91">
        <v>227.76291000000001</v>
      </c>
      <c r="O92" s="31">
        <v>622.35839999999996</v>
      </c>
      <c r="P92" s="91">
        <v>159.93548000000001</v>
      </c>
      <c r="Q92" s="91"/>
      <c r="R92" s="91">
        <v>0</v>
      </c>
      <c r="S92" s="92">
        <v>6865.6130000000003</v>
      </c>
      <c r="T92" s="27">
        <v>13572.045</v>
      </c>
      <c r="U92" s="27">
        <v>3656.3263000000002</v>
      </c>
      <c r="V92" s="31">
        <v>9915.7181999999993</v>
      </c>
      <c r="W92" s="31">
        <v>2445.7523000000001</v>
      </c>
      <c r="X92" s="31">
        <v>1784.223</v>
      </c>
      <c r="Y92" s="31">
        <v>0</v>
      </c>
      <c r="Z92" s="27">
        <v>9254.1890000000003</v>
      </c>
      <c r="AA92" s="31">
        <v>269.55468000000002</v>
      </c>
      <c r="AB92" s="31">
        <v>24.298999999999999</v>
      </c>
      <c r="AC92" s="31">
        <v>1170.3407999999999</v>
      </c>
      <c r="AD92" s="31">
        <v>1974.6845000000001</v>
      </c>
      <c r="AE92" s="31">
        <v>0</v>
      </c>
      <c r="AF92" s="92">
        <v>3438.8789999999999</v>
      </c>
      <c r="AG92" s="91">
        <v>108.3265</v>
      </c>
    </row>
    <row r="93" spans="1:33" s="31" customFormat="1">
      <c r="A93" s="385">
        <f>References!J267</f>
        <v>215</v>
      </c>
      <c r="B93" s="382" t="s">
        <v>38</v>
      </c>
      <c r="C93" s="284">
        <v>2011</v>
      </c>
      <c r="D93" s="91">
        <v>27462.531999999999</v>
      </c>
      <c r="E93" s="92">
        <v>27462.531999999999</v>
      </c>
      <c r="F93" s="92">
        <v>1139.837</v>
      </c>
      <c r="G93" s="27">
        <v>0</v>
      </c>
      <c r="H93" s="91">
        <v>13.23921</v>
      </c>
      <c r="I93" s="92">
        <v>28615.608</v>
      </c>
      <c r="J93" s="92">
        <v>7884.2341999999999</v>
      </c>
      <c r="K93" s="91">
        <v>2863.7143999999998</v>
      </c>
      <c r="L93" s="91">
        <v>1728.7253000000001</v>
      </c>
      <c r="M93" s="91">
        <v>1146.8359</v>
      </c>
      <c r="N93" s="91">
        <v>188.9897</v>
      </c>
      <c r="O93" s="31">
        <v>698.87699999999995</v>
      </c>
      <c r="P93" s="91">
        <v>204.94739000000001</v>
      </c>
      <c r="Q93" s="91"/>
      <c r="R93" s="91">
        <v>0</v>
      </c>
      <c r="S93" s="92">
        <v>6832.0897000000004</v>
      </c>
      <c r="T93" s="27">
        <v>13899.284</v>
      </c>
      <c r="U93" s="27">
        <v>4096.5924999999997</v>
      </c>
      <c r="V93" s="31">
        <v>9802.6915000000008</v>
      </c>
      <c r="W93" s="31">
        <v>2370.2152000000001</v>
      </c>
      <c r="X93" s="31">
        <v>3950.9270999999999</v>
      </c>
      <c r="Y93" s="31">
        <v>160.59215</v>
      </c>
      <c r="Z93" s="27">
        <v>11543.995999999999</v>
      </c>
      <c r="AA93" s="31">
        <v>460.64332000000002</v>
      </c>
      <c r="AB93" s="31">
        <v>351.08485999999999</v>
      </c>
      <c r="AC93" s="31">
        <v>3487.6961000000001</v>
      </c>
      <c r="AD93" s="31">
        <v>1487.5572</v>
      </c>
      <c r="AE93" s="31">
        <v>135.25012000000001</v>
      </c>
      <c r="AF93" s="92">
        <v>5922.2316000000001</v>
      </c>
      <c r="AG93" s="91">
        <v>86.039720000000003</v>
      </c>
    </row>
    <row r="94" spans="1:33" s="31" customFormat="1" hidden="1">
      <c r="A94" s="385">
        <f>References!C268</f>
        <v>231</v>
      </c>
      <c r="B94" s="386" t="s">
        <v>39</v>
      </c>
      <c r="C94" s="284">
        <v>2004</v>
      </c>
      <c r="D94" s="31">
        <v>24451</v>
      </c>
      <c r="E94" s="27">
        <v>24451</v>
      </c>
      <c r="G94" s="27">
        <v>608</v>
      </c>
      <c r="H94" s="31">
        <v>3891</v>
      </c>
      <c r="I94" s="27">
        <v>28950</v>
      </c>
      <c r="J94" s="27">
        <v>6290</v>
      </c>
      <c r="Q94" s="31">
        <v>0</v>
      </c>
      <c r="S94" s="27">
        <v>18551</v>
      </c>
      <c r="T94" s="27">
        <v>10399</v>
      </c>
      <c r="U94" s="27">
        <v>4427</v>
      </c>
      <c r="W94" s="31">
        <v>1181</v>
      </c>
      <c r="Z94" s="27">
        <v>4791</v>
      </c>
    </row>
    <row r="95" spans="1:33" s="31" customFormat="1" hidden="1">
      <c r="A95" s="385">
        <f>References!D268</f>
        <v>232</v>
      </c>
      <c r="B95" s="386" t="s">
        <v>39</v>
      </c>
      <c r="C95" s="284">
        <v>2005</v>
      </c>
      <c r="D95" s="31">
        <v>26461</v>
      </c>
      <c r="E95" s="27">
        <v>26461</v>
      </c>
      <c r="G95" s="27">
        <v>382</v>
      </c>
      <c r="H95" s="31">
        <v>4154</v>
      </c>
      <c r="I95" s="27">
        <v>30997</v>
      </c>
      <c r="J95" s="27">
        <v>6886</v>
      </c>
      <c r="Q95" s="31">
        <v>0</v>
      </c>
      <c r="S95" s="27">
        <v>20518</v>
      </c>
      <c r="T95" s="27">
        <v>10479</v>
      </c>
      <c r="U95" s="27">
        <v>5409</v>
      </c>
      <c r="W95" s="31">
        <v>989</v>
      </c>
      <c r="Z95" s="27">
        <v>4081</v>
      </c>
    </row>
    <row r="96" spans="1:33" s="31" customFormat="1" hidden="1">
      <c r="A96" s="385">
        <f>References!E268</f>
        <v>233</v>
      </c>
      <c r="B96" s="386" t="s">
        <v>39</v>
      </c>
      <c r="C96" s="284">
        <v>2006</v>
      </c>
      <c r="D96" s="31">
        <v>26911</v>
      </c>
      <c r="E96" s="27">
        <v>26911</v>
      </c>
      <c r="G96" s="27">
        <v>853</v>
      </c>
      <c r="H96" s="31">
        <v>4334</v>
      </c>
      <c r="I96" s="27">
        <v>32098</v>
      </c>
      <c r="J96" s="27">
        <v>6796</v>
      </c>
      <c r="Q96" s="31">
        <v>0</v>
      </c>
      <c r="S96" s="27">
        <v>19640</v>
      </c>
      <c r="T96" s="27">
        <v>12458</v>
      </c>
      <c r="U96" s="27">
        <v>5773</v>
      </c>
      <c r="W96" s="31">
        <v>1430</v>
      </c>
      <c r="Z96" s="27">
        <v>5251</v>
      </c>
    </row>
    <row r="97" spans="1:33" s="31" customFormat="1" hidden="1">
      <c r="A97" s="385">
        <f>References!F268</f>
        <v>234</v>
      </c>
      <c r="B97" s="386" t="s">
        <v>39</v>
      </c>
      <c r="C97" s="284">
        <v>2007</v>
      </c>
      <c r="D97" s="31">
        <v>27453</v>
      </c>
      <c r="E97" s="27">
        <v>27453</v>
      </c>
      <c r="G97" s="27">
        <v>651</v>
      </c>
      <c r="H97" s="31">
        <v>4380</v>
      </c>
      <c r="I97" s="27">
        <v>32484</v>
      </c>
      <c r="J97" s="27">
        <v>7404</v>
      </c>
      <c r="Q97" s="31">
        <v>0</v>
      </c>
      <c r="S97" s="27">
        <v>21228</v>
      </c>
      <c r="T97" s="27">
        <v>11256</v>
      </c>
      <c r="U97" s="27">
        <v>6184</v>
      </c>
      <c r="W97" s="31">
        <v>780</v>
      </c>
      <c r="Z97" s="27">
        <v>4288</v>
      </c>
    </row>
    <row r="98" spans="1:33" s="31" customFormat="1">
      <c r="A98" s="385">
        <f>References!G268</f>
        <v>235</v>
      </c>
      <c r="B98" s="382" t="s">
        <v>39</v>
      </c>
      <c r="C98" s="284">
        <v>2008</v>
      </c>
      <c r="D98" s="91">
        <v>31205</v>
      </c>
      <c r="E98" s="92">
        <v>31205</v>
      </c>
      <c r="F98" s="92">
        <v>5021</v>
      </c>
      <c r="G98" s="27">
        <v>461</v>
      </c>
      <c r="H98" s="91">
        <v>10</v>
      </c>
      <c r="I98" s="92">
        <v>36697</v>
      </c>
      <c r="J98" s="92">
        <v>7951</v>
      </c>
      <c r="K98" s="91">
        <v>0</v>
      </c>
      <c r="L98" s="91">
        <v>0</v>
      </c>
      <c r="M98" s="91">
        <v>0</v>
      </c>
      <c r="N98" s="91">
        <v>0</v>
      </c>
      <c r="O98" s="31">
        <v>0</v>
      </c>
      <c r="P98" s="91">
        <v>0</v>
      </c>
      <c r="Q98" s="91"/>
      <c r="R98" s="91">
        <v>0</v>
      </c>
      <c r="S98" s="92">
        <v>7096</v>
      </c>
      <c r="T98" s="27">
        <v>21650</v>
      </c>
      <c r="U98" s="27">
        <v>6240</v>
      </c>
      <c r="V98" s="31">
        <v>15410</v>
      </c>
      <c r="W98" s="31">
        <v>2067.3850000000002</v>
      </c>
      <c r="X98" s="31">
        <v>4931.4665999999997</v>
      </c>
      <c r="Y98" s="31">
        <v>0</v>
      </c>
      <c r="Z98" s="27">
        <v>18274.081999999999</v>
      </c>
      <c r="AA98" s="31">
        <v>0</v>
      </c>
      <c r="AB98" s="31">
        <v>14057</v>
      </c>
      <c r="AC98" s="31">
        <v>0</v>
      </c>
      <c r="AD98" s="31">
        <v>0</v>
      </c>
      <c r="AE98" s="31">
        <v>0</v>
      </c>
      <c r="AF98" s="92">
        <v>14057</v>
      </c>
      <c r="AG98" s="91">
        <v>268</v>
      </c>
    </row>
    <row r="99" spans="1:33" s="31" customFormat="1">
      <c r="A99" s="385">
        <f>References!H268</f>
        <v>236</v>
      </c>
      <c r="B99" s="382" t="s">
        <v>39</v>
      </c>
      <c r="C99" s="284">
        <v>2009</v>
      </c>
      <c r="D99" s="91">
        <v>34329</v>
      </c>
      <c r="E99" s="92">
        <v>34329</v>
      </c>
      <c r="F99" s="92">
        <v>5158</v>
      </c>
      <c r="G99" s="27">
        <v>1551</v>
      </c>
      <c r="H99" s="91">
        <v>11</v>
      </c>
      <c r="I99" s="92">
        <v>41049</v>
      </c>
      <c r="J99" s="92">
        <v>9010</v>
      </c>
      <c r="K99" s="91">
        <v>5332</v>
      </c>
      <c r="L99" s="91">
        <v>0</v>
      </c>
      <c r="M99" s="91">
        <v>3613</v>
      </c>
      <c r="N99" s="91">
        <v>0</v>
      </c>
      <c r="O99" s="31">
        <v>0</v>
      </c>
      <c r="P99" s="91">
        <v>0</v>
      </c>
      <c r="Q99" s="91"/>
      <c r="R99" s="91">
        <v>0</v>
      </c>
      <c r="S99" s="92">
        <v>8945</v>
      </c>
      <c r="T99" s="27">
        <v>23094</v>
      </c>
      <c r="U99" s="27">
        <v>6701</v>
      </c>
      <c r="V99" s="31">
        <v>16393</v>
      </c>
      <c r="W99" s="31">
        <v>1889.2081000000001</v>
      </c>
      <c r="X99" s="31">
        <v>4738.8735999999999</v>
      </c>
      <c r="Y99" s="31">
        <v>0</v>
      </c>
      <c r="Z99" s="27">
        <v>19242.665000000001</v>
      </c>
      <c r="AA99" s="31">
        <v>0</v>
      </c>
      <c r="AB99" s="31">
        <v>15173</v>
      </c>
      <c r="AC99" s="31">
        <v>0</v>
      </c>
      <c r="AD99" s="31">
        <v>0</v>
      </c>
      <c r="AE99" s="31">
        <v>0</v>
      </c>
      <c r="AF99" s="92">
        <v>15173</v>
      </c>
      <c r="AG99" s="91">
        <v>364</v>
      </c>
    </row>
    <row r="100" spans="1:33" s="31" customFormat="1">
      <c r="A100" s="385">
        <f>References!I268</f>
        <v>237</v>
      </c>
      <c r="B100" s="382" t="s">
        <v>39</v>
      </c>
      <c r="C100" s="284">
        <v>2010</v>
      </c>
      <c r="D100" s="91">
        <v>35196</v>
      </c>
      <c r="E100" s="92">
        <v>35196</v>
      </c>
      <c r="F100" s="92">
        <v>3711</v>
      </c>
      <c r="G100" s="27">
        <v>376</v>
      </c>
      <c r="H100" s="91">
        <v>31</v>
      </c>
      <c r="I100" s="92">
        <v>39314</v>
      </c>
      <c r="J100" s="92">
        <v>9788</v>
      </c>
      <c r="K100" s="91">
        <v>5204</v>
      </c>
      <c r="L100" s="91">
        <v>0</v>
      </c>
      <c r="M100" s="91">
        <v>2598</v>
      </c>
      <c r="N100" s="91">
        <v>375</v>
      </c>
      <c r="O100" s="31">
        <v>693</v>
      </c>
      <c r="P100" s="91">
        <v>0</v>
      </c>
      <c r="Q100" s="91"/>
      <c r="R100" s="91">
        <v>0</v>
      </c>
      <c r="S100" s="92">
        <v>8870</v>
      </c>
      <c r="T100" s="27">
        <v>20656</v>
      </c>
      <c r="U100" s="27">
        <v>7878</v>
      </c>
      <c r="V100" s="31">
        <v>12778</v>
      </c>
      <c r="W100" s="31">
        <v>1840.1556</v>
      </c>
      <c r="X100" s="31">
        <v>3546.5209</v>
      </c>
      <c r="Y100" s="31">
        <v>0</v>
      </c>
      <c r="Z100" s="27">
        <v>14484.365</v>
      </c>
      <c r="AA100" s="31">
        <v>5985</v>
      </c>
      <c r="AB100" s="31">
        <v>3097</v>
      </c>
      <c r="AC100" s="31">
        <v>1507</v>
      </c>
      <c r="AD100" s="31">
        <v>2517</v>
      </c>
      <c r="AE100" s="31">
        <v>159</v>
      </c>
      <c r="AF100" s="92">
        <v>13265</v>
      </c>
      <c r="AG100" s="91">
        <v>239</v>
      </c>
    </row>
    <row r="101" spans="1:33" s="31" customFormat="1">
      <c r="A101" s="385">
        <f>References!J268</f>
        <v>238</v>
      </c>
      <c r="B101" s="382" t="s">
        <v>39</v>
      </c>
      <c r="C101" s="284">
        <v>2011</v>
      </c>
      <c r="D101" s="91">
        <v>39081</v>
      </c>
      <c r="E101" s="92">
        <v>39081</v>
      </c>
      <c r="F101" s="92">
        <v>3052</v>
      </c>
      <c r="G101" s="27">
        <v>653</v>
      </c>
      <c r="H101" s="91">
        <v>32</v>
      </c>
      <c r="I101" s="92">
        <v>42818</v>
      </c>
      <c r="J101" s="92">
        <v>10027</v>
      </c>
      <c r="K101" s="91">
        <v>6645</v>
      </c>
      <c r="L101" s="91">
        <v>0</v>
      </c>
      <c r="M101" s="91">
        <v>2323</v>
      </c>
      <c r="N101" s="91">
        <v>71</v>
      </c>
      <c r="O101" s="31">
        <v>1070</v>
      </c>
      <c r="P101" s="91">
        <v>0</v>
      </c>
      <c r="Q101" s="91"/>
      <c r="R101" s="91">
        <v>0</v>
      </c>
      <c r="S101" s="92">
        <v>10109</v>
      </c>
      <c r="T101" s="27">
        <v>22682</v>
      </c>
      <c r="U101" s="27">
        <v>8599</v>
      </c>
      <c r="V101" s="31">
        <v>14083</v>
      </c>
      <c r="W101" s="31">
        <v>2206.5482000000002</v>
      </c>
      <c r="X101" s="31">
        <v>8041.2452000000003</v>
      </c>
      <c r="Y101" s="31">
        <v>0</v>
      </c>
      <c r="Z101" s="27">
        <v>19917.697</v>
      </c>
      <c r="AA101" s="31">
        <v>2622</v>
      </c>
      <c r="AB101" s="31">
        <v>3269</v>
      </c>
      <c r="AC101" s="31">
        <v>1531</v>
      </c>
      <c r="AD101" s="31">
        <v>3098</v>
      </c>
      <c r="AE101" s="31">
        <v>159</v>
      </c>
      <c r="AF101" s="92">
        <v>10679</v>
      </c>
      <c r="AG101" s="91">
        <v>1505</v>
      </c>
    </row>
    <row r="102" spans="1:33" s="31" customFormat="1" hidden="1">
      <c r="A102" s="385">
        <f>References!C269</f>
        <v>254</v>
      </c>
      <c r="B102" s="386" t="s">
        <v>40</v>
      </c>
      <c r="C102" s="284">
        <v>2004</v>
      </c>
      <c r="D102" s="31">
        <v>16316</v>
      </c>
      <c r="E102" s="27">
        <v>16316</v>
      </c>
      <c r="G102" s="27">
        <v>524</v>
      </c>
      <c r="H102" s="31">
        <v>2721</v>
      </c>
      <c r="I102" s="27">
        <v>19561</v>
      </c>
      <c r="J102" s="27">
        <v>3229</v>
      </c>
      <c r="Q102" s="31">
        <v>0</v>
      </c>
      <c r="S102" s="27">
        <v>13109</v>
      </c>
      <c r="T102" s="27">
        <v>6452</v>
      </c>
      <c r="U102" s="27">
        <v>4181</v>
      </c>
      <c r="W102" s="31">
        <v>1159</v>
      </c>
      <c r="Z102" s="27">
        <v>1112</v>
      </c>
    </row>
    <row r="103" spans="1:33" s="31" customFormat="1" hidden="1">
      <c r="A103" s="385">
        <f>References!D269</f>
        <v>255</v>
      </c>
      <c r="B103" s="386" t="s">
        <v>40</v>
      </c>
      <c r="C103" s="284">
        <v>2005</v>
      </c>
      <c r="D103" s="31">
        <v>18771</v>
      </c>
      <c r="E103" s="27">
        <v>18771</v>
      </c>
      <c r="G103" s="27">
        <v>267</v>
      </c>
      <c r="H103" s="31">
        <v>2921</v>
      </c>
      <c r="I103" s="27">
        <v>21959</v>
      </c>
      <c r="J103" s="27">
        <v>3413</v>
      </c>
      <c r="Q103" s="31">
        <v>0</v>
      </c>
      <c r="S103" s="27">
        <v>14186</v>
      </c>
      <c r="T103" s="27">
        <v>7773</v>
      </c>
      <c r="U103" s="27">
        <v>4615</v>
      </c>
      <c r="W103" s="31">
        <v>1376</v>
      </c>
      <c r="Z103" s="27">
        <v>1781</v>
      </c>
    </row>
    <row r="104" spans="1:33" s="31" customFormat="1" hidden="1">
      <c r="A104" s="385">
        <f>References!E269</f>
        <v>256</v>
      </c>
      <c r="B104" s="386" t="s">
        <v>40</v>
      </c>
      <c r="C104" s="284">
        <v>2006</v>
      </c>
      <c r="D104" s="31">
        <v>21465</v>
      </c>
      <c r="E104" s="27">
        <v>21465</v>
      </c>
      <c r="G104" s="27">
        <v>597</v>
      </c>
      <c r="H104" s="31">
        <v>4375</v>
      </c>
      <c r="I104" s="27">
        <v>26437</v>
      </c>
      <c r="J104" s="27">
        <v>3392</v>
      </c>
      <c r="Q104" s="31">
        <v>0</v>
      </c>
      <c r="S104" s="27">
        <v>14808</v>
      </c>
      <c r="T104" s="27">
        <v>11629</v>
      </c>
      <c r="U104" s="27">
        <v>5045</v>
      </c>
      <c r="W104" s="31">
        <v>1589</v>
      </c>
      <c r="Z104" s="27">
        <v>4994</v>
      </c>
    </row>
    <row r="105" spans="1:33" s="31" customFormat="1" hidden="1">
      <c r="A105" s="385">
        <f>References!F269</f>
        <v>257</v>
      </c>
      <c r="B105" s="386" t="s">
        <v>40</v>
      </c>
      <c r="C105" s="284">
        <v>2007</v>
      </c>
      <c r="D105" s="31">
        <v>21955</v>
      </c>
      <c r="E105" s="27">
        <v>21955</v>
      </c>
      <c r="G105" s="27">
        <v>471</v>
      </c>
      <c r="H105" s="31">
        <v>3632</v>
      </c>
      <c r="I105" s="27">
        <v>26058</v>
      </c>
      <c r="J105" s="27">
        <v>3559</v>
      </c>
      <c r="Q105" s="31">
        <v>0</v>
      </c>
      <c r="S105" s="27">
        <v>15948</v>
      </c>
      <c r="T105" s="27">
        <v>10110</v>
      </c>
      <c r="U105" s="27">
        <v>5420</v>
      </c>
      <c r="W105" s="31">
        <v>1742</v>
      </c>
      <c r="Z105" s="27">
        <v>2947</v>
      </c>
    </row>
    <row r="106" spans="1:33" s="31" customFormat="1">
      <c r="A106" s="385">
        <f>References!G269</f>
        <v>258</v>
      </c>
      <c r="B106" s="382" t="s">
        <v>40</v>
      </c>
      <c r="C106" s="284">
        <v>2008</v>
      </c>
      <c r="D106" s="91">
        <v>20946</v>
      </c>
      <c r="E106" s="92">
        <v>20946</v>
      </c>
      <c r="F106" s="92">
        <v>5384.8770000000004</v>
      </c>
      <c r="G106" s="27">
        <v>345</v>
      </c>
      <c r="H106" s="91">
        <v>4638</v>
      </c>
      <c r="I106" s="92">
        <v>31313.877</v>
      </c>
      <c r="J106" s="92">
        <v>3998</v>
      </c>
      <c r="K106" s="91">
        <v>0</v>
      </c>
      <c r="L106" s="91">
        <v>0</v>
      </c>
      <c r="M106" s="91">
        <v>0</v>
      </c>
      <c r="N106" s="91">
        <v>0</v>
      </c>
      <c r="O106" s="31">
        <v>0</v>
      </c>
      <c r="P106" s="91">
        <v>0</v>
      </c>
      <c r="Q106" s="91"/>
      <c r="R106" s="91">
        <v>0</v>
      </c>
      <c r="S106" s="92">
        <v>13631</v>
      </c>
      <c r="T106" s="27">
        <v>13684.877</v>
      </c>
      <c r="U106" s="27">
        <v>8428.5810000000001</v>
      </c>
      <c r="V106" s="31">
        <v>5256.2960000000003</v>
      </c>
      <c r="W106" s="31">
        <v>-678.30586000000005</v>
      </c>
      <c r="X106" s="31">
        <v>4322.6003000000001</v>
      </c>
      <c r="Y106" s="31">
        <v>0</v>
      </c>
      <c r="Z106" s="27">
        <v>10257.201999999999</v>
      </c>
      <c r="AA106" s="31">
        <v>0</v>
      </c>
      <c r="AB106" s="31">
        <v>0</v>
      </c>
      <c r="AC106" s="31">
        <v>0</v>
      </c>
      <c r="AD106" s="31">
        <v>0</v>
      </c>
      <c r="AE106" s="31">
        <v>0</v>
      </c>
      <c r="AF106" s="92">
        <v>10492</v>
      </c>
      <c r="AG106" s="91">
        <v>1643</v>
      </c>
    </row>
    <row r="107" spans="1:33" s="31" customFormat="1">
      <c r="A107" s="385">
        <f>References!H269</f>
        <v>259</v>
      </c>
      <c r="B107" s="382" t="s">
        <v>40</v>
      </c>
      <c r="C107" s="284">
        <v>2009</v>
      </c>
      <c r="D107" s="91">
        <v>24902.26</v>
      </c>
      <c r="E107" s="92">
        <v>24902.26</v>
      </c>
      <c r="F107" s="92">
        <v>3777.31</v>
      </c>
      <c r="G107" s="27">
        <v>1323</v>
      </c>
      <c r="H107" s="91">
        <v>4689</v>
      </c>
      <c r="I107" s="92">
        <v>34691.57</v>
      </c>
      <c r="J107" s="92">
        <v>4733</v>
      </c>
      <c r="K107" s="91">
        <v>0</v>
      </c>
      <c r="L107" s="91">
        <v>0</v>
      </c>
      <c r="M107" s="91">
        <v>0</v>
      </c>
      <c r="N107" s="91">
        <v>0</v>
      </c>
      <c r="O107" s="31">
        <v>0</v>
      </c>
      <c r="P107" s="91">
        <v>0</v>
      </c>
      <c r="Q107" s="91"/>
      <c r="R107" s="91">
        <v>0</v>
      </c>
      <c r="S107" s="92">
        <v>14018.584000000001</v>
      </c>
      <c r="T107" s="27">
        <v>15939.986000000001</v>
      </c>
      <c r="U107" s="27">
        <v>8600.32</v>
      </c>
      <c r="V107" s="31">
        <v>7339.6660000000002</v>
      </c>
      <c r="W107" s="31">
        <v>1116.0859</v>
      </c>
      <c r="X107" s="31">
        <v>4206.9609</v>
      </c>
      <c r="Y107" s="31">
        <v>0</v>
      </c>
      <c r="Z107" s="27">
        <v>10430.540999999999</v>
      </c>
      <c r="AA107" s="31">
        <v>0</v>
      </c>
      <c r="AB107" s="31">
        <v>0</v>
      </c>
      <c r="AC107" s="31">
        <v>0</v>
      </c>
      <c r="AD107" s="31">
        <v>0</v>
      </c>
      <c r="AE107" s="31">
        <v>0</v>
      </c>
      <c r="AF107" s="92">
        <v>11140</v>
      </c>
      <c r="AG107" s="91">
        <v>1671.941</v>
      </c>
    </row>
    <row r="108" spans="1:33" s="31" customFormat="1">
      <c r="A108" s="385">
        <f>References!I269</f>
        <v>260</v>
      </c>
      <c r="B108" s="382" t="s">
        <v>40</v>
      </c>
      <c r="C108" s="284">
        <v>2010</v>
      </c>
      <c r="D108" s="91">
        <v>25720</v>
      </c>
      <c r="E108" s="92">
        <v>25720</v>
      </c>
      <c r="F108" s="92">
        <v>1484.58</v>
      </c>
      <c r="G108" s="27">
        <v>325.12</v>
      </c>
      <c r="H108" s="91">
        <v>4456.4759999999997</v>
      </c>
      <c r="I108" s="92">
        <v>31986.175999999999</v>
      </c>
      <c r="J108" s="92">
        <v>4817.2030000000004</v>
      </c>
      <c r="K108" s="91">
        <v>7767.9</v>
      </c>
      <c r="L108" s="91">
        <v>447.5</v>
      </c>
      <c r="M108" s="91">
        <v>5007.8999999999996</v>
      </c>
      <c r="N108" s="91">
        <v>1107.9000000000001</v>
      </c>
      <c r="O108" s="31">
        <v>846.3</v>
      </c>
      <c r="P108" s="91">
        <v>139.80000000000001</v>
      </c>
      <c r="Q108" s="91"/>
      <c r="R108" s="91">
        <v>324.5</v>
      </c>
      <c r="S108" s="92">
        <v>15641.8</v>
      </c>
      <c r="T108" s="27">
        <v>11527.173000000001</v>
      </c>
      <c r="U108" s="27">
        <v>7468.6648999999998</v>
      </c>
      <c r="V108" s="31">
        <v>4058.5081</v>
      </c>
      <c r="W108" s="31">
        <v>653.76210000000003</v>
      </c>
      <c r="X108" s="31">
        <v>3188.5083</v>
      </c>
      <c r="Y108" s="31">
        <v>569.38800000000003</v>
      </c>
      <c r="Z108" s="27">
        <v>7162.6423000000004</v>
      </c>
      <c r="AA108" s="31">
        <v>141.71997999999999</v>
      </c>
      <c r="AB108" s="31">
        <v>4868.9218000000001</v>
      </c>
      <c r="AC108" s="31">
        <v>3531.7548999999999</v>
      </c>
      <c r="AD108" s="31">
        <v>5099.2497000000003</v>
      </c>
      <c r="AE108" s="31">
        <v>192.33846</v>
      </c>
      <c r="AF108" s="92">
        <v>13833.985000000001</v>
      </c>
      <c r="AG108" s="91">
        <v>718.85299999999995</v>
      </c>
    </row>
    <row r="109" spans="1:33" s="31" customFormat="1">
      <c r="A109" s="385">
        <f>References!J269</f>
        <v>261</v>
      </c>
      <c r="B109" s="382" t="s">
        <v>40</v>
      </c>
      <c r="C109" s="284">
        <v>2011</v>
      </c>
      <c r="D109" s="91">
        <v>27002</v>
      </c>
      <c r="E109" s="92">
        <v>27002</v>
      </c>
      <c r="F109" s="92">
        <v>2500</v>
      </c>
      <c r="G109" s="27">
        <v>521</v>
      </c>
      <c r="H109" s="91">
        <v>5269</v>
      </c>
      <c r="I109" s="92">
        <v>35292</v>
      </c>
      <c r="J109" s="92">
        <v>5195</v>
      </c>
      <c r="K109" s="91">
        <v>8264</v>
      </c>
      <c r="L109" s="91">
        <v>431</v>
      </c>
      <c r="M109" s="91">
        <v>5849</v>
      </c>
      <c r="N109" s="91">
        <v>667.4</v>
      </c>
      <c r="O109" s="31">
        <v>1133</v>
      </c>
      <c r="P109" s="91">
        <v>145</v>
      </c>
      <c r="Q109" s="91"/>
      <c r="R109" s="91">
        <v>175</v>
      </c>
      <c r="S109" s="92">
        <v>16664.400000000001</v>
      </c>
      <c r="T109" s="27">
        <v>13432.6</v>
      </c>
      <c r="U109" s="27">
        <v>7168</v>
      </c>
      <c r="V109" s="31">
        <v>6264.6</v>
      </c>
      <c r="W109" s="31">
        <v>163.36478</v>
      </c>
      <c r="X109" s="31">
        <v>7412.77</v>
      </c>
      <c r="Y109" s="31">
        <v>0</v>
      </c>
      <c r="Z109" s="27">
        <v>13514.004999999999</v>
      </c>
      <c r="AA109" s="31">
        <v>299</v>
      </c>
      <c r="AB109" s="31">
        <v>4560</v>
      </c>
      <c r="AC109" s="31">
        <v>4148</v>
      </c>
      <c r="AD109" s="31">
        <v>4708</v>
      </c>
      <c r="AE109" s="31">
        <v>843</v>
      </c>
      <c r="AF109" s="92">
        <v>14558</v>
      </c>
      <c r="AG109" s="91">
        <v>686</v>
      </c>
    </row>
    <row r="110" spans="1:33" s="31" customFormat="1" hidden="1">
      <c r="A110" s="385">
        <f>References!C270</f>
        <v>277</v>
      </c>
      <c r="B110" s="386" t="s">
        <v>41</v>
      </c>
      <c r="C110" s="284">
        <v>2004</v>
      </c>
      <c r="D110" s="31">
        <v>6532</v>
      </c>
      <c r="E110" s="27">
        <v>6532</v>
      </c>
      <c r="G110" s="27">
        <v>230</v>
      </c>
      <c r="H110" s="31">
        <v>146</v>
      </c>
      <c r="I110" s="27">
        <v>6908</v>
      </c>
      <c r="J110" s="27">
        <v>1759</v>
      </c>
      <c r="Q110" s="31">
        <v>0</v>
      </c>
      <c r="S110" s="27">
        <v>3171</v>
      </c>
      <c r="T110" s="27">
        <v>3737</v>
      </c>
      <c r="U110" s="27">
        <v>591</v>
      </c>
      <c r="W110" s="31">
        <v>860</v>
      </c>
      <c r="Z110" s="27">
        <v>2200</v>
      </c>
    </row>
    <row r="111" spans="1:33" s="31" customFormat="1" hidden="1">
      <c r="A111" s="385">
        <f>References!D270</f>
        <v>278</v>
      </c>
      <c r="B111" s="386" t="s">
        <v>41</v>
      </c>
      <c r="C111" s="284">
        <v>2005</v>
      </c>
      <c r="D111" s="31">
        <v>6798</v>
      </c>
      <c r="E111" s="27">
        <v>6798</v>
      </c>
      <c r="G111" s="27">
        <v>126</v>
      </c>
      <c r="H111" s="31">
        <v>112</v>
      </c>
      <c r="I111" s="27">
        <v>7036</v>
      </c>
      <c r="J111" s="27">
        <v>1797</v>
      </c>
      <c r="Q111" s="31">
        <v>0</v>
      </c>
      <c r="S111" s="27">
        <v>3219</v>
      </c>
      <c r="T111" s="27">
        <v>3817</v>
      </c>
      <c r="U111" s="27">
        <v>938</v>
      </c>
      <c r="W111" s="31">
        <v>1057</v>
      </c>
      <c r="Z111" s="27">
        <v>1770</v>
      </c>
    </row>
    <row r="112" spans="1:33" s="31" customFormat="1" hidden="1">
      <c r="A112" s="385">
        <f>References!E270</f>
        <v>279</v>
      </c>
      <c r="B112" s="386" t="s">
        <v>41</v>
      </c>
      <c r="C112" s="284">
        <v>2006</v>
      </c>
      <c r="D112" s="31">
        <v>7057</v>
      </c>
      <c r="E112" s="27">
        <v>7057</v>
      </c>
      <c r="G112" s="27">
        <v>281</v>
      </c>
      <c r="H112" s="31">
        <v>149</v>
      </c>
      <c r="I112" s="27">
        <v>7487</v>
      </c>
      <c r="J112" s="27">
        <v>1782</v>
      </c>
      <c r="Q112" s="31">
        <v>0</v>
      </c>
      <c r="S112" s="27">
        <v>3341</v>
      </c>
      <c r="T112" s="27">
        <v>4146</v>
      </c>
      <c r="U112" s="27">
        <v>973</v>
      </c>
      <c r="W112" s="31">
        <v>1127</v>
      </c>
      <c r="Z112" s="27">
        <v>1970</v>
      </c>
    </row>
    <row r="113" spans="1:33" s="31" customFormat="1" hidden="1">
      <c r="A113" s="385">
        <f>References!F270</f>
        <v>280</v>
      </c>
      <c r="B113" s="386" t="s">
        <v>41</v>
      </c>
      <c r="C113" s="284">
        <v>2007</v>
      </c>
      <c r="D113" s="31">
        <v>7402</v>
      </c>
      <c r="E113" s="27">
        <v>7402</v>
      </c>
      <c r="G113" s="27">
        <v>225</v>
      </c>
      <c r="H113" s="31">
        <v>74</v>
      </c>
      <c r="I113" s="27">
        <v>7701</v>
      </c>
      <c r="J113" s="27">
        <v>2111</v>
      </c>
      <c r="Q113" s="31">
        <v>0</v>
      </c>
      <c r="S113" s="27">
        <v>3908</v>
      </c>
      <c r="T113" s="27">
        <v>3793</v>
      </c>
      <c r="U113" s="27">
        <v>991</v>
      </c>
      <c r="W113" s="31">
        <v>942</v>
      </c>
      <c r="Z113" s="27">
        <v>1604</v>
      </c>
    </row>
    <row r="114" spans="1:33" s="31" customFormat="1">
      <c r="A114" s="385">
        <f>References!G270</f>
        <v>281</v>
      </c>
      <c r="B114" s="382" t="s">
        <v>41</v>
      </c>
      <c r="C114" s="284">
        <v>2008</v>
      </c>
      <c r="D114" s="91">
        <v>7479.5010000000002</v>
      </c>
      <c r="E114" s="92">
        <v>7479.5010000000002</v>
      </c>
      <c r="F114" s="92">
        <v>116.84699999999999</v>
      </c>
      <c r="G114" s="27">
        <v>163.15899999999999</v>
      </c>
      <c r="H114" s="91">
        <v>0</v>
      </c>
      <c r="I114" s="92">
        <v>7759.5069999999996</v>
      </c>
      <c r="J114" s="92">
        <v>2071.6970000000001</v>
      </c>
      <c r="K114" s="91">
        <v>0</v>
      </c>
      <c r="L114" s="91">
        <v>0</v>
      </c>
      <c r="M114" s="91">
        <v>0</v>
      </c>
      <c r="N114" s="91">
        <v>0</v>
      </c>
      <c r="O114" s="31">
        <v>0</v>
      </c>
      <c r="P114" s="91">
        <v>0</v>
      </c>
      <c r="Q114" s="91"/>
      <c r="R114" s="91">
        <v>0</v>
      </c>
      <c r="S114" s="92">
        <v>1769.585</v>
      </c>
      <c r="T114" s="27">
        <v>3918.2249999999999</v>
      </c>
      <c r="U114" s="27">
        <v>1010.3638</v>
      </c>
      <c r="V114" s="31">
        <v>2907.8611999999998</v>
      </c>
      <c r="W114" s="31">
        <v>853.14742000000001</v>
      </c>
      <c r="X114" s="31">
        <v>747.81196999999997</v>
      </c>
      <c r="Y114" s="31">
        <v>0</v>
      </c>
      <c r="Z114" s="27">
        <v>2802.5257000000001</v>
      </c>
      <c r="AA114" s="31">
        <v>0</v>
      </c>
      <c r="AB114" s="31">
        <v>0</v>
      </c>
      <c r="AC114" s="31">
        <v>0</v>
      </c>
      <c r="AD114" s="31">
        <v>0</v>
      </c>
      <c r="AE114" s="31">
        <v>0</v>
      </c>
      <c r="AF114" s="92">
        <v>813.02300000000002</v>
      </c>
      <c r="AG114" s="91">
        <v>16.921309999999998</v>
      </c>
    </row>
    <row r="115" spans="1:33" s="31" customFormat="1">
      <c r="A115" s="385">
        <f>References!H270</f>
        <v>282</v>
      </c>
      <c r="B115" s="382" t="s">
        <v>41</v>
      </c>
      <c r="C115" s="284">
        <v>2009</v>
      </c>
      <c r="D115" s="91">
        <v>8290.3091000000004</v>
      </c>
      <c r="E115" s="92">
        <v>8290.3091000000004</v>
      </c>
      <c r="F115" s="92">
        <v>107</v>
      </c>
      <c r="G115" s="27">
        <v>602</v>
      </c>
      <c r="H115" s="91">
        <v>0</v>
      </c>
      <c r="I115" s="92">
        <v>8999.3091000000004</v>
      </c>
      <c r="J115" s="92">
        <v>2450</v>
      </c>
      <c r="K115" s="91">
        <v>0</v>
      </c>
      <c r="L115" s="91">
        <v>0</v>
      </c>
      <c r="M115" s="91">
        <v>0</v>
      </c>
      <c r="N115" s="91">
        <v>0</v>
      </c>
      <c r="O115" s="31">
        <v>0</v>
      </c>
      <c r="P115" s="91">
        <v>0</v>
      </c>
      <c r="Q115" s="91"/>
      <c r="R115" s="91">
        <v>0</v>
      </c>
      <c r="S115" s="92">
        <v>1873</v>
      </c>
      <c r="T115" s="27">
        <v>4676.3091000000004</v>
      </c>
      <c r="U115" s="27">
        <v>1111.7061000000001</v>
      </c>
      <c r="V115" s="31">
        <v>3564.6030000000001</v>
      </c>
      <c r="W115" s="31">
        <v>982.56591000000003</v>
      </c>
      <c r="X115" s="31">
        <v>674.96649000000002</v>
      </c>
      <c r="Y115" s="31">
        <v>0</v>
      </c>
      <c r="Z115" s="27">
        <v>3257.0036</v>
      </c>
      <c r="AA115" s="31">
        <v>0</v>
      </c>
      <c r="AB115" s="31">
        <v>0</v>
      </c>
      <c r="AC115" s="31">
        <v>0</v>
      </c>
      <c r="AD115" s="31">
        <v>0</v>
      </c>
      <c r="AE115" s="31">
        <v>0</v>
      </c>
      <c r="AF115" s="92">
        <v>1155.0519999999999</v>
      </c>
      <c r="AG115" s="91">
        <v>196.85300000000001</v>
      </c>
    </row>
    <row r="116" spans="1:33" s="31" customFormat="1">
      <c r="A116" s="385">
        <f>References!I270</f>
        <v>283</v>
      </c>
      <c r="B116" s="382" t="s">
        <v>41</v>
      </c>
      <c r="C116" s="284">
        <v>2010</v>
      </c>
      <c r="D116" s="91">
        <v>8326</v>
      </c>
      <c r="E116" s="92">
        <v>8326</v>
      </c>
      <c r="F116" s="92">
        <v>135</v>
      </c>
      <c r="G116" s="27">
        <v>153</v>
      </c>
      <c r="H116" s="91">
        <v>0</v>
      </c>
      <c r="I116" s="92">
        <v>8614</v>
      </c>
      <c r="J116" s="92">
        <v>2479</v>
      </c>
      <c r="K116" s="91">
        <v>1277</v>
      </c>
      <c r="L116" s="91">
        <v>317</v>
      </c>
      <c r="M116" s="91">
        <v>323</v>
      </c>
      <c r="N116" s="91">
        <v>74</v>
      </c>
      <c r="O116" s="31">
        <v>102</v>
      </c>
      <c r="P116" s="91">
        <v>60</v>
      </c>
      <c r="Q116" s="91"/>
      <c r="R116" s="91">
        <v>0</v>
      </c>
      <c r="S116" s="92">
        <v>2153</v>
      </c>
      <c r="T116" s="27">
        <v>3982</v>
      </c>
      <c r="U116" s="27">
        <v>1355.4440999999999</v>
      </c>
      <c r="V116" s="31">
        <v>2626.5558999999998</v>
      </c>
      <c r="W116" s="31">
        <v>807.60117000000002</v>
      </c>
      <c r="X116" s="31">
        <v>475.99045999999998</v>
      </c>
      <c r="Y116" s="31">
        <v>0</v>
      </c>
      <c r="Z116" s="27">
        <v>2294.9452000000001</v>
      </c>
      <c r="AA116" s="31">
        <v>0</v>
      </c>
      <c r="AB116" s="31">
        <v>215</v>
      </c>
      <c r="AC116" s="31">
        <v>765</v>
      </c>
      <c r="AD116" s="31">
        <v>447</v>
      </c>
      <c r="AE116" s="31">
        <v>0</v>
      </c>
      <c r="AF116" s="92">
        <v>1427</v>
      </c>
      <c r="AG116" s="91">
        <v>97.37</v>
      </c>
    </row>
    <row r="117" spans="1:33" s="31" customFormat="1">
      <c r="A117" s="385">
        <f>References!J270</f>
        <v>284</v>
      </c>
      <c r="B117" s="382" t="s">
        <v>41</v>
      </c>
      <c r="C117" s="284">
        <v>2011</v>
      </c>
      <c r="D117" s="91">
        <v>8833</v>
      </c>
      <c r="E117" s="92">
        <v>8833</v>
      </c>
      <c r="F117" s="92">
        <v>66</v>
      </c>
      <c r="G117" s="27">
        <v>220</v>
      </c>
      <c r="H117" s="91">
        <v>0</v>
      </c>
      <c r="I117" s="92">
        <v>9119</v>
      </c>
      <c r="J117" s="92">
        <v>2455</v>
      </c>
      <c r="K117" s="91">
        <v>1078</v>
      </c>
      <c r="L117" s="91">
        <v>345</v>
      </c>
      <c r="M117" s="91">
        <v>180</v>
      </c>
      <c r="N117" s="91">
        <v>77</v>
      </c>
      <c r="O117" s="31">
        <v>71</v>
      </c>
      <c r="P117" s="91">
        <v>-2</v>
      </c>
      <c r="Q117" s="91"/>
      <c r="R117" s="91">
        <v>0</v>
      </c>
      <c r="S117" s="92">
        <v>1749</v>
      </c>
      <c r="T117" s="27">
        <v>4915</v>
      </c>
      <c r="U117" s="27">
        <v>1479.3735999999999</v>
      </c>
      <c r="V117" s="31">
        <v>3435.6264000000001</v>
      </c>
      <c r="W117" s="31">
        <v>1042.9096999999999</v>
      </c>
      <c r="X117" s="31">
        <v>1058.9313</v>
      </c>
      <c r="Y117" s="31">
        <v>0</v>
      </c>
      <c r="Z117" s="27">
        <v>3451.6480000000001</v>
      </c>
      <c r="AA117" s="31">
        <v>0</v>
      </c>
      <c r="AB117" s="31">
        <v>235</v>
      </c>
      <c r="AC117" s="31">
        <v>456</v>
      </c>
      <c r="AD117" s="31">
        <v>1187</v>
      </c>
      <c r="AE117" s="31">
        <v>0</v>
      </c>
      <c r="AF117" s="92">
        <v>1878</v>
      </c>
      <c r="AG117" s="91">
        <v>18.305</v>
      </c>
    </row>
    <row r="118" spans="1:33" s="31" customFormat="1" hidden="1">
      <c r="A118" s="385">
        <f>References!C271</f>
        <v>300</v>
      </c>
      <c r="B118" s="386" t="s">
        <v>42</v>
      </c>
      <c r="C118" s="284">
        <v>2004</v>
      </c>
      <c r="D118" s="31">
        <v>25876</v>
      </c>
      <c r="E118" s="27">
        <v>25876</v>
      </c>
      <c r="G118" s="27">
        <v>1155</v>
      </c>
      <c r="H118" s="31">
        <v>3836</v>
      </c>
      <c r="I118" s="27">
        <v>30867</v>
      </c>
      <c r="J118" s="27">
        <v>8197</v>
      </c>
      <c r="Q118" s="31">
        <v>464</v>
      </c>
      <c r="S118" s="27">
        <v>18770</v>
      </c>
      <c r="T118" s="27">
        <v>12097</v>
      </c>
      <c r="U118" s="27">
        <v>3153</v>
      </c>
      <c r="W118" s="31">
        <v>2581</v>
      </c>
      <c r="Z118" s="27">
        <v>6355</v>
      </c>
    </row>
    <row r="119" spans="1:33" s="31" customFormat="1" hidden="1">
      <c r="A119" s="385">
        <f>References!D271</f>
        <v>301</v>
      </c>
      <c r="B119" s="386" t="s">
        <v>42</v>
      </c>
      <c r="C119" s="284">
        <v>2005</v>
      </c>
      <c r="D119" s="31">
        <v>27120</v>
      </c>
      <c r="E119" s="27">
        <v>27120</v>
      </c>
      <c r="G119" s="27">
        <v>654</v>
      </c>
      <c r="H119" s="31">
        <v>4178</v>
      </c>
      <c r="I119" s="27">
        <v>31952</v>
      </c>
      <c r="J119" s="27">
        <v>8500</v>
      </c>
      <c r="Q119" s="31">
        <v>264</v>
      </c>
      <c r="S119" s="27">
        <v>19344</v>
      </c>
      <c r="T119" s="27">
        <v>12608</v>
      </c>
      <c r="U119" s="27">
        <v>4536</v>
      </c>
      <c r="W119" s="31">
        <v>2157</v>
      </c>
      <c r="Z119" s="27">
        <v>5909</v>
      </c>
    </row>
    <row r="120" spans="1:33" s="31" customFormat="1" hidden="1">
      <c r="A120" s="385">
        <f>References!E271</f>
        <v>302</v>
      </c>
      <c r="B120" s="386" t="s">
        <v>42</v>
      </c>
      <c r="C120" s="284">
        <v>2006</v>
      </c>
      <c r="D120" s="31">
        <v>23086</v>
      </c>
      <c r="E120" s="27">
        <v>23086</v>
      </c>
      <c r="G120" s="27">
        <v>1449</v>
      </c>
      <c r="H120" s="31">
        <v>2279</v>
      </c>
      <c r="I120" s="27">
        <v>26814</v>
      </c>
      <c r="J120" s="27">
        <v>8536</v>
      </c>
      <c r="Q120" s="31">
        <v>566</v>
      </c>
      <c r="S120" s="27">
        <v>15110</v>
      </c>
      <c r="T120" s="27">
        <v>11704</v>
      </c>
      <c r="U120" s="27">
        <v>4708</v>
      </c>
      <c r="W120" s="31">
        <v>2387</v>
      </c>
      <c r="Z120" s="27">
        <v>4609</v>
      </c>
    </row>
    <row r="121" spans="1:33" s="31" customFormat="1" hidden="1">
      <c r="A121" s="385">
        <f>References!F271</f>
        <v>303</v>
      </c>
      <c r="B121" s="386" t="s">
        <v>42</v>
      </c>
      <c r="C121" s="284">
        <v>2007</v>
      </c>
      <c r="D121" s="31">
        <v>23850</v>
      </c>
      <c r="E121" s="27">
        <v>23850</v>
      </c>
      <c r="G121" s="27">
        <v>1093</v>
      </c>
      <c r="H121" s="31">
        <v>2639</v>
      </c>
      <c r="I121" s="27">
        <v>27582</v>
      </c>
      <c r="J121" s="27">
        <v>8750</v>
      </c>
      <c r="Q121" s="31">
        <v>418</v>
      </c>
      <c r="S121" s="27">
        <v>15432</v>
      </c>
      <c r="T121" s="27">
        <v>12150</v>
      </c>
      <c r="U121" s="27">
        <v>4875</v>
      </c>
      <c r="W121" s="31">
        <v>2324</v>
      </c>
      <c r="Z121" s="27">
        <v>4951</v>
      </c>
    </row>
    <row r="122" spans="1:33" s="31" customFormat="1">
      <c r="A122" s="385">
        <f>References!G271</f>
        <v>304</v>
      </c>
      <c r="B122" s="382" t="s">
        <v>42</v>
      </c>
      <c r="C122" s="284">
        <v>2008</v>
      </c>
      <c r="D122" s="91">
        <v>23381.313999999998</v>
      </c>
      <c r="E122" s="92">
        <v>28920.144</v>
      </c>
      <c r="F122" s="92">
        <v>1778.9324999999999</v>
      </c>
      <c r="G122" s="27">
        <v>838.95100000000002</v>
      </c>
      <c r="H122" s="91">
        <v>210.77736999999999</v>
      </c>
      <c r="I122" s="92">
        <v>31748.805</v>
      </c>
      <c r="J122" s="92">
        <v>9506.0614000000005</v>
      </c>
      <c r="K122" s="91">
        <v>0</v>
      </c>
      <c r="L122" s="91">
        <v>0</v>
      </c>
      <c r="M122" s="91">
        <v>0</v>
      </c>
      <c r="N122" s="91">
        <v>0</v>
      </c>
      <c r="O122" s="31">
        <v>0</v>
      </c>
      <c r="P122" s="91">
        <v>0</v>
      </c>
      <c r="Q122" s="91"/>
      <c r="R122" s="91">
        <v>0</v>
      </c>
      <c r="S122" s="92">
        <v>6544</v>
      </c>
      <c r="T122" s="27">
        <v>15698.743</v>
      </c>
      <c r="U122" s="27">
        <v>5573.5303999999996</v>
      </c>
      <c r="V122" s="31">
        <v>10125.213</v>
      </c>
      <c r="W122" s="31">
        <v>157.34374</v>
      </c>
      <c r="X122" s="31">
        <v>4394.7628999999997</v>
      </c>
      <c r="Y122" s="31">
        <v>0</v>
      </c>
      <c r="Z122" s="27">
        <v>14362.632</v>
      </c>
      <c r="AA122" s="31">
        <v>4155.5050000000001</v>
      </c>
      <c r="AB122" s="31">
        <v>0</v>
      </c>
      <c r="AC122" s="31">
        <v>0</v>
      </c>
      <c r="AD122" s="31">
        <v>0</v>
      </c>
      <c r="AE122" s="31">
        <v>0</v>
      </c>
      <c r="AF122" s="92">
        <v>4155.5050000000001</v>
      </c>
      <c r="AG122" s="91">
        <v>439.06677999999999</v>
      </c>
    </row>
    <row r="123" spans="1:33" s="31" customFormat="1">
      <c r="A123" s="385">
        <f>References!H271</f>
        <v>305</v>
      </c>
      <c r="B123" s="382" t="s">
        <v>42</v>
      </c>
      <c r="C123" s="284">
        <v>2009</v>
      </c>
      <c r="D123" s="91">
        <v>27007.548999999999</v>
      </c>
      <c r="E123" s="92">
        <v>32916.544999999998</v>
      </c>
      <c r="F123" s="92">
        <v>2212.7256000000002</v>
      </c>
      <c r="G123" s="27">
        <v>1835.1181999999999</v>
      </c>
      <c r="H123" s="91">
        <v>379.0575</v>
      </c>
      <c r="I123" s="92">
        <v>37343.446000000004</v>
      </c>
      <c r="J123" s="92">
        <v>12009.11</v>
      </c>
      <c r="K123" s="91">
        <v>0</v>
      </c>
      <c r="L123" s="91">
        <v>0</v>
      </c>
      <c r="M123" s="91">
        <v>0</v>
      </c>
      <c r="N123" s="91">
        <v>0</v>
      </c>
      <c r="O123" s="31">
        <v>0</v>
      </c>
      <c r="P123" s="91">
        <v>0</v>
      </c>
      <c r="Q123" s="91"/>
      <c r="R123" s="91">
        <v>0</v>
      </c>
      <c r="S123" s="92">
        <v>8468.8112000000001</v>
      </c>
      <c r="T123" s="27">
        <v>16865.525000000001</v>
      </c>
      <c r="U123" s="27">
        <v>5910.7617</v>
      </c>
      <c r="V123" s="31">
        <v>10954.763000000001</v>
      </c>
      <c r="W123" s="31">
        <v>-131.11555999999999</v>
      </c>
      <c r="X123" s="31">
        <v>4044.0781000000002</v>
      </c>
      <c r="Y123" s="31">
        <v>0</v>
      </c>
      <c r="Z123" s="27">
        <v>15129.957</v>
      </c>
      <c r="AA123" s="31">
        <v>3466.7365</v>
      </c>
      <c r="AB123" s="31">
        <v>0</v>
      </c>
      <c r="AC123" s="31">
        <v>0</v>
      </c>
      <c r="AD123" s="31">
        <v>0</v>
      </c>
      <c r="AE123" s="31">
        <v>0</v>
      </c>
      <c r="AF123" s="92">
        <v>3466.7365</v>
      </c>
      <c r="AG123" s="91">
        <v>220.53175999999999</v>
      </c>
    </row>
    <row r="124" spans="1:33" s="31" customFormat="1">
      <c r="A124" s="385">
        <f>References!I271</f>
        <v>306</v>
      </c>
      <c r="B124" s="382" t="s">
        <v>42</v>
      </c>
      <c r="C124" s="284">
        <v>2010</v>
      </c>
      <c r="D124" s="91">
        <v>29389.894</v>
      </c>
      <c r="E124" s="92">
        <v>35470.417999999998</v>
      </c>
      <c r="F124" s="92">
        <v>1555.1845000000001</v>
      </c>
      <c r="G124" s="27">
        <v>505.06384000000003</v>
      </c>
      <c r="H124" s="91">
        <v>278.37527999999998</v>
      </c>
      <c r="I124" s="92">
        <v>37809.040999999997</v>
      </c>
      <c r="J124" s="92">
        <v>12369.403</v>
      </c>
      <c r="K124" s="91">
        <v>2386.7507999999998</v>
      </c>
      <c r="L124" s="91">
        <v>1504.9028000000001</v>
      </c>
      <c r="M124" s="91">
        <v>1402.0832</v>
      </c>
      <c r="N124" s="91">
        <v>1425.6116</v>
      </c>
      <c r="O124" s="31">
        <v>539.20745999999997</v>
      </c>
      <c r="P124" s="91">
        <v>171</v>
      </c>
      <c r="Q124" s="91"/>
      <c r="R124" s="91">
        <v>0</v>
      </c>
      <c r="S124" s="92">
        <v>7429.5559000000003</v>
      </c>
      <c r="T124" s="27">
        <v>18010.082999999999</v>
      </c>
      <c r="U124" s="27">
        <v>6062.4011</v>
      </c>
      <c r="V124" s="31">
        <v>11947.682000000001</v>
      </c>
      <c r="W124" s="31">
        <v>926.15629999999999</v>
      </c>
      <c r="X124" s="31">
        <v>2881.1927000000001</v>
      </c>
      <c r="Y124" s="31">
        <v>0</v>
      </c>
      <c r="Z124" s="27">
        <v>13902.718000000001</v>
      </c>
      <c r="AA124" s="31">
        <v>985.75779</v>
      </c>
      <c r="AB124" s="31">
        <v>338.65523999999999</v>
      </c>
      <c r="AC124" s="31">
        <v>439.488</v>
      </c>
      <c r="AD124" s="31">
        <v>1138.4296999999999</v>
      </c>
      <c r="AE124" s="31">
        <v>994.20417999999995</v>
      </c>
      <c r="AF124" s="92">
        <v>3896.5349000000001</v>
      </c>
      <c r="AG124" s="91">
        <v>194.43006</v>
      </c>
    </row>
    <row r="125" spans="1:33" s="31" customFormat="1">
      <c r="A125" s="385">
        <f>References!J271</f>
        <v>307</v>
      </c>
      <c r="B125" s="382" t="s">
        <v>42</v>
      </c>
      <c r="C125" s="284">
        <v>2011</v>
      </c>
      <c r="D125" s="91">
        <v>26800.036</v>
      </c>
      <c r="E125" s="92">
        <v>35977.963000000003</v>
      </c>
      <c r="F125" s="92">
        <v>1949.9745</v>
      </c>
      <c r="G125" s="27">
        <v>727.45554000000004</v>
      </c>
      <c r="H125" s="91">
        <v>270.76427999999999</v>
      </c>
      <c r="I125" s="92">
        <v>38926.156999999999</v>
      </c>
      <c r="J125" s="92">
        <v>12061.383</v>
      </c>
      <c r="K125" s="91">
        <v>2519.7357000000002</v>
      </c>
      <c r="L125" s="91">
        <v>1463.8773000000001</v>
      </c>
      <c r="M125" s="91">
        <v>1535.4165</v>
      </c>
      <c r="N125" s="91">
        <v>1724.4665</v>
      </c>
      <c r="O125" s="31">
        <v>568.13851</v>
      </c>
      <c r="P125" s="91">
        <v>191.08139</v>
      </c>
      <c r="Q125" s="91"/>
      <c r="R125" s="91">
        <v>0</v>
      </c>
      <c r="S125" s="92">
        <v>8002.7159000000001</v>
      </c>
      <c r="T125" s="27">
        <v>18862.058000000001</v>
      </c>
      <c r="U125" s="27">
        <v>7557.9479000000001</v>
      </c>
      <c r="V125" s="31">
        <v>11304.111000000001</v>
      </c>
      <c r="W125" s="31">
        <v>-173.98889</v>
      </c>
      <c r="X125" s="31">
        <v>6419.2906000000003</v>
      </c>
      <c r="Y125" s="31">
        <v>0</v>
      </c>
      <c r="Z125" s="27">
        <v>17897.39</v>
      </c>
      <c r="AA125" s="31">
        <v>826.09402999999998</v>
      </c>
      <c r="AB125" s="31">
        <v>1301.6771000000001</v>
      </c>
      <c r="AC125" s="31">
        <v>322.83125000000001</v>
      </c>
      <c r="AD125" s="31">
        <v>1831.9213</v>
      </c>
      <c r="AE125" s="31">
        <v>1542.6911</v>
      </c>
      <c r="AF125" s="92">
        <v>5825.2147999999997</v>
      </c>
      <c r="AG125" s="91">
        <v>281.68124</v>
      </c>
    </row>
    <row r="126" spans="1:33" hidden="1">
      <c r="A126" s="385">
        <f>References!C272</f>
        <v>323</v>
      </c>
      <c r="B126" s="386" t="s">
        <v>43</v>
      </c>
      <c r="C126" s="284">
        <v>2004</v>
      </c>
      <c r="D126" s="31">
        <v>7489.9970000000003</v>
      </c>
      <c r="E126" s="27">
        <v>7489.9970000000003</v>
      </c>
      <c r="F126" s="31"/>
      <c r="G126" s="27">
        <v>275.82400000000001</v>
      </c>
      <c r="H126" s="31">
        <v>1108.9069999999999</v>
      </c>
      <c r="I126" s="27">
        <v>8874.728000000001</v>
      </c>
      <c r="J126" s="27">
        <v>2201.9949999999999</v>
      </c>
      <c r="K126" s="31"/>
      <c r="L126" s="31"/>
      <c r="M126" s="31"/>
      <c r="N126" s="31"/>
      <c r="P126" s="31"/>
      <c r="Q126" s="31">
        <v>0</v>
      </c>
      <c r="R126" s="31"/>
      <c r="S126" s="27">
        <v>5747.1809999999996</v>
      </c>
      <c r="T126" s="27">
        <v>3127.5470000000014</v>
      </c>
      <c r="U126" s="27">
        <v>1627.2</v>
      </c>
      <c r="W126" s="31">
        <v>815.83500000000004</v>
      </c>
      <c r="Z126" s="27">
        <v>684.51200000000131</v>
      </c>
      <c r="AF126" s="31"/>
      <c r="AG126" s="31"/>
    </row>
    <row r="127" spans="1:33" hidden="1">
      <c r="A127" s="385">
        <f>References!D272</f>
        <v>324</v>
      </c>
      <c r="B127" s="386" t="s">
        <v>43</v>
      </c>
      <c r="C127" s="284">
        <v>2005</v>
      </c>
      <c r="D127" s="31">
        <v>7254.9480000000003</v>
      </c>
      <c r="E127" s="27">
        <v>7254.9480000000003</v>
      </c>
      <c r="F127" s="31"/>
      <c r="G127" s="27">
        <v>159.93299999999999</v>
      </c>
      <c r="H127" s="31">
        <v>1462.8720000000001</v>
      </c>
      <c r="I127" s="27">
        <v>8877.7530000000006</v>
      </c>
      <c r="J127" s="27">
        <v>2326.56</v>
      </c>
      <c r="K127" s="31"/>
      <c r="L127" s="31"/>
      <c r="M127" s="31"/>
      <c r="N127" s="31"/>
      <c r="P127" s="31"/>
      <c r="Q127" s="31">
        <v>0</v>
      </c>
      <c r="R127" s="31"/>
      <c r="S127" s="27">
        <v>5761.8</v>
      </c>
      <c r="T127" s="27">
        <v>3115.9530000000004</v>
      </c>
      <c r="U127" s="27">
        <v>2031.4059999999999</v>
      </c>
      <c r="W127" s="31">
        <v>741.28800000000001</v>
      </c>
      <c r="Z127" s="27">
        <v>343.25900000000047</v>
      </c>
      <c r="AF127" s="31"/>
      <c r="AG127" s="31"/>
    </row>
    <row r="128" spans="1:33" hidden="1">
      <c r="A128" s="385">
        <f>References!E272</f>
        <v>325</v>
      </c>
      <c r="B128" s="386" t="s">
        <v>43</v>
      </c>
      <c r="C128" s="284">
        <v>2006</v>
      </c>
      <c r="D128" s="31">
        <v>6846.7569999999996</v>
      </c>
      <c r="E128" s="27">
        <v>6846.7569999999996</v>
      </c>
      <c r="F128" s="31"/>
      <c r="G128" s="27">
        <v>397.11500000000001</v>
      </c>
      <c r="H128" s="31">
        <v>2094.25</v>
      </c>
      <c r="I128" s="27">
        <v>9338.1219999999994</v>
      </c>
      <c r="J128" s="27">
        <v>2173.1419999999998</v>
      </c>
      <c r="K128" s="31"/>
      <c r="L128" s="31"/>
      <c r="M128" s="31"/>
      <c r="N128" s="31"/>
      <c r="P128" s="31"/>
      <c r="Q128" s="31">
        <v>0</v>
      </c>
      <c r="R128" s="31"/>
      <c r="S128" s="27">
        <v>4577.9189999999999</v>
      </c>
      <c r="T128" s="27">
        <v>4760.2029999999995</v>
      </c>
      <c r="U128" s="27">
        <v>2658.6289999999999</v>
      </c>
      <c r="W128" s="31">
        <v>997.60299999999995</v>
      </c>
      <c r="Z128" s="27">
        <v>1103.9709999999995</v>
      </c>
      <c r="AF128" s="31"/>
      <c r="AG128" s="31"/>
    </row>
    <row r="129" spans="1:33" hidden="1">
      <c r="A129" s="385">
        <f>References!F272</f>
        <v>326</v>
      </c>
      <c r="B129" s="386" t="s">
        <v>43</v>
      </c>
      <c r="C129" s="284">
        <v>2007</v>
      </c>
      <c r="D129" s="31">
        <v>7393.9759999999997</v>
      </c>
      <c r="E129" s="27">
        <v>7393.9759999999997</v>
      </c>
      <c r="F129" s="31"/>
      <c r="G129" s="27">
        <v>289.25799999999998</v>
      </c>
      <c r="H129" s="31">
        <v>2293.4389999999999</v>
      </c>
      <c r="I129" s="27">
        <v>9976.6729999999989</v>
      </c>
      <c r="J129" s="27">
        <v>2961.181</v>
      </c>
      <c r="K129" s="31"/>
      <c r="L129" s="31"/>
      <c r="M129" s="31"/>
      <c r="N129" s="31"/>
      <c r="P129" s="31"/>
      <c r="Q129" s="31">
        <v>0</v>
      </c>
      <c r="R129" s="31"/>
      <c r="S129" s="27">
        <v>5666.8829999999998</v>
      </c>
      <c r="T129" s="27">
        <v>4309.7899999999991</v>
      </c>
      <c r="U129" s="27">
        <v>2377.924</v>
      </c>
      <c r="W129" s="31">
        <v>950.43</v>
      </c>
      <c r="Z129" s="27">
        <v>981.43599999999913</v>
      </c>
      <c r="AF129" s="31"/>
      <c r="AG129" s="31"/>
    </row>
    <row r="130" spans="1:33">
      <c r="A130" s="385">
        <f>References!G272</f>
        <v>327</v>
      </c>
      <c r="B130" s="382" t="s">
        <v>43</v>
      </c>
      <c r="C130" s="284">
        <v>2008</v>
      </c>
      <c r="D130" s="91">
        <v>8300</v>
      </c>
      <c r="E130" s="92">
        <v>10055.438</v>
      </c>
      <c r="F130" s="92">
        <v>1901</v>
      </c>
      <c r="G130" s="27">
        <v>236</v>
      </c>
      <c r="H130" s="91">
        <v>11</v>
      </c>
      <c r="I130" s="92">
        <v>12203.438</v>
      </c>
      <c r="J130" s="92">
        <v>3044</v>
      </c>
      <c r="K130" s="91">
        <v>372</v>
      </c>
      <c r="L130" s="91">
        <v>930</v>
      </c>
      <c r="M130" s="91">
        <v>1054</v>
      </c>
      <c r="N130" s="91">
        <v>0</v>
      </c>
      <c r="O130" s="31">
        <v>176</v>
      </c>
      <c r="P130" s="91">
        <v>84</v>
      </c>
      <c r="R130" s="91">
        <v>0</v>
      </c>
      <c r="S130" s="92">
        <v>2616</v>
      </c>
      <c r="T130" s="27">
        <v>6543.4381000000003</v>
      </c>
      <c r="U130" s="27">
        <v>2589</v>
      </c>
      <c r="V130" s="31">
        <v>3954.4380999999998</v>
      </c>
      <c r="W130" s="31">
        <v>-355.17061000000001</v>
      </c>
      <c r="X130" s="31">
        <v>1922.0325</v>
      </c>
      <c r="Y130" s="31">
        <v>0</v>
      </c>
      <c r="Z130" s="27">
        <v>6231.6412</v>
      </c>
      <c r="AA130" s="31">
        <v>0</v>
      </c>
      <c r="AB130" s="31">
        <v>0</v>
      </c>
      <c r="AC130" s="31">
        <v>0</v>
      </c>
      <c r="AD130" s="31">
        <v>0</v>
      </c>
      <c r="AE130" s="31">
        <v>0</v>
      </c>
      <c r="AF130" s="92">
        <v>4439</v>
      </c>
      <c r="AG130" s="91">
        <v>80</v>
      </c>
    </row>
    <row r="131" spans="1:33">
      <c r="A131" s="385">
        <f>References!H272</f>
        <v>328</v>
      </c>
      <c r="B131" s="382" t="s">
        <v>43</v>
      </c>
      <c r="C131" s="284">
        <v>2009</v>
      </c>
      <c r="D131" s="91">
        <v>9025</v>
      </c>
      <c r="E131" s="92">
        <v>11031</v>
      </c>
      <c r="F131" s="92">
        <v>1743</v>
      </c>
      <c r="G131" s="27">
        <v>621</v>
      </c>
      <c r="H131" s="91">
        <v>7</v>
      </c>
      <c r="I131" s="92">
        <v>13402</v>
      </c>
      <c r="J131" s="92">
        <v>3875</v>
      </c>
      <c r="K131" s="91">
        <v>405</v>
      </c>
      <c r="L131" s="91">
        <v>1015</v>
      </c>
      <c r="M131" s="91">
        <v>1244</v>
      </c>
      <c r="N131" s="91">
        <v>0</v>
      </c>
      <c r="O131" s="31">
        <v>267</v>
      </c>
      <c r="P131" s="91">
        <v>77</v>
      </c>
      <c r="R131" s="91">
        <v>0</v>
      </c>
      <c r="S131" s="92">
        <v>3008</v>
      </c>
      <c r="T131" s="27">
        <v>6519</v>
      </c>
      <c r="U131" s="27">
        <v>2675</v>
      </c>
      <c r="V131" s="31">
        <v>3844</v>
      </c>
      <c r="W131" s="31">
        <v>-472.98842999999999</v>
      </c>
      <c r="X131" s="31">
        <v>1799.8322000000001</v>
      </c>
      <c r="Y131" s="31">
        <v>0</v>
      </c>
      <c r="Z131" s="27">
        <v>6116.8206</v>
      </c>
      <c r="AA131" s="31">
        <v>0</v>
      </c>
      <c r="AB131" s="31">
        <v>0</v>
      </c>
      <c r="AC131" s="31">
        <v>0</v>
      </c>
      <c r="AD131" s="31">
        <v>0</v>
      </c>
      <c r="AE131" s="31">
        <v>0</v>
      </c>
      <c r="AF131" s="92">
        <v>3571</v>
      </c>
      <c r="AG131" s="91">
        <v>43</v>
      </c>
    </row>
    <row r="132" spans="1:33">
      <c r="A132" s="385">
        <f>References!I272</f>
        <v>329</v>
      </c>
      <c r="B132" s="382" t="s">
        <v>43</v>
      </c>
      <c r="C132" s="284">
        <v>2010</v>
      </c>
      <c r="D132" s="91">
        <v>10259</v>
      </c>
      <c r="E132" s="92">
        <v>12423</v>
      </c>
      <c r="F132" s="92">
        <v>1670</v>
      </c>
      <c r="G132" s="27">
        <v>153</v>
      </c>
      <c r="H132" s="91">
        <v>5</v>
      </c>
      <c r="I132" s="92">
        <v>14251</v>
      </c>
      <c r="J132" s="92">
        <v>3797</v>
      </c>
      <c r="K132" s="91">
        <v>398</v>
      </c>
      <c r="L132" s="91">
        <v>1046</v>
      </c>
      <c r="M132" s="91">
        <v>974</v>
      </c>
      <c r="N132" s="91">
        <v>409</v>
      </c>
      <c r="O132" s="31">
        <v>217</v>
      </c>
      <c r="P132" s="91">
        <v>86</v>
      </c>
      <c r="R132" s="91">
        <v>0</v>
      </c>
      <c r="S132" s="92">
        <v>3130</v>
      </c>
      <c r="T132" s="27">
        <v>7324</v>
      </c>
      <c r="U132" s="27">
        <v>2849</v>
      </c>
      <c r="V132" s="31">
        <v>4475</v>
      </c>
      <c r="W132" s="31">
        <v>-124.29201999999999</v>
      </c>
      <c r="X132" s="31">
        <v>1292.0761</v>
      </c>
      <c r="Y132" s="31">
        <v>0</v>
      </c>
      <c r="Z132" s="27">
        <v>5891.3680999999997</v>
      </c>
      <c r="AA132" s="31">
        <v>332</v>
      </c>
      <c r="AB132" s="31">
        <v>5122</v>
      </c>
      <c r="AC132" s="31">
        <v>46</v>
      </c>
      <c r="AD132" s="31">
        <v>325</v>
      </c>
      <c r="AE132" s="31">
        <v>0</v>
      </c>
      <c r="AF132" s="92">
        <v>5825</v>
      </c>
      <c r="AG132" s="91">
        <v>55</v>
      </c>
    </row>
    <row r="133" spans="1:33">
      <c r="A133" s="385">
        <f>References!J272</f>
        <v>330</v>
      </c>
      <c r="B133" s="382" t="s">
        <v>43</v>
      </c>
      <c r="C133" s="284">
        <v>2011</v>
      </c>
      <c r="D133" s="91">
        <v>10134</v>
      </c>
      <c r="E133" s="92">
        <v>12501</v>
      </c>
      <c r="F133" s="92">
        <v>1485.1207999999999</v>
      </c>
      <c r="G133" s="27">
        <v>248.14699999999999</v>
      </c>
      <c r="H133" s="91">
        <v>2.1379999999999999</v>
      </c>
      <c r="I133" s="92">
        <v>14236.406000000001</v>
      </c>
      <c r="J133" s="92">
        <v>4095.3090000000002</v>
      </c>
      <c r="K133" s="91">
        <v>420</v>
      </c>
      <c r="L133" s="91">
        <v>1096</v>
      </c>
      <c r="M133" s="91">
        <v>543</v>
      </c>
      <c r="N133" s="91">
        <v>577</v>
      </c>
      <c r="O133" s="31">
        <v>228</v>
      </c>
      <c r="P133" s="91">
        <v>125</v>
      </c>
      <c r="R133" s="91">
        <v>0</v>
      </c>
      <c r="S133" s="92">
        <v>2989</v>
      </c>
      <c r="T133" s="27">
        <v>7152.0968000000003</v>
      </c>
      <c r="U133" s="27">
        <v>3270</v>
      </c>
      <c r="V133" s="31">
        <v>3882.0967999999998</v>
      </c>
      <c r="W133" s="31">
        <v>-4.7213899999999998E-3</v>
      </c>
      <c r="X133" s="31">
        <v>3000.9535000000001</v>
      </c>
      <c r="Y133" s="31">
        <v>0</v>
      </c>
      <c r="Z133" s="27">
        <v>6883.0550000000003</v>
      </c>
      <c r="AA133" s="31">
        <v>124.23621</v>
      </c>
      <c r="AB133" s="31">
        <v>3509.1837</v>
      </c>
      <c r="AC133" s="31">
        <v>326.51672000000002</v>
      </c>
      <c r="AD133" s="31">
        <v>789.26205000000004</v>
      </c>
      <c r="AE133" s="31">
        <v>0</v>
      </c>
      <c r="AF133" s="92">
        <v>4749.1986999999999</v>
      </c>
      <c r="AG133" s="91">
        <v>39</v>
      </c>
    </row>
    <row r="134" spans="1:33" hidden="1">
      <c r="A134" s="385">
        <f>References!C273</f>
        <v>346</v>
      </c>
      <c r="B134" s="386" t="s">
        <v>44</v>
      </c>
      <c r="C134" s="284">
        <v>2004</v>
      </c>
      <c r="D134" s="31">
        <v>28128</v>
      </c>
      <c r="E134" s="27">
        <v>28128</v>
      </c>
      <c r="F134" s="31"/>
      <c r="G134" s="27">
        <v>1097</v>
      </c>
      <c r="H134" s="31">
        <v>2102</v>
      </c>
      <c r="I134" s="27">
        <v>31327</v>
      </c>
      <c r="J134" s="27">
        <v>9659</v>
      </c>
      <c r="K134" s="31"/>
      <c r="L134" s="31"/>
      <c r="M134" s="31"/>
      <c r="N134" s="31"/>
      <c r="P134" s="31"/>
      <c r="Q134" s="31">
        <v>1097</v>
      </c>
      <c r="R134" s="31"/>
      <c r="S134" s="27">
        <v>18854</v>
      </c>
      <c r="T134" s="27">
        <v>12473</v>
      </c>
      <c r="U134" s="27">
        <v>3547</v>
      </c>
      <c r="W134" s="31">
        <v>2532</v>
      </c>
      <c r="Z134" s="27">
        <v>6394</v>
      </c>
      <c r="AF134" s="31"/>
      <c r="AG134" s="31"/>
    </row>
    <row r="135" spans="1:33" hidden="1">
      <c r="A135" s="385">
        <f>References!D273</f>
        <v>347</v>
      </c>
      <c r="B135" s="386" t="s">
        <v>44</v>
      </c>
      <c r="C135" s="284">
        <v>2005</v>
      </c>
      <c r="D135" s="31">
        <v>30335</v>
      </c>
      <c r="E135" s="27">
        <v>30335</v>
      </c>
      <c r="F135" s="31"/>
      <c r="G135" s="27">
        <v>622</v>
      </c>
      <c r="H135" s="31">
        <v>3213</v>
      </c>
      <c r="I135" s="27">
        <v>34170</v>
      </c>
      <c r="J135" s="27">
        <v>10067</v>
      </c>
      <c r="K135" s="31"/>
      <c r="L135" s="31"/>
      <c r="M135" s="31"/>
      <c r="N135" s="31"/>
      <c r="P135" s="31"/>
      <c r="Q135" s="31">
        <v>622</v>
      </c>
      <c r="R135" s="31"/>
      <c r="S135" s="27">
        <v>19331</v>
      </c>
      <c r="T135" s="27">
        <v>14839</v>
      </c>
      <c r="U135" s="27">
        <v>3954</v>
      </c>
      <c r="W135" s="31">
        <v>2609</v>
      </c>
      <c r="Z135" s="27">
        <v>8276</v>
      </c>
      <c r="AF135" s="31"/>
      <c r="AG135" s="31"/>
    </row>
    <row r="136" spans="1:33" hidden="1">
      <c r="A136" s="385">
        <f>References!E273</f>
        <v>348</v>
      </c>
      <c r="B136" s="386" t="s">
        <v>44</v>
      </c>
      <c r="C136" s="284">
        <v>2006</v>
      </c>
      <c r="D136" s="31">
        <v>31782</v>
      </c>
      <c r="E136" s="27">
        <v>31782</v>
      </c>
      <c r="F136" s="31"/>
      <c r="G136" s="27">
        <v>1255</v>
      </c>
      <c r="H136" s="31">
        <v>3979</v>
      </c>
      <c r="I136" s="27">
        <v>37016</v>
      </c>
      <c r="J136" s="27">
        <v>10251</v>
      </c>
      <c r="K136" s="31"/>
      <c r="L136" s="31"/>
      <c r="M136" s="31"/>
      <c r="N136" s="31"/>
      <c r="P136" s="31"/>
      <c r="Q136" s="31">
        <v>1255</v>
      </c>
      <c r="R136" s="31"/>
      <c r="S136" s="27">
        <v>21782</v>
      </c>
      <c r="T136" s="27">
        <v>15234</v>
      </c>
      <c r="U136" s="27">
        <v>3995</v>
      </c>
      <c r="W136" s="31">
        <v>2449</v>
      </c>
      <c r="Z136" s="27">
        <v>8790</v>
      </c>
      <c r="AF136" s="31"/>
      <c r="AG136" s="31"/>
    </row>
    <row r="137" spans="1:33" hidden="1">
      <c r="A137" s="385">
        <f>References!F273</f>
        <v>349</v>
      </c>
      <c r="B137" s="386" t="s">
        <v>44</v>
      </c>
      <c r="C137" s="284">
        <v>2007</v>
      </c>
      <c r="D137" s="31">
        <v>34668</v>
      </c>
      <c r="E137" s="27">
        <v>34668</v>
      </c>
      <c r="F137" s="31"/>
      <c r="G137" s="27">
        <v>1104</v>
      </c>
      <c r="H137" s="31">
        <v>4202</v>
      </c>
      <c r="I137" s="27">
        <v>39974</v>
      </c>
      <c r="J137" s="27">
        <v>11171</v>
      </c>
      <c r="K137" s="31"/>
      <c r="L137" s="31"/>
      <c r="M137" s="31"/>
      <c r="N137" s="31"/>
      <c r="P137" s="31"/>
      <c r="Q137" s="31">
        <v>1104</v>
      </c>
      <c r="R137" s="31"/>
      <c r="S137" s="27">
        <v>23920</v>
      </c>
      <c r="T137" s="27">
        <v>16054</v>
      </c>
      <c r="U137" s="27">
        <v>3974</v>
      </c>
      <c r="W137" s="31">
        <v>2652</v>
      </c>
      <c r="Z137" s="27">
        <v>9428</v>
      </c>
      <c r="AF137" s="31"/>
      <c r="AG137" s="31"/>
    </row>
    <row r="138" spans="1:33">
      <c r="A138" s="385">
        <f>References!G273</f>
        <v>350</v>
      </c>
      <c r="B138" s="382" t="s">
        <v>44</v>
      </c>
      <c r="C138" s="284">
        <v>2008</v>
      </c>
      <c r="D138" s="91">
        <v>37264</v>
      </c>
      <c r="E138" s="92">
        <v>41353</v>
      </c>
      <c r="F138" s="92">
        <v>7004.8680000000004</v>
      </c>
      <c r="G138" s="27">
        <v>0</v>
      </c>
      <c r="H138" s="91">
        <v>129</v>
      </c>
      <c r="I138" s="92">
        <v>48486.868000000002</v>
      </c>
      <c r="J138" s="92">
        <v>11618</v>
      </c>
      <c r="K138" s="91">
        <v>5095</v>
      </c>
      <c r="L138" s="91">
        <v>374</v>
      </c>
      <c r="M138" s="91">
        <v>1371</v>
      </c>
      <c r="N138" s="91">
        <v>3504</v>
      </c>
      <c r="O138" s="31">
        <v>2406</v>
      </c>
      <c r="P138" s="91">
        <v>232</v>
      </c>
      <c r="R138" s="91">
        <v>1572</v>
      </c>
      <c r="S138" s="92">
        <v>14554</v>
      </c>
      <c r="T138" s="27">
        <v>22314.867999999999</v>
      </c>
      <c r="U138" s="27">
        <v>6672.6271999999999</v>
      </c>
      <c r="V138" s="31">
        <v>15642.241</v>
      </c>
      <c r="W138" s="31">
        <v>370.09847000000002</v>
      </c>
      <c r="X138" s="31">
        <v>5407.6905999999999</v>
      </c>
      <c r="Y138" s="31">
        <v>1544</v>
      </c>
      <c r="Z138" s="27">
        <v>22223.832999999999</v>
      </c>
      <c r="AA138" s="31">
        <v>0</v>
      </c>
      <c r="AB138" s="31">
        <v>2195</v>
      </c>
      <c r="AC138" s="31">
        <v>0</v>
      </c>
      <c r="AD138" s="31">
        <v>2263</v>
      </c>
      <c r="AE138" s="31">
        <v>0</v>
      </c>
      <c r="AF138" s="92">
        <v>4458</v>
      </c>
      <c r="AG138" s="91">
        <v>797</v>
      </c>
    </row>
    <row r="139" spans="1:33">
      <c r="A139" s="385">
        <f>References!H273</f>
        <v>351</v>
      </c>
      <c r="B139" s="382" t="s">
        <v>44</v>
      </c>
      <c r="C139" s="284">
        <v>2009</v>
      </c>
      <c r="D139" s="91">
        <v>42858.400000000001</v>
      </c>
      <c r="E139" s="92">
        <v>45727.4</v>
      </c>
      <c r="F139" s="92">
        <v>3728</v>
      </c>
      <c r="G139" s="27">
        <v>-21</v>
      </c>
      <c r="H139" s="91">
        <v>186.7</v>
      </c>
      <c r="I139" s="92">
        <v>49621.1</v>
      </c>
      <c r="J139" s="92">
        <v>14329.5</v>
      </c>
      <c r="K139" s="91">
        <v>6341</v>
      </c>
      <c r="L139" s="91">
        <v>479</v>
      </c>
      <c r="M139" s="91">
        <v>1455.3</v>
      </c>
      <c r="N139" s="91">
        <v>4074.6</v>
      </c>
      <c r="O139" s="31">
        <v>1812.5</v>
      </c>
      <c r="P139" s="91">
        <v>272.10000000000002</v>
      </c>
      <c r="R139" s="91">
        <v>1541</v>
      </c>
      <c r="S139" s="92">
        <v>15975.5</v>
      </c>
      <c r="T139" s="27">
        <v>19316.099999999999</v>
      </c>
      <c r="U139" s="27">
        <v>7232.7</v>
      </c>
      <c r="V139" s="31">
        <v>12083.4</v>
      </c>
      <c r="W139" s="31">
        <v>918.42970000000003</v>
      </c>
      <c r="X139" s="31">
        <v>5217.5087999999996</v>
      </c>
      <c r="Y139" s="31">
        <v>0</v>
      </c>
      <c r="Z139" s="27">
        <v>16382.478999999999</v>
      </c>
      <c r="AA139" s="31">
        <v>0</v>
      </c>
      <c r="AB139" s="31">
        <v>0</v>
      </c>
      <c r="AC139" s="31">
        <v>0</v>
      </c>
      <c r="AD139" s="31">
        <v>0</v>
      </c>
      <c r="AE139" s="31">
        <v>0</v>
      </c>
      <c r="AF139" s="92">
        <v>7627.6</v>
      </c>
      <c r="AG139" s="91">
        <v>623.6</v>
      </c>
    </row>
    <row r="140" spans="1:33">
      <c r="A140" s="385">
        <f>References!I273</f>
        <v>352</v>
      </c>
      <c r="B140" s="382" t="s">
        <v>44</v>
      </c>
      <c r="C140" s="284">
        <v>2010</v>
      </c>
      <c r="D140" s="91">
        <v>45819</v>
      </c>
      <c r="E140" s="92">
        <v>50147</v>
      </c>
      <c r="F140" s="92">
        <v>2356</v>
      </c>
      <c r="G140" s="27">
        <v>0</v>
      </c>
      <c r="H140" s="91">
        <v>249</v>
      </c>
      <c r="I140" s="92">
        <v>52752</v>
      </c>
      <c r="J140" s="92">
        <v>14972</v>
      </c>
      <c r="K140" s="91">
        <v>6692</v>
      </c>
      <c r="L140" s="91">
        <v>500</v>
      </c>
      <c r="M140" s="91">
        <v>1570</v>
      </c>
      <c r="N140" s="91">
        <v>3716</v>
      </c>
      <c r="O140" s="31">
        <v>1368</v>
      </c>
      <c r="P140" s="91">
        <v>258</v>
      </c>
      <c r="R140" s="91">
        <v>1437</v>
      </c>
      <c r="S140" s="92">
        <v>15541</v>
      </c>
      <c r="T140" s="27">
        <v>22239</v>
      </c>
      <c r="U140" s="27">
        <v>9083</v>
      </c>
      <c r="V140" s="31">
        <v>13156</v>
      </c>
      <c r="W140" s="31">
        <v>1705.1826000000001</v>
      </c>
      <c r="X140" s="31">
        <v>3815.4495000000002</v>
      </c>
      <c r="Y140" s="31">
        <v>0</v>
      </c>
      <c r="Z140" s="27">
        <v>15266.267</v>
      </c>
      <c r="AA140" s="31">
        <v>428</v>
      </c>
      <c r="AB140" s="31">
        <v>3576</v>
      </c>
      <c r="AC140" s="31">
        <v>411</v>
      </c>
      <c r="AD140" s="31">
        <v>6429</v>
      </c>
      <c r="AE140" s="31">
        <v>98</v>
      </c>
      <c r="AF140" s="92">
        <v>10942</v>
      </c>
      <c r="AG140" s="91">
        <v>491</v>
      </c>
    </row>
    <row r="141" spans="1:33">
      <c r="A141" s="385">
        <f>References!J273</f>
        <v>353</v>
      </c>
      <c r="B141" s="382" t="s">
        <v>44</v>
      </c>
      <c r="C141" s="284">
        <v>2011</v>
      </c>
      <c r="D141" s="91">
        <v>46108</v>
      </c>
      <c r="E141" s="92">
        <v>50025</v>
      </c>
      <c r="F141" s="92">
        <v>1534.1</v>
      </c>
      <c r="G141" s="27">
        <v>0</v>
      </c>
      <c r="H141" s="91">
        <v>134.5</v>
      </c>
      <c r="I141" s="92">
        <v>51693.599999999999</v>
      </c>
      <c r="J141" s="92">
        <v>14937</v>
      </c>
      <c r="K141" s="91">
        <v>5940.732</v>
      </c>
      <c r="L141" s="91">
        <v>617</v>
      </c>
      <c r="M141" s="91">
        <v>1659</v>
      </c>
      <c r="N141" s="91">
        <v>3172</v>
      </c>
      <c r="O141" s="31">
        <v>1285</v>
      </c>
      <c r="P141" s="91">
        <v>208</v>
      </c>
      <c r="R141" s="91">
        <v>1912</v>
      </c>
      <c r="S141" s="92">
        <v>14793.732</v>
      </c>
      <c r="T141" s="27">
        <v>21962.867999999999</v>
      </c>
      <c r="U141" s="27">
        <v>9544</v>
      </c>
      <c r="V141" s="31">
        <v>12418.868</v>
      </c>
      <c r="W141" s="31">
        <v>1546.4671000000001</v>
      </c>
      <c r="X141" s="31">
        <v>8676.2242999999999</v>
      </c>
      <c r="Y141" s="31">
        <v>0</v>
      </c>
      <c r="Z141" s="27">
        <v>19548.625</v>
      </c>
      <c r="AA141" s="31">
        <v>594</v>
      </c>
      <c r="AB141" s="31">
        <v>1586</v>
      </c>
      <c r="AC141" s="31">
        <v>203</v>
      </c>
      <c r="AD141" s="31">
        <v>7419</v>
      </c>
      <c r="AE141" s="31">
        <v>24</v>
      </c>
      <c r="AF141" s="92">
        <v>9826</v>
      </c>
      <c r="AG141" s="91">
        <v>733</v>
      </c>
    </row>
    <row r="142" spans="1:33" hidden="1">
      <c r="A142" s="385">
        <f>References!C274</f>
        <v>369</v>
      </c>
      <c r="B142" s="386" t="s">
        <v>45</v>
      </c>
      <c r="C142" s="284">
        <v>2004</v>
      </c>
      <c r="D142" s="31">
        <v>136936</v>
      </c>
      <c r="E142" s="27">
        <v>136936</v>
      </c>
      <c r="F142" s="31"/>
      <c r="G142" s="27">
        <v>6018</v>
      </c>
      <c r="H142" s="31">
        <v>9320</v>
      </c>
      <c r="I142" s="27">
        <v>152274</v>
      </c>
      <c r="J142" s="27">
        <v>34807</v>
      </c>
      <c r="K142" s="31"/>
      <c r="L142" s="31"/>
      <c r="M142" s="31"/>
      <c r="N142" s="31"/>
      <c r="P142" s="31"/>
      <c r="Q142" s="31">
        <v>6018</v>
      </c>
      <c r="R142" s="31"/>
      <c r="S142" s="27">
        <v>71036</v>
      </c>
      <c r="T142" s="27">
        <v>81238</v>
      </c>
      <c r="U142" s="27">
        <v>21940</v>
      </c>
      <c r="W142" s="31">
        <v>23566</v>
      </c>
      <c r="Z142" s="27">
        <v>35453</v>
      </c>
      <c r="AF142" s="31"/>
      <c r="AG142" s="31"/>
    </row>
    <row r="143" spans="1:33" hidden="1">
      <c r="A143" s="385">
        <f>References!D274</f>
        <v>370</v>
      </c>
      <c r="B143" s="386" t="s">
        <v>45</v>
      </c>
      <c r="C143" s="284">
        <v>2005</v>
      </c>
      <c r="D143" s="31">
        <v>144463</v>
      </c>
      <c r="E143" s="27">
        <v>144463</v>
      </c>
      <c r="F143" s="31"/>
      <c r="G143" s="27">
        <v>3189</v>
      </c>
      <c r="H143" s="31">
        <v>7089</v>
      </c>
      <c r="I143" s="27">
        <v>154741</v>
      </c>
      <c r="J143" s="27">
        <v>39397</v>
      </c>
      <c r="K143" s="31"/>
      <c r="L143" s="31"/>
      <c r="M143" s="31"/>
      <c r="N143" s="31"/>
      <c r="P143" s="31"/>
      <c r="Q143" s="31">
        <v>3189</v>
      </c>
      <c r="R143" s="31"/>
      <c r="S143" s="27">
        <v>83202</v>
      </c>
      <c r="T143" s="27">
        <v>71539</v>
      </c>
      <c r="U143" s="27">
        <v>23761</v>
      </c>
      <c r="W143" s="31">
        <v>20695</v>
      </c>
      <c r="Z143" s="27">
        <v>24498</v>
      </c>
      <c r="AF143" s="31"/>
      <c r="AG143" s="31"/>
    </row>
    <row r="144" spans="1:33" hidden="1">
      <c r="A144" s="385">
        <f>References!E274</f>
        <v>371</v>
      </c>
      <c r="B144" s="386" t="s">
        <v>45</v>
      </c>
      <c r="C144" s="284">
        <v>2006</v>
      </c>
      <c r="D144" s="31">
        <v>151266</v>
      </c>
      <c r="E144" s="27">
        <v>151266</v>
      </c>
      <c r="F144" s="31"/>
      <c r="G144" s="27">
        <v>7181</v>
      </c>
      <c r="H144" s="31">
        <v>10207</v>
      </c>
      <c r="I144" s="27">
        <v>168654</v>
      </c>
      <c r="J144" s="27">
        <v>40218</v>
      </c>
      <c r="K144" s="31"/>
      <c r="L144" s="31"/>
      <c r="M144" s="31"/>
      <c r="N144" s="31"/>
      <c r="P144" s="31"/>
      <c r="Q144" s="31">
        <v>7181</v>
      </c>
      <c r="R144" s="31"/>
      <c r="S144" s="27">
        <v>83754</v>
      </c>
      <c r="T144" s="27">
        <v>84900</v>
      </c>
      <c r="U144" s="27">
        <v>24413</v>
      </c>
      <c r="W144" s="31">
        <v>23019</v>
      </c>
      <c r="Z144" s="27">
        <v>34537</v>
      </c>
      <c r="AF144" s="31"/>
      <c r="AG144" s="31"/>
    </row>
    <row r="145" spans="1:33" hidden="1">
      <c r="A145" s="385">
        <f>References!F274</f>
        <v>372</v>
      </c>
      <c r="B145" s="386" t="s">
        <v>45</v>
      </c>
      <c r="C145" s="284">
        <v>2007</v>
      </c>
      <c r="D145" s="31">
        <v>160664</v>
      </c>
      <c r="E145" s="27">
        <v>160664</v>
      </c>
      <c r="F145" s="31"/>
      <c r="G145" s="27">
        <v>5700</v>
      </c>
      <c r="H145" s="31">
        <v>7905</v>
      </c>
      <c r="I145" s="27">
        <v>174269</v>
      </c>
      <c r="J145" s="27">
        <v>41749</v>
      </c>
      <c r="K145" s="31"/>
      <c r="L145" s="31"/>
      <c r="M145" s="31"/>
      <c r="N145" s="31"/>
      <c r="P145" s="31"/>
      <c r="Q145" s="31">
        <v>5700</v>
      </c>
      <c r="R145" s="31"/>
      <c r="S145" s="27">
        <v>83334</v>
      </c>
      <c r="T145" s="27">
        <v>90935</v>
      </c>
      <c r="U145" s="27">
        <v>25173</v>
      </c>
      <c r="W145" s="31">
        <v>27115</v>
      </c>
      <c r="Z145" s="27">
        <v>36402</v>
      </c>
      <c r="AF145" s="31"/>
      <c r="AG145" s="31"/>
    </row>
    <row r="146" spans="1:33">
      <c r="A146" s="385">
        <f>References!G274</f>
        <v>373</v>
      </c>
      <c r="B146" s="382" t="s">
        <v>45</v>
      </c>
      <c r="C146" s="284">
        <v>2008</v>
      </c>
      <c r="D146" s="91">
        <v>169372</v>
      </c>
      <c r="E146" s="92">
        <v>169372</v>
      </c>
      <c r="F146" s="92">
        <v>8530</v>
      </c>
      <c r="G146" s="27">
        <v>0</v>
      </c>
      <c r="H146" s="91">
        <v>1136</v>
      </c>
      <c r="I146" s="92">
        <v>179038</v>
      </c>
      <c r="J146" s="92">
        <v>44169</v>
      </c>
      <c r="K146" s="91">
        <v>0</v>
      </c>
      <c r="L146" s="91">
        <v>0</v>
      </c>
      <c r="M146" s="91">
        <v>35747</v>
      </c>
      <c r="N146" s="91">
        <v>0</v>
      </c>
      <c r="O146" s="31">
        <v>0</v>
      </c>
      <c r="P146" s="91">
        <v>0</v>
      </c>
      <c r="R146" s="91">
        <v>0</v>
      </c>
      <c r="S146" s="92">
        <v>35747</v>
      </c>
      <c r="T146" s="27">
        <v>99122</v>
      </c>
      <c r="U146" s="27">
        <v>25906</v>
      </c>
      <c r="V146" s="31">
        <v>73216</v>
      </c>
      <c r="W146" s="31">
        <v>15119.976000000001</v>
      </c>
      <c r="X146" s="31">
        <v>22256.54</v>
      </c>
      <c r="Y146" s="31">
        <v>-489</v>
      </c>
      <c r="Z146" s="27">
        <v>79863.563999999998</v>
      </c>
      <c r="AA146" s="31">
        <v>33680</v>
      </c>
      <c r="AB146" s="31">
        <v>0</v>
      </c>
      <c r="AC146" s="31">
        <v>0</v>
      </c>
      <c r="AD146" s="31">
        <v>0</v>
      </c>
      <c r="AE146" s="31">
        <v>0</v>
      </c>
      <c r="AF146" s="92">
        <v>33680</v>
      </c>
      <c r="AG146" s="91">
        <v>2606</v>
      </c>
    </row>
    <row r="147" spans="1:33">
      <c r="A147" s="385">
        <f>References!H274</f>
        <v>374</v>
      </c>
      <c r="B147" s="382" t="s">
        <v>45</v>
      </c>
      <c r="C147" s="284">
        <v>2009</v>
      </c>
      <c r="D147" s="91">
        <v>180415</v>
      </c>
      <c r="E147" s="92">
        <v>180415</v>
      </c>
      <c r="F147" s="92">
        <v>9180</v>
      </c>
      <c r="G147" s="27">
        <v>0</v>
      </c>
      <c r="H147" s="91">
        <v>1453</v>
      </c>
      <c r="I147" s="92">
        <v>191048</v>
      </c>
      <c r="J147" s="92">
        <v>49122</v>
      </c>
      <c r="K147" s="91">
        <v>0</v>
      </c>
      <c r="L147" s="91">
        <v>0</v>
      </c>
      <c r="M147" s="91">
        <v>0</v>
      </c>
      <c r="N147" s="91">
        <v>0</v>
      </c>
      <c r="O147" s="31">
        <v>0</v>
      </c>
      <c r="P147" s="91">
        <v>0</v>
      </c>
      <c r="R147" s="91">
        <v>0</v>
      </c>
      <c r="S147" s="92">
        <v>37776</v>
      </c>
      <c r="T147" s="27">
        <v>104150</v>
      </c>
      <c r="U147" s="27">
        <v>27378</v>
      </c>
      <c r="V147" s="31">
        <v>76772</v>
      </c>
      <c r="W147" s="31">
        <v>13799.674999999999</v>
      </c>
      <c r="X147" s="31">
        <v>20801.673999999999</v>
      </c>
      <c r="Y147" s="31">
        <v>-510</v>
      </c>
      <c r="Z147" s="27">
        <v>83263.998999999996</v>
      </c>
      <c r="AA147" s="31">
        <v>0</v>
      </c>
      <c r="AB147" s="31">
        <v>0</v>
      </c>
      <c r="AC147" s="31">
        <v>0</v>
      </c>
      <c r="AD147" s="31">
        <v>0</v>
      </c>
      <c r="AE147" s="31">
        <v>0</v>
      </c>
      <c r="AF147" s="92">
        <v>34462</v>
      </c>
      <c r="AG147" s="91">
        <v>2936</v>
      </c>
    </row>
    <row r="148" spans="1:33">
      <c r="A148" s="385">
        <f>References!I274</f>
        <v>375</v>
      </c>
      <c r="B148" s="382" t="s">
        <v>45</v>
      </c>
      <c r="C148" s="284">
        <v>2010</v>
      </c>
      <c r="D148" s="91">
        <v>190151</v>
      </c>
      <c r="E148" s="92">
        <v>190151</v>
      </c>
      <c r="F148" s="92">
        <v>5417</v>
      </c>
      <c r="G148" s="27">
        <v>0</v>
      </c>
      <c r="H148" s="91">
        <v>1255</v>
      </c>
      <c r="I148" s="92">
        <v>196823</v>
      </c>
      <c r="J148" s="92">
        <v>53741</v>
      </c>
      <c r="K148" s="91">
        <v>9910</v>
      </c>
      <c r="L148" s="91">
        <v>9770</v>
      </c>
      <c r="M148" s="91">
        <v>13722</v>
      </c>
      <c r="N148" s="91">
        <v>2118</v>
      </c>
      <c r="O148" s="31">
        <v>3258</v>
      </c>
      <c r="P148" s="91">
        <v>2112</v>
      </c>
      <c r="R148" s="91">
        <v>0</v>
      </c>
      <c r="S148" s="92">
        <v>40890</v>
      </c>
      <c r="T148" s="27">
        <v>102192</v>
      </c>
      <c r="U148" s="27">
        <v>29138</v>
      </c>
      <c r="V148" s="31">
        <v>73054</v>
      </c>
      <c r="W148" s="31">
        <v>13491.752</v>
      </c>
      <c r="X148" s="31">
        <v>15057.523999999999</v>
      </c>
      <c r="Y148" s="31">
        <v>-1154</v>
      </c>
      <c r="Z148" s="27">
        <v>73465.771999999997</v>
      </c>
      <c r="AA148" s="31">
        <v>5089</v>
      </c>
      <c r="AB148" s="31">
        <v>13552</v>
      </c>
      <c r="AC148" s="31">
        <v>2956</v>
      </c>
      <c r="AD148" s="31">
        <v>12320</v>
      </c>
      <c r="AE148" s="31">
        <v>2529</v>
      </c>
      <c r="AF148" s="92">
        <v>36446</v>
      </c>
      <c r="AG148" s="91">
        <v>5698</v>
      </c>
    </row>
    <row r="149" spans="1:33">
      <c r="A149" s="385">
        <f>References!J274</f>
        <v>376</v>
      </c>
      <c r="B149" s="382" t="s">
        <v>45</v>
      </c>
      <c r="C149" s="284">
        <v>2011</v>
      </c>
      <c r="D149" s="91">
        <f>D148</f>
        <v>190151</v>
      </c>
      <c r="E149" s="92">
        <f t="shared" ref="E149:AG149" si="0">E148</f>
        <v>190151</v>
      </c>
      <c r="F149" s="92">
        <f t="shared" si="0"/>
        <v>5417</v>
      </c>
      <c r="G149" s="27">
        <f t="shared" si="0"/>
        <v>0</v>
      </c>
      <c r="H149" s="91">
        <f t="shared" si="0"/>
        <v>1255</v>
      </c>
      <c r="I149" s="92">
        <f t="shared" si="0"/>
        <v>196823</v>
      </c>
      <c r="J149" s="92">
        <f t="shared" si="0"/>
        <v>53741</v>
      </c>
      <c r="K149" s="91">
        <f t="shared" si="0"/>
        <v>9910</v>
      </c>
      <c r="L149" s="91">
        <f t="shared" si="0"/>
        <v>9770</v>
      </c>
      <c r="M149" s="91">
        <f t="shared" si="0"/>
        <v>13722</v>
      </c>
      <c r="N149" s="91">
        <f t="shared" si="0"/>
        <v>2118</v>
      </c>
      <c r="O149" s="31">
        <f t="shared" si="0"/>
        <v>3258</v>
      </c>
      <c r="P149" s="91">
        <f t="shared" si="0"/>
        <v>2112</v>
      </c>
      <c r="Q149" s="91">
        <f t="shared" si="0"/>
        <v>0</v>
      </c>
      <c r="R149" s="91">
        <f t="shared" si="0"/>
        <v>0</v>
      </c>
      <c r="S149" s="92">
        <f t="shared" si="0"/>
        <v>40890</v>
      </c>
      <c r="T149" s="27">
        <f t="shared" si="0"/>
        <v>102192</v>
      </c>
      <c r="U149" s="27">
        <f t="shared" si="0"/>
        <v>29138</v>
      </c>
      <c r="V149" s="31">
        <f t="shared" si="0"/>
        <v>73054</v>
      </c>
      <c r="W149" s="31">
        <f t="shared" si="0"/>
        <v>13491.752</v>
      </c>
      <c r="X149" s="31">
        <f t="shared" si="0"/>
        <v>15057.523999999999</v>
      </c>
      <c r="Y149" s="31">
        <f t="shared" si="0"/>
        <v>-1154</v>
      </c>
      <c r="Z149" s="27">
        <f t="shared" si="0"/>
        <v>73465.771999999997</v>
      </c>
      <c r="AA149" s="31">
        <f t="shared" si="0"/>
        <v>5089</v>
      </c>
      <c r="AB149" s="31">
        <f t="shared" si="0"/>
        <v>13552</v>
      </c>
      <c r="AC149" s="31">
        <f t="shared" si="0"/>
        <v>2956</v>
      </c>
      <c r="AD149" s="31">
        <f t="shared" si="0"/>
        <v>12320</v>
      </c>
      <c r="AE149" s="31">
        <f t="shared" si="0"/>
        <v>2529</v>
      </c>
      <c r="AF149" s="92">
        <f t="shared" si="0"/>
        <v>36446</v>
      </c>
      <c r="AG149" s="91">
        <f t="shared" si="0"/>
        <v>5698</v>
      </c>
    </row>
    <row r="150" spans="1:33" hidden="1">
      <c r="A150" s="385">
        <f>References!C275</f>
        <v>392</v>
      </c>
      <c r="B150" s="386" t="s">
        <v>46</v>
      </c>
      <c r="C150" s="284">
        <v>2004</v>
      </c>
      <c r="D150" s="31">
        <v>12166</v>
      </c>
      <c r="E150" s="27">
        <v>12166</v>
      </c>
      <c r="F150" s="31"/>
      <c r="G150" s="27">
        <v>566</v>
      </c>
      <c r="H150" s="31">
        <v>1357</v>
      </c>
      <c r="I150" s="27">
        <v>14089</v>
      </c>
      <c r="J150" s="27">
        <v>4149</v>
      </c>
      <c r="K150" s="31"/>
      <c r="L150" s="31"/>
      <c r="M150" s="31"/>
      <c r="N150" s="31"/>
      <c r="P150" s="31"/>
      <c r="Q150" s="31">
        <v>0</v>
      </c>
      <c r="R150" s="31"/>
      <c r="S150" s="27">
        <v>7410</v>
      </c>
      <c r="T150" s="27">
        <v>6679</v>
      </c>
      <c r="U150" s="27">
        <v>3386</v>
      </c>
      <c r="W150" s="31">
        <v>0</v>
      </c>
      <c r="Z150" s="27">
        <v>3293</v>
      </c>
      <c r="AF150" s="31"/>
      <c r="AG150" s="31"/>
    </row>
    <row r="151" spans="1:33" hidden="1">
      <c r="A151" s="385">
        <f>References!D275</f>
        <v>393</v>
      </c>
      <c r="B151" s="386" t="s">
        <v>46</v>
      </c>
      <c r="C151" s="284">
        <v>2005</v>
      </c>
      <c r="D151" s="31">
        <v>12958</v>
      </c>
      <c r="E151" s="27">
        <v>12958</v>
      </c>
      <c r="F151" s="31"/>
      <c r="G151" s="27">
        <v>313</v>
      </c>
      <c r="H151" s="31">
        <v>601</v>
      </c>
      <c r="I151" s="27">
        <v>13872</v>
      </c>
      <c r="J151" s="27">
        <v>4291</v>
      </c>
      <c r="K151" s="31"/>
      <c r="L151" s="31"/>
      <c r="M151" s="31"/>
      <c r="N151" s="31"/>
      <c r="P151" s="31"/>
      <c r="Q151" s="31">
        <v>0</v>
      </c>
      <c r="R151" s="31"/>
      <c r="S151" s="27">
        <v>7666</v>
      </c>
      <c r="T151" s="27">
        <v>6206</v>
      </c>
      <c r="U151" s="27">
        <v>3456</v>
      </c>
      <c r="W151" s="31">
        <v>0</v>
      </c>
      <c r="Z151" s="27">
        <v>2750</v>
      </c>
      <c r="AF151" s="31"/>
      <c r="AG151" s="31"/>
    </row>
    <row r="152" spans="1:33" hidden="1">
      <c r="A152" s="385">
        <f>References!E275</f>
        <v>394</v>
      </c>
      <c r="B152" s="386" t="s">
        <v>46</v>
      </c>
      <c r="C152" s="284">
        <v>2006</v>
      </c>
      <c r="D152" s="31">
        <v>15487</v>
      </c>
      <c r="E152" s="27">
        <v>15487</v>
      </c>
      <c r="F152" s="31"/>
      <c r="G152" s="27">
        <v>636</v>
      </c>
      <c r="H152" s="31">
        <v>994</v>
      </c>
      <c r="I152" s="27">
        <v>17117</v>
      </c>
      <c r="J152" s="27">
        <v>4142</v>
      </c>
      <c r="K152" s="31"/>
      <c r="L152" s="31"/>
      <c r="M152" s="31"/>
      <c r="N152" s="31"/>
      <c r="P152" s="31"/>
      <c r="Q152" s="31">
        <v>0</v>
      </c>
      <c r="R152" s="31"/>
      <c r="S152" s="27">
        <v>8075</v>
      </c>
      <c r="T152" s="27">
        <v>9042</v>
      </c>
      <c r="U152" s="27">
        <v>3539</v>
      </c>
      <c r="W152" s="31">
        <v>0</v>
      </c>
      <c r="Z152" s="27">
        <v>5503</v>
      </c>
      <c r="AF152" s="31"/>
      <c r="AG152" s="31"/>
    </row>
    <row r="153" spans="1:33" hidden="1">
      <c r="A153" s="385">
        <f>References!F275</f>
        <v>395</v>
      </c>
      <c r="B153" s="386" t="s">
        <v>46</v>
      </c>
      <c r="C153" s="284">
        <v>2007</v>
      </c>
      <c r="D153" s="31">
        <v>18219</v>
      </c>
      <c r="E153" s="27">
        <v>18219</v>
      </c>
      <c r="F153" s="31"/>
      <c r="G153" s="27">
        <v>483</v>
      </c>
      <c r="H153" s="31">
        <v>1292</v>
      </c>
      <c r="I153" s="27">
        <v>19994</v>
      </c>
      <c r="J153" s="27">
        <v>4913</v>
      </c>
      <c r="K153" s="31"/>
      <c r="L153" s="31"/>
      <c r="M153" s="31"/>
      <c r="N153" s="31"/>
      <c r="P153" s="31"/>
      <c r="Q153" s="31">
        <v>0</v>
      </c>
      <c r="R153" s="31"/>
      <c r="S153" s="27">
        <v>9755</v>
      </c>
      <c r="T153" s="27">
        <v>10239</v>
      </c>
      <c r="U153" s="27">
        <v>4535</v>
      </c>
      <c r="W153" s="31">
        <v>0</v>
      </c>
      <c r="Z153" s="27">
        <v>5679</v>
      </c>
      <c r="AF153" s="31"/>
      <c r="AG153" s="31"/>
    </row>
    <row r="154" spans="1:33">
      <c r="A154" s="385">
        <f>References!G275</f>
        <v>396</v>
      </c>
      <c r="B154" s="382" t="s">
        <v>46</v>
      </c>
      <c r="C154" s="284">
        <v>2008</v>
      </c>
      <c r="D154" s="91">
        <v>22368</v>
      </c>
      <c r="E154" s="92">
        <v>22368</v>
      </c>
      <c r="F154" s="92">
        <v>1273</v>
      </c>
      <c r="G154" s="27">
        <v>354</v>
      </c>
      <c r="H154" s="91">
        <v>252</v>
      </c>
      <c r="I154" s="92">
        <v>24247</v>
      </c>
      <c r="J154" s="92">
        <v>4528</v>
      </c>
      <c r="K154" s="91">
        <v>0</v>
      </c>
      <c r="L154" s="91">
        <v>0</v>
      </c>
      <c r="M154" s="91">
        <v>0</v>
      </c>
      <c r="N154" s="91">
        <v>0</v>
      </c>
      <c r="O154" s="31">
        <v>0</v>
      </c>
      <c r="P154" s="91">
        <v>0</v>
      </c>
      <c r="R154" s="91">
        <v>0</v>
      </c>
      <c r="S154" s="92">
        <v>4225</v>
      </c>
      <c r="T154" s="27">
        <v>15494</v>
      </c>
      <c r="U154" s="27">
        <v>4276</v>
      </c>
      <c r="V154" s="31">
        <v>11218</v>
      </c>
      <c r="W154" s="31">
        <v>1154.7583</v>
      </c>
      <c r="X154" s="31">
        <v>3345.4762999999998</v>
      </c>
      <c r="Y154" s="31">
        <v>0</v>
      </c>
      <c r="Z154" s="27">
        <v>13408.718000000001</v>
      </c>
      <c r="AA154" s="31">
        <v>0</v>
      </c>
      <c r="AB154" s="31">
        <v>0</v>
      </c>
      <c r="AC154" s="31">
        <v>0</v>
      </c>
      <c r="AD154" s="31">
        <v>0</v>
      </c>
      <c r="AE154" s="31">
        <v>7376</v>
      </c>
      <c r="AF154" s="92">
        <v>7376</v>
      </c>
      <c r="AG154" s="91">
        <v>1</v>
      </c>
    </row>
    <row r="155" spans="1:33">
      <c r="A155" s="385">
        <f>References!H275</f>
        <v>397</v>
      </c>
      <c r="B155" s="382" t="s">
        <v>46</v>
      </c>
      <c r="C155" s="284">
        <v>2009</v>
      </c>
      <c r="D155" s="91">
        <v>23790.9</v>
      </c>
      <c r="E155" s="92">
        <v>23790.9</v>
      </c>
      <c r="F155" s="92">
        <v>1295</v>
      </c>
      <c r="G155" s="27">
        <v>1489</v>
      </c>
      <c r="H155" s="91">
        <v>356</v>
      </c>
      <c r="I155" s="92">
        <v>26930.9</v>
      </c>
      <c r="J155" s="92">
        <v>5416</v>
      </c>
      <c r="K155" s="91">
        <v>0</v>
      </c>
      <c r="L155" s="91">
        <v>0</v>
      </c>
      <c r="M155" s="91">
        <v>0</v>
      </c>
      <c r="N155" s="91">
        <v>0</v>
      </c>
      <c r="O155" s="31">
        <v>0</v>
      </c>
      <c r="P155" s="91">
        <v>0</v>
      </c>
      <c r="R155" s="91">
        <v>0</v>
      </c>
      <c r="S155" s="92">
        <v>5384</v>
      </c>
      <c r="T155" s="27">
        <v>16130.9</v>
      </c>
      <c r="U155" s="27">
        <v>4358</v>
      </c>
      <c r="V155" s="31">
        <v>11772.9</v>
      </c>
      <c r="W155" s="31">
        <v>1133.1339</v>
      </c>
      <c r="X155" s="31">
        <v>3143.7919999999999</v>
      </c>
      <c r="Y155" s="31">
        <v>0</v>
      </c>
      <c r="Z155" s="27">
        <v>13783.558000000001</v>
      </c>
      <c r="AA155" s="31">
        <v>0</v>
      </c>
      <c r="AB155" s="31">
        <v>0</v>
      </c>
      <c r="AC155" s="31">
        <v>0</v>
      </c>
      <c r="AD155" s="31">
        <v>0</v>
      </c>
      <c r="AE155" s="31">
        <v>0</v>
      </c>
      <c r="AF155" s="92">
        <v>5192</v>
      </c>
      <c r="AG155" s="91">
        <v>412</v>
      </c>
    </row>
    <row r="156" spans="1:33">
      <c r="A156" s="385">
        <f>References!I275</f>
        <v>398</v>
      </c>
      <c r="B156" s="382" t="s">
        <v>46</v>
      </c>
      <c r="C156" s="284">
        <v>2010</v>
      </c>
      <c r="D156" s="91">
        <v>25337</v>
      </c>
      <c r="E156" s="92">
        <v>25337</v>
      </c>
      <c r="F156" s="92">
        <v>696</v>
      </c>
      <c r="G156" s="27">
        <v>382</v>
      </c>
      <c r="H156" s="91">
        <v>318</v>
      </c>
      <c r="I156" s="92">
        <v>26733</v>
      </c>
      <c r="J156" s="92">
        <v>5924</v>
      </c>
      <c r="K156" s="91">
        <v>1511</v>
      </c>
      <c r="L156" s="91">
        <v>99</v>
      </c>
      <c r="M156" s="91">
        <v>1174</v>
      </c>
      <c r="N156" s="91">
        <v>632</v>
      </c>
      <c r="O156" s="31">
        <v>1434</v>
      </c>
      <c r="P156" s="91">
        <v>169</v>
      </c>
      <c r="R156" s="91">
        <v>0</v>
      </c>
      <c r="S156" s="92">
        <v>5019</v>
      </c>
      <c r="T156" s="27">
        <v>15790</v>
      </c>
      <c r="U156" s="27">
        <v>4605</v>
      </c>
      <c r="V156" s="31">
        <v>11185</v>
      </c>
      <c r="W156" s="31">
        <v>1570.2764</v>
      </c>
      <c r="X156" s="31">
        <v>2268.3042</v>
      </c>
      <c r="Y156" s="31">
        <v>0</v>
      </c>
      <c r="Z156" s="27">
        <v>11883.028</v>
      </c>
      <c r="AA156" s="31">
        <v>867</v>
      </c>
      <c r="AB156" s="31">
        <v>617</v>
      </c>
      <c r="AC156" s="31">
        <v>276</v>
      </c>
      <c r="AD156" s="31">
        <v>4647</v>
      </c>
      <c r="AE156" s="31">
        <v>19</v>
      </c>
      <c r="AF156" s="92">
        <v>6426</v>
      </c>
      <c r="AG156" s="91">
        <v>0</v>
      </c>
    </row>
    <row r="157" spans="1:33">
      <c r="A157" s="385">
        <f>References!J275</f>
        <v>399</v>
      </c>
      <c r="B157" s="382" t="s">
        <v>46</v>
      </c>
      <c r="C157" s="284">
        <v>2011</v>
      </c>
      <c r="D157" s="91">
        <v>28166.376</v>
      </c>
      <c r="E157" s="92">
        <v>28166.376</v>
      </c>
      <c r="F157" s="92">
        <v>1051</v>
      </c>
      <c r="G157" s="27">
        <v>585</v>
      </c>
      <c r="H157" s="91">
        <v>274</v>
      </c>
      <c r="I157" s="92">
        <v>30076.376</v>
      </c>
      <c r="J157" s="92">
        <v>6009</v>
      </c>
      <c r="K157" s="91">
        <v>1615</v>
      </c>
      <c r="L157" s="91">
        <v>131</v>
      </c>
      <c r="M157" s="91">
        <v>1194</v>
      </c>
      <c r="N157" s="91">
        <v>700</v>
      </c>
      <c r="O157" s="31">
        <v>1342</v>
      </c>
      <c r="P157" s="91">
        <v>159</v>
      </c>
      <c r="R157" s="91">
        <v>0</v>
      </c>
      <c r="S157" s="92">
        <v>5141</v>
      </c>
      <c r="T157" s="27">
        <v>18926.376</v>
      </c>
      <c r="U157" s="27">
        <v>4931</v>
      </c>
      <c r="V157" s="31">
        <v>13995.376</v>
      </c>
      <c r="W157" s="31">
        <v>2166.4146999999998</v>
      </c>
      <c r="X157" s="31">
        <v>5313.6589999999997</v>
      </c>
      <c r="Y157" s="31">
        <v>0</v>
      </c>
      <c r="Z157" s="27">
        <v>17142.62</v>
      </c>
      <c r="AA157" s="31">
        <v>1162</v>
      </c>
      <c r="AB157" s="31">
        <v>1689</v>
      </c>
      <c r="AC157" s="31">
        <v>932</v>
      </c>
      <c r="AD157" s="31">
        <v>5329</v>
      </c>
      <c r="AE157" s="31">
        <v>0</v>
      </c>
      <c r="AF157" s="92">
        <v>9112</v>
      </c>
      <c r="AG157" s="91">
        <v>336</v>
      </c>
    </row>
    <row r="158" spans="1:33" hidden="1">
      <c r="A158" s="385">
        <f>References!C276</f>
        <v>415</v>
      </c>
      <c r="B158" s="386" t="s">
        <v>47</v>
      </c>
      <c r="C158" s="284">
        <v>2004</v>
      </c>
      <c r="D158" s="31">
        <v>224000</v>
      </c>
      <c r="E158" s="27">
        <v>224000</v>
      </c>
      <c r="F158" s="31"/>
      <c r="G158" s="27">
        <v>6882</v>
      </c>
      <c r="H158" s="31">
        <v>608</v>
      </c>
      <c r="I158" s="27">
        <v>231490</v>
      </c>
      <c r="J158" s="27">
        <v>52196</v>
      </c>
      <c r="K158" s="31"/>
      <c r="L158" s="31"/>
      <c r="M158" s="31"/>
      <c r="N158" s="31"/>
      <c r="P158" s="31"/>
      <c r="Q158" s="31">
        <v>4176</v>
      </c>
      <c r="R158" s="31"/>
      <c r="S158" s="27">
        <v>103745</v>
      </c>
      <c r="T158" s="27">
        <v>127745</v>
      </c>
      <c r="U158" s="27">
        <v>28478</v>
      </c>
      <c r="W158" s="31">
        <v>21526</v>
      </c>
      <c r="Z158" s="27">
        <v>43705</v>
      </c>
      <c r="AF158" s="31"/>
      <c r="AG158" s="31"/>
    </row>
    <row r="159" spans="1:33" hidden="1">
      <c r="A159" s="385">
        <f>References!D276</f>
        <v>416</v>
      </c>
      <c r="B159" s="386" t="s">
        <v>47</v>
      </c>
      <c r="C159" s="284">
        <v>2005</v>
      </c>
      <c r="D159" s="31">
        <v>238922</v>
      </c>
      <c r="E159" s="27">
        <v>238922</v>
      </c>
      <c r="F159" s="31"/>
      <c r="G159" s="27">
        <v>5089</v>
      </c>
      <c r="H159" s="31">
        <v>126</v>
      </c>
      <c r="I159" s="27">
        <v>244137</v>
      </c>
      <c r="J159" s="27">
        <v>56851</v>
      </c>
      <c r="K159" s="31"/>
      <c r="L159" s="31"/>
      <c r="M159" s="31"/>
      <c r="N159" s="31"/>
      <c r="P159" s="31"/>
      <c r="Q159" s="31">
        <v>4953</v>
      </c>
      <c r="R159" s="31"/>
      <c r="S159" s="27">
        <v>119196</v>
      </c>
      <c r="T159" s="27">
        <v>124941</v>
      </c>
      <c r="U159" s="27">
        <v>37067</v>
      </c>
      <c r="W159" s="31">
        <v>16380</v>
      </c>
      <c r="Z159" s="27">
        <v>33256</v>
      </c>
      <c r="AF159" s="31"/>
      <c r="AG159" s="31"/>
    </row>
    <row r="160" spans="1:33" hidden="1">
      <c r="A160" s="385">
        <f>References!E276</f>
        <v>417</v>
      </c>
      <c r="B160" s="386" t="s">
        <v>47</v>
      </c>
      <c r="C160" s="284">
        <v>2006</v>
      </c>
      <c r="D160" s="31">
        <v>250197</v>
      </c>
      <c r="E160" s="27">
        <v>250197</v>
      </c>
      <c r="F160" s="31"/>
      <c r="G160" s="27">
        <v>4210</v>
      </c>
      <c r="H160" s="31">
        <v>9483</v>
      </c>
      <c r="I160" s="27">
        <v>263890</v>
      </c>
      <c r="J160" s="27">
        <v>59984</v>
      </c>
      <c r="K160" s="31"/>
      <c r="L160" s="31"/>
      <c r="M160" s="31"/>
      <c r="N160" s="31"/>
      <c r="P160" s="31"/>
      <c r="Q160" s="31">
        <v>9483</v>
      </c>
      <c r="R160" s="31"/>
      <c r="S160" s="27">
        <v>123742</v>
      </c>
      <c r="T160" s="27">
        <v>140148</v>
      </c>
      <c r="U160" s="27">
        <v>38901</v>
      </c>
      <c r="W160" s="31">
        <v>18870</v>
      </c>
      <c r="Z160" s="27">
        <v>42522</v>
      </c>
      <c r="AF160" s="31"/>
      <c r="AG160" s="31"/>
    </row>
    <row r="161" spans="1:33" hidden="1">
      <c r="A161" s="385">
        <f>References!F276</f>
        <v>418</v>
      </c>
      <c r="B161" s="386" t="s">
        <v>47</v>
      </c>
      <c r="C161" s="284">
        <v>2007</v>
      </c>
      <c r="D161" s="31">
        <v>268346</v>
      </c>
      <c r="E161" s="27">
        <v>268346</v>
      </c>
      <c r="F161" s="31"/>
      <c r="G161" s="27">
        <v>6493</v>
      </c>
      <c r="H161" s="31">
        <v>12379</v>
      </c>
      <c r="I161" s="27">
        <v>287218</v>
      </c>
      <c r="J161" s="27">
        <v>68593</v>
      </c>
      <c r="K161" s="31"/>
      <c r="L161" s="31"/>
      <c r="M161" s="31"/>
      <c r="N161" s="31"/>
      <c r="P161" s="31"/>
      <c r="Q161" s="31">
        <v>6493</v>
      </c>
      <c r="R161" s="31"/>
      <c r="S161" s="27">
        <v>140420</v>
      </c>
      <c r="T161" s="27">
        <v>146798</v>
      </c>
      <c r="U161" s="27">
        <v>45852</v>
      </c>
      <c r="W161" s="31">
        <v>15698</v>
      </c>
      <c r="Z161" s="27">
        <v>45895</v>
      </c>
      <c r="AF161" s="31"/>
      <c r="AG161" s="31"/>
    </row>
    <row r="162" spans="1:33">
      <c r="A162" s="385">
        <f>References!G276</f>
        <v>419</v>
      </c>
      <c r="B162" s="382" t="s">
        <v>47</v>
      </c>
      <c r="C162" s="284">
        <v>2008</v>
      </c>
      <c r="D162" s="91">
        <v>266882.09000000003</v>
      </c>
      <c r="E162" s="92">
        <v>266882.09000000003</v>
      </c>
      <c r="F162" s="92">
        <v>19239</v>
      </c>
      <c r="G162" s="27">
        <v>0</v>
      </c>
      <c r="H162" s="91">
        <v>0</v>
      </c>
      <c r="I162" s="92">
        <v>286121.09000000003</v>
      </c>
      <c r="J162" s="92">
        <v>63394</v>
      </c>
      <c r="K162" s="91">
        <v>31227</v>
      </c>
      <c r="L162" s="91">
        <v>0</v>
      </c>
      <c r="M162" s="91">
        <v>0</v>
      </c>
      <c r="N162" s="91">
        <v>0</v>
      </c>
      <c r="O162" s="31">
        <v>26407</v>
      </c>
      <c r="P162" s="91">
        <v>0</v>
      </c>
      <c r="R162" s="91">
        <v>0</v>
      </c>
      <c r="S162" s="92">
        <v>57634</v>
      </c>
      <c r="T162" s="27">
        <v>165093.09</v>
      </c>
      <c r="U162" s="27">
        <v>56988.18</v>
      </c>
      <c r="V162" s="31">
        <v>108104.91</v>
      </c>
      <c r="W162" s="31">
        <v>11652.995000000001</v>
      </c>
      <c r="X162" s="31">
        <v>34421.64</v>
      </c>
      <c r="Y162" s="31">
        <v>0</v>
      </c>
      <c r="Z162" s="27">
        <v>130873.55</v>
      </c>
      <c r="AA162" s="31">
        <v>0</v>
      </c>
      <c r="AB162" s="31">
        <v>0</v>
      </c>
      <c r="AC162" s="31">
        <v>0</v>
      </c>
      <c r="AD162" s="31">
        <v>0</v>
      </c>
      <c r="AE162" s="31">
        <v>0</v>
      </c>
      <c r="AF162" s="92">
        <v>56026</v>
      </c>
      <c r="AG162" s="91">
        <v>3461.1298000000002</v>
      </c>
    </row>
    <row r="163" spans="1:33">
      <c r="A163" s="385">
        <f>References!H276</f>
        <v>420</v>
      </c>
      <c r="B163" s="382" t="s">
        <v>47</v>
      </c>
      <c r="C163" s="284">
        <v>2009</v>
      </c>
      <c r="D163" s="91">
        <v>277413</v>
      </c>
      <c r="E163" s="92">
        <v>277413</v>
      </c>
      <c r="F163" s="92">
        <v>22971</v>
      </c>
      <c r="G163" s="27">
        <v>9</v>
      </c>
      <c r="H163" s="91">
        <v>0</v>
      </c>
      <c r="I163" s="92">
        <v>300393</v>
      </c>
      <c r="J163" s="92">
        <v>65301</v>
      </c>
      <c r="K163" s="91">
        <v>26163</v>
      </c>
      <c r="L163" s="91">
        <v>8929</v>
      </c>
      <c r="M163" s="91">
        <v>0</v>
      </c>
      <c r="N163" s="91">
        <v>23097</v>
      </c>
      <c r="O163" s="31">
        <v>0</v>
      </c>
      <c r="P163" s="91">
        <v>0</v>
      </c>
      <c r="R163" s="91">
        <v>0</v>
      </c>
      <c r="S163" s="92">
        <v>58189</v>
      </c>
      <c r="T163" s="27">
        <v>176903</v>
      </c>
      <c r="U163" s="27">
        <v>55438</v>
      </c>
      <c r="V163" s="31">
        <v>121465</v>
      </c>
      <c r="W163" s="31">
        <v>11082.361999999999</v>
      </c>
      <c r="X163" s="31">
        <v>31508.972000000002</v>
      </c>
      <c r="Y163" s="31">
        <v>0</v>
      </c>
      <c r="Z163" s="27">
        <v>141891.60999999999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92">
        <v>97814</v>
      </c>
      <c r="AG163" s="91">
        <v>3924</v>
      </c>
    </row>
    <row r="164" spans="1:33">
      <c r="A164" s="385">
        <f>References!I276</f>
        <v>421</v>
      </c>
      <c r="B164" s="382" t="s">
        <v>47</v>
      </c>
      <c r="C164" s="284">
        <v>2010</v>
      </c>
      <c r="D164" s="91">
        <v>291866</v>
      </c>
      <c r="E164" s="92">
        <v>291866</v>
      </c>
      <c r="F164" s="92">
        <v>17677.312000000002</v>
      </c>
      <c r="G164" s="27">
        <v>0.27094000000000001</v>
      </c>
      <c r="H164" s="91">
        <v>0</v>
      </c>
      <c r="I164" s="92">
        <v>309543.58</v>
      </c>
      <c r="J164" s="92">
        <v>70867.989000000001</v>
      </c>
      <c r="K164" s="91">
        <v>25936.489000000001</v>
      </c>
      <c r="L164" s="91">
        <v>6053.2717000000002</v>
      </c>
      <c r="M164" s="91">
        <v>12464.897999999999</v>
      </c>
      <c r="N164" s="91">
        <v>5136.0954000000002</v>
      </c>
      <c r="O164" s="31">
        <v>6651.6251000000002</v>
      </c>
      <c r="P164" s="91">
        <v>1189.5844999999999</v>
      </c>
      <c r="R164" s="91">
        <v>6.9349999999999998E-12</v>
      </c>
      <c r="S164" s="92">
        <v>57431.963000000003</v>
      </c>
      <c r="T164" s="27">
        <v>181243.63</v>
      </c>
      <c r="U164" s="27">
        <v>60000.326000000001</v>
      </c>
      <c r="V164" s="31">
        <v>121243.31</v>
      </c>
      <c r="W164" s="31">
        <v>17395.303</v>
      </c>
      <c r="X164" s="31">
        <v>24243.915000000001</v>
      </c>
      <c r="Y164" s="31">
        <v>0</v>
      </c>
      <c r="Z164" s="27">
        <v>128091.92</v>
      </c>
      <c r="AA164" s="31">
        <v>25456.799999999999</v>
      </c>
      <c r="AB164" s="31">
        <v>28394.644</v>
      </c>
      <c r="AC164" s="31">
        <v>2881.576</v>
      </c>
      <c r="AD164" s="31">
        <v>23719.252</v>
      </c>
      <c r="AE164" s="31">
        <v>6.8235599999999996</v>
      </c>
      <c r="AF164" s="92">
        <v>80459.095000000001</v>
      </c>
      <c r="AG164" s="91">
        <v>2121.8330000000001</v>
      </c>
    </row>
    <row r="165" spans="1:33">
      <c r="A165" s="385">
        <f>References!J276</f>
        <v>422</v>
      </c>
      <c r="B165" s="382" t="s">
        <v>47</v>
      </c>
      <c r="C165" s="284">
        <v>2011</v>
      </c>
      <c r="D165" s="91">
        <v>292560.95</v>
      </c>
      <c r="E165" s="92">
        <v>292560.95</v>
      </c>
      <c r="F165" s="92">
        <v>14838.188</v>
      </c>
      <c r="G165" s="27">
        <v>-21.033359999999998</v>
      </c>
      <c r="H165" s="91">
        <v>107.84219</v>
      </c>
      <c r="I165" s="92">
        <v>307485.95</v>
      </c>
      <c r="J165" s="92">
        <v>73519.164999999994</v>
      </c>
      <c r="K165" s="91">
        <v>21634.546999999999</v>
      </c>
      <c r="L165" s="91">
        <v>6767.5159000000003</v>
      </c>
      <c r="M165" s="91">
        <v>12708.371999999999</v>
      </c>
      <c r="N165" s="91">
        <v>7402.6661999999997</v>
      </c>
      <c r="O165" s="31">
        <v>6621.9450999999999</v>
      </c>
      <c r="P165" s="91">
        <v>2132.4744999999998</v>
      </c>
      <c r="R165" s="91">
        <v>3.2059999999999997E-11</v>
      </c>
      <c r="S165" s="92">
        <v>57267.519999999997</v>
      </c>
      <c r="T165" s="27">
        <v>176699.26</v>
      </c>
      <c r="U165" s="27">
        <v>68090</v>
      </c>
      <c r="V165" s="31">
        <v>108609.26</v>
      </c>
      <c r="W165" s="31">
        <v>17573.645</v>
      </c>
      <c r="X165" s="31">
        <v>55276.989000000001</v>
      </c>
      <c r="Y165" s="31">
        <v>0</v>
      </c>
      <c r="Z165" s="27">
        <v>146312.60999999999</v>
      </c>
      <c r="AA165" s="31">
        <v>19589</v>
      </c>
      <c r="AB165" s="31">
        <v>20346</v>
      </c>
      <c r="AC165" s="31">
        <v>13548</v>
      </c>
      <c r="AD165" s="31">
        <v>21198</v>
      </c>
      <c r="AE165" s="31">
        <v>2148</v>
      </c>
      <c r="AF165" s="92">
        <v>76829</v>
      </c>
      <c r="AG165" s="91">
        <v>2949</v>
      </c>
    </row>
    <row r="166" spans="1:33" hidden="1">
      <c r="A166" s="385">
        <f>References!C277</f>
        <v>438</v>
      </c>
      <c r="B166" s="386" t="s">
        <v>48</v>
      </c>
      <c r="C166" s="284">
        <v>2004</v>
      </c>
      <c r="D166" s="31">
        <v>5001</v>
      </c>
      <c r="E166" s="27">
        <v>5001</v>
      </c>
      <c r="F166" s="31"/>
      <c r="G166" s="27">
        <v>156</v>
      </c>
      <c r="H166" s="31">
        <v>108</v>
      </c>
      <c r="I166" s="27">
        <v>5265</v>
      </c>
      <c r="J166" s="27">
        <v>1613</v>
      </c>
      <c r="K166" s="31"/>
      <c r="L166" s="31"/>
      <c r="M166" s="31"/>
      <c r="N166" s="31"/>
      <c r="P166" s="31"/>
      <c r="Q166" s="31">
        <v>156</v>
      </c>
      <c r="R166" s="31"/>
      <c r="S166" s="27">
        <v>4512</v>
      </c>
      <c r="T166" s="27">
        <v>753</v>
      </c>
      <c r="U166" s="27">
        <v>305</v>
      </c>
      <c r="W166" s="31">
        <v>148</v>
      </c>
      <c r="Z166" s="27">
        <v>300</v>
      </c>
      <c r="AF166" s="31"/>
      <c r="AG166" s="31"/>
    </row>
    <row r="167" spans="1:33" hidden="1">
      <c r="A167" s="385">
        <f>References!D277</f>
        <v>439</v>
      </c>
      <c r="B167" s="386" t="s">
        <v>48</v>
      </c>
      <c r="C167" s="284">
        <v>2005</v>
      </c>
      <c r="D167" s="31">
        <v>5832</v>
      </c>
      <c r="E167" s="27">
        <v>5832</v>
      </c>
      <c r="F167" s="31"/>
      <c r="G167" s="27">
        <v>98</v>
      </c>
      <c r="H167" s="31">
        <v>204</v>
      </c>
      <c r="I167" s="27">
        <v>6134</v>
      </c>
      <c r="J167" s="27">
        <v>1762</v>
      </c>
      <c r="K167" s="31"/>
      <c r="L167" s="31"/>
      <c r="M167" s="31"/>
      <c r="N167" s="31"/>
      <c r="P167" s="31"/>
      <c r="Q167" s="31">
        <v>98</v>
      </c>
      <c r="R167" s="31"/>
      <c r="S167" s="27">
        <v>5116</v>
      </c>
      <c r="T167" s="27">
        <v>1018</v>
      </c>
      <c r="U167" s="27">
        <v>790</v>
      </c>
      <c r="W167" s="31">
        <v>75</v>
      </c>
      <c r="Z167" s="27">
        <v>153</v>
      </c>
      <c r="AF167" s="31"/>
      <c r="AG167" s="31"/>
    </row>
    <row r="168" spans="1:33" hidden="1">
      <c r="A168" s="385">
        <f>References!E277</f>
        <v>440</v>
      </c>
      <c r="B168" s="386" t="s">
        <v>48</v>
      </c>
      <c r="C168" s="284">
        <v>2006</v>
      </c>
      <c r="D168" s="31">
        <v>5856</v>
      </c>
      <c r="E168" s="27">
        <v>5856</v>
      </c>
      <c r="F168" s="31"/>
      <c r="G168" s="27">
        <v>146</v>
      </c>
      <c r="H168" s="31">
        <v>434</v>
      </c>
      <c r="I168" s="27">
        <v>6436</v>
      </c>
      <c r="J168" s="27">
        <v>1206</v>
      </c>
      <c r="K168" s="31"/>
      <c r="L168" s="31"/>
      <c r="M168" s="31"/>
      <c r="N168" s="31"/>
      <c r="P168" s="31"/>
      <c r="Q168" s="31">
        <v>146</v>
      </c>
      <c r="R168" s="31"/>
      <c r="S168" s="27">
        <v>4471</v>
      </c>
      <c r="T168" s="27">
        <v>1965</v>
      </c>
      <c r="U168" s="27">
        <v>745</v>
      </c>
      <c r="W168" s="31">
        <v>418</v>
      </c>
      <c r="Z168" s="27">
        <v>802</v>
      </c>
      <c r="AF168" s="31"/>
      <c r="AG168" s="31"/>
    </row>
    <row r="169" spans="1:33" hidden="1">
      <c r="A169" s="385">
        <f>References!F277</f>
        <v>441</v>
      </c>
      <c r="B169" s="386" t="s">
        <v>48</v>
      </c>
      <c r="C169" s="284">
        <v>2007</v>
      </c>
      <c r="D169" s="31">
        <v>5911</v>
      </c>
      <c r="E169" s="27">
        <v>5911</v>
      </c>
      <c r="F169" s="31"/>
      <c r="G169" s="27">
        <v>112</v>
      </c>
      <c r="H169" s="31">
        <v>221</v>
      </c>
      <c r="I169" s="27">
        <v>6244</v>
      </c>
      <c r="J169" s="27">
        <v>1551</v>
      </c>
      <c r="K169" s="31"/>
      <c r="L169" s="31"/>
      <c r="M169" s="31"/>
      <c r="N169" s="31"/>
      <c r="P169" s="31"/>
      <c r="Q169" s="31">
        <v>112</v>
      </c>
      <c r="R169" s="31"/>
      <c r="S169" s="27">
        <v>4608</v>
      </c>
      <c r="T169" s="27">
        <v>1636</v>
      </c>
      <c r="U169" s="27">
        <v>764</v>
      </c>
      <c r="W169" s="31">
        <v>407</v>
      </c>
      <c r="Z169" s="27">
        <v>458</v>
      </c>
      <c r="AF169" s="31"/>
      <c r="AG169" s="31"/>
    </row>
    <row r="170" spans="1:33">
      <c r="A170" s="385">
        <f>References!G277</f>
        <v>442</v>
      </c>
      <c r="B170" s="382" t="s">
        <v>48</v>
      </c>
      <c r="C170" s="284">
        <v>2008</v>
      </c>
      <c r="D170" s="91">
        <v>4080</v>
      </c>
      <c r="E170" s="92">
        <v>6019</v>
      </c>
      <c r="F170" s="92">
        <v>112</v>
      </c>
      <c r="G170" s="27">
        <v>0</v>
      </c>
      <c r="H170" s="91">
        <v>0</v>
      </c>
      <c r="I170" s="92">
        <v>6131</v>
      </c>
      <c r="J170" s="92">
        <v>1470</v>
      </c>
      <c r="K170" s="91">
        <v>0</v>
      </c>
      <c r="L170" s="91">
        <v>0</v>
      </c>
      <c r="M170" s="91">
        <v>0</v>
      </c>
      <c r="N170" s="91">
        <v>0</v>
      </c>
      <c r="O170" s="31">
        <v>0</v>
      </c>
      <c r="P170" s="91">
        <v>0</v>
      </c>
      <c r="R170" s="91">
        <v>0</v>
      </c>
      <c r="S170" s="92">
        <v>1854</v>
      </c>
      <c r="T170" s="27">
        <v>2807</v>
      </c>
      <c r="U170" s="27">
        <v>907</v>
      </c>
      <c r="V170" s="31">
        <v>1900</v>
      </c>
      <c r="W170" s="31">
        <v>-310</v>
      </c>
      <c r="X170" s="31">
        <v>835.50558000000001</v>
      </c>
      <c r="Y170" s="31">
        <v>0</v>
      </c>
      <c r="Z170" s="27">
        <v>3045.5056</v>
      </c>
      <c r="AA170" s="31">
        <v>0</v>
      </c>
      <c r="AB170" s="31">
        <v>0</v>
      </c>
      <c r="AC170" s="31">
        <v>0</v>
      </c>
      <c r="AD170" s="31">
        <v>0</v>
      </c>
      <c r="AE170" s="31">
        <v>0</v>
      </c>
      <c r="AF170" s="92">
        <v>1378</v>
      </c>
      <c r="AG170" s="91">
        <v>39</v>
      </c>
    </row>
    <row r="171" spans="1:33">
      <c r="A171" s="385">
        <f>References!H277</f>
        <v>443</v>
      </c>
      <c r="B171" s="382" t="s">
        <v>48</v>
      </c>
      <c r="C171" s="284">
        <v>2009</v>
      </c>
      <c r="D171" s="91">
        <v>3907</v>
      </c>
      <c r="E171" s="92">
        <v>5813</v>
      </c>
      <c r="F171" s="92">
        <v>14</v>
      </c>
      <c r="G171" s="27">
        <v>0</v>
      </c>
      <c r="H171" s="91">
        <v>0</v>
      </c>
      <c r="I171" s="92">
        <v>5827</v>
      </c>
      <c r="J171" s="92">
        <v>1663</v>
      </c>
      <c r="K171" s="91">
        <v>0</v>
      </c>
      <c r="L171" s="91">
        <v>0</v>
      </c>
      <c r="M171" s="91">
        <v>0</v>
      </c>
      <c r="N171" s="91">
        <v>0</v>
      </c>
      <c r="O171" s="31">
        <v>0</v>
      </c>
      <c r="P171" s="91">
        <v>0</v>
      </c>
      <c r="R171" s="91">
        <v>0</v>
      </c>
      <c r="S171" s="92">
        <v>1842</v>
      </c>
      <c r="T171" s="27">
        <v>2322</v>
      </c>
      <c r="U171" s="27">
        <v>867</v>
      </c>
      <c r="V171" s="31">
        <v>1455</v>
      </c>
      <c r="W171" s="31">
        <v>-408.50740000000002</v>
      </c>
      <c r="X171" s="31">
        <v>766.26822000000004</v>
      </c>
      <c r="Y171" s="31">
        <v>0</v>
      </c>
      <c r="Z171" s="27">
        <v>2629.7755999999999</v>
      </c>
      <c r="AA171" s="31">
        <v>0</v>
      </c>
      <c r="AB171" s="31">
        <v>0</v>
      </c>
      <c r="AC171" s="31">
        <v>0</v>
      </c>
      <c r="AD171" s="31">
        <v>0</v>
      </c>
      <c r="AE171" s="31">
        <v>0</v>
      </c>
      <c r="AF171" s="92">
        <v>816</v>
      </c>
      <c r="AG171" s="91">
        <v>0</v>
      </c>
    </row>
    <row r="172" spans="1:33">
      <c r="A172" s="385">
        <f>References!I277</f>
        <v>444</v>
      </c>
      <c r="B172" s="382" t="s">
        <v>48</v>
      </c>
      <c r="C172" s="284">
        <v>2010</v>
      </c>
      <c r="D172" s="91">
        <v>4678</v>
      </c>
      <c r="E172" s="92">
        <v>6178</v>
      </c>
      <c r="F172" s="92">
        <v>0</v>
      </c>
      <c r="G172" s="27">
        <v>0</v>
      </c>
      <c r="H172" s="91">
        <v>0</v>
      </c>
      <c r="I172" s="92">
        <v>6178</v>
      </c>
      <c r="J172" s="92">
        <v>1748</v>
      </c>
      <c r="K172" s="91">
        <v>854</v>
      </c>
      <c r="L172" s="91">
        <v>275</v>
      </c>
      <c r="M172" s="91">
        <v>156</v>
      </c>
      <c r="N172" s="91">
        <v>353</v>
      </c>
      <c r="O172" s="31">
        <v>89</v>
      </c>
      <c r="P172" s="91">
        <v>23</v>
      </c>
      <c r="R172" s="91">
        <v>69</v>
      </c>
      <c r="S172" s="92">
        <v>1819</v>
      </c>
      <c r="T172" s="27">
        <v>2611</v>
      </c>
      <c r="U172" s="27">
        <v>1100</v>
      </c>
      <c r="V172" s="31">
        <v>1511</v>
      </c>
      <c r="W172" s="31">
        <v>-102.01411</v>
      </c>
      <c r="X172" s="31">
        <v>541.02</v>
      </c>
      <c r="Y172" s="31">
        <v>-9</v>
      </c>
      <c r="Z172" s="27">
        <v>2145.0340999999999</v>
      </c>
      <c r="AA172" s="31">
        <v>40</v>
      </c>
      <c r="AB172" s="31">
        <v>14</v>
      </c>
      <c r="AC172" s="31">
        <v>55</v>
      </c>
      <c r="AD172" s="31">
        <v>928</v>
      </c>
      <c r="AE172" s="31">
        <v>0</v>
      </c>
      <c r="AF172" s="92">
        <v>1037</v>
      </c>
      <c r="AG172" s="91">
        <v>85</v>
      </c>
    </row>
    <row r="173" spans="1:33">
      <c r="A173" s="385">
        <f>References!J277</f>
        <v>445</v>
      </c>
      <c r="B173" s="382" t="s">
        <v>48</v>
      </c>
      <c r="C173" s="284">
        <v>2011</v>
      </c>
      <c r="D173" s="91">
        <v>5123</v>
      </c>
      <c r="E173" s="92">
        <v>6558</v>
      </c>
      <c r="F173" s="92">
        <v>0</v>
      </c>
      <c r="G173" s="27">
        <v>0</v>
      </c>
      <c r="H173" s="91">
        <v>0</v>
      </c>
      <c r="I173" s="92">
        <v>6558</v>
      </c>
      <c r="J173" s="92">
        <v>1752</v>
      </c>
      <c r="K173" s="91">
        <v>822</v>
      </c>
      <c r="L173" s="91">
        <v>207</v>
      </c>
      <c r="M173" s="91">
        <v>166</v>
      </c>
      <c r="N173" s="91">
        <v>332</v>
      </c>
      <c r="O173" s="31">
        <v>327</v>
      </c>
      <c r="P173" s="91">
        <v>22</v>
      </c>
      <c r="R173" s="91">
        <v>71</v>
      </c>
      <c r="S173" s="92">
        <v>1947</v>
      </c>
      <c r="T173" s="27">
        <v>2859</v>
      </c>
      <c r="U173" s="27">
        <v>946</v>
      </c>
      <c r="V173" s="31">
        <v>1913</v>
      </c>
      <c r="W173" s="31">
        <v>-31.580855</v>
      </c>
      <c r="X173" s="31">
        <v>1211.8332</v>
      </c>
      <c r="Y173" s="31">
        <v>0</v>
      </c>
      <c r="Z173" s="27">
        <v>3156.4140000000002</v>
      </c>
      <c r="AA173" s="31">
        <v>30</v>
      </c>
      <c r="AB173" s="31">
        <v>39</v>
      </c>
      <c r="AC173" s="31">
        <v>65</v>
      </c>
      <c r="AD173" s="31">
        <v>1352</v>
      </c>
      <c r="AE173" s="31">
        <v>0</v>
      </c>
      <c r="AF173" s="92">
        <v>1486</v>
      </c>
      <c r="AG173" s="91">
        <v>24</v>
      </c>
    </row>
    <row r="174" spans="1:33" hidden="1">
      <c r="A174" s="385">
        <f>References!C278</f>
        <v>461</v>
      </c>
      <c r="B174" s="386" t="s">
        <v>49</v>
      </c>
      <c r="C174" s="284">
        <v>2004</v>
      </c>
      <c r="D174" s="31">
        <v>19116</v>
      </c>
      <c r="E174" s="27">
        <v>19116</v>
      </c>
      <c r="F174" s="31"/>
      <c r="G174" s="27">
        <v>389</v>
      </c>
      <c r="H174" s="31">
        <v>6</v>
      </c>
      <c r="I174" s="27">
        <v>19511</v>
      </c>
      <c r="J174" s="27">
        <v>3902</v>
      </c>
      <c r="K174" s="31"/>
      <c r="L174" s="31"/>
      <c r="M174" s="31"/>
      <c r="N174" s="31"/>
      <c r="P174" s="31"/>
      <c r="Q174" s="31">
        <v>153</v>
      </c>
      <c r="R174" s="31"/>
      <c r="S174" s="27">
        <v>13825</v>
      </c>
      <c r="T174" s="27">
        <v>5686</v>
      </c>
      <c r="U174" s="27">
        <v>3104</v>
      </c>
      <c r="W174" s="31">
        <v>280</v>
      </c>
      <c r="Z174" s="27">
        <v>568</v>
      </c>
      <c r="AF174" s="31"/>
      <c r="AG174" s="31"/>
    </row>
    <row r="175" spans="1:33" hidden="1">
      <c r="A175" s="385">
        <f>References!D278</f>
        <v>462</v>
      </c>
      <c r="B175" s="386" t="s">
        <v>49</v>
      </c>
      <c r="C175" s="284">
        <v>2005</v>
      </c>
      <c r="D175" s="31">
        <v>20214</v>
      </c>
      <c r="E175" s="27">
        <v>20214</v>
      </c>
      <c r="F175" s="31"/>
      <c r="G175" s="27">
        <v>222</v>
      </c>
      <c r="H175" s="31">
        <v>16</v>
      </c>
      <c r="I175" s="27">
        <v>20452</v>
      </c>
      <c r="J175" s="27">
        <v>4160</v>
      </c>
      <c r="K175" s="31"/>
      <c r="L175" s="31"/>
      <c r="M175" s="31"/>
      <c r="N175" s="31"/>
      <c r="P175" s="31"/>
      <c r="Q175" s="31">
        <v>198</v>
      </c>
      <c r="R175" s="31"/>
      <c r="S175" s="27">
        <v>13138</v>
      </c>
      <c r="T175" s="27">
        <v>7314</v>
      </c>
      <c r="U175" s="27">
        <v>4084</v>
      </c>
      <c r="W175" s="31">
        <v>400</v>
      </c>
      <c r="Z175" s="27">
        <v>811</v>
      </c>
      <c r="AF175" s="31"/>
      <c r="AG175" s="31"/>
    </row>
    <row r="176" spans="1:33" hidden="1">
      <c r="A176" s="385">
        <f>References!E278</f>
        <v>463</v>
      </c>
      <c r="B176" s="386" t="s">
        <v>49</v>
      </c>
      <c r="C176" s="284">
        <v>2006</v>
      </c>
      <c r="D176" s="31">
        <v>20846</v>
      </c>
      <c r="E176" s="27">
        <v>20846</v>
      </c>
      <c r="F176" s="31"/>
      <c r="G176" s="27">
        <v>510</v>
      </c>
      <c r="H176" s="31">
        <v>20</v>
      </c>
      <c r="I176" s="27">
        <v>21376</v>
      </c>
      <c r="J176" s="27">
        <v>4083</v>
      </c>
      <c r="K176" s="31"/>
      <c r="L176" s="31"/>
      <c r="M176" s="31"/>
      <c r="N176" s="31"/>
      <c r="P176" s="31"/>
      <c r="Q176" s="31">
        <v>474</v>
      </c>
      <c r="R176" s="31"/>
      <c r="S176" s="27">
        <v>13778</v>
      </c>
      <c r="T176" s="27">
        <v>7598</v>
      </c>
      <c r="U176" s="27">
        <v>4176</v>
      </c>
      <c r="W176" s="31">
        <v>458</v>
      </c>
      <c r="Z176" s="27">
        <v>931</v>
      </c>
      <c r="AF176" s="31"/>
      <c r="AG176" s="31"/>
    </row>
    <row r="177" spans="1:33" hidden="1">
      <c r="A177" s="385">
        <f>References!F278</f>
        <v>464</v>
      </c>
      <c r="B177" s="386" t="s">
        <v>49</v>
      </c>
      <c r="C177" s="284">
        <v>2007</v>
      </c>
      <c r="D177" s="31">
        <v>21372</v>
      </c>
      <c r="E177" s="27">
        <v>21372</v>
      </c>
      <c r="F177" s="31"/>
      <c r="G177" s="27">
        <v>388</v>
      </c>
      <c r="H177" s="31">
        <v>17</v>
      </c>
      <c r="I177" s="27">
        <v>21777</v>
      </c>
      <c r="J177" s="27">
        <v>4104</v>
      </c>
      <c r="K177" s="31"/>
      <c r="L177" s="31"/>
      <c r="M177" s="31"/>
      <c r="N177" s="31"/>
      <c r="P177" s="31"/>
      <c r="Q177" s="31">
        <v>349</v>
      </c>
      <c r="R177" s="31"/>
      <c r="S177" s="27">
        <v>13872</v>
      </c>
      <c r="T177" s="27">
        <v>7905</v>
      </c>
      <c r="U177" s="27">
        <v>4337</v>
      </c>
      <c r="W177" s="31">
        <v>395</v>
      </c>
      <c r="Z177" s="27">
        <v>802</v>
      </c>
      <c r="AF177" s="31"/>
      <c r="AG177" s="31"/>
    </row>
    <row r="178" spans="1:33">
      <c r="A178" s="385">
        <f>References!G278</f>
        <v>465</v>
      </c>
      <c r="B178" s="382" t="s">
        <v>49</v>
      </c>
      <c r="C178" s="284">
        <v>2008</v>
      </c>
      <c r="D178" s="91">
        <v>22718</v>
      </c>
      <c r="E178" s="92">
        <v>22718</v>
      </c>
      <c r="F178" s="92">
        <v>1522</v>
      </c>
      <c r="G178" s="27">
        <v>0</v>
      </c>
      <c r="H178" s="91">
        <v>0</v>
      </c>
      <c r="I178" s="92">
        <v>24240</v>
      </c>
      <c r="J178" s="92">
        <v>4588</v>
      </c>
      <c r="K178" s="91">
        <v>0</v>
      </c>
      <c r="L178" s="91">
        <v>2915</v>
      </c>
      <c r="M178" s="91">
        <v>0</v>
      </c>
      <c r="N178" s="91">
        <v>0</v>
      </c>
      <c r="O178" s="31">
        <v>3017</v>
      </c>
      <c r="P178" s="91">
        <v>0</v>
      </c>
      <c r="R178" s="91">
        <v>-400</v>
      </c>
      <c r="S178" s="92">
        <v>5532</v>
      </c>
      <c r="T178" s="27">
        <v>14120</v>
      </c>
      <c r="U178" s="27">
        <v>4542</v>
      </c>
      <c r="V178" s="31">
        <v>9578</v>
      </c>
      <c r="W178" s="31">
        <v>1906.4255000000001</v>
      </c>
      <c r="X178" s="31">
        <v>3819.9589999999998</v>
      </c>
      <c r="Y178" s="31">
        <v>0</v>
      </c>
      <c r="Z178" s="27">
        <v>11491.534</v>
      </c>
      <c r="AA178" s="31">
        <v>0</v>
      </c>
      <c r="AB178" s="31">
        <v>0</v>
      </c>
      <c r="AC178" s="31">
        <v>10423.98</v>
      </c>
      <c r="AD178" s="31">
        <v>0</v>
      </c>
      <c r="AE178" s="31">
        <v>0</v>
      </c>
      <c r="AF178" s="92">
        <v>10423.98</v>
      </c>
      <c r="AG178" s="91">
        <v>340</v>
      </c>
    </row>
    <row r="179" spans="1:33">
      <c r="A179" s="385">
        <f>References!H278</f>
        <v>466</v>
      </c>
      <c r="B179" s="382" t="s">
        <v>49</v>
      </c>
      <c r="C179" s="284">
        <v>2009</v>
      </c>
      <c r="D179" s="91">
        <v>24175</v>
      </c>
      <c r="E179" s="92">
        <v>24175</v>
      </c>
      <c r="F179" s="92">
        <v>821</v>
      </c>
      <c r="G179" s="27">
        <v>70</v>
      </c>
      <c r="H179" s="91">
        <v>0</v>
      </c>
      <c r="I179" s="92">
        <v>25066</v>
      </c>
      <c r="J179" s="92">
        <v>5055</v>
      </c>
      <c r="K179" s="91">
        <v>0</v>
      </c>
      <c r="L179" s="91">
        <v>0</v>
      </c>
      <c r="M179" s="91">
        <v>0</v>
      </c>
      <c r="N179" s="91">
        <v>0</v>
      </c>
      <c r="O179" s="31">
        <v>0</v>
      </c>
      <c r="P179" s="91">
        <v>0</v>
      </c>
      <c r="R179" s="91">
        <v>0</v>
      </c>
      <c r="S179" s="92">
        <v>6599</v>
      </c>
      <c r="T179" s="27">
        <v>13412</v>
      </c>
      <c r="U179" s="27">
        <v>5980</v>
      </c>
      <c r="V179" s="31">
        <v>7432</v>
      </c>
      <c r="W179" s="31">
        <v>1583.8774000000001</v>
      </c>
      <c r="X179" s="31">
        <v>3823.0129999999999</v>
      </c>
      <c r="Y179" s="31">
        <v>0</v>
      </c>
      <c r="Z179" s="27">
        <v>9671.1355000000003</v>
      </c>
      <c r="AA179" s="31">
        <v>0</v>
      </c>
      <c r="AB179" s="31">
        <v>0</v>
      </c>
      <c r="AC179" s="31">
        <v>0</v>
      </c>
      <c r="AD179" s="31">
        <v>0</v>
      </c>
      <c r="AE179" s="31">
        <v>0</v>
      </c>
      <c r="AF179" s="92">
        <v>6571</v>
      </c>
      <c r="AG179" s="91">
        <v>187</v>
      </c>
    </row>
    <row r="180" spans="1:33">
      <c r="A180" s="385">
        <f>References!I278</f>
        <v>467</v>
      </c>
      <c r="B180" s="382" t="s">
        <v>49</v>
      </c>
      <c r="C180" s="284">
        <v>2010</v>
      </c>
      <c r="D180" s="91">
        <v>27367</v>
      </c>
      <c r="E180" s="92">
        <v>27367</v>
      </c>
      <c r="F180" s="92">
        <v>86.845259999999996</v>
      </c>
      <c r="G180" s="27">
        <v>18.677659999999999</v>
      </c>
      <c r="H180" s="91">
        <v>0</v>
      </c>
      <c r="I180" s="92">
        <v>27472.523000000001</v>
      </c>
      <c r="J180" s="92">
        <v>5131.5776999999998</v>
      </c>
      <c r="K180" s="91">
        <v>2392</v>
      </c>
      <c r="L180" s="91">
        <v>1746</v>
      </c>
      <c r="M180" s="91">
        <v>2563</v>
      </c>
      <c r="N180" s="91">
        <v>0</v>
      </c>
      <c r="O180" s="31">
        <v>0</v>
      </c>
      <c r="P180" s="91">
        <v>168</v>
      </c>
      <c r="R180" s="91">
        <v>0</v>
      </c>
      <c r="S180" s="92">
        <v>6869</v>
      </c>
      <c r="T180" s="27">
        <v>15471.945</v>
      </c>
      <c r="U180" s="27">
        <v>6264</v>
      </c>
      <c r="V180" s="31">
        <v>9207.9452999999994</v>
      </c>
      <c r="W180" s="31">
        <v>2278.4011999999998</v>
      </c>
      <c r="X180" s="31">
        <v>2746.2988</v>
      </c>
      <c r="Y180" s="31">
        <v>0</v>
      </c>
      <c r="Z180" s="27">
        <v>9675.8428000000004</v>
      </c>
      <c r="AA180" s="31">
        <v>667</v>
      </c>
      <c r="AB180" s="31">
        <v>2066</v>
      </c>
      <c r="AC180" s="31">
        <v>80</v>
      </c>
      <c r="AD180" s="31">
        <v>4133</v>
      </c>
      <c r="AE180" s="31">
        <v>3</v>
      </c>
      <c r="AF180" s="92">
        <v>6949</v>
      </c>
      <c r="AG180" s="91">
        <v>285</v>
      </c>
    </row>
    <row r="181" spans="1:33">
      <c r="A181" s="385">
        <f>References!J278</f>
        <v>468</v>
      </c>
      <c r="B181" s="382" t="s">
        <v>49</v>
      </c>
      <c r="C181" s="284">
        <v>2011</v>
      </c>
      <c r="D181" s="91">
        <v>30653</v>
      </c>
      <c r="E181" s="92">
        <v>30653</v>
      </c>
      <c r="F181" s="92">
        <v>164</v>
      </c>
      <c r="G181" s="27">
        <v>52</v>
      </c>
      <c r="H181" s="91">
        <v>0</v>
      </c>
      <c r="I181" s="92">
        <v>30869</v>
      </c>
      <c r="J181" s="92">
        <v>5356.4345000000003</v>
      </c>
      <c r="K181" s="91">
        <v>1862.5905</v>
      </c>
      <c r="L181" s="91">
        <v>2822.7276999999999</v>
      </c>
      <c r="M181" s="91">
        <v>1120</v>
      </c>
      <c r="N181" s="91">
        <v>126</v>
      </c>
      <c r="O181" s="31">
        <v>1216</v>
      </c>
      <c r="P181" s="91">
        <v>0</v>
      </c>
      <c r="R181" s="91">
        <v>0</v>
      </c>
      <c r="S181" s="92">
        <v>7147.3181000000004</v>
      </c>
      <c r="T181" s="27">
        <v>18365.246999999999</v>
      </c>
      <c r="U181" s="27">
        <v>7016</v>
      </c>
      <c r="V181" s="31">
        <v>11349.246999999999</v>
      </c>
      <c r="W181" s="31">
        <v>2368</v>
      </c>
      <c r="X181" s="31">
        <v>6490</v>
      </c>
      <c r="Y181" s="31">
        <v>0</v>
      </c>
      <c r="Z181" s="27">
        <v>15471.246999999999</v>
      </c>
      <c r="AA181" s="31">
        <v>1432</v>
      </c>
      <c r="AB181" s="31">
        <v>1087</v>
      </c>
      <c r="AC181" s="31">
        <v>2126</v>
      </c>
      <c r="AD181" s="31">
        <v>3720</v>
      </c>
      <c r="AE181" s="31">
        <v>37</v>
      </c>
      <c r="AF181" s="92">
        <v>8402</v>
      </c>
      <c r="AG181" s="91">
        <v>350</v>
      </c>
    </row>
    <row r="182" spans="1:33" hidden="1">
      <c r="A182" s="385">
        <f>References!C279</f>
        <v>484</v>
      </c>
      <c r="B182" s="386" t="s">
        <v>50</v>
      </c>
      <c r="C182" s="284">
        <v>2004</v>
      </c>
      <c r="D182" s="31">
        <v>26206</v>
      </c>
      <c r="E182" s="27">
        <v>26206</v>
      </c>
      <c r="F182" s="31"/>
      <c r="G182" s="27">
        <v>986</v>
      </c>
      <c r="H182" s="31">
        <v>1009</v>
      </c>
      <c r="I182" s="27">
        <v>28201</v>
      </c>
      <c r="J182" s="27">
        <v>6578</v>
      </c>
      <c r="K182" s="31"/>
      <c r="L182" s="31"/>
      <c r="M182" s="31"/>
      <c r="N182" s="31"/>
      <c r="P182" s="31"/>
      <c r="Q182" s="31">
        <v>986</v>
      </c>
      <c r="R182" s="31"/>
      <c r="S182" s="27">
        <v>16482</v>
      </c>
      <c r="T182" s="27">
        <v>11719</v>
      </c>
      <c r="U182" s="27">
        <v>7672</v>
      </c>
      <c r="W182" s="31">
        <v>2191</v>
      </c>
      <c r="Z182" s="27">
        <v>1788</v>
      </c>
      <c r="AF182" s="31"/>
      <c r="AG182" s="31"/>
    </row>
    <row r="183" spans="1:33" hidden="1">
      <c r="A183" s="385">
        <f>References!D279</f>
        <v>485</v>
      </c>
      <c r="B183" s="386" t="s">
        <v>50</v>
      </c>
      <c r="C183" s="284">
        <v>2005</v>
      </c>
      <c r="D183" s="31">
        <v>26242</v>
      </c>
      <c r="E183" s="27">
        <v>26242</v>
      </c>
      <c r="F183" s="31"/>
      <c r="G183" s="27">
        <v>553</v>
      </c>
      <c r="H183" s="31">
        <v>1205</v>
      </c>
      <c r="I183" s="27">
        <v>28000</v>
      </c>
      <c r="J183" s="27">
        <v>7423</v>
      </c>
      <c r="K183" s="31"/>
      <c r="L183" s="31"/>
      <c r="M183" s="31"/>
      <c r="N183" s="31"/>
      <c r="P183" s="31"/>
      <c r="Q183" s="31">
        <v>553</v>
      </c>
      <c r="R183" s="31"/>
      <c r="S183" s="27">
        <v>15506</v>
      </c>
      <c r="T183" s="27">
        <v>12494</v>
      </c>
      <c r="U183" s="27">
        <v>9706</v>
      </c>
      <c r="W183" s="31">
        <v>2064</v>
      </c>
      <c r="Z183" s="27">
        <v>702</v>
      </c>
      <c r="AF183" s="31"/>
      <c r="AG183" s="31"/>
    </row>
    <row r="184" spans="1:33" hidden="1">
      <c r="A184" s="385">
        <f>References!E279</f>
        <v>486</v>
      </c>
      <c r="B184" s="386" t="s">
        <v>50</v>
      </c>
      <c r="C184" s="284">
        <v>2006</v>
      </c>
      <c r="D184" s="31">
        <v>26474</v>
      </c>
      <c r="E184" s="27">
        <v>26474</v>
      </c>
      <c r="F184" s="31"/>
      <c r="G184" s="27">
        <v>1191</v>
      </c>
      <c r="H184" s="31">
        <v>1725</v>
      </c>
      <c r="I184" s="27">
        <v>29390</v>
      </c>
      <c r="J184" s="27">
        <v>7115</v>
      </c>
      <c r="K184" s="31"/>
      <c r="L184" s="31"/>
      <c r="M184" s="31"/>
      <c r="N184" s="31"/>
      <c r="P184" s="31"/>
      <c r="Q184" s="31">
        <v>1191</v>
      </c>
      <c r="R184" s="31"/>
      <c r="S184" s="27">
        <v>16148</v>
      </c>
      <c r="T184" s="27">
        <v>13242</v>
      </c>
      <c r="U184" s="27">
        <v>9745</v>
      </c>
      <c r="W184" s="31">
        <v>2115</v>
      </c>
      <c r="Z184" s="27">
        <v>1329</v>
      </c>
      <c r="AF184" s="31"/>
      <c r="AG184" s="31"/>
    </row>
    <row r="185" spans="1:33" hidden="1">
      <c r="A185" s="385">
        <f>References!F279</f>
        <v>487</v>
      </c>
      <c r="B185" s="386" t="s">
        <v>50</v>
      </c>
      <c r="C185" s="284">
        <v>2007</v>
      </c>
      <c r="D185" s="31">
        <v>29172</v>
      </c>
      <c r="E185" s="27">
        <v>29172</v>
      </c>
      <c r="F185" s="31"/>
      <c r="G185" s="27">
        <v>881</v>
      </c>
      <c r="H185" s="31">
        <v>2605</v>
      </c>
      <c r="I185" s="27">
        <v>32658</v>
      </c>
      <c r="J185" s="27">
        <v>8325</v>
      </c>
      <c r="K185" s="31"/>
      <c r="L185" s="31"/>
      <c r="M185" s="31"/>
      <c r="N185" s="31"/>
      <c r="P185" s="31"/>
      <c r="Q185" s="31">
        <v>881</v>
      </c>
      <c r="R185" s="31"/>
      <c r="S185" s="27">
        <v>18403</v>
      </c>
      <c r="T185" s="27">
        <v>14255</v>
      </c>
      <c r="U185" s="27">
        <v>9839</v>
      </c>
      <c r="W185" s="31">
        <v>2065</v>
      </c>
      <c r="Z185" s="27">
        <v>2049</v>
      </c>
      <c r="AF185" s="31"/>
      <c r="AG185" s="31"/>
    </row>
    <row r="186" spans="1:33">
      <c r="A186" s="385">
        <f>References!G279</f>
        <v>488</v>
      </c>
      <c r="B186" s="382" t="s">
        <v>50</v>
      </c>
      <c r="C186" s="284">
        <v>2008</v>
      </c>
      <c r="D186" s="91">
        <v>32381</v>
      </c>
      <c r="E186" s="92">
        <v>36324</v>
      </c>
      <c r="F186" s="92">
        <v>4940</v>
      </c>
      <c r="G186" s="27">
        <v>0</v>
      </c>
      <c r="H186" s="91">
        <v>856</v>
      </c>
      <c r="I186" s="92">
        <v>42120</v>
      </c>
      <c r="J186" s="92">
        <v>8418</v>
      </c>
      <c r="K186" s="91">
        <v>0</v>
      </c>
      <c r="L186" s="91">
        <v>0</v>
      </c>
      <c r="M186" s="91">
        <v>0</v>
      </c>
      <c r="N186" s="91">
        <v>0</v>
      </c>
      <c r="O186" s="31">
        <v>0</v>
      </c>
      <c r="P186" s="91">
        <v>0</v>
      </c>
      <c r="R186" s="91">
        <v>0</v>
      </c>
      <c r="S186" s="92">
        <v>9014</v>
      </c>
      <c r="T186" s="27">
        <v>24688</v>
      </c>
      <c r="U186" s="27">
        <v>10677</v>
      </c>
      <c r="V186" s="31">
        <v>14011</v>
      </c>
      <c r="W186" s="31">
        <v>204.80793</v>
      </c>
      <c r="X186" s="31">
        <v>7911.8624</v>
      </c>
      <c r="Y186" s="31">
        <v>0</v>
      </c>
      <c r="Z186" s="27">
        <v>21718.054</v>
      </c>
      <c r="AA186" s="31">
        <v>0</v>
      </c>
      <c r="AB186" s="31">
        <v>0</v>
      </c>
      <c r="AC186" s="31">
        <v>0</v>
      </c>
      <c r="AD186" s="31">
        <v>0</v>
      </c>
      <c r="AE186" s="31">
        <v>18984</v>
      </c>
      <c r="AF186" s="92">
        <v>18984</v>
      </c>
      <c r="AG186" s="91">
        <v>218</v>
      </c>
    </row>
    <row r="187" spans="1:33">
      <c r="A187" s="385">
        <f>References!H279</f>
        <v>489</v>
      </c>
      <c r="B187" s="382" t="s">
        <v>50</v>
      </c>
      <c r="C187" s="284">
        <v>2009</v>
      </c>
      <c r="D187" s="91">
        <v>35143</v>
      </c>
      <c r="E187" s="92">
        <v>40049</v>
      </c>
      <c r="F187" s="92">
        <v>5052</v>
      </c>
      <c r="G187" s="27">
        <v>0</v>
      </c>
      <c r="H187" s="91">
        <v>744</v>
      </c>
      <c r="I187" s="92">
        <v>45845</v>
      </c>
      <c r="J187" s="92">
        <v>9017</v>
      </c>
      <c r="K187" s="91">
        <v>0</v>
      </c>
      <c r="L187" s="91">
        <v>0</v>
      </c>
      <c r="M187" s="91">
        <v>0</v>
      </c>
      <c r="N187" s="91">
        <v>0</v>
      </c>
      <c r="O187" s="31">
        <v>0</v>
      </c>
      <c r="P187" s="91">
        <v>0</v>
      </c>
      <c r="R187" s="91">
        <v>0</v>
      </c>
      <c r="S187" s="92">
        <v>10590</v>
      </c>
      <c r="T187" s="27">
        <v>26238</v>
      </c>
      <c r="U187" s="27">
        <v>11080</v>
      </c>
      <c r="V187" s="31">
        <v>15158</v>
      </c>
      <c r="W187" s="31">
        <v>-33.080765999999997</v>
      </c>
      <c r="X187" s="31">
        <v>7393.7587999999996</v>
      </c>
      <c r="Y187" s="31">
        <v>0</v>
      </c>
      <c r="Z187" s="27">
        <v>22584.84</v>
      </c>
      <c r="AA187" s="31">
        <v>0</v>
      </c>
      <c r="AB187" s="31">
        <v>0</v>
      </c>
      <c r="AC187" s="31">
        <v>0</v>
      </c>
      <c r="AD187" s="31">
        <v>0</v>
      </c>
      <c r="AE187" s="31">
        <v>0</v>
      </c>
      <c r="AF187" s="92">
        <v>17373.317999999999</v>
      </c>
      <c r="AG187" s="91">
        <v>1009</v>
      </c>
    </row>
    <row r="188" spans="1:33">
      <c r="A188" s="385">
        <f>References!I279</f>
        <v>490</v>
      </c>
      <c r="B188" s="382" t="s">
        <v>50</v>
      </c>
      <c r="C188" s="284">
        <v>2010</v>
      </c>
      <c r="D188" s="91">
        <v>38832</v>
      </c>
      <c r="E188" s="92">
        <v>43724</v>
      </c>
      <c r="F188" s="92">
        <v>2376</v>
      </c>
      <c r="G188" s="27">
        <v>0</v>
      </c>
      <c r="H188" s="91">
        <v>809</v>
      </c>
      <c r="I188" s="92">
        <v>46909</v>
      </c>
      <c r="J188" s="92">
        <v>10281</v>
      </c>
      <c r="K188" s="91">
        <v>2403</v>
      </c>
      <c r="L188" s="91">
        <v>1934</v>
      </c>
      <c r="M188" s="91">
        <v>2549</v>
      </c>
      <c r="N188" s="91">
        <v>1149</v>
      </c>
      <c r="O188" s="31">
        <v>2731</v>
      </c>
      <c r="P188" s="91">
        <v>314</v>
      </c>
      <c r="R188" s="91">
        <v>292</v>
      </c>
      <c r="S188" s="92">
        <v>11372</v>
      </c>
      <c r="T188" s="27">
        <v>25256</v>
      </c>
      <c r="U188" s="27">
        <v>12254</v>
      </c>
      <c r="V188" s="31">
        <v>13002</v>
      </c>
      <c r="W188" s="31">
        <v>698.80683999999997</v>
      </c>
      <c r="X188" s="31">
        <v>5337.2710999999999</v>
      </c>
      <c r="Y188" s="31">
        <v>0</v>
      </c>
      <c r="Z188" s="27">
        <v>17640.464</v>
      </c>
      <c r="AA188" s="31">
        <v>2978</v>
      </c>
      <c r="AB188" s="31">
        <v>8199</v>
      </c>
      <c r="AC188" s="31">
        <v>606</v>
      </c>
      <c r="AD188" s="31">
        <v>6187</v>
      </c>
      <c r="AE188" s="31">
        <v>17</v>
      </c>
      <c r="AF188" s="92">
        <v>17987</v>
      </c>
      <c r="AG188" s="91">
        <v>727</v>
      </c>
    </row>
    <row r="189" spans="1:33">
      <c r="A189" s="385">
        <f>References!J279</f>
        <v>491</v>
      </c>
      <c r="B189" s="382" t="s">
        <v>50</v>
      </c>
      <c r="C189" s="284">
        <v>2011</v>
      </c>
      <c r="D189" s="91">
        <v>40133.877999999997</v>
      </c>
      <c r="E189" s="92">
        <v>45000.902999999998</v>
      </c>
      <c r="F189" s="92">
        <v>2116</v>
      </c>
      <c r="G189" s="27">
        <v>0</v>
      </c>
      <c r="H189" s="91">
        <v>687</v>
      </c>
      <c r="I189" s="92">
        <v>47803.902999999998</v>
      </c>
      <c r="J189" s="92">
        <v>10234</v>
      </c>
      <c r="K189" s="91">
        <v>2324</v>
      </c>
      <c r="L189" s="91">
        <v>2342</v>
      </c>
      <c r="M189" s="91">
        <v>3150</v>
      </c>
      <c r="N189" s="91">
        <v>718</v>
      </c>
      <c r="O189" s="31">
        <v>2274</v>
      </c>
      <c r="P189" s="91">
        <v>289</v>
      </c>
      <c r="R189" s="91">
        <v>222</v>
      </c>
      <c r="S189" s="92">
        <v>11319</v>
      </c>
      <c r="T189" s="27">
        <v>26250.902999999998</v>
      </c>
      <c r="U189" s="27">
        <v>12698</v>
      </c>
      <c r="V189" s="31">
        <v>13552.903</v>
      </c>
      <c r="W189" s="31">
        <v>396.88992999999999</v>
      </c>
      <c r="X189" s="31">
        <v>12515.268</v>
      </c>
      <c r="Y189" s="31">
        <v>0</v>
      </c>
      <c r="Z189" s="27">
        <v>25671.280999999999</v>
      </c>
      <c r="AA189" s="31">
        <v>3335</v>
      </c>
      <c r="AB189" s="31">
        <v>2234</v>
      </c>
      <c r="AC189" s="31">
        <v>354</v>
      </c>
      <c r="AD189" s="31">
        <v>6013</v>
      </c>
      <c r="AE189" s="31">
        <v>86</v>
      </c>
      <c r="AF189" s="92">
        <v>12022</v>
      </c>
      <c r="AG189" s="91">
        <v>292</v>
      </c>
    </row>
    <row r="190" spans="1:33" hidden="1">
      <c r="A190" s="385">
        <f>References!C280</f>
        <v>507</v>
      </c>
      <c r="B190" s="386" t="s">
        <v>142</v>
      </c>
      <c r="C190" s="284">
        <v>2004</v>
      </c>
      <c r="D190" s="31">
        <v>18991.43</v>
      </c>
      <c r="E190" s="27">
        <v>18991.43</v>
      </c>
      <c r="F190" s="31"/>
      <c r="G190" s="27">
        <v>786.71299999999997</v>
      </c>
      <c r="H190" s="31">
        <v>580.48900000000003</v>
      </c>
      <c r="I190" s="27">
        <v>20358.632000000001</v>
      </c>
      <c r="J190" s="27">
        <v>4024.7249999999999</v>
      </c>
      <c r="K190" s="31"/>
      <c r="L190" s="31"/>
      <c r="M190" s="31"/>
      <c r="N190" s="31"/>
      <c r="P190" s="31"/>
      <c r="Q190" s="31">
        <v>786.71299999999997</v>
      </c>
      <c r="R190" s="31"/>
      <c r="S190" s="27">
        <v>11502.766</v>
      </c>
      <c r="T190" s="27">
        <v>8855.8660000000018</v>
      </c>
      <c r="U190" s="27">
        <v>3570.9270000000001</v>
      </c>
      <c r="W190" s="31">
        <v>6495</v>
      </c>
      <c r="Z190" s="27">
        <v>-1840.4889999999978</v>
      </c>
      <c r="AF190" s="31"/>
      <c r="AG190" s="31"/>
    </row>
    <row r="191" spans="1:33" hidden="1">
      <c r="A191" s="385">
        <f>References!D280</f>
        <v>508</v>
      </c>
      <c r="B191" s="386" t="s">
        <v>142</v>
      </c>
      <c r="C191" s="284">
        <v>2005</v>
      </c>
      <c r="D191" s="31">
        <v>20391.888999999999</v>
      </c>
      <c r="E191" s="27">
        <v>20391.888999999999</v>
      </c>
      <c r="F191" s="31"/>
      <c r="G191" s="27">
        <v>482.697</v>
      </c>
      <c r="H191" s="31">
        <v>1077.242</v>
      </c>
      <c r="I191" s="27">
        <v>21951.827999999998</v>
      </c>
      <c r="J191" s="27">
        <v>5148.4459999999999</v>
      </c>
      <c r="K191" s="31"/>
      <c r="L191" s="31"/>
      <c r="M191" s="31"/>
      <c r="N191" s="31"/>
      <c r="P191" s="31"/>
      <c r="Q191" s="31">
        <v>0</v>
      </c>
      <c r="R191" s="31"/>
      <c r="S191" s="27">
        <v>13095.325999999999</v>
      </c>
      <c r="T191" s="27">
        <v>8856.5019999999986</v>
      </c>
      <c r="U191" s="27">
        <v>4400.9870000000001</v>
      </c>
      <c r="W191" s="31">
        <v>1889.6420000000001</v>
      </c>
      <c r="Z191" s="27">
        <v>1900.9809999999986</v>
      </c>
      <c r="AF191" s="31"/>
      <c r="AG191" s="31"/>
    </row>
    <row r="192" spans="1:33" hidden="1">
      <c r="A192" s="385">
        <f>References!E280</f>
        <v>509</v>
      </c>
      <c r="B192" s="386" t="s">
        <v>142</v>
      </c>
      <c r="C192" s="284">
        <v>2006</v>
      </c>
      <c r="D192" s="31">
        <v>21535.008000000002</v>
      </c>
      <c r="E192" s="27">
        <v>21535.008000000002</v>
      </c>
      <c r="F192" s="31"/>
      <c r="G192" s="27">
        <v>737.27200000000005</v>
      </c>
      <c r="H192" s="31">
        <v>1474.807</v>
      </c>
      <c r="I192" s="27">
        <v>23747.087000000003</v>
      </c>
      <c r="J192" s="27">
        <v>4980.1099999999997</v>
      </c>
      <c r="K192" s="31"/>
      <c r="L192" s="31"/>
      <c r="M192" s="31"/>
      <c r="N192" s="31"/>
      <c r="P192" s="31"/>
      <c r="Q192" s="31">
        <v>0</v>
      </c>
      <c r="R192" s="31"/>
      <c r="S192" s="27">
        <v>13809.835999999999</v>
      </c>
      <c r="T192" s="27">
        <v>9937.2510000000038</v>
      </c>
      <c r="U192" s="27">
        <v>4475.0039999999999</v>
      </c>
      <c r="W192" s="31">
        <v>1693.518</v>
      </c>
      <c r="Z192" s="27">
        <v>2966.611000000004</v>
      </c>
      <c r="AF192" s="31"/>
      <c r="AG192" s="31"/>
    </row>
    <row r="193" spans="1:33" hidden="1">
      <c r="A193" s="385">
        <f>References!F280</f>
        <v>510</v>
      </c>
      <c r="B193" s="386" t="s">
        <v>142</v>
      </c>
      <c r="C193" s="284">
        <v>2007</v>
      </c>
      <c r="D193" s="31">
        <v>23319.811000000002</v>
      </c>
      <c r="E193" s="27">
        <v>23319.811000000002</v>
      </c>
      <c r="F193" s="31"/>
      <c r="G193" s="27">
        <v>645.77499999999998</v>
      </c>
      <c r="H193" s="31">
        <v>2127.2330000000002</v>
      </c>
      <c r="I193" s="27">
        <v>26092.819000000003</v>
      </c>
      <c r="J193" s="27">
        <v>5868.5429999999997</v>
      </c>
      <c r="K193" s="31"/>
      <c r="L193" s="31"/>
      <c r="M193" s="31"/>
      <c r="N193" s="31"/>
      <c r="P193" s="31"/>
      <c r="Q193" s="31">
        <v>0</v>
      </c>
      <c r="R193" s="31"/>
      <c r="S193" s="27">
        <v>14605.585999999999</v>
      </c>
      <c r="T193" s="27">
        <v>11487.233000000004</v>
      </c>
      <c r="U193" s="27">
        <v>4603.2449999999999</v>
      </c>
      <c r="W193" s="31">
        <v>1968.569</v>
      </c>
      <c r="Z193" s="27">
        <v>4177.0010000000038</v>
      </c>
      <c r="AF193" s="31"/>
      <c r="AG193" s="31"/>
    </row>
    <row r="194" spans="1:33">
      <c r="A194" s="385">
        <f>References!G280</f>
        <v>511</v>
      </c>
      <c r="B194" s="382" t="s">
        <v>142</v>
      </c>
      <c r="C194" s="284">
        <v>2008</v>
      </c>
      <c r="D194" s="91">
        <v>23619</v>
      </c>
      <c r="E194" s="92">
        <v>23619</v>
      </c>
      <c r="F194" s="92">
        <v>2578</v>
      </c>
      <c r="G194" s="27">
        <v>588</v>
      </c>
      <c r="H194" s="91">
        <v>0</v>
      </c>
      <c r="I194" s="92">
        <v>26785</v>
      </c>
      <c r="J194" s="92">
        <v>5894</v>
      </c>
      <c r="K194" s="91">
        <v>0</v>
      </c>
      <c r="L194" s="91">
        <v>0</v>
      </c>
      <c r="M194" s="91">
        <v>0</v>
      </c>
      <c r="N194" s="91">
        <v>0</v>
      </c>
      <c r="O194" s="31">
        <v>0</v>
      </c>
      <c r="P194" s="91">
        <v>0</v>
      </c>
      <c r="R194" s="91">
        <v>0</v>
      </c>
      <c r="S194" s="92">
        <v>8646</v>
      </c>
      <c r="T194" s="27">
        <v>12245</v>
      </c>
      <c r="U194" s="27">
        <v>4846</v>
      </c>
      <c r="V194" s="31">
        <v>7399</v>
      </c>
      <c r="W194" s="31">
        <v>642.18538000000001</v>
      </c>
      <c r="X194" s="31">
        <v>3728.8622999999998</v>
      </c>
      <c r="Y194" s="31">
        <v>0</v>
      </c>
      <c r="Z194" s="27">
        <v>10485.677</v>
      </c>
      <c r="AA194" s="31">
        <v>0</v>
      </c>
      <c r="AB194" s="31">
        <v>0</v>
      </c>
      <c r="AC194" s="31">
        <v>0</v>
      </c>
      <c r="AD194" s="31">
        <v>0</v>
      </c>
      <c r="AE194" s="31">
        <v>6033</v>
      </c>
      <c r="AF194" s="92">
        <v>6033</v>
      </c>
      <c r="AG194" s="91">
        <v>166</v>
      </c>
    </row>
    <row r="195" spans="1:33">
      <c r="A195" s="385">
        <f>References!H280</f>
        <v>512</v>
      </c>
      <c r="B195" s="382" t="s">
        <v>142</v>
      </c>
      <c r="C195" s="284">
        <v>2009</v>
      </c>
      <c r="D195" s="91">
        <v>25509</v>
      </c>
      <c r="E195" s="92">
        <v>25509</v>
      </c>
      <c r="F195" s="92">
        <v>2666</v>
      </c>
      <c r="G195" s="27">
        <v>53</v>
      </c>
      <c r="H195" s="91">
        <v>0</v>
      </c>
      <c r="I195" s="92">
        <v>28228</v>
      </c>
      <c r="J195" s="92">
        <v>6297</v>
      </c>
      <c r="K195" s="91">
        <v>0</v>
      </c>
      <c r="L195" s="91">
        <v>0</v>
      </c>
      <c r="M195" s="91">
        <v>0</v>
      </c>
      <c r="N195" s="91">
        <v>0</v>
      </c>
      <c r="O195" s="31">
        <v>0</v>
      </c>
      <c r="P195" s="91">
        <v>0</v>
      </c>
      <c r="R195" s="91">
        <v>0</v>
      </c>
      <c r="S195" s="92">
        <v>9897</v>
      </c>
      <c r="T195" s="27">
        <v>12034</v>
      </c>
      <c r="U195" s="27">
        <v>5039</v>
      </c>
      <c r="V195" s="31">
        <v>6995</v>
      </c>
      <c r="W195" s="31">
        <v>248.04998000000001</v>
      </c>
      <c r="X195" s="31">
        <v>3480.8191999999999</v>
      </c>
      <c r="Y195" s="31">
        <v>0</v>
      </c>
      <c r="Z195" s="27">
        <v>10227.769</v>
      </c>
      <c r="AA195" s="31">
        <v>0</v>
      </c>
      <c r="AB195" s="31">
        <v>0</v>
      </c>
      <c r="AC195" s="31">
        <v>0</v>
      </c>
      <c r="AD195" s="31">
        <v>0</v>
      </c>
      <c r="AE195" s="31">
        <v>0</v>
      </c>
      <c r="AF195" s="92">
        <v>10518</v>
      </c>
      <c r="AG195" s="91">
        <v>189</v>
      </c>
    </row>
    <row r="196" spans="1:33">
      <c r="A196" s="385">
        <f>References!I280</f>
        <v>513</v>
      </c>
      <c r="B196" s="382" t="s">
        <v>142</v>
      </c>
      <c r="C196" s="284">
        <v>2010</v>
      </c>
      <c r="D196" s="91">
        <v>26919</v>
      </c>
      <c r="E196" s="92">
        <v>26919</v>
      </c>
      <c r="F196" s="92">
        <v>1186</v>
      </c>
      <c r="G196" s="27">
        <v>0</v>
      </c>
      <c r="H196" s="91">
        <v>0</v>
      </c>
      <c r="I196" s="92">
        <v>28105</v>
      </c>
      <c r="J196" s="92">
        <v>5827</v>
      </c>
      <c r="K196" s="91">
        <v>3550</v>
      </c>
      <c r="L196" s="91">
        <v>1495</v>
      </c>
      <c r="M196" s="91">
        <v>1002</v>
      </c>
      <c r="N196" s="91">
        <v>3965</v>
      </c>
      <c r="O196" s="31">
        <v>1031</v>
      </c>
      <c r="P196" s="91">
        <v>284</v>
      </c>
      <c r="R196" s="91">
        <v>87</v>
      </c>
      <c r="S196" s="92">
        <v>11414</v>
      </c>
      <c r="T196" s="27">
        <v>10864</v>
      </c>
      <c r="U196" s="27">
        <v>5239</v>
      </c>
      <c r="V196" s="31">
        <v>5625</v>
      </c>
      <c r="W196" s="31">
        <v>914.95270000000005</v>
      </c>
      <c r="X196" s="31">
        <v>2607.8047999999999</v>
      </c>
      <c r="Y196" s="31">
        <v>0</v>
      </c>
      <c r="Z196" s="27">
        <v>7317.8521000000001</v>
      </c>
      <c r="AA196" s="31">
        <v>755</v>
      </c>
      <c r="AB196" s="31">
        <v>2998</v>
      </c>
      <c r="AC196" s="31">
        <v>2386</v>
      </c>
      <c r="AD196" s="31">
        <v>1897</v>
      </c>
      <c r="AE196" s="31">
        <v>116</v>
      </c>
      <c r="AF196" s="92">
        <v>8152</v>
      </c>
      <c r="AG196" s="91">
        <v>-42</v>
      </c>
    </row>
    <row r="197" spans="1:33">
      <c r="A197" s="385">
        <f>References!J280</f>
        <v>514</v>
      </c>
      <c r="B197" s="382" t="s">
        <v>142</v>
      </c>
      <c r="C197" s="284">
        <v>2011</v>
      </c>
      <c r="D197" s="91">
        <v>31490</v>
      </c>
      <c r="E197" s="92">
        <v>31490</v>
      </c>
      <c r="F197" s="92">
        <v>1141</v>
      </c>
      <c r="G197" s="27">
        <v>535.40200000000004</v>
      </c>
      <c r="H197" s="91">
        <v>0</v>
      </c>
      <c r="I197" s="92">
        <v>33166.402000000002</v>
      </c>
      <c r="J197" s="92">
        <v>5429.402</v>
      </c>
      <c r="K197" s="91">
        <v>3973</v>
      </c>
      <c r="L197" s="91">
        <v>2239</v>
      </c>
      <c r="M197" s="91">
        <v>3952</v>
      </c>
      <c r="N197" s="91">
        <v>729</v>
      </c>
      <c r="O197" s="31">
        <v>1298</v>
      </c>
      <c r="P197" s="91">
        <v>303</v>
      </c>
      <c r="R197" s="91">
        <v>151</v>
      </c>
      <c r="S197" s="92">
        <v>12645</v>
      </c>
      <c r="T197" s="27">
        <v>15092</v>
      </c>
      <c r="U197" s="27">
        <v>5715</v>
      </c>
      <c r="V197" s="31">
        <v>9377</v>
      </c>
      <c r="W197" s="31">
        <v>1812.2360000000001</v>
      </c>
      <c r="X197" s="31">
        <v>5907.3645999999999</v>
      </c>
      <c r="Y197" s="31">
        <v>0</v>
      </c>
      <c r="Z197" s="27">
        <v>13472.129000000001</v>
      </c>
      <c r="AA197" s="31">
        <v>1006</v>
      </c>
      <c r="AB197" s="31">
        <v>6713</v>
      </c>
      <c r="AC197" s="31">
        <v>946</v>
      </c>
      <c r="AD197" s="31">
        <v>5046</v>
      </c>
      <c r="AE197" s="31">
        <v>152</v>
      </c>
      <c r="AF197" s="92">
        <v>13863</v>
      </c>
      <c r="AG197" s="91">
        <v>154</v>
      </c>
    </row>
    <row r="198" spans="1:33" hidden="1">
      <c r="A198" s="385">
        <f>References!C281</f>
        <v>530</v>
      </c>
      <c r="B198" s="386" t="s">
        <v>52</v>
      </c>
      <c r="C198" s="284">
        <v>2004</v>
      </c>
      <c r="D198" s="31">
        <v>72598</v>
      </c>
      <c r="E198" s="27">
        <v>72598</v>
      </c>
      <c r="F198" s="31"/>
      <c r="G198" s="27">
        <v>2632</v>
      </c>
      <c r="H198" s="31">
        <v>227</v>
      </c>
      <c r="I198" s="27">
        <v>75457</v>
      </c>
      <c r="J198" s="27">
        <v>18239</v>
      </c>
      <c r="K198" s="31"/>
      <c r="L198" s="31"/>
      <c r="M198" s="31"/>
      <c r="N198" s="31"/>
      <c r="P198" s="31"/>
      <c r="Q198" s="31">
        <v>2634</v>
      </c>
      <c r="R198" s="31"/>
      <c r="S198" s="27">
        <v>40794</v>
      </c>
      <c r="T198" s="27">
        <v>34663</v>
      </c>
      <c r="U198" s="27">
        <v>11599</v>
      </c>
      <c r="W198" s="31">
        <v>-1614</v>
      </c>
      <c r="Z198" s="27">
        <v>10977</v>
      </c>
      <c r="AF198" s="31"/>
      <c r="AG198" s="31"/>
    </row>
    <row r="199" spans="1:33" hidden="1">
      <c r="A199" s="385">
        <f>References!D281</f>
        <v>531</v>
      </c>
      <c r="B199" s="386" t="s">
        <v>52</v>
      </c>
      <c r="C199" s="284">
        <v>2005</v>
      </c>
      <c r="D199" s="31">
        <v>89956</v>
      </c>
      <c r="E199" s="27">
        <v>89956</v>
      </c>
      <c r="F199" s="31"/>
      <c r="G199" s="27">
        <v>2779</v>
      </c>
      <c r="H199" s="31">
        <v>163</v>
      </c>
      <c r="I199" s="27">
        <v>92898</v>
      </c>
      <c r="J199" s="27">
        <v>19877</v>
      </c>
      <c r="K199" s="31"/>
      <c r="L199" s="31"/>
      <c r="M199" s="31"/>
      <c r="N199" s="31"/>
      <c r="P199" s="31"/>
      <c r="Q199" s="31">
        <v>2779</v>
      </c>
      <c r="R199" s="31"/>
      <c r="S199" s="27">
        <v>45324</v>
      </c>
      <c r="T199" s="27">
        <v>47574</v>
      </c>
      <c r="U199" s="27">
        <v>12748</v>
      </c>
      <c r="W199" s="31">
        <v>3339</v>
      </c>
      <c r="Z199" s="27">
        <v>18700</v>
      </c>
      <c r="AF199" s="31"/>
      <c r="AG199" s="31"/>
    </row>
    <row r="200" spans="1:33" hidden="1">
      <c r="A200" s="385">
        <f>References!E281</f>
        <v>532</v>
      </c>
      <c r="B200" s="386" t="s">
        <v>52</v>
      </c>
      <c r="C200" s="284">
        <v>2006</v>
      </c>
      <c r="D200" s="31">
        <v>82474</v>
      </c>
      <c r="E200" s="27">
        <v>82474</v>
      </c>
      <c r="F200" s="31"/>
      <c r="G200" s="27">
        <v>3671</v>
      </c>
      <c r="H200" s="31">
        <v>8188</v>
      </c>
      <c r="I200" s="27">
        <v>94333</v>
      </c>
      <c r="J200" s="27">
        <v>20083</v>
      </c>
      <c r="K200" s="31"/>
      <c r="L200" s="31"/>
      <c r="M200" s="31"/>
      <c r="N200" s="31"/>
      <c r="P200" s="31"/>
      <c r="Q200" s="31">
        <v>3671</v>
      </c>
      <c r="R200" s="31"/>
      <c r="S200" s="27">
        <v>109188</v>
      </c>
      <c r="T200" s="27">
        <v>-14855</v>
      </c>
      <c r="U200" s="27">
        <v>13316</v>
      </c>
      <c r="W200" s="31">
        <v>1430</v>
      </c>
      <c r="Z200" s="27">
        <v>-41780</v>
      </c>
      <c r="AF200" s="31"/>
      <c r="AG200" s="31"/>
    </row>
    <row r="201" spans="1:33" hidden="1">
      <c r="A201" s="385">
        <f>References!F281</f>
        <v>533</v>
      </c>
      <c r="B201" s="386" t="s">
        <v>52</v>
      </c>
      <c r="C201" s="284">
        <v>2007</v>
      </c>
      <c r="D201" s="31">
        <v>83141</v>
      </c>
      <c r="E201" s="27">
        <v>83141</v>
      </c>
      <c r="F201" s="31"/>
      <c r="G201" s="27">
        <v>4128</v>
      </c>
      <c r="H201" s="31">
        <v>6582</v>
      </c>
      <c r="I201" s="27">
        <v>93851</v>
      </c>
      <c r="J201" s="27">
        <v>20552</v>
      </c>
      <c r="K201" s="31"/>
      <c r="L201" s="31"/>
      <c r="M201" s="31"/>
      <c r="N201" s="31"/>
      <c r="P201" s="31"/>
      <c r="Q201" s="31">
        <v>4128</v>
      </c>
      <c r="R201" s="31"/>
      <c r="S201" s="27">
        <v>45779</v>
      </c>
      <c r="T201" s="27">
        <v>48072</v>
      </c>
      <c r="U201" s="27">
        <v>18240</v>
      </c>
      <c r="W201" s="31">
        <v>1534</v>
      </c>
      <c r="Z201" s="27">
        <v>16127</v>
      </c>
      <c r="AF201" s="31"/>
      <c r="AG201" s="31"/>
    </row>
    <row r="202" spans="1:33">
      <c r="A202" s="385">
        <f>References!G281</f>
        <v>534</v>
      </c>
      <c r="B202" s="382" t="s">
        <v>52</v>
      </c>
      <c r="C202" s="284">
        <v>2008</v>
      </c>
      <c r="D202" s="91">
        <v>86518.728000000003</v>
      </c>
      <c r="E202" s="92">
        <v>86518.728000000003</v>
      </c>
      <c r="F202" s="92">
        <v>8951.0764999999992</v>
      </c>
      <c r="G202" s="27">
        <v>0</v>
      </c>
      <c r="H202" s="91">
        <v>132.81434999999999</v>
      </c>
      <c r="I202" s="92">
        <v>95602.619000000006</v>
      </c>
      <c r="J202" s="92">
        <v>21629.726999999999</v>
      </c>
      <c r="K202" s="91">
        <v>7882.0391</v>
      </c>
      <c r="L202" s="91">
        <v>5246.5264999999999</v>
      </c>
      <c r="M202" s="91">
        <v>3118.9011999999998</v>
      </c>
      <c r="N202" s="91">
        <v>915.56434999999999</v>
      </c>
      <c r="O202" s="31">
        <v>3687.2105000000001</v>
      </c>
      <c r="P202" s="91">
        <v>495.62043</v>
      </c>
      <c r="R202" s="91">
        <v>514.57059000000004</v>
      </c>
      <c r="S202" s="92">
        <v>21860.433000000001</v>
      </c>
      <c r="T202" s="27">
        <v>52112.46</v>
      </c>
      <c r="U202" s="27">
        <v>16798.573</v>
      </c>
      <c r="V202" s="31">
        <v>35313.887000000002</v>
      </c>
      <c r="W202" s="31">
        <v>4720.7326999999996</v>
      </c>
      <c r="X202" s="31">
        <v>11094.147999999999</v>
      </c>
      <c r="Y202" s="31">
        <v>0</v>
      </c>
      <c r="Z202" s="27">
        <v>41687.302000000003</v>
      </c>
      <c r="AA202" s="31">
        <v>9790</v>
      </c>
      <c r="AB202" s="31">
        <v>4765</v>
      </c>
      <c r="AC202" s="31">
        <v>1200</v>
      </c>
      <c r="AD202" s="31">
        <v>18608</v>
      </c>
      <c r="AE202" s="31">
        <v>0</v>
      </c>
      <c r="AF202" s="92">
        <v>34363</v>
      </c>
      <c r="AG202" s="91">
        <v>1994</v>
      </c>
    </row>
    <row r="203" spans="1:33">
      <c r="A203" s="385">
        <f>References!H281</f>
        <v>535</v>
      </c>
      <c r="B203" s="382" t="s">
        <v>52</v>
      </c>
      <c r="C203" s="284">
        <v>2009</v>
      </c>
      <c r="D203" s="91">
        <v>89999.842999999993</v>
      </c>
      <c r="E203" s="92">
        <v>89999.842999999993</v>
      </c>
      <c r="F203" s="92">
        <v>6078.9062000000004</v>
      </c>
      <c r="G203" s="27">
        <v>0</v>
      </c>
      <c r="H203" s="91">
        <v>101.55427</v>
      </c>
      <c r="I203" s="92">
        <v>96180.303</v>
      </c>
      <c r="J203" s="92">
        <v>23828.252</v>
      </c>
      <c r="K203" s="91">
        <v>0</v>
      </c>
      <c r="L203" s="91">
        <v>0</v>
      </c>
      <c r="M203" s="91">
        <v>0</v>
      </c>
      <c r="N203" s="91">
        <v>0</v>
      </c>
      <c r="O203" s="31">
        <v>0</v>
      </c>
      <c r="P203" s="91">
        <v>0</v>
      </c>
      <c r="R203" s="91">
        <v>0</v>
      </c>
      <c r="S203" s="92">
        <v>21457.579000000002</v>
      </c>
      <c r="T203" s="27">
        <v>50894.472999999998</v>
      </c>
      <c r="U203" s="27">
        <v>17563.607</v>
      </c>
      <c r="V203" s="31">
        <v>33330.864999999998</v>
      </c>
      <c r="W203" s="31">
        <v>3896.7689</v>
      </c>
      <c r="X203" s="31">
        <v>10823.52</v>
      </c>
      <c r="Y203" s="31">
        <v>0</v>
      </c>
      <c r="Z203" s="27">
        <v>40257.616000000002</v>
      </c>
      <c r="AA203" s="31">
        <v>0</v>
      </c>
      <c r="AB203" s="31">
        <v>0</v>
      </c>
      <c r="AC203" s="31">
        <v>0</v>
      </c>
      <c r="AD203" s="31">
        <v>0</v>
      </c>
      <c r="AE203" s="31">
        <v>0</v>
      </c>
      <c r="AF203" s="92">
        <v>31131</v>
      </c>
      <c r="AG203" s="91">
        <v>1289</v>
      </c>
    </row>
    <row r="204" spans="1:33">
      <c r="A204" s="385">
        <f>References!I281</f>
        <v>536</v>
      </c>
      <c r="B204" s="382" t="s">
        <v>52</v>
      </c>
      <c r="C204" s="284">
        <v>2010</v>
      </c>
      <c r="D204" s="91">
        <v>103734.36</v>
      </c>
      <c r="E204" s="92">
        <v>103734.36</v>
      </c>
      <c r="F204" s="92">
        <v>5968.433</v>
      </c>
      <c r="G204" s="27">
        <v>0</v>
      </c>
      <c r="H204" s="91">
        <v>451.71499999999997</v>
      </c>
      <c r="I204" s="92">
        <v>110154.5</v>
      </c>
      <c r="J204" s="92">
        <v>26374.566999999999</v>
      </c>
      <c r="K204" s="91">
        <v>12416.043</v>
      </c>
      <c r="L204" s="91">
        <v>3510.5169999999998</v>
      </c>
      <c r="M204" s="91">
        <v>3962.36</v>
      </c>
      <c r="N204" s="91">
        <v>2112.84</v>
      </c>
      <c r="O204" s="31">
        <v>3309.1570000000002</v>
      </c>
      <c r="P204" s="91">
        <v>449.51900000000001</v>
      </c>
      <c r="R204" s="91">
        <v>13.051</v>
      </c>
      <c r="S204" s="92">
        <v>25773.487000000001</v>
      </c>
      <c r="T204" s="27">
        <v>58006.449000000001</v>
      </c>
      <c r="U204" s="27">
        <v>18599.115000000002</v>
      </c>
      <c r="V204" s="31">
        <v>39407.334000000003</v>
      </c>
      <c r="W204" s="31">
        <v>5731.1556</v>
      </c>
      <c r="X204" s="31">
        <v>8025.9507000000003</v>
      </c>
      <c r="Y204" s="31">
        <v>0</v>
      </c>
      <c r="Z204" s="27">
        <v>41702.129000000001</v>
      </c>
      <c r="AA204" s="31">
        <v>12546.841</v>
      </c>
      <c r="AB204" s="31">
        <v>7723.37</v>
      </c>
      <c r="AC204" s="31">
        <v>1226.296</v>
      </c>
      <c r="AD204" s="31">
        <v>12648.811</v>
      </c>
      <c r="AE204" s="31">
        <v>0</v>
      </c>
      <c r="AF204" s="92">
        <v>34145.317999999999</v>
      </c>
      <c r="AG204" s="91">
        <v>2272.4528</v>
      </c>
    </row>
    <row r="205" spans="1:33">
      <c r="A205" s="385">
        <f>References!J281</f>
        <v>537</v>
      </c>
      <c r="B205" s="382" t="s">
        <v>52</v>
      </c>
      <c r="C205" s="284">
        <v>2011</v>
      </c>
      <c r="D205" s="91">
        <v>105661</v>
      </c>
      <c r="E205" s="92">
        <v>105661</v>
      </c>
      <c r="F205" s="92">
        <v>5214.7259999999997</v>
      </c>
      <c r="G205" s="27">
        <v>0</v>
      </c>
      <c r="H205" s="91">
        <v>419.15827999999999</v>
      </c>
      <c r="I205" s="92">
        <v>111294.88</v>
      </c>
      <c r="J205" s="92">
        <v>26618.598000000002</v>
      </c>
      <c r="K205" s="91">
        <v>15380.415999999999</v>
      </c>
      <c r="L205" s="91">
        <v>4433.0780000000004</v>
      </c>
      <c r="M205" s="91">
        <v>4305.4694</v>
      </c>
      <c r="N205" s="91">
        <v>1243.4704999999999</v>
      </c>
      <c r="O205" s="31">
        <v>3463.739</v>
      </c>
      <c r="P205" s="91">
        <v>685.76472999999999</v>
      </c>
      <c r="R205" s="91">
        <v>-2.1940000000000001E-11</v>
      </c>
      <c r="S205" s="92">
        <v>29511.937999999998</v>
      </c>
      <c r="T205" s="27">
        <v>55164.347999999998</v>
      </c>
      <c r="U205" s="27">
        <v>19426.688999999998</v>
      </c>
      <c r="V205" s="31">
        <v>35737.660000000003</v>
      </c>
      <c r="W205" s="31">
        <v>3478.5428999999999</v>
      </c>
      <c r="X205" s="31">
        <v>19174.698</v>
      </c>
      <c r="Y205" s="31">
        <v>-1709</v>
      </c>
      <c r="Z205" s="27">
        <v>49724.815000000002</v>
      </c>
      <c r="AA205" s="31">
        <v>8641.35</v>
      </c>
      <c r="AB205" s="31">
        <v>2664.0722999999998</v>
      </c>
      <c r="AC205" s="31">
        <v>5261.2479999999996</v>
      </c>
      <c r="AD205" s="31">
        <v>9920.9472999999998</v>
      </c>
      <c r="AE205" s="31">
        <v>970.06899999999996</v>
      </c>
      <c r="AF205" s="92">
        <v>27457.687000000002</v>
      </c>
      <c r="AG205" s="91">
        <v>8784.6108999999997</v>
      </c>
    </row>
    <row r="206" spans="1:33" hidden="1">
      <c r="A206" s="385">
        <f>References!C282</f>
        <v>553</v>
      </c>
      <c r="B206" s="386" t="s">
        <v>53</v>
      </c>
      <c r="C206" s="284">
        <v>2004</v>
      </c>
      <c r="D206" s="31">
        <v>476952</v>
      </c>
      <c r="E206" s="27">
        <v>476952</v>
      </c>
      <c r="F206" s="31"/>
      <c r="G206" s="27">
        <v>14307</v>
      </c>
      <c r="H206" s="31">
        <v>38123</v>
      </c>
      <c r="I206" s="27">
        <v>529382</v>
      </c>
      <c r="J206" s="27">
        <v>113770</v>
      </c>
      <c r="K206" s="31"/>
      <c r="L206" s="31"/>
      <c r="M206" s="31"/>
      <c r="N206" s="31"/>
      <c r="P206" s="31"/>
      <c r="Q206" s="31">
        <v>14307</v>
      </c>
      <c r="R206" s="31"/>
      <c r="S206" s="27">
        <v>261558</v>
      </c>
      <c r="T206" s="27">
        <v>267824</v>
      </c>
      <c r="U206" s="27">
        <v>66016</v>
      </c>
      <c r="W206" s="31">
        <v>49143</v>
      </c>
      <c r="Z206" s="27">
        <v>44631</v>
      </c>
      <c r="AF206" s="31"/>
      <c r="AG206" s="31"/>
    </row>
    <row r="207" spans="1:33" hidden="1">
      <c r="A207" s="385">
        <f>References!D282</f>
        <v>554</v>
      </c>
      <c r="B207" s="386" t="s">
        <v>53</v>
      </c>
      <c r="C207" s="284">
        <v>2005</v>
      </c>
      <c r="D207" s="31">
        <v>515028</v>
      </c>
      <c r="E207" s="27">
        <v>515028</v>
      </c>
      <c r="F207" s="31"/>
      <c r="G207" s="27">
        <v>9856</v>
      </c>
      <c r="H207" s="31">
        <v>33764</v>
      </c>
      <c r="I207" s="27">
        <v>558648</v>
      </c>
      <c r="J207" s="27">
        <v>127684</v>
      </c>
      <c r="K207" s="31"/>
      <c r="L207" s="31"/>
      <c r="M207" s="31"/>
      <c r="N207" s="31"/>
      <c r="P207" s="31"/>
      <c r="Q207" s="31">
        <v>9856</v>
      </c>
      <c r="R207" s="31"/>
      <c r="S207" s="27">
        <v>280445</v>
      </c>
      <c r="T207" s="27">
        <v>278203</v>
      </c>
      <c r="U207" s="27">
        <v>62439</v>
      </c>
      <c r="W207" s="31">
        <v>50230</v>
      </c>
      <c r="Z207" s="27">
        <v>53704</v>
      </c>
      <c r="AF207" s="31"/>
      <c r="AG207" s="31"/>
    </row>
    <row r="208" spans="1:33" hidden="1">
      <c r="A208" s="385">
        <f>References!E282</f>
        <v>555</v>
      </c>
      <c r="B208" s="386" t="s">
        <v>53</v>
      </c>
      <c r="C208" s="284">
        <v>2006</v>
      </c>
      <c r="D208" s="31">
        <v>534453</v>
      </c>
      <c r="E208" s="27">
        <v>534453</v>
      </c>
      <c r="F208" s="31"/>
      <c r="G208" s="27">
        <v>22353</v>
      </c>
      <c r="H208" s="31">
        <v>31710</v>
      </c>
      <c r="I208" s="27">
        <v>588516</v>
      </c>
      <c r="J208" s="27">
        <v>127402</v>
      </c>
      <c r="K208" s="31"/>
      <c r="L208" s="31"/>
      <c r="M208" s="31"/>
      <c r="N208" s="31"/>
      <c r="P208" s="31"/>
      <c r="Q208" s="31">
        <v>22353</v>
      </c>
      <c r="R208" s="31"/>
      <c r="S208" s="27">
        <v>296076</v>
      </c>
      <c r="T208" s="27">
        <v>292440</v>
      </c>
      <c r="U208" s="27">
        <v>64574</v>
      </c>
      <c r="W208" s="31">
        <v>48153</v>
      </c>
      <c r="Z208" s="27">
        <v>53769</v>
      </c>
      <c r="AF208" s="31"/>
      <c r="AG208" s="31"/>
    </row>
    <row r="209" spans="1:33" hidden="1">
      <c r="A209" s="385">
        <f>References!F282</f>
        <v>556</v>
      </c>
      <c r="B209" s="386" t="s">
        <v>53</v>
      </c>
      <c r="C209" s="284">
        <v>2007</v>
      </c>
      <c r="D209" s="31">
        <v>581685</v>
      </c>
      <c r="E209" s="27">
        <v>581685</v>
      </c>
      <c r="F209" s="31"/>
      <c r="G209" s="27">
        <v>19201</v>
      </c>
      <c r="H209" s="31">
        <v>31148</v>
      </c>
      <c r="I209" s="27">
        <v>632034</v>
      </c>
      <c r="J209" s="27">
        <v>136438</v>
      </c>
      <c r="K209" s="31"/>
      <c r="L209" s="31"/>
      <c r="M209" s="31"/>
      <c r="N209" s="31"/>
      <c r="P209" s="31"/>
      <c r="Q209" s="31">
        <v>19201</v>
      </c>
      <c r="R209" s="31"/>
      <c r="S209" s="27">
        <v>320731</v>
      </c>
      <c r="T209" s="27">
        <v>311303</v>
      </c>
      <c r="U209" s="27">
        <v>81257</v>
      </c>
      <c r="W209" s="31">
        <v>50897</v>
      </c>
      <c r="Z209" s="27">
        <v>41042</v>
      </c>
      <c r="AF209" s="31"/>
      <c r="AG209" s="31"/>
    </row>
    <row r="210" spans="1:33">
      <c r="A210" s="385">
        <f>References!G282</f>
        <v>557</v>
      </c>
      <c r="B210" s="382" t="s">
        <v>53</v>
      </c>
      <c r="C210" s="284">
        <v>2008</v>
      </c>
      <c r="D210" s="91">
        <v>599217.02</v>
      </c>
      <c r="E210" s="92">
        <v>599217.02</v>
      </c>
      <c r="F210" s="92">
        <v>24494.296999999999</v>
      </c>
      <c r="G210" s="27">
        <v>2.0999999999999999E-3</v>
      </c>
      <c r="H210" s="91">
        <v>10422.164000000001</v>
      </c>
      <c r="I210" s="92">
        <v>634133.48</v>
      </c>
      <c r="J210" s="92">
        <v>150829.10999999999</v>
      </c>
      <c r="K210" s="91">
        <v>0</v>
      </c>
      <c r="L210" s="91">
        <v>0</v>
      </c>
      <c r="M210" s="91">
        <v>0</v>
      </c>
      <c r="N210" s="91">
        <v>0</v>
      </c>
      <c r="O210" s="31">
        <v>0</v>
      </c>
      <c r="P210" s="91">
        <v>0</v>
      </c>
      <c r="R210" s="91">
        <v>0</v>
      </c>
      <c r="S210" s="92">
        <v>115421.2</v>
      </c>
      <c r="T210" s="27">
        <v>367883.18</v>
      </c>
      <c r="U210" s="27">
        <v>89165.797999999995</v>
      </c>
      <c r="V210" s="31">
        <v>278717.38</v>
      </c>
      <c r="W210" s="31">
        <v>48202.457999999999</v>
      </c>
      <c r="X210" s="31">
        <v>73922.542000000001</v>
      </c>
      <c r="Y210" s="31">
        <v>0</v>
      </c>
      <c r="Z210" s="27">
        <v>304437.46000000002</v>
      </c>
      <c r="AA210" s="31">
        <v>0</v>
      </c>
      <c r="AB210" s="31">
        <v>0</v>
      </c>
      <c r="AC210" s="31">
        <v>0</v>
      </c>
      <c r="AD210" s="31">
        <v>0</v>
      </c>
      <c r="AE210" s="31">
        <v>0</v>
      </c>
      <c r="AF210" s="92">
        <v>159188.06</v>
      </c>
      <c r="AG210" s="91">
        <v>7798</v>
      </c>
    </row>
    <row r="211" spans="1:33">
      <c r="A211" s="385">
        <f>References!H282</f>
        <v>558</v>
      </c>
      <c r="B211" s="382" t="s">
        <v>53</v>
      </c>
      <c r="C211" s="284">
        <v>2009</v>
      </c>
      <c r="D211" s="91">
        <v>536897.76</v>
      </c>
      <c r="E211" s="92">
        <v>536897.76</v>
      </c>
      <c r="F211" s="92">
        <v>20180</v>
      </c>
      <c r="G211" s="27">
        <v>-135</v>
      </c>
      <c r="H211" s="91">
        <v>14372</v>
      </c>
      <c r="I211" s="92">
        <v>571314.76</v>
      </c>
      <c r="J211" s="92">
        <v>142064</v>
      </c>
      <c r="K211" s="91">
        <v>0</v>
      </c>
      <c r="L211" s="91">
        <v>0</v>
      </c>
      <c r="M211" s="91">
        <v>0</v>
      </c>
      <c r="N211" s="91">
        <v>0</v>
      </c>
      <c r="O211" s="31">
        <v>0</v>
      </c>
      <c r="P211" s="91">
        <v>0</v>
      </c>
      <c r="R211" s="91">
        <v>0</v>
      </c>
      <c r="S211" s="92">
        <v>93540</v>
      </c>
      <c r="T211" s="27">
        <v>335710.76</v>
      </c>
      <c r="U211" s="27">
        <v>78459.331999999995</v>
      </c>
      <c r="V211" s="31">
        <v>257251.43</v>
      </c>
      <c r="W211" s="31">
        <v>49785.656999999999</v>
      </c>
      <c r="X211" s="31">
        <v>70860.479000000007</v>
      </c>
      <c r="Y211" s="31">
        <v>0</v>
      </c>
      <c r="Z211" s="27">
        <v>278326.25</v>
      </c>
      <c r="AA211" s="31">
        <v>0</v>
      </c>
      <c r="AB211" s="31">
        <v>0</v>
      </c>
      <c r="AC211" s="31">
        <v>0</v>
      </c>
      <c r="AD211" s="31">
        <v>0</v>
      </c>
      <c r="AE211" s="31">
        <v>0</v>
      </c>
      <c r="AF211" s="92">
        <v>138990</v>
      </c>
      <c r="AG211" s="91">
        <v>3730</v>
      </c>
    </row>
    <row r="212" spans="1:33">
      <c r="A212" s="385">
        <f>References!I282</f>
        <v>559</v>
      </c>
      <c r="B212" s="382" t="s">
        <v>53</v>
      </c>
      <c r="C212" s="284">
        <v>2010</v>
      </c>
      <c r="D212" s="91">
        <v>532349.16</v>
      </c>
      <c r="E212" s="92">
        <v>532349.16</v>
      </c>
      <c r="F212" s="92">
        <v>20360.588</v>
      </c>
      <c r="G212" s="27">
        <v>0</v>
      </c>
      <c r="H212" s="91">
        <v>16316.069</v>
      </c>
      <c r="I212" s="92">
        <v>569025.81999999995</v>
      </c>
      <c r="J212" s="92">
        <v>144726.10999999999</v>
      </c>
      <c r="K212" s="91">
        <v>37806.311000000002</v>
      </c>
      <c r="L212" s="91">
        <v>2091</v>
      </c>
      <c r="M212" s="91">
        <v>14320.708000000001</v>
      </c>
      <c r="N212" s="91">
        <v>10840.115</v>
      </c>
      <c r="O212" s="31">
        <v>15830.503000000001</v>
      </c>
      <c r="P212" s="91">
        <v>5186.1944000000003</v>
      </c>
      <c r="R212" s="91">
        <v>4047.5331999999999</v>
      </c>
      <c r="S212" s="92">
        <v>90122.365000000005</v>
      </c>
      <c r="T212" s="27">
        <v>334177.34000000003</v>
      </c>
      <c r="U212" s="27">
        <v>78990.536999999997</v>
      </c>
      <c r="V212" s="31">
        <v>255186.8</v>
      </c>
      <c r="W212" s="31">
        <v>56519.964</v>
      </c>
      <c r="X212" s="31">
        <v>42033.057999999997</v>
      </c>
      <c r="Y212" s="31">
        <v>0</v>
      </c>
      <c r="Z212" s="27">
        <v>240699.89</v>
      </c>
      <c r="AA212" s="31">
        <v>16765</v>
      </c>
      <c r="AB212" s="31">
        <v>31671</v>
      </c>
      <c r="AC212" s="31">
        <v>1721</v>
      </c>
      <c r="AD212" s="31">
        <v>42517</v>
      </c>
      <c r="AE212" s="31">
        <v>21342</v>
      </c>
      <c r="AF212" s="92">
        <v>114016</v>
      </c>
      <c r="AG212" s="91">
        <v>1646</v>
      </c>
    </row>
    <row r="213" spans="1:33">
      <c r="A213" s="385">
        <f>References!J282</f>
        <v>560</v>
      </c>
      <c r="B213" s="382" t="s">
        <v>53</v>
      </c>
      <c r="C213" s="284">
        <v>2011</v>
      </c>
      <c r="D213" s="91">
        <v>538136</v>
      </c>
      <c r="E213" s="92">
        <v>538136</v>
      </c>
      <c r="F213" s="92">
        <v>24683</v>
      </c>
      <c r="G213" s="27">
        <v>0</v>
      </c>
      <c r="H213" s="91">
        <v>13987</v>
      </c>
      <c r="I213" s="92">
        <v>576806</v>
      </c>
      <c r="J213" s="92">
        <v>142508</v>
      </c>
      <c r="K213" s="91">
        <v>42398</v>
      </c>
      <c r="L213" s="91">
        <v>3898</v>
      </c>
      <c r="M213" s="91">
        <v>15159</v>
      </c>
      <c r="N213" s="91">
        <v>10315</v>
      </c>
      <c r="O213" s="31">
        <v>13148</v>
      </c>
      <c r="P213" s="91">
        <v>6791</v>
      </c>
      <c r="R213" s="91">
        <v>431</v>
      </c>
      <c r="S213" s="92">
        <v>92140</v>
      </c>
      <c r="T213" s="27">
        <v>342158</v>
      </c>
      <c r="U213" s="27">
        <v>87227.600999999995</v>
      </c>
      <c r="V213" s="31">
        <v>254930.4</v>
      </c>
      <c r="W213" s="31">
        <v>51895.324000000001</v>
      </c>
      <c r="X213" s="31">
        <v>96300.592000000004</v>
      </c>
      <c r="Y213" s="31">
        <v>0</v>
      </c>
      <c r="Z213" s="27">
        <v>299335.67</v>
      </c>
      <c r="AA213" s="31">
        <v>25749</v>
      </c>
      <c r="AB213" s="31">
        <v>31098</v>
      </c>
      <c r="AC213" s="31">
        <v>2587</v>
      </c>
      <c r="AD213" s="31">
        <v>56101</v>
      </c>
      <c r="AE213" s="31">
        <v>17057</v>
      </c>
      <c r="AF213" s="92">
        <v>132592</v>
      </c>
      <c r="AG213" s="91">
        <v>17040</v>
      </c>
    </row>
    <row r="214" spans="1:33" hidden="1">
      <c r="A214" s="385">
        <f>References!C283</f>
        <v>576</v>
      </c>
      <c r="B214" s="386" t="s">
        <v>54</v>
      </c>
      <c r="C214" s="284">
        <v>2004</v>
      </c>
      <c r="D214" s="31">
        <v>8693.9809999999998</v>
      </c>
      <c r="E214" s="27">
        <v>8693.9809999999998</v>
      </c>
      <c r="F214" s="31"/>
      <c r="G214" s="27">
        <v>486.40499999999997</v>
      </c>
      <c r="H214" s="31">
        <v>588.90800000000002</v>
      </c>
      <c r="I214" s="27">
        <v>9769.2939999999999</v>
      </c>
      <c r="J214" s="27">
        <v>3517.9639999999999</v>
      </c>
      <c r="K214" s="31"/>
      <c r="L214" s="31"/>
      <c r="M214" s="31"/>
      <c r="N214" s="31"/>
      <c r="P214" s="31"/>
      <c r="Q214" s="31">
        <v>29.236999999999998</v>
      </c>
      <c r="R214" s="31"/>
      <c r="S214" s="27">
        <v>6597.2619999999997</v>
      </c>
      <c r="T214" s="27">
        <v>3172.0320000000002</v>
      </c>
      <c r="U214" s="27">
        <v>1321.665</v>
      </c>
      <c r="W214" s="31">
        <v>239.833</v>
      </c>
      <c r="Z214" s="27">
        <v>812.35300000000007</v>
      </c>
      <c r="AF214" s="31"/>
      <c r="AG214" s="31"/>
    </row>
    <row r="215" spans="1:33" hidden="1">
      <c r="A215" s="385">
        <f>References!D283</f>
        <v>577</v>
      </c>
      <c r="B215" s="386" t="s">
        <v>54</v>
      </c>
      <c r="C215" s="284">
        <v>2005</v>
      </c>
      <c r="D215" s="31">
        <v>9057.0210000000006</v>
      </c>
      <c r="E215" s="27">
        <v>9057.0210000000006</v>
      </c>
      <c r="F215" s="31"/>
      <c r="G215" s="27">
        <v>233.16900000000001</v>
      </c>
      <c r="H215" s="31">
        <v>884.68799999999999</v>
      </c>
      <c r="I215" s="27">
        <v>10174.878000000001</v>
      </c>
      <c r="J215" s="27">
        <v>3771.9969999999998</v>
      </c>
      <c r="K215" s="31"/>
      <c r="L215" s="31"/>
      <c r="M215" s="31"/>
      <c r="N215" s="31"/>
      <c r="P215" s="31"/>
      <c r="Q215" s="31">
        <v>0</v>
      </c>
      <c r="R215" s="31"/>
      <c r="S215" s="27">
        <v>7141.9449999999997</v>
      </c>
      <c r="T215" s="27">
        <v>3032.9330000000009</v>
      </c>
      <c r="U215" s="27">
        <v>1520.22</v>
      </c>
      <c r="W215" s="31">
        <v>78.997</v>
      </c>
      <c r="Z215" s="27">
        <v>637.7160000000008</v>
      </c>
      <c r="AF215" s="31"/>
      <c r="AG215" s="31"/>
    </row>
    <row r="216" spans="1:33" hidden="1">
      <c r="A216" s="385">
        <f>References!E283</f>
        <v>578</v>
      </c>
      <c r="B216" s="386" t="s">
        <v>54</v>
      </c>
      <c r="C216" s="284">
        <v>2006</v>
      </c>
      <c r="D216" s="31">
        <v>9973.6790000000001</v>
      </c>
      <c r="E216" s="27">
        <v>9973.6790000000001</v>
      </c>
      <c r="F216" s="31"/>
      <c r="G216" s="27">
        <v>631.33100000000002</v>
      </c>
      <c r="H216" s="31">
        <v>1136.3810000000001</v>
      </c>
      <c r="I216" s="27">
        <v>11741.391</v>
      </c>
      <c r="J216" s="27">
        <v>3707.6930000000002</v>
      </c>
      <c r="K216" s="31"/>
      <c r="L216" s="31"/>
      <c r="M216" s="31"/>
      <c r="N216" s="31"/>
      <c r="P216" s="31"/>
      <c r="Q216" s="31">
        <v>631.33100000000002</v>
      </c>
      <c r="R216" s="31"/>
      <c r="S216" s="27">
        <v>8404.8060000000005</v>
      </c>
      <c r="T216" s="27">
        <v>3336.5849999999991</v>
      </c>
      <c r="U216" s="27">
        <v>1578.049</v>
      </c>
      <c r="W216" s="31">
        <v>151.85499999999999</v>
      </c>
      <c r="Z216" s="27">
        <v>790.68099999999913</v>
      </c>
      <c r="AF216" s="31"/>
      <c r="AG216" s="31"/>
    </row>
    <row r="217" spans="1:33" hidden="1">
      <c r="A217" s="385">
        <f>References!F283</f>
        <v>579</v>
      </c>
      <c r="B217" s="386" t="s">
        <v>54</v>
      </c>
      <c r="C217" s="284">
        <v>2007</v>
      </c>
      <c r="D217" s="31">
        <v>11145.249</v>
      </c>
      <c r="E217" s="27">
        <v>11145.249</v>
      </c>
      <c r="F217" s="31"/>
      <c r="G217" s="27">
        <v>495.36099999999999</v>
      </c>
      <c r="H217" s="31">
        <v>1711.2550000000001</v>
      </c>
      <c r="I217" s="27">
        <v>13351.865</v>
      </c>
      <c r="J217" s="27">
        <v>4254.5640000000003</v>
      </c>
      <c r="K217" s="31"/>
      <c r="L217" s="31"/>
      <c r="M217" s="31"/>
      <c r="N217" s="31"/>
      <c r="P217" s="31"/>
      <c r="Q217" s="31">
        <v>495.36099999999999</v>
      </c>
      <c r="R217" s="31"/>
      <c r="S217" s="27">
        <v>8864.1810000000005</v>
      </c>
      <c r="T217" s="27">
        <v>4487.6839999999993</v>
      </c>
      <c r="U217" s="27">
        <v>1676.239</v>
      </c>
      <c r="W217" s="31">
        <v>250.72499999999999</v>
      </c>
      <c r="Z217" s="27">
        <v>1702.4999999999993</v>
      </c>
      <c r="AF217" s="31"/>
      <c r="AG217" s="31"/>
    </row>
    <row r="218" spans="1:33">
      <c r="A218" s="385">
        <f>References!G283</f>
        <v>580</v>
      </c>
      <c r="B218" s="382" t="s">
        <v>54</v>
      </c>
      <c r="C218" s="284">
        <v>2008</v>
      </c>
      <c r="D218" s="91">
        <v>10870.527</v>
      </c>
      <c r="E218" s="92">
        <v>15647.744000000001</v>
      </c>
      <c r="F218" s="92">
        <v>2082.9196000000002</v>
      </c>
      <c r="G218" s="27">
        <v>2.5000000000000001E-4</v>
      </c>
      <c r="H218" s="91">
        <v>60.83717</v>
      </c>
      <c r="I218" s="92">
        <v>17791.501</v>
      </c>
      <c r="J218" s="92">
        <v>4084.4985000000001</v>
      </c>
      <c r="K218" s="91">
        <v>1340.2139</v>
      </c>
      <c r="L218" s="91">
        <v>911.25161000000003</v>
      </c>
      <c r="M218" s="91">
        <v>998.51155000000006</v>
      </c>
      <c r="N218" s="91">
        <v>160.39252999999999</v>
      </c>
      <c r="O218" s="31">
        <v>412.95150000000001</v>
      </c>
      <c r="P218" s="91">
        <v>123.25799000000001</v>
      </c>
      <c r="R218" s="91">
        <v>0</v>
      </c>
      <c r="S218" s="92">
        <v>3946.5790999999999</v>
      </c>
      <c r="T218" s="27">
        <v>9760.4233000000004</v>
      </c>
      <c r="U218" s="27">
        <v>2884.5234999999998</v>
      </c>
      <c r="V218" s="31">
        <v>6875.8998000000001</v>
      </c>
      <c r="W218" s="31">
        <v>-57.471145999999997</v>
      </c>
      <c r="X218" s="31">
        <v>2294.5601999999999</v>
      </c>
      <c r="Y218" s="31">
        <v>0</v>
      </c>
      <c r="Z218" s="27">
        <v>9227.9312000000009</v>
      </c>
      <c r="AA218" s="31">
        <v>4829.3891999999996</v>
      </c>
      <c r="AB218" s="31">
        <v>0</v>
      </c>
      <c r="AC218" s="31">
        <v>0</v>
      </c>
      <c r="AD218" s="31">
        <v>0</v>
      </c>
      <c r="AE218" s="31">
        <v>0</v>
      </c>
      <c r="AF218" s="92">
        <v>4829.3891999999996</v>
      </c>
      <c r="AG218" s="91">
        <v>84.627340000000004</v>
      </c>
    </row>
    <row r="219" spans="1:33">
      <c r="A219" s="385">
        <f>References!H283</f>
        <v>581</v>
      </c>
      <c r="B219" s="382" t="s">
        <v>54</v>
      </c>
      <c r="C219" s="284">
        <v>2009</v>
      </c>
      <c r="D219" s="91">
        <v>13614.628000000001</v>
      </c>
      <c r="E219" s="92">
        <v>17398.562000000002</v>
      </c>
      <c r="F219" s="92">
        <v>1275.2268999999999</v>
      </c>
      <c r="G219" s="27">
        <v>0</v>
      </c>
      <c r="H219" s="91">
        <v>68.784999999999997</v>
      </c>
      <c r="I219" s="92">
        <v>18742.574000000001</v>
      </c>
      <c r="J219" s="92">
        <v>5005.3071</v>
      </c>
      <c r="K219" s="91">
        <v>1448.3108999999999</v>
      </c>
      <c r="L219" s="91">
        <v>963.44192999999996</v>
      </c>
      <c r="M219" s="91">
        <v>1364.5888</v>
      </c>
      <c r="N219" s="91">
        <v>192.24101999999999</v>
      </c>
      <c r="O219" s="31">
        <v>530.90688999999998</v>
      </c>
      <c r="P219" s="91">
        <v>150.7741</v>
      </c>
      <c r="R219" s="91">
        <v>0</v>
      </c>
      <c r="S219" s="92">
        <v>4650.2636000000002</v>
      </c>
      <c r="T219" s="27">
        <v>9087.0036999999993</v>
      </c>
      <c r="U219" s="27">
        <v>3173.6242999999999</v>
      </c>
      <c r="V219" s="31">
        <v>5913.3793999999998</v>
      </c>
      <c r="W219" s="31">
        <v>-54.671429000000003</v>
      </c>
      <c r="X219" s="31">
        <v>2152.3501000000001</v>
      </c>
      <c r="Y219" s="31">
        <v>0</v>
      </c>
      <c r="Z219" s="27">
        <v>8120.4008999999996</v>
      </c>
      <c r="AA219" s="31">
        <v>0</v>
      </c>
      <c r="AB219" s="31">
        <v>0</v>
      </c>
      <c r="AC219" s="31">
        <v>0</v>
      </c>
      <c r="AD219" s="31">
        <v>0</v>
      </c>
      <c r="AE219" s="31">
        <v>0</v>
      </c>
      <c r="AF219" s="92">
        <v>4683.1232</v>
      </c>
      <c r="AG219" s="91">
        <v>76.985789999999994</v>
      </c>
    </row>
    <row r="220" spans="1:33">
      <c r="A220" s="385">
        <f>References!I283</f>
        <v>582</v>
      </c>
      <c r="B220" s="382" t="s">
        <v>54</v>
      </c>
      <c r="C220" s="284">
        <v>2010</v>
      </c>
      <c r="D220" s="91">
        <v>15487.173000000001</v>
      </c>
      <c r="E220" s="92">
        <v>19266.126</v>
      </c>
      <c r="F220" s="92">
        <v>1217.3480999999999</v>
      </c>
      <c r="G220" s="27">
        <v>7.2999999999999996E-4</v>
      </c>
      <c r="H220" s="91">
        <v>74.870980000000003</v>
      </c>
      <c r="I220" s="92">
        <v>20558.346000000001</v>
      </c>
      <c r="J220" s="92">
        <v>5462.3676999999998</v>
      </c>
      <c r="K220" s="91">
        <v>1468.3436999999999</v>
      </c>
      <c r="L220" s="91">
        <v>926.56284000000005</v>
      </c>
      <c r="M220" s="91">
        <v>1915.2237</v>
      </c>
      <c r="N220" s="91">
        <v>149.41889</v>
      </c>
      <c r="O220" s="31">
        <v>448.37135000000001</v>
      </c>
      <c r="P220" s="91">
        <v>146.65232</v>
      </c>
      <c r="R220" s="91">
        <v>0</v>
      </c>
      <c r="S220" s="92">
        <v>5054.5726999999997</v>
      </c>
      <c r="T220" s="27">
        <v>10041.405000000001</v>
      </c>
      <c r="U220" s="27">
        <v>3261.9946</v>
      </c>
      <c r="V220" s="31">
        <v>6779.4107000000004</v>
      </c>
      <c r="W220" s="31">
        <v>407.19081</v>
      </c>
      <c r="X220" s="31">
        <v>1566.3263999999999</v>
      </c>
      <c r="Y220" s="31">
        <v>0</v>
      </c>
      <c r="Z220" s="27">
        <v>7938.5463</v>
      </c>
      <c r="AA220" s="31">
        <v>1251.2313999999999</v>
      </c>
      <c r="AB220" s="31">
        <v>301.68178999999998</v>
      </c>
      <c r="AC220" s="31">
        <v>1185.7774999999999</v>
      </c>
      <c r="AD220" s="31">
        <v>677.69339000000002</v>
      </c>
      <c r="AE220" s="31">
        <v>146.24453</v>
      </c>
      <c r="AF220" s="92">
        <v>3562.6286</v>
      </c>
      <c r="AG220" s="91">
        <v>38.452199999999998</v>
      </c>
    </row>
    <row r="221" spans="1:33">
      <c r="A221" s="385">
        <f>References!J283</f>
        <v>583</v>
      </c>
      <c r="B221" s="382" t="s">
        <v>54</v>
      </c>
      <c r="C221" s="284">
        <v>2011</v>
      </c>
      <c r="D221" s="91">
        <v>16066.277</v>
      </c>
      <c r="E221" s="92">
        <v>19847.906999999999</v>
      </c>
      <c r="F221" s="92">
        <v>689.40782999999999</v>
      </c>
      <c r="G221" s="27">
        <v>2.0000000000000002E-5</v>
      </c>
      <c r="H221" s="91">
        <v>75.296629999999993</v>
      </c>
      <c r="I221" s="92">
        <v>20612.612000000001</v>
      </c>
      <c r="J221" s="92">
        <v>5510.2291999999998</v>
      </c>
      <c r="K221" s="91">
        <v>1688.8442</v>
      </c>
      <c r="L221" s="91">
        <v>1043.4775999999999</v>
      </c>
      <c r="M221" s="91">
        <v>1950.3819000000001</v>
      </c>
      <c r="N221" s="91">
        <v>119.87846</v>
      </c>
      <c r="O221" s="31">
        <v>493.31535000000002</v>
      </c>
      <c r="P221" s="91">
        <v>122.13209000000001</v>
      </c>
      <c r="R221" s="91">
        <v>0</v>
      </c>
      <c r="S221" s="92">
        <v>5418.0295999999998</v>
      </c>
      <c r="T221" s="27">
        <v>9684.3528000000006</v>
      </c>
      <c r="U221" s="27">
        <v>3422.1142</v>
      </c>
      <c r="V221" s="31">
        <v>6262.2385999999997</v>
      </c>
      <c r="W221" s="31">
        <v>248.05146999999999</v>
      </c>
      <c r="X221" s="31">
        <v>3507.8973000000001</v>
      </c>
      <c r="Y221" s="31">
        <v>0</v>
      </c>
      <c r="Z221" s="27">
        <v>9522.0843999999997</v>
      </c>
      <c r="AA221" s="31">
        <v>1402.2140999999999</v>
      </c>
      <c r="AB221" s="31">
        <v>445.31968999999998</v>
      </c>
      <c r="AC221" s="31">
        <v>1617.3276000000001</v>
      </c>
      <c r="AD221" s="31">
        <v>393.28685999999999</v>
      </c>
      <c r="AE221" s="31">
        <v>76.200474999999997</v>
      </c>
      <c r="AF221" s="92">
        <v>3934.3487</v>
      </c>
      <c r="AG221" s="91">
        <v>1335.5119</v>
      </c>
    </row>
    <row r="222" spans="1:33" hidden="1">
      <c r="A222" s="385">
        <f>References!C284</f>
        <v>599</v>
      </c>
      <c r="B222" s="386" t="s">
        <v>55</v>
      </c>
      <c r="C222" s="284">
        <v>2004</v>
      </c>
      <c r="D222" s="31">
        <v>42566</v>
      </c>
      <c r="E222" s="27">
        <v>42566</v>
      </c>
      <c r="F222" s="31"/>
      <c r="G222" s="27">
        <v>1728</v>
      </c>
      <c r="H222" s="31">
        <v>681</v>
      </c>
      <c r="I222" s="27">
        <v>44975</v>
      </c>
      <c r="J222" s="27">
        <v>10615</v>
      </c>
      <c r="K222" s="31"/>
      <c r="L222" s="31"/>
      <c r="M222" s="31"/>
      <c r="N222" s="31"/>
      <c r="P222" s="31"/>
      <c r="Q222" s="31">
        <v>0</v>
      </c>
      <c r="R222" s="31"/>
      <c r="S222" s="27">
        <v>21021</v>
      </c>
      <c r="T222" s="27">
        <v>23954</v>
      </c>
      <c r="U222" s="27">
        <v>6243</v>
      </c>
      <c r="W222" s="31">
        <v>6726</v>
      </c>
      <c r="Z222" s="27">
        <v>10944</v>
      </c>
      <c r="AF222" s="31"/>
      <c r="AG222" s="31"/>
    </row>
    <row r="223" spans="1:33" hidden="1">
      <c r="A223" s="385">
        <f>References!D284</f>
        <v>600</v>
      </c>
      <c r="B223" s="386" t="s">
        <v>55</v>
      </c>
      <c r="C223" s="284">
        <v>2005</v>
      </c>
      <c r="D223" s="31">
        <v>43838</v>
      </c>
      <c r="E223" s="27">
        <v>43838</v>
      </c>
      <c r="F223" s="31"/>
      <c r="G223" s="27">
        <v>1234</v>
      </c>
      <c r="H223" s="31">
        <v>1051</v>
      </c>
      <c r="I223" s="27">
        <v>46123</v>
      </c>
      <c r="J223" s="27">
        <v>11755</v>
      </c>
      <c r="K223" s="31"/>
      <c r="L223" s="31"/>
      <c r="M223" s="31"/>
      <c r="N223" s="31"/>
      <c r="P223" s="31"/>
      <c r="Q223" s="31">
        <v>0</v>
      </c>
      <c r="R223" s="31"/>
      <c r="S223" s="27">
        <v>21964</v>
      </c>
      <c r="T223" s="27">
        <v>24159</v>
      </c>
      <c r="U223" s="27">
        <v>6438</v>
      </c>
      <c r="W223" s="31">
        <v>5719</v>
      </c>
      <c r="Z223" s="27">
        <v>8306</v>
      </c>
      <c r="AF223" s="31"/>
      <c r="AG223" s="31"/>
    </row>
    <row r="224" spans="1:33" hidden="1">
      <c r="A224" s="385">
        <f>References!E284</f>
        <v>601</v>
      </c>
      <c r="B224" s="386" t="s">
        <v>55</v>
      </c>
      <c r="C224" s="284">
        <v>2006</v>
      </c>
      <c r="D224" s="31">
        <v>44781</v>
      </c>
      <c r="E224" s="27">
        <v>44781</v>
      </c>
      <c r="F224" s="31"/>
      <c r="G224" s="27">
        <v>2521</v>
      </c>
      <c r="H224" s="31">
        <v>3913</v>
      </c>
      <c r="I224" s="27">
        <v>51215</v>
      </c>
      <c r="J224" s="27">
        <v>12950</v>
      </c>
      <c r="K224" s="31"/>
      <c r="L224" s="31"/>
      <c r="M224" s="31"/>
      <c r="N224" s="31"/>
      <c r="P224" s="31"/>
      <c r="Q224" s="31">
        <v>0</v>
      </c>
      <c r="R224" s="31"/>
      <c r="S224" s="27">
        <v>24253</v>
      </c>
      <c r="T224" s="27">
        <v>26962</v>
      </c>
      <c r="U224" s="27">
        <v>7221</v>
      </c>
      <c r="W224" s="31">
        <v>5273</v>
      </c>
      <c r="Z224" s="27">
        <v>10338</v>
      </c>
      <c r="AF224" s="31"/>
      <c r="AG224" s="31"/>
    </row>
    <row r="225" spans="1:33" hidden="1">
      <c r="A225" s="385">
        <f>References!F284</f>
        <v>602</v>
      </c>
      <c r="B225" s="386" t="s">
        <v>55</v>
      </c>
      <c r="C225" s="284">
        <v>2007</v>
      </c>
      <c r="D225" s="31">
        <v>48498</v>
      </c>
      <c r="E225" s="27">
        <v>48498</v>
      </c>
      <c r="F225" s="31"/>
      <c r="G225" s="27">
        <v>1366</v>
      </c>
      <c r="H225" s="31">
        <v>5339</v>
      </c>
      <c r="I225" s="27">
        <v>55203</v>
      </c>
      <c r="J225" s="27">
        <v>15032</v>
      </c>
      <c r="K225" s="31"/>
      <c r="L225" s="31"/>
      <c r="M225" s="31"/>
      <c r="N225" s="31"/>
      <c r="P225" s="31"/>
      <c r="Q225" s="31">
        <v>0</v>
      </c>
      <c r="R225" s="31"/>
      <c r="S225" s="27">
        <v>28373</v>
      </c>
      <c r="T225" s="27">
        <v>26830</v>
      </c>
      <c r="U225" s="27">
        <v>8563</v>
      </c>
      <c r="W225" s="31">
        <v>4776</v>
      </c>
      <c r="Z225" s="27">
        <v>10286</v>
      </c>
      <c r="AF225" s="31"/>
      <c r="AG225" s="31"/>
    </row>
    <row r="226" spans="1:33">
      <c r="A226" s="385">
        <f>References!G284</f>
        <v>603</v>
      </c>
      <c r="B226" s="382" t="s">
        <v>55</v>
      </c>
      <c r="C226" s="284">
        <v>2008</v>
      </c>
      <c r="D226" s="91">
        <v>54055.947</v>
      </c>
      <c r="E226" s="92">
        <v>66680.171000000002</v>
      </c>
      <c r="F226" s="92">
        <v>8226.5629000000008</v>
      </c>
      <c r="G226" s="27">
        <v>547</v>
      </c>
      <c r="H226" s="91">
        <v>1410.5788</v>
      </c>
      <c r="I226" s="92">
        <v>76864.312000000005</v>
      </c>
      <c r="J226" s="92">
        <v>16035</v>
      </c>
      <c r="K226" s="91">
        <v>0</v>
      </c>
      <c r="L226" s="91">
        <v>0</v>
      </c>
      <c r="M226" s="91">
        <v>0</v>
      </c>
      <c r="N226" s="91">
        <v>0</v>
      </c>
      <c r="O226" s="31">
        <v>0</v>
      </c>
      <c r="P226" s="91">
        <v>0</v>
      </c>
      <c r="R226" s="91">
        <v>0</v>
      </c>
      <c r="S226" s="92">
        <v>14966.064</v>
      </c>
      <c r="T226" s="27">
        <v>45863.248</v>
      </c>
      <c r="U226" s="27">
        <v>11613.938</v>
      </c>
      <c r="V226" s="31">
        <v>34249.31</v>
      </c>
      <c r="W226" s="31">
        <v>1568.4135000000001</v>
      </c>
      <c r="X226" s="31">
        <v>8424.3582000000006</v>
      </c>
      <c r="Y226" s="31">
        <v>0</v>
      </c>
      <c r="Z226" s="27">
        <v>41105.254999999997</v>
      </c>
      <c r="AA226" s="31">
        <v>8336.3461000000007</v>
      </c>
      <c r="AB226" s="31">
        <v>12601.205</v>
      </c>
      <c r="AC226" s="31">
        <v>1504.9983999999999</v>
      </c>
      <c r="AD226" s="31">
        <v>5331.1722</v>
      </c>
      <c r="AE226" s="31">
        <v>3848.8903</v>
      </c>
      <c r="AF226" s="92">
        <v>31622.612000000001</v>
      </c>
      <c r="AG226" s="91">
        <v>2438.9935999999998</v>
      </c>
    </row>
    <row r="227" spans="1:33">
      <c r="A227" s="385">
        <f>References!H284</f>
        <v>604</v>
      </c>
      <c r="B227" s="382" t="s">
        <v>55</v>
      </c>
      <c r="C227" s="284">
        <v>2009</v>
      </c>
      <c r="D227" s="91">
        <v>62102.375999999997</v>
      </c>
      <c r="E227" s="92">
        <v>74417.66</v>
      </c>
      <c r="F227" s="92">
        <v>6525.0832</v>
      </c>
      <c r="G227" s="27">
        <v>1871.1155000000001</v>
      </c>
      <c r="H227" s="91">
        <v>1602.0707</v>
      </c>
      <c r="I227" s="92">
        <v>84415.929000000004</v>
      </c>
      <c r="J227" s="92">
        <v>18492</v>
      </c>
      <c r="K227" s="91">
        <v>0</v>
      </c>
      <c r="L227" s="91">
        <v>0</v>
      </c>
      <c r="M227" s="91">
        <v>0</v>
      </c>
      <c r="N227" s="91">
        <v>0</v>
      </c>
      <c r="O227" s="31">
        <v>0</v>
      </c>
      <c r="P227" s="91">
        <v>0</v>
      </c>
      <c r="R227" s="91">
        <v>0</v>
      </c>
      <c r="S227" s="92">
        <v>16096.288</v>
      </c>
      <c r="T227" s="27">
        <v>49827.642</v>
      </c>
      <c r="U227" s="27">
        <v>14710.858</v>
      </c>
      <c r="V227" s="31">
        <v>35116.784</v>
      </c>
      <c r="W227" s="31">
        <v>2948.7289999999998</v>
      </c>
      <c r="X227" s="31">
        <v>8283.8794999999991</v>
      </c>
      <c r="Y227" s="31">
        <v>0</v>
      </c>
      <c r="Z227" s="27">
        <v>40451.934000000001</v>
      </c>
      <c r="AA227" s="31">
        <v>0</v>
      </c>
      <c r="AB227" s="31">
        <v>0</v>
      </c>
      <c r="AC227" s="31">
        <v>0</v>
      </c>
      <c r="AD227" s="31">
        <v>0</v>
      </c>
      <c r="AE227" s="31">
        <v>0</v>
      </c>
      <c r="AF227" s="92">
        <v>32174.312999999998</v>
      </c>
      <c r="AG227" s="91">
        <v>4786.5504000000001</v>
      </c>
    </row>
    <row r="228" spans="1:33">
      <c r="A228" s="385">
        <f>References!I284</f>
        <v>605</v>
      </c>
      <c r="B228" s="382" t="s">
        <v>55</v>
      </c>
      <c r="C228" s="284">
        <v>2010</v>
      </c>
      <c r="D228" s="91">
        <v>71042.7</v>
      </c>
      <c r="E228" s="92">
        <v>78834.444000000003</v>
      </c>
      <c r="F228" s="92">
        <v>5511.7844999999998</v>
      </c>
      <c r="G228" s="27">
        <v>491.60494</v>
      </c>
      <c r="H228" s="91">
        <v>1756.2047</v>
      </c>
      <c r="I228" s="92">
        <v>86594.038</v>
      </c>
      <c r="J228" s="92">
        <v>19709</v>
      </c>
      <c r="K228" s="91">
        <v>6017.5149000000001</v>
      </c>
      <c r="L228" s="91">
        <v>3163.9308999999998</v>
      </c>
      <c r="M228" s="91">
        <v>2728.7170999999998</v>
      </c>
      <c r="N228" s="91">
        <v>1430.0455999999999</v>
      </c>
      <c r="O228" s="31">
        <v>2133.8906000000002</v>
      </c>
      <c r="P228" s="91">
        <v>541</v>
      </c>
      <c r="R228" s="91">
        <v>914.53518999999994</v>
      </c>
      <c r="S228" s="92">
        <v>16929.633999999998</v>
      </c>
      <c r="T228" s="27">
        <v>49955.404000000002</v>
      </c>
      <c r="U228" s="27">
        <v>14244.922</v>
      </c>
      <c r="V228" s="31">
        <v>35710.482000000004</v>
      </c>
      <c r="W228" s="31">
        <v>3845.3526999999999</v>
      </c>
      <c r="X228" s="31">
        <v>6163.8161</v>
      </c>
      <c r="Y228" s="31">
        <v>0</v>
      </c>
      <c r="Z228" s="27">
        <v>38028.945</v>
      </c>
      <c r="AA228" s="31">
        <v>5292.0114999999996</v>
      </c>
      <c r="AB228" s="31">
        <v>14664.689</v>
      </c>
      <c r="AC228" s="31">
        <v>1282.7905000000001</v>
      </c>
      <c r="AD228" s="31">
        <v>5108.1247999999996</v>
      </c>
      <c r="AE228" s="31">
        <v>2519.1754999999998</v>
      </c>
      <c r="AF228" s="92">
        <v>28866.792000000001</v>
      </c>
      <c r="AG228" s="91">
        <v>2466.8852999999999</v>
      </c>
    </row>
    <row r="229" spans="1:33">
      <c r="A229" s="385">
        <f>References!J284</f>
        <v>606</v>
      </c>
      <c r="B229" s="382" t="s">
        <v>55</v>
      </c>
      <c r="C229" s="284">
        <v>2011</v>
      </c>
      <c r="D229" s="91">
        <v>71290.664999999994</v>
      </c>
      <c r="E229" s="92">
        <v>79115.964000000007</v>
      </c>
      <c r="F229" s="92">
        <v>5479.0478999999996</v>
      </c>
      <c r="G229" s="27">
        <v>903.83100000000002</v>
      </c>
      <c r="H229" s="91">
        <v>2481.8393999999998</v>
      </c>
      <c r="I229" s="92">
        <v>87980.683000000005</v>
      </c>
      <c r="J229" s="92">
        <v>20554</v>
      </c>
      <c r="K229" s="91">
        <v>5322.7161999999998</v>
      </c>
      <c r="L229" s="91">
        <v>3425.5081</v>
      </c>
      <c r="M229" s="91">
        <v>3052.9521</v>
      </c>
      <c r="N229" s="91">
        <v>1579.5706</v>
      </c>
      <c r="O229" s="31">
        <v>2428.0556000000001</v>
      </c>
      <c r="P229" s="91">
        <v>488</v>
      </c>
      <c r="R229" s="91">
        <v>1475.4087</v>
      </c>
      <c r="S229" s="92">
        <v>17772.210999999999</v>
      </c>
      <c r="T229" s="27">
        <v>49654.470999999998</v>
      </c>
      <c r="U229" s="27">
        <v>13960.723</v>
      </c>
      <c r="V229" s="31">
        <v>35693.748</v>
      </c>
      <c r="W229" s="31">
        <v>3720.0151000000001</v>
      </c>
      <c r="X229" s="31">
        <v>14111.218999999999</v>
      </c>
      <c r="Y229" s="31">
        <v>0</v>
      </c>
      <c r="Z229" s="27">
        <v>46084.951999999997</v>
      </c>
      <c r="AA229" s="31">
        <v>5137.6058999999996</v>
      </c>
      <c r="AB229" s="31">
        <v>29089.894</v>
      </c>
      <c r="AC229" s="31">
        <v>679.01775999999995</v>
      </c>
      <c r="AD229" s="31">
        <v>5518.9245000000001</v>
      </c>
      <c r="AE229" s="31">
        <v>3501.7374</v>
      </c>
      <c r="AF229" s="92">
        <v>43927.18</v>
      </c>
      <c r="AG229" s="91">
        <v>6402.2380999999996</v>
      </c>
    </row>
    <row r="230" spans="1:33" hidden="1">
      <c r="A230" s="385">
        <f>References!C285</f>
        <v>622</v>
      </c>
      <c r="B230" s="382" t="s">
        <v>56</v>
      </c>
      <c r="C230" s="284">
        <v>2004</v>
      </c>
      <c r="D230" s="31"/>
      <c r="E230" s="92"/>
      <c r="F230" s="92"/>
      <c r="AF230" s="92"/>
      <c r="AG230" s="91"/>
    </row>
    <row r="231" spans="1:33" hidden="1">
      <c r="A231" s="385">
        <f>References!D285</f>
        <v>623</v>
      </c>
      <c r="B231" s="382" t="s">
        <v>56</v>
      </c>
      <c r="C231" s="284">
        <v>2005</v>
      </c>
      <c r="D231" s="31"/>
      <c r="E231" s="92"/>
      <c r="F231" s="92"/>
      <c r="AF231" s="92"/>
      <c r="AG231" s="91"/>
    </row>
    <row r="232" spans="1:33" hidden="1">
      <c r="A232" s="385">
        <f>References!E285</f>
        <v>624</v>
      </c>
      <c r="B232" s="382" t="s">
        <v>56</v>
      </c>
      <c r="C232" s="284">
        <v>2006</v>
      </c>
      <c r="D232" s="31"/>
      <c r="E232" s="92"/>
      <c r="F232" s="92"/>
      <c r="AF232" s="92"/>
      <c r="AG232" s="91"/>
    </row>
    <row r="233" spans="1:33" hidden="1">
      <c r="A233" s="385">
        <f>References!F285</f>
        <v>625</v>
      </c>
      <c r="B233" s="382" t="s">
        <v>56</v>
      </c>
      <c r="C233" s="284">
        <v>2007</v>
      </c>
      <c r="D233" s="31"/>
      <c r="E233" s="92"/>
      <c r="F233" s="92"/>
      <c r="AF233" s="92"/>
      <c r="AG233" s="91"/>
    </row>
    <row r="234" spans="1:33">
      <c r="A234" s="385">
        <f>References!G285</f>
        <v>626</v>
      </c>
      <c r="B234" s="382" t="s">
        <v>56</v>
      </c>
      <c r="C234" s="284">
        <v>2008</v>
      </c>
      <c r="D234" s="91">
        <v>0</v>
      </c>
      <c r="E234" s="92">
        <v>0</v>
      </c>
      <c r="F234" s="92">
        <v>0</v>
      </c>
      <c r="G234" s="27">
        <v>0</v>
      </c>
      <c r="H234" s="91">
        <v>0</v>
      </c>
      <c r="I234" s="92">
        <v>0</v>
      </c>
      <c r="J234" s="92">
        <v>0</v>
      </c>
      <c r="K234" s="91">
        <v>0</v>
      </c>
      <c r="L234" s="91">
        <v>0</v>
      </c>
      <c r="M234" s="91">
        <v>0</v>
      </c>
      <c r="N234" s="91">
        <v>0</v>
      </c>
      <c r="O234" s="31">
        <v>0</v>
      </c>
      <c r="P234" s="91">
        <v>0</v>
      </c>
      <c r="R234" s="91">
        <v>0</v>
      </c>
      <c r="S234" s="92">
        <v>0</v>
      </c>
      <c r="T234" s="27">
        <v>0</v>
      </c>
      <c r="U234" s="27">
        <v>0</v>
      </c>
      <c r="V234" s="31">
        <v>0</v>
      </c>
      <c r="W234" s="31">
        <v>0</v>
      </c>
      <c r="X234" s="31">
        <v>0</v>
      </c>
      <c r="Y234" s="31">
        <v>0</v>
      </c>
      <c r="Z234" s="27">
        <v>0</v>
      </c>
      <c r="AA234" s="31">
        <v>0</v>
      </c>
      <c r="AB234" s="31">
        <v>0</v>
      </c>
      <c r="AC234" s="31">
        <v>0</v>
      </c>
      <c r="AD234" s="31">
        <v>0</v>
      </c>
      <c r="AE234" s="31">
        <v>0</v>
      </c>
      <c r="AF234" s="92">
        <v>0</v>
      </c>
      <c r="AG234" s="91">
        <v>0</v>
      </c>
    </row>
    <row r="235" spans="1:33">
      <c r="A235" s="385">
        <f>References!H285</f>
        <v>627</v>
      </c>
      <c r="B235" s="382" t="s">
        <v>56</v>
      </c>
      <c r="C235" s="284">
        <v>2009</v>
      </c>
      <c r="D235" s="91">
        <v>88165</v>
      </c>
      <c r="E235" s="92">
        <v>88165</v>
      </c>
      <c r="F235" s="92">
        <v>3151</v>
      </c>
      <c r="G235" s="27">
        <v>27.74999</v>
      </c>
      <c r="H235" s="91">
        <v>317.65386000000001</v>
      </c>
      <c r="I235" s="92">
        <v>91661.403999999995</v>
      </c>
      <c r="J235" s="92">
        <v>28808.303</v>
      </c>
      <c r="K235" s="91">
        <v>0</v>
      </c>
      <c r="L235" s="91">
        <v>0</v>
      </c>
      <c r="M235" s="91">
        <v>0</v>
      </c>
      <c r="N235" s="91">
        <v>0</v>
      </c>
      <c r="O235" s="31">
        <v>0</v>
      </c>
      <c r="P235" s="91">
        <v>0</v>
      </c>
      <c r="R235" s="91">
        <v>0</v>
      </c>
      <c r="S235" s="92">
        <v>18444.784</v>
      </c>
      <c r="T235" s="27">
        <v>44408.317000000003</v>
      </c>
      <c r="U235" s="27">
        <v>10474.409</v>
      </c>
      <c r="V235" s="31">
        <v>33933.909</v>
      </c>
      <c r="W235" s="31">
        <v>3594.7462999999998</v>
      </c>
      <c r="X235" s="31">
        <v>0</v>
      </c>
      <c r="Y235" s="31">
        <v>20.516553999999999</v>
      </c>
      <c r="Z235" s="27">
        <v>30359.679</v>
      </c>
      <c r="AA235" s="31">
        <v>0</v>
      </c>
      <c r="AB235" s="31">
        <v>0</v>
      </c>
      <c r="AC235" s="31">
        <v>0</v>
      </c>
      <c r="AD235" s="31">
        <v>0</v>
      </c>
      <c r="AE235" s="31">
        <v>0</v>
      </c>
      <c r="AF235" s="92">
        <v>23949</v>
      </c>
      <c r="AG235" s="91">
        <v>68</v>
      </c>
    </row>
    <row r="236" spans="1:33">
      <c r="A236" s="385">
        <f>References!I285</f>
        <v>628</v>
      </c>
      <c r="B236" s="382" t="s">
        <v>56</v>
      </c>
      <c r="C236" s="284">
        <v>2010</v>
      </c>
      <c r="D236" s="91">
        <v>147271.85</v>
      </c>
      <c r="E236" s="92">
        <v>147271.85</v>
      </c>
      <c r="F236" s="92">
        <v>3409.6736999999998</v>
      </c>
      <c r="G236" s="27">
        <v>166.49948000000001</v>
      </c>
      <c r="H236" s="91">
        <v>302.66145999999998</v>
      </c>
      <c r="I236" s="92">
        <v>151150.69</v>
      </c>
      <c r="J236" s="92">
        <v>44486.802000000003</v>
      </c>
      <c r="K236" s="91">
        <v>3641.4735999999998</v>
      </c>
      <c r="L236" s="91">
        <v>14416.95</v>
      </c>
      <c r="M236" s="91">
        <v>5953.3607000000002</v>
      </c>
      <c r="N236" s="91">
        <v>575</v>
      </c>
      <c r="O236" s="31">
        <v>4312.3060999999998</v>
      </c>
      <c r="P236" s="91">
        <v>2284.5644000000002</v>
      </c>
      <c r="R236" s="91">
        <v>0</v>
      </c>
      <c r="S236" s="92">
        <v>31183.654999999999</v>
      </c>
      <c r="T236" s="27">
        <v>75480.231</v>
      </c>
      <c r="U236" s="27">
        <v>18023.162</v>
      </c>
      <c r="V236" s="31">
        <v>57457.069000000003</v>
      </c>
      <c r="W236" s="31">
        <v>7997.4026000000003</v>
      </c>
      <c r="X236" s="31">
        <v>9336.5622999999996</v>
      </c>
      <c r="Y236" s="31">
        <v>342.22998000000001</v>
      </c>
      <c r="Z236" s="27">
        <v>59138.459000000003</v>
      </c>
      <c r="AA236" s="31">
        <v>6221.5451999999996</v>
      </c>
      <c r="AB236" s="31">
        <v>1144.4377999999999</v>
      </c>
      <c r="AC236" s="31">
        <v>9975.7265000000007</v>
      </c>
      <c r="AD236" s="31">
        <v>1373.2209</v>
      </c>
      <c r="AE236" s="31">
        <v>474.56934999999999</v>
      </c>
      <c r="AF236" s="92">
        <v>19189.5</v>
      </c>
      <c r="AG236" s="91">
        <v>17832.401000000002</v>
      </c>
    </row>
    <row r="237" spans="1:33">
      <c r="A237" s="385">
        <f>References!J285</f>
        <v>629</v>
      </c>
      <c r="B237" s="382" t="s">
        <v>56</v>
      </c>
      <c r="C237" s="284">
        <v>2011</v>
      </c>
      <c r="D237" s="91">
        <v>148082</v>
      </c>
      <c r="E237" s="92">
        <v>148082</v>
      </c>
      <c r="F237" s="92">
        <v>3401.5493000000001</v>
      </c>
      <c r="G237" s="27">
        <v>194.25051999999999</v>
      </c>
      <c r="H237" s="91">
        <v>239.78279000000001</v>
      </c>
      <c r="I237" s="92">
        <v>151917.57999999999</v>
      </c>
      <c r="J237" s="92">
        <v>45394.462</v>
      </c>
      <c r="K237" s="91">
        <v>4774.2853999999998</v>
      </c>
      <c r="L237" s="91">
        <v>14813.481</v>
      </c>
      <c r="M237" s="91">
        <v>5343.7659000000003</v>
      </c>
      <c r="N237" s="91">
        <v>600</v>
      </c>
      <c r="O237" s="31">
        <v>3971.2586999999999</v>
      </c>
      <c r="P237" s="91">
        <v>2104.9247999999998</v>
      </c>
      <c r="R237" s="91">
        <v>0</v>
      </c>
      <c r="S237" s="92">
        <v>31607.716</v>
      </c>
      <c r="T237" s="27">
        <v>74915.402000000002</v>
      </c>
      <c r="U237" s="27">
        <v>22397.853999999999</v>
      </c>
      <c r="V237" s="31">
        <v>52517.548000000003</v>
      </c>
      <c r="W237" s="31">
        <v>6149.7184999999999</v>
      </c>
      <c r="X237" s="31">
        <v>21710.494999999999</v>
      </c>
      <c r="Y237" s="31">
        <v>0</v>
      </c>
      <c r="Z237" s="27">
        <v>68078.323999999993</v>
      </c>
      <c r="AA237" s="31">
        <v>4829.2141000000001</v>
      </c>
      <c r="AB237" s="31">
        <v>1532.6415999999999</v>
      </c>
      <c r="AC237" s="31">
        <v>17528.434000000001</v>
      </c>
      <c r="AD237" s="31">
        <v>567.29503</v>
      </c>
      <c r="AE237" s="31">
        <v>1815.6238000000001</v>
      </c>
      <c r="AF237" s="92">
        <v>26273.208999999999</v>
      </c>
      <c r="AG237" s="91">
        <v>1026.9603999999999</v>
      </c>
    </row>
    <row r="238" spans="1:33" hidden="1">
      <c r="A238" s="385">
        <f>References!C286</f>
        <v>645</v>
      </c>
      <c r="B238" s="386" t="s">
        <v>57</v>
      </c>
      <c r="C238" s="284">
        <v>2004</v>
      </c>
      <c r="D238" s="31">
        <v>11762</v>
      </c>
      <c r="E238" s="27">
        <v>11762</v>
      </c>
      <c r="F238" s="31"/>
      <c r="G238" s="27">
        <v>272</v>
      </c>
      <c r="H238" s="31">
        <v>572</v>
      </c>
      <c r="I238" s="27">
        <v>12606</v>
      </c>
      <c r="J238" s="27">
        <v>2199</v>
      </c>
      <c r="K238" s="31"/>
      <c r="L238" s="31"/>
      <c r="M238" s="31"/>
      <c r="N238" s="31"/>
      <c r="P238" s="31"/>
      <c r="Q238" s="31">
        <v>272</v>
      </c>
      <c r="R238" s="31"/>
      <c r="S238" s="27">
        <v>6992</v>
      </c>
      <c r="T238" s="27">
        <v>5614</v>
      </c>
      <c r="U238" s="27">
        <v>1714</v>
      </c>
      <c r="W238" s="31">
        <v>1009</v>
      </c>
      <c r="Z238" s="27">
        <v>2640</v>
      </c>
      <c r="AF238" s="31"/>
      <c r="AG238" s="31"/>
    </row>
    <row r="239" spans="1:33" hidden="1">
      <c r="A239" s="385">
        <f>References!D286</f>
        <v>646</v>
      </c>
      <c r="B239" s="386" t="s">
        <v>57</v>
      </c>
      <c r="C239" s="284">
        <v>2005</v>
      </c>
      <c r="D239" s="31">
        <v>12263</v>
      </c>
      <c r="E239" s="27">
        <v>12263</v>
      </c>
      <c r="F239" s="31"/>
      <c r="G239" s="27">
        <v>174</v>
      </c>
      <c r="H239" s="31">
        <v>1292</v>
      </c>
      <c r="I239" s="27">
        <v>13729</v>
      </c>
      <c r="J239" s="27">
        <v>2242</v>
      </c>
      <c r="K239" s="31"/>
      <c r="L239" s="31"/>
      <c r="M239" s="31"/>
      <c r="N239" s="31"/>
      <c r="P239" s="31"/>
      <c r="Q239" s="31">
        <v>174</v>
      </c>
      <c r="R239" s="31"/>
      <c r="S239" s="27">
        <v>7324</v>
      </c>
      <c r="T239" s="27">
        <v>6405</v>
      </c>
      <c r="U239" s="27">
        <v>1953</v>
      </c>
      <c r="W239" s="31">
        <v>1223</v>
      </c>
      <c r="Z239" s="27">
        <v>2972</v>
      </c>
      <c r="AF239" s="31"/>
      <c r="AG239" s="31"/>
    </row>
    <row r="240" spans="1:33" hidden="1">
      <c r="A240" s="385">
        <f>References!E286</f>
        <v>647</v>
      </c>
      <c r="B240" s="386" t="s">
        <v>57</v>
      </c>
      <c r="C240" s="284">
        <v>2006</v>
      </c>
      <c r="D240" s="31">
        <v>11662</v>
      </c>
      <c r="E240" s="27">
        <v>11662</v>
      </c>
      <c r="F240" s="31"/>
      <c r="G240" s="27">
        <v>321</v>
      </c>
      <c r="H240" s="31">
        <v>2147</v>
      </c>
      <c r="I240" s="27">
        <v>14130</v>
      </c>
      <c r="J240" s="27">
        <v>2327</v>
      </c>
      <c r="K240" s="31"/>
      <c r="L240" s="31"/>
      <c r="M240" s="31"/>
      <c r="N240" s="31"/>
      <c r="P240" s="31"/>
      <c r="Q240" s="31">
        <v>321</v>
      </c>
      <c r="R240" s="31"/>
      <c r="S240" s="27">
        <v>7204</v>
      </c>
      <c r="T240" s="27">
        <v>6926</v>
      </c>
      <c r="U240" s="27">
        <v>2117</v>
      </c>
      <c r="W240" s="31">
        <v>927</v>
      </c>
      <c r="Z240" s="27">
        <v>3270</v>
      </c>
      <c r="AF240" s="31"/>
      <c r="AG240" s="31"/>
    </row>
    <row r="241" spans="1:33" hidden="1">
      <c r="A241" s="385">
        <f>References!F286</f>
        <v>648</v>
      </c>
      <c r="B241" s="386" t="s">
        <v>57</v>
      </c>
      <c r="C241" s="284">
        <v>2007</v>
      </c>
      <c r="D241" s="31">
        <v>13034</v>
      </c>
      <c r="E241" s="27">
        <v>13034</v>
      </c>
      <c r="F241" s="31"/>
      <c r="G241" s="27">
        <v>289</v>
      </c>
      <c r="H241" s="31">
        <v>10310</v>
      </c>
      <c r="I241" s="27">
        <v>23633</v>
      </c>
      <c r="J241" s="27">
        <v>2990</v>
      </c>
      <c r="K241" s="31"/>
      <c r="L241" s="31"/>
      <c r="M241" s="31"/>
      <c r="N241" s="31"/>
      <c r="P241" s="31"/>
      <c r="Q241" s="31">
        <v>289</v>
      </c>
      <c r="R241" s="31"/>
      <c r="S241" s="27">
        <v>8693</v>
      </c>
      <c r="T241" s="27">
        <v>14940</v>
      </c>
      <c r="U241" s="27">
        <v>2334</v>
      </c>
      <c r="W241" s="31">
        <v>408</v>
      </c>
      <c r="Z241" s="27">
        <v>11343</v>
      </c>
      <c r="AF241" s="31"/>
      <c r="AG241" s="31"/>
    </row>
    <row r="242" spans="1:33">
      <c r="A242" s="385">
        <f>References!G286</f>
        <v>649</v>
      </c>
      <c r="B242" s="382" t="s">
        <v>57</v>
      </c>
      <c r="C242" s="284">
        <v>2008</v>
      </c>
      <c r="D242" s="91">
        <v>15667</v>
      </c>
      <c r="E242" s="92">
        <v>15667</v>
      </c>
      <c r="F242" s="92">
        <v>4550</v>
      </c>
      <c r="G242" s="27">
        <v>229</v>
      </c>
      <c r="H242" s="91">
        <v>375</v>
      </c>
      <c r="I242" s="92">
        <v>20821</v>
      </c>
      <c r="J242" s="92">
        <v>4199</v>
      </c>
      <c r="K242" s="91">
        <v>0</v>
      </c>
      <c r="L242" s="91">
        <v>0</v>
      </c>
      <c r="M242" s="91">
        <v>3912</v>
      </c>
      <c r="N242" s="91">
        <v>0</v>
      </c>
      <c r="O242" s="31">
        <v>0</v>
      </c>
      <c r="P242" s="91">
        <v>0</v>
      </c>
      <c r="R242" s="91">
        <v>0</v>
      </c>
      <c r="S242" s="92">
        <v>6482</v>
      </c>
      <c r="T242" s="27">
        <v>10140</v>
      </c>
      <c r="U242" s="27">
        <v>3005</v>
      </c>
      <c r="V242" s="31">
        <v>7135</v>
      </c>
      <c r="W242" s="31">
        <v>-540.29290000000003</v>
      </c>
      <c r="X242" s="31">
        <v>2791.4915000000001</v>
      </c>
      <c r="Y242" s="31">
        <v>0</v>
      </c>
      <c r="Z242" s="27">
        <v>10466.784</v>
      </c>
      <c r="AA242" s="31">
        <v>0</v>
      </c>
      <c r="AB242" s="31">
        <v>0</v>
      </c>
      <c r="AC242" s="31">
        <v>0</v>
      </c>
      <c r="AD242" s="31">
        <v>5486</v>
      </c>
      <c r="AE242" s="31">
        <v>0</v>
      </c>
      <c r="AF242" s="92">
        <v>5486</v>
      </c>
      <c r="AG242" s="91">
        <v>48</v>
      </c>
    </row>
    <row r="243" spans="1:33">
      <c r="A243" s="385">
        <f>References!H286</f>
        <v>650</v>
      </c>
      <c r="B243" s="382" t="s">
        <v>57</v>
      </c>
      <c r="C243" s="284">
        <v>2009</v>
      </c>
      <c r="D243" s="91">
        <v>15738</v>
      </c>
      <c r="E243" s="92">
        <v>16740</v>
      </c>
      <c r="F243" s="92">
        <v>1387</v>
      </c>
      <c r="G243" s="27">
        <v>480</v>
      </c>
      <c r="H243" s="91">
        <v>365</v>
      </c>
      <c r="I243" s="92">
        <v>18972</v>
      </c>
      <c r="J243" s="92">
        <v>4443</v>
      </c>
      <c r="K243" s="91">
        <v>0</v>
      </c>
      <c r="L243" s="91">
        <v>0</v>
      </c>
      <c r="M243" s="91">
        <v>0</v>
      </c>
      <c r="N243" s="91">
        <v>0</v>
      </c>
      <c r="O243" s="31">
        <v>0</v>
      </c>
      <c r="P243" s="91">
        <v>0</v>
      </c>
      <c r="R243" s="91">
        <v>0</v>
      </c>
      <c r="S243" s="92">
        <v>7032</v>
      </c>
      <c r="T243" s="27">
        <v>7497</v>
      </c>
      <c r="U243" s="27">
        <v>3069.3440000000001</v>
      </c>
      <c r="V243" s="31">
        <v>4427.6559999999999</v>
      </c>
      <c r="W243" s="31">
        <v>-759.63273000000004</v>
      </c>
      <c r="X243" s="31">
        <v>2832.0819000000001</v>
      </c>
      <c r="Y243" s="31">
        <v>0</v>
      </c>
      <c r="Z243" s="27">
        <v>8019.3707000000004</v>
      </c>
      <c r="AA243" s="31">
        <v>0</v>
      </c>
      <c r="AB243" s="31">
        <v>0</v>
      </c>
      <c r="AC243" s="31">
        <v>0</v>
      </c>
      <c r="AD243" s="31">
        <v>0</v>
      </c>
      <c r="AE243" s="31">
        <v>0</v>
      </c>
      <c r="AF243" s="92">
        <v>7777.7520000000004</v>
      </c>
      <c r="AG243" s="91">
        <v>0</v>
      </c>
    </row>
    <row r="244" spans="1:33">
      <c r="A244" s="385">
        <f>References!I286</f>
        <v>651</v>
      </c>
      <c r="B244" s="382" t="s">
        <v>57</v>
      </c>
      <c r="C244" s="284">
        <v>2010</v>
      </c>
      <c r="D244" s="91">
        <v>18299</v>
      </c>
      <c r="E244" s="92">
        <v>18299</v>
      </c>
      <c r="F244" s="92">
        <v>469</v>
      </c>
      <c r="G244" s="27">
        <v>201</v>
      </c>
      <c r="H244" s="91">
        <v>388</v>
      </c>
      <c r="I244" s="92">
        <v>19357</v>
      </c>
      <c r="J244" s="92">
        <v>4581</v>
      </c>
      <c r="K244" s="91">
        <v>1104</v>
      </c>
      <c r="L244" s="91">
        <v>1240</v>
      </c>
      <c r="M244" s="91">
        <v>3115</v>
      </c>
      <c r="N244" s="91">
        <v>952</v>
      </c>
      <c r="O244" s="31">
        <v>874</v>
      </c>
      <c r="P244" s="91">
        <v>106</v>
      </c>
      <c r="R244" s="91">
        <v>0</v>
      </c>
      <c r="S244" s="92">
        <v>7391</v>
      </c>
      <c r="T244" s="27">
        <v>7385</v>
      </c>
      <c r="U244" s="27">
        <v>3238</v>
      </c>
      <c r="V244" s="31">
        <v>4147</v>
      </c>
      <c r="W244" s="31">
        <v>-231.1026</v>
      </c>
      <c r="X244" s="31">
        <v>2095.7772</v>
      </c>
      <c r="Y244" s="31">
        <v>0</v>
      </c>
      <c r="Z244" s="27">
        <v>6473.8797999999997</v>
      </c>
      <c r="AA244" s="31">
        <v>156</v>
      </c>
      <c r="AB244" s="31">
        <v>1034</v>
      </c>
      <c r="AC244" s="31">
        <v>1433</v>
      </c>
      <c r="AD244" s="31">
        <v>2897</v>
      </c>
      <c r="AE244" s="31">
        <v>68</v>
      </c>
      <c r="AF244" s="92">
        <v>5588</v>
      </c>
      <c r="AG244" s="91">
        <v>0</v>
      </c>
    </row>
    <row r="245" spans="1:33">
      <c r="A245" s="385">
        <f>References!J286</f>
        <v>652</v>
      </c>
      <c r="B245" s="387" t="s">
        <v>57</v>
      </c>
      <c r="C245" s="296">
        <v>2011</v>
      </c>
      <c r="D245" s="96">
        <v>17018</v>
      </c>
      <c r="E245" s="97">
        <v>18018</v>
      </c>
      <c r="F245" s="97">
        <v>342</v>
      </c>
      <c r="G245" s="28">
        <v>223</v>
      </c>
      <c r="H245" s="96">
        <v>378</v>
      </c>
      <c r="I245" s="97">
        <v>18961</v>
      </c>
      <c r="J245" s="97">
        <v>3725</v>
      </c>
      <c r="K245" s="96">
        <v>1325</v>
      </c>
      <c r="L245" s="96">
        <v>1303</v>
      </c>
      <c r="M245" s="96">
        <v>3258</v>
      </c>
      <c r="N245" s="96">
        <v>700</v>
      </c>
      <c r="O245" s="36">
        <v>865</v>
      </c>
      <c r="P245" s="96">
        <v>88</v>
      </c>
      <c r="Q245" s="96"/>
      <c r="R245" s="96">
        <v>0</v>
      </c>
      <c r="S245" s="97">
        <v>7539</v>
      </c>
      <c r="T245" s="28">
        <v>7697</v>
      </c>
      <c r="U245" s="28">
        <v>3472</v>
      </c>
      <c r="V245" s="36">
        <v>4225</v>
      </c>
      <c r="W245" s="36">
        <v>-368.66174000000001</v>
      </c>
      <c r="X245" s="36">
        <v>4826.3914999999997</v>
      </c>
      <c r="Y245" s="36">
        <v>0</v>
      </c>
      <c r="Z245" s="28">
        <v>9420.0532000000003</v>
      </c>
      <c r="AA245" s="36">
        <v>277</v>
      </c>
      <c r="AB245" s="36">
        <v>193</v>
      </c>
      <c r="AC245" s="36">
        <v>979</v>
      </c>
      <c r="AD245" s="36">
        <v>2482</v>
      </c>
      <c r="AE245" s="36">
        <v>25</v>
      </c>
      <c r="AF245" s="97">
        <v>3956</v>
      </c>
      <c r="AG245" s="96">
        <v>0</v>
      </c>
    </row>
    <row r="246" spans="1:33" hidden="1">
      <c r="A246" s="385">
        <v>1</v>
      </c>
      <c r="B246" s="388">
        <f>A246+1</f>
        <v>2</v>
      </c>
      <c r="C246" s="388">
        <f t="shared" ref="C246:D246" si="1">B246+1</f>
        <v>3</v>
      </c>
      <c r="D246" s="388">
        <f t="shared" si="1"/>
        <v>4</v>
      </c>
      <c r="E246" s="388">
        <f t="shared" ref="E246" si="2">D246+1</f>
        <v>5</v>
      </c>
      <c r="F246" s="388">
        <f t="shared" ref="F246" si="3">E246+1</f>
        <v>6</v>
      </c>
      <c r="G246" s="388">
        <f t="shared" ref="G246" si="4">F246+1</f>
        <v>7</v>
      </c>
      <c r="H246" s="388">
        <f t="shared" ref="H246" si="5">G246+1</f>
        <v>8</v>
      </c>
      <c r="I246" s="388">
        <f t="shared" ref="I246" si="6">H246+1</f>
        <v>9</v>
      </c>
      <c r="J246" s="388">
        <f t="shared" ref="J246" si="7">I246+1</f>
        <v>10</v>
      </c>
      <c r="K246" s="388">
        <f t="shared" ref="K246" si="8">J246+1</f>
        <v>11</v>
      </c>
      <c r="L246" s="388">
        <f t="shared" ref="L246" si="9">K246+1</f>
        <v>12</v>
      </c>
      <c r="M246" s="388">
        <f t="shared" ref="M246" si="10">L246+1</f>
        <v>13</v>
      </c>
      <c r="N246" s="388">
        <f t="shared" ref="N246" si="11">M246+1</f>
        <v>14</v>
      </c>
      <c r="O246" s="388">
        <f t="shared" ref="O246" si="12">N246+1</f>
        <v>15</v>
      </c>
      <c r="P246" s="388">
        <f t="shared" ref="P246" si="13">O246+1</f>
        <v>16</v>
      </c>
      <c r="Q246" s="388">
        <f t="shared" ref="Q246" si="14">P246+1</f>
        <v>17</v>
      </c>
      <c r="R246" s="388">
        <f t="shared" ref="R246" si="15">Q246+1</f>
        <v>18</v>
      </c>
      <c r="S246" s="388">
        <f t="shared" ref="S246" si="16">R246+1</f>
        <v>19</v>
      </c>
      <c r="T246" s="388">
        <f t="shared" ref="T246" si="17">S246+1</f>
        <v>20</v>
      </c>
      <c r="U246" s="388">
        <f t="shared" ref="U246" si="18">T246+1</f>
        <v>21</v>
      </c>
      <c r="V246" s="388">
        <f t="shared" ref="V246" si="19">U246+1</f>
        <v>22</v>
      </c>
      <c r="W246" s="388">
        <f t="shared" ref="W246" si="20">V246+1</f>
        <v>23</v>
      </c>
      <c r="X246" s="388">
        <f t="shared" ref="X246" si="21">W246+1</f>
        <v>24</v>
      </c>
      <c r="Y246" s="388">
        <f t="shared" ref="Y246" si="22">X246+1</f>
        <v>25</v>
      </c>
      <c r="Z246" s="388">
        <f t="shared" ref="Z246" si="23">Y246+1</f>
        <v>26</v>
      </c>
      <c r="AA246" s="388">
        <f t="shared" ref="AA246" si="24">Z246+1</f>
        <v>27</v>
      </c>
      <c r="AB246" s="388">
        <f t="shared" ref="AB246" si="25">AA246+1</f>
        <v>28</v>
      </c>
      <c r="AC246" s="388">
        <f t="shared" ref="AC246" si="26">AB246+1</f>
        <v>29</v>
      </c>
      <c r="AD246" s="388">
        <f t="shared" ref="AD246" si="27">AC246+1</f>
        <v>30</v>
      </c>
      <c r="AE246" s="388">
        <f t="shared" ref="AE246" si="28">AD246+1</f>
        <v>31</v>
      </c>
      <c r="AF246" s="388">
        <f t="shared" ref="AF246" si="29">AE246+1</f>
        <v>32</v>
      </c>
      <c r="AG246" s="388">
        <f t="shared" ref="AG246" si="30">AF246+1</f>
        <v>33</v>
      </c>
    </row>
  </sheetData>
  <sheetProtection password="80F5" sheet="1" objects="1" scenarios="1" formatCells="0" formatColumns="0" formatRows="0"/>
  <autoFilter ref="A13:AG246">
    <filterColumn colId="2">
      <filters>
        <filter val="2008"/>
        <filter val="2009"/>
        <filter val="2010"/>
        <filter val="2011"/>
      </filters>
    </filterColumn>
  </autoFilter>
  <sortState ref="B4:CW231">
    <sortCondition ref="C4:C231"/>
  </sortState>
  <mergeCells count="6">
    <mergeCell ref="AA10:AG10"/>
    <mergeCell ref="B12:C12"/>
    <mergeCell ref="D12:I12"/>
    <mergeCell ref="J12:T12"/>
    <mergeCell ref="W12:Y12"/>
    <mergeCell ref="D10:Z10"/>
  </mergeCells>
  <pageMargins left="0.7" right="0.7" top="0.75" bottom="0.75" header="0.3" footer="0.3"/>
  <pageSetup paperSize="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filterMode="1">
    <tabColor theme="0" tint="-0.499984740745262"/>
  </sheetPr>
  <dimension ref="A2:G214"/>
  <sheetViews>
    <sheetView showGridLines="0" zoomScaleNormal="100" workbookViewId="0">
      <pane xSplit="4" ySplit="10" topLeftCell="E11" activePane="bottomRight" state="frozen"/>
      <selection activeCell="V3" sqref="V3"/>
      <selection pane="topRight" activeCell="V3" sqref="V3"/>
      <selection pane="bottomLeft" activeCell="V3" sqref="V3"/>
      <selection pane="bottomRight"/>
    </sheetView>
  </sheetViews>
  <sheetFormatPr defaultColWidth="9.140625" defaultRowHeight="15"/>
  <cols>
    <col min="1" max="1" width="3.42578125" style="371" customWidth="1"/>
    <col min="2" max="2" width="16.42578125" style="26" customWidth="1"/>
    <col min="3" max="3" width="0" style="26" hidden="1" customWidth="1"/>
    <col min="4" max="4" width="15.85546875" style="26" customWidth="1"/>
    <col min="5" max="5" width="12.28515625" style="26" customWidth="1"/>
    <col min="6" max="6" width="15" style="26" customWidth="1"/>
    <col min="7" max="7" width="16.5703125" style="26" customWidth="1"/>
    <col min="8" max="16384" width="9.140625" style="26"/>
  </cols>
  <sheetData>
    <row r="2" spans="1:7" ht="15.75">
      <c r="B2" s="389" t="s">
        <v>344</v>
      </c>
    </row>
    <row r="3" spans="1:7">
      <c r="B3" s="390"/>
    </row>
    <row r="4" spans="1:7">
      <c r="B4" s="391" t="s">
        <v>345</v>
      </c>
    </row>
    <row r="5" spans="1:7">
      <c r="B5" s="391" t="s">
        <v>350</v>
      </c>
    </row>
    <row r="6" spans="1:7">
      <c r="B6" s="391" t="s">
        <v>346</v>
      </c>
    </row>
    <row r="7" spans="1:7" ht="15.75" thickBot="1"/>
    <row r="8" spans="1:7" s="23" customFormat="1" ht="14.45" customHeight="1">
      <c r="A8" s="263"/>
      <c r="B8" s="641"/>
      <c r="C8" s="642"/>
      <c r="D8" s="642"/>
      <c r="E8" s="910"/>
      <c r="F8" s="910"/>
      <c r="G8" s="911"/>
    </row>
    <row r="9" spans="1:7" ht="30" customHeight="1">
      <c r="B9" s="643"/>
      <c r="C9" s="98"/>
      <c r="D9" s="98"/>
      <c r="E9" s="452"/>
      <c r="F9" s="448"/>
      <c r="G9" s="644" t="s">
        <v>146</v>
      </c>
    </row>
    <row r="10" spans="1:7" ht="78" customHeight="1">
      <c r="B10" s="645" t="s">
        <v>28</v>
      </c>
      <c r="C10" s="99" t="s">
        <v>139</v>
      </c>
      <c r="D10" s="24" t="s">
        <v>108</v>
      </c>
      <c r="E10" s="24" t="s">
        <v>58</v>
      </c>
      <c r="F10" s="24" t="s">
        <v>59</v>
      </c>
      <c r="G10" s="646" t="s">
        <v>60</v>
      </c>
    </row>
    <row r="11" spans="1:7" ht="15" hidden="1" customHeight="1">
      <c r="A11" s="371">
        <v>1</v>
      </c>
      <c r="B11" s="647" t="s">
        <v>29</v>
      </c>
      <c r="C11" s="26">
        <v>1</v>
      </c>
      <c r="D11" s="100">
        <v>2005</v>
      </c>
      <c r="E11" s="26">
        <v>86429.785999999993</v>
      </c>
      <c r="F11" s="26">
        <v>52</v>
      </c>
      <c r="G11" s="648">
        <v>86481.785989952798</v>
      </c>
    </row>
    <row r="12" spans="1:7" ht="15" hidden="1" customHeight="1">
      <c r="A12" s="371">
        <v>2</v>
      </c>
      <c r="B12" s="647" t="s">
        <v>29</v>
      </c>
      <c r="C12" s="26">
        <v>1</v>
      </c>
      <c r="D12" s="100">
        <v>2006</v>
      </c>
      <c r="E12" s="26">
        <v>90900.338000000003</v>
      </c>
      <c r="F12" s="26">
        <v>709</v>
      </c>
      <c r="G12" s="648">
        <v>91609.3375733664</v>
      </c>
    </row>
    <row r="13" spans="1:7" hidden="1">
      <c r="A13" s="371">
        <v>3</v>
      </c>
      <c r="B13" s="647" t="s">
        <v>29</v>
      </c>
      <c r="C13" s="26">
        <v>1</v>
      </c>
      <c r="D13" s="100">
        <v>2007</v>
      </c>
      <c r="E13" s="26">
        <v>94181.56</v>
      </c>
      <c r="F13" s="26">
        <v>747</v>
      </c>
      <c r="G13" s="648">
        <v>94928.560241518004</v>
      </c>
    </row>
    <row r="14" spans="1:7">
      <c r="A14" s="371">
        <v>4</v>
      </c>
      <c r="B14" s="647" t="s">
        <v>29</v>
      </c>
      <c r="C14" s="26">
        <v>1</v>
      </c>
      <c r="D14" s="100">
        <v>2008</v>
      </c>
      <c r="E14" s="26">
        <v>104543.03</v>
      </c>
      <c r="F14" s="26">
        <v>1284</v>
      </c>
      <c r="G14" s="648">
        <v>105827.028606084</v>
      </c>
    </row>
    <row r="15" spans="1:7">
      <c r="A15" s="371">
        <v>5</v>
      </c>
      <c r="B15" s="647" t="s">
        <v>29</v>
      </c>
      <c r="C15" s="26">
        <v>1</v>
      </c>
      <c r="D15" s="100">
        <v>2009</v>
      </c>
      <c r="E15" s="26">
        <v>115421.28</v>
      </c>
      <c r="F15" s="26">
        <v>891</v>
      </c>
      <c r="G15" s="649">
        <v>116312.27562408074</v>
      </c>
    </row>
    <row r="16" spans="1:7">
      <c r="A16" s="371">
        <v>6</v>
      </c>
      <c r="B16" s="647" t="s">
        <v>29</v>
      </c>
      <c r="C16" s="26">
        <v>1</v>
      </c>
      <c r="D16" s="100">
        <v>2010</v>
      </c>
      <c r="E16" s="26">
        <v>120291.39</v>
      </c>
      <c r="F16" s="26">
        <v>518</v>
      </c>
      <c r="G16" s="648">
        <v>120809.385450806</v>
      </c>
    </row>
    <row r="17" spans="1:7" ht="15" customHeight="1">
      <c r="A17" s="371">
        <v>7</v>
      </c>
      <c r="B17" s="647" t="s">
        <v>29</v>
      </c>
      <c r="C17" s="26">
        <v>1</v>
      </c>
      <c r="D17" s="100">
        <v>2011</v>
      </c>
      <c r="E17" s="26">
        <v>131457.91</v>
      </c>
      <c r="F17" s="26">
        <v>601</v>
      </c>
      <c r="G17" s="648">
        <v>132058.91</v>
      </c>
    </row>
    <row r="18" spans="1:7" ht="15" hidden="1" customHeight="1">
      <c r="A18" s="371">
        <v>8</v>
      </c>
      <c r="B18" s="647" t="s">
        <v>30</v>
      </c>
      <c r="C18" s="26">
        <v>2</v>
      </c>
      <c r="D18" s="100">
        <v>2005</v>
      </c>
      <c r="E18" s="26">
        <v>210574.79</v>
      </c>
      <c r="F18" s="26">
        <v>2.5</v>
      </c>
      <c r="G18" s="648">
        <v>210577.29</v>
      </c>
    </row>
    <row r="19" spans="1:7" ht="15" hidden="1" customHeight="1">
      <c r="A19" s="371">
        <v>9</v>
      </c>
      <c r="B19" s="647" t="s">
        <v>30</v>
      </c>
      <c r="C19" s="26">
        <v>2</v>
      </c>
      <c r="D19" s="100">
        <v>2006</v>
      </c>
      <c r="E19" s="26">
        <v>221824.51</v>
      </c>
      <c r="F19" s="26">
        <v>2</v>
      </c>
      <c r="G19" s="648">
        <v>221826.51</v>
      </c>
    </row>
    <row r="20" spans="1:7" hidden="1">
      <c r="A20" s="371">
        <v>10</v>
      </c>
      <c r="B20" s="647" t="s">
        <v>30</v>
      </c>
      <c r="C20" s="26">
        <v>2</v>
      </c>
      <c r="D20" s="100">
        <v>2007</v>
      </c>
      <c r="E20" s="26">
        <v>238931.58</v>
      </c>
      <c r="F20" s="26">
        <v>1.5</v>
      </c>
      <c r="G20" s="648">
        <v>238933.08</v>
      </c>
    </row>
    <row r="21" spans="1:7">
      <c r="A21" s="371">
        <v>11</v>
      </c>
      <c r="B21" s="647" t="s">
        <v>30</v>
      </c>
      <c r="C21" s="26">
        <v>2</v>
      </c>
      <c r="D21" s="100">
        <v>2008</v>
      </c>
      <c r="E21" s="26">
        <v>259760.82</v>
      </c>
      <c r="F21" s="26">
        <v>1</v>
      </c>
      <c r="G21" s="648">
        <v>259761.82</v>
      </c>
    </row>
    <row r="22" spans="1:7">
      <c r="A22" s="371">
        <v>12</v>
      </c>
      <c r="B22" s="647" t="s">
        <v>30</v>
      </c>
      <c r="C22" s="26">
        <v>2</v>
      </c>
      <c r="D22" s="100">
        <v>2009</v>
      </c>
      <c r="E22" s="26">
        <v>277953.02</v>
      </c>
      <c r="F22" s="26">
        <v>0.5</v>
      </c>
      <c r="G22" s="648">
        <v>277953.52</v>
      </c>
    </row>
    <row r="23" spans="1:7">
      <c r="A23" s="371">
        <v>13</v>
      </c>
      <c r="B23" s="647" t="s">
        <v>30</v>
      </c>
      <c r="C23" s="26">
        <v>2</v>
      </c>
      <c r="D23" s="100">
        <v>2010</v>
      </c>
      <c r="E23" s="26">
        <v>296258.36</v>
      </c>
      <c r="F23" s="26">
        <v>0</v>
      </c>
      <c r="G23" s="648">
        <v>296258.36</v>
      </c>
    </row>
    <row r="24" spans="1:7" ht="15" customHeight="1">
      <c r="A24" s="371">
        <v>14</v>
      </c>
      <c r="B24" s="647" t="s">
        <v>30</v>
      </c>
      <c r="C24" s="26">
        <v>2</v>
      </c>
      <c r="D24" s="100">
        <v>2011</v>
      </c>
      <c r="E24" s="26">
        <v>322180.40999999997</v>
      </c>
      <c r="F24" s="26">
        <v>0</v>
      </c>
      <c r="G24" s="648">
        <v>322180.40999999997</v>
      </c>
    </row>
    <row r="25" spans="1:7" ht="15" hidden="1" customHeight="1">
      <c r="A25" s="371">
        <v>15</v>
      </c>
      <c r="B25" s="647" t="s">
        <v>31</v>
      </c>
      <c r="C25" s="26">
        <v>3</v>
      </c>
      <c r="D25" s="100">
        <v>2005</v>
      </c>
      <c r="E25" s="26">
        <v>20631.531999999999</v>
      </c>
      <c r="F25" s="26">
        <v>1158</v>
      </c>
      <c r="G25" s="648">
        <v>21789.531999999999</v>
      </c>
    </row>
    <row r="26" spans="1:7" ht="15" hidden="1" customHeight="1">
      <c r="A26" s="371">
        <v>16</v>
      </c>
      <c r="B26" s="647" t="s">
        <v>31</v>
      </c>
      <c r="C26" s="26">
        <v>3</v>
      </c>
      <c r="D26" s="100">
        <v>2006</v>
      </c>
      <c r="E26" s="26">
        <v>21929.302</v>
      </c>
      <c r="F26" s="26">
        <v>1120</v>
      </c>
      <c r="G26" s="648">
        <v>23049.302</v>
      </c>
    </row>
    <row r="27" spans="1:7" hidden="1">
      <c r="A27" s="371">
        <v>17</v>
      </c>
      <c r="B27" s="647" t="s">
        <v>31</v>
      </c>
      <c r="C27" s="26">
        <v>3</v>
      </c>
      <c r="D27" s="100">
        <v>2007</v>
      </c>
      <c r="E27" s="26">
        <v>22278.883000000002</v>
      </c>
      <c r="F27" s="26">
        <v>1946</v>
      </c>
      <c r="G27" s="648">
        <v>24224.883000000002</v>
      </c>
    </row>
    <row r="28" spans="1:7">
      <c r="A28" s="371">
        <v>18</v>
      </c>
      <c r="B28" s="647" t="s">
        <v>31</v>
      </c>
      <c r="C28" s="26">
        <v>3</v>
      </c>
      <c r="D28" s="100">
        <v>2008</v>
      </c>
      <c r="E28" s="26">
        <v>23310.865000000002</v>
      </c>
      <c r="F28" s="26">
        <v>1862</v>
      </c>
      <c r="G28" s="648">
        <v>25172.865000000002</v>
      </c>
    </row>
    <row r="29" spans="1:7">
      <c r="A29" s="371">
        <v>19</v>
      </c>
      <c r="B29" s="647" t="s">
        <v>31</v>
      </c>
      <c r="C29" s="26">
        <v>3</v>
      </c>
      <c r="D29" s="100">
        <v>2009</v>
      </c>
      <c r="E29" s="26">
        <v>24207.045999999998</v>
      </c>
      <c r="F29" s="26">
        <v>2148</v>
      </c>
      <c r="G29" s="648">
        <v>26355.045999999998</v>
      </c>
    </row>
    <row r="30" spans="1:7">
      <c r="A30" s="371">
        <v>20</v>
      </c>
      <c r="B30" s="647" t="s">
        <v>31</v>
      </c>
      <c r="C30" s="26">
        <v>3</v>
      </c>
      <c r="D30" s="100">
        <v>2010</v>
      </c>
      <c r="E30" s="26">
        <v>24965.446</v>
      </c>
      <c r="F30" s="26">
        <v>2156</v>
      </c>
      <c r="G30" s="648">
        <v>27121.446</v>
      </c>
    </row>
    <row r="31" spans="1:7" ht="15" customHeight="1">
      <c r="A31" s="371">
        <v>21</v>
      </c>
      <c r="B31" s="647" t="s">
        <v>31</v>
      </c>
      <c r="C31" s="26">
        <v>3</v>
      </c>
      <c r="D31" s="100">
        <v>2011</v>
      </c>
      <c r="E31" s="26">
        <v>26402.278999999999</v>
      </c>
      <c r="F31" s="26">
        <v>2180.9389999999999</v>
      </c>
      <c r="G31" s="648">
        <v>28583.218000000001</v>
      </c>
    </row>
    <row r="32" spans="1:7" ht="15" hidden="1" customHeight="1">
      <c r="A32" s="371">
        <v>22</v>
      </c>
      <c r="B32" s="647" t="s">
        <v>32</v>
      </c>
      <c r="C32" s="26">
        <v>4</v>
      </c>
      <c r="D32" s="100">
        <v>2005</v>
      </c>
      <c r="E32" s="26">
        <v>32789.832000000002</v>
      </c>
      <c r="F32" s="26">
        <v>99</v>
      </c>
      <c r="G32" s="648">
        <v>32888.832000000002</v>
      </c>
    </row>
    <row r="33" spans="1:7" ht="15" hidden="1" customHeight="1">
      <c r="A33" s="371">
        <v>23</v>
      </c>
      <c r="B33" s="647" t="s">
        <v>32</v>
      </c>
      <c r="C33" s="26">
        <v>4</v>
      </c>
      <c r="D33" s="100">
        <v>2006</v>
      </c>
      <c r="E33" s="26">
        <v>33341.326000000001</v>
      </c>
      <c r="F33" s="26">
        <v>105</v>
      </c>
      <c r="G33" s="648">
        <v>33446.326000000001</v>
      </c>
    </row>
    <row r="34" spans="1:7" hidden="1">
      <c r="A34" s="371">
        <v>24</v>
      </c>
      <c r="B34" s="647" t="s">
        <v>32</v>
      </c>
      <c r="C34" s="26">
        <v>4</v>
      </c>
      <c r="D34" s="100">
        <v>2007</v>
      </c>
      <c r="E34" s="26">
        <v>35077.046999999999</v>
      </c>
      <c r="F34" s="26">
        <v>98</v>
      </c>
      <c r="G34" s="648">
        <v>35175.046999999999</v>
      </c>
    </row>
    <row r="35" spans="1:7">
      <c r="A35" s="371">
        <v>25</v>
      </c>
      <c r="B35" s="647" t="s">
        <v>32</v>
      </c>
      <c r="C35" s="26">
        <v>4</v>
      </c>
      <c r="D35" s="100">
        <v>2008</v>
      </c>
      <c r="E35" s="26">
        <v>37427.949999999997</v>
      </c>
      <c r="F35" s="26">
        <v>54</v>
      </c>
      <c r="G35" s="648">
        <v>37481.949999999997</v>
      </c>
    </row>
    <row r="36" spans="1:7">
      <c r="A36" s="371">
        <v>26</v>
      </c>
      <c r="B36" s="647" t="s">
        <v>32</v>
      </c>
      <c r="C36" s="26">
        <v>4</v>
      </c>
      <c r="D36" s="100">
        <v>2009</v>
      </c>
      <c r="E36" s="26">
        <v>41776.01</v>
      </c>
      <c r="F36" s="26">
        <v>57</v>
      </c>
      <c r="G36" s="648">
        <v>41833.01</v>
      </c>
    </row>
    <row r="37" spans="1:7">
      <c r="A37" s="371">
        <v>27</v>
      </c>
      <c r="B37" s="647" t="s">
        <v>32</v>
      </c>
      <c r="C37" s="26">
        <v>4</v>
      </c>
      <c r="D37" s="100">
        <v>2010</v>
      </c>
      <c r="E37" s="26">
        <v>43336.447</v>
      </c>
      <c r="F37" s="26">
        <v>92.045900000000003</v>
      </c>
      <c r="G37" s="648">
        <v>43428.493000000002</v>
      </c>
    </row>
    <row r="38" spans="1:7" ht="15" customHeight="1">
      <c r="A38" s="371">
        <v>28</v>
      </c>
      <c r="B38" s="647" t="s">
        <v>32</v>
      </c>
      <c r="C38" s="26">
        <v>4</v>
      </c>
      <c r="D38" s="100">
        <v>2011</v>
      </c>
      <c r="E38" s="26">
        <v>50421.135999999999</v>
      </c>
      <c r="F38" s="26">
        <v>446</v>
      </c>
      <c r="G38" s="648">
        <v>50867.135999999999</v>
      </c>
    </row>
    <row r="39" spans="1:7" ht="15" hidden="1" customHeight="1">
      <c r="A39" s="371">
        <v>29</v>
      </c>
      <c r="B39" s="647" t="s">
        <v>33</v>
      </c>
      <c r="C39" s="26">
        <v>5</v>
      </c>
      <c r="D39" s="100">
        <v>2005</v>
      </c>
      <c r="E39" s="26">
        <v>113176.43</v>
      </c>
      <c r="F39" s="26">
        <v>4767</v>
      </c>
      <c r="G39" s="648">
        <v>117943.43</v>
      </c>
    </row>
    <row r="40" spans="1:7" ht="15" hidden="1" customHeight="1">
      <c r="A40" s="371">
        <v>30</v>
      </c>
      <c r="B40" s="647" t="s">
        <v>33</v>
      </c>
      <c r="C40" s="26">
        <v>5</v>
      </c>
      <c r="D40" s="100">
        <v>2006</v>
      </c>
      <c r="E40" s="26">
        <v>123757.1</v>
      </c>
      <c r="F40" s="26">
        <v>5300</v>
      </c>
      <c r="G40" s="648">
        <v>129057.1</v>
      </c>
    </row>
    <row r="41" spans="1:7" hidden="1">
      <c r="A41" s="371">
        <v>31</v>
      </c>
      <c r="B41" s="647" t="s">
        <v>33</v>
      </c>
      <c r="C41" s="26">
        <v>5</v>
      </c>
      <c r="D41" s="100">
        <v>2007</v>
      </c>
      <c r="E41" s="26">
        <v>135032.60999999999</v>
      </c>
      <c r="F41" s="26">
        <v>9906</v>
      </c>
      <c r="G41" s="648">
        <v>144938.60999999999</v>
      </c>
    </row>
    <row r="42" spans="1:7">
      <c r="A42" s="371">
        <v>32</v>
      </c>
      <c r="B42" s="647" t="s">
        <v>33</v>
      </c>
      <c r="C42" s="26">
        <v>5</v>
      </c>
      <c r="D42" s="100">
        <v>2008</v>
      </c>
      <c r="E42" s="26">
        <v>143721.53</v>
      </c>
      <c r="F42" s="26">
        <v>17653</v>
      </c>
      <c r="G42" s="648">
        <v>161374.53</v>
      </c>
    </row>
    <row r="43" spans="1:7">
      <c r="A43" s="371">
        <v>33</v>
      </c>
      <c r="B43" s="647" t="s">
        <v>33</v>
      </c>
      <c r="C43" s="26">
        <v>5</v>
      </c>
      <c r="D43" s="100">
        <v>2009</v>
      </c>
      <c r="E43" s="26">
        <v>145262.98000000001</v>
      </c>
      <c r="F43" s="26">
        <v>20070</v>
      </c>
      <c r="G43" s="648">
        <v>165332.98000000001</v>
      </c>
    </row>
    <row r="44" spans="1:7">
      <c r="A44" s="371">
        <v>34</v>
      </c>
      <c r="B44" s="647" t="s">
        <v>33</v>
      </c>
      <c r="C44" s="26">
        <v>5</v>
      </c>
      <c r="D44" s="100">
        <v>2010</v>
      </c>
      <c r="E44" s="26">
        <v>152241.85</v>
      </c>
      <c r="F44" s="26">
        <v>20930.240000000002</v>
      </c>
      <c r="G44" s="648">
        <v>173172.09</v>
      </c>
    </row>
    <row r="45" spans="1:7" ht="15" customHeight="1">
      <c r="A45" s="371">
        <v>35</v>
      </c>
      <c r="B45" s="647" t="s">
        <v>33</v>
      </c>
      <c r="C45" s="26">
        <v>5</v>
      </c>
      <c r="D45" s="100">
        <v>2011</v>
      </c>
      <c r="E45" s="26">
        <v>163106.70000000001</v>
      </c>
      <c r="F45" s="26">
        <v>19984</v>
      </c>
      <c r="G45" s="648">
        <v>183090.7</v>
      </c>
    </row>
    <row r="46" spans="1:7" ht="15" hidden="1" customHeight="1">
      <c r="A46" s="371">
        <v>36</v>
      </c>
      <c r="B46" s="647" t="s">
        <v>34</v>
      </c>
      <c r="C46" s="26">
        <v>6</v>
      </c>
      <c r="D46" s="100">
        <v>2005</v>
      </c>
      <c r="E46" s="26">
        <v>90567.767000000007</v>
      </c>
      <c r="F46" s="26">
        <v>2698</v>
      </c>
      <c r="G46" s="648">
        <v>93265.767000000007</v>
      </c>
    </row>
    <row r="47" spans="1:7" ht="15" hidden="1" customHeight="1">
      <c r="A47" s="371">
        <v>37</v>
      </c>
      <c r="B47" s="647" t="s">
        <v>34</v>
      </c>
      <c r="C47" s="26">
        <v>6</v>
      </c>
      <c r="D47" s="100">
        <v>2006</v>
      </c>
      <c r="E47" s="26">
        <v>97605.868000000002</v>
      </c>
      <c r="F47" s="26">
        <v>2670</v>
      </c>
      <c r="G47" s="648">
        <v>100275.87</v>
      </c>
    </row>
    <row r="48" spans="1:7" hidden="1">
      <c r="A48" s="371">
        <v>38</v>
      </c>
      <c r="B48" s="647" t="s">
        <v>34</v>
      </c>
      <c r="C48" s="26">
        <v>6</v>
      </c>
      <c r="D48" s="100">
        <v>2007</v>
      </c>
      <c r="E48" s="26">
        <v>101081.17</v>
      </c>
      <c r="F48" s="26">
        <v>2564</v>
      </c>
      <c r="G48" s="648">
        <v>103645.17</v>
      </c>
    </row>
    <row r="49" spans="1:7">
      <c r="A49" s="371">
        <v>39</v>
      </c>
      <c r="B49" s="647" t="s">
        <v>34</v>
      </c>
      <c r="C49" s="26">
        <v>6</v>
      </c>
      <c r="D49" s="100">
        <v>2008</v>
      </c>
      <c r="E49" s="26">
        <v>103073.91</v>
      </c>
      <c r="F49" s="26">
        <v>2424</v>
      </c>
      <c r="G49" s="648">
        <v>105497.91</v>
      </c>
    </row>
    <row r="50" spans="1:7">
      <c r="A50" s="371">
        <v>40</v>
      </c>
      <c r="B50" s="647" t="s">
        <v>34</v>
      </c>
      <c r="C50" s="26">
        <v>6</v>
      </c>
      <c r="D50" s="100">
        <v>2009</v>
      </c>
      <c r="E50" s="26">
        <v>109260.53</v>
      </c>
      <c r="F50" s="26">
        <v>2579</v>
      </c>
      <c r="G50" s="648">
        <v>111839.53</v>
      </c>
    </row>
    <row r="51" spans="1:7">
      <c r="A51" s="371">
        <v>41</v>
      </c>
      <c r="B51" s="647" t="s">
        <v>34</v>
      </c>
      <c r="C51" s="26">
        <v>6</v>
      </c>
      <c r="D51" s="100">
        <v>2010</v>
      </c>
      <c r="E51" s="26">
        <v>112185.56</v>
      </c>
      <c r="F51" s="26">
        <v>3025</v>
      </c>
      <c r="G51" s="648">
        <v>115210.56</v>
      </c>
    </row>
    <row r="52" spans="1:7" ht="15" customHeight="1">
      <c r="A52" s="371">
        <v>42</v>
      </c>
      <c r="B52" s="647" t="s">
        <v>34</v>
      </c>
      <c r="C52" s="26">
        <v>6</v>
      </c>
      <c r="D52" s="100">
        <v>2011</v>
      </c>
      <c r="E52" s="26">
        <v>117404.58</v>
      </c>
      <c r="F52" s="26">
        <v>3223</v>
      </c>
      <c r="G52" s="648">
        <v>120627.58</v>
      </c>
    </row>
    <row r="53" spans="1:7" ht="15" hidden="1" customHeight="1">
      <c r="A53" s="371">
        <v>43</v>
      </c>
      <c r="B53" s="647" t="s">
        <v>35</v>
      </c>
      <c r="C53" s="26">
        <v>7</v>
      </c>
      <c r="D53" s="100">
        <v>2005</v>
      </c>
      <c r="E53" s="26">
        <v>104787.55</v>
      </c>
      <c r="F53" s="26">
        <v>3856</v>
      </c>
      <c r="G53" s="648">
        <v>108643.55</v>
      </c>
    </row>
    <row r="54" spans="1:7" ht="15" hidden="1" customHeight="1">
      <c r="A54" s="371">
        <v>44</v>
      </c>
      <c r="B54" s="647" t="s">
        <v>35</v>
      </c>
      <c r="C54" s="26">
        <v>7</v>
      </c>
      <c r="D54" s="100">
        <v>2006</v>
      </c>
      <c r="E54" s="26">
        <v>107535.41</v>
      </c>
      <c r="F54" s="26">
        <v>3593</v>
      </c>
      <c r="G54" s="648">
        <v>111128.41</v>
      </c>
    </row>
    <row r="55" spans="1:7" hidden="1">
      <c r="A55" s="371">
        <v>45</v>
      </c>
      <c r="B55" s="647" t="s">
        <v>35</v>
      </c>
      <c r="C55" s="26">
        <v>7</v>
      </c>
      <c r="D55" s="100">
        <v>2007</v>
      </c>
      <c r="E55" s="26">
        <v>110323.81</v>
      </c>
      <c r="F55" s="26">
        <v>4190</v>
      </c>
      <c r="G55" s="648">
        <v>114513.81</v>
      </c>
    </row>
    <row r="56" spans="1:7">
      <c r="A56" s="371">
        <v>46</v>
      </c>
      <c r="B56" s="647" t="s">
        <v>35</v>
      </c>
      <c r="C56" s="26">
        <v>7</v>
      </c>
      <c r="D56" s="100">
        <v>2008</v>
      </c>
      <c r="E56" s="26">
        <v>117564.72</v>
      </c>
      <c r="F56" s="26">
        <v>4827</v>
      </c>
      <c r="G56" s="648">
        <v>122391.72</v>
      </c>
    </row>
    <row r="57" spans="1:7">
      <c r="A57" s="371">
        <v>47</v>
      </c>
      <c r="B57" s="647" t="s">
        <v>35</v>
      </c>
      <c r="C57" s="26">
        <v>7</v>
      </c>
      <c r="D57" s="100">
        <v>2009</v>
      </c>
      <c r="E57" s="26">
        <v>124594.72</v>
      </c>
      <c r="F57" s="26">
        <v>5013</v>
      </c>
      <c r="G57" s="648">
        <v>129607.72</v>
      </c>
    </row>
    <row r="58" spans="1:7" ht="409.6">
      <c r="A58" s="371">
        <v>48</v>
      </c>
      <c r="B58" s="647" t="s">
        <v>35</v>
      </c>
      <c r="C58" s="26">
        <v>7</v>
      </c>
      <c r="D58" s="100">
        <v>2010</v>
      </c>
      <c r="E58" s="26">
        <v>127917.61</v>
      </c>
      <c r="F58" s="26">
        <v>4633</v>
      </c>
      <c r="G58" s="648">
        <v>132550.60999999999</v>
      </c>
    </row>
    <row r="59" spans="1:7" ht="15" customHeight="1">
      <c r="A59" s="371">
        <v>49</v>
      </c>
      <c r="B59" s="647" t="s">
        <v>35</v>
      </c>
      <c r="C59" s="26">
        <v>7</v>
      </c>
      <c r="D59" s="100">
        <v>2011</v>
      </c>
      <c r="E59" s="26">
        <v>130687.29</v>
      </c>
      <c r="F59" s="26">
        <v>2708</v>
      </c>
      <c r="G59" s="648">
        <v>133395.29</v>
      </c>
    </row>
    <row r="60" spans="1:7" ht="15" hidden="1" customHeight="1">
      <c r="A60" s="371">
        <v>50</v>
      </c>
      <c r="B60" s="647" t="s">
        <v>36</v>
      </c>
      <c r="C60" s="26">
        <v>8</v>
      </c>
      <c r="D60" s="100">
        <v>2005</v>
      </c>
      <c r="E60" s="26">
        <v>113680.77</v>
      </c>
      <c r="F60" s="26">
        <v>3133</v>
      </c>
      <c r="G60" s="648">
        <v>116813.77</v>
      </c>
    </row>
    <row r="61" spans="1:7" ht="15" hidden="1" customHeight="1">
      <c r="A61" s="371">
        <v>51</v>
      </c>
      <c r="B61" s="647" t="s">
        <v>36</v>
      </c>
      <c r="C61" s="26">
        <v>8</v>
      </c>
      <c r="D61" s="100">
        <v>2006</v>
      </c>
      <c r="E61" s="26">
        <v>122347.8</v>
      </c>
      <c r="F61" s="26">
        <v>3096</v>
      </c>
      <c r="G61" s="648">
        <v>125443.8</v>
      </c>
    </row>
    <row r="62" spans="1:7" ht="14.45" hidden="1">
      <c r="A62" s="371">
        <v>52</v>
      </c>
      <c r="B62" s="647" t="s">
        <v>36</v>
      </c>
      <c r="C62" s="26">
        <v>8</v>
      </c>
      <c r="D62" s="100">
        <v>2007</v>
      </c>
      <c r="E62" s="26">
        <v>130479.07</v>
      </c>
      <c r="F62" s="26">
        <v>3396</v>
      </c>
      <c r="G62" s="648">
        <v>133875.07</v>
      </c>
    </row>
    <row r="63" spans="1:7" ht="409.6">
      <c r="A63" s="371">
        <v>53</v>
      </c>
      <c r="B63" s="647" t="s">
        <v>36</v>
      </c>
      <c r="C63" s="26">
        <v>8</v>
      </c>
      <c r="D63" s="100">
        <v>2008</v>
      </c>
      <c r="E63" s="26">
        <v>139790.44</v>
      </c>
      <c r="F63" s="26">
        <v>3355</v>
      </c>
      <c r="G63" s="648">
        <v>143145.44</v>
      </c>
    </row>
    <row r="64" spans="1:7" ht="409.6">
      <c r="A64" s="371">
        <v>54</v>
      </c>
      <c r="B64" s="647" t="s">
        <v>36</v>
      </c>
      <c r="C64" s="26">
        <v>8</v>
      </c>
      <c r="D64" s="100">
        <v>2009</v>
      </c>
      <c r="E64" s="26">
        <v>151231.29999999999</v>
      </c>
      <c r="F64" s="26">
        <v>3486</v>
      </c>
      <c r="G64" s="648">
        <v>154717.29999999999</v>
      </c>
    </row>
    <row r="65" spans="1:7" ht="409.6">
      <c r="A65" s="371">
        <v>55</v>
      </c>
      <c r="B65" s="647" t="s">
        <v>36</v>
      </c>
      <c r="C65" s="26">
        <v>8</v>
      </c>
      <c r="D65" s="100">
        <v>2010</v>
      </c>
      <c r="E65" s="26">
        <v>162282.26999999999</v>
      </c>
      <c r="F65" s="26">
        <v>3534</v>
      </c>
      <c r="G65" s="648">
        <v>165816.26999999999</v>
      </c>
    </row>
    <row r="66" spans="1:7" ht="15" customHeight="1">
      <c r="A66" s="371">
        <v>56</v>
      </c>
      <c r="B66" s="647" t="s">
        <v>36</v>
      </c>
      <c r="C66" s="26">
        <v>8</v>
      </c>
      <c r="D66" s="100">
        <v>2011</v>
      </c>
      <c r="E66" s="26">
        <v>177702.98</v>
      </c>
      <c r="F66" s="26">
        <v>6423</v>
      </c>
      <c r="G66" s="648">
        <v>184125.98</v>
      </c>
    </row>
    <row r="67" spans="1:7" ht="15" hidden="1" customHeight="1">
      <c r="A67" s="371">
        <v>57</v>
      </c>
      <c r="B67" s="647" t="s">
        <v>37</v>
      </c>
      <c r="C67" s="26">
        <v>9</v>
      </c>
      <c r="D67" s="100">
        <v>2005</v>
      </c>
      <c r="E67" s="26">
        <v>46484.358</v>
      </c>
      <c r="F67" s="26">
        <v>520</v>
      </c>
      <c r="G67" s="648">
        <v>47004.358</v>
      </c>
    </row>
    <row r="68" spans="1:7" ht="15" hidden="1" customHeight="1">
      <c r="A68" s="371">
        <v>58</v>
      </c>
      <c r="B68" s="647" t="s">
        <v>37</v>
      </c>
      <c r="C68" s="26">
        <v>9</v>
      </c>
      <c r="D68" s="100">
        <v>2006</v>
      </c>
      <c r="E68" s="26">
        <v>48398.218000000001</v>
      </c>
      <c r="F68" s="26">
        <v>502</v>
      </c>
      <c r="G68" s="648">
        <v>48900.218000000001</v>
      </c>
    </row>
    <row r="69" spans="1:7" ht="14.45" hidden="1">
      <c r="A69" s="371">
        <v>59</v>
      </c>
      <c r="B69" s="647" t="s">
        <v>37</v>
      </c>
      <c r="C69" s="26">
        <v>9</v>
      </c>
      <c r="D69" s="100">
        <v>2007</v>
      </c>
      <c r="E69" s="26">
        <v>49745.599000000002</v>
      </c>
      <c r="F69" s="26">
        <v>516</v>
      </c>
      <c r="G69" s="648">
        <v>50261.599000000002</v>
      </c>
    </row>
    <row r="70" spans="1:7" ht="409.6">
      <c r="A70" s="371">
        <v>60</v>
      </c>
      <c r="B70" s="647" t="s">
        <v>37</v>
      </c>
      <c r="C70" s="26">
        <v>9</v>
      </c>
      <c r="D70" s="100">
        <v>2008</v>
      </c>
      <c r="E70" s="26">
        <v>51768.203000000001</v>
      </c>
      <c r="F70" s="26">
        <v>513</v>
      </c>
      <c r="G70" s="648">
        <v>52281.203000000001</v>
      </c>
    </row>
    <row r="71" spans="1:7" ht="409.6">
      <c r="A71" s="371">
        <v>61</v>
      </c>
      <c r="B71" s="647" t="s">
        <v>37</v>
      </c>
      <c r="C71" s="26">
        <v>9</v>
      </c>
      <c r="D71" s="100">
        <v>2009</v>
      </c>
      <c r="E71" s="26">
        <v>54271.381999999998</v>
      </c>
      <c r="F71" s="26">
        <v>436</v>
      </c>
      <c r="G71" s="648">
        <v>54707.381999999998</v>
      </c>
    </row>
    <row r="72" spans="1:7" ht="409.6">
      <c r="A72" s="371">
        <v>62</v>
      </c>
      <c r="B72" s="647" t="s">
        <v>37</v>
      </c>
      <c r="C72" s="26">
        <v>9</v>
      </c>
      <c r="D72" s="100">
        <v>2010</v>
      </c>
      <c r="E72" s="26">
        <v>56315.052000000003</v>
      </c>
      <c r="F72" s="26">
        <v>513</v>
      </c>
      <c r="G72" s="648">
        <v>56828.052000000003</v>
      </c>
    </row>
    <row r="73" spans="1:7" ht="15" customHeight="1">
      <c r="A73" s="371">
        <v>63</v>
      </c>
      <c r="B73" s="647" t="s">
        <v>37</v>
      </c>
      <c r="C73" s="26">
        <v>9</v>
      </c>
      <c r="D73" s="100">
        <v>2011</v>
      </c>
      <c r="E73" s="26">
        <v>59172.491999999998</v>
      </c>
      <c r="F73" s="26">
        <v>782</v>
      </c>
      <c r="G73" s="648">
        <v>59954.491999999998</v>
      </c>
    </row>
    <row r="74" spans="1:7" ht="15" hidden="1" customHeight="1">
      <c r="A74" s="371">
        <v>64</v>
      </c>
      <c r="B74" s="647" t="s">
        <v>38</v>
      </c>
      <c r="C74" s="26">
        <v>10</v>
      </c>
      <c r="D74" s="100">
        <v>2005</v>
      </c>
      <c r="E74" s="26">
        <v>77273.404999999999</v>
      </c>
      <c r="F74" s="26">
        <v>711</v>
      </c>
      <c r="G74" s="648">
        <v>77984.404999999999</v>
      </c>
    </row>
    <row r="75" spans="1:7" ht="15" hidden="1" customHeight="1">
      <c r="A75" s="371">
        <v>65</v>
      </c>
      <c r="B75" s="647" t="s">
        <v>38</v>
      </c>
      <c r="C75" s="26">
        <v>10</v>
      </c>
      <c r="D75" s="100">
        <v>2006</v>
      </c>
      <c r="E75" s="26">
        <v>79240.676000000007</v>
      </c>
      <c r="F75" s="26">
        <v>745</v>
      </c>
      <c r="G75" s="648">
        <v>79985.676000000007</v>
      </c>
    </row>
    <row r="76" spans="1:7" ht="14.45" hidden="1">
      <c r="A76" s="371">
        <v>66</v>
      </c>
      <c r="B76" s="647" t="s">
        <v>38</v>
      </c>
      <c r="C76" s="26">
        <v>10</v>
      </c>
      <c r="D76" s="100">
        <v>2007</v>
      </c>
      <c r="E76" s="26">
        <v>81196.712</v>
      </c>
      <c r="F76" s="26">
        <v>1416</v>
      </c>
      <c r="G76" s="648">
        <v>82612.712</v>
      </c>
    </row>
    <row r="77" spans="1:7" ht="409.6">
      <c r="A77" s="371">
        <v>67</v>
      </c>
      <c r="B77" s="647" t="s">
        <v>38</v>
      </c>
      <c r="C77" s="26">
        <v>10</v>
      </c>
      <c r="D77" s="100">
        <v>2008</v>
      </c>
      <c r="E77" s="26">
        <v>85658.251000000004</v>
      </c>
      <c r="F77" s="26">
        <v>727</v>
      </c>
      <c r="G77" s="648">
        <v>86385.251000000004</v>
      </c>
    </row>
    <row r="78" spans="1:7" ht="409.6">
      <c r="A78" s="371">
        <v>68</v>
      </c>
      <c r="B78" s="647" t="s">
        <v>38</v>
      </c>
      <c r="C78" s="26">
        <v>10</v>
      </c>
      <c r="D78" s="100">
        <v>2009</v>
      </c>
      <c r="E78" s="26">
        <v>87183.626000000004</v>
      </c>
      <c r="F78" s="26">
        <v>766</v>
      </c>
      <c r="G78" s="648">
        <v>87949.626000000004</v>
      </c>
    </row>
    <row r="79" spans="1:7" ht="409.6">
      <c r="A79" s="371">
        <v>69</v>
      </c>
      <c r="B79" s="647" t="s">
        <v>38</v>
      </c>
      <c r="C79" s="26">
        <v>10</v>
      </c>
      <c r="D79" s="100">
        <v>2010</v>
      </c>
      <c r="E79" s="26">
        <v>88452.388000000006</v>
      </c>
      <c r="F79" s="26">
        <v>662.75949000000003</v>
      </c>
      <c r="G79" s="648">
        <v>89115.146999999997</v>
      </c>
    </row>
    <row r="80" spans="1:7" ht="15" customHeight="1">
      <c r="A80" s="371">
        <v>70</v>
      </c>
      <c r="B80" s="647" t="s">
        <v>38</v>
      </c>
      <c r="C80" s="26">
        <v>10</v>
      </c>
      <c r="D80" s="100">
        <v>2011</v>
      </c>
      <c r="E80" s="26">
        <v>96611.539000000004</v>
      </c>
      <c r="F80" s="26">
        <v>697.62435000000005</v>
      </c>
      <c r="G80" s="648">
        <v>97309.163</v>
      </c>
    </row>
    <row r="81" spans="1:7" ht="15" hidden="1" customHeight="1">
      <c r="A81" s="371">
        <v>71</v>
      </c>
      <c r="B81" s="647" t="s">
        <v>39</v>
      </c>
      <c r="C81" s="26">
        <v>11</v>
      </c>
      <c r="D81" s="100">
        <v>2005</v>
      </c>
      <c r="E81" s="26">
        <v>125094.64</v>
      </c>
      <c r="F81" s="26">
        <v>939</v>
      </c>
      <c r="G81" s="648">
        <v>126033.64</v>
      </c>
    </row>
    <row r="82" spans="1:7" ht="15" hidden="1" customHeight="1">
      <c r="A82" s="371">
        <v>72</v>
      </c>
      <c r="B82" s="647" t="s">
        <v>39</v>
      </c>
      <c r="C82" s="26">
        <v>11</v>
      </c>
      <c r="D82" s="100">
        <v>2006</v>
      </c>
      <c r="E82" s="26">
        <v>137367.09</v>
      </c>
      <c r="F82" s="26">
        <v>1452</v>
      </c>
      <c r="G82" s="648">
        <v>138819.09</v>
      </c>
    </row>
    <row r="83" spans="1:7" ht="14.45" hidden="1">
      <c r="A83" s="371">
        <v>73</v>
      </c>
      <c r="B83" s="647" t="s">
        <v>39</v>
      </c>
      <c r="C83" s="26">
        <v>11</v>
      </c>
      <c r="D83" s="100">
        <v>2007</v>
      </c>
      <c r="E83" s="26">
        <v>146493.57</v>
      </c>
      <c r="F83" s="26">
        <v>1386</v>
      </c>
      <c r="G83" s="648">
        <v>147879.57</v>
      </c>
    </row>
    <row r="84" spans="1:7" ht="409.6">
      <c r="A84" s="371">
        <v>74</v>
      </c>
      <c r="B84" s="647" t="s">
        <v>39</v>
      </c>
      <c r="C84" s="26">
        <v>11</v>
      </c>
      <c r="D84" s="100">
        <v>2008</v>
      </c>
      <c r="E84" s="26">
        <v>159593.03</v>
      </c>
      <c r="F84" s="26">
        <v>1303</v>
      </c>
      <c r="G84" s="648">
        <v>160896.03</v>
      </c>
    </row>
    <row r="85" spans="1:7" ht="409.6">
      <c r="A85" s="371">
        <v>75</v>
      </c>
      <c r="B85" s="647" t="s">
        <v>39</v>
      </c>
      <c r="C85" s="26">
        <v>11</v>
      </c>
      <c r="D85" s="100">
        <v>2009</v>
      </c>
      <c r="E85" s="26">
        <v>173295.91</v>
      </c>
      <c r="F85" s="26">
        <v>1175</v>
      </c>
      <c r="G85" s="648">
        <v>174470.91</v>
      </c>
    </row>
    <row r="86" spans="1:7" ht="409.6">
      <c r="A86" s="371">
        <v>76</v>
      </c>
      <c r="B86" s="647" t="s">
        <v>39</v>
      </c>
      <c r="C86" s="26">
        <v>11</v>
      </c>
      <c r="D86" s="100">
        <v>2010</v>
      </c>
      <c r="E86" s="26">
        <v>180025.43</v>
      </c>
      <c r="F86" s="26">
        <v>1044</v>
      </c>
      <c r="G86" s="648">
        <v>181069.43</v>
      </c>
    </row>
    <row r="87" spans="1:7" ht="15" customHeight="1">
      <c r="A87" s="371">
        <v>77</v>
      </c>
      <c r="B87" s="647" t="s">
        <v>39</v>
      </c>
      <c r="C87" s="26">
        <v>11</v>
      </c>
      <c r="D87" s="100">
        <v>2011</v>
      </c>
      <c r="E87" s="26">
        <v>190637.67</v>
      </c>
      <c r="F87" s="26">
        <v>2058</v>
      </c>
      <c r="G87" s="648">
        <v>192695.67</v>
      </c>
    </row>
    <row r="88" spans="1:7" ht="15" hidden="1" customHeight="1">
      <c r="A88" s="371">
        <v>78</v>
      </c>
      <c r="B88" s="647" t="s">
        <v>40</v>
      </c>
      <c r="C88" s="26">
        <v>12</v>
      </c>
      <c r="D88" s="100">
        <v>2005</v>
      </c>
      <c r="E88" s="26">
        <v>104323.74</v>
      </c>
      <c r="F88" s="26">
        <v>7472</v>
      </c>
      <c r="G88" s="648">
        <v>111795.74</v>
      </c>
    </row>
    <row r="89" spans="1:7" ht="15" hidden="1" customHeight="1">
      <c r="A89" s="371">
        <v>79</v>
      </c>
      <c r="B89" s="647" t="s">
        <v>40</v>
      </c>
      <c r="C89" s="26">
        <v>12</v>
      </c>
      <c r="D89" s="100">
        <v>2006</v>
      </c>
      <c r="E89" s="26">
        <v>118373.75</v>
      </c>
      <c r="F89" s="26">
        <v>6909</v>
      </c>
      <c r="G89" s="648">
        <v>125282.75</v>
      </c>
    </row>
    <row r="90" spans="1:7" ht="14.45" hidden="1">
      <c r="A90" s="371">
        <v>80</v>
      </c>
      <c r="B90" s="647" t="s">
        <v>40</v>
      </c>
      <c r="C90" s="26">
        <v>12</v>
      </c>
      <c r="D90" s="100">
        <v>2007</v>
      </c>
      <c r="E90" s="26">
        <v>128406.55</v>
      </c>
      <c r="F90" s="26">
        <v>8172</v>
      </c>
      <c r="G90" s="648">
        <v>136578.54999999999</v>
      </c>
    </row>
    <row r="91" spans="1:7" ht="409.6">
      <c r="A91" s="371">
        <v>81</v>
      </c>
      <c r="B91" s="647" t="s">
        <v>40</v>
      </c>
      <c r="C91" s="26">
        <v>12</v>
      </c>
      <c r="D91" s="100">
        <v>2008</v>
      </c>
      <c r="E91" s="26">
        <v>141679.54999999999</v>
      </c>
      <c r="F91" s="26">
        <v>8917</v>
      </c>
      <c r="G91" s="648">
        <v>150596.54999999999</v>
      </c>
    </row>
    <row r="92" spans="1:7" ht="409.6">
      <c r="A92" s="371">
        <v>82</v>
      </c>
      <c r="B92" s="647" t="s">
        <v>40</v>
      </c>
      <c r="C92" s="26">
        <v>12</v>
      </c>
      <c r="D92" s="100">
        <v>2009</v>
      </c>
      <c r="E92" s="26">
        <v>155802.10999999999</v>
      </c>
      <c r="F92" s="26">
        <v>9625</v>
      </c>
      <c r="G92" s="648">
        <v>165427.10999999999</v>
      </c>
    </row>
    <row r="93" spans="1:7" ht="409.6">
      <c r="A93" s="371">
        <v>83</v>
      </c>
      <c r="B93" s="647" t="s">
        <v>40</v>
      </c>
      <c r="C93" s="26">
        <v>12</v>
      </c>
      <c r="D93" s="100">
        <v>2010</v>
      </c>
      <c r="E93" s="26">
        <v>165955.28</v>
      </c>
      <c r="F93" s="26">
        <v>9830.59</v>
      </c>
      <c r="G93" s="648">
        <v>175785.87</v>
      </c>
    </row>
    <row r="94" spans="1:7" ht="15" customHeight="1">
      <c r="A94" s="371">
        <v>84</v>
      </c>
      <c r="B94" s="647" t="s">
        <v>40</v>
      </c>
      <c r="C94" s="26">
        <v>12</v>
      </c>
      <c r="D94" s="100">
        <v>2011</v>
      </c>
      <c r="E94" s="26">
        <v>183709.05</v>
      </c>
      <c r="F94" s="26">
        <v>9639</v>
      </c>
      <c r="G94" s="648">
        <v>193348.05</v>
      </c>
    </row>
    <row r="95" spans="1:7" ht="15" hidden="1" customHeight="1">
      <c r="A95" s="371">
        <v>85</v>
      </c>
      <c r="B95" s="647" t="s">
        <v>41</v>
      </c>
      <c r="C95" s="26">
        <v>13</v>
      </c>
      <c r="D95" s="100">
        <v>2005</v>
      </c>
      <c r="E95" s="26">
        <v>20285.870999999999</v>
      </c>
      <c r="F95" s="26">
        <v>45.49586</v>
      </c>
      <c r="G95" s="648">
        <v>20331.366999999998</v>
      </c>
    </row>
    <row r="96" spans="1:7" ht="15" hidden="1" customHeight="1">
      <c r="A96" s="371">
        <v>86</v>
      </c>
      <c r="B96" s="647" t="s">
        <v>41</v>
      </c>
      <c r="C96" s="26">
        <v>13</v>
      </c>
      <c r="D96" s="100">
        <v>2006</v>
      </c>
      <c r="E96" s="26">
        <v>21991.115000000002</v>
      </c>
      <c r="F96" s="26">
        <v>59.900129999999997</v>
      </c>
      <c r="G96" s="648">
        <v>22051.014999999999</v>
      </c>
    </row>
    <row r="97" spans="1:7" ht="14.45" hidden="1">
      <c r="A97" s="371">
        <v>87</v>
      </c>
      <c r="B97" s="647" t="s">
        <v>41</v>
      </c>
      <c r="C97" s="26">
        <v>13</v>
      </c>
      <c r="D97" s="100">
        <v>2007</v>
      </c>
      <c r="E97" s="26">
        <v>22214.414000000001</v>
      </c>
      <c r="F97" s="26">
        <v>62.376089999999998</v>
      </c>
      <c r="G97" s="648">
        <v>22276.791000000001</v>
      </c>
    </row>
    <row r="98" spans="1:7" ht="409.6">
      <c r="A98" s="371">
        <v>88</v>
      </c>
      <c r="B98" s="647" t="s">
        <v>41</v>
      </c>
      <c r="C98" s="26">
        <v>13</v>
      </c>
      <c r="D98" s="100">
        <v>2008</v>
      </c>
      <c r="E98" s="26">
        <v>22731.129000000001</v>
      </c>
      <c r="F98" s="26">
        <v>51.945270000000001</v>
      </c>
      <c r="G98" s="648">
        <v>22783.075000000001</v>
      </c>
    </row>
    <row r="99" spans="1:7" ht="409.6">
      <c r="A99" s="371">
        <v>89</v>
      </c>
      <c r="B99" s="647" t="s">
        <v>41</v>
      </c>
      <c r="C99" s="26">
        <v>13</v>
      </c>
      <c r="D99" s="100">
        <v>2009</v>
      </c>
      <c r="E99" s="26">
        <v>23258.625</v>
      </c>
      <c r="F99" s="26">
        <v>212.80339000000001</v>
      </c>
      <c r="G99" s="648">
        <v>23471.428</v>
      </c>
    </row>
    <row r="100" spans="1:7" ht="409.6">
      <c r="A100" s="371">
        <v>90</v>
      </c>
      <c r="B100" s="647" t="s">
        <v>41</v>
      </c>
      <c r="C100" s="26">
        <v>13</v>
      </c>
      <c r="D100" s="100">
        <v>2010</v>
      </c>
      <c r="E100" s="26">
        <v>23707.094000000001</v>
      </c>
      <c r="F100" s="26">
        <v>258.52039000000002</v>
      </c>
      <c r="G100" s="648">
        <v>23965.615000000002</v>
      </c>
    </row>
    <row r="101" spans="1:7" ht="15" customHeight="1">
      <c r="A101" s="371">
        <v>91</v>
      </c>
      <c r="B101" s="647" t="s">
        <v>41</v>
      </c>
      <c r="C101" s="26">
        <v>13</v>
      </c>
      <c r="D101" s="100">
        <v>2011</v>
      </c>
      <c r="E101" s="26">
        <v>28360.746999999999</v>
      </c>
      <c r="F101" s="26">
        <v>244.14538999999999</v>
      </c>
      <c r="G101" s="648">
        <v>28604.892</v>
      </c>
    </row>
    <row r="102" spans="1:7" ht="15" hidden="1" customHeight="1">
      <c r="A102" s="371">
        <v>92</v>
      </c>
      <c r="B102" s="647" t="s">
        <v>42</v>
      </c>
      <c r="C102" s="26">
        <v>14</v>
      </c>
      <c r="D102" s="100">
        <v>2005</v>
      </c>
      <c r="E102" s="26">
        <v>116240.37</v>
      </c>
      <c r="F102" s="26">
        <v>951.09088999999994</v>
      </c>
      <c r="G102" s="648">
        <v>117191.47</v>
      </c>
    </row>
    <row r="103" spans="1:7" ht="15" hidden="1" customHeight="1">
      <c r="A103" s="371">
        <v>93</v>
      </c>
      <c r="B103" s="647" t="s">
        <v>42</v>
      </c>
      <c r="C103" s="26">
        <v>14</v>
      </c>
      <c r="D103" s="100">
        <v>2006</v>
      </c>
      <c r="E103" s="26">
        <v>122981.25</v>
      </c>
      <c r="F103" s="26">
        <v>2887.3038000000001</v>
      </c>
      <c r="G103" s="648">
        <v>125868.56</v>
      </c>
    </row>
    <row r="104" spans="1:7" ht="14.45" hidden="1">
      <c r="A104" s="371">
        <v>94</v>
      </c>
      <c r="B104" s="647" t="s">
        <v>42</v>
      </c>
      <c r="C104" s="26">
        <v>14</v>
      </c>
      <c r="D104" s="100">
        <v>2007</v>
      </c>
      <c r="E104" s="26">
        <v>130550.31</v>
      </c>
      <c r="F104" s="26">
        <v>2945.8225000000002</v>
      </c>
      <c r="G104" s="648">
        <v>133496.13</v>
      </c>
    </row>
    <row r="105" spans="1:7" ht="409.6">
      <c r="A105" s="371">
        <v>95</v>
      </c>
      <c r="B105" s="647" t="s">
        <v>42</v>
      </c>
      <c r="C105" s="26">
        <v>14</v>
      </c>
      <c r="D105" s="100">
        <v>2008</v>
      </c>
      <c r="E105" s="26">
        <v>136194.10999999999</v>
      </c>
      <c r="F105" s="26">
        <v>3063.3697000000002</v>
      </c>
      <c r="G105" s="648">
        <v>139257.48000000001</v>
      </c>
    </row>
    <row r="106" spans="1:7" ht="409.6">
      <c r="A106" s="371">
        <v>96</v>
      </c>
      <c r="B106" s="647" t="s">
        <v>42</v>
      </c>
      <c r="C106" s="26">
        <v>14</v>
      </c>
      <c r="D106" s="100">
        <v>2009</v>
      </c>
      <c r="E106" s="26">
        <v>140785.54999999999</v>
      </c>
      <c r="F106" s="26">
        <v>2963.2791999999999</v>
      </c>
      <c r="G106" s="648">
        <v>143748.82999999999</v>
      </c>
    </row>
    <row r="107" spans="1:7" ht="409.6">
      <c r="A107" s="371">
        <v>97</v>
      </c>
      <c r="B107" s="647" t="s">
        <v>42</v>
      </c>
      <c r="C107" s="26">
        <v>14</v>
      </c>
      <c r="D107" s="100">
        <v>2010</v>
      </c>
      <c r="E107" s="26">
        <v>143713.51</v>
      </c>
      <c r="F107" s="26">
        <v>2839.6307999999999</v>
      </c>
      <c r="G107" s="648">
        <v>146553.14000000001</v>
      </c>
    </row>
    <row r="108" spans="1:7" ht="15" customHeight="1">
      <c r="A108" s="371">
        <v>98</v>
      </c>
      <c r="B108" s="647" t="s">
        <v>42</v>
      </c>
      <c r="C108" s="26">
        <v>14</v>
      </c>
      <c r="D108" s="100">
        <v>2011</v>
      </c>
      <c r="E108" s="26">
        <v>150321.29999999999</v>
      </c>
      <c r="F108" s="26">
        <v>2864.4668999999999</v>
      </c>
      <c r="G108" s="648">
        <v>153185.76999999999</v>
      </c>
    </row>
    <row r="109" spans="1:7" ht="15" hidden="1" customHeight="1">
      <c r="A109" s="371">
        <v>99</v>
      </c>
      <c r="B109" s="647" t="s">
        <v>43</v>
      </c>
      <c r="C109" s="26">
        <v>15</v>
      </c>
      <c r="D109" s="100">
        <v>2005</v>
      </c>
      <c r="E109" s="26">
        <v>46805.279999999999</v>
      </c>
      <c r="F109" s="26">
        <v>56</v>
      </c>
      <c r="G109" s="648">
        <v>46861.279999999999</v>
      </c>
    </row>
    <row r="110" spans="1:7" ht="15" hidden="1" customHeight="1">
      <c r="A110" s="371">
        <v>100</v>
      </c>
      <c r="B110" s="647" t="s">
        <v>43</v>
      </c>
      <c r="C110" s="26">
        <v>15</v>
      </c>
      <c r="D110" s="100">
        <v>2006</v>
      </c>
      <c r="E110" s="26">
        <v>52549.915999999997</v>
      </c>
      <c r="F110" s="26">
        <v>473</v>
      </c>
      <c r="G110" s="648">
        <v>53022.915999999997</v>
      </c>
    </row>
    <row r="111" spans="1:7" ht="14.45" hidden="1">
      <c r="A111" s="371">
        <v>101</v>
      </c>
      <c r="B111" s="647" t="s">
        <v>43</v>
      </c>
      <c r="C111" s="26">
        <v>15</v>
      </c>
      <c r="D111" s="100">
        <v>2007</v>
      </c>
      <c r="E111" s="26">
        <v>57095.67</v>
      </c>
      <c r="F111" s="26">
        <v>390</v>
      </c>
      <c r="G111" s="648">
        <v>57485.67</v>
      </c>
    </row>
    <row r="112" spans="1:7" ht="409.6">
      <c r="A112" s="371">
        <v>102</v>
      </c>
      <c r="B112" s="647" t="s">
        <v>43</v>
      </c>
      <c r="C112" s="26">
        <v>15</v>
      </c>
      <c r="D112" s="100">
        <v>2008</v>
      </c>
      <c r="E112" s="26">
        <v>60613.703000000001</v>
      </c>
      <c r="F112" s="26">
        <v>296</v>
      </c>
      <c r="G112" s="648">
        <v>60909.703000000001</v>
      </c>
    </row>
    <row r="113" spans="1:7" ht="409.6">
      <c r="A113" s="371">
        <v>103</v>
      </c>
      <c r="B113" s="647" t="s">
        <v>43</v>
      </c>
      <c r="C113" s="26">
        <v>15</v>
      </c>
      <c r="D113" s="100">
        <v>2009</v>
      </c>
      <c r="E113" s="26">
        <v>63135.535000000003</v>
      </c>
      <c r="F113" s="26">
        <v>238</v>
      </c>
      <c r="G113" s="648">
        <v>63373.535000000003</v>
      </c>
    </row>
    <row r="114" spans="1:7" ht="409.6">
      <c r="A114" s="371">
        <v>104</v>
      </c>
      <c r="B114" s="647" t="s">
        <v>43</v>
      </c>
      <c r="C114" s="26">
        <v>15</v>
      </c>
      <c r="D114" s="100">
        <v>2010</v>
      </c>
      <c r="E114" s="26">
        <v>67184.611000000004</v>
      </c>
      <c r="F114" s="26">
        <v>223</v>
      </c>
      <c r="G114" s="648">
        <v>67407.611000000004</v>
      </c>
    </row>
    <row r="115" spans="1:7" ht="15" customHeight="1">
      <c r="A115" s="371">
        <v>105</v>
      </c>
      <c r="B115" s="647" t="s">
        <v>43</v>
      </c>
      <c r="C115" s="26">
        <v>15</v>
      </c>
      <c r="D115" s="100">
        <v>2011</v>
      </c>
      <c r="E115" s="26">
        <v>74387.563999999998</v>
      </c>
      <c r="F115" s="26">
        <v>173</v>
      </c>
      <c r="G115" s="648">
        <v>74560.563999999998</v>
      </c>
    </row>
    <row r="116" spans="1:7" ht="15" hidden="1" customHeight="1">
      <c r="A116" s="371">
        <v>106</v>
      </c>
      <c r="B116" s="647" t="s">
        <v>44</v>
      </c>
      <c r="C116" s="26">
        <v>16</v>
      </c>
      <c r="D116" s="100">
        <v>2005</v>
      </c>
      <c r="E116" s="26">
        <v>141767.49</v>
      </c>
      <c r="F116" s="26">
        <v>5409</v>
      </c>
      <c r="G116" s="648">
        <v>147176.49</v>
      </c>
    </row>
    <row r="117" spans="1:7" ht="15" hidden="1" customHeight="1">
      <c r="A117" s="371">
        <v>107</v>
      </c>
      <c r="B117" s="647" t="s">
        <v>44</v>
      </c>
      <c r="C117" s="26">
        <v>16</v>
      </c>
      <c r="D117" s="100">
        <v>2006</v>
      </c>
      <c r="E117" s="26">
        <v>152580.79</v>
      </c>
      <c r="F117" s="26">
        <v>7210</v>
      </c>
      <c r="G117" s="648">
        <v>159790.79</v>
      </c>
    </row>
    <row r="118" spans="1:7" ht="14.45" hidden="1">
      <c r="A118" s="371">
        <v>108</v>
      </c>
      <c r="B118" s="647" t="s">
        <v>44</v>
      </c>
      <c r="C118" s="26">
        <v>16</v>
      </c>
      <c r="D118" s="100">
        <v>2007</v>
      </c>
      <c r="E118" s="26">
        <v>160580.4</v>
      </c>
      <c r="F118" s="26">
        <v>7185</v>
      </c>
      <c r="G118" s="648">
        <v>167765.4</v>
      </c>
    </row>
    <row r="119" spans="1:7" ht="409.6">
      <c r="A119" s="371">
        <v>109</v>
      </c>
      <c r="B119" s="647" t="s">
        <v>44</v>
      </c>
      <c r="C119" s="26">
        <v>16</v>
      </c>
      <c r="D119" s="100">
        <v>2008</v>
      </c>
      <c r="E119" s="26">
        <v>175650.07</v>
      </c>
      <c r="F119" s="26">
        <v>9370</v>
      </c>
      <c r="G119" s="648">
        <v>185020.07</v>
      </c>
    </row>
    <row r="120" spans="1:7" ht="409.6">
      <c r="A120" s="371">
        <v>110</v>
      </c>
      <c r="B120" s="647" t="s">
        <v>44</v>
      </c>
      <c r="C120" s="26">
        <v>16</v>
      </c>
      <c r="D120" s="100">
        <v>2009</v>
      </c>
      <c r="E120" s="26">
        <v>186436.74</v>
      </c>
      <c r="F120" s="26">
        <v>9807</v>
      </c>
      <c r="G120" s="648">
        <v>196243.74</v>
      </c>
    </row>
    <row r="121" spans="1:7" ht="409.6">
      <c r="A121" s="371">
        <v>111</v>
      </c>
      <c r="B121" s="647" t="s">
        <v>44</v>
      </c>
      <c r="C121" s="26">
        <v>16</v>
      </c>
      <c r="D121" s="100">
        <v>2010</v>
      </c>
      <c r="E121" s="26">
        <v>194241.19</v>
      </c>
      <c r="F121" s="26">
        <v>10114</v>
      </c>
      <c r="G121" s="648">
        <v>204355.19</v>
      </c>
    </row>
    <row r="122" spans="1:7" ht="15" customHeight="1">
      <c r="A122" s="371">
        <v>112</v>
      </c>
      <c r="B122" s="647" t="s">
        <v>44</v>
      </c>
      <c r="C122" s="26">
        <v>16</v>
      </c>
      <c r="D122" s="100">
        <v>2011</v>
      </c>
      <c r="E122" s="26">
        <v>208632.41</v>
      </c>
      <c r="F122" s="26">
        <v>10628</v>
      </c>
      <c r="G122" s="648">
        <v>219260.41</v>
      </c>
    </row>
    <row r="123" spans="1:7" ht="15" hidden="1" customHeight="1">
      <c r="A123" s="371">
        <v>113</v>
      </c>
      <c r="B123" s="647" t="s">
        <v>45</v>
      </c>
      <c r="C123" s="26">
        <v>17</v>
      </c>
      <c r="D123" s="100">
        <v>2005</v>
      </c>
      <c r="E123" s="26">
        <v>608870.03</v>
      </c>
      <c r="F123" s="26">
        <v>14697</v>
      </c>
      <c r="G123" s="648">
        <v>623567.03</v>
      </c>
    </row>
    <row r="124" spans="1:7" ht="15" hidden="1" customHeight="1">
      <c r="A124" s="371">
        <v>114</v>
      </c>
      <c r="B124" s="647" t="s">
        <v>45</v>
      </c>
      <c r="C124" s="26">
        <v>17</v>
      </c>
      <c r="D124" s="100">
        <v>2006</v>
      </c>
      <c r="E124" s="26">
        <v>638412.78</v>
      </c>
      <c r="F124" s="26">
        <v>14455</v>
      </c>
      <c r="G124" s="648">
        <v>652867.78</v>
      </c>
    </row>
    <row r="125" spans="1:7" ht="14.45" hidden="1">
      <c r="A125" s="371">
        <v>115</v>
      </c>
      <c r="B125" s="647" t="s">
        <v>45</v>
      </c>
      <c r="C125" s="26">
        <v>17</v>
      </c>
      <c r="D125" s="100">
        <v>2007</v>
      </c>
      <c r="E125" s="26">
        <v>661150.15</v>
      </c>
      <c r="F125" s="26">
        <v>20853</v>
      </c>
      <c r="G125" s="648">
        <v>682003.15</v>
      </c>
    </row>
    <row r="126" spans="1:7" ht="409.6">
      <c r="A126" s="371">
        <v>116</v>
      </c>
      <c r="B126" s="647" t="s">
        <v>45</v>
      </c>
      <c r="C126" s="26">
        <v>17</v>
      </c>
      <c r="D126" s="100">
        <v>2008</v>
      </c>
      <c r="E126" s="26">
        <v>700546.69</v>
      </c>
      <c r="F126" s="26">
        <v>21176</v>
      </c>
      <c r="G126" s="648">
        <v>721722.69</v>
      </c>
    </row>
    <row r="127" spans="1:7" ht="409.6">
      <c r="A127" s="371">
        <v>117</v>
      </c>
      <c r="B127" s="647" t="s">
        <v>45</v>
      </c>
      <c r="C127" s="26">
        <v>17</v>
      </c>
      <c r="D127" s="100">
        <v>2009</v>
      </c>
      <c r="E127" s="26">
        <v>735765.36</v>
      </c>
      <c r="F127" s="26">
        <v>21226</v>
      </c>
      <c r="G127" s="648">
        <v>756991.36</v>
      </c>
    </row>
    <row r="128" spans="1:7" ht="409.6">
      <c r="A128" s="371">
        <v>118</v>
      </c>
      <c r="B128" s="647" t="s">
        <v>45</v>
      </c>
      <c r="C128" s="26">
        <v>17</v>
      </c>
      <c r="D128" s="100">
        <v>2010</v>
      </c>
      <c r="E128" s="26">
        <v>758142.89</v>
      </c>
      <c r="F128" s="26">
        <v>22943</v>
      </c>
      <c r="G128" s="648">
        <v>781085.89</v>
      </c>
    </row>
    <row r="129" spans="1:7" ht="15" customHeight="1">
      <c r="A129" s="371">
        <v>119</v>
      </c>
      <c r="B129" s="647" t="s">
        <v>45</v>
      </c>
      <c r="C129" s="26">
        <v>17</v>
      </c>
      <c r="D129" s="100">
        <v>2011</v>
      </c>
      <c r="E129" s="26">
        <f>E128</f>
        <v>758142.89</v>
      </c>
      <c r="F129" s="26">
        <f>F128</f>
        <v>22943</v>
      </c>
      <c r="G129" s="648">
        <f>G128*CPI!$I$54</f>
        <v>795797.94403007184</v>
      </c>
    </row>
    <row r="130" spans="1:7" ht="15" hidden="1" customHeight="1">
      <c r="A130" s="371">
        <v>120</v>
      </c>
      <c r="B130" s="647" t="s">
        <v>46</v>
      </c>
      <c r="C130" s="26">
        <v>18</v>
      </c>
      <c r="D130" s="100">
        <v>2005</v>
      </c>
      <c r="E130" s="26">
        <v>91984.53</v>
      </c>
      <c r="F130" s="26">
        <v>1181</v>
      </c>
      <c r="G130" s="648">
        <v>93165.53</v>
      </c>
    </row>
    <row r="131" spans="1:7" ht="15" hidden="1" customHeight="1">
      <c r="A131" s="371">
        <v>121</v>
      </c>
      <c r="B131" s="647" t="s">
        <v>46</v>
      </c>
      <c r="C131" s="26">
        <v>18</v>
      </c>
      <c r="D131" s="100">
        <v>2006</v>
      </c>
      <c r="E131" s="26">
        <v>95589.202999999994</v>
      </c>
      <c r="F131" s="26">
        <v>1140</v>
      </c>
      <c r="G131" s="648">
        <v>96729.202999999994</v>
      </c>
    </row>
    <row r="132" spans="1:7" ht="14.45" hidden="1">
      <c r="A132" s="371">
        <v>122</v>
      </c>
      <c r="B132" s="647" t="s">
        <v>46</v>
      </c>
      <c r="C132" s="26">
        <v>18</v>
      </c>
      <c r="D132" s="100">
        <v>2007</v>
      </c>
      <c r="E132" s="26">
        <v>99380.324999999997</v>
      </c>
      <c r="F132" s="26">
        <v>1174</v>
      </c>
      <c r="G132" s="648">
        <v>100554.32</v>
      </c>
    </row>
    <row r="133" spans="1:7" ht="409.6">
      <c r="A133" s="371">
        <v>123</v>
      </c>
      <c r="B133" s="647" t="s">
        <v>46</v>
      </c>
      <c r="C133" s="26">
        <v>18</v>
      </c>
      <c r="D133" s="100">
        <v>2008</v>
      </c>
      <c r="E133" s="26">
        <v>105874.8</v>
      </c>
      <c r="F133" s="26">
        <v>1129</v>
      </c>
      <c r="G133" s="648">
        <v>107003.8</v>
      </c>
    </row>
    <row r="134" spans="1:7" ht="409.6">
      <c r="A134" s="371">
        <v>124</v>
      </c>
      <c r="B134" s="647" t="s">
        <v>46</v>
      </c>
      <c r="C134" s="26">
        <v>18</v>
      </c>
      <c r="D134" s="100">
        <v>2009</v>
      </c>
      <c r="E134" s="26">
        <v>110837.59</v>
      </c>
      <c r="F134" s="26">
        <v>1477</v>
      </c>
      <c r="G134" s="648">
        <v>112314.59</v>
      </c>
    </row>
    <row r="135" spans="1:7" ht="409.6">
      <c r="A135" s="371">
        <v>125</v>
      </c>
      <c r="B135" s="647" t="s">
        <v>46</v>
      </c>
      <c r="C135" s="26">
        <v>18</v>
      </c>
      <c r="D135" s="100">
        <v>2010</v>
      </c>
      <c r="E135" s="26">
        <v>118960.9</v>
      </c>
      <c r="F135" s="26">
        <v>1406</v>
      </c>
      <c r="G135" s="648">
        <v>120366.9</v>
      </c>
    </row>
    <row r="136" spans="1:7" ht="15" customHeight="1">
      <c r="A136" s="371">
        <v>126</v>
      </c>
      <c r="B136" s="647" t="s">
        <v>46</v>
      </c>
      <c r="C136" s="26">
        <v>18</v>
      </c>
      <c r="D136" s="100">
        <v>2011</v>
      </c>
      <c r="E136" s="26">
        <v>127069.56</v>
      </c>
      <c r="F136" s="26">
        <v>1669</v>
      </c>
      <c r="G136" s="648">
        <v>128738.56</v>
      </c>
    </row>
    <row r="137" spans="1:7" ht="15" hidden="1" customHeight="1">
      <c r="A137" s="371">
        <v>127</v>
      </c>
      <c r="B137" s="647" t="s">
        <v>47</v>
      </c>
      <c r="C137" s="26">
        <v>19</v>
      </c>
      <c r="D137" s="100">
        <v>2005</v>
      </c>
      <c r="E137" s="26">
        <v>924868.88</v>
      </c>
      <c r="F137" s="26">
        <v>12104</v>
      </c>
      <c r="G137" s="648">
        <v>936972.88</v>
      </c>
    </row>
    <row r="138" spans="1:7" ht="15" hidden="1" customHeight="1">
      <c r="A138" s="371">
        <v>128</v>
      </c>
      <c r="B138" s="647" t="s">
        <v>47</v>
      </c>
      <c r="C138" s="26">
        <v>19</v>
      </c>
      <c r="D138" s="100">
        <v>2006</v>
      </c>
      <c r="E138" s="26">
        <v>969393.29</v>
      </c>
      <c r="F138" s="26">
        <v>12689</v>
      </c>
      <c r="G138" s="648">
        <v>982082.29</v>
      </c>
    </row>
    <row r="139" spans="1:7" ht="14.45" hidden="1">
      <c r="A139" s="371">
        <v>129</v>
      </c>
      <c r="B139" s="647" t="s">
        <v>47</v>
      </c>
      <c r="C139" s="26">
        <v>19</v>
      </c>
      <c r="D139" s="100">
        <v>2007</v>
      </c>
      <c r="E139" s="26">
        <v>1022526.2</v>
      </c>
      <c r="F139" s="26">
        <v>24543</v>
      </c>
      <c r="G139" s="648">
        <v>1047069.2</v>
      </c>
    </row>
    <row r="140" spans="1:7" ht="409.6">
      <c r="A140" s="371">
        <v>130</v>
      </c>
      <c r="B140" s="647" t="s">
        <v>47</v>
      </c>
      <c r="C140" s="26">
        <v>19</v>
      </c>
      <c r="D140" s="100">
        <v>2008</v>
      </c>
      <c r="E140" s="26">
        <v>1061140.8999999999</v>
      </c>
      <c r="F140" s="26">
        <v>21599</v>
      </c>
      <c r="G140" s="648">
        <v>1082739.8999999999</v>
      </c>
    </row>
    <row r="141" spans="1:7" ht="409.6">
      <c r="A141" s="371">
        <v>131</v>
      </c>
      <c r="B141" s="647" t="s">
        <v>47</v>
      </c>
      <c r="C141" s="26">
        <v>19</v>
      </c>
      <c r="D141" s="100">
        <v>2009</v>
      </c>
      <c r="E141" s="26">
        <v>1184645.8</v>
      </c>
      <c r="F141" s="26">
        <v>22807</v>
      </c>
      <c r="G141" s="648">
        <v>1207452.8</v>
      </c>
    </row>
    <row r="142" spans="1:7" ht="409.6">
      <c r="A142" s="371">
        <v>132</v>
      </c>
      <c r="B142" s="647" t="s">
        <v>47</v>
      </c>
      <c r="C142" s="26">
        <v>19</v>
      </c>
      <c r="D142" s="100">
        <v>2010</v>
      </c>
      <c r="E142" s="26">
        <v>1237527.7</v>
      </c>
      <c r="F142" s="26">
        <v>21192.560000000001</v>
      </c>
      <c r="G142" s="648">
        <v>1258720.3</v>
      </c>
    </row>
    <row r="143" spans="1:7" ht="15" customHeight="1">
      <c r="A143" s="371">
        <v>133</v>
      </c>
      <c r="B143" s="647" t="s">
        <v>47</v>
      </c>
      <c r="C143" s="26">
        <v>19</v>
      </c>
      <c r="D143" s="100">
        <v>2011</v>
      </c>
      <c r="E143" s="26">
        <v>1317655.7</v>
      </c>
      <c r="F143" s="26">
        <v>21305.200000000001</v>
      </c>
      <c r="G143" s="648">
        <v>1338960.8999999999</v>
      </c>
    </row>
    <row r="144" spans="1:7" ht="15" hidden="1" customHeight="1">
      <c r="A144" s="371">
        <v>134</v>
      </c>
      <c r="B144" s="647" t="s">
        <v>48</v>
      </c>
      <c r="C144" s="26">
        <v>20</v>
      </c>
      <c r="D144" s="100">
        <v>2005</v>
      </c>
      <c r="E144" s="26">
        <v>20890.428</v>
      </c>
      <c r="F144" s="26">
        <v>143</v>
      </c>
      <c r="G144" s="648">
        <v>21033.428</v>
      </c>
    </row>
    <row r="145" spans="1:7" ht="15" hidden="1" customHeight="1">
      <c r="A145" s="371">
        <v>135</v>
      </c>
      <c r="B145" s="647" t="s">
        <v>48</v>
      </c>
      <c r="C145" s="26">
        <v>20</v>
      </c>
      <c r="D145" s="100">
        <v>2006</v>
      </c>
      <c r="E145" s="26">
        <v>23030.89</v>
      </c>
      <c r="F145" s="26">
        <v>115</v>
      </c>
      <c r="G145" s="648">
        <v>23145.89</v>
      </c>
    </row>
    <row r="146" spans="1:7" ht="14.45" hidden="1">
      <c r="A146" s="371">
        <v>136</v>
      </c>
      <c r="B146" s="647" t="s">
        <v>48</v>
      </c>
      <c r="C146" s="26">
        <v>20</v>
      </c>
      <c r="D146" s="100">
        <v>2007</v>
      </c>
      <c r="E146" s="26">
        <v>24819.431</v>
      </c>
      <c r="F146" s="26">
        <v>221</v>
      </c>
      <c r="G146" s="648">
        <v>25040.431</v>
      </c>
    </row>
    <row r="147" spans="1:7" ht="409.6">
      <c r="A147" s="371">
        <v>137</v>
      </c>
      <c r="B147" s="647" t="s">
        <v>48</v>
      </c>
      <c r="C147" s="26">
        <v>20</v>
      </c>
      <c r="D147" s="100">
        <v>2008</v>
      </c>
      <c r="E147" s="26">
        <v>25805.936000000002</v>
      </c>
      <c r="F147" s="26">
        <v>220</v>
      </c>
      <c r="G147" s="648">
        <v>26025.936000000002</v>
      </c>
    </row>
    <row r="148" spans="1:7" ht="409.6">
      <c r="A148" s="371">
        <v>138</v>
      </c>
      <c r="B148" s="647" t="s">
        <v>48</v>
      </c>
      <c r="C148" s="26">
        <v>20</v>
      </c>
      <c r="D148" s="100">
        <v>2009</v>
      </c>
      <c r="E148" s="26">
        <v>26436.204000000002</v>
      </c>
      <c r="F148" s="26">
        <v>188</v>
      </c>
      <c r="G148" s="648">
        <v>26624.204000000002</v>
      </c>
    </row>
    <row r="149" spans="1:7" ht="409.6">
      <c r="A149" s="371">
        <v>139</v>
      </c>
      <c r="B149" s="647" t="s">
        <v>48</v>
      </c>
      <c r="C149" s="26">
        <v>20</v>
      </c>
      <c r="D149" s="100">
        <v>2010</v>
      </c>
      <c r="E149" s="26">
        <v>27130.223999999998</v>
      </c>
      <c r="F149" s="26">
        <v>93</v>
      </c>
      <c r="G149" s="648">
        <v>27223.223999999998</v>
      </c>
    </row>
    <row r="150" spans="1:7" ht="15" customHeight="1">
      <c r="A150" s="371">
        <v>140</v>
      </c>
      <c r="B150" s="647" t="s">
        <v>48</v>
      </c>
      <c r="C150" s="26">
        <v>20</v>
      </c>
      <c r="D150" s="100">
        <v>2011</v>
      </c>
      <c r="E150" s="26">
        <v>32862.057999999997</v>
      </c>
      <c r="F150" s="26">
        <v>42</v>
      </c>
      <c r="G150" s="648">
        <v>32904.057999999997</v>
      </c>
    </row>
    <row r="151" spans="1:7" ht="15" hidden="1" customHeight="1">
      <c r="A151" s="371">
        <v>141</v>
      </c>
      <c r="B151" s="647" t="s">
        <v>49</v>
      </c>
      <c r="C151" s="26">
        <v>21</v>
      </c>
      <c r="D151" s="100">
        <v>2005</v>
      </c>
      <c r="E151" s="26">
        <v>101920.23</v>
      </c>
      <c r="F151" s="26">
        <v>298</v>
      </c>
      <c r="G151" s="648">
        <v>102218.23</v>
      </c>
    </row>
    <row r="152" spans="1:7" ht="15" hidden="1" customHeight="1">
      <c r="A152" s="371">
        <v>142</v>
      </c>
      <c r="B152" s="647" t="s">
        <v>49</v>
      </c>
      <c r="C152" s="26">
        <v>21</v>
      </c>
      <c r="D152" s="100">
        <v>2006</v>
      </c>
      <c r="E152" s="26">
        <v>108063.52</v>
      </c>
      <c r="F152" s="26">
        <v>535</v>
      </c>
      <c r="G152" s="648">
        <v>108598.52</v>
      </c>
    </row>
    <row r="153" spans="1:7" ht="14.45" hidden="1">
      <c r="A153" s="371">
        <v>143</v>
      </c>
      <c r="B153" s="647" t="s">
        <v>49</v>
      </c>
      <c r="C153" s="26">
        <v>21</v>
      </c>
      <c r="D153" s="100">
        <v>2007</v>
      </c>
      <c r="E153" s="26">
        <v>113475.25</v>
      </c>
      <c r="F153" s="26">
        <v>754</v>
      </c>
      <c r="G153" s="648">
        <v>114229.25</v>
      </c>
    </row>
    <row r="154" spans="1:7" ht="409.6">
      <c r="A154" s="371">
        <v>144</v>
      </c>
      <c r="B154" s="647" t="s">
        <v>49</v>
      </c>
      <c r="C154" s="26">
        <v>21</v>
      </c>
      <c r="D154" s="100">
        <v>2008</v>
      </c>
      <c r="E154" s="26">
        <v>128749.21</v>
      </c>
      <c r="F154" s="26">
        <v>868</v>
      </c>
      <c r="G154" s="648">
        <v>129617.21</v>
      </c>
    </row>
    <row r="155" spans="1:7" ht="409.6">
      <c r="A155" s="371">
        <v>145</v>
      </c>
      <c r="B155" s="647" t="s">
        <v>49</v>
      </c>
      <c r="C155" s="26">
        <v>21</v>
      </c>
      <c r="D155" s="100">
        <v>2009</v>
      </c>
      <c r="E155" s="26">
        <v>136679.22</v>
      </c>
      <c r="F155" s="26">
        <v>684</v>
      </c>
      <c r="G155" s="648">
        <v>137363.22</v>
      </c>
    </row>
    <row r="156" spans="1:7" ht="409.6">
      <c r="A156" s="371">
        <v>146</v>
      </c>
      <c r="B156" s="647" t="s">
        <v>49</v>
      </c>
      <c r="C156" s="26">
        <v>21</v>
      </c>
      <c r="D156" s="100">
        <v>2010</v>
      </c>
      <c r="E156" s="26">
        <v>144060.51999999999</v>
      </c>
      <c r="F156" s="26">
        <v>591</v>
      </c>
      <c r="G156" s="648">
        <v>144651.51999999999</v>
      </c>
    </row>
    <row r="157" spans="1:7" ht="15" customHeight="1">
      <c r="A157" s="371">
        <v>147</v>
      </c>
      <c r="B157" s="647" t="s">
        <v>49</v>
      </c>
      <c r="C157" s="26">
        <v>21</v>
      </c>
      <c r="D157" s="100">
        <v>2011</v>
      </c>
      <c r="E157" s="26">
        <v>151246</v>
      </c>
      <c r="F157" s="26">
        <v>560</v>
      </c>
      <c r="G157" s="648">
        <v>151806</v>
      </c>
    </row>
    <row r="158" spans="1:7" ht="15" hidden="1" customHeight="1">
      <c r="A158" s="371">
        <v>148</v>
      </c>
      <c r="B158" s="647" t="s">
        <v>50</v>
      </c>
      <c r="C158" s="26">
        <v>22</v>
      </c>
      <c r="D158" s="100">
        <v>2005</v>
      </c>
      <c r="E158" s="26">
        <v>220080.39</v>
      </c>
      <c r="F158" s="26">
        <v>1048</v>
      </c>
      <c r="G158" s="648">
        <v>221128.39</v>
      </c>
    </row>
    <row r="159" spans="1:7" ht="15" hidden="1" customHeight="1">
      <c r="A159" s="371">
        <v>149</v>
      </c>
      <c r="B159" s="647" t="s">
        <v>50</v>
      </c>
      <c r="C159" s="26">
        <v>22</v>
      </c>
      <c r="D159" s="100">
        <v>2006</v>
      </c>
      <c r="E159" s="26">
        <v>225508.29</v>
      </c>
      <c r="F159" s="26">
        <v>1011</v>
      </c>
      <c r="G159" s="648">
        <v>226519.29</v>
      </c>
    </row>
    <row r="160" spans="1:7" ht="14.45" hidden="1">
      <c r="A160" s="371">
        <v>150</v>
      </c>
      <c r="B160" s="647" t="s">
        <v>50</v>
      </c>
      <c r="C160" s="26">
        <v>22</v>
      </c>
      <c r="D160" s="100">
        <v>2007</v>
      </c>
      <c r="E160" s="26">
        <v>235028.85</v>
      </c>
      <c r="F160" s="26">
        <v>1043</v>
      </c>
      <c r="G160" s="648">
        <v>236071.85</v>
      </c>
    </row>
    <row r="161" spans="1:7" ht="409.6">
      <c r="A161" s="371">
        <v>151</v>
      </c>
      <c r="B161" s="647" t="s">
        <v>50</v>
      </c>
      <c r="C161" s="26">
        <v>22</v>
      </c>
      <c r="D161" s="100">
        <v>2008</v>
      </c>
      <c r="E161" s="26">
        <v>249002.72</v>
      </c>
      <c r="F161" s="26">
        <v>1042</v>
      </c>
      <c r="G161" s="648">
        <v>250044.72</v>
      </c>
    </row>
    <row r="162" spans="1:7" ht="409.6">
      <c r="A162" s="371">
        <v>152</v>
      </c>
      <c r="B162" s="647" t="s">
        <v>50</v>
      </c>
      <c r="C162" s="26">
        <v>22</v>
      </c>
      <c r="D162" s="100">
        <v>2009</v>
      </c>
      <c r="E162" s="26">
        <v>260798.47</v>
      </c>
      <c r="F162" s="26">
        <v>1770</v>
      </c>
      <c r="G162" s="648">
        <v>262568.46999999997</v>
      </c>
    </row>
    <row r="163" spans="1:7" ht="409.6">
      <c r="A163" s="371">
        <v>153</v>
      </c>
      <c r="B163" s="647" t="s">
        <v>50</v>
      </c>
      <c r="C163" s="26">
        <v>22</v>
      </c>
      <c r="D163" s="100">
        <v>2010</v>
      </c>
      <c r="E163" s="26">
        <v>280188.75</v>
      </c>
      <c r="F163" s="26">
        <v>2098</v>
      </c>
      <c r="G163" s="648">
        <v>282286.75</v>
      </c>
    </row>
    <row r="164" spans="1:7" ht="15" customHeight="1">
      <c r="A164" s="371">
        <v>154</v>
      </c>
      <c r="B164" s="647" t="s">
        <v>50</v>
      </c>
      <c r="C164" s="26">
        <v>22</v>
      </c>
      <c r="D164" s="100">
        <v>2011</v>
      </c>
      <c r="E164" s="26">
        <v>292962.01</v>
      </c>
      <c r="F164" s="26">
        <v>1578</v>
      </c>
      <c r="G164" s="648">
        <v>294540.01</v>
      </c>
    </row>
    <row r="165" spans="1:7" ht="15" hidden="1" customHeight="1">
      <c r="A165" s="371">
        <v>155</v>
      </c>
      <c r="B165" s="647" t="s">
        <v>142</v>
      </c>
      <c r="C165" s="26">
        <v>23</v>
      </c>
      <c r="D165" s="100">
        <v>2005</v>
      </c>
      <c r="E165" s="26">
        <v>99795.93</v>
      </c>
      <c r="F165" s="26">
        <v>2275</v>
      </c>
      <c r="G165" s="648">
        <v>102070.93</v>
      </c>
    </row>
    <row r="166" spans="1:7" ht="15" hidden="1" customHeight="1">
      <c r="A166" s="371">
        <v>156</v>
      </c>
      <c r="B166" s="647" t="s">
        <v>142</v>
      </c>
      <c r="C166" s="26">
        <v>23</v>
      </c>
      <c r="D166" s="100">
        <v>2006</v>
      </c>
      <c r="E166" s="26">
        <v>104813.9</v>
      </c>
      <c r="F166" s="26">
        <v>2237</v>
      </c>
      <c r="G166" s="648">
        <v>107050.9</v>
      </c>
    </row>
    <row r="167" spans="1:7" ht="14.45" hidden="1">
      <c r="A167" s="371">
        <v>157</v>
      </c>
      <c r="B167" s="647" t="s">
        <v>142</v>
      </c>
      <c r="C167" s="26">
        <v>23</v>
      </c>
      <c r="D167" s="100">
        <v>2007</v>
      </c>
      <c r="E167" s="26">
        <v>110769.15</v>
      </c>
      <c r="F167" s="26">
        <v>2236</v>
      </c>
      <c r="G167" s="648">
        <v>113005.15</v>
      </c>
    </row>
    <row r="168" spans="1:7" ht="409.6">
      <c r="A168" s="371">
        <v>158</v>
      </c>
      <c r="B168" s="647" t="s">
        <v>142</v>
      </c>
      <c r="C168" s="26">
        <v>23</v>
      </c>
      <c r="D168" s="100">
        <v>2008</v>
      </c>
      <c r="E168" s="26">
        <v>117225.01</v>
      </c>
      <c r="F168" s="26">
        <v>2079</v>
      </c>
      <c r="G168" s="648">
        <v>119304.01</v>
      </c>
    </row>
    <row r="169" spans="1:7" ht="409.6">
      <c r="A169" s="371">
        <v>159</v>
      </c>
      <c r="B169" s="647" t="s">
        <v>142</v>
      </c>
      <c r="C169" s="26">
        <v>23</v>
      </c>
      <c r="D169" s="100">
        <v>2009</v>
      </c>
      <c r="E169" s="26">
        <v>127426.83</v>
      </c>
      <c r="F169" s="26">
        <v>2023</v>
      </c>
      <c r="G169" s="648">
        <v>129449.83</v>
      </c>
    </row>
    <row r="170" spans="1:7" ht="409.6">
      <c r="A170" s="371">
        <v>160</v>
      </c>
      <c r="B170" s="647" t="s">
        <v>142</v>
      </c>
      <c r="C170" s="26">
        <v>23</v>
      </c>
      <c r="D170" s="100">
        <v>2010</v>
      </c>
      <c r="E170" s="26">
        <v>132252.63</v>
      </c>
      <c r="F170" s="26">
        <v>1877</v>
      </c>
      <c r="G170" s="648">
        <v>134129.63</v>
      </c>
    </row>
    <row r="171" spans="1:7" ht="15" customHeight="1">
      <c r="A171" s="371">
        <v>161</v>
      </c>
      <c r="B171" s="647" t="s">
        <v>142</v>
      </c>
      <c r="C171" s="26">
        <v>23</v>
      </c>
      <c r="D171" s="100">
        <v>2011</v>
      </c>
      <c r="E171" s="26">
        <v>143974</v>
      </c>
      <c r="F171" s="26">
        <v>1864</v>
      </c>
      <c r="G171" s="648">
        <v>145838</v>
      </c>
    </row>
    <row r="172" spans="1:7" ht="15" hidden="1" customHeight="1">
      <c r="A172" s="371">
        <v>162</v>
      </c>
      <c r="B172" s="647" t="s">
        <v>52</v>
      </c>
      <c r="C172" s="26">
        <v>24</v>
      </c>
      <c r="D172" s="100">
        <v>2005</v>
      </c>
      <c r="E172" s="26">
        <v>293097.52</v>
      </c>
      <c r="F172" s="26">
        <v>9830</v>
      </c>
      <c r="G172" s="648">
        <v>302927.52</v>
      </c>
    </row>
    <row r="173" spans="1:7" ht="15" hidden="1" customHeight="1">
      <c r="A173" s="371">
        <v>163</v>
      </c>
      <c r="B173" s="647" t="s">
        <v>52</v>
      </c>
      <c r="C173" s="26">
        <v>24</v>
      </c>
      <c r="D173" s="100">
        <v>2006</v>
      </c>
      <c r="E173" s="26">
        <v>319856.57</v>
      </c>
      <c r="F173" s="26">
        <v>10415</v>
      </c>
      <c r="G173" s="648">
        <v>330271.57</v>
      </c>
    </row>
    <row r="174" spans="1:7" ht="14.45" hidden="1">
      <c r="A174" s="371">
        <v>164</v>
      </c>
      <c r="B174" s="647" t="s">
        <v>52</v>
      </c>
      <c r="C174" s="26">
        <v>24</v>
      </c>
      <c r="D174" s="100">
        <v>2007</v>
      </c>
      <c r="E174" s="26">
        <v>329561.45</v>
      </c>
      <c r="F174" s="26">
        <v>14085</v>
      </c>
      <c r="G174" s="648">
        <v>343646.45</v>
      </c>
    </row>
    <row r="175" spans="1:7" ht="409.6">
      <c r="A175" s="371">
        <v>165</v>
      </c>
      <c r="B175" s="647" t="s">
        <v>52</v>
      </c>
      <c r="C175" s="26">
        <v>24</v>
      </c>
      <c r="D175" s="100">
        <v>2008</v>
      </c>
      <c r="E175" s="26">
        <v>364508.21</v>
      </c>
      <c r="F175" s="26">
        <v>14571</v>
      </c>
      <c r="G175" s="648">
        <v>379079.21</v>
      </c>
    </row>
    <row r="176" spans="1:7" ht="409.6">
      <c r="A176" s="371">
        <v>166</v>
      </c>
      <c r="B176" s="647" t="s">
        <v>52</v>
      </c>
      <c r="C176" s="26">
        <v>24</v>
      </c>
      <c r="D176" s="100">
        <v>2009</v>
      </c>
      <c r="E176" s="26">
        <v>392177.14</v>
      </c>
      <c r="F176" s="26">
        <v>13949</v>
      </c>
      <c r="G176" s="648">
        <v>406126.14</v>
      </c>
    </row>
    <row r="177" spans="1:7" ht="409.6">
      <c r="A177" s="371">
        <v>167</v>
      </c>
      <c r="B177" s="647" t="s">
        <v>52</v>
      </c>
      <c r="C177" s="26">
        <v>24</v>
      </c>
      <c r="D177" s="100">
        <v>2010</v>
      </c>
      <c r="E177" s="26">
        <v>429278.45</v>
      </c>
      <c r="F177" s="26">
        <v>14657.905000000001</v>
      </c>
      <c r="G177" s="648">
        <v>443936.35</v>
      </c>
    </row>
    <row r="178" spans="1:7" ht="15" customHeight="1">
      <c r="A178" s="371">
        <v>168</v>
      </c>
      <c r="B178" s="647" t="s">
        <v>52</v>
      </c>
      <c r="C178" s="26">
        <v>24</v>
      </c>
      <c r="D178" s="100">
        <v>2011</v>
      </c>
      <c r="E178" s="26">
        <v>457260.35</v>
      </c>
      <c r="F178" s="26">
        <v>19450.346000000001</v>
      </c>
      <c r="G178" s="648">
        <v>476710.7</v>
      </c>
    </row>
    <row r="179" spans="1:7" ht="15" hidden="1" customHeight="1">
      <c r="A179" s="371">
        <v>169</v>
      </c>
      <c r="B179" s="647" t="s">
        <v>53</v>
      </c>
      <c r="C179" s="26">
        <v>25</v>
      </c>
      <c r="D179" s="100">
        <v>2005</v>
      </c>
      <c r="E179" s="26">
        <v>1963659.8</v>
      </c>
      <c r="F179" s="26">
        <v>29467</v>
      </c>
      <c r="G179" s="648">
        <v>1993126.8</v>
      </c>
    </row>
    <row r="180" spans="1:7" ht="15" hidden="1" customHeight="1">
      <c r="A180" s="371">
        <v>170</v>
      </c>
      <c r="B180" s="647" t="s">
        <v>53</v>
      </c>
      <c r="C180" s="26">
        <v>25</v>
      </c>
      <c r="D180" s="100">
        <v>2006</v>
      </c>
      <c r="E180" s="26">
        <v>2098036.9</v>
      </c>
      <c r="F180" s="26">
        <v>23538</v>
      </c>
      <c r="G180" s="648">
        <v>2121574.9</v>
      </c>
    </row>
    <row r="181" spans="1:7" ht="14.45" hidden="1">
      <c r="A181" s="371">
        <v>171</v>
      </c>
      <c r="B181" s="647" t="s">
        <v>53</v>
      </c>
      <c r="C181" s="26">
        <v>25</v>
      </c>
      <c r="D181" s="100">
        <v>2007</v>
      </c>
      <c r="E181" s="26">
        <v>2195934.2999999998</v>
      </c>
      <c r="F181" s="26">
        <v>12023</v>
      </c>
      <c r="G181" s="648">
        <v>2207957.2999999998</v>
      </c>
    </row>
    <row r="182" spans="1:7" ht="409.6">
      <c r="A182" s="371">
        <v>172</v>
      </c>
      <c r="B182" s="647" t="s">
        <v>53</v>
      </c>
      <c r="C182" s="26">
        <v>25</v>
      </c>
      <c r="D182" s="100">
        <v>2008</v>
      </c>
      <c r="E182" s="26">
        <v>2386398.1</v>
      </c>
      <c r="F182" s="26">
        <v>15347</v>
      </c>
      <c r="G182" s="648">
        <v>2401745.1</v>
      </c>
    </row>
    <row r="183" spans="1:7" ht="409.6">
      <c r="A183" s="371">
        <v>173</v>
      </c>
      <c r="B183" s="647" t="s">
        <v>53</v>
      </c>
      <c r="C183" s="26">
        <v>25</v>
      </c>
      <c r="D183" s="100">
        <v>2009</v>
      </c>
      <c r="E183" s="26">
        <v>2053888</v>
      </c>
      <c r="F183" s="26">
        <v>13861.527</v>
      </c>
      <c r="G183" s="648">
        <v>2067749.6</v>
      </c>
    </row>
    <row r="184" spans="1:7" ht="409.6">
      <c r="A184" s="371">
        <v>174</v>
      </c>
      <c r="B184" s="647" t="s">
        <v>53</v>
      </c>
      <c r="C184" s="26">
        <v>25</v>
      </c>
      <c r="D184" s="100">
        <v>2010</v>
      </c>
      <c r="E184" s="26">
        <v>2155954.1</v>
      </c>
      <c r="F184" s="26">
        <v>11739.58</v>
      </c>
      <c r="G184" s="648">
        <v>2167693.7000000002</v>
      </c>
    </row>
    <row r="185" spans="1:7" ht="15" customHeight="1">
      <c r="A185" s="371">
        <v>175</v>
      </c>
      <c r="B185" s="647" t="s">
        <v>53</v>
      </c>
      <c r="C185" s="26">
        <v>25</v>
      </c>
      <c r="D185" s="100">
        <v>2011</v>
      </c>
      <c r="E185" s="26">
        <v>2307445.1</v>
      </c>
      <c r="F185" s="26">
        <v>20825.580000000002</v>
      </c>
      <c r="G185" s="648">
        <v>2328270.6</v>
      </c>
    </row>
    <row r="186" spans="1:7" ht="15" hidden="1" customHeight="1">
      <c r="A186" s="371">
        <v>176</v>
      </c>
      <c r="B186" s="647" t="s">
        <v>54</v>
      </c>
      <c r="C186" s="26">
        <v>26</v>
      </c>
      <c r="D186" s="100">
        <v>2005</v>
      </c>
      <c r="E186" s="26">
        <v>59192.118000000002</v>
      </c>
      <c r="F186" s="26">
        <v>947.29</v>
      </c>
      <c r="G186" s="648">
        <v>60139.408000000003</v>
      </c>
    </row>
    <row r="187" spans="1:7" ht="15" hidden="1" customHeight="1">
      <c r="A187" s="371">
        <v>177</v>
      </c>
      <c r="B187" s="647" t="s">
        <v>54</v>
      </c>
      <c r="C187" s="26">
        <v>26</v>
      </c>
      <c r="D187" s="100">
        <v>2006</v>
      </c>
      <c r="E187" s="26">
        <v>63155.993999999999</v>
      </c>
      <c r="F187" s="26">
        <v>939.30899999999997</v>
      </c>
      <c r="G187" s="648">
        <v>64095.303</v>
      </c>
    </row>
    <row r="188" spans="1:7" ht="14.45" hidden="1">
      <c r="A188" s="371">
        <v>178</v>
      </c>
      <c r="B188" s="647" t="s">
        <v>54</v>
      </c>
      <c r="C188" s="26">
        <v>26</v>
      </c>
      <c r="D188" s="100">
        <v>2007</v>
      </c>
      <c r="E188" s="26">
        <v>68161.936000000002</v>
      </c>
      <c r="F188" s="26">
        <v>1186.7471</v>
      </c>
      <c r="G188" s="648">
        <v>69348.683000000005</v>
      </c>
    </row>
    <row r="189" spans="1:7" ht="409.6">
      <c r="A189" s="371">
        <v>179</v>
      </c>
      <c r="B189" s="647" t="s">
        <v>54</v>
      </c>
      <c r="C189" s="26">
        <v>26</v>
      </c>
      <c r="D189" s="100">
        <v>2008</v>
      </c>
      <c r="E189" s="26">
        <v>72485.596999999994</v>
      </c>
      <c r="F189" s="26">
        <v>1187.1393</v>
      </c>
      <c r="G189" s="648">
        <v>73672.736000000004</v>
      </c>
    </row>
    <row r="190" spans="1:7" ht="409.6">
      <c r="A190" s="371">
        <v>180</v>
      </c>
      <c r="B190" s="647" t="s">
        <v>54</v>
      </c>
      <c r="C190" s="26">
        <v>26</v>
      </c>
      <c r="D190" s="100">
        <v>2009</v>
      </c>
      <c r="E190" s="26">
        <v>76536.403999999995</v>
      </c>
      <c r="F190" s="26">
        <v>1166.7653</v>
      </c>
      <c r="G190" s="648">
        <v>77703.168999999994</v>
      </c>
    </row>
    <row r="191" spans="1:7" ht="409.6">
      <c r="A191" s="371">
        <v>181</v>
      </c>
      <c r="B191" s="647" t="s">
        <v>54</v>
      </c>
      <c r="C191" s="26">
        <v>26</v>
      </c>
      <c r="D191" s="100">
        <v>2010</v>
      </c>
      <c r="E191" s="26">
        <v>78533.945999999996</v>
      </c>
      <c r="F191" s="26">
        <v>1111.6643999999999</v>
      </c>
      <c r="G191" s="648">
        <v>79645.61</v>
      </c>
    </row>
    <row r="192" spans="1:7" ht="15" customHeight="1">
      <c r="A192" s="371">
        <v>182</v>
      </c>
      <c r="B192" s="647" t="s">
        <v>54</v>
      </c>
      <c r="C192" s="26">
        <v>26</v>
      </c>
      <c r="D192" s="100">
        <v>2011</v>
      </c>
      <c r="E192" s="26">
        <v>82681.880999999994</v>
      </c>
      <c r="F192" s="26">
        <v>2319.3730999999998</v>
      </c>
      <c r="G192" s="648">
        <v>85001.254000000001</v>
      </c>
    </row>
    <row r="193" spans="1:7" ht="15" hidden="1" customHeight="1">
      <c r="A193" s="371">
        <v>183</v>
      </c>
      <c r="B193" s="647" t="s">
        <v>55</v>
      </c>
      <c r="C193" s="26">
        <v>27</v>
      </c>
      <c r="D193" s="100">
        <v>2005</v>
      </c>
      <c r="E193" s="26">
        <v>202162.09</v>
      </c>
      <c r="F193" s="26">
        <v>2801.8769000000002</v>
      </c>
      <c r="G193" s="648">
        <v>204963.97</v>
      </c>
    </row>
    <row r="194" spans="1:7" ht="15" hidden="1" customHeight="1">
      <c r="A194" s="371">
        <v>184</v>
      </c>
      <c r="B194" s="647" t="s">
        <v>55</v>
      </c>
      <c r="C194" s="26">
        <v>27</v>
      </c>
      <c r="D194" s="100">
        <v>2006</v>
      </c>
      <c r="E194" s="26">
        <v>224523.4</v>
      </c>
      <c r="F194" s="26">
        <v>3111.9436999999998</v>
      </c>
      <c r="G194" s="648">
        <v>227635.34</v>
      </c>
    </row>
    <row r="195" spans="1:7" ht="14.45" hidden="1">
      <c r="A195" s="371">
        <v>185</v>
      </c>
      <c r="B195" s="647" t="s">
        <v>55</v>
      </c>
      <c r="C195" s="26">
        <v>27</v>
      </c>
      <c r="D195" s="100">
        <v>2007</v>
      </c>
      <c r="E195" s="26">
        <v>250252.99</v>
      </c>
      <c r="F195" s="26">
        <v>4395.2784000000001</v>
      </c>
      <c r="G195" s="648">
        <v>254648.27</v>
      </c>
    </row>
    <row r="196" spans="1:7" ht="409.6">
      <c r="A196" s="371">
        <v>186</v>
      </c>
      <c r="B196" s="647" t="s">
        <v>55</v>
      </c>
      <c r="C196" s="26">
        <v>27</v>
      </c>
      <c r="D196" s="100">
        <v>2008</v>
      </c>
      <c r="E196" s="26">
        <v>278979.68</v>
      </c>
      <c r="F196" s="26">
        <v>5118.2857000000004</v>
      </c>
      <c r="G196" s="648">
        <v>284097.96999999997</v>
      </c>
    </row>
    <row r="197" spans="1:7" ht="409.6">
      <c r="A197" s="371">
        <v>187</v>
      </c>
      <c r="B197" s="647" t="s">
        <v>55</v>
      </c>
      <c r="C197" s="26">
        <v>27</v>
      </c>
      <c r="D197" s="100">
        <v>2009</v>
      </c>
      <c r="E197" s="26">
        <v>301186.46999999997</v>
      </c>
      <c r="F197" s="26">
        <v>7083.2191000000003</v>
      </c>
      <c r="G197" s="648">
        <v>308269.69</v>
      </c>
    </row>
    <row r="198" spans="1:7" ht="409.6">
      <c r="A198" s="371">
        <v>188</v>
      </c>
      <c r="B198" s="647" t="s">
        <v>55</v>
      </c>
      <c r="C198" s="26">
        <v>27</v>
      </c>
      <c r="D198" s="100">
        <v>2010</v>
      </c>
      <c r="E198" s="26">
        <v>315918.52</v>
      </c>
      <c r="F198" s="26">
        <v>8224.5233000000007</v>
      </c>
      <c r="G198" s="648">
        <v>324143.03999999998</v>
      </c>
    </row>
    <row r="199" spans="1:7" ht="15" customHeight="1">
      <c r="A199" s="371">
        <v>189</v>
      </c>
      <c r="B199" s="647" t="s">
        <v>55</v>
      </c>
      <c r="C199" s="26">
        <v>27</v>
      </c>
      <c r="D199" s="100">
        <v>2011</v>
      </c>
      <c r="E199" s="26">
        <v>367098.37</v>
      </c>
      <c r="F199" s="26">
        <v>12241.563</v>
      </c>
      <c r="G199" s="648">
        <v>379339.94</v>
      </c>
    </row>
    <row r="200" spans="1:7" ht="15" hidden="1" customHeight="1">
      <c r="A200" s="371">
        <v>190</v>
      </c>
      <c r="B200" s="647" t="s">
        <v>56</v>
      </c>
      <c r="C200" s="26">
        <v>28</v>
      </c>
      <c r="D200" s="100">
        <v>2005</v>
      </c>
      <c r="E200" s="26">
        <v>0</v>
      </c>
      <c r="F200" s="26">
        <v>0</v>
      </c>
      <c r="G200" s="648">
        <v>0</v>
      </c>
    </row>
    <row r="201" spans="1:7" ht="15" hidden="1" customHeight="1">
      <c r="A201" s="371">
        <v>191</v>
      </c>
      <c r="B201" s="647" t="s">
        <v>56</v>
      </c>
      <c r="C201" s="26">
        <v>28</v>
      </c>
      <c r="D201" s="100">
        <v>2006</v>
      </c>
      <c r="E201" s="26">
        <v>0</v>
      </c>
      <c r="F201" s="26">
        <v>0</v>
      </c>
      <c r="G201" s="648">
        <v>0</v>
      </c>
    </row>
    <row r="202" spans="1:7" ht="14.45" hidden="1">
      <c r="A202" s="371">
        <v>192</v>
      </c>
      <c r="B202" s="647" t="s">
        <v>56</v>
      </c>
      <c r="C202" s="26">
        <v>28</v>
      </c>
      <c r="D202" s="100">
        <v>2007</v>
      </c>
      <c r="E202" s="26">
        <v>0</v>
      </c>
      <c r="F202" s="26">
        <v>0</v>
      </c>
      <c r="G202" s="648">
        <v>0</v>
      </c>
    </row>
    <row r="203" spans="1:7" ht="409.6">
      <c r="A203" s="371">
        <v>193</v>
      </c>
      <c r="B203" s="647" t="s">
        <v>56</v>
      </c>
      <c r="C203" s="26">
        <v>28</v>
      </c>
      <c r="D203" s="100">
        <v>2008</v>
      </c>
      <c r="E203" s="26">
        <v>0</v>
      </c>
      <c r="F203" s="26">
        <v>0</v>
      </c>
      <c r="G203" s="648">
        <v>0</v>
      </c>
    </row>
    <row r="204" spans="1:7" ht="409.6">
      <c r="A204" s="371">
        <v>194</v>
      </c>
      <c r="B204" s="647" t="s">
        <v>56</v>
      </c>
      <c r="C204" s="26">
        <v>28</v>
      </c>
      <c r="D204" s="100">
        <v>2009</v>
      </c>
      <c r="E204" s="26">
        <v>456218.39</v>
      </c>
      <c r="F204" s="26">
        <v>572</v>
      </c>
      <c r="G204" s="648">
        <v>456790.39</v>
      </c>
    </row>
    <row r="205" spans="1:7" ht="409.6">
      <c r="A205" s="371">
        <v>195</v>
      </c>
      <c r="B205" s="647" t="s">
        <v>56</v>
      </c>
      <c r="C205" s="26">
        <v>28</v>
      </c>
      <c r="D205" s="100">
        <v>2010</v>
      </c>
      <c r="E205" s="26">
        <v>469106.09</v>
      </c>
      <c r="F205" s="26">
        <v>17065.918000000001</v>
      </c>
      <c r="G205" s="648">
        <v>486172.01</v>
      </c>
    </row>
    <row r="206" spans="1:7" ht="15" customHeight="1">
      <c r="A206" s="371">
        <v>196</v>
      </c>
      <c r="B206" s="647" t="s">
        <v>56</v>
      </c>
      <c r="C206" s="26">
        <v>28</v>
      </c>
      <c r="D206" s="100">
        <v>2011</v>
      </c>
      <c r="E206" s="26">
        <v>514637.15</v>
      </c>
      <c r="F206" s="26">
        <v>13702.136</v>
      </c>
      <c r="G206" s="648">
        <v>528339.29</v>
      </c>
    </row>
    <row r="207" spans="1:7" ht="15" hidden="1" customHeight="1">
      <c r="A207" s="371">
        <v>197</v>
      </c>
      <c r="B207" s="647" t="s">
        <v>57</v>
      </c>
      <c r="C207" s="26">
        <v>29</v>
      </c>
      <c r="D207" s="100">
        <v>2005</v>
      </c>
      <c r="E207" s="26">
        <v>71484.52</v>
      </c>
      <c r="F207" s="26">
        <v>248</v>
      </c>
      <c r="G207" s="648">
        <v>71732.52</v>
      </c>
    </row>
    <row r="208" spans="1:7" ht="15" hidden="1" customHeight="1">
      <c r="A208" s="371">
        <v>198</v>
      </c>
      <c r="B208" s="647" t="s">
        <v>57</v>
      </c>
      <c r="C208" s="26">
        <v>29</v>
      </c>
      <c r="D208" s="100">
        <v>2006</v>
      </c>
      <c r="E208" s="26">
        <v>80922.84</v>
      </c>
      <c r="F208" s="26">
        <v>203</v>
      </c>
      <c r="G208" s="648">
        <v>81125.84</v>
      </c>
    </row>
    <row r="209" spans="1:7" ht="14.45" hidden="1">
      <c r="A209" s="371">
        <v>199</v>
      </c>
      <c r="B209" s="647" t="s">
        <v>57</v>
      </c>
      <c r="C209" s="26">
        <v>29</v>
      </c>
      <c r="D209" s="100">
        <v>2007</v>
      </c>
      <c r="E209" s="26">
        <v>82923.718999999997</v>
      </c>
      <c r="F209" s="26">
        <v>729</v>
      </c>
      <c r="G209" s="648">
        <v>83652.718999999997</v>
      </c>
    </row>
    <row r="210" spans="1:7" ht="409.6">
      <c r="A210" s="371">
        <v>200</v>
      </c>
      <c r="B210" s="647" t="s">
        <v>57</v>
      </c>
      <c r="C210" s="26">
        <v>29</v>
      </c>
      <c r="D210" s="100">
        <v>2008</v>
      </c>
      <c r="E210" s="26">
        <v>95377.210999999996</v>
      </c>
      <c r="F210" s="26">
        <v>650</v>
      </c>
      <c r="G210" s="648">
        <v>96027.210999999996</v>
      </c>
    </row>
    <row r="211" spans="1:7" ht="409.6">
      <c r="A211" s="371">
        <v>201</v>
      </c>
      <c r="B211" s="647" t="s">
        <v>57</v>
      </c>
      <c r="C211" s="26">
        <v>29</v>
      </c>
      <c r="D211" s="100">
        <v>2009</v>
      </c>
      <c r="E211" s="26">
        <v>102407.29</v>
      </c>
      <c r="F211" s="26">
        <v>543</v>
      </c>
      <c r="G211" s="648">
        <v>102950.29</v>
      </c>
    </row>
    <row r="212" spans="1:7" ht="409.6">
      <c r="A212" s="371">
        <v>202</v>
      </c>
      <c r="B212" s="647" t="s">
        <v>57</v>
      </c>
      <c r="C212" s="26">
        <v>29</v>
      </c>
      <c r="D212" s="100">
        <v>2010</v>
      </c>
      <c r="E212" s="26">
        <v>108052.07</v>
      </c>
      <c r="F212" s="26">
        <v>457</v>
      </c>
      <c r="G212" s="648">
        <v>108509.07</v>
      </c>
    </row>
    <row r="213" spans="1:7" thickBot="1">
      <c r="A213" s="371">
        <v>203</v>
      </c>
      <c r="B213" s="650" t="s">
        <v>57</v>
      </c>
      <c r="C213" s="651">
        <v>29</v>
      </c>
      <c r="D213" s="652">
        <v>2011</v>
      </c>
      <c r="E213" s="651">
        <v>114657.46</v>
      </c>
      <c r="F213" s="651">
        <v>388</v>
      </c>
      <c r="G213" s="653">
        <v>115045.46</v>
      </c>
    </row>
    <row r="214" spans="1:7" s="371" customFormat="1" ht="14.45" hidden="1">
      <c r="A214" s="371">
        <v>1</v>
      </c>
      <c r="B214" s="371">
        <f t="shared" ref="B214:D214" si="0">A214+1</f>
        <v>2</v>
      </c>
      <c r="C214" s="371">
        <f t="shared" si="0"/>
        <v>3</v>
      </c>
      <c r="D214" s="371">
        <f t="shared" si="0"/>
        <v>4</v>
      </c>
      <c r="E214" s="371">
        <f t="shared" ref="E214" si="1">D214+1</f>
        <v>5</v>
      </c>
      <c r="F214" s="371">
        <f t="shared" ref="F214" si="2">E214+1</f>
        <v>6</v>
      </c>
      <c r="G214" s="371">
        <f t="shared" ref="G214" si="3">F214+1</f>
        <v>7</v>
      </c>
    </row>
  </sheetData>
  <sheetProtection password="80F5" sheet="1" objects="1" scenarios="1" formatCells="0" formatColumns="0" formatRows="0"/>
  <autoFilter ref="A10:G214">
    <filterColumn colId="3">
      <filters>
        <filter val="2008"/>
        <filter val="2009"/>
        <filter val="2010"/>
        <filter val="2011"/>
      </filters>
    </filterColumn>
  </autoFilter>
  <mergeCells count="1">
    <mergeCell ref="E8:G8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theme="0" tint="-0.499984740745262"/>
  </sheetPr>
  <dimension ref="A2:AM249"/>
  <sheetViews>
    <sheetView showGridLines="0" zoomScale="70" zoomScaleNormal="70" workbookViewId="0">
      <pane xSplit="3" ySplit="12" topLeftCell="D13" activePane="bottomRight" state="frozen"/>
      <selection activeCell="V3" sqref="V3"/>
      <selection pane="topRight" activeCell="V3" sqref="V3"/>
      <selection pane="bottomLeft" activeCell="V3" sqref="V3"/>
      <selection pane="bottomRight"/>
    </sheetView>
  </sheetViews>
  <sheetFormatPr defaultColWidth="8.85546875" defaultRowHeight="15"/>
  <cols>
    <col min="1" max="1" width="3.7109375" style="371" customWidth="1"/>
    <col min="2" max="2" width="24.28515625" style="284" customWidth="1"/>
    <col min="3" max="3" width="10.140625" style="284" customWidth="1"/>
    <col min="4" max="4" width="15.28515625" style="31" customWidth="1"/>
    <col min="5" max="5" width="14.28515625" style="281" customWidth="1"/>
    <col min="6" max="6" width="12.42578125" style="31" customWidth="1"/>
    <col min="7" max="7" width="12.5703125" style="281" customWidth="1"/>
    <col min="8" max="8" width="15.5703125" style="31" customWidth="1"/>
    <col min="9" max="9" width="13.42578125" style="31" customWidth="1"/>
    <col min="10" max="10" width="13.85546875" style="31" customWidth="1"/>
    <col min="11" max="11" width="11" style="31" customWidth="1"/>
    <col min="12" max="12" width="15.85546875" style="281" customWidth="1"/>
    <col min="13" max="13" width="15" style="31" customWidth="1"/>
    <col min="14" max="14" width="14" style="281" customWidth="1"/>
    <col min="15" max="15" width="15.28515625" style="281" customWidth="1"/>
    <col min="16" max="16" width="15.140625" style="281" customWidth="1"/>
    <col min="17" max="17" width="15.85546875" style="281" customWidth="1"/>
    <col min="18" max="19" width="16.140625" style="281" customWidth="1"/>
    <col min="20" max="20" width="14.5703125" style="281" customWidth="1"/>
    <col min="21" max="21" width="15.28515625" style="281" customWidth="1"/>
    <col min="22" max="22" width="16.85546875" style="281" customWidth="1"/>
    <col min="23" max="23" width="13.85546875" style="281" customWidth="1"/>
    <col min="24" max="24" width="15.140625" style="31" customWidth="1"/>
    <col min="25" max="25" width="15.85546875" style="31" customWidth="1"/>
    <col min="26" max="26" width="15.140625" style="31" customWidth="1"/>
    <col min="27" max="27" width="12.42578125" style="281" customWidth="1"/>
    <col min="28" max="28" width="18.42578125" style="31" customWidth="1"/>
    <col min="29" max="29" width="19" style="31" customWidth="1"/>
    <col min="30" max="30" width="14.7109375" style="31" customWidth="1"/>
    <col min="31" max="31" width="13.140625" style="31" customWidth="1"/>
    <col min="32" max="32" width="13.5703125" style="31" customWidth="1"/>
    <col min="33" max="33" width="13.85546875" style="31" customWidth="1"/>
    <col min="34" max="34" width="12.7109375" style="31" customWidth="1"/>
    <col min="35" max="35" width="13.5703125" style="31" customWidth="1"/>
    <col min="36" max="36" width="16.85546875" style="31" customWidth="1"/>
    <col min="37" max="37" width="19" style="31" customWidth="1"/>
    <col min="38" max="38" width="16.85546875" style="281" customWidth="1"/>
    <col min="39" max="39" width="12.28515625" style="281" customWidth="1"/>
    <col min="40" max="16384" width="8.85546875" style="284"/>
  </cols>
  <sheetData>
    <row r="2" spans="1:39" s="280" customFormat="1" ht="15.75">
      <c r="A2" s="371"/>
      <c r="B2" s="372" t="s">
        <v>330</v>
      </c>
      <c r="C2" s="373"/>
      <c r="D2" s="373"/>
      <c r="E2" s="373"/>
      <c r="F2" s="373"/>
      <c r="G2" s="373"/>
      <c r="H2" s="88"/>
      <c r="I2" s="88"/>
      <c r="J2" s="373"/>
      <c r="L2" s="373"/>
      <c r="M2" s="88"/>
      <c r="N2" s="373"/>
      <c r="O2" s="373"/>
      <c r="P2" s="373"/>
      <c r="Q2" s="373"/>
      <c r="R2" s="373"/>
      <c r="S2" s="373"/>
      <c r="T2" s="373"/>
      <c r="U2" s="88"/>
      <c r="V2" s="88"/>
      <c r="W2" s="88"/>
      <c r="X2" s="88"/>
      <c r="Y2" s="88"/>
      <c r="Z2" s="373"/>
      <c r="AA2" s="88"/>
      <c r="AB2" s="373"/>
      <c r="AC2" s="373"/>
      <c r="AD2" s="88"/>
      <c r="AE2" s="373"/>
    </row>
    <row r="3" spans="1:39" s="280" customFormat="1">
      <c r="A3" s="371"/>
      <c r="C3" s="373"/>
      <c r="D3" s="373"/>
      <c r="E3" s="373"/>
      <c r="F3" s="373"/>
      <c r="G3" s="373"/>
      <c r="H3" s="88"/>
      <c r="I3" s="88"/>
      <c r="J3" s="373"/>
      <c r="L3" s="373"/>
      <c r="M3" s="88"/>
      <c r="N3" s="373"/>
      <c r="O3" s="373"/>
      <c r="P3" s="373"/>
      <c r="Q3" s="373"/>
      <c r="R3" s="373"/>
      <c r="S3" s="373"/>
      <c r="T3" s="373"/>
      <c r="U3" s="88"/>
      <c r="V3" s="88"/>
      <c r="W3" s="88"/>
      <c r="X3" s="88"/>
      <c r="Y3" s="88"/>
      <c r="Z3" s="373"/>
      <c r="AA3" s="88"/>
      <c r="AB3" s="373"/>
      <c r="AC3" s="373"/>
      <c r="AD3" s="88"/>
      <c r="AE3" s="373"/>
    </row>
    <row r="4" spans="1:39" s="280" customFormat="1">
      <c r="A4" s="371"/>
      <c r="B4" s="374" t="s">
        <v>331</v>
      </c>
      <c r="C4" s="373"/>
      <c r="D4" s="373"/>
      <c r="E4" s="373"/>
      <c r="F4" s="373"/>
      <c r="G4" s="373"/>
      <c r="H4" s="88"/>
      <c r="I4" s="88"/>
      <c r="J4" s="373"/>
      <c r="L4" s="373"/>
      <c r="M4" s="88"/>
      <c r="N4" s="373"/>
      <c r="O4" s="373"/>
      <c r="P4" s="373"/>
      <c r="Q4" s="373"/>
      <c r="R4" s="373"/>
      <c r="S4" s="373"/>
      <c r="T4" s="373"/>
      <c r="U4" s="88"/>
      <c r="V4" s="88"/>
      <c r="W4" s="88"/>
      <c r="X4" s="88"/>
      <c r="Y4" s="88"/>
      <c r="Z4" s="373"/>
      <c r="AA4" s="88"/>
      <c r="AB4" s="373"/>
      <c r="AC4" s="373"/>
      <c r="AD4" s="88"/>
      <c r="AE4" s="373"/>
    </row>
    <row r="5" spans="1:39" s="280" customFormat="1">
      <c r="A5" s="371"/>
      <c r="B5" s="374" t="s">
        <v>348</v>
      </c>
      <c r="C5" s="373"/>
      <c r="D5" s="373"/>
      <c r="E5" s="373"/>
      <c r="F5" s="373"/>
      <c r="G5" s="373"/>
      <c r="H5" s="88"/>
      <c r="I5" s="88"/>
      <c r="J5" s="373"/>
      <c r="L5" s="373"/>
      <c r="M5" s="88"/>
      <c r="N5" s="373"/>
      <c r="O5" s="373"/>
      <c r="P5" s="373"/>
      <c r="Q5" s="373"/>
      <c r="R5" s="373"/>
      <c r="S5" s="373"/>
      <c r="T5" s="373"/>
      <c r="U5" s="88"/>
      <c r="V5" s="88"/>
      <c r="W5" s="88"/>
      <c r="X5" s="88"/>
      <c r="Y5" s="88"/>
      <c r="Z5" s="373"/>
      <c r="AA5" s="88"/>
      <c r="AB5" s="373"/>
      <c r="AC5" s="373"/>
      <c r="AD5" s="88"/>
      <c r="AE5" s="373"/>
    </row>
    <row r="6" spans="1:39" s="280" customFormat="1">
      <c r="A6" s="371"/>
      <c r="B6" s="374" t="s">
        <v>332</v>
      </c>
      <c r="C6" s="373"/>
      <c r="D6" s="373"/>
      <c r="E6" s="373"/>
      <c r="F6" s="373"/>
      <c r="G6" s="373"/>
      <c r="H6" s="88"/>
      <c r="I6" s="88"/>
      <c r="J6" s="373"/>
      <c r="L6" s="373"/>
      <c r="M6" s="88"/>
      <c r="N6" s="373"/>
      <c r="O6" s="373"/>
      <c r="P6" s="373"/>
      <c r="Q6" s="373"/>
      <c r="R6" s="373"/>
      <c r="S6" s="373"/>
      <c r="T6" s="373"/>
      <c r="U6" s="88"/>
      <c r="V6" s="88"/>
      <c r="W6" s="88"/>
      <c r="X6" s="88"/>
      <c r="Y6" s="88"/>
      <c r="Z6" s="373"/>
      <c r="AA6" s="88"/>
      <c r="AB6" s="373"/>
      <c r="AC6" s="373"/>
      <c r="AD6" s="88"/>
      <c r="AE6" s="373"/>
    </row>
    <row r="7" spans="1:39" s="280" customFormat="1">
      <c r="A7" s="371"/>
      <c r="B7" s="374" t="s">
        <v>333</v>
      </c>
      <c r="C7" s="373"/>
      <c r="D7" s="373"/>
      <c r="E7" s="373"/>
      <c r="F7" s="373"/>
      <c r="G7" s="373"/>
      <c r="H7" s="88"/>
      <c r="I7" s="88"/>
      <c r="J7" s="373"/>
      <c r="L7" s="373"/>
      <c r="M7" s="88"/>
      <c r="N7" s="373"/>
      <c r="O7" s="373"/>
      <c r="P7" s="373"/>
      <c r="Q7" s="373"/>
      <c r="R7" s="373"/>
      <c r="S7" s="373"/>
      <c r="T7" s="373"/>
      <c r="U7" s="88"/>
      <c r="V7" s="88"/>
      <c r="W7" s="88"/>
      <c r="X7" s="88"/>
      <c r="Y7" s="88"/>
      <c r="Z7" s="373"/>
      <c r="AA7" s="88"/>
      <c r="AB7" s="373"/>
      <c r="AC7" s="373"/>
      <c r="AD7" s="88"/>
      <c r="AE7" s="373"/>
    </row>
    <row r="8" spans="1:39" s="280" customFormat="1">
      <c r="A8" s="371"/>
      <c r="B8" s="374" t="s">
        <v>334</v>
      </c>
      <c r="C8" s="373"/>
      <c r="D8" s="373"/>
      <c r="E8" s="373"/>
      <c r="F8" s="373"/>
      <c r="G8" s="373"/>
      <c r="H8" s="88"/>
      <c r="I8" s="88"/>
      <c r="J8" s="373"/>
      <c r="L8" s="373"/>
      <c r="M8" s="88"/>
      <c r="N8" s="373"/>
      <c r="O8" s="373"/>
      <c r="P8" s="373"/>
      <c r="Q8" s="373"/>
      <c r="R8" s="373"/>
      <c r="S8" s="373"/>
      <c r="T8" s="373"/>
      <c r="U8" s="88"/>
      <c r="V8" s="88"/>
      <c r="W8" s="88"/>
      <c r="X8" s="88"/>
      <c r="Y8" s="88"/>
      <c r="Z8" s="373"/>
      <c r="AA8" s="88"/>
      <c r="AB8" s="373"/>
      <c r="AC8" s="373"/>
      <c r="AD8" s="88"/>
      <c r="AE8" s="373"/>
    </row>
    <row r="10" spans="1:39" ht="14.45" customHeight="1">
      <c r="B10" s="912"/>
      <c r="C10" s="913"/>
      <c r="D10" s="917"/>
      <c r="E10" s="917"/>
      <c r="F10" s="917"/>
      <c r="G10" s="917"/>
      <c r="H10" s="917"/>
      <c r="I10" s="917"/>
      <c r="J10" s="917"/>
      <c r="K10" s="917"/>
      <c r="L10" s="917"/>
      <c r="M10" s="903"/>
      <c r="N10" s="916" t="s">
        <v>149</v>
      </c>
      <c r="O10" s="916"/>
      <c r="P10" s="916"/>
      <c r="Q10" s="916" t="s">
        <v>149</v>
      </c>
      <c r="R10" s="916"/>
      <c r="S10" s="916"/>
      <c r="T10" s="916" t="s">
        <v>149</v>
      </c>
      <c r="U10" s="916"/>
      <c r="V10" s="916"/>
      <c r="W10" s="916"/>
      <c r="X10" s="916" t="s">
        <v>149</v>
      </c>
      <c r="Y10" s="916"/>
      <c r="Z10" s="916"/>
      <c r="AA10" s="916"/>
      <c r="AB10" s="916" t="s">
        <v>149</v>
      </c>
      <c r="AC10" s="916"/>
      <c r="AD10" s="916"/>
      <c r="AE10" s="916"/>
      <c r="AF10" s="916" t="s">
        <v>149</v>
      </c>
      <c r="AG10" s="916"/>
      <c r="AH10" s="916"/>
      <c r="AI10" s="916"/>
      <c r="AJ10" s="903"/>
      <c r="AK10" s="903"/>
      <c r="AL10" s="903"/>
      <c r="AM10" s="903"/>
    </row>
    <row r="11" spans="1:39" ht="30" customHeight="1">
      <c r="B11" s="914"/>
      <c r="C11" s="915"/>
      <c r="D11" s="897" t="s">
        <v>504</v>
      </c>
      <c r="E11" s="897"/>
      <c r="F11" s="897" t="s">
        <v>505</v>
      </c>
      <c r="G11" s="897"/>
      <c r="H11" s="897" t="s">
        <v>506</v>
      </c>
      <c r="I11" s="897"/>
      <c r="J11" s="451"/>
      <c r="K11" s="451"/>
      <c r="L11" s="450"/>
      <c r="M11" s="212" t="s">
        <v>148</v>
      </c>
      <c r="N11" s="895" t="s">
        <v>150</v>
      </c>
      <c r="O11" s="897"/>
      <c r="P11" s="897"/>
      <c r="Q11" s="895" t="s">
        <v>194</v>
      </c>
      <c r="R11" s="897"/>
      <c r="S11" s="897"/>
      <c r="T11" s="895" t="s">
        <v>151</v>
      </c>
      <c r="U11" s="895"/>
      <c r="V11" s="895"/>
      <c r="W11" s="895"/>
      <c r="X11" s="895" t="s">
        <v>152</v>
      </c>
      <c r="Y11" s="895"/>
      <c r="Z11" s="895"/>
      <c r="AA11" s="895"/>
      <c r="AB11" s="895" t="s">
        <v>153</v>
      </c>
      <c r="AC11" s="895"/>
      <c r="AD11" s="895"/>
      <c r="AE11" s="895"/>
      <c r="AF11" s="895" t="s">
        <v>154</v>
      </c>
      <c r="AG11" s="895"/>
      <c r="AH11" s="895"/>
      <c r="AI11" s="895"/>
      <c r="AJ11" s="895" t="s">
        <v>155</v>
      </c>
      <c r="AK11" s="895"/>
      <c r="AL11" s="895"/>
      <c r="AM11" s="895"/>
    </row>
    <row r="12" spans="1:39" s="290" customFormat="1" ht="105.75" customHeight="1">
      <c r="A12" s="371"/>
      <c r="B12" s="285" t="s">
        <v>28</v>
      </c>
      <c r="C12" s="286" t="s">
        <v>139</v>
      </c>
      <c r="D12" s="33" t="s">
        <v>61</v>
      </c>
      <c r="E12" s="287" t="s">
        <v>64</v>
      </c>
      <c r="F12" s="33" t="s">
        <v>62</v>
      </c>
      <c r="G12" s="287" t="s">
        <v>65</v>
      </c>
      <c r="H12" s="33" t="s">
        <v>63</v>
      </c>
      <c r="I12" s="33" t="s">
        <v>66</v>
      </c>
      <c r="J12" s="33" t="s">
        <v>67</v>
      </c>
      <c r="K12" s="33" t="s">
        <v>68</v>
      </c>
      <c r="L12" s="287" t="s">
        <v>69</v>
      </c>
      <c r="M12" s="33" t="s">
        <v>70</v>
      </c>
      <c r="N12" s="287" t="s">
        <v>71</v>
      </c>
      <c r="O12" s="287" t="s">
        <v>101</v>
      </c>
      <c r="P12" s="287" t="s">
        <v>102</v>
      </c>
      <c r="Q12" s="287" t="s">
        <v>72</v>
      </c>
      <c r="R12" s="287" t="s">
        <v>103</v>
      </c>
      <c r="S12" s="287" t="s">
        <v>104</v>
      </c>
      <c r="T12" s="287" t="s">
        <v>73</v>
      </c>
      <c r="U12" s="287" t="s">
        <v>78</v>
      </c>
      <c r="V12" s="287" t="s">
        <v>83</v>
      </c>
      <c r="W12" s="287" t="s">
        <v>88</v>
      </c>
      <c r="X12" s="33" t="s">
        <v>74</v>
      </c>
      <c r="Y12" s="33" t="s">
        <v>79</v>
      </c>
      <c r="Z12" s="33" t="s">
        <v>84</v>
      </c>
      <c r="AA12" s="287" t="s">
        <v>89</v>
      </c>
      <c r="AB12" s="33" t="s">
        <v>75</v>
      </c>
      <c r="AC12" s="33" t="s">
        <v>80</v>
      </c>
      <c r="AD12" s="33" t="s">
        <v>85</v>
      </c>
      <c r="AE12" s="33" t="s">
        <v>90</v>
      </c>
      <c r="AF12" s="33" t="s">
        <v>76</v>
      </c>
      <c r="AG12" s="33" t="s">
        <v>81</v>
      </c>
      <c r="AH12" s="33" t="s">
        <v>86</v>
      </c>
      <c r="AI12" s="33" t="s">
        <v>91</v>
      </c>
      <c r="AJ12" s="33" t="s">
        <v>77</v>
      </c>
      <c r="AK12" s="33" t="s">
        <v>82</v>
      </c>
      <c r="AL12" s="287" t="s">
        <v>87</v>
      </c>
      <c r="AM12" s="287" t="s">
        <v>92</v>
      </c>
    </row>
    <row r="13" spans="1:39">
      <c r="A13" s="371">
        <f>References!C258</f>
        <v>1</v>
      </c>
      <c r="B13" s="292" t="s">
        <v>29</v>
      </c>
      <c r="C13" s="284">
        <v>2004</v>
      </c>
      <c r="F13" s="31">
        <v>467</v>
      </c>
      <c r="H13" s="89">
        <v>3730</v>
      </c>
      <c r="J13" s="31">
        <v>3263</v>
      </c>
      <c r="K13" s="31">
        <v>103.502</v>
      </c>
      <c r="L13" s="294">
        <v>589.68428400000005</v>
      </c>
      <c r="M13" s="31">
        <v>28409</v>
      </c>
      <c r="N13" s="281">
        <v>115</v>
      </c>
      <c r="Q13" s="281">
        <v>1.6</v>
      </c>
      <c r="W13" s="281" t="str">
        <f>IF(U13="","",T13*100/U13)</f>
        <v/>
      </c>
      <c r="AA13" s="281" t="str">
        <f>IF(Y13="","",X13*100/Y13)</f>
        <v/>
      </c>
      <c r="AE13" s="281" t="str">
        <f>IF(AC13="","",AB13*100/AC13)</f>
        <v/>
      </c>
      <c r="AI13" s="281" t="str">
        <f>IF(AG13="","",AF13*100/AG13)</f>
        <v/>
      </c>
      <c r="AM13" s="281" t="str">
        <f>IF(AK13="","",AJ13*100/AK13)</f>
        <v/>
      </c>
    </row>
    <row r="14" spans="1:39">
      <c r="A14" s="371">
        <f>References!D258</f>
        <v>2</v>
      </c>
      <c r="B14" s="292" t="s">
        <v>29</v>
      </c>
      <c r="C14" s="284">
        <v>2005</v>
      </c>
      <c r="F14" s="31">
        <v>492</v>
      </c>
      <c r="H14" s="89">
        <v>3775</v>
      </c>
      <c r="J14" s="31">
        <v>3282</v>
      </c>
      <c r="K14" s="31">
        <v>103.062</v>
      </c>
      <c r="L14" s="294">
        <v>576.45736499999998</v>
      </c>
      <c r="M14" s="31">
        <v>28697</v>
      </c>
      <c r="N14" s="281">
        <v>79</v>
      </c>
      <c r="Q14" s="281">
        <v>1</v>
      </c>
      <c r="W14" s="281" t="str">
        <f t="shared" ref="W14:W77" si="0">IF(U14="","",T14*100/U14)</f>
        <v/>
      </c>
      <c r="AA14" s="281" t="str">
        <f t="shared" ref="AA14:AA77" si="1">IF(Y14="","",X14*100/Y14)</f>
        <v/>
      </c>
      <c r="AE14" s="281" t="str">
        <f t="shared" ref="AE14:AE77" si="2">IF(AC14="","",AB14*100/AC14)</f>
        <v/>
      </c>
      <c r="AI14" s="281" t="str">
        <f t="shared" ref="AI14:AI77" si="3">IF(AG14="","",AF14*100/AG14)</f>
        <v/>
      </c>
      <c r="AM14" s="281" t="str">
        <f t="shared" ref="AM14:AM77" si="4">IF(AK14="","",AJ14*100/AK14)</f>
        <v/>
      </c>
    </row>
    <row r="15" spans="1:39">
      <c r="A15" s="371">
        <f>References!E258</f>
        <v>3</v>
      </c>
      <c r="B15" s="292" t="s">
        <v>29</v>
      </c>
      <c r="C15" s="284">
        <v>2006</v>
      </c>
      <c r="F15" s="31">
        <v>520</v>
      </c>
      <c r="H15" s="89">
        <v>3816</v>
      </c>
      <c r="J15" s="31">
        <v>3296</v>
      </c>
      <c r="K15" s="31">
        <v>110.79300000000001</v>
      </c>
      <c r="L15" s="294">
        <v>625.91167700000005</v>
      </c>
      <c r="M15" s="31">
        <v>29163</v>
      </c>
      <c r="N15" s="281">
        <v>81</v>
      </c>
      <c r="Q15" s="281">
        <v>1.3</v>
      </c>
      <c r="W15" s="281" t="str">
        <f t="shared" si="0"/>
        <v/>
      </c>
      <c r="AA15" s="281" t="str">
        <f t="shared" si="1"/>
        <v/>
      </c>
      <c r="AE15" s="281" t="str">
        <f t="shared" si="2"/>
        <v/>
      </c>
      <c r="AI15" s="281" t="str">
        <f t="shared" si="3"/>
        <v/>
      </c>
      <c r="AM15" s="281" t="str">
        <f t="shared" si="4"/>
        <v/>
      </c>
    </row>
    <row r="16" spans="1:39">
      <c r="A16" s="371">
        <f>References!F258</f>
        <v>4</v>
      </c>
      <c r="B16" s="292" t="s">
        <v>29</v>
      </c>
      <c r="C16" s="284">
        <v>2007</v>
      </c>
      <c r="F16" s="31">
        <v>552</v>
      </c>
      <c r="H16" s="89">
        <v>3840</v>
      </c>
      <c r="J16" s="31">
        <v>3288</v>
      </c>
      <c r="K16" s="31">
        <v>112.77800000000001</v>
      </c>
      <c r="L16" s="294">
        <v>659.17593099999999</v>
      </c>
      <c r="M16" s="31">
        <v>29367</v>
      </c>
      <c r="N16" s="281">
        <v>1138</v>
      </c>
      <c r="Q16" s="281">
        <v>2.5</v>
      </c>
      <c r="W16" s="281" t="str">
        <f t="shared" si="0"/>
        <v/>
      </c>
      <c r="AA16" s="281" t="str">
        <f t="shared" si="1"/>
        <v/>
      </c>
      <c r="AE16" s="281" t="str">
        <f t="shared" si="2"/>
        <v/>
      </c>
      <c r="AI16" s="281" t="str">
        <f t="shared" si="3"/>
        <v/>
      </c>
      <c r="AM16" s="281" t="str">
        <f t="shared" si="4"/>
        <v/>
      </c>
    </row>
    <row r="17" spans="1:39">
      <c r="A17" s="371">
        <f>References!G258</f>
        <v>5</v>
      </c>
      <c r="B17" s="292" t="s">
        <v>29</v>
      </c>
      <c r="C17" s="284">
        <v>2008</v>
      </c>
      <c r="D17" s="31">
        <v>3423.7109999999998</v>
      </c>
      <c r="E17" s="281">
        <v>0</v>
      </c>
      <c r="F17" s="31">
        <v>592.43899999999996</v>
      </c>
      <c r="G17" s="281">
        <v>0</v>
      </c>
      <c r="H17" s="31">
        <v>4016.15</v>
      </c>
      <c r="I17" s="31">
        <v>0</v>
      </c>
      <c r="J17" s="31">
        <v>3423.7109999999998</v>
      </c>
      <c r="K17" s="31">
        <v>129.298</v>
      </c>
      <c r="L17" s="281">
        <v>665.524</v>
      </c>
      <c r="M17" s="31">
        <v>29849</v>
      </c>
      <c r="N17" s="281">
        <v>149.5</v>
      </c>
      <c r="O17" s="281">
        <v>62.32</v>
      </c>
      <c r="P17" s="281">
        <v>87.18</v>
      </c>
      <c r="Q17" s="281">
        <v>1.69</v>
      </c>
      <c r="R17" s="281">
        <v>0.3</v>
      </c>
      <c r="S17" s="281">
        <v>1.38</v>
      </c>
      <c r="T17" s="281">
        <v>848</v>
      </c>
      <c r="U17" s="281">
        <v>15603</v>
      </c>
      <c r="V17" s="281">
        <v>3376</v>
      </c>
      <c r="W17" s="281">
        <f t="shared" si="0"/>
        <v>5.4348522719989747</v>
      </c>
      <c r="X17" s="31">
        <v>17551</v>
      </c>
      <c r="Y17" s="31">
        <v>354498</v>
      </c>
      <c r="Z17" s="31">
        <v>26315</v>
      </c>
      <c r="AA17" s="281">
        <f t="shared" si="1"/>
        <v>4.950944716190218</v>
      </c>
      <c r="AB17" s="31">
        <v>6540</v>
      </c>
      <c r="AC17" s="31">
        <v>128561</v>
      </c>
      <c r="AD17" s="31">
        <v>153</v>
      </c>
      <c r="AE17" s="281">
        <f t="shared" si="2"/>
        <v>5.0870792853198097</v>
      </c>
      <c r="AF17" s="31">
        <v>4294</v>
      </c>
      <c r="AG17" s="31">
        <v>166862</v>
      </c>
      <c r="AH17" s="31">
        <v>5</v>
      </c>
      <c r="AI17" s="281">
        <f t="shared" si="3"/>
        <v>2.5733839939590801</v>
      </c>
      <c r="AJ17" s="31">
        <v>29233</v>
      </c>
      <c r="AK17" s="31">
        <v>665524</v>
      </c>
      <c r="AL17" s="281">
        <v>29849</v>
      </c>
      <c r="AM17" s="281">
        <f t="shared" si="4"/>
        <v>4.3924787085063803</v>
      </c>
    </row>
    <row r="18" spans="1:39">
      <c r="A18" s="371">
        <f>References!H258</f>
        <v>6</v>
      </c>
      <c r="B18" s="292" t="s">
        <v>29</v>
      </c>
      <c r="C18" s="284">
        <v>2009</v>
      </c>
      <c r="D18" s="31">
        <v>3442</v>
      </c>
      <c r="E18" s="281">
        <v>0</v>
      </c>
      <c r="F18" s="31">
        <v>618</v>
      </c>
      <c r="G18" s="281">
        <v>0</v>
      </c>
      <c r="H18" s="31">
        <v>4060</v>
      </c>
      <c r="I18" s="31">
        <v>0</v>
      </c>
      <c r="J18" s="31">
        <v>3442</v>
      </c>
      <c r="K18" s="31">
        <v>130</v>
      </c>
      <c r="L18" s="281">
        <v>708.94299999999998</v>
      </c>
      <c r="M18" s="31">
        <v>30267</v>
      </c>
      <c r="N18" s="281">
        <v>200.94251</v>
      </c>
      <c r="O18" s="281">
        <v>82.810298000000003</v>
      </c>
      <c r="P18" s="281">
        <v>118.13221</v>
      </c>
      <c r="Q18" s="281">
        <v>1.6919846999999999</v>
      </c>
      <c r="R18" s="281">
        <v>0.36250624999999997</v>
      </c>
      <c r="S18" s="281">
        <v>1.3294783999999999</v>
      </c>
      <c r="T18" s="281">
        <v>1008</v>
      </c>
      <c r="U18" s="281">
        <v>20023</v>
      </c>
      <c r="V18" s="281">
        <v>4128</v>
      </c>
      <c r="W18" s="281">
        <f t="shared" si="0"/>
        <v>5.0342106577435946</v>
      </c>
      <c r="X18" s="31">
        <v>21081</v>
      </c>
      <c r="Y18" s="31">
        <v>362689</v>
      </c>
      <c r="Z18" s="31">
        <v>25982</v>
      </c>
      <c r="AA18" s="281">
        <f t="shared" si="1"/>
        <v>5.8124178014772987</v>
      </c>
      <c r="AB18" s="31">
        <v>4636</v>
      </c>
      <c r="AC18" s="31">
        <v>151719</v>
      </c>
      <c r="AD18" s="31">
        <v>152</v>
      </c>
      <c r="AE18" s="281">
        <f t="shared" si="2"/>
        <v>3.0556489299296725</v>
      </c>
      <c r="AF18" s="31">
        <v>3403</v>
      </c>
      <c r="AG18" s="31">
        <v>174512</v>
      </c>
      <c r="AH18" s="31">
        <v>5</v>
      </c>
      <c r="AI18" s="281">
        <f t="shared" si="3"/>
        <v>1.950009168423948</v>
      </c>
      <c r="AJ18" s="31">
        <v>30128</v>
      </c>
      <c r="AK18" s="31">
        <v>708943</v>
      </c>
      <c r="AL18" s="281">
        <v>30267</v>
      </c>
      <c r="AM18" s="281">
        <f t="shared" si="4"/>
        <v>4.2497069581052358</v>
      </c>
    </row>
    <row r="19" spans="1:39">
      <c r="A19" s="371">
        <f>References!I258</f>
        <v>7</v>
      </c>
      <c r="B19" s="292" t="s">
        <v>29</v>
      </c>
      <c r="C19" s="284">
        <v>2010</v>
      </c>
      <c r="D19" s="31">
        <v>3455</v>
      </c>
      <c r="E19" s="281">
        <v>0</v>
      </c>
      <c r="F19" s="31">
        <v>651</v>
      </c>
      <c r="G19" s="281">
        <v>0</v>
      </c>
      <c r="H19" s="31">
        <v>4106</v>
      </c>
      <c r="I19" s="31">
        <v>0</v>
      </c>
      <c r="J19" s="31">
        <v>3455</v>
      </c>
      <c r="K19" s="31">
        <v>123</v>
      </c>
      <c r="L19" s="281">
        <v>727.48900000000003</v>
      </c>
      <c r="M19" s="31">
        <v>30615</v>
      </c>
      <c r="N19" s="281">
        <v>332.37</v>
      </c>
      <c r="O19" s="281">
        <v>64.7</v>
      </c>
      <c r="P19" s="281">
        <v>267.67</v>
      </c>
      <c r="Q19" s="281">
        <v>2.1800000000000002</v>
      </c>
      <c r="R19" s="281">
        <v>0.35</v>
      </c>
      <c r="S19" s="281">
        <v>1.83</v>
      </c>
      <c r="T19" s="281">
        <v>1611</v>
      </c>
      <c r="U19" s="281">
        <v>24218</v>
      </c>
      <c r="V19" s="281">
        <v>4856</v>
      </c>
      <c r="W19" s="281">
        <f t="shared" si="0"/>
        <v>6.6520769675448017</v>
      </c>
      <c r="X19" s="31">
        <v>22357</v>
      </c>
      <c r="Y19" s="31">
        <v>377727</v>
      </c>
      <c r="Z19" s="31">
        <v>25606</v>
      </c>
      <c r="AA19" s="281">
        <f t="shared" si="1"/>
        <v>5.9188249714741072</v>
      </c>
      <c r="AB19" s="31">
        <v>5418</v>
      </c>
      <c r="AC19" s="31">
        <v>154609</v>
      </c>
      <c r="AD19" s="31">
        <v>148</v>
      </c>
      <c r="AE19" s="281">
        <f t="shared" si="2"/>
        <v>3.5043238103862002</v>
      </c>
      <c r="AF19" s="31">
        <v>3777</v>
      </c>
      <c r="AG19" s="31">
        <v>170935</v>
      </c>
      <c r="AH19" s="31">
        <v>5</v>
      </c>
      <c r="AI19" s="281">
        <f t="shared" si="3"/>
        <v>2.2096118407581828</v>
      </c>
      <c r="AJ19" s="31">
        <v>33163</v>
      </c>
      <c r="AK19" s="31">
        <v>727489</v>
      </c>
      <c r="AL19" s="281">
        <v>30615</v>
      </c>
      <c r="AM19" s="281">
        <f t="shared" si="4"/>
        <v>4.5585568991421175</v>
      </c>
    </row>
    <row r="20" spans="1:39">
      <c r="A20" s="371">
        <f>References!J258</f>
        <v>8</v>
      </c>
      <c r="B20" s="292" t="s">
        <v>29</v>
      </c>
      <c r="C20" s="284">
        <v>2011</v>
      </c>
      <c r="D20" s="31">
        <v>3454</v>
      </c>
      <c r="E20" s="281">
        <v>0</v>
      </c>
      <c r="F20" s="31">
        <v>666</v>
      </c>
      <c r="G20" s="281">
        <v>0</v>
      </c>
      <c r="H20" s="31">
        <v>4120</v>
      </c>
      <c r="I20" s="31">
        <v>0</v>
      </c>
      <c r="J20" s="31">
        <v>3454</v>
      </c>
      <c r="K20" s="31">
        <v>121.91800000000001</v>
      </c>
      <c r="L20" s="281">
        <v>716.88900000000001</v>
      </c>
      <c r="M20" s="31">
        <v>30826</v>
      </c>
      <c r="N20" s="281">
        <v>225.92</v>
      </c>
      <c r="O20" s="281">
        <v>62.25</v>
      </c>
      <c r="P20" s="281">
        <v>163.28</v>
      </c>
      <c r="Q20" s="281">
        <v>1.71</v>
      </c>
      <c r="R20" s="281">
        <v>0.27</v>
      </c>
      <c r="S20" s="281">
        <v>1.43</v>
      </c>
      <c r="T20" s="281">
        <v>1847.954</v>
      </c>
      <c r="U20" s="281">
        <v>29591</v>
      </c>
      <c r="V20" s="281">
        <v>5718</v>
      </c>
      <c r="W20" s="281">
        <f t="shared" si="0"/>
        <v>6.244986651346693</v>
      </c>
      <c r="X20" s="31">
        <v>22952.894</v>
      </c>
      <c r="Y20" s="31">
        <v>379675</v>
      </c>
      <c r="Z20" s="31">
        <v>24960</v>
      </c>
      <c r="AA20" s="281">
        <f t="shared" si="1"/>
        <v>6.0454056759070252</v>
      </c>
      <c r="AB20" s="31">
        <v>4675.4040000000005</v>
      </c>
      <c r="AC20" s="31">
        <v>135829</v>
      </c>
      <c r="AD20" s="31">
        <v>143</v>
      </c>
      <c r="AE20" s="281">
        <f t="shared" si="2"/>
        <v>3.4421250248474187</v>
      </c>
      <c r="AF20" s="31">
        <v>3701.3589999999999</v>
      </c>
      <c r="AG20" s="31">
        <v>171794</v>
      </c>
      <c r="AH20" s="31">
        <v>5</v>
      </c>
      <c r="AI20" s="281">
        <f t="shared" si="3"/>
        <v>2.1545333364378263</v>
      </c>
      <c r="AJ20" s="31">
        <v>33177.610999999997</v>
      </c>
      <c r="AK20" s="31">
        <v>716889</v>
      </c>
      <c r="AL20" s="281">
        <v>30826</v>
      </c>
      <c r="AM20" s="281">
        <f t="shared" si="4"/>
        <v>4.6279983372600215</v>
      </c>
    </row>
    <row r="21" spans="1:39">
      <c r="A21" s="371">
        <f>References!C259</f>
        <v>24</v>
      </c>
      <c r="B21" s="292" t="s">
        <v>110</v>
      </c>
      <c r="C21" s="284">
        <v>2004</v>
      </c>
      <c r="F21" s="31">
        <v>1133</v>
      </c>
      <c r="H21" s="31">
        <v>5029</v>
      </c>
      <c r="J21" s="31">
        <v>3895</v>
      </c>
      <c r="K21" s="31">
        <v>246.19</v>
      </c>
      <c r="L21" s="294">
        <v>1189.388686</v>
      </c>
      <c r="M21" s="31">
        <v>73972</v>
      </c>
      <c r="N21" s="281">
        <v>97.3</v>
      </c>
      <c r="Q21" s="281">
        <v>1.72</v>
      </c>
      <c r="W21" s="281" t="str">
        <f t="shared" si="0"/>
        <v/>
      </c>
      <c r="AA21" s="281" t="str">
        <f t="shared" si="1"/>
        <v/>
      </c>
      <c r="AE21" s="281" t="str">
        <f t="shared" si="2"/>
        <v/>
      </c>
      <c r="AI21" s="281" t="str">
        <f t="shared" si="3"/>
        <v/>
      </c>
      <c r="AM21" s="281" t="str">
        <f t="shared" si="4"/>
        <v/>
      </c>
    </row>
    <row r="22" spans="1:39">
      <c r="A22" s="371">
        <f>References!D259</f>
        <v>25</v>
      </c>
      <c r="B22" s="292" t="s">
        <v>110</v>
      </c>
      <c r="C22" s="284">
        <v>2005</v>
      </c>
      <c r="F22" s="31">
        <v>1228</v>
      </c>
      <c r="H22" s="31">
        <v>5149</v>
      </c>
      <c r="J22" s="31">
        <v>3922</v>
      </c>
      <c r="K22" s="31">
        <v>266.85899999999998</v>
      </c>
      <c r="L22" s="294">
        <v>1262.6247550000001</v>
      </c>
      <c r="M22" s="31">
        <v>75117</v>
      </c>
      <c r="N22" s="281">
        <v>80.5</v>
      </c>
      <c r="Q22" s="281">
        <v>1.46</v>
      </c>
      <c r="W22" s="281" t="str">
        <f t="shared" si="0"/>
        <v/>
      </c>
      <c r="AA22" s="281" t="str">
        <f t="shared" si="1"/>
        <v/>
      </c>
      <c r="AE22" s="281" t="str">
        <f t="shared" si="2"/>
        <v/>
      </c>
      <c r="AI22" s="281" t="str">
        <f t="shared" si="3"/>
        <v/>
      </c>
      <c r="AM22" s="281" t="str">
        <f t="shared" si="4"/>
        <v/>
      </c>
    </row>
    <row r="23" spans="1:39">
      <c r="A23" s="371">
        <f>References!E259</f>
        <v>26</v>
      </c>
      <c r="B23" s="292" t="s">
        <v>110</v>
      </c>
      <c r="C23" s="284">
        <v>2006</v>
      </c>
      <c r="F23" s="31">
        <v>1327</v>
      </c>
      <c r="H23" s="31">
        <v>5252</v>
      </c>
      <c r="J23" s="31">
        <v>3925</v>
      </c>
      <c r="K23" s="31">
        <v>268.976</v>
      </c>
      <c r="L23" s="294">
        <v>1269.2648360000001</v>
      </c>
      <c r="M23" s="31">
        <v>76400</v>
      </c>
      <c r="N23" s="281">
        <v>96.5</v>
      </c>
      <c r="Q23" s="281">
        <v>1.72</v>
      </c>
      <c r="W23" s="281" t="str">
        <f t="shared" si="0"/>
        <v/>
      </c>
      <c r="AA23" s="281" t="str">
        <f t="shared" si="1"/>
        <v/>
      </c>
      <c r="AE23" s="281" t="str">
        <f t="shared" si="2"/>
        <v/>
      </c>
      <c r="AI23" s="281" t="str">
        <f t="shared" si="3"/>
        <v/>
      </c>
      <c r="AM23" s="281" t="str">
        <f t="shared" si="4"/>
        <v/>
      </c>
    </row>
    <row r="24" spans="1:39">
      <c r="A24" s="371">
        <f>References!F259</f>
        <v>27</v>
      </c>
      <c r="B24" s="292" t="s">
        <v>110</v>
      </c>
      <c r="C24" s="284">
        <v>2007</v>
      </c>
      <c r="F24" s="31">
        <v>1445</v>
      </c>
      <c r="H24" s="31">
        <v>5356</v>
      </c>
      <c r="J24" s="31">
        <v>3911</v>
      </c>
      <c r="K24" s="31">
        <v>275.52499999999998</v>
      </c>
      <c r="L24" s="294">
        <v>1296.684006</v>
      </c>
      <c r="M24" s="31">
        <v>77712</v>
      </c>
      <c r="N24" s="281">
        <v>101.4</v>
      </c>
      <c r="Q24" s="281">
        <v>1.82</v>
      </c>
      <c r="W24" s="281" t="str">
        <f t="shared" si="0"/>
        <v/>
      </c>
      <c r="AA24" s="281" t="str">
        <f t="shared" si="1"/>
        <v/>
      </c>
      <c r="AE24" s="281" t="str">
        <f t="shared" si="2"/>
        <v/>
      </c>
      <c r="AI24" s="281" t="str">
        <f t="shared" si="3"/>
        <v/>
      </c>
      <c r="AM24" s="281" t="str">
        <f t="shared" si="4"/>
        <v/>
      </c>
    </row>
    <row r="25" spans="1:39">
      <c r="A25" s="371">
        <f>References!G259</f>
        <v>28</v>
      </c>
      <c r="B25" s="292" t="s">
        <v>110</v>
      </c>
      <c r="C25" s="284">
        <v>2008</v>
      </c>
      <c r="D25" s="31">
        <v>3862.1</v>
      </c>
      <c r="E25" s="281">
        <v>60</v>
      </c>
      <c r="F25" s="31">
        <v>1591.2</v>
      </c>
      <c r="G25" s="281">
        <v>163</v>
      </c>
      <c r="H25" s="31">
        <v>5453.3</v>
      </c>
      <c r="I25" s="31">
        <v>223</v>
      </c>
      <c r="J25" s="31">
        <v>3862.1</v>
      </c>
      <c r="K25" s="31">
        <v>283.185</v>
      </c>
      <c r="L25" s="281">
        <v>1274.4069999999999</v>
      </c>
      <c r="M25" s="31">
        <v>79811</v>
      </c>
      <c r="N25" s="281">
        <v>140.1</v>
      </c>
      <c r="O25" s="281">
        <v>13.29</v>
      </c>
      <c r="P25" s="281">
        <v>115.82</v>
      </c>
      <c r="Q25" s="281">
        <v>1.82</v>
      </c>
      <c r="R25" s="281">
        <v>0.1</v>
      </c>
      <c r="S25" s="281">
        <v>1.37</v>
      </c>
      <c r="T25" s="281">
        <v>40348</v>
      </c>
      <c r="U25" s="281">
        <v>634860</v>
      </c>
      <c r="V25" s="281">
        <v>74147</v>
      </c>
      <c r="W25" s="281">
        <f t="shared" si="0"/>
        <v>6.3554169423179916</v>
      </c>
      <c r="X25" s="31">
        <v>8451</v>
      </c>
      <c r="Y25" s="31">
        <v>173613</v>
      </c>
      <c r="Z25" s="31">
        <v>4622</v>
      </c>
      <c r="AA25" s="281">
        <f t="shared" si="1"/>
        <v>4.8677230391733337</v>
      </c>
      <c r="AB25" s="31">
        <v>14644</v>
      </c>
      <c r="AC25" s="31">
        <v>395833</v>
      </c>
      <c r="AD25" s="31">
        <v>1037</v>
      </c>
      <c r="AE25" s="281">
        <f t="shared" si="2"/>
        <v>3.6995399575073327</v>
      </c>
      <c r="AF25" s="31">
        <v>1252</v>
      </c>
      <c r="AG25" s="31">
        <v>70101</v>
      </c>
      <c r="AH25" s="31">
        <v>5</v>
      </c>
      <c r="AI25" s="281">
        <f t="shared" si="3"/>
        <v>1.785994493659149</v>
      </c>
      <c r="AJ25" s="31">
        <v>64695</v>
      </c>
      <c r="AK25" s="31">
        <v>1274407</v>
      </c>
      <c r="AL25" s="281">
        <v>79811</v>
      </c>
      <c r="AM25" s="281">
        <f t="shared" si="4"/>
        <v>5.0764787073517326</v>
      </c>
    </row>
    <row r="26" spans="1:39">
      <c r="A26" s="371">
        <f>References!H259</f>
        <v>29</v>
      </c>
      <c r="B26" s="292" t="s">
        <v>30</v>
      </c>
      <c r="C26" s="284">
        <v>2009</v>
      </c>
      <c r="D26" s="31">
        <v>3900.7</v>
      </c>
      <c r="E26" s="281">
        <v>51</v>
      </c>
      <c r="F26" s="31">
        <v>1643.7</v>
      </c>
      <c r="G26" s="281">
        <v>149.6</v>
      </c>
      <c r="H26" s="31">
        <v>5544.4</v>
      </c>
      <c r="I26" s="31">
        <v>200.6</v>
      </c>
      <c r="J26" s="31">
        <v>3900.7</v>
      </c>
      <c r="K26" s="31">
        <v>274.82600000000002</v>
      </c>
      <c r="L26" s="281">
        <v>1266.2239999999999</v>
      </c>
      <c r="M26" s="31">
        <v>80686</v>
      </c>
      <c r="N26" s="281">
        <v>68.010000000000005</v>
      </c>
      <c r="O26" s="281">
        <v>8.82</v>
      </c>
      <c r="P26" s="281">
        <v>59.15</v>
      </c>
      <c r="Q26" s="281">
        <v>1.23</v>
      </c>
      <c r="R26" s="281">
        <v>5.4953269999999999E-2</v>
      </c>
      <c r="S26" s="281">
        <v>1.1712871</v>
      </c>
      <c r="T26" s="281">
        <v>44186.714999999997</v>
      </c>
      <c r="U26" s="281">
        <v>631469</v>
      </c>
      <c r="V26" s="281">
        <v>74871</v>
      </c>
      <c r="W26" s="281">
        <f t="shared" si="0"/>
        <v>6.9974480140751165</v>
      </c>
      <c r="X26" s="31">
        <v>9345.6970000000001</v>
      </c>
      <c r="Y26" s="31">
        <v>175952</v>
      </c>
      <c r="Z26" s="31">
        <v>4745</v>
      </c>
      <c r="AA26" s="281">
        <f t="shared" si="1"/>
        <v>5.3115037055560608</v>
      </c>
      <c r="AB26" s="31">
        <v>16864.134999999998</v>
      </c>
      <c r="AC26" s="31">
        <v>390231</v>
      </c>
      <c r="AD26" s="31">
        <v>1065</v>
      </c>
      <c r="AE26" s="281">
        <f t="shared" si="2"/>
        <v>4.321577475905297</v>
      </c>
      <c r="AF26" s="31">
        <v>1462.453</v>
      </c>
      <c r="AG26" s="31">
        <v>68572</v>
      </c>
      <c r="AH26" s="31">
        <v>5</v>
      </c>
      <c r="AI26" s="281">
        <f t="shared" si="3"/>
        <v>2.1327261856151196</v>
      </c>
      <c r="AJ26" s="31">
        <v>71859</v>
      </c>
      <c r="AK26" s="31">
        <v>1266224</v>
      </c>
      <c r="AL26" s="281">
        <v>80686</v>
      </c>
      <c r="AM26" s="281">
        <f t="shared" si="4"/>
        <v>5.6750622322748585</v>
      </c>
    </row>
    <row r="27" spans="1:39">
      <c r="A27" s="371">
        <f>References!I259</f>
        <v>30</v>
      </c>
      <c r="B27" s="292" t="s">
        <v>30</v>
      </c>
      <c r="C27" s="284">
        <v>2010</v>
      </c>
      <c r="D27" s="31">
        <v>3891.5</v>
      </c>
      <c r="E27" s="281">
        <v>49.2</v>
      </c>
      <c r="F27" s="31">
        <v>1708.5</v>
      </c>
      <c r="G27" s="281">
        <v>154.69999999999999</v>
      </c>
      <c r="H27" s="31">
        <v>5600</v>
      </c>
      <c r="I27" s="31">
        <v>203.9</v>
      </c>
      <c r="J27" s="31">
        <v>3891.5</v>
      </c>
      <c r="K27" s="31">
        <v>285.09199999999998</v>
      </c>
      <c r="L27" s="281">
        <v>1279.9147</v>
      </c>
      <c r="M27" s="31">
        <v>81573</v>
      </c>
      <c r="N27" s="281">
        <v>82.68</v>
      </c>
      <c r="O27" s="281">
        <v>11.17</v>
      </c>
      <c r="P27" s="281">
        <v>61.3</v>
      </c>
      <c r="Q27" s="281">
        <v>1.48</v>
      </c>
      <c r="R27" s="281">
        <v>0.09</v>
      </c>
      <c r="S27" s="281">
        <v>1.25</v>
      </c>
      <c r="T27" s="281">
        <v>45296.982000000004</v>
      </c>
      <c r="U27" s="281">
        <v>651887.72</v>
      </c>
      <c r="V27" s="281">
        <v>75623</v>
      </c>
      <c r="W27" s="281">
        <f t="shared" si="0"/>
        <v>6.9485864835741964</v>
      </c>
      <c r="X27" s="31">
        <v>10906.1</v>
      </c>
      <c r="Y27" s="31">
        <v>180382</v>
      </c>
      <c r="Z27" s="31">
        <v>4862</v>
      </c>
      <c r="AA27" s="281">
        <f t="shared" si="1"/>
        <v>6.0461132485502986</v>
      </c>
      <c r="AB27" s="31">
        <v>15380.12</v>
      </c>
      <c r="AC27" s="31">
        <v>387909</v>
      </c>
      <c r="AD27" s="31">
        <v>1083</v>
      </c>
      <c r="AE27" s="281">
        <f t="shared" si="2"/>
        <v>3.9648783606464404</v>
      </c>
      <c r="AF27" s="31">
        <v>1367.798</v>
      </c>
      <c r="AG27" s="31">
        <v>59736</v>
      </c>
      <c r="AH27" s="31">
        <v>5</v>
      </c>
      <c r="AI27" s="281">
        <f t="shared" si="3"/>
        <v>2.2897381813311903</v>
      </c>
      <c r="AJ27" s="31">
        <v>72951</v>
      </c>
      <c r="AK27" s="31">
        <v>1279914.7</v>
      </c>
      <c r="AL27" s="281">
        <v>81573</v>
      </c>
      <c r="AM27" s="281">
        <f t="shared" si="4"/>
        <v>5.6996767050179207</v>
      </c>
    </row>
    <row r="28" spans="1:39">
      <c r="A28" s="371">
        <f>References!J259</f>
        <v>31</v>
      </c>
      <c r="B28" s="292" t="s">
        <v>110</v>
      </c>
      <c r="C28" s="284">
        <v>2011</v>
      </c>
      <c r="D28" s="31">
        <v>3891.2</v>
      </c>
      <c r="E28" s="281">
        <v>48.1</v>
      </c>
      <c r="F28" s="31">
        <v>1730.1</v>
      </c>
      <c r="G28" s="281">
        <v>157.30000000000001</v>
      </c>
      <c r="H28" s="31">
        <v>5621.3</v>
      </c>
      <c r="I28" s="31">
        <v>205.4</v>
      </c>
      <c r="J28" s="31">
        <v>3891.2</v>
      </c>
      <c r="K28" s="31">
        <v>274.08499999999998</v>
      </c>
      <c r="L28" s="281">
        <v>1238.2881</v>
      </c>
      <c r="M28" s="31">
        <v>82368</v>
      </c>
      <c r="N28" s="281">
        <v>111.54</v>
      </c>
      <c r="O28" s="281">
        <v>16.920000000000002</v>
      </c>
      <c r="P28" s="281">
        <v>94.62</v>
      </c>
      <c r="Q28" s="281">
        <v>1.4773510000000001</v>
      </c>
      <c r="R28" s="281">
        <v>0.11709343</v>
      </c>
      <c r="S28" s="281">
        <v>1.3614387999999999</v>
      </c>
      <c r="T28" s="281">
        <v>44422.35</v>
      </c>
      <c r="U28" s="281">
        <v>618934.56999999995</v>
      </c>
      <c r="V28" s="281">
        <v>73656</v>
      </c>
      <c r="W28" s="281">
        <f t="shared" si="0"/>
        <v>7.1772287658774667</v>
      </c>
      <c r="X28" s="31">
        <v>11030.181</v>
      </c>
      <c r="Y28" s="31">
        <v>176499.75</v>
      </c>
      <c r="Z28" s="31">
        <v>5010</v>
      </c>
      <c r="AA28" s="281">
        <f t="shared" si="1"/>
        <v>6.2494031861234935</v>
      </c>
      <c r="AB28" s="31">
        <v>15353.165999999999</v>
      </c>
      <c r="AC28" s="31">
        <v>388360.95</v>
      </c>
      <c r="AD28" s="31">
        <v>1017</v>
      </c>
      <c r="AE28" s="281">
        <f t="shared" si="2"/>
        <v>3.9533238344380397</v>
      </c>
      <c r="AF28" s="31">
        <v>1311.3030000000001</v>
      </c>
      <c r="AG28" s="31">
        <v>54492.851999999999</v>
      </c>
      <c r="AH28" s="31">
        <v>5</v>
      </c>
      <c r="AI28" s="281">
        <f t="shared" si="3"/>
        <v>2.4063761610421861</v>
      </c>
      <c r="AJ28" s="31">
        <v>72117</v>
      </c>
      <c r="AK28" s="31">
        <v>1238288.1000000001</v>
      </c>
      <c r="AL28" s="281">
        <v>82368</v>
      </c>
      <c r="AM28" s="281">
        <f t="shared" si="4"/>
        <v>5.8239274042930713</v>
      </c>
    </row>
    <row r="29" spans="1:39">
      <c r="A29" s="371">
        <f>References!C260</f>
        <v>47</v>
      </c>
      <c r="B29" s="292" t="s">
        <v>31</v>
      </c>
      <c r="C29" s="284">
        <v>2004</v>
      </c>
      <c r="F29" s="31">
        <v>16.2</v>
      </c>
      <c r="H29" s="31">
        <v>608</v>
      </c>
      <c r="J29" s="31">
        <v>592</v>
      </c>
      <c r="K29" s="31">
        <v>7.82</v>
      </c>
      <c r="L29" s="294">
        <v>40.082593000000003</v>
      </c>
      <c r="M29" s="31">
        <v>4171</v>
      </c>
      <c r="N29" s="281">
        <v>256</v>
      </c>
      <c r="Q29" s="281">
        <v>2.41</v>
      </c>
      <c r="W29" s="281" t="str">
        <f t="shared" si="0"/>
        <v/>
      </c>
      <c r="AA29" s="281" t="str">
        <f t="shared" si="1"/>
        <v/>
      </c>
      <c r="AE29" s="281" t="str">
        <f t="shared" si="2"/>
        <v/>
      </c>
      <c r="AI29" s="281" t="str">
        <f t="shared" si="3"/>
        <v/>
      </c>
      <c r="AM29" s="281" t="str">
        <f t="shared" si="4"/>
        <v/>
      </c>
    </row>
    <row r="30" spans="1:39">
      <c r="A30" s="371">
        <f>References!D260</f>
        <v>48</v>
      </c>
      <c r="B30" s="292" t="s">
        <v>31</v>
      </c>
      <c r="C30" s="284">
        <v>2005</v>
      </c>
      <c r="F30" s="31">
        <v>17.2</v>
      </c>
      <c r="H30" s="31">
        <v>598</v>
      </c>
      <c r="J30" s="31">
        <v>581</v>
      </c>
      <c r="K30" s="31">
        <v>7.9029999999999996</v>
      </c>
      <c r="L30" s="294">
        <v>41.168505000000003</v>
      </c>
      <c r="M30" s="31">
        <v>4178</v>
      </c>
      <c r="N30" s="281">
        <v>134</v>
      </c>
      <c r="Q30" s="281">
        <v>1.34</v>
      </c>
      <c r="W30" s="281" t="str">
        <f t="shared" si="0"/>
        <v/>
      </c>
      <c r="AA30" s="281" t="str">
        <f t="shared" si="1"/>
        <v/>
      </c>
      <c r="AE30" s="281" t="str">
        <f t="shared" si="2"/>
        <v/>
      </c>
      <c r="AI30" s="281" t="str">
        <f t="shared" si="3"/>
        <v/>
      </c>
      <c r="AM30" s="281" t="str">
        <f t="shared" si="4"/>
        <v/>
      </c>
    </row>
    <row r="31" spans="1:39">
      <c r="A31" s="371">
        <f>References!E260</f>
        <v>49</v>
      </c>
      <c r="B31" s="292" t="s">
        <v>31</v>
      </c>
      <c r="C31" s="284">
        <v>2006</v>
      </c>
      <c r="F31" s="31">
        <v>23.5</v>
      </c>
      <c r="H31" s="31">
        <v>587</v>
      </c>
      <c r="J31" s="31">
        <v>563</v>
      </c>
      <c r="K31" s="31">
        <v>7.8460000000000001</v>
      </c>
      <c r="L31" s="294">
        <v>40.585568000000002</v>
      </c>
      <c r="M31" s="31">
        <v>4211</v>
      </c>
      <c r="N31" s="281">
        <v>196</v>
      </c>
      <c r="Q31" s="281">
        <v>1.88</v>
      </c>
      <c r="W31" s="281" t="str">
        <f t="shared" si="0"/>
        <v/>
      </c>
      <c r="AA31" s="281" t="str">
        <f t="shared" si="1"/>
        <v/>
      </c>
      <c r="AE31" s="281" t="str">
        <f t="shared" si="2"/>
        <v/>
      </c>
      <c r="AI31" s="281" t="str">
        <f t="shared" si="3"/>
        <v/>
      </c>
      <c r="AM31" s="281" t="str">
        <f t="shared" si="4"/>
        <v/>
      </c>
    </row>
    <row r="32" spans="1:39">
      <c r="A32" s="371">
        <f>References!F260</f>
        <v>50</v>
      </c>
      <c r="B32" s="292" t="s">
        <v>31</v>
      </c>
      <c r="C32" s="284">
        <v>2007</v>
      </c>
      <c r="F32" s="31">
        <v>23.5</v>
      </c>
      <c r="H32" s="31">
        <v>590</v>
      </c>
      <c r="J32" s="31">
        <v>566</v>
      </c>
      <c r="K32" s="31">
        <v>7.6779999999999999</v>
      </c>
      <c r="L32" s="294">
        <v>42.463479999999997</v>
      </c>
      <c r="M32" s="31">
        <v>4258</v>
      </c>
      <c r="N32" s="281">
        <v>355</v>
      </c>
      <c r="Q32" s="281">
        <v>3.24</v>
      </c>
      <c r="W32" s="281" t="str">
        <f t="shared" si="0"/>
        <v/>
      </c>
      <c r="AA32" s="281" t="str">
        <f t="shared" si="1"/>
        <v/>
      </c>
      <c r="AE32" s="281" t="str">
        <f t="shared" si="2"/>
        <v/>
      </c>
      <c r="AI32" s="281" t="str">
        <f t="shared" si="3"/>
        <v/>
      </c>
      <c r="AM32" s="281" t="str">
        <f t="shared" si="4"/>
        <v/>
      </c>
    </row>
    <row r="33" spans="1:39">
      <c r="A33" s="371">
        <f>References!G260</f>
        <v>51</v>
      </c>
      <c r="B33" s="292" t="s">
        <v>31</v>
      </c>
      <c r="C33" s="284">
        <v>2008</v>
      </c>
      <c r="D33" s="31">
        <v>572</v>
      </c>
      <c r="E33" s="281">
        <v>58</v>
      </c>
      <c r="F33" s="31">
        <v>27.5</v>
      </c>
      <c r="G33" s="281">
        <v>8</v>
      </c>
      <c r="H33" s="31">
        <v>599.5</v>
      </c>
      <c r="I33" s="31">
        <v>66</v>
      </c>
      <c r="J33" s="31">
        <v>572</v>
      </c>
      <c r="K33" s="31">
        <v>8.3770000000000007</v>
      </c>
      <c r="L33" s="281">
        <v>43.537999999999997</v>
      </c>
      <c r="M33" s="31">
        <v>4320</v>
      </c>
      <c r="N33" s="281">
        <v>428</v>
      </c>
      <c r="O33" s="281">
        <v>99</v>
      </c>
      <c r="P33" s="281">
        <v>152</v>
      </c>
      <c r="Q33" s="281">
        <v>6.2</v>
      </c>
      <c r="R33" s="281">
        <v>0.38</v>
      </c>
      <c r="S33" s="281">
        <v>1.68</v>
      </c>
      <c r="T33" s="281">
        <v>3254</v>
      </c>
      <c r="U33" s="281">
        <v>29430</v>
      </c>
      <c r="V33" s="281">
        <v>4226</v>
      </c>
      <c r="W33" s="281">
        <f t="shared" si="0"/>
        <v>11.056744818212708</v>
      </c>
      <c r="X33" s="31">
        <v>347</v>
      </c>
      <c r="Y33" s="31">
        <v>4163</v>
      </c>
      <c r="Z33" s="31">
        <v>76</v>
      </c>
      <c r="AA33" s="281">
        <f t="shared" si="1"/>
        <v>8.3353350948834972</v>
      </c>
      <c r="AB33" s="31">
        <v>195</v>
      </c>
      <c r="AC33" s="31">
        <v>2459</v>
      </c>
      <c r="AD33" s="31">
        <v>13</v>
      </c>
      <c r="AE33" s="281">
        <f t="shared" si="2"/>
        <v>7.9300528670191133</v>
      </c>
      <c r="AF33" s="31">
        <v>1766</v>
      </c>
      <c r="AG33" s="31">
        <v>7486</v>
      </c>
      <c r="AH33" s="31">
        <v>5</v>
      </c>
      <c r="AI33" s="281">
        <f t="shared" si="3"/>
        <v>23.590702644937217</v>
      </c>
      <c r="AJ33" s="31">
        <v>5562</v>
      </c>
      <c r="AK33" s="31">
        <v>43538</v>
      </c>
      <c r="AL33" s="281">
        <v>4320</v>
      </c>
      <c r="AM33" s="281">
        <f t="shared" si="4"/>
        <v>12.775047085304791</v>
      </c>
    </row>
    <row r="34" spans="1:39">
      <c r="A34" s="371">
        <f>References!H260</f>
        <v>52</v>
      </c>
      <c r="B34" s="292" t="s">
        <v>31</v>
      </c>
      <c r="C34" s="284">
        <v>2009</v>
      </c>
      <c r="D34" s="31">
        <v>572.15</v>
      </c>
      <c r="E34" s="281">
        <v>0</v>
      </c>
      <c r="F34" s="31">
        <v>30.13</v>
      </c>
      <c r="G34" s="281">
        <v>0</v>
      </c>
      <c r="H34" s="31">
        <v>602.28</v>
      </c>
      <c r="I34" s="31">
        <v>0</v>
      </c>
      <c r="J34" s="31">
        <v>572.16</v>
      </c>
      <c r="K34" s="31">
        <v>8.6419999999999995</v>
      </c>
      <c r="L34" s="281">
        <v>45.166325999999998</v>
      </c>
      <c r="M34" s="31">
        <v>4395</v>
      </c>
      <c r="N34" s="281">
        <v>273.26</v>
      </c>
      <c r="O34" s="281">
        <v>98.64</v>
      </c>
      <c r="P34" s="281">
        <v>150.66999999999999</v>
      </c>
      <c r="Q34" s="281">
        <v>2.52</v>
      </c>
      <c r="R34" s="281">
        <v>0.4</v>
      </c>
      <c r="S34" s="281">
        <v>1.1200000000000001</v>
      </c>
      <c r="T34" s="281">
        <v>3479</v>
      </c>
      <c r="U34" s="281">
        <v>30030.884999999998</v>
      </c>
      <c r="V34" s="281">
        <v>4303</v>
      </c>
      <c r="W34" s="281">
        <f t="shared" si="0"/>
        <v>11.584740176654801</v>
      </c>
      <c r="X34" s="31">
        <v>375</v>
      </c>
      <c r="Y34" s="31">
        <v>4502.3900000000003</v>
      </c>
      <c r="Z34" s="31">
        <v>75</v>
      </c>
      <c r="AA34" s="281">
        <f t="shared" si="1"/>
        <v>8.3289097568180441</v>
      </c>
      <c r="AB34" s="31">
        <v>230</v>
      </c>
      <c r="AC34" s="31">
        <v>2819.8539999999998</v>
      </c>
      <c r="AD34" s="31">
        <v>9</v>
      </c>
      <c r="AE34" s="281">
        <f t="shared" si="2"/>
        <v>8.1564506531189203</v>
      </c>
      <c r="AF34" s="31">
        <v>603</v>
      </c>
      <c r="AG34" s="31">
        <v>7813.1970000000001</v>
      </c>
      <c r="AH34" s="31">
        <v>8</v>
      </c>
      <c r="AI34" s="281">
        <f t="shared" si="3"/>
        <v>7.7177114566546834</v>
      </c>
      <c r="AJ34" s="31">
        <v>4687</v>
      </c>
      <c r="AK34" s="31">
        <v>45166.326000000001</v>
      </c>
      <c r="AL34" s="281">
        <v>4395</v>
      </c>
      <c r="AM34" s="281">
        <f t="shared" si="4"/>
        <v>10.377200040578904</v>
      </c>
    </row>
    <row r="35" spans="1:39">
      <c r="A35" s="371">
        <f>References!I260</f>
        <v>53</v>
      </c>
      <c r="B35" s="292" t="s">
        <v>31</v>
      </c>
      <c r="C35" s="284">
        <v>2010</v>
      </c>
      <c r="D35" s="31">
        <v>584.20000000000005</v>
      </c>
      <c r="E35" s="281">
        <v>58</v>
      </c>
      <c r="F35" s="31">
        <v>32.4</v>
      </c>
      <c r="G35" s="281">
        <v>7.6</v>
      </c>
      <c r="H35" s="31">
        <v>616.6</v>
      </c>
      <c r="I35" s="31">
        <v>65.599999999999994</v>
      </c>
      <c r="J35" s="31">
        <v>584.07000000000005</v>
      </c>
      <c r="K35" s="31">
        <v>9</v>
      </c>
      <c r="L35" s="281">
        <v>48</v>
      </c>
      <c r="M35" s="31">
        <v>4422</v>
      </c>
      <c r="N35" s="281">
        <v>302.3</v>
      </c>
      <c r="O35" s="281">
        <v>147.80000000000001</v>
      </c>
      <c r="P35" s="281">
        <v>154.5</v>
      </c>
      <c r="Q35" s="281">
        <v>2.2400000000000002</v>
      </c>
      <c r="R35" s="281">
        <v>0.49</v>
      </c>
      <c r="S35" s="281">
        <v>1.75</v>
      </c>
      <c r="T35" s="281">
        <v>3862</v>
      </c>
      <c r="U35" s="281">
        <v>30563</v>
      </c>
      <c r="V35" s="281">
        <v>4332</v>
      </c>
      <c r="W35" s="281">
        <f t="shared" si="0"/>
        <v>12.636194090894218</v>
      </c>
      <c r="X35" s="31">
        <v>462</v>
      </c>
      <c r="Y35" s="31">
        <v>5151</v>
      </c>
      <c r="Z35" s="31">
        <v>72</v>
      </c>
      <c r="AA35" s="281">
        <f t="shared" si="1"/>
        <v>8.9691322073383812</v>
      </c>
      <c r="AB35" s="31">
        <v>248</v>
      </c>
      <c r="AC35" s="31">
        <v>2809</v>
      </c>
      <c r="AD35" s="31">
        <v>9</v>
      </c>
      <c r="AE35" s="281">
        <f t="shared" si="2"/>
        <v>8.8287646849412607</v>
      </c>
      <c r="AF35" s="31">
        <v>792</v>
      </c>
      <c r="AG35" s="31">
        <v>9477</v>
      </c>
      <c r="AH35" s="31">
        <v>9</v>
      </c>
      <c r="AI35" s="281">
        <f t="shared" si="3"/>
        <v>8.3570750237416895</v>
      </c>
      <c r="AJ35" s="31">
        <v>5364</v>
      </c>
      <c r="AK35" s="31">
        <v>48000</v>
      </c>
      <c r="AL35" s="281">
        <v>4422</v>
      </c>
      <c r="AM35" s="281">
        <f t="shared" si="4"/>
        <v>11.175000000000001</v>
      </c>
    </row>
    <row r="36" spans="1:39">
      <c r="A36" s="371">
        <f>References!J260</f>
        <v>54</v>
      </c>
      <c r="B36" s="292" t="s">
        <v>31</v>
      </c>
      <c r="C36" s="284">
        <v>2011</v>
      </c>
      <c r="D36" s="31">
        <v>586.39</v>
      </c>
      <c r="E36" s="281">
        <v>58</v>
      </c>
      <c r="F36" s="31">
        <v>36.799999999999997</v>
      </c>
      <c r="G36" s="281">
        <v>7.6</v>
      </c>
      <c r="H36" s="31">
        <v>623.19000000000005</v>
      </c>
      <c r="I36" s="31">
        <v>65.599999999999994</v>
      </c>
      <c r="J36" s="31">
        <v>586.39</v>
      </c>
      <c r="K36" s="31">
        <v>10.593</v>
      </c>
      <c r="L36" s="281">
        <v>55.909939000000001</v>
      </c>
      <c r="M36" s="31">
        <v>4471</v>
      </c>
      <c r="N36" s="281">
        <v>288.7</v>
      </c>
      <c r="O36" s="281">
        <v>150.9</v>
      </c>
      <c r="P36" s="281">
        <v>137.69999999999999</v>
      </c>
      <c r="Q36" s="281">
        <v>2.0699999999999998</v>
      </c>
      <c r="R36" s="281">
        <v>0.79</v>
      </c>
      <c r="S36" s="281">
        <v>1.28</v>
      </c>
      <c r="T36" s="281">
        <v>2865.5581000000002</v>
      </c>
      <c r="U36" s="281">
        <v>20119.02</v>
      </c>
      <c r="V36" s="281">
        <v>3818</v>
      </c>
      <c r="W36" s="281">
        <f t="shared" si="0"/>
        <v>14.243030227118417</v>
      </c>
      <c r="X36" s="31">
        <v>1555.3861999999999</v>
      </c>
      <c r="Y36" s="31">
        <v>14226.752</v>
      </c>
      <c r="Z36" s="31">
        <v>634</v>
      </c>
      <c r="AA36" s="281">
        <f t="shared" si="1"/>
        <v>10.932827113314408</v>
      </c>
      <c r="AB36" s="31">
        <v>257.33213000000001</v>
      </c>
      <c r="AC36" s="31">
        <v>3247.2804000000001</v>
      </c>
      <c r="AD36" s="31">
        <v>14</v>
      </c>
      <c r="AE36" s="281">
        <f t="shared" si="2"/>
        <v>7.9245429498481252</v>
      </c>
      <c r="AF36" s="31">
        <v>1522.1706999999999</v>
      </c>
      <c r="AG36" s="31">
        <v>18316.886999999999</v>
      </c>
      <c r="AH36" s="31">
        <v>5</v>
      </c>
      <c r="AI36" s="281">
        <f t="shared" si="3"/>
        <v>8.3102041302105523</v>
      </c>
      <c r="AJ36" s="31">
        <v>6200.4471999999996</v>
      </c>
      <c r="AK36" s="31">
        <v>55909.938999999998</v>
      </c>
      <c r="AL36" s="281">
        <v>4471</v>
      </c>
      <c r="AM36" s="281">
        <f t="shared" si="4"/>
        <v>11.090062537896884</v>
      </c>
    </row>
    <row r="37" spans="1:39">
      <c r="A37" s="371">
        <f>References!C261</f>
        <v>70</v>
      </c>
      <c r="B37" s="292" t="s">
        <v>32</v>
      </c>
      <c r="C37" s="284">
        <v>2004</v>
      </c>
      <c r="F37" s="31">
        <v>21</v>
      </c>
      <c r="H37" s="31">
        <v>1638</v>
      </c>
      <c r="J37" s="31">
        <v>1618</v>
      </c>
      <c r="K37" s="31">
        <v>19.015999999999998</v>
      </c>
      <c r="L37" s="294">
        <v>104.33498299999999</v>
      </c>
      <c r="M37" s="31">
        <v>7457</v>
      </c>
      <c r="N37" s="281">
        <v>388</v>
      </c>
      <c r="Q37" s="281">
        <v>7</v>
      </c>
      <c r="W37" s="281" t="str">
        <f t="shared" si="0"/>
        <v/>
      </c>
      <c r="AA37" s="281" t="str">
        <f t="shared" si="1"/>
        <v/>
      </c>
      <c r="AE37" s="281" t="str">
        <f t="shared" si="2"/>
        <v/>
      </c>
      <c r="AI37" s="281" t="str">
        <f t="shared" si="3"/>
        <v/>
      </c>
      <c r="AM37" s="281" t="str">
        <f t="shared" si="4"/>
        <v/>
      </c>
    </row>
    <row r="38" spans="1:39">
      <c r="A38" s="371">
        <f>References!D261</f>
        <v>71</v>
      </c>
      <c r="B38" s="292" t="s">
        <v>32</v>
      </c>
      <c r="C38" s="284">
        <v>2005</v>
      </c>
      <c r="F38" s="31">
        <v>34.700000000000003</v>
      </c>
      <c r="H38" s="31">
        <v>1649.9</v>
      </c>
      <c r="J38" s="31">
        <v>1615.2</v>
      </c>
      <c r="K38" s="31">
        <v>19.024000000000001</v>
      </c>
      <c r="L38" s="294">
        <v>106.01869499999999</v>
      </c>
      <c r="M38" s="31">
        <v>7532</v>
      </c>
      <c r="N38" s="281">
        <v>171.39</v>
      </c>
      <c r="Q38" s="281">
        <v>4.43</v>
      </c>
      <c r="W38" s="281" t="str">
        <f t="shared" si="0"/>
        <v/>
      </c>
      <c r="AA38" s="281" t="str">
        <f t="shared" si="1"/>
        <v/>
      </c>
      <c r="AE38" s="281" t="str">
        <f t="shared" si="2"/>
        <v/>
      </c>
      <c r="AI38" s="281" t="str">
        <f t="shared" si="3"/>
        <v/>
      </c>
      <c r="AM38" s="281" t="str">
        <f t="shared" si="4"/>
        <v/>
      </c>
    </row>
    <row r="39" spans="1:39">
      <c r="A39" s="371">
        <f>References!E261</f>
        <v>72</v>
      </c>
      <c r="B39" s="292" t="s">
        <v>32</v>
      </c>
      <c r="C39" s="284">
        <v>2006</v>
      </c>
      <c r="F39" s="31">
        <v>52.7</v>
      </c>
      <c r="H39" s="31">
        <v>1669.1</v>
      </c>
      <c r="J39" s="31">
        <v>1616.4</v>
      </c>
      <c r="K39" s="31">
        <v>19.835999999999999</v>
      </c>
      <c r="L39" s="294">
        <v>106.46754799999999</v>
      </c>
      <c r="M39" s="31">
        <v>7692</v>
      </c>
      <c r="N39" s="281">
        <v>153.19999999999999</v>
      </c>
      <c r="Q39" s="281">
        <v>5.58</v>
      </c>
      <c r="W39" s="281" t="str">
        <f t="shared" si="0"/>
        <v/>
      </c>
      <c r="AA39" s="281" t="str">
        <f t="shared" si="1"/>
        <v/>
      </c>
      <c r="AE39" s="281" t="str">
        <f t="shared" si="2"/>
        <v/>
      </c>
      <c r="AI39" s="281" t="str">
        <f t="shared" si="3"/>
        <v/>
      </c>
      <c r="AM39" s="281" t="str">
        <f t="shared" si="4"/>
        <v/>
      </c>
    </row>
    <row r="40" spans="1:39" ht="13.5" customHeight="1">
      <c r="A40" s="371">
        <f>References!F261</f>
        <v>73</v>
      </c>
      <c r="B40" s="292" t="s">
        <v>32</v>
      </c>
      <c r="C40" s="284">
        <v>2007</v>
      </c>
      <c r="F40" s="31">
        <v>70.34</v>
      </c>
      <c r="H40" s="31">
        <v>1707</v>
      </c>
      <c r="J40" s="31">
        <v>1636.6</v>
      </c>
      <c r="K40" s="31">
        <v>19.006</v>
      </c>
      <c r="L40" s="294">
        <v>103.64460800000001</v>
      </c>
      <c r="M40" s="31">
        <v>7775</v>
      </c>
      <c r="N40" s="281">
        <v>246.6</v>
      </c>
      <c r="Q40" s="281">
        <v>4.1900000000000004</v>
      </c>
      <c r="W40" s="281" t="str">
        <f t="shared" si="0"/>
        <v/>
      </c>
      <c r="AA40" s="281" t="str">
        <f t="shared" si="1"/>
        <v/>
      </c>
      <c r="AE40" s="281" t="str">
        <f t="shared" si="2"/>
        <v/>
      </c>
      <c r="AI40" s="281" t="str">
        <f t="shared" si="3"/>
        <v/>
      </c>
      <c r="AM40" s="281" t="str">
        <f t="shared" si="4"/>
        <v/>
      </c>
    </row>
    <row r="41" spans="1:39">
      <c r="A41" s="371">
        <f>References!G261</f>
        <v>74</v>
      </c>
      <c r="B41" s="292" t="s">
        <v>32</v>
      </c>
      <c r="C41" s="284">
        <v>2008</v>
      </c>
      <c r="D41" s="31">
        <v>1641.9</v>
      </c>
      <c r="E41" s="281">
        <v>0</v>
      </c>
      <c r="F41" s="31">
        <v>70.3</v>
      </c>
      <c r="G41" s="281">
        <v>0</v>
      </c>
      <c r="H41" s="31">
        <v>1712.2</v>
      </c>
      <c r="I41" s="31">
        <v>0</v>
      </c>
      <c r="J41" s="31">
        <v>1641.9</v>
      </c>
      <c r="K41" s="31">
        <v>20.512</v>
      </c>
      <c r="L41" s="281">
        <v>105.4667</v>
      </c>
      <c r="M41" s="31">
        <v>7958</v>
      </c>
      <c r="N41" s="281">
        <v>157.09</v>
      </c>
      <c r="O41" s="281">
        <v>50.17</v>
      </c>
      <c r="P41" s="281">
        <v>106.92</v>
      </c>
      <c r="Q41" s="281">
        <v>2.68</v>
      </c>
      <c r="R41" s="281">
        <v>0.15</v>
      </c>
      <c r="S41" s="281">
        <v>2.5299999999999998</v>
      </c>
      <c r="T41" s="281">
        <v>5116.3234000000002</v>
      </c>
      <c r="U41" s="281">
        <v>60502.777000000002</v>
      </c>
      <c r="V41" s="281">
        <v>7904</v>
      </c>
      <c r="W41" s="281">
        <f t="shared" si="0"/>
        <v>8.4563447393497331</v>
      </c>
      <c r="X41" s="31">
        <v>606.59465</v>
      </c>
      <c r="Y41" s="31">
        <v>9605.0949999999993</v>
      </c>
      <c r="Z41" s="31">
        <v>43</v>
      </c>
      <c r="AA41" s="281">
        <f t="shared" si="1"/>
        <v>6.3153425343528617</v>
      </c>
      <c r="AB41" s="31">
        <v>157.73703</v>
      </c>
      <c r="AC41" s="31">
        <v>3217.953</v>
      </c>
      <c r="AD41" s="31">
        <v>7</v>
      </c>
      <c r="AE41" s="281">
        <f t="shared" si="2"/>
        <v>4.9017816605773925</v>
      </c>
      <c r="AF41" s="31">
        <v>915.11711000000003</v>
      </c>
      <c r="AG41" s="31">
        <v>32140.876</v>
      </c>
      <c r="AH41" s="31">
        <v>4</v>
      </c>
      <c r="AI41" s="281">
        <f t="shared" si="3"/>
        <v>2.8472064980431768</v>
      </c>
      <c r="AJ41" s="31">
        <v>6795.7722000000003</v>
      </c>
      <c r="AK41" s="31">
        <v>105466.7</v>
      </c>
      <c r="AL41" s="281">
        <v>7958</v>
      </c>
      <c r="AM41" s="281">
        <f t="shared" si="4"/>
        <v>6.4435240696826588</v>
      </c>
    </row>
    <row r="42" spans="1:39">
      <c r="A42" s="371">
        <f>References!H261</f>
        <v>75</v>
      </c>
      <c r="B42" s="292" t="s">
        <v>32</v>
      </c>
      <c r="C42" s="284">
        <v>2009</v>
      </c>
      <c r="D42" s="31">
        <v>1721</v>
      </c>
      <c r="E42" s="281">
        <v>47.9</v>
      </c>
      <c r="F42" s="31">
        <v>76.007000000000005</v>
      </c>
      <c r="G42" s="281">
        <v>0</v>
      </c>
      <c r="H42" s="31">
        <v>1769.0070000000001</v>
      </c>
      <c r="I42" s="31">
        <v>47.9</v>
      </c>
      <c r="J42" s="31">
        <v>1693</v>
      </c>
      <c r="K42" s="31">
        <v>20.63</v>
      </c>
      <c r="L42" s="281">
        <v>109.37146</v>
      </c>
      <c r="M42" s="31">
        <v>7981</v>
      </c>
      <c r="N42" s="281">
        <v>198.76</v>
      </c>
      <c r="O42" s="281">
        <v>66.239999999999995</v>
      </c>
      <c r="P42" s="281">
        <v>132.52000000000001</v>
      </c>
      <c r="Q42" s="281">
        <v>4.93</v>
      </c>
      <c r="R42" s="281">
        <v>0.26</v>
      </c>
      <c r="S42" s="281">
        <v>4.67</v>
      </c>
      <c r="T42" s="281">
        <v>6015.2864</v>
      </c>
      <c r="U42" s="281">
        <v>64471.752999999997</v>
      </c>
      <c r="V42" s="281">
        <v>7900</v>
      </c>
      <c r="W42" s="281">
        <f t="shared" si="0"/>
        <v>9.3301114365542386</v>
      </c>
      <c r="X42" s="31">
        <v>620.94794000000002</v>
      </c>
      <c r="Y42" s="31">
        <v>8436.6910000000007</v>
      </c>
      <c r="Z42" s="31">
        <v>68</v>
      </c>
      <c r="AA42" s="281">
        <f t="shared" si="1"/>
        <v>7.3600886887999097</v>
      </c>
      <c r="AB42" s="31">
        <v>135.77821</v>
      </c>
      <c r="AC42" s="31">
        <v>2291.12</v>
      </c>
      <c r="AD42" s="31">
        <v>8</v>
      </c>
      <c r="AE42" s="281">
        <f t="shared" si="2"/>
        <v>5.9262810328572924</v>
      </c>
      <c r="AF42" s="31">
        <v>982.35338000000002</v>
      </c>
      <c r="AG42" s="31">
        <v>34171.894</v>
      </c>
      <c r="AH42" s="31">
        <v>5</v>
      </c>
      <c r="AI42" s="281">
        <f t="shared" si="3"/>
        <v>2.8747408030705</v>
      </c>
      <c r="AJ42" s="31">
        <v>7754.366</v>
      </c>
      <c r="AK42" s="31">
        <v>109371.46</v>
      </c>
      <c r="AL42" s="281">
        <v>7981</v>
      </c>
      <c r="AM42" s="281">
        <f t="shared" si="4"/>
        <v>7.089935527970459</v>
      </c>
    </row>
    <row r="43" spans="1:39">
      <c r="A43" s="371">
        <f>References!I261</f>
        <v>76</v>
      </c>
      <c r="B43" s="292" t="s">
        <v>32</v>
      </c>
      <c r="C43" s="284">
        <v>2010</v>
      </c>
      <c r="D43" s="31">
        <v>1721</v>
      </c>
      <c r="E43" s="281">
        <v>46.47</v>
      </c>
      <c r="F43" s="31">
        <v>96.105000000000004</v>
      </c>
      <c r="G43" s="281">
        <v>11.57</v>
      </c>
      <c r="H43" s="31">
        <v>1837.105</v>
      </c>
      <c r="I43" s="31">
        <v>58.04</v>
      </c>
      <c r="J43" s="31">
        <v>1741</v>
      </c>
      <c r="K43" s="31">
        <v>20.391999999999999</v>
      </c>
      <c r="L43" s="281">
        <v>107.82899999999999</v>
      </c>
      <c r="M43" s="31">
        <v>7983</v>
      </c>
      <c r="N43" s="281">
        <v>132.94</v>
      </c>
      <c r="O43" s="281">
        <v>68.64</v>
      </c>
      <c r="P43" s="281">
        <v>64.36</v>
      </c>
      <c r="Q43" s="281">
        <v>2.34</v>
      </c>
      <c r="R43" s="281">
        <v>0.28000000000000003</v>
      </c>
      <c r="S43" s="281">
        <v>2.06</v>
      </c>
      <c r="T43" s="281">
        <v>6597</v>
      </c>
      <c r="U43" s="281">
        <v>61621</v>
      </c>
      <c r="V43" s="281">
        <v>7902</v>
      </c>
      <c r="W43" s="281">
        <f t="shared" si="0"/>
        <v>10.705765891498029</v>
      </c>
      <c r="X43" s="31">
        <v>593</v>
      </c>
      <c r="Y43" s="31">
        <v>7285</v>
      </c>
      <c r="Z43" s="31">
        <v>68</v>
      </c>
      <c r="AA43" s="281">
        <f t="shared" si="1"/>
        <v>8.1400137268359636</v>
      </c>
      <c r="AB43" s="31">
        <v>253</v>
      </c>
      <c r="AC43" s="31">
        <v>4395</v>
      </c>
      <c r="AD43" s="31">
        <v>8</v>
      </c>
      <c r="AE43" s="281">
        <f t="shared" si="2"/>
        <v>5.756541524459613</v>
      </c>
      <c r="AF43" s="31">
        <v>1189</v>
      </c>
      <c r="AG43" s="31">
        <v>34528</v>
      </c>
      <c r="AH43" s="31">
        <v>5</v>
      </c>
      <c r="AI43" s="281">
        <f t="shared" si="3"/>
        <v>3.4435820203892491</v>
      </c>
      <c r="AJ43" s="31">
        <v>8632</v>
      </c>
      <c r="AK43" s="31">
        <v>107829</v>
      </c>
      <c r="AL43" s="281">
        <v>7983</v>
      </c>
      <c r="AM43" s="281">
        <f t="shared" si="4"/>
        <v>8.0052675996253324</v>
      </c>
    </row>
    <row r="44" spans="1:39">
      <c r="A44" s="371">
        <f>References!J261</f>
        <v>77</v>
      </c>
      <c r="B44" s="292" t="s">
        <v>32</v>
      </c>
      <c r="C44" s="284">
        <v>2011</v>
      </c>
      <c r="D44" s="31">
        <v>1727</v>
      </c>
      <c r="E44" s="281">
        <v>47</v>
      </c>
      <c r="F44" s="31">
        <v>80.5</v>
      </c>
      <c r="G44" s="281">
        <v>12</v>
      </c>
      <c r="H44" s="31">
        <v>1727.5</v>
      </c>
      <c r="I44" s="31">
        <v>59</v>
      </c>
      <c r="J44" s="31">
        <v>1647</v>
      </c>
      <c r="K44" s="31">
        <v>21</v>
      </c>
      <c r="L44" s="281">
        <v>109.283</v>
      </c>
      <c r="M44" s="31">
        <v>8245</v>
      </c>
      <c r="N44" s="281">
        <v>191.45</v>
      </c>
      <c r="O44" s="281">
        <v>84.81</v>
      </c>
      <c r="P44" s="281">
        <v>106.64</v>
      </c>
      <c r="Q44" s="281">
        <v>4.72</v>
      </c>
      <c r="R44" s="281">
        <v>0.42</v>
      </c>
      <c r="S44" s="281">
        <v>4.3</v>
      </c>
      <c r="T44" s="281">
        <v>7603</v>
      </c>
      <c r="U44" s="281">
        <v>66101</v>
      </c>
      <c r="V44" s="281">
        <v>8192</v>
      </c>
      <c r="W44" s="281">
        <f t="shared" si="0"/>
        <v>11.502095278437542</v>
      </c>
      <c r="X44" s="31">
        <v>863</v>
      </c>
      <c r="Y44" s="31">
        <v>10200</v>
      </c>
      <c r="Z44" s="31">
        <v>48</v>
      </c>
      <c r="AA44" s="281">
        <f t="shared" si="1"/>
        <v>8.4607843137254903</v>
      </c>
      <c r="AB44" s="31">
        <v>0</v>
      </c>
      <c r="AC44" s="31">
        <v>0</v>
      </c>
      <c r="AD44" s="31">
        <v>0</v>
      </c>
      <c r="AE44" s="281" t="e">
        <f t="shared" si="2"/>
        <v>#DIV/0!</v>
      </c>
      <c r="AF44" s="31">
        <v>1096</v>
      </c>
      <c r="AG44" s="31">
        <v>32982</v>
      </c>
      <c r="AH44" s="31">
        <v>5</v>
      </c>
      <c r="AI44" s="281">
        <f t="shared" si="3"/>
        <v>3.323024680128555</v>
      </c>
      <c r="AJ44" s="31">
        <v>9562</v>
      </c>
      <c r="AK44" s="31">
        <v>109283</v>
      </c>
      <c r="AL44" s="281">
        <v>8245</v>
      </c>
      <c r="AM44" s="281">
        <f t="shared" si="4"/>
        <v>8.7497597979557664</v>
      </c>
    </row>
    <row r="45" spans="1:39">
      <c r="A45" s="371">
        <f>References!C262</f>
        <v>93</v>
      </c>
      <c r="B45" s="292" t="s">
        <v>33</v>
      </c>
      <c r="C45" s="284">
        <v>2004</v>
      </c>
      <c r="F45" s="31">
        <v>444.3</v>
      </c>
      <c r="H45" s="31">
        <v>3246</v>
      </c>
      <c r="J45" s="31">
        <v>2801.7</v>
      </c>
      <c r="K45" s="31">
        <v>80.128</v>
      </c>
      <c r="L45" s="294">
        <v>417.97199999999998</v>
      </c>
      <c r="M45" s="31">
        <v>32781</v>
      </c>
      <c r="N45" s="281">
        <v>96.45</v>
      </c>
      <c r="Q45" s="281">
        <v>2.72</v>
      </c>
      <c r="W45" s="281" t="str">
        <f t="shared" si="0"/>
        <v/>
      </c>
      <c r="AA45" s="281" t="str">
        <f t="shared" si="1"/>
        <v/>
      </c>
      <c r="AE45" s="281" t="str">
        <f t="shared" si="2"/>
        <v/>
      </c>
      <c r="AI45" s="281" t="str">
        <f t="shared" si="3"/>
        <v/>
      </c>
      <c r="AM45" s="281" t="str">
        <f t="shared" si="4"/>
        <v/>
      </c>
    </row>
    <row r="46" spans="1:39">
      <c r="A46" s="371">
        <f>References!D262</f>
        <v>94</v>
      </c>
      <c r="B46" s="292" t="s">
        <v>33</v>
      </c>
      <c r="C46" s="284">
        <v>2005</v>
      </c>
      <c r="F46" s="31">
        <v>454.06</v>
      </c>
      <c r="H46" s="31">
        <v>3233.04</v>
      </c>
      <c r="J46" s="31">
        <v>2778.98</v>
      </c>
      <c r="K46" s="31">
        <v>85.26</v>
      </c>
      <c r="L46" s="294">
        <v>440.29605099999998</v>
      </c>
      <c r="M46" s="31">
        <v>33931</v>
      </c>
      <c r="N46" s="281">
        <v>59.6</v>
      </c>
      <c r="Q46" s="281">
        <v>2.13</v>
      </c>
      <c r="W46" s="281" t="str">
        <f t="shared" si="0"/>
        <v/>
      </c>
      <c r="AA46" s="281" t="str">
        <f t="shared" si="1"/>
        <v/>
      </c>
      <c r="AE46" s="281" t="str">
        <f t="shared" si="2"/>
        <v/>
      </c>
      <c r="AI46" s="281" t="str">
        <f t="shared" si="3"/>
        <v/>
      </c>
      <c r="AM46" s="281" t="str">
        <f t="shared" si="4"/>
        <v/>
      </c>
    </row>
    <row r="47" spans="1:39">
      <c r="A47" s="371">
        <f>References!E262</f>
        <v>95</v>
      </c>
      <c r="B47" s="292" t="s">
        <v>33</v>
      </c>
      <c r="C47" s="284">
        <v>2006</v>
      </c>
      <c r="F47" s="31">
        <v>473.39</v>
      </c>
      <c r="H47" s="31">
        <v>3260.4639999999999</v>
      </c>
      <c r="J47" s="31">
        <v>2787.07</v>
      </c>
      <c r="K47" s="31">
        <v>87.097999999999999</v>
      </c>
      <c r="L47" s="294">
        <v>444.48528299999998</v>
      </c>
      <c r="M47" s="31">
        <v>34813</v>
      </c>
      <c r="N47" s="281">
        <v>61.73</v>
      </c>
      <c r="Q47" s="281">
        <v>1.65</v>
      </c>
      <c r="W47" s="281" t="str">
        <f t="shared" si="0"/>
        <v/>
      </c>
      <c r="AA47" s="281" t="str">
        <f t="shared" si="1"/>
        <v/>
      </c>
      <c r="AE47" s="281" t="str">
        <f t="shared" si="2"/>
        <v/>
      </c>
      <c r="AI47" s="281" t="str">
        <f t="shared" si="3"/>
        <v/>
      </c>
      <c r="AM47" s="281" t="str">
        <f t="shared" si="4"/>
        <v/>
      </c>
    </row>
    <row r="48" spans="1:39">
      <c r="A48" s="371">
        <f>References!F262</f>
        <v>96</v>
      </c>
      <c r="B48" s="292" t="s">
        <v>33</v>
      </c>
      <c r="C48" s="284">
        <v>2007</v>
      </c>
      <c r="F48" s="31">
        <v>511.25</v>
      </c>
      <c r="H48" s="31">
        <v>2962.9</v>
      </c>
      <c r="J48" s="31">
        <v>2451.65</v>
      </c>
      <c r="K48" s="31">
        <v>91.506</v>
      </c>
      <c r="L48" s="294">
        <v>457.00062400000002</v>
      </c>
      <c r="M48" s="31">
        <v>35545</v>
      </c>
      <c r="N48" s="281">
        <v>109.49</v>
      </c>
      <c r="Q48" s="281">
        <v>3.12</v>
      </c>
      <c r="W48" s="281" t="str">
        <f t="shared" si="0"/>
        <v/>
      </c>
      <c r="AA48" s="281" t="str">
        <f t="shared" si="1"/>
        <v/>
      </c>
      <c r="AE48" s="281" t="str">
        <f t="shared" si="2"/>
        <v/>
      </c>
      <c r="AI48" s="281" t="str">
        <f t="shared" si="3"/>
        <v/>
      </c>
      <c r="AM48" s="281" t="str">
        <f t="shared" si="4"/>
        <v/>
      </c>
    </row>
    <row r="49" spans="1:39">
      <c r="A49" s="371">
        <f>References!G262</f>
        <v>97</v>
      </c>
      <c r="B49" s="292" t="s">
        <v>33</v>
      </c>
      <c r="C49" s="284">
        <v>2008</v>
      </c>
      <c r="D49" s="31">
        <v>2429.8802000000001</v>
      </c>
      <c r="E49" s="281">
        <v>0</v>
      </c>
      <c r="F49" s="31">
        <v>545.19991000000005</v>
      </c>
      <c r="G49" s="281">
        <v>1.9311841999999999</v>
      </c>
      <c r="H49" s="31">
        <v>2975.0801999999999</v>
      </c>
      <c r="I49" s="31">
        <v>1.9311841999999999</v>
      </c>
      <c r="J49" s="31">
        <v>2429.8802000000001</v>
      </c>
      <c r="K49" s="31">
        <v>92.427999999999997</v>
      </c>
      <c r="L49" s="281">
        <v>464.86900000000003</v>
      </c>
      <c r="M49" s="31">
        <v>35613</v>
      </c>
      <c r="N49" s="281">
        <v>167.78100000000001</v>
      </c>
      <c r="O49" s="281">
        <v>19.248699999999999</v>
      </c>
      <c r="P49" s="281">
        <v>148.53229999999999</v>
      </c>
      <c r="Q49" s="281">
        <v>2.1968000000000001</v>
      </c>
      <c r="R49" s="281">
        <v>0.1082</v>
      </c>
      <c r="S49" s="281">
        <v>2.0886</v>
      </c>
      <c r="T49" s="281">
        <v>12320</v>
      </c>
      <c r="U49" s="281">
        <v>210435</v>
      </c>
      <c r="V49" s="281">
        <v>28093</v>
      </c>
      <c r="W49" s="281">
        <f t="shared" si="0"/>
        <v>5.8545394064675556</v>
      </c>
      <c r="X49" s="31">
        <v>5814</v>
      </c>
      <c r="Y49" s="31">
        <v>89039</v>
      </c>
      <c r="Z49" s="31">
        <v>6992</v>
      </c>
      <c r="AA49" s="281">
        <f t="shared" si="1"/>
        <v>6.5297229304012845</v>
      </c>
      <c r="AB49" s="31">
        <v>5544</v>
      </c>
      <c r="AC49" s="31">
        <v>112584</v>
      </c>
      <c r="AD49" s="31">
        <v>523</v>
      </c>
      <c r="AE49" s="281">
        <f t="shared" si="2"/>
        <v>4.9243231720315501</v>
      </c>
      <c r="AF49" s="31">
        <v>1428</v>
      </c>
      <c r="AG49" s="31">
        <v>52811</v>
      </c>
      <c r="AH49" s="31">
        <v>5</v>
      </c>
      <c r="AI49" s="281">
        <f t="shared" si="3"/>
        <v>2.7039821249360929</v>
      </c>
      <c r="AJ49" s="31">
        <v>25106</v>
      </c>
      <c r="AK49" s="31">
        <v>464869</v>
      </c>
      <c r="AL49" s="281">
        <v>35613</v>
      </c>
      <c r="AM49" s="281">
        <f t="shared" si="4"/>
        <v>5.4006612615597085</v>
      </c>
    </row>
    <row r="50" spans="1:39">
      <c r="A50" s="371">
        <f>References!H262</f>
        <v>98</v>
      </c>
      <c r="B50" s="292" t="s">
        <v>33</v>
      </c>
      <c r="C50" s="284">
        <v>2009</v>
      </c>
      <c r="D50" s="31">
        <v>2446.2548999999999</v>
      </c>
      <c r="E50" s="281">
        <v>0</v>
      </c>
      <c r="F50" s="31">
        <v>562.75279999999998</v>
      </c>
      <c r="G50" s="281">
        <v>3</v>
      </c>
      <c r="H50" s="31">
        <v>3009.0077000000001</v>
      </c>
      <c r="I50" s="31">
        <v>3</v>
      </c>
      <c r="J50" s="31">
        <v>2446.2548999999999</v>
      </c>
      <c r="K50" s="31">
        <v>94.09</v>
      </c>
      <c r="L50" s="281">
        <v>472.77141</v>
      </c>
      <c r="M50" s="31">
        <v>35970</v>
      </c>
      <c r="N50" s="281">
        <v>171.6781</v>
      </c>
      <c r="O50" s="281">
        <v>26.985524999999999</v>
      </c>
      <c r="P50" s="281">
        <v>144.69257999999999</v>
      </c>
      <c r="Q50" s="281">
        <v>3.6193339999999998</v>
      </c>
      <c r="R50" s="281">
        <v>0.1502916</v>
      </c>
      <c r="S50" s="281">
        <v>3.4690424000000002</v>
      </c>
      <c r="T50" s="281">
        <v>13502</v>
      </c>
      <c r="U50" s="281">
        <v>214017.72</v>
      </c>
      <c r="V50" s="281">
        <v>28467</v>
      </c>
      <c r="W50" s="281">
        <f t="shared" si="0"/>
        <v>6.3088234002305974</v>
      </c>
      <c r="X50" s="31">
        <v>6419</v>
      </c>
      <c r="Y50" s="31">
        <v>90481.436000000002</v>
      </c>
      <c r="Z50" s="31">
        <v>6976</v>
      </c>
      <c r="AA50" s="281">
        <f t="shared" si="1"/>
        <v>7.0942729069861361</v>
      </c>
      <c r="AB50" s="31">
        <v>6836</v>
      </c>
      <c r="AC50" s="31">
        <v>117778.9</v>
      </c>
      <c r="AD50" s="31">
        <v>522</v>
      </c>
      <c r="AE50" s="281">
        <f t="shared" si="2"/>
        <v>5.8040956402207868</v>
      </c>
      <c r="AF50" s="31">
        <v>1637</v>
      </c>
      <c r="AG50" s="31">
        <v>50493.358</v>
      </c>
      <c r="AH50" s="31">
        <v>5</v>
      </c>
      <c r="AI50" s="281">
        <f t="shared" si="3"/>
        <v>3.242010563052669</v>
      </c>
      <c r="AJ50" s="31">
        <v>28394</v>
      </c>
      <c r="AK50" s="31">
        <v>472771.41</v>
      </c>
      <c r="AL50" s="281">
        <v>35970</v>
      </c>
      <c r="AM50" s="281">
        <f t="shared" si="4"/>
        <v>6.0058623257273531</v>
      </c>
    </row>
    <row r="51" spans="1:39">
      <c r="A51" s="371">
        <f>References!I262</f>
        <v>99</v>
      </c>
      <c r="B51" s="292" t="s">
        <v>33</v>
      </c>
      <c r="C51" s="284">
        <v>2010</v>
      </c>
      <c r="D51" s="31">
        <v>2438.3126999999999</v>
      </c>
      <c r="E51" s="281">
        <v>0</v>
      </c>
      <c r="F51" s="31">
        <v>584.17917999999997</v>
      </c>
      <c r="G51" s="281">
        <v>3.8672895</v>
      </c>
      <c r="H51" s="31">
        <v>3022.4917999999998</v>
      </c>
      <c r="I51" s="31">
        <v>3.8672895</v>
      </c>
      <c r="J51" s="31">
        <v>2438.3126999999999</v>
      </c>
      <c r="K51" s="31">
        <v>96.197999999999993</v>
      </c>
      <c r="L51" s="281">
        <v>476.07069000000001</v>
      </c>
      <c r="M51" s="31">
        <v>36447</v>
      </c>
      <c r="N51" s="281">
        <v>98.101715999999996</v>
      </c>
      <c r="O51" s="281">
        <v>12.599334000000001</v>
      </c>
      <c r="P51" s="281">
        <v>65.694961000000006</v>
      </c>
      <c r="Q51" s="281">
        <v>2.3148430000000002</v>
      </c>
      <c r="R51" s="281">
        <v>0.11734799999999999</v>
      </c>
      <c r="S51" s="281">
        <v>1.9973211</v>
      </c>
      <c r="T51" s="281">
        <v>15402.254999999999</v>
      </c>
      <c r="U51" s="281">
        <v>227438.92</v>
      </c>
      <c r="V51" s="281">
        <v>28902</v>
      </c>
      <c r="W51" s="281">
        <f t="shared" si="0"/>
        <v>6.7720401591776813</v>
      </c>
      <c r="X51" s="31">
        <v>6832.5307000000003</v>
      </c>
      <c r="Y51" s="31">
        <v>91672.691999999995</v>
      </c>
      <c r="Z51" s="31">
        <v>7025</v>
      </c>
      <c r="AA51" s="281">
        <f t="shared" si="1"/>
        <v>7.4531799502517071</v>
      </c>
      <c r="AB51" s="31">
        <v>5882.8977000000004</v>
      </c>
      <c r="AC51" s="31">
        <v>110827.69</v>
      </c>
      <c r="AD51" s="31">
        <v>515</v>
      </c>
      <c r="AE51" s="281">
        <f t="shared" si="2"/>
        <v>5.3081479005833287</v>
      </c>
      <c r="AF51" s="31">
        <v>1515.0508</v>
      </c>
      <c r="AG51" s="31">
        <v>46131.385999999999</v>
      </c>
      <c r="AH51" s="31">
        <v>5</v>
      </c>
      <c r="AI51" s="281">
        <f t="shared" si="3"/>
        <v>3.2842082828380659</v>
      </c>
      <c r="AJ51" s="31">
        <v>29632.734</v>
      </c>
      <c r="AK51" s="31">
        <v>476070.69</v>
      </c>
      <c r="AL51" s="281">
        <v>36447</v>
      </c>
      <c r="AM51" s="281">
        <f t="shared" si="4"/>
        <v>6.2244399040823115</v>
      </c>
    </row>
    <row r="52" spans="1:39">
      <c r="A52" s="371">
        <f>References!J262</f>
        <v>100</v>
      </c>
      <c r="B52" s="292" t="s">
        <v>33</v>
      </c>
      <c r="C52" s="284">
        <v>2011</v>
      </c>
      <c r="D52" s="31">
        <v>2419.5509999999999</v>
      </c>
      <c r="E52" s="281">
        <v>0</v>
      </c>
      <c r="F52" s="31">
        <v>613.26693999999998</v>
      </c>
      <c r="G52" s="281">
        <v>4.8540000000000001</v>
      </c>
      <c r="H52" s="31">
        <v>3032.8179</v>
      </c>
      <c r="I52" s="31">
        <v>4.8540000000000001</v>
      </c>
      <c r="J52" s="31">
        <v>2419.5509999999999</v>
      </c>
      <c r="K52" s="31">
        <v>98.867999999999995</v>
      </c>
      <c r="L52" s="281">
        <v>485.46920999999998</v>
      </c>
      <c r="M52" s="31">
        <v>36859</v>
      </c>
      <c r="N52" s="281">
        <v>138.17529999999999</v>
      </c>
      <c r="O52" s="281">
        <v>17.946400000000001</v>
      </c>
      <c r="P52" s="281">
        <v>120.2289</v>
      </c>
      <c r="Q52" s="281">
        <v>2.9518</v>
      </c>
      <c r="R52" s="281">
        <v>0.1077</v>
      </c>
      <c r="S52" s="281">
        <v>2.8441000000000001</v>
      </c>
      <c r="T52" s="281">
        <v>15033.242</v>
      </c>
      <c r="U52" s="281">
        <v>222496.04</v>
      </c>
      <c r="V52" s="281">
        <v>29222</v>
      </c>
      <c r="W52" s="281">
        <f t="shared" si="0"/>
        <v>6.7566335113200209</v>
      </c>
      <c r="X52" s="31">
        <v>6847.2689</v>
      </c>
      <c r="Y52" s="31">
        <v>93473.729000000007</v>
      </c>
      <c r="Z52" s="31">
        <v>7125</v>
      </c>
      <c r="AA52" s="281">
        <f t="shared" si="1"/>
        <v>7.3253404707968803</v>
      </c>
      <c r="AB52" s="31">
        <v>6334.9359000000004</v>
      </c>
      <c r="AC52" s="31">
        <v>119926.72</v>
      </c>
      <c r="AD52" s="31">
        <v>507</v>
      </c>
      <c r="AE52" s="281">
        <f t="shared" si="2"/>
        <v>5.2823389983483251</v>
      </c>
      <c r="AF52" s="31">
        <v>1650.3175000000001</v>
      </c>
      <c r="AG52" s="31">
        <v>49572.714</v>
      </c>
      <c r="AH52" s="31">
        <v>5</v>
      </c>
      <c r="AI52" s="281">
        <f t="shared" si="3"/>
        <v>3.3290844233382098</v>
      </c>
      <c r="AJ52" s="31">
        <v>29865.763999999999</v>
      </c>
      <c r="AK52" s="31">
        <v>485469.21</v>
      </c>
      <c r="AL52" s="281">
        <v>36859</v>
      </c>
      <c r="AM52" s="281">
        <f t="shared" si="4"/>
        <v>6.1519378335033847</v>
      </c>
    </row>
    <row r="53" spans="1:39">
      <c r="A53" s="371">
        <f>References!C263</f>
        <v>116</v>
      </c>
      <c r="B53" s="292" t="s">
        <v>34</v>
      </c>
      <c r="C53" s="284">
        <v>2004</v>
      </c>
      <c r="F53" s="31">
        <v>309.64999999999998</v>
      </c>
      <c r="H53" s="31">
        <v>3629.3</v>
      </c>
      <c r="J53" s="31">
        <v>3319.65</v>
      </c>
      <c r="K53" s="31">
        <v>53.847000000000001</v>
      </c>
      <c r="L53" s="294">
        <v>273.98978299999999</v>
      </c>
      <c r="M53" s="31">
        <v>24876</v>
      </c>
      <c r="N53" s="281">
        <v>356.32</v>
      </c>
      <c r="Q53" s="281">
        <v>2.82</v>
      </c>
      <c r="W53" s="281" t="str">
        <f t="shared" si="0"/>
        <v/>
      </c>
      <c r="AA53" s="281" t="str">
        <f t="shared" si="1"/>
        <v/>
      </c>
      <c r="AE53" s="281" t="str">
        <f t="shared" si="2"/>
        <v/>
      </c>
      <c r="AI53" s="281" t="str">
        <f t="shared" si="3"/>
        <v/>
      </c>
      <c r="AM53" s="281" t="str">
        <f t="shared" si="4"/>
        <v/>
      </c>
    </row>
    <row r="54" spans="1:39">
      <c r="A54" s="371">
        <f>References!D263</f>
        <v>117</v>
      </c>
      <c r="B54" s="292" t="s">
        <v>34</v>
      </c>
      <c r="C54" s="284">
        <v>2005</v>
      </c>
      <c r="F54" s="31">
        <v>321.58999999999997</v>
      </c>
      <c r="H54" s="31">
        <v>3671.8</v>
      </c>
      <c r="J54" s="31">
        <v>3350.21</v>
      </c>
      <c r="K54" s="31">
        <v>55.698999999999998</v>
      </c>
      <c r="L54" s="294">
        <v>287.25791800000002</v>
      </c>
      <c r="M54" s="31">
        <v>24856</v>
      </c>
      <c r="N54" s="281">
        <v>282.52999999999997</v>
      </c>
      <c r="Q54" s="281">
        <v>2.13</v>
      </c>
      <c r="W54" s="281" t="str">
        <f t="shared" si="0"/>
        <v/>
      </c>
      <c r="AA54" s="281" t="str">
        <f t="shared" si="1"/>
        <v/>
      </c>
      <c r="AE54" s="281" t="str">
        <f t="shared" si="2"/>
        <v/>
      </c>
      <c r="AI54" s="281" t="str">
        <f t="shared" si="3"/>
        <v/>
      </c>
      <c r="AM54" s="281" t="str">
        <f t="shared" si="4"/>
        <v/>
      </c>
    </row>
    <row r="55" spans="1:39">
      <c r="A55" s="371">
        <f>References!E263</f>
        <v>118</v>
      </c>
      <c r="B55" s="292" t="s">
        <v>34</v>
      </c>
      <c r="C55" s="284">
        <v>2006</v>
      </c>
      <c r="F55" s="31">
        <v>331.58</v>
      </c>
      <c r="H55" s="31">
        <v>3666.64</v>
      </c>
      <c r="J55" s="31">
        <v>3335.08</v>
      </c>
      <c r="K55" s="31">
        <v>55.893999999999998</v>
      </c>
      <c r="L55" s="294">
        <v>283.16208</v>
      </c>
      <c r="M55" s="31">
        <v>24864</v>
      </c>
      <c r="N55" s="281">
        <v>358.95</v>
      </c>
      <c r="Q55" s="281">
        <v>2.65</v>
      </c>
      <c r="W55" s="281" t="str">
        <f t="shared" si="0"/>
        <v/>
      </c>
      <c r="AA55" s="281" t="str">
        <f t="shared" si="1"/>
        <v/>
      </c>
      <c r="AE55" s="281" t="str">
        <f t="shared" si="2"/>
        <v/>
      </c>
      <c r="AI55" s="281" t="str">
        <f t="shared" si="3"/>
        <v/>
      </c>
      <c r="AM55" s="281" t="str">
        <f t="shared" si="4"/>
        <v/>
      </c>
    </row>
    <row r="56" spans="1:39">
      <c r="A56" s="371">
        <f>References!F263</f>
        <v>119</v>
      </c>
      <c r="B56" s="292" t="s">
        <v>34</v>
      </c>
      <c r="C56" s="284">
        <v>2007</v>
      </c>
      <c r="F56" s="31">
        <v>341.18</v>
      </c>
      <c r="H56" s="31">
        <v>3647.25</v>
      </c>
      <c r="J56" s="31">
        <v>3306.07</v>
      </c>
      <c r="K56" s="31">
        <v>59.212000000000003</v>
      </c>
      <c r="L56" s="294">
        <v>290.92193700000001</v>
      </c>
      <c r="M56" s="31">
        <v>24962</v>
      </c>
      <c r="N56" s="281">
        <v>261.5</v>
      </c>
      <c r="Q56" s="281">
        <v>3.96</v>
      </c>
      <c r="W56" s="281" t="str">
        <f t="shared" si="0"/>
        <v/>
      </c>
      <c r="AA56" s="281" t="str">
        <f t="shared" si="1"/>
        <v/>
      </c>
      <c r="AE56" s="281" t="str">
        <f t="shared" si="2"/>
        <v/>
      </c>
      <c r="AI56" s="281" t="str">
        <f t="shared" si="3"/>
        <v/>
      </c>
      <c r="AM56" s="281" t="str">
        <f t="shared" si="4"/>
        <v/>
      </c>
    </row>
    <row r="57" spans="1:39">
      <c r="A57" s="371">
        <f>References!G263</f>
        <v>120</v>
      </c>
      <c r="B57" s="292" t="s">
        <v>34</v>
      </c>
      <c r="C57" s="284">
        <v>2008</v>
      </c>
      <c r="D57" s="31">
        <v>3293.7</v>
      </c>
      <c r="E57" s="281">
        <v>0</v>
      </c>
      <c r="F57" s="31">
        <v>359.3</v>
      </c>
      <c r="G57" s="281">
        <v>9</v>
      </c>
      <c r="H57" s="31">
        <v>3653</v>
      </c>
      <c r="I57" s="31">
        <v>9</v>
      </c>
      <c r="J57" s="31">
        <v>3293.7</v>
      </c>
      <c r="K57" s="31">
        <v>57.9</v>
      </c>
      <c r="L57" s="281">
        <v>283.71800000000002</v>
      </c>
      <c r="M57" s="31">
        <v>25196</v>
      </c>
      <c r="N57" s="281">
        <v>258.13</v>
      </c>
      <c r="O57" s="281">
        <v>31.54</v>
      </c>
      <c r="P57" s="281">
        <v>213.43</v>
      </c>
      <c r="Q57" s="281">
        <v>4</v>
      </c>
      <c r="R57" s="281">
        <v>0.23</v>
      </c>
      <c r="S57" s="281">
        <v>3.68</v>
      </c>
      <c r="T57" s="281">
        <v>19293</v>
      </c>
      <c r="U57" s="281">
        <v>165999</v>
      </c>
      <c r="V57" s="281">
        <v>24791</v>
      </c>
      <c r="W57" s="281">
        <f t="shared" si="0"/>
        <v>11.622359170838379</v>
      </c>
      <c r="X57" s="31">
        <v>1717</v>
      </c>
      <c r="Y57" s="31">
        <v>26363</v>
      </c>
      <c r="Z57" s="31">
        <v>303</v>
      </c>
      <c r="AA57" s="281">
        <f t="shared" si="1"/>
        <v>6.5129158290027691</v>
      </c>
      <c r="AB57" s="31">
        <v>1882</v>
      </c>
      <c r="AC57" s="31">
        <v>43968</v>
      </c>
      <c r="AD57" s="31">
        <v>97</v>
      </c>
      <c r="AE57" s="281">
        <f t="shared" si="2"/>
        <v>4.280385735080058</v>
      </c>
      <c r="AF57" s="31">
        <v>1494</v>
      </c>
      <c r="AG57" s="31">
        <v>47388</v>
      </c>
      <c r="AH57" s="31">
        <v>5</v>
      </c>
      <c r="AI57" s="281">
        <f t="shared" si="3"/>
        <v>3.1526968852874147</v>
      </c>
      <c r="AJ57" s="31">
        <v>24386</v>
      </c>
      <c r="AK57" s="31">
        <v>283718</v>
      </c>
      <c r="AL57" s="281">
        <v>25196</v>
      </c>
      <c r="AM57" s="281">
        <f t="shared" si="4"/>
        <v>8.5951543433973168</v>
      </c>
    </row>
    <row r="58" spans="1:39">
      <c r="A58" s="371">
        <f>References!H263</f>
        <v>121</v>
      </c>
      <c r="B58" s="292" t="s">
        <v>34</v>
      </c>
      <c r="C58" s="284">
        <v>2009</v>
      </c>
      <c r="D58" s="31">
        <v>3286.5</v>
      </c>
      <c r="E58" s="281">
        <v>1</v>
      </c>
      <c r="F58" s="31">
        <v>377.71</v>
      </c>
      <c r="G58" s="281">
        <v>10</v>
      </c>
      <c r="H58" s="31">
        <v>3664.21</v>
      </c>
      <c r="I58" s="31">
        <v>11</v>
      </c>
      <c r="J58" s="31">
        <v>3286.5</v>
      </c>
      <c r="K58" s="31">
        <v>55.95</v>
      </c>
      <c r="L58" s="281">
        <v>280.73754000000002</v>
      </c>
      <c r="M58" s="31">
        <v>25300</v>
      </c>
      <c r="N58" s="281">
        <v>248.82</v>
      </c>
      <c r="O58" s="281">
        <v>53.25</v>
      </c>
      <c r="P58" s="281">
        <v>189.84</v>
      </c>
      <c r="Q58" s="281">
        <v>3.42</v>
      </c>
      <c r="R58" s="281">
        <v>0.38</v>
      </c>
      <c r="S58" s="281">
        <v>3.02</v>
      </c>
      <c r="T58" s="281">
        <v>20651</v>
      </c>
      <c r="U58" s="281">
        <v>164391.74</v>
      </c>
      <c r="V58" s="281">
        <v>24882</v>
      </c>
      <c r="W58" s="281">
        <f t="shared" si="0"/>
        <v>12.562066682912414</v>
      </c>
      <c r="X58" s="31">
        <v>1937</v>
      </c>
      <c r="Y58" s="31">
        <v>26315.342000000001</v>
      </c>
      <c r="Z58" s="31">
        <v>315</v>
      </c>
      <c r="AA58" s="281">
        <f t="shared" si="1"/>
        <v>7.3607251617706506</v>
      </c>
      <c r="AB58" s="31">
        <v>2062</v>
      </c>
      <c r="AC58" s="31">
        <v>43802.038</v>
      </c>
      <c r="AD58" s="31">
        <v>98</v>
      </c>
      <c r="AE58" s="281">
        <f t="shared" si="2"/>
        <v>4.7075435165824935</v>
      </c>
      <c r="AF58" s="31">
        <v>1594</v>
      </c>
      <c r="AG58" s="31">
        <v>46228.415999999997</v>
      </c>
      <c r="AH58" s="31">
        <v>5</v>
      </c>
      <c r="AI58" s="281">
        <f t="shared" si="3"/>
        <v>3.4480956474909288</v>
      </c>
      <c r="AJ58" s="31">
        <v>26244</v>
      </c>
      <c r="AK58" s="31">
        <v>280737.53999999998</v>
      </c>
      <c r="AL58" s="281">
        <v>25300</v>
      </c>
      <c r="AM58" s="281">
        <f t="shared" si="4"/>
        <v>9.3482332288015346</v>
      </c>
    </row>
    <row r="59" spans="1:39">
      <c r="A59" s="371">
        <f>References!I263</f>
        <v>122</v>
      </c>
      <c r="B59" s="292" t="s">
        <v>161</v>
      </c>
      <c r="C59" s="284">
        <v>2010</v>
      </c>
      <c r="D59" s="31">
        <v>3279.712</v>
      </c>
      <c r="E59" s="281">
        <v>12.538</v>
      </c>
      <c r="F59" s="31">
        <v>382.00400000000002</v>
      </c>
      <c r="G59" s="281">
        <v>8.2059999999999995</v>
      </c>
      <c r="H59" s="31">
        <v>3661.7159999999999</v>
      </c>
      <c r="I59" s="31">
        <v>20.744</v>
      </c>
      <c r="J59" s="31">
        <v>3279.712</v>
      </c>
      <c r="K59" s="31">
        <v>56.686</v>
      </c>
      <c r="L59" s="281">
        <v>279.82600000000002</v>
      </c>
      <c r="M59" s="31">
        <v>25432</v>
      </c>
      <c r="N59" s="281">
        <v>322.73</v>
      </c>
      <c r="O59" s="281">
        <v>73.61</v>
      </c>
      <c r="P59" s="281">
        <v>238.66</v>
      </c>
      <c r="Q59" s="281">
        <v>3.88</v>
      </c>
      <c r="R59" s="281">
        <v>0.51</v>
      </c>
      <c r="S59" s="281">
        <v>2.95</v>
      </c>
      <c r="T59" s="281">
        <v>21962</v>
      </c>
      <c r="U59" s="281">
        <v>169538</v>
      </c>
      <c r="V59" s="281">
        <v>25000</v>
      </c>
      <c r="W59" s="281">
        <f t="shared" si="0"/>
        <v>12.954028005520886</v>
      </c>
      <c r="X59" s="31">
        <v>2080</v>
      </c>
      <c r="Y59" s="31">
        <v>26119</v>
      </c>
      <c r="Z59" s="31">
        <v>327</v>
      </c>
      <c r="AA59" s="281">
        <f t="shared" si="1"/>
        <v>7.9635514376507519</v>
      </c>
      <c r="AB59" s="31">
        <v>2099</v>
      </c>
      <c r="AC59" s="31">
        <v>42957</v>
      </c>
      <c r="AD59" s="31">
        <v>100</v>
      </c>
      <c r="AE59" s="281">
        <f t="shared" si="2"/>
        <v>4.8862816304676766</v>
      </c>
      <c r="AF59" s="31">
        <v>1494</v>
      </c>
      <c r="AG59" s="31">
        <v>41212</v>
      </c>
      <c r="AH59" s="31">
        <v>5</v>
      </c>
      <c r="AI59" s="281">
        <f t="shared" si="3"/>
        <v>3.6251577210521209</v>
      </c>
      <c r="AJ59" s="31">
        <v>27635</v>
      </c>
      <c r="AK59" s="31">
        <v>279826</v>
      </c>
      <c r="AL59" s="281">
        <v>25432</v>
      </c>
      <c r="AM59" s="281">
        <f t="shared" si="4"/>
        <v>9.8757799489682867</v>
      </c>
    </row>
    <row r="60" spans="1:39">
      <c r="A60" s="371">
        <f>References!J263</f>
        <v>123</v>
      </c>
      <c r="B60" s="292" t="s">
        <v>161</v>
      </c>
      <c r="C60" s="284">
        <v>2011</v>
      </c>
      <c r="D60" s="31">
        <v>3272.5140000000001</v>
      </c>
      <c r="E60" s="281">
        <v>12.541</v>
      </c>
      <c r="F60" s="31">
        <v>381.11624</v>
      </c>
      <c r="G60" s="281">
        <v>7.3310000000000004</v>
      </c>
      <c r="H60" s="31">
        <v>3653.6302000000001</v>
      </c>
      <c r="I60" s="31">
        <v>19.872</v>
      </c>
      <c r="J60" s="31">
        <v>3272.5140000000001</v>
      </c>
      <c r="K60" s="31">
        <v>56.404000000000003</v>
      </c>
      <c r="L60" s="281">
        <v>282.07</v>
      </c>
      <c r="M60" s="31">
        <v>25514</v>
      </c>
      <c r="N60" s="281">
        <v>340.8</v>
      </c>
      <c r="O60" s="281">
        <v>76.599999999999994</v>
      </c>
      <c r="P60" s="281">
        <v>257.39</v>
      </c>
      <c r="Q60" s="281">
        <v>3.52</v>
      </c>
      <c r="R60" s="281">
        <v>0.33</v>
      </c>
      <c r="S60" s="281">
        <v>3.15</v>
      </c>
      <c r="T60" s="281">
        <v>23259</v>
      </c>
      <c r="U60" s="281">
        <v>167400</v>
      </c>
      <c r="V60" s="281">
        <v>25065</v>
      </c>
      <c r="W60" s="281">
        <f t="shared" si="0"/>
        <v>13.894265232974911</v>
      </c>
      <c r="X60" s="31">
        <v>2258</v>
      </c>
      <c r="Y60" s="31">
        <v>26166</v>
      </c>
      <c r="Z60" s="31">
        <v>336</v>
      </c>
      <c r="AA60" s="281">
        <f t="shared" si="1"/>
        <v>8.6295192234197042</v>
      </c>
      <c r="AB60" s="31">
        <v>2329</v>
      </c>
      <c r="AC60" s="31">
        <v>44241</v>
      </c>
      <c r="AD60" s="31">
        <v>108</v>
      </c>
      <c r="AE60" s="281">
        <f t="shared" si="2"/>
        <v>5.2643475509143105</v>
      </c>
      <c r="AF60" s="31">
        <v>1607</v>
      </c>
      <c r="AG60" s="31">
        <v>44263</v>
      </c>
      <c r="AH60" s="31">
        <v>5</v>
      </c>
      <c r="AI60" s="281">
        <f t="shared" si="3"/>
        <v>3.6305718094119244</v>
      </c>
      <c r="AJ60" s="31">
        <v>29453</v>
      </c>
      <c r="AK60" s="31">
        <v>282070</v>
      </c>
      <c r="AL60" s="281">
        <v>25514</v>
      </c>
      <c r="AM60" s="281">
        <f t="shared" si="4"/>
        <v>10.44173432126777</v>
      </c>
    </row>
    <row r="61" spans="1:39">
      <c r="A61" s="371">
        <f>References!C264</f>
        <v>139</v>
      </c>
      <c r="B61" s="292" t="s">
        <v>35</v>
      </c>
      <c r="C61" s="284">
        <v>2004</v>
      </c>
      <c r="F61" s="31">
        <v>589</v>
      </c>
      <c r="H61" s="31">
        <v>2148</v>
      </c>
      <c r="J61" s="31">
        <v>1559</v>
      </c>
      <c r="K61" s="31">
        <v>82.016000000000005</v>
      </c>
      <c r="L61" s="294">
        <v>368.91154399999999</v>
      </c>
      <c r="M61" s="31">
        <v>39541</v>
      </c>
      <c r="N61" s="281">
        <v>133.47</v>
      </c>
      <c r="Q61" s="281">
        <v>3.4990000000000001</v>
      </c>
      <c r="W61" s="281" t="str">
        <f t="shared" si="0"/>
        <v/>
      </c>
      <c r="AA61" s="281" t="str">
        <f t="shared" si="1"/>
        <v/>
      </c>
      <c r="AE61" s="281" t="str">
        <f t="shared" si="2"/>
        <v/>
      </c>
      <c r="AI61" s="281" t="str">
        <f t="shared" si="3"/>
        <v/>
      </c>
      <c r="AM61" s="281" t="str">
        <f t="shared" si="4"/>
        <v/>
      </c>
    </row>
    <row r="62" spans="1:39">
      <c r="A62" s="371">
        <f>References!D264</f>
        <v>140</v>
      </c>
      <c r="B62" s="292" t="s">
        <v>35</v>
      </c>
      <c r="C62" s="284">
        <v>2005</v>
      </c>
      <c r="F62" s="31">
        <v>614</v>
      </c>
      <c r="H62" s="31">
        <v>2165</v>
      </c>
      <c r="J62" s="31">
        <v>1551</v>
      </c>
      <c r="K62" s="31">
        <v>91.406000000000006</v>
      </c>
      <c r="L62" s="294">
        <v>388.34218800000002</v>
      </c>
      <c r="M62" s="31">
        <v>39906</v>
      </c>
      <c r="N62" s="281">
        <v>83.86</v>
      </c>
      <c r="Q62" s="281">
        <v>1.95</v>
      </c>
      <c r="W62" s="281" t="str">
        <f t="shared" si="0"/>
        <v/>
      </c>
      <c r="AA62" s="281" t="str">
        <f t="shared" si="1"/>
        <v/>
      </c>
      <c r="AE62" s="281" t="str">
        <f t="shared" si="2"/>
        <v/>
      </c>
      <c r="AI62" s="281" t="str">
        <f t="shared" si="3"/>
        <v/>
      </c>
      <c r="AM62" s="281" t="str">
        <f t="shared" si="4"/>
        <v/>
      </c>
    </row>
    <row r="63" spans="1:39">
      <c r="A63" s="371">
        <f>References!E264</f>
        <v>141</v>
      </c>
      <c r="B63" s="292" t="s">
        <v>35</v>
      </c>
      <c r="C63" s="284">
        <v>2006</v>
      </c>
      <c r="F63" s="31">
        <v>629</v>
      </c>
      <c r="H63" s="31">
        <v>2179</v>
      </c>
      <c r="J63" s="31">
        <v>1550</v>
      </c>
      <c r="K63" s="31">
        <v>91.93</v>
      </c>
      <c r="L63" s="294">
        <v>384.99008199999997</v>
      </c>
      <c r="M63" s="31">
        <v>40458</v>
      </c>
      <c r="N63" s="281">
        <v>93.99</v>
      </c>
      <c r="Q63" s="281">
        <v>2.87</v>
      </c>
      <c r="W63" s="281" t="str">
        <f t="shared" si="0"/>
        <v/>
      </c>
      <c r="AA63" s="281" t="str">
        <f t="shared" si="1"/>
        <v/>
      </c>
      <c r="AE63" s="281" t="str">
        <f t="shared" si="2"/>
        <v/>
      </c>
      <c r="AI63" s="281" t="str">
        <f t="shared" si="3"/>
        <v/>
      </c>
      <c r="AM63" s="281" t="str">
        <f t="shared" si="4"/>
        <v/>
      </c>
    </row>
    <row r="64" spans="1:39">
      <c r="A64" s="371">
        <f>References!F264</f>
        <v>142</v>
      </c>
      <c r="B64" s="292" t="s">
        <v>35</v>
      </c>
      <c r="C64" s="284">
        <v>2007</v>
      </c>
      <c r="F64" s="31">
        <v>639</v>
      </c>
      <c r="H64" s="31">
        <v>2188</v>
      </c>
      <c r="J64" s="31">
        <v>1549</v>
      </c>
      <c r="K64" s="31">
        <v>98</v>
      </c>
      <c r="L64" s="294">
        <v>406.23004900000001</v>
      </c>
      <c r="M64" s="31">
        <v>40860</v>
      </c>
      <c r="N64" s="281">
        <v>185.26</v>
      </c>
      <c r="Q64" s="281">
        <v>3.18</v>
      </c>
      <c r="W64" s="281" t="str">
        <f t="shared" si="0"/>
        <v/>
      </c>
      <c r="AA64" s="281" t="str">
        <f t="shared" si="1"/>
        <v/>
      </c>
      <c r="AE64" s="281" t="str">
        <f t="shared" si="2"/>
        <v/>
      </c>
      <c r="AI64" s="281" t="str">
        <f t="shared" si="3"/>
        <v/>
      </c>
      <c r="AM64" s="281" t="str">
        <f t="shared" si="4"/>
        <v/>
      </c>
    </row>
    <row r="65" spans="1:39">
      <c r="A65" s="371">
        <f>References!G264</f>
        <v>143</v>
      </c>
      <c r="B65" s="292" t="s">
        <v>35</v>
      </c>
      <c r="C65" s="284">
        <v>2008</v>
      </c>
      <c r="D65" s="31">
        <v>1611</v>
      </c>
      <c r="E65" s="281">
        <v>151</v>
      </c>
      <c r="F65" s="31">
        <v>947</v>
      </c>
      <c r="G65" s="281">
        <v>297</v>
      </c>
      <c r="H65" s="31">
        <v>2558</v>
      </c>
      <c r="I65" s="31">
        <v>448</v>
      </c>
      <c r="J65" s="31">
        <v>1611</v>
      </c>
      <c r="K65" s="31">
        <v>95</v>
      </c>
      <c r="L65" s="281">
        <v>402.36700000000002</v>
      </c>
      <c r="M65" s="31">
        <v>41512</v>
      </c>
      <c r="N65" s="281">
        <v>193.9</v>
      </c>
      <c r="O65" s="281">
        <v>27.76</v>
      </c>
      <c r="P65" s="281">
        <v>76.209999999999994</v>
      </c>
      <c r="Q65" s="281">
        <v>2.82</v>
      </c>
      <c r="R65" s="281">
        <v>0.16</v>
      </c>
      <c r="S65" s="281">
        <v>1.45</v>
      </c>
      <c r="T65" s="281">
        <v>15255</v>
      </c>
      <c r="U65" s="281">
        <v>298484</v>
      </c>
      <c r="V65" s="281">
        <v>40940</v>
      </c>
      <c r="W65" s="281">
        <f t="shared" si="0"/>
        <v>5.1108267109794827</v>
      </c>
      <c r="X65" s="31">
        <v>0</v>
      </c>
      <c r="Y65" s="31">
        <v>0</v>
      </c>
      <c r="Z65" s="31">
        <v>0</v>
      </c>
      <c r="AA65" s="281" t="e">
        <f t="shared" si="1"/>
        <v>#DIV/0!</v>
      </c>
      <c r="AB65" s="31">
        <v>2763</v>
      </c>
      <c r="AC65" s="31">
        <v>89296</v>
      </c>
      <c r="AD65" s="31">
        <v>567</v>
      </c>
      <c r="AE65" s="281">
        <f t="shared" si="2"/>
        <v>3.0942035477512992</v>
      </c>
      <c r="AF65" s="31">
        <v>463</v>
      </c>
      <c r="AG65" s="31">
        <v>14587</v>
      </c>
      <c r="AH65" s="31">
        <v>5</v>
      </c>
      <c r="AI65" s="281">
        <f t="shared" si="3"/>
        <v>3.1740590937135806</v>
      </c>
      <c r="AJ65" s="31">
        <v>18481</v>
      </c>
      <c r="AK65" s="31">
        <v>402367</v>
      </c>
      <c r="AL65" s="281">
        <v>41512</v>
      </c>
      <c r="AM65" s="281">
        <f t="shared" si="4"/>
        <v>4.5930705052849765</v>
      </c>
    </row>
    <row r="66" spans="1:39">
      <c r="A66" s="371">
        <f>References!H264</f>
        <v>144</v>
      </c>
      <c r="B66" s="292" t="s">
        <v>35</v>
      </c>
      <c r="C66" s="284">
        <v>2009</v>
      </c>
      <c r="D66" s="31">
        <v>1613.3</v>
      </c>
      <c r="E66" s="281">
        <v>216.6</v>
      </c>
      <c r="F66" s="31">
        <v>947.7</v>
      </c>
      <c r="G66" s="281">
        <v>304.8</v>
      </c>
      <c r="H66" s="31">
        <v>2561</v>
      </c>
      <c r="I66" s="31">
        <v>521.4</v>
      </c>
      <c r="J66" s="31">
        <v>1613.3</v>
      </c>
      <c r="K66" s="31">
        <v>95</v>
      </c>
      <c r="L66" s="281">
        <v>401.42</v>
      </c>
      <c r="M66" s="31">
        <v>41761</v>
      </c>
      <c r="N66" s="281">
        <v>683.1</v>
      </c>
      <c r="O66" s="281">
        <v>21.04</v>
      </c>
      <c r="P66" s="281">
        <v>662.08</v>
      </c>
      <c r="Q66" s="281">
        <v>2.94</v>
      </c>
      <c r="R66" s="281">
        <v>0.08</v>
      </c>
      <c r="S66" s="281">
        <v>2.86</v>
      </c>
      <c r="T66" s="281">
        <v>15504</v>
      </c>
      <c r="U66" s="281">
        <v>303730</v>
      </c>
      <c r="V66" s="281">
        <v>41356</v>
      </c>
      <c r="W66" s="281">
        <f t="shared" si="0"/>
        <v>5.1045336318440722</v>
      </c>
      <c r="X66" s="31">
        <v>0</v>
      </c>
      <c r="Y66" s="31">
        <v>0</v>
      </c>
      <c r="Z66" s="31">
        <v>0</v>
      </c>
      <c r="AA66" s="281" t="e">
        <f t="shared" si="1"/>
        <v>#DIV/0!</v>
      </c>
      <c r="AB66" s="31">
        <v>2566</v>
      </c>
      <c r="AC66" s="31">
        <v>84850</v>
      </c>
      <c r="AD66" s="31">
        <v>400</v>
      </c>
      <c r="AE66" s="281">
        <f t="shared" si="2"/>
        <v>3.0241602828520917</v>
      </c>
      <c r="AF66" s="31">
        <v>391</v>
      </c>
      <c r="AG66" s="31">
        <v>12840</v>
      </c>
      <c r="AH66" s="31">
        <v>5</v>
      </c>
      <c r="AI66" s="281">
        <f t="shared" si="3"/>
        <v>3.0451713395638631</v>
      </c>
      <c r="AJ66" s="31">
        <v>18461</v>
      </c>
      <c r="AK66" s="31">
        <v>401420</v>
      </c>
      <c r="AL66" s="281">
        <v>41761</v>
      </c>
      <c r="AM66" s="281">
        <f t="shared" si="4"/>
        <v>4.598923820437447</v>
      </c>
    </row>
    <row r="67" spans="1:39">
      <c r="A67" s="371">
        <f>References!I264</f>
        <v>145</v>
      </c>
      <c r="B67" s="292" t="s">
        <v>35</v>
      </c>
      <c r="C67" s="284">
        <v>2010</v>
      </c>
      <c r="D67" s="31">
        <v>1618.9</v>
      </c>
      <c r="E67" s="281">
        <v>215.7</v>
      </c>
      <c r="F67" s="31">
        <v>957.8</v>
      </c>
      <c r="G67" s="281">
        <v>317.89999999999998</v>
      </c>
      <c r="H67" s="31">
        <v>2576.6999999999998</v>
      </c>
      <c r="I67" s="31">
        <v>533.6</v>
      </c>
      <c r="J67" s="31">
        <v>1618.9</v>
      </c>
      <c r="K67" s="31">
        <v>94.45</v>
      </c>
      <c r="L67" s="281">
        <v>416.07900000000001</v>
      </c>
      <c r="M67" s="31">
        <v>42204</v>
      </c>
      <c r="N67" s="281">
        <v>163.28</v>
      </c>
      <c r="O67" s="281">
        <v>4.47</v>
      </c>
      <c r="P67" s="281">
        <v>158.82</v>
      </c>
      <c r="Q67" s="281">
        <v>3.15</v>
      </c>
      <c r="R67" s="281">
        <v>0.02</v>
      </c>
      <c r="S67" s="281">
        <v>3.13</v>
      </c>
      <c r="T67" s="281">
        <v>17207</v>
      </c>
      <c r="U67" s="281">
        <v>311696</v>
      </c>
      <c r="V67" s="281">
        <v>41799</v>
      </c>
      <c r="W67" s="281">
        <f t="shared" si="0"/>
        <v>5.5204429957394385</v>
      </c>
      <c r="X67" s="31">
        <v>0</v>
      </c>
      <c r="Y67" s="31">
        <v>0</v>
      </c>
      <c r="Z67" s="31">
        <v>0</v>
      </c>
      <c r="AA67" s="281" t="e">
        <f t="shared" si="1"/>
        <v>#DIV/0!</v>
      </c>
      <c r="AB67" s="31">
        <v>2673</v>
      </c>
      <c r="AC67" s="31">
        <v>88401</v>
      </c>
      <c r="AD67" s="31">
        <v>400</v>
      </c>
      <c r="AE67" s="281">
        <f t="shared" si="2"/>
        <v>3.0237214511148065</v>
      </c>
      <c r="AF67" s="31">
        <v>469</v>
      </c>
      <c r="AG67" s="31">
        <v>15982</v>
      </c>
      <c r="AH67" s="31">
        <v>5</v>
      </c>
      <c r="AI67" s="281">
        <f t="shared" si="3"/>
        <v>2.9345513702915782</v>
      </c>
      <c r="AJ67" s="31">
        <v>20349</v>
      </c>
      <c r="AK67" s="31">
        <v>416079</v>
      </c>
      <c r="AL67" s="281">
        <v>42204</v>
      </c>
      <c r="AM67" s="281">
        <f t="shared" si="4"/>
        <v>4.8906577837381846</v>
      </c>
    </row>
    <row r="68" spans="1:39">
      <c r="A68" s="371">
        <f>References!J264</f>
        <v>146</v>
      </c>
      <c r="B68" s="292" t="s">
        <v>35</v>
      </c>
      <c r="C68" s="284">
        <v>2011</v>
      </c>
      <c r="D68" s="31">
        <v>1627.76</v>
      </c>
      <c r="E68" s="281">
        <v>216</v>
      </c>
      <c r="F68" s="31">
        <v>952.7</v>
      </c>
      <c r="G68" s="281">
        <v>318</v>
      </c>
      <c r="H68" s="31">
        <v>2580.46</v>
      </c>
      <c r="I68" s="31">
        <v>534</v>
      </c>
      <c r="J68" s="31">
        <v>1627.76</v>
      </c>
      <c r="K68" s="31">
        <v>94.33</v>
      </c>
      <c r="L68" s="281">
        <v>410.69148000000001</v>
      </c>
      <c r="M68" s="31">
        <v>42483</v>
      </c>
      <c r="N68" s="281">
        <v>74.712999999999994</v>
      </c>
      <c r="O68" s="281">
        <v>16.89</v>
      </c>
      <c r="P68" s="281">
        <v>57.823</v>
      </c>
      <c r="Q68" s="281">
        <v>1.617</v>
      </c>
      <c r="R68" s="281">
        <v>0.10299999999999999</v>
      </c>
      <c r="S68" s="281">
        <v>1.514</v>
      </c>
      <c r="T68" s="281">
        <v>23678</v>
      </c>
      <c r="U68" s="281">
        <v>300971.8</v>
      </c>
      <c r="V68" s="281">
        <v>42078</v>
      </c>
      <c r="W68" s="281">
        <f t="shared" si="0"/>
        <v>7.8671822409940066</v>
      </c>
      <c r="X68" s="31">
        <v>0</v>
      </c>
      <c r="Y68" s="31">
        <v>0</v>
      </c>
      <c r="Z68" s="31">
        <v>0</v>
      </c>
      <c r="AA68" s="281" t="e">
        <f t="shared" si="1"/>
        <v>#DIV/0!</v>
      </c>
      <c r="AB68" s="31">
        <v>4077</v>
      </c>
      <c r="AC68" s="31">
        <v>93949.187000000005</v>
      </c>
      <c r="AD68" s="31">
        <v>400</v>
      </c>
      <c r="AE68" s="281">
        <f t="shared" si="2"/>
        <v>4.339579862463312</v>
      </c>
      <c r="AF68" s="31">
        <v>680.38199999999995</v>
      </c>
      <c r="AG68" s="31">
        <v>15770.486999999999</v>
      </c>
      <c r="AH68" s="31">
        <v>5</v>
      </c>
      <c r="AI68" s="281">
        <f t="shared" si="3"/>
        <v>4.3142738711873641</v>
      </c>
      <c r="AJ68" s="31">
        <v>28435.382000000001</v>
      </c>
      <c r="AK68" s="31">
        <v>410691.48</v>
      </c>
      <c r="AL68" s="281">
        <v>42483</v>
      </c>
      <c r="AM68" s="281">
        <f t="shared" si="4"/>
        <v>6.9237818130534396</v>
      </c>
    </row>
    <row r="69" spans="1:39">
      <c r="A69" s="371">
        <f>References!C265</f>
        <v>162</v>
      </c>
      <c r="B69" s="292" t="s">
        <v>36</v>
      </c>
      <c r="C69" s="284">
        <v>2004</v>
      </c>
      <c r="F69" s="31">
        <v>306</v>
      </c>
      <c r="H69" s="31">
        <v>2730</v>
      </c>
      <c r="J69" s="31">
        <v>2424</v>
      </c>
      <c r="K69" s="31">
        <v>91.206000000000003</v>
      </c>
      <c r="L69" s="294">
        <v>367.10171600000001</v>
      </c>
      <c r="M69" s="31">
        <v>15049</v>
      </c>
      <c r="N69" s="281">
        <v>198.63</v>
      </c>
      <c r="Q69" s="281">
        <v>1.47</v>
      </c>
      <c r="W69" s="281" t="str">
        <f t="shared" si="0"/>
        <v/>
      </c>
      <c r="AA69" s="281" t="str">
        <f t="shared" si="1"/>
        <v/>
      </c>
      <c r="AE69" s="281" t="str">
        <f t="shared" si="2"/>
        <v/>
      </c>
      <c r="AI69" s="281" t="str">
        <f t="shared" si="3"/>
        <v/>
      </c>
      <c r="AM69" s="281" t="str">
        <f t="shared" si="4"/>
        <v/>
      </c>
    </row>
    <row r="70" spans="1:39">
      <c r="A70" s="371">
        <f>References!D265</f>
        <v>163</v>
      </c>
      <c r="B70" s="292" t="s">
        <v>36</v>
      </c>
      <c r="C70" s="284">
        <v>2005</v>
      </c>
      <c r="F70" s="31">
        <v>322</v>
      </c>
      <c r="H70" s="31">
        <v>2776</v>
      </c>
      <c r="J70" s="31">
        <v>2454</v>
      </c>
      <c r="K70" s="31">
        <v>95.58</v>
      </c>
      <c r="L70" s="294">
        <v>357.99005499999998</v>
      </c>
      <c r="M70" s="31">
        <v>15311</v>
      </c>
      <c r="N70" s="281">
        <v>132.69</v>
      </c>
      <c r="Q70" s="281">
        <v>1.17</v>
      </c>
      <c r="W70" s="281" t="str">
        <f t="shared" si="0"/>
        <v/>
      </c>
      <c r="AA70" s="281" t="str">
        <f t="shared" si="1"/>
        <v/>
      </c>
      <c r="AE70" s="281" t="str">
        <f t="shared" si="2"/>
        <v/>
      </c>
      <c r="AI70" s="281" t="str">
        <f t="shared" si="3"/>
        <v/>
      </c>
      <c r="AM70" s="281" t="str">
        <f t="shared" si="4"/>
        <v/>
      </c>
    </row>
    <row r="71" spans="1:39">
      <c r="A71" s="371">
        <f>References!E265</f>
        <v>164</v>
      </c>
      <c r="B71" s="292" t="s">
        <v>36</v>
      </c>
      <c r="C71" s="284">
        <v>2006</v>
      </c>
      <c r="F71" s="31">
        <v>339</v>
      </c>
      <c r="H71" s="31">
        <v>2802</v>
      </c>
      <c r="J71" s="31">
        <v>2463</v>
      </c>
      <c r="K71" s="31">
        <v>104.021</v>
      </c>
      <c r="L71" s="294">
        <v>471.482619</v>
      </c>
      <c r="M71" s="31">
        <v>15975</v>
      </c>
      <c r="N71" s="281">
        <v>150.19999999999999</v>
      </c>
      <c r="Q71" s="281">
        <v>1.31</v>
      </c>
      <c r="W71" s="281" t="str">
        <f t="shared" si="0"/>
        <v/>
      </c>
      <c r="AA71" s="281" t="str">
        <f t="shared" si="1"/>
        <v/>
      </c>
      <c r="AE71" s="281" t="str">
        <f t="shared" si="2"/>
        <v/>
      </c>
      <c r="AI71" s="281" t="str">
        <f t="shared" si="3"/>
        <v/>
      </c>
      <c r="AM71" s="281" t="str">
        <f t="shared" si="4"/>
        <v/>
      </c>
    </row>
    <row r="72" spans="1:39">
      <c r="A72" s="371">
        <f>References!F265</f>
        <v>165</v>
      </c>
      <c r="B72" s="292" t="s">
        <v>36</v>
      </c>
      <c r="C72" s="284">
        <v>2007</v>
      </c>
      <c r="F72" s="31">
        <v>353</v>
      </c>
      <c r="H72" s="31">
        <v>2840</v>
      </c>
      <c r="J72" s="31">
        <v>2487</v>
      </c>
      <c r="K72" s="31">
        <v>99.617999999999995</v>
      </c>
      <c r="L72" s="294">
        <v>477.19870300000002</v>
      </c>
      <c r="M72" s="31">
        <v>16091</v>
      </c>
      <c r="N72" s="281">
        <v>1918</v>
      </c>
      <c r="Q72" s="281">
        <v>3.57</v>
      </c>
      <c r="W72" s="281" t="str">
        <f t="shared" si="0"/>
        <v/>
      </c>
      <c r="AA72" s="281" t="str">
        <f t="shared" si="1"/>
        <v/>
      </c>
      <c r="AE72" s="281" t="str">
        <f t="shared" si="2"/>
        <v/>
      </c>
      <c r="AI72" s="281" t="str">
        <f t="shared" si="3"/>
        <v/>
      </c>
      <c r="AM72" s="281" t="str">
        <f t="shared" si="4"/>
        <v/>
      </c>
    </row>
    <row r="73" spans="1:39">
      <c r="A73" s="371">
        <f>References!G265</f>
        <v>166</v>
      </c>
      <c r="B73" s="292" t="s">
        <v>36</v>
      </c>
      <c r="C73" s="284">
        <v>2008</v>
      </c>
      <c r="D73" s="31">
        <v>2488</v>
      </c>
      <c r="E73" s="281">
        <v>39.6</v>
      </c>
      <c r="F73" s="31">
        <v>364.9</v>
      </c>
      <c r="G73" s="281">
        <v>166</v>
      </c>
      <c r="H73" s="31">
        <v>2852.9</v>
      </c>
      <c r="I73" s="31">
        <v>205.6</v>
      </c>
      <c r="J73" s="31">
        <v>2488</v>
      </c>
      <c r="K73" s="31">
        <v>123.0664</v>
      </c>
      <c r="L73" s="281">
        <v>477.73968000000002</v>
      </c>
      <c r="M73" s="31">
        <v>16732</v>
      </c>
      <c r="N73" s="281">
        <v>199.27</v>
      </c>
      <c r="O73" s="281">
        <v>107.71</v>
      </c>
      <c r="P73" s="281">
        <v>91.56</v>
      </c>
      <c r="Q73" s="281">
        <v>1.47</v>
      </c>
      <c r="R73" s="281">
        <v>0.31</v>
      </c>
      <c r="S73" s="281">
        <v>1.1299999999999999</v>
      </c>
      <c r="T73" s="281">
        <v>6701</v>
      </c>
      <c r="U73" s="281">
        <v>113341.63</v>
      </c>
      <c r="V73" s="281">
        <v>13695</v>
      </c>
      <c r="W73" s="281">
        <f t="shared" si="0"/>
        <v>5.9122142499627008</v>
      </c>
      <c r="X73" s="31">
        <v>4590</v>
      </c>
      <c r="Y73" s="31">
        <v>74984.714000000007</v>
      </c>
      <c r="Z73" s="31">
        <v>1796</v>
      </c>
      <c r="AA73" s="281">
        <f t="shared" si="1"/>
        <v>6.121247591875858</v>
      </c>
      <c r="AB73" s="31">
        <v>11946</v>
      </c>
      <c r="AC73" s="31">
        <v>211391.02</v>
      </c>
      <c r="AD73" s="31">
        <v>1236</v>
      </c>
      <c r="AE73" s="281">
        <f t="shared" si="2"/>
        <v>5.6511388232101822</v>
      </c>
      <c r="AF73" s="31">
        <v>1495</v>
      </c>
      <c r="AG73" s="31">
        <v>78022.323999999993</v>
      </c>
      <c r="AH73" s="31">
        <v>5</v>
      </c>
      <c r="AI73" s="281">
        <f t="shared" si="3"/>
        <v>1.9161182637933216</v>
      </c>
      <c r="AJ73" s="31">
        <v>24732</v>
      </c>
      <c r="AK73" s="31">
        <v>477739.68</v>
      </c>
      <c r="AL73" s="281">
        <v>16732</v>
      </c>
      <c r="AM73" s="281">
        <f t="shared" si="4"/>
        <v>5.1768779181164106</v>
      </c>
    </row>
    <row r="74" spans="1:39">
      <c r="A74" s="371">
        <f>References!H265</f>
        <v>167</v>
      </c>
      <c r="B74" s="292" t="s">
        <v>36</v>
      </c>
      <c r="C74" s="284">
        <v>2009</v>
      </c>
      <c r="D74" s="31">
        <v>2503</v>
      </c>
      <c r="E74" s="281">
        <v>39</v>
      </c>
      <c r="F74" s="31">
        <v>384.5</v>
      </c>
      <c r="G74" s="281">
        <v>183</v>
      </c>
      <c r="H74" s="31">
        <v>2887.5</v>
      </c>
      <c r="I74" s="31">
        <v>222</v>
      </c>
      <c r="J74" s="31">
        <v>2503</v>
      </c>
      <c r="K74" s="31">
        <v>136</v>
      </c>
      <c r="L74" s="281">
        <v>524.91600000000005</v>
      </c>
      <c r="M74" s="31">
        <v>17218</v>
      </c>
      <c r="N74" s="281">
        <v>337.32</v>
      </c>
      <c r="O74" s="281">
        <v>89</v>
      </c>
      <c r="P74" s="281">
        <v>248.32</v>
      </c>
      <c r="Q74" s="281">
        <v>2.34</v>
      </c>
      <c r="R74" s="281">
        <v>0.38</v>
      </c>
      <c r="S74" s="281">
        <v>1.96</v>
      </c>
      <c r="T74" s="281">
        <v>7103</v>
      </c>
      <c r="U74" s="281">
        <v>118499.98</v>
      </c>
      <c r="V74" s="281">
        <v>13940</v>
      </c>
      <c r="W74" s="281">
        <f t="shared" si="0"/>
        <v>5.9940938386656271</v>
      </c>
      <c r="X74" s="31">
        <v>4789</v>
      </c>
      <c r="Y74" s="31">
        <v>80258.531000000003</v>
      </c>
      <c r="Z74" s="31">
        <v>1894</v>
      </c>
      <c r="AA74" s="281">
        <f t="shared" si="1"/>
        <v>5.9669669259209339</v>
      </c>
      <c r="AB74" s="31">
        <v>13304</v>
      </c>
      <c r="AC74" s="31">
        <v>244830.88</v>
      </c>
      <c r="AD74" s="31">
        <v>1379</v>
      </c>
      <c r="AE74" s="281">
        <f t="shared" si="2"/>
        <v>5.4339550631848397</v>
      </c>
      <c r="AF74" s="31">
        <v>1627</v>
      </c>
      <c r="AG74" s="31">
        <v>81326.607000000004</v>
      </c>
      <c r="AH74" s="31">
        <v>5</v>
      </c>
      <c r="AI74" s="281">
        <f t="shared" si="3"/>
        <v>2.0005752852814824</v>
      </c>
      <c r="AJ74" s="31">
        <v>26823</v>
      </c>
      <c r="AK74" s="31">
        <v>524916</v>
      </c>
      <c r="AL74" s="281">
        <v>17218</v>
      </c>
      <c r="AM74" s="281">
        <f t="shared" si="4"/>
        <v>5.1099604508149872</v>
      </c>
    </row>
    <row r="75" spans="1:39">
      <c r="A75" s="371">
        <f>References!I265</f>
        <v>168</v>
      </c>
      <c r="B75" s="292" t="s">
        <v>36</v>
      </c>
      <c r="C75" s="284">
        <v>2010</v>
      </c>
      <c r="D75" s="31">
        <v>2537.6999999999998</v>
      </c>
      <c r="E75" s="281">
        <v>38.4</v>
      </c>
      <c r="F75" s="31">
        <v>395.7</v>
      </c>
      <c r="G75" s="281">
        <v>189.5</v>
      </c>
      <c r="H75" s="31">
        <v>2933.4</v>
      </c>
      <c r="I75" s="31">
        <v>227.9</v>
      </c>
      <c r="J75" s="31">
        <v>2537.6999999999998</v>
      </c>
      <c r="K75" s="31">
        <v>137.71312</v>
      </c>
      <c r="L75" s="281">
        <v>528.84571000000005</v>
      </c>
      <c r="M75" s="31">
        <v>17452</v>
      </c>
      <c r="N75" s="281">
        <v>186.06482</v>
      </c>
      <c r="O75" s="281">
        <v>105.5936</v>
      </c>
      <c r="P75" s="281">
        <v>80.471222999999995</v>
      </c>
      <c r="Q75" s="281">
        <v>1.4705306</v>
      </c>
      <c r="R75" s="281">
        <v>0.38627451000000002</v>
      </c>
      <c r="S75" s="281">
        <v>1.0842560999999999</v>
      </c>
      <c r="T75" s="281">
        <v>7387.3917000000001</v>
      </c>
      <c r="U75" s="281">
        <v>120864.69</v>
      </c>
      <c r="V75" s="281">
        <v>14045</v>
      </c>
      <c r="W75" s="281">
        <f t="shared" si="0"/>
        <v>6.1121173603307968</v>
      </c>
      <c r="X75" s="31">
        <v>4886.4044999999996</v>
      </c>
      <c r="Y75" s="31">
        <v>78829.296000000002</v>
      </c>
      <c r="Z75" s="31">
        <v>1954</v>
      </c>
      <c r="AA75" s="281">
        <f t="shared" si="1"/>
        <v>6.1987164010699773</v>
      </c>
      <c r="AB75" s="31">
        <v>14157.044</v>
      </c>
      <c r="AC75" s="31">
        <v>248217.14</v>
      </c>
      <c r="AD75" s="31">
        <v>1448</v>
      </c>
      <c r="AE75" s="281">
        <f t="shared" si="2"/>
        <v>5.7034917089126074</v>
      </c>
      <c r="AF75" s="31">
        <v>1399.739</v>
      </c>
      <c r="AG75" s="31">
        <v>80934.581999999995</v>
      </c>
      <c r="AH75" s="31">
        <v>5</v>
      </c>
      <c r="AI75" s="281">
        <f t="shared" si="3"/>
        <v>1.7294696104070817</v>
      </c>
      <c r="AJ75" s="31">
        <v>27830.579000000002</v>
      </c>
      <c r="AK75" s="31">
        <v>528845.71</v>
      </c>
      <c r="AL75" s="281">
        <v>17452</v>
      </c>
      <c r="AM75" s="281">
        <f t="shared" si="4"/>
        <v>5.2625139003207577</v>
      </c>
    </row>
    <row r="76" spans="1:39">
      <c r="A76" s="371">
        <f>References!J265</f>
        <v>169</v>
      </c>
      <c r="B76" s="292" t="s">
        <v>36</v>
      </c>
      <c r="C76" s="284">
        <v>2011</v>
      </c>
      <c r="D76" s="31">
        <v>2540.4</v>
      </c>
      <c r="E76" s="281">
        <v>38</v>
      </c>
      <c r="F76" s="31">
        <v>420.1</v>
      </c>
      <c r="G76" s="281">
        <v>200.6</v>
      </c>
      <c r="H76" s="31">
        <v>2960.5</v>
      </c>
      <c r="I76" s="31">
        <v>238.6</v>
      </c>
      <c r="J76" s="31">
        <v>2540.4</v>
      </c>
      <c r="K76" s="31">
        <v>149.0985</v>
      </c>
      <c r="L76" s="281">
        <v>543.05700000000002</v>
      </c>
      <c r="M76" s="31">
        <v>17804</v>
      </c>
      <c r="N76" s="281">
        <v>262.67932000000002</v>
      </c>
      <c r="O76" s="281">
        <v>80.440606000000002</v>
      </c>
      <c r="P76" s="281">
        <v>182.23871</v>
      </c>
      <c r="Q76" s="281">
        <v>2.1331972000000001</v>
      </c>
      <c r="R76" s="281">
        <v>0.31075562000000001</v>
      </c>
      <c r="S76" s="281">
        <v>1.8224416000000001</v>
      </c>
      <c r="T76" s="281">
        <v>7655.8152</v>
      </c>
      <c r="U76" s="281">
        <v>120992.69</v>
      </c>
      <c r="V76" s="281">
        <v>14298.370999999999</v>
      </c>
      <c r="W76" s="281">
        <f t="shared" si="0"/>
        <v>6.3275022648062453</v>
      </c>
      <c r="X76" s="31">
        <v>5040.7983999999997</v>
      </c>
      <c r="Y76" s="31">
        <v>84413.638000000006</v>
      </c>
      <c r="Z76" s="31">
        <v>1993.3497</v>
      </c>
      <c r="AA76" s="281">
        <f t="shared" si="1"/>
        <v>5.9715450245136923</v>
      </c>
      <c r="AB76" s="31">
        <v>14724.16</v>
      </c>
      <c r="AC76" s="31">
        <v>260184.31</v>
      </c>
      <c r="AD76" s="31">
        <v>1507.2789</v>
      </c>
      <c r="AE76" s="281">
        <f t="shared" si="2"/>
        <v>5.659126793617955</v>
      </c>
      <c r="AF76" s="31">
        <v>1415.2262000000001</v>
      </c>
      <c r="AG76" s="31">
        <v>77466.36</v>
      </c>
      <c r="AH76" s="31">
        <v>5</v>
      </c>
      <c r="AI76" s="281">
        <f t="shared" si="3"/>
        <v>1.8268913112736935</v>
      </c>
      <c r="AJ76" s="31">
        <v>28836</v>
      </c>
      <c r="AK76" s="31">
        <v>543057</v>
      </c>
      <c r="AL76" s="281">
        <v>17804</v>
      </c>
      <c r="AM76" s="281">
        <f t="shared" si="4"/>
        <v>5.3099398405692222</v>
      </c>
    </row>
    <row r="77" spans="1:39">
      <c r="A77" s="371">
        <f>References!C266</f>
        <v>185</v>
      </c>
      <c r="B77" s="292" t="s">
        <v>37</v>
      </c>
      <c r="C77" s="284">
        <v>2004</v>
      </c>
      <c r="F77" s="31">
        <v>584</v>
      </c>
      <c r="H77" s="31">
        <v>676</v>
      </c>
      <c r="J77" s="31">
        <v>92</v>
      </c>
      <c r="K77" s="31">
        <v>60.07</v>
      </c>
      <c r="L77" s="294">
        <v>253.53802400000001</v>
      </c>
      <c r="M77" s="31">
        <v>16922</v>
      </c>
      <c r="N77" s="281">
        <v>49.6</v>
      </c>
      <c r="Q77" s="281">
        <v>1.28</v>
      </c>
      <c r="W77" s="281" t="str">
        <f t="shared" si="0"/>
        <v/>
      </c>
      <c r="AA77" s="281" t="str">
        <f t="shared" si="1"/>
        <v/>
      </c>
      <c r="AE77" s="281" t="str">
        <f t="shared" si="2"/>
        <v/>
      </c>
      <c r="AI77" s="281" t="str">
        <f t="shared" si="3"/>
        <v/>
      </c>
      <c r="AM77" s="281" t="str">
        <f t="shared" si="4"/>
        <v/>
      </c>
    </row>
    <row r="78" spans="1:39">
      <c r="A78" s="371">
        <f>References!D266</f>
        <v>186</v>
      </c>
      <c r="B78" s="292" t="s">
        <v>37</v>
      </c>
      <c r="C78" s="284">
        <v>2005</v>
      </c>
      <c r="F78" s="31">
        <v>591</v>
      </c>
      <c r="H78" s="31">
        <v>679</v>
      </c>
      <c r="J78" s="31">
        <v>88</v>
      </c>
      <c r="K78" s="31">
        <v>60.610999999999997</v>
      </c>
      <c r="L78" s="294">
        <v>262.53050400000001</v>
      </c>
      <c r="M78" s="31">
        <v>16842</v>
      </c>
      <c r="N78" s="281">
        <v>15.4</v>
      </c>
      <c r="Q78" s="281">
        <v>0.28000000000000003</v>
      </c>
      <c r="W78" s="281" t="str">
        <f t="shared" ref="W78:W141" si="5">IF(U78="","",T78*100/U78)</f>
        <v/>
      </c>
      <c r="AA78" s="281" t="str">
        <f t="shared" ref="AA78:AA141" si="6">IF(Y78="","",X78*100/Y78)</f>
        <v/>
      </c>
      <c r="AE78" s="281" t="str">
        <f t="shared" ref="AE78:AE141" si="7">IF(AC78="","",AB78*100/AC78)</f>
        <v/>
      </c>
      <c r="AI78" s="281" t="str">
        <f t="shared" ref="AI78:AI141" si="8">IF(AG78="","",AF78*100/AG78)</f>
        <v/>
      </c>
      <c r="AM78" s="281" t="str">
        <f t="shared" ref="AM78:AM141" si="9">IF(AK78="","",AJ78*100/AK78)</f>
        <v/>
      </c>
    </row>
    <row r="79" spans="1:39">
      <c r="A79" s="371">
        <f>References!E266</f>
        <v>187</v>
      </c>
      <c r="B79" s="292" t="s">
        <v>37</v>
      </c>
      <c r="C79" s="284">
        <v>2006</v>
      </c>
      <c r="F79" s="31">
        <v>593</v>
      </c>
      <c r="H79" s="31">
        <v>681</v>
      </c>
      <c r="J79" s="31">
        <v>89</v>
      </c>
      <c r="K79" s="31">
        <v>57.859000000000002</v>
      </c>
      <c r="L79" s="294">
        <v>259.60508099999998</v>
      </c>
      <c r="M79" s="31">
        <v>16889</v>
      </c>
      <c r="N79" s="281">
        <v>19.8</v>
      </c>
      <c r="Q79" s="281">
        <v>0.55000000000000004</v>
      </c>
      <c r="W79" s="281" t="str">
        <f t="shared" si="5"/>
        <v/>
      </c>
      <c r="AA79" s="281" t="str">
        <f t="shared" si="6"/>
        <v/>
      </c>
      <c r="AE79" s="281" t="str">
        <f t="shared" si="7"/>
        <v/>
      </c>
      <c r="AI79" s="281" t="str">
        <f t="shared" si="8"/>
        <v/>
      </c>
      <c r="AM79" s="281" t="str">
        <f t="shared" si="9"/>
        <v/>
      </c>
    </row>
    <row r="80" spans="1:39">
      <c r="A80" s="371">
        <f>References!F266</f>
        <v>188</v>
      </c>
      <c r="B80" s="292" t="s">
        <v>37</v>
      </c>
      <c r="C80" s="284">
        <v>2007</v>
      </c>
      <c r="F80" s="31">
        <v>604</v>
      </c>
      <c r="H80" s="31">
        <v>679</v>
      </c>
      <c r="J80" s="31">
        <v>75</v>
      </c>
      <c r="K80" s="31">
        <v>63.698</v>
      </c>
      <c r="L80" s="294">
        <v>280.38083599999999</v>
      </c>
      <c r="M80" s="31">
        <v>16943</v>
      </c>
      <c r="N80" s="281">
        <v>36.700000000000003</v>
      </c>
      <c r="Q80" s="281">
        <v>1.28</v>
      </c>
      <c r="W80" s="281" t="str">
        <f t="shared" si="5"/>
        <v/>
      </c>
      <c r="AA80" s="281" t="str">
        <f t="shared" si="6"/>
        <v/>
      </c>
      <c r="AE80" s="281" t="str">
        <f t="shared" si="7"/>
        <v/>
      </c>
      <c r="AI80" s="281" t="str">
        <f t="shared" si="8"/>
        <v/>
      </c>
      <c r="AM80" s="281" t="str">
        <f t="shared" si="9"/>
        <v/>
      </c>
    </row>
    <row r="81" spans="1:39">
      <c r="A81" s="371">
        <f>References!G266</f>
        <v>189</v>
      </c>
      <c r="B81" s="292" t="s">
        <v>37</v>
      </c>
      <c r="C81" s="284">
        <v>2008</v>
      </c>
      <c r="D81" s="31">
        <v>67.080539999999999</v>
      </c>
      <c r="E81" s="281">
        <v>34.129379999999998</v>
      </c>
      <c r="F81" s="31">
        <v>574.77219000000002</v>
      </c>
      <c r="G81" s="281">
        <v>137.19333</v>
      </c>
      <c r="H81" s="31">
        <v>641.85272999999995</v>
      </c>
      <c r="I81" s="31">
        <v>171.32271</v>
      </c>
      <c r="J81" s="31">
        <v>67.080539999999999</v>
      </c>
      <c r="K81" s="31">
        <v>62.4</v>
      </c>
      <c r="L81" s="281">
        <v>267.47561999999999</v>
      </c>
      <c r="M81" s="31">
        <v>17012</v>
      </c>
      <c r="N81" s="281">
        <v>54.66</v>
      </c>
      <c r="O81" s="281">
        <v>0</v>
      </c>
      <c r="P81" s="281">
        <v>54.66</v>
      </c>
      <c r="Q81" s="281">
        <v>1.1499999999999999</v>
      </c>
      <c r="R81" s="281">
        <v>0</v>
      </c>
      <c r="S81" s="281">
        <v>1.1499999999999999</v>
      </c>
      <c r="T81" s="281">
        <v>9000.1370999999999</v>
      </c>
      <c r="U81" s="281">
        <v>141344.22</v>
      </c>
      <c r="V81" s="281">
        <v>15620</v>
      </c>
      <c r="W81" s="281">
        <f t="shared" si="5"/>
        <v>6.36753105291465</v>
      </c>
      <c r="X81" s="31">
        <v>2356.3896</v>
      </c>
      <c r="Y81" s="31">
        <v>39563.695</v>
      </c>
      <c r="Z81" s="31">
        <v>1174</v>
      </c>
      <c r="AA81" s="281">
        <f t="shared" si="6"/>
        <v>5.9559391507795212</v>
      </c>
      <c r="AB81" s="31">
        <v>2093.7935000000002</v>
      </c>
      <c r="AC81" s="31">
        <v>70788.407999999996</v>
      </c>
      <c r="AD81" s="31">
        <v>213</v>
      </c>
      <c r="AE81" s="281">
        <f t="shared" si="7"/>
        <v>2.9578197322928923</v>
      </c>
      <c r="AF81" s="31">
        <v>366.67982000000001</v>
      </c>
      <c r="AG81" s="31">
        <v>15779.304</v>
      </c>
      <c r="AH81" s="31">
        <v>5</v>
      </c>
      <c r="AI81" s="281">
        <f t="shared" si="8"/>
        <v>2.3238022412141883</v>
      </c>
      <c r="AJ81" s="31">
        <v>13817</v>
      </c>
      <c r="AK81" s="31">
        <v>267475.62</v>
      </c>
      <c r="AL81" s="281">
        <v>17012</v>
      </c>
      <c r="AM81" s="281">
        <f t="shared" si="9"/>
        <v>5.1657044481287677</v>
      </c>
    </row>
    <row r="82" spans="1:39">
      <c r="A82" s="371">
        <f>References!H266</f>
        <v>190</v>
      </c>
      <c r="B82" s="292" t="s">
        <v>37</v>
      </c>
      <c r="C82" s="284">
        <v>2009</v>
      </c>
      <c r="D82" s="31">
        <v>67.110619999999997</v>
      </c>
      <c r="E82" s="281">
        <v>34.082340000000002</v>
      </c>
      <c r="F82" s="31">
        <v>584.29570000000001</v>
      </c>
      <c r="G82" s="281">
        <v>137.40089</v>
      </c>
      <c r="H82" s="31">
        <v>651.40632000000005</v>
      </c>
      <c r="I82" s="31">
        <v>171.48322999999999</v>
      </c>
      <c r="J82" s="31">
        <v>67.110619999999997</v>
      </c>
      <c r="K82" s="31">
        <v>61.363999999999997</v>
      </c>
      <c r="L82" s="281">
        <v>269.59890999999999</v>
      </c>
      <c r="M82" s="31">
        <v>17126</v>
      </c>
      <c r="N82" s="281">
        <v>51.43</v>
      </c>
      <c r="O82" s="281">
        <v>6.0000000000000001E-3</v>
      </c>
      <c r="P82" s="281">
        <v>32.866</v>
      </c>
      <c r="Q82" s="281">
        <v>1.258</v>
      </c>
      <c r="R82" s="281">
        <v>5.9999999999999995E-4</v>
      </c>
      <c r="S82" s="281">
        <v>0.84460000000000002</v>
      </c>
      <c r="T82" s="281">
        <v>9379.6399000000001</v>
      </c>
      <c r="U82" s="281">
        <v>147817.84</v>
      </c>
      <c r="V82" s="281">
        <v>15669</v>
      </c>
      <c r="W82" s="281">
        <f t="shared" si="5"/>
        <v>6.3454045195086062</v>
      </c>
      <c r="X82" s="31">
        <v>2491.6709000000001</v>
      </c>
      <c r="Y82" s="31">
        <v>40239.705999999998</v>
      </c>
      <c r="Z82" s="31">
        <v>1235</v>
      </c>
      <c r="AA82" s="281">
        <f t="shared" si="6"/>
        <v>6.1920703396789234</v>
      </c>
      <c r="AB82" s="31">
        <v>2332.2159999999999</v>
      </c>
      <c r="AC82" s="31">
        <v>65579.947</v>
      </c>
      <c r="AD82" s="31">
        <v>217</v>
      </c>
      <c r="AE82" s="281">
        <f t="shared" si="7"/>
        <v>3.5562944264044614</v>
      </c>
      <c r="AF82" s="31">
        <v>405.0813</v>
      </c>
      <c r="AG82" s="31">
        <v>15961.419</v>
      </c>
      <c r="AH82" s="31">
        <v>5</v>
      </c>
      <c r="AI82" s="281">
        <f t="shared" si="8"/>
        <v>2.5378777413211191</v>
      </c>
      <c r="AJ82" s="31">
        <v>14608.608</v>
      </c>
      <c r="AK82" s="31">
        <v>269598.90999999997</v>
      </c>
      <c r="AL82" s="281">
        <v>17126</v>
      </c>
      <c r="AM82" s="281">
        <f t="shared" si="9"/>
        <v>5.4186450531272552</v>
      </c>
    </row>
    <row r="83" spans="1:39">
      <c r="A83" s="371">
        <f>References!I266</f>
        <v>191</v>
      </c>
      <c r="B83" s="292" t="s">
        <v>37</v>
      </c>
      <c r="C83" s="284">
        <v>2010</v>
      </c>
      <c r="D83" s="31">
        <v>58.964489999999998</v>
      </c>
      <c r="E83" s="281">
        <v>30.762160000000002</v>
      </c>
      <c r="F83" s="31">
        <v>593.98442</v>
      </c>
      <c r="G83" s="281">
        <v>137.65316999999999</v>
      </c>
      <c r="H83" s="31">
        <v>652.94890999999996</v>
      </c>
      <c r="I83" s="31">
        <v>168.41533000000001</v>
      </c>
      <c r="J83" s="31">
        <v>58.964489999999998</v>
      </c>
      <c r="K83" s="31">
        <v>62.728000000000002</v>
      </c>
      <c r="L83" s="281">
        <v>274.57558999999998</v>
      </c>
      <c r="M83" s="31">
        <v>17198</v>
      </c>
      <c r="N83" s="281">
        <v>29.992000000000001</v>
      </c>
      <c r="O83" s="281">
        <v>2.7589999999999999</v>
      </c>
      <c r="P83" s="281">
        <v>27.231999999999999</v>
      </c>
      <c r="Q83" s="281">
        <v>0.84299999999999997</v>
      </c>
      <c r="R83" s="281">
        <v>1.72E-2</v>
      </c>
      <c r="S83" s="281">
        <v>0.82579999999999998</v>
      </c>
      <c r="T83" s="281">
        <v>9982.4740000000002</v>
      </c>
      <c r="U83" s="281">
        <v>151100.13</v>
      </c>
      <c r="V83" s="281">
        <v>15743</v>
      </c>
      <c r="W83" s="281">
        <f t="shared" si="5"/>
        <v>6.6065290612258245</v>
      </c>
      <c r="X83" s="31">
        <v>2938.1163999999999</v>
      </c>
      <c r="Y83" s="31">
        <v>49503.803</v>
      </c>
      <c r="Z83" s="31">
        <v>1233</v>
      </c>
      <c r="AA83" s="281">
        <f t="shared" si="6"/>
        <v>5.9351327008149255</v>
      </c>
      <c r="AB83" s="31">
        <v>1967.6244999999999</v>
      </c>
      <c r="AC83" s="31">
        <v>58063.12</v>
      </c>
      <c r="AD83" s="31">
        <v>217</v>
      </c>
      <c r="AE83" s="281">
        <f t="shared" si="7"/>
        <v>3.3887681199356834</v>
      </c>
      <c r="AF83" s="31">
        <v>451.78514999999999</v>
      </c>
      <c r="AG83" s="31">
        <v>15908.532999999999</v>
      </c>
      <c r="AH83" s="31">
        <v>5</v>
      </c>
      <c r="AI83" s="281">
        <f t="shared" si="8"/>
        <v>2.8398919623827039</v>
      </c>
      <c r="AJ83" s="31">
        <v>15340</v>
      </c>
      <c r="AK83" s="31">
        <v>274575.59000000003</v>
      </c>
      <c r="AL83" s="281">
        <v>17198</v>
      </c>
      <c r="AM83" s="281">
        <f t="shared" si="9"/>
        <v>5.5868039835587711</v>
      </c>
    </row>
    <row r="84" spans="1:39">
      <c r="A84" s="371">
        <f>References!J266</f>
        <v>192</v>
      </c>
      <c r="B84" s="292" t="s">
        <v>37</v>
      </c>
      <c r="C84" s="284">
        <v>2011</v>
      </c>
      <c r="D84" s="31">
        <v>54.405610000000003</v>
      </c>
      <c r="E84" s="281">
        <v>28.104579999999999</v>
      </c>
      <c r="F84" s="31">
        <v>599.90554999999995</v>
      </c>
      <c r="G84" s="281">
        <v>139.7346</v>
      </c>
      <c r="H84" s="31">
        <v>654.31115999999997</v>
      </c>
      <c r="I84" s="31">
        <v>167.83918</v>
      </c>
      <c r="J84" s="31">
        <v>54.405610000000003</v>
      </c>
      <c r="K84" s="31">
        <v>64.585999999999999</v>
      </c>
      <c r="L84" s="281">
        <v>273.73370999999997</v>
      </c>
      <c r="M84" s="31">
        <v>17266</v>
      </c>
      <c r="N84" s="281">
        <v>44.77</v>
      </c>
      <c r="O84" s="281">
        <v>6.59</v>
      </c>
      <c r="P84" s="281">
        <v>38.18</v>
      </c>
      <c r="Q84" s="281">
        <v>1.18</v>
      </c>
      <c r="R84" s="281">
        <v>0.03</v>
      </c>
      <c r="S84" s="281">
        <v>1.1499999999999999</v>
      </c>
      <c r="T84" s="281">
        <v>10685.285</v>
      </c>
      <c r="U84" s="281">
        <v>150704.42000000001</v>
      </c>
      <c r="V84" s="281">
        <v>15802</v>
      </c>
      <c r="W84" s="281">
        <f t="shared" si="5"/>
        <v>7.0902266834642269</v>
      </c>
      <c r="X84" s="31">
        <v>3009.2372</v>
      </c>
      <c r="Y84" s="31">
        <v>49548.273000000001</v>
      </c>
      <c r="Z84" s="31">
        <v>1237</v>
      </c>
      <c r="AA84" s="281">
        <f t="shared" si="6"/>
        <v>6.0733442717569597</v>
      </c>
      <c r="AB84" s="31">
        <v>2099.9636999999998</v>
      </c>
      <c r="AC84" s="31">
        <v>57286.646000000001</v>
      </c>
      <c r="AD84" s="31">
        <v>222</v>
      </c>
      <c r="AE84" s="281">
        <f t="shared" si="7"/>
        <v>3.6657124244976735</v>
      </c>
      <c r="AF84" s="31">
        <v>459.84805</v>
      </c>
      <c r="AG84" s="31">
        <v>16194.377</v>
      </c>
      <c r="AH84" s="31">
        <v>5</v>
      </c>
      <c r="AI84" s="281">
        <f t="shared" si="8"/>
        <v>2.8395538155002815</v>
      </c>
      <c r="AJ84" s="31">
        <v>16254.334000000001</v>
      </c>
      <c r="AK84" s="31">
        <v>273733.71000000002</v>
      </c>
      <c r="AL84" s="281">
        <v>17266</v>
      </c>
      <c r="AM84" s="281">
        <f t="shared" si="9"/>
        <v>5.9380096079507343</v>
      </c>
    </row>
    <row r="85" spans="1:39">
      <c r="A85" s="371">
        <f>References!C267</f>
        <v>208</v>
      </c>
      <c r="B85" s="292" t="s">
        <v>38</v>
      </c>
      <c r="C85" s="284">
        <v>2004</v>
      </c>
      <c r="F85" s="31">
        <v>397</v>
      </c>
      <c r="H85" s="31">
        <v>2404</v>
      </c>
      <c r="J85" s="31">
        <v>2007</v>
      </c>
      <c r="K85" s="31">
        <v>86.444000000000003</v>
      </c>
      <c r="L85" s="294">
        <v>559.37317599999994</v>
      </c>
      <c r="M85" s="31">
        <v>23458</v>
      </c>
      <c r="N85" s="281">
        <v>219</v>
      </c>
      <c r="Q85" s="281">
        <v>1.62</v>
      </c>
      <c r="W85" s="281" t="str">
        <f t="shared" si="5"/>
        <v/>
      </c>
      <c r="AA85" s="281" t="str">
        <f t="shared" si="6"/>
        <v/>
      </c>
      <c r="AE85" s="281" t="str">
        <f t="shared" si="7"/>
        <v/>
      </c>
      <c r="AI85" s="281" t="str">
        <f t="shared" si="8"/>
        <v/>
      </c>
      <c r="AM85" s="281" t="str">
        <f t="shared" si="9"/>
        <v/>
      </c>
    </row>
    <row r="86" spans="1:39">
      <c r="A86" s="371">
        <f>References!D267</f>
        <v>209</v>
      </c>
      <c r="B86" s="292" t="s">
        <v>38</v>
      </c>
      <c r="C86" s="284">
        <v>2005</v>
      </c>
      <c r="F86" s="31">
        <v>412</v>
      </c>
      <c r="H86" s="31">
        <v>2393</v>
      </c>
      <c r="J86" s="31">
        <v>1981</v>
      </c>
      <c r="K86" s="31">
        <v>92.614999999999995</v>
      </c>
      <c r="L86" s="294">
        <v>571.01202599999999</v>
      </c>
      <c r="M86" s="31">
        <v>23572</v>
      </c>
      <c r="N86" s="281">
        <v>987</v>
      </c>
      <c r="Q86" s="281">
        <v>3.54</v>
      </c>
      <c r="W86" s="281" t="str">
        <f t="shared" si="5"/>
        <v/>
      </c>
      <c r="AA86" s="281" t="str">
        <f t="shared" si="6"/>
        <v/>
      </c>
      <c r="AE86" s="281" t="str">
        <f t="shared" si="7"/>
        <v/>
      </c>
      <c r="AI86" s="281" t="str">
        <f t="shared" si="8"/>
        <v/>
      </c>
      <c r="AM86" s="281" t="str">
        <f t="shared" si="9"/>
        <v/>
      </c>
    </row>
    <row r="87" spans="1:39">
      <c r="A87" s="371">
        <f>References!E267</f>
        <v>210</v>
      </c>
      <c r="B87" s="292" t="s">
        <v>38</v>
      </c>
      <c r="C87" s="284">
        <v>2006</v>
      </c>
      <c r="F87" s="31">
        <v>451</v>
      </c>
      <c r="H87" s="31">
        <v>2404</v>
      </c>
      <c r="J87" s="31">
        <v>1952</v>
      </c>
      <c r="K87" s="31">
        <v>94.073999999999998</v>
      </c>
      <c r="L87" s="294">
        <v>586.65623900000003</v>
      </c>
      <c r="M87" s="31">
        <v>23887</v>
      </c>
      <c r="N87" s="281">
        <v>292</v>
      </c>
      <c r="Q87" s="281">
        <v>2.48</v>
      </c>
      <c r="W87" s="281" t="str">
        <f t="shared" si="5"/>
        <v/>
      </c>
      <c r="AA87" s="281" t="str">
        <f t="shared" si="6"/>
        <v/>
      </c>
      <c r="AE87" s="281" t="str">
        <f t="shared" si="7"/>
        <v/>
      </c>
      <c r="AI87" s="281" t="str">
        <f t="shared" si="8"/>
        <v/>
      </c>
      <c r="AM87" s="281" t="str">
        <f t="shared" si="9"/>
        <v/>
      </c>
    </row>
    <row r="88" spans="1:39">
      <c r="A88" s="371">
        <f>References!F267</f>
        <v>211</v>
      </c>
      <c r="B88" s="292" t="s">
        <v>38</v>
      </c>
      <c r="C88" s="284">
        <v>2007</v>
      </c>
      <c r="F88" s="31">
        <v>442</v>
      </c>
      <c r="H88" s="31">
        <v>2408</v>
      </c>
      <c r="J88" s="31">
        <v>1966</v>
      </c>
      <c r="K88" s="31">
        <v>94.147000000000006</v>
      </c>
      <c r="L88" s="294">
        <v>587.09864200000004</v>
      </c>
      <c r="M88" s="31">
        <v>23972</v>
      </c>
      <c r="N88" s="281">
        <v>315</v>
      </c>
      <c r="Q88" s="281">
        <v>3.09</v>
      </c>
      <c r="W88" s="281" t="str">
        <f t="shared" si="5"/>
        <v/>
      </c>
      <c r="AA88" s="281" t="str">
        <f t="shared" si="6"/>
        <v/>
      </c>
      <c r="AE88" s="281" t="str">
        <f t="shared" si="7"/>
        <v/>
      </c>
      <c r="AI88" s="281" t="str">
        <f t="shared" si="8"/>
        <v/>
      </c>
      <c r="AM88" s="281" t="str">
        <f t="shared" si="9"/>
        <v/>
      </c>
    </row>
    <row r="89" spans="1:39">
      <c r="A89" s="371">
        <f>References!G267</f>
        <v>212</v>
      </c>
      <c r="B89" s="292" t="s">
        <v>38</v>
      </c>
      <c r="C89" s="284">
        <v>2008</v>
      </c>
      <c r="D89" s="31">
        <v>1918</v>
      </c>
      <c r="E89" s="281">
        <v>0</v>
      </c>
      <c r="F89" s="31">
        <v>424.4</v>
      </c>
      <c r="G89" s="281">
        <v>0</v>
      </c>
      <c r="H89" s="31">
        <v>2342.4</v>
      </c>
      <c r="I89" s="31">
        <v>0</v>
      </c>
      <c r="J89" s="31">
        <v>1918.1</v>
      </c>
      <c r="K89" s="31">
        <v>96.052319999999995</v>
      </c>
      <c r="L89" s="281">
        <v>540.53475000000003</v>
      </c>
      <c r="M89" s="31">
        <v>24220</v>
      </c>
      <c r="N89" s="281">
        <v>345.51927999999998</v>
      </c>
      <c r="O89" s="281">
        <v>26.516552000000001</v>
      </c>
      <c r="P89" s="281">
        <v>116.56098</v>
      </c>
      <c r="Q89" s="281">
        <v>2.4533619999999998</v>
      </c>
      <c r="R89" s="281">
        <v>0.14534859999999999</v>
      </c>
      <c r="S89" s="281">
        <v>1.4201347</v>
      </c>
      <c r="T89" s="281">
        <v>12149.48</v>
      </c>
      <c r="U89" s="281">
        <v>127932.51</v>
      </c>
      <c r="V89" s="281">
        <v>20636</v>
      </c>
      <c r="W89" s="281">
        <f t="shared" si="5"/>
        <v>9.4967885801662142</v>
      </c>
      <c r="X89" s="31">
        <v>5061.0263999999997</v>
      </c>
      <c r="Y89" s="31">
        <v>58142.292000000001</v>
      </c>
      <c r="Z89" s="31">
        <v>3260</v>
      </c>
      <c r="AA89" s="281">
        <f t="shared" si="6"/>
        <v>8.704552617223964</v>
      </c>
      <c r="AB89" s="31">
        <v>4306.6073999999999</v>
      </c>
      <c r="AC89" s="31">
        <v>59510.419000000002</v>
      </c>
      <c r="AD89" s="31">
        <v>319</v>
      </c>
      <c r="AE89" s="281">
        <f t="shared" si="7"/>
        <v>7.2367284122129938</v>
      </c>
      <c r="AF89" s="31">
        <v>3685.3425999999999</v>
      </c>
      <c r="AG89" s="31">
        <v>294949.78000000003</v>
      </c>
      <c r="AH89" s="31">
        <v>5</v>
      </c>
      <c r="AI89" s="281">
        <f t="shared" si="8"/>
        <v>1.2494813862888794</v>
      </c>
      <c r="AJ89" s="31">
        <v>25202.455999999998</v>
      </c>
      <c r="AK89" s="31">
        <v>540535</v>
      </c>
      <c r="AL89" s="281">
        <v>24220</v>
      </c>
      <c r="AM89" s="281">
        <f t="shared" si="9"/>
        <v>4.6625021506470432</v>
      </c>
    </row>
    <row r="90" spans="1:39">
      <c r="A90" s="371">
        <f>References!H267</f>
        <v>213</v>
      </c>
      <c r="B90" s="292" t="s">
        <v>38</v>
      </c>
      <c r="C90" s="284">
        <v>2009</v>
      </c>
      <c r="D90" s="31">
        <v>1908.3</v>
      </c>
      <c r="E90" s="281">
        <v>0</v>
      </c>
      <c r="F90" s="31">
        <v>433.1</v>
      </c>
      <c r="G90" s="281">
        <v>0</v>
      </c>
      <c r="H90" s="31">
        <v>2341.4</v>
      </c>
      <c r="I90" s="31">
        <v>0</v>
      </c>
      <c r="J90" s="31">
        <v>1908.3</v>
      </c>
      <c r="K90" s="31">
        <v>84.7804</v>
      </c>
      <c r="L90" s="281">
        <v>512.08753000000002</v>
      </c>
      <c r="M90" s="31">
        <v>24254.063999999998</v>
      </c>
      <c r="N90" s="281">
        <v>201.97585000000001</v>
      </c>
      <c r="O90" s="281">
        <v>11.027537000000001</v>
      </c>
      <c r="P90" s="281">
        <v>122.23547000000001</v>
      </c>
      <c r="Q90" s="281">
        <v>3.1200098000000001</v>
      </c>
      <c r="R90" s="281">
        <v>5.8846450000000002E-2</v>
      </c>
      <c r="S90" s="281">
        <v>2.1603821999999999</v>
      </c>
      <c r="T90" s="281">
        <v>13216.445</v>
      </c>
      <c r="U90" s="281">
        <v>129391.81</v>
      </c>
      <c r="V90" s="281">
        <v>20673</v>
      </c>
      <c r="W90" s="281">
        <f t="shared" si="5"/>
        <v>10.214282495932316</v>
      </c>
      <c r="X90" s="31">
        <v>5496.4913999999999</v>
      </c>
      <c r="Y90" s="31">
        <v>59785.707999999999</v>
      </c>
      <c r="Z90" s="31">
        <v>3269.0645</v>
      </c>
      <c r="AA90" s="281">
        <f t="shared" si="6"/>
        <v>9.1936544432993923</v>
      </c>
      <c r="AB90" s="31">
        <v>4464.5285999999996</v>
      </c>
      <c r="AC90" s="31">
        <v>59789.190999999999</v>
      </c>
      <c r="AD90" s="31">
        <v>307</v>
      </c>
      <c r="AE90" s="281">
        <f t="shared" si="7"/>
        <v>7.4671165896859186</v>
      </c>
      <c r="AF90" s="31">
        <v>3120.0967000000001</v>
      </c>
      <c r="AG90" s="31">
        <v>263120.83</v>
      </c>
      <c r="AH90" s="31">
        <v>5</v>
      </c>
      <c r="AI90" s="281">
        <f t="shared" si="8"/>
        <v>1.1858037617166226</v>
      </c>
      <c r="AJ90" s="31">
        <v>26297.562000000002</v>
      </c>
      <c r="AK90" s="31">
        <v>512087.53</v>
      </c>
      <c r="AL90" s="281">
        <v>24254.063999999998</v>
      </c>
      <c r="AM90" s="281">
        <f t="shared" si="9"/>
        <v>5.1353646514298052</v>
      </c>
    </row>
    <row r="91" spans="1:39">
      <c r="A91" s="371">
        <f>References!I267</f>
        <v>214</v>
      </c>
      <c r="B91" s="292" t="s">
        <v>38</v>
      </c>
      <c r="C91" s="284">
        <v>2010</v>
      </c>
      <c r="D91" s="31">
        <v>1921</v>
      </c>
      <c r="E91" s="281">
        <v>0</v>
      </c>
      <c r="F91" s="31">
        <v>438.1</v>
      </c>
      <c r="G91" s="281">
        <v>0</v>
      </c>
      <c r="H91" s="31">
        <v>2359.1</v>
      </c>
      <c r="I91" s="31">
        <v>0</v>
      </c>
      <c r="J91" s="31">
        <v>1921</v>
      </c>
      <c r="K91" s="31">
        <v>88.068439999999995</v>
      </c>
      <c r="L91" s="281">
        <v>541.16733999999997</v>
      </c>
      <c r="M91" s="31">
        <v>24504</v>
      </c>
      <c r="N91" s="281">
        <v>139.89975000000001</v>
      </c>
      <c r="O91" s="281">
        <v>16.883322</v>
      </c>
      <c r="P91" s="281">
        <v>123.01643</v>
      </c>
      <c r="Q91" s="281">
        <v>2.3630308000000002</v>
      </c>
      <c r="R91" s="281">
        <v>9.8941520000000005E-2</v>
      </c>
      <c r="S91" s="281">
        <v>2.2640893000000002</v>
      </c>
      <c r="T91" s="281">
        <v>13558</v>
      </c>
      <c r="U91" s="281">
        <v>132396.4</v>
      </c>
      <c r="V91" s="281">
        <v>20867</v>
      </c>
      <c r="W91" s="281">
        <f t="shared" si="5"/>
        <v>10.240459710384876</v>
      </c>
      <c r="X91" s="31">
        <v>5446</v>
      </c>
      <c r="Y91" s="31">
        <v>60034.014999999999</v>
      </c>
      <c r="Z91" s="31">
        <v>3302</v>
      </c>
      <c r="AA91" s="281">
        <f t="shared" si="6"/>
        <v>9.0715238685934967</v>
      </c>
      <c r="AB91" s="31">
        <v>4613.2097000000003</v>
      </c>
      <c r="AC91" s="31">
        <v>75159.649000000005</v>
      </c>
      <c r="AD91" s="31">
        <v>330</v>
      </c>
      <c r="AE91" s="281">
        <f t="shared" si="7"/>
        <v>6.1378808461439194</v>
      </c>
      <c r="AF91" s="31">
        <v>3372.9519</v>
      </c>
      <c r="AG91" s="31">
        <v>273577.28000000003</v>
      </c>
      <c r="AH91" s="31">
        <v>5</v>
      </c>
      <c r="AI91" s="281">
        <f t="shared" si="8"/>
        <v>1.2329064387218118</v>
      </c>
      <c r="AJ91" s="31">
        <v>26990.162</v>
      </c>
      <c r="AK91" s="31">
        <v>541167.34</v>
      </c>
      <c r="AL91" s="281">
        <v>24504</v>
      </c>
      <c r="AM91" s="281">
        <f t="shared" si="9"/>
        <v>4.9873966895341475</v>
      </c>
    </row>
    <row r="92" spans="1:39">
      <c r="A92" s="371">
        <f>References!J267</f>
        <v>215</v>
      </c>
      <c r="B92" s="292" t="s">
        <v>38</v>
      </c>
      <c r="C92" s="284">
        <v>2011</v>
      </c>
      <c r="D92" s="31">
        <v>1918.8620000000001</v>
      </c>
      <c r="E92" s="281">
        <v>0</v>
      </c>
      <c r="F92" s="31">
        <v>444.95100000000002</v>
      </c>
      <c r="G92" s="281">
        <v>0</v>
      </c>
      <c r="H92" s="31">
        <v>2363.8130000000001</v>
      </c>
      <c r="I92" s="31">
        <v>0</v>
      </c>
      <c r="J92" s="31">
        <v>1918.8620000000001</v>
      </c>
      <c r="K92" s="31">
        <v>90</v>
      </c>
      <c r="L92" s="281">
        <v>540.56871000000001</v>
      </c>
      <c r="M92" s="31">
        <v>24593</v>
      </c>
      <c r="N92" s="281">
        <v>177.40687</v>
      </c>
      <c r="O92" s="281">
        <v>14.740845999999999</v>
      </c>
      <c r="P92" s="281">
        <v>162.66603000000001</v>
      </c>
      <c r="Q92" s="281">
        <v>2.3926607999999998</v>
      </c>
      <c r="R92" s="281">
        <v>0.11880422</v>
      </c>
      <c r="S92" s="281">
        <v>2.2738565999999998</v>
      </c>
      <c r="T92" s="281">
        <v>13889.957</v>
      </c>
      <c r="U92" s="281">
        <v>129521.01</v>
      </c>
      <c r="V92" s="281">
        <v>20929</v>
      </c>
      <c r="W92" s="281">
        <f t="shared" si="5"/>
        <v>10.724095650582095</v>
      </c>
      <c r="X92" s="31">
        <v>5563.13</v>
      </c>
      <c r="Y92" s="31">
        <v>59520.995999999999</v>
      </c>
      <c r="Z92" s="31">
        <v>3313</v>
      </c>
      <c r="AA92" s="281">
        <f t="shared" si="6"/>
        <v>9.3465001828934451</v>
      </c>
      <c r="AB92" s="31">
        <v>5257.4161999999997</v>
      </c>
      <c r="AC92" s="31">
        <v>63967.974999999999</v>
      </c>
      <c r="AD92" s="31">
        <v>346</v>
      </c>
      <c r="AE92" s="281">
        <f t="shared" si="7"/>
        <v>8.2188254356965338</v>
      </c>
      <c r="AF92" s="31">
        <v>2752.0284000000001</v>
      </c>
      <c r="AG92" s="31">
        <v>287558.73</v>
      </c>
      <c r="AH92" s="31">
        <v>5</v>
      </c>
      <c r="AI92" s="281">
        <f t="shared" si="8"/>
        <v>0.95703176877989427</v>
      </c>
      <c r="AJ92" s="31">
        <v>27462.531999999999</v>
      </c>
      <c r="AK92" s="31">
        <v>540568.71</v>
      </c>
      <c r="AL92" s="281">
        <v>24593</v>
      </c>
      <c r="AM92" s="281">
        <f t="shared" si="9"/>
        <v>5.0803036675948183</v>
      </c>
    </row>
    <row r="93" spans="1:39">
      <c r="A93" s="371">
        <f>References!C268</f>
        <v>231</v>
      </c>
      <c r="B93" s="292" t="s">
        <v>39</v>
      </c>
      <c r="C93" s="284">
        <v>2004</v>
      </c>
      <c r="F93" s="31">
        <v>500</v>
      </c>
      <c r="H93" s="31">
        <v>4180</v>
      </c>
      <c r="J93" s="31">
        <v>3680</v>
      </c>
      <c r="K93" s="31">
        <v>74.430000000000007</v>
      </c>
      <c r="L93" s="294">
        <v>433.651882</v>
      </c>
      <c r="M93" s="31">
        <v>29082</v>
      </c>
      <c r="N93" s="281">
        <v>99.64</v>
      </c>
      <c r="Q93" s="281">
        <v>1.21</v>
      </c>
      <c r="W93" s="281" t="str">
        <f t="shared" si="5"/>
        <v/>
      </c>
      <c r="AA93" s="281" t="str">
        <f t="shared" si="6"/>
        <v/>
      </c>
      <c r="AE93" s="281" t="str">
        <f t="shared" si="7"/>
        <v/>
      </c>
      <c r="AI93" s="281" t="str">
        <f t="shared" si="8"/>
        <v/>
      </c>
      <c r="AM93" s="281" t="str">
        <f t="shared" si="9"/>
        <v/>
      </c>
    </row>
    <row r="94" spans="1:39">
      <c r="A94" s="371">
        <f>References!D268</f>
        <v>232</v>
      </c>
      <c r="B94" s="292" t="s">
        <v>39</v>
      </c>
      <c r="C94" s="284">
        <v>2005</v>
      </c>
      <c r="F94" s="31">
        <v>540</v>
      </c>
      <c r="H94" s="31">
        <v>4178</v>
      </c>
      <c r="J94" s="31">
        <v>3638</v>
      </c>
      <c r="K94" s="31">
        <v>76.62</v>
      </c>
      <c r="L94" s="294">
        <v>449.598118</v>
      </c>
      <c r="M94" s="31">
        <v>30283</v>
      </c>
      <c r="N94" s="281">
        <v>115.5685</v>
      </c>
      <c r="Q94" s="281">
        <v>1.1657</v>
      </c>
      <c r="W94" s="281" t="str">
        <f t="shared" si="5"/>
        <v/>
      </c>
      <c r="AA94" s="281" t="str">
        <f t="shared" si="6"/>
        <v/>
      </c>
      <c r="AE94" s="281" t="str">
        <f t="shared" si="7"/>
        <v/>
      </c>
      <c r="AI94" s="281" t="str">
        <f t="shared" si="8"/>
        <v/>
      </c>
      <c r="AM94" s="281" t="str">
        <f t="shared" si="9"/>
        <v/>
      </c>
    </row>
    <row r="95" spans="1:39">
      <c r="A95" s="371">
        <f>References!E268</f>
        <v>233</v>
      </c>
      <c r="B95" s="292" t="s">
        <v>39</v>
      </c>
      <c r="C95" s="284">
        <v>2006</v>
      </c>
      <c r="F95" s="31">
        <v>756</v>
      </c>
      <c r="H95" s="31">
        <v>4420</v>
      </c>
      <c r="J95" s="31">
        <v>3664</v>
      </c>
      <c r="K95" s="31">
        <v>79.566999999999993</v>
      </c>
      <c r="L95" s="294">
        <v>460.72894100000002</v>
      </c>
      <c r="M95" s="31">
        <v>30671</v>
      </c>
      <c r="N95" s="281">
        <v>109.17</v>
      </c>
      <c r="Q95" s="281">
        <v>1.84</v>
      </c>
      <c r="W95" s="281" t="str">
        <f t="shared" si="5"/>
        <v/>
      </c>
      <c r="AA95" s="281" t="str">
        <f t="shared" si="6"/>
        <v/>
      </c>
      <c r="AE95" s="281" t="str">
        <f t="shared" si="7"/>
        <v/>
      </c>
      <c r="AI95" s="281" t="str">
        <f t="shared" si="8"/>
        <v/>
      </c>
      <c r="AM95" s="281" t="str">
        <f t="shared" si="9"/>
        <v/>
      </c>
    </row>
    <row r="96" spans="1:39">
      <c r="A96" s="371">
        <f>References!F268</f>
        <v>234</v>
      </c>
      <c r="B96" s="292" t="s">
        <v>39</v>
      </c>
      <c r="C96" s="284">
        <v>2007</v>
      </c>
      <c r="F96" s="31">
        <v>785</v>
      </c>
      <c r="H96" s="31">
        <v>4477</v>
      </c>
      <c r="J96" s="31">
        <v>3692</v>
      </c>
      <c r="K96" s="31">
        <v>84.74</v>
      </c>
      <c r="L96" s="294">
        <v>466.51799499999998</v>
      </c>
      <c r="M96" s="31">
        <v>31666</v>
      </c>
      <c r="N96" s="281">
        <v>236.53</v>
      </c>
      <c r="Q96" s="281">
        <v>2.27</v>
      </c>
      <c r="W96" s="281" t="str">
        <f t="shared" si="5"/>
        <v/>
      </c>
      <c r="AA96" s="281" t="str">
        <f t="shared" si="6"/>
        <v/>
      </c>
      <c r="AE96" s="281" t="str">
        <f t="shared" si="7"/>
        <v/>
      </c>
      <c r="AI96" s="281" t="str">
        <f t="shared" si="8"/>
        <v/>
      </c>
      <c r="AM96" s="281" t="str">
        <f t="shared" si="9"/>
        <v/>
      </c>
    </row>
    <row r="97" spans="1:39">
      <c r="A97" s="371">
        <f>References!G268</f>
        <v>235</v>
      </c>
      <c r="B97" s="292" t="s">
        <v>39</v>
      </c>
      <c r="C97" s="284">
        <v>2008</v>
      </c>
      <c r="D97" s="31">
        <v>3696</v>
      </c>
      <c r="E97" s="281">
        <v>0</v>
      </c>
      <c r="F97" s="31">
        <v>629.70799999999997</v>
      </c>
      <c r="G97" s="281">
        <v>223.13</v>
      </c>
      <c r="H97" s="31">
        <v>4325.7079999999996</v>
      </c>
      <c r="I97" s="31">
        <v>223.13</v>
      </c>
      <c r="J97" s="31">
        <v>3696</v>
      </c>
      <c r="K97" s="31">
        <v>86</v>
      </c>
      <c r="L97" s="281">
        <v>492</v>
      </c>
      <c r="M97" s="31">
        <v>32545</v>
      </c>
      <c r="N97" s="281">
        <v>110.67</v>
      </c>
      <c r="O97" s="281">
        <v>61.11</v>
      </c>
      <c r="P97" s="281">
        <v>49</v>
      </c>
      <c r="Q97" s="281">
        <v>1.2627999999999999</v>
      </c>
      <c r="R97" s="281">
        <v>0.28000000000000003</v>
      </c>
      <c r="S97" s="281">
        <v>0.96899999999999997</v>
      </c>
      <c r="T97" s="281">
        <v>16002</v>
      </c>
      <c r="U97" s="281">
        <v>216283</v>
      </c>
      <c r="V97" s="281">
        <v>27600</v>
      </c>
      <c r="W97" s="281">
        <f t="shared" si="5"/>
        <v>7.3986397451487171</v>
      </c>
      <c r="X97" s="31">
        <v>7597</v>
      </c>
      <c r="Y97" s="31">
        <v>104811</v>
      </c>
      <c r="Z97" s="31">
        <v>4481</v>
      </c>
      <c r="AA97" s="281">
        <f t="shared" si="6"/>
        <v>7.2482850082529504</v>
      </c>
      <c r="AB97" s="31">
        <v>5819</v>
      </c>
      <c r="AC97" s="31">
        <v>88379</v>
      </c>
      <c r="AD97" s="31">
        <v>459</v>
      </c>
      <c r="AE97" s="281">
        <f t="shared" si="7"/>
        <v>6.5841432919584966</v>
      </c>
      <c r="AF97" s="31">
        <v>1787</v>
      </c>
      <c r="AG97" s="31">
        <v>82527</v>
      </c>
      <c r="AH97" s="31">
        <v>5</v>
      </c>
      <c r="AI97" s="281">
        <f t="shared" si="8"/>
        <v>2.1653519454239221</v>
      </c>
      <c r="AJ97" s="31">
        <v>31205</v>
      </c>
      <c r="AK97" s="31">
        <v>492000</v>
      </c>
      <c r="AL97" s="281">
        <v>32545</v>
      </c>
      <c r="AM97" s="281">
        <f t="shared" si="9"/>
        <v>6.3424796747967482</v>
      </c>
    </row>
    <row r="98" spans="1:39">
      <c r="A98" s="371">
        <f>References!H268</f>
        <v>236</v>
      </c>
      <c r="B98" s="292" t="s">
        <v>39</v>
      </c>
      <c r="C98" s="284">
        <v>2009</v>
      </c>
      <c r="D98" s="31">
        <v>3740</v>
      </c>
      <c r="E98" s="281">
        <v>0</v>
      </c>
      <c r="F98" s="31">
        <v>663</v>
      </c>
      <c r="G98" s="281">
        <v>223</v>
      </c>
      <c r="H98" s="31">
        <v>4403</v>
      </c>
      <c r="I98" s="31">
        <v>223</v>
      </c>
      <c r="J98" s="31">
        <v>3740</v>
      </c>
      <c r="K98" s="31">
        <v>89</v>
      </c>
      <c r="L98" s="281">
        <v>509.15</v>
      </c>
      <c r="M98" s="31">
        <v>33248</v>
      </c>
      <c r="N98" s="281">
        <v>146.16</v>
      </c>
      <c r="O98" s="281">
        <v>65.87</v>
      </c>
      <c r="P98" s="281">
        <v>80.290000000000006</v>
      </c>
      <c r="Q98" s="281">
        <v>1.33</v>
      </c>
      <c r="R98" s="281">
        <v>0.27</v>
      </c>
      <c r="S98" s="281">
        <v>1.06</v>
      </c>
      <c r="T98" s="281">
        <v>16619</v>
      </c>
      <c r="U98" s="281">
        <v>213883</v>
      </c>
      <c r="V98" s="281">
        <v>27607</v>
      </c>
      <c r="W98" s="281">
        <f t="shared" si="5"/>
        <v>7.7701360089394669</v>
      </c>
      <c r="X98" s="31">
        <v>9626</v>
      </c>
      <c r="Y98" s="31">
        <v>125462</v>
      </c>
      <c r="Z98" s="31">
        <v>5110</v>
      </c>
      <c r="AA98" s="281">
        <f t="shared" si="6"/>
        <v>7.6724426519583622</v>
      </c>
      <c r="AB98" s="31">
        <v>6364</v>
      </c>
      <c r="AC98" s="31">
        <v>91092</v>
      </c>
      <c r="AD98" s="31">
        <v>526</v>
      </c>
      <c r="AE98" s="281">
        <f t="shared" si="7"/>
        <v>6.9863434769244277</v>
      </c>
      <c r="AF98" s="31">
        <v>1720</v>
      </c>
      <c r="AG98" s="31">
        <v>78713</v>
      </c>
      <c r="AH98" s="31">
        <v>5</v>
      </c>
      <c r="AI98" s="281">
        <f t="shared" si="8"/>
        <v>2.1851536594971606</v>
      </c>
      <c r="AJ98" s="31">
        <v>34329</v>
      </c>
      <c r="AK98" s="31">
        <v>509150</v>
      </c>
      <c r="AL98" s="281">
        <v>33248</v>
      </c>
      <c r="AM98" s="281">
        <f t="shared" si="9"/>
        <v>6.742413826966513</v>
      </c>
    </row>
    <row r="99" spans="1:39">
      <c r="A99" s="371">
        <f>References!I268</f>
        <v>237</v>
      </c>
      <c r="B99" s="292" t="s">
        <v>39</v>
      </c>
      <c r="C99" s="284">
        <v>2010</v>
      </c>
      <c r="D99" s="31">
        <v>3811</v>
      </c>
      <c r="E99" s="281">
        <v>0</v>
      </c>
      <c r="F99" s="31">
        <v>707</v>
      </c>
      <c r="G99" s="281">
        <v>223</v>
      </c>
      <c r="H99" s="31">
        <v>4518</v>
      </c>
      <c r="I99" s="31">
        <v>223</v>
      </c>
      <c r="J99" s="31">
        <v>3811</v>
      </c>
      <c r="K99" s="31">
        <v>89</v>
      </c>
      <c r="L99" s="281">
        <v>516</v>
      </c>
      <c r="M99" s="31">
        <v>33793</v>
      </c>
      <c r="N99" s="281">
        <v>143.08000000000001</v>
      </c>
      <c r="O99" s="281">
        <v>75.180000000000007</v>
      </c>
      <c r="P99" s="281">
        <v>64.930000000000007</v>
      </c>
      <c r="Q99" s="281">
        <v>2.02</v>
      </c>
      <c r="R99" s="281">
        <v>0.52</v>
      </c>
      <c r="S99" s="281">
        <v>1.31</v>
      </c>
      <c r="T99" s="281">
        <v>18242</v>
      </c>
      <c r="U99" s="281">
        <v>233921</v>
      </c>
      <c r="V99" s="281">
        <v>28009</v>
      </c>
      <c r="W99" s="281">
        <f t="shared" si="5"/>
        <v>7.798359275139898</v>
      </c>
      <c r="X99" s="31">
        <v>8625</v>
      </c>
      <c r="Y99" s="31">
        <v>110359</v>
      </c>
      <c r="Z99" s="31">
        <v>5287</v>
      </c>
      <c r="AA99" s="281">
        <f t="shared" si="6"/>
        <v>7.8154024592466405</v>
      </c>
      <c r="AB99" s="31">
        <v>6482</v>
      </c>
      <c r="AC99" s="31">
        <v>92194</v>
      </c>
      <c r="AD99" s="31">
        <v>492</v>
      </c>
      <c r="AE99" s="281">
        <f t="shared" si="7"/>
        <v>7.0308263010608067</v>
      </c>
      <c r="AF99" s="31">
        <v>1847</v>
      </c>
      <c r="AG99" s="31">
        <v>79526</v>
      </c>
      <c r="AH99" s="31">
        <v>5</v>
      </c>
      <c r="AI99" s="281">
        <f t="shared" si="8"/>
        <v>2.3225108769459046</v>
      </c>
      <c r="AJ99" s="31">
        <v>35196</v>
      </c>
      <c r="AK99" s="31">
        <v>516000</v>
      </c>
      <c r="AL99" s="281">
        <v>33793</v>
      </c>
      <c r="AM99" s="281">
        <f t="shared" si="9"/>
        <v>6.8209302325581396</v>
      </c>
    </row>
    <row r="100" spans="1:39">
      <c r="A100" s="371">
        <f>References!J268</f>
        <v>238</v>
      </c>
      <c r="B100" s="292" t="s">
        <v>39</v>
      </c>
      <c r="C100" s="284">
        <v>2011</v>
      </c>
      <c r="D100" s="31">
        <v>3836</v>
      </c>
      <c r="E100" s="281">
        <v>0</v>
      </c>
      <c r="F100" s="31">
        <v>747</v>
      </c>
      <c r="G100" s="281">
        <v>322</v>
      </c>
      <c r="H100" s="31">
        <v>4583</v>
      </c>
      <c r="I100" s="31">
        <v>322</v>
      </c>
      <c r="J100" s="31">
        <v>3836</v>
      </c>
      <c r="K100" s="31">
        <v>92</v>
      </c>
      <c r="L100" s="281">
        <v>540</v>
      </c>
      <c r="M100" s="31">
        <v>34247</v>
      </c>
      <c r="N100" s="281">
        <v>337.8</v>
      </c>
      <c r="O100" s="281">
        <v>65</v>
      </c>
      <c r="P100" s="281">
        <v>272.10000000000002</v>
      </c>
      <c r="Q100" s="281">
        <v>2.9</v>
      </c>
      <c r="R100" s="281">
        <v>0.27200000000000002</v>
      </c>
      <c r="S100" s="281">
        <v>2.6280000000000001</v>
      </c>
      <c r="T100" s="281">
        <v>19067</v>
      </c>
      <c r="U100" s="281">
        <v>228829</v>
      </c>
      <c r="V100" s="281">
        <v>28280</v>
      </c>
      <c r="W100" s="281">
        <f t="shared" si="5"/>
        <v>8.3324229009434987</v>
      </c>
      <c r="X100" s="31">
        <v>9938</v>
      </c>
      <c r="Y100" s="31">
        <v>120523</v>
      </c>
      <c r="Z100" s="31">
        <v>5409</v>
      </c>
      <c r="AA100" s="281">
        <f t="shared" si="6"/>
        <v>8.245729030973342</v>
      </c>
      <c r="AB100" s="31">
        <v>8156</v>
      </c>
      <c r="AC100" s="31">
        <v>109614</v>
      </c>
      <c r="AD100" s="31">
        <v>553</v>
      </c>
      <c r="AE100" s="281">
        <f t="shared" si="7"/>
        <v>7.4406553907347606</v>
      </c>
      <c r="AF100" s="31">
        <v>1920</v>
      </c>
      <c r="AG100" s="31">
        <v>81034</v>
      </c>
      <c r="AH100" s="31">
        <v>5</v>
      </c>
      <c r="AI100" s="281">
        <f t="shared" si="8"/>
        <v>2.3693758175580619</v>
      </c>
      <c r="AJ100" s="31">
        <v>39081</v>
      </c>
      <c r="AK100" s="31">
        <v>540000</v>
      </c>
      <c r="AL100" s="281">
        <v>34247</v>
      </c>
      <c r="AM100" s="281">
        <f t="shared" si="9"/>
        <v>7.237222222222222</v>
      </c>
    </row>
    <row r="101" spans="1:39">
      <c r="A101" s="371">
        <f>References!C269</f>
        <v>254</v>
      </c>
      <c r="B101" s="292" t="s">
        <v>40</v>
      </c>
      <c r="C101" s="284">
        <v>2004</v>
      </c>
      <c r="F101" s="31">
        <v>260</v>
      </c>
      <c r="H101" s="31">
        <v>3141</v>
      </c>
      <c r="J101" s="31">
        <v>2881</v>
      </c>
      <c r="K101" s="31">
        <v>54.814</v>
      </c>
      <c r="L101" s="294">
        <v>306.42173300000002</v>
      </c>
      <c r="M101" s="31">
        <v>22251</v>
      </c>
      <c r="N101" s="281">
        <v>222.4</v>
      </c>
      <c r="Q101" s="281">
        <v>3.4</v>
      </c>
      <c r="W101" s="281" t="str">
        <f t="shared" si="5"/>
        <v/>
      </c>
      <c r="AA101" s="281" t="str">
        <f t="shared" si="6"/>
        <v/>
      </c>
      <c r="AE101" s="281" t="str">
        <f t="shared" si="7"/>
        <v/>
      </c>
      <c r="AI101" s="281" t="str">
        <f t="shared" si="8"/>
        <v/>
      </c>
      <c r="AM101" s="281" t="str">
        <f t="shared" si="9"/>
        <v/>
      </c>
    </row>
    <row r="102" spans="1:39">
      <c r="A102" s="371">
        <f>References!D269</f>
        <v>255</v>
      </c>
      <c r="B102" s="292" t="s">
        <v>40</v>
      </c>
      <c r="C102" s="284">
        <v>2005</v>
      </c>
      <c r="F102" s="31">
        <v>279</v>
      </c>
      <c r="H102" s="31">
        <v>3169</v>
      </c>
      <c r="J102" s="31">
        <v>2890</v>
      </c>
      <c r="K102" s="31">
        <v>57.59</v>
      </c>
      <c r="L102" s="294">
        <v>320.27976999999998</v>
      </c>
      <c r="M102" s="31">
        <v>22547</v>
      </c>
      <c r="N102" s="281">
        <v>224.9</v>
      </c>
      <c r="Q102" s="281">
        <v>2.5</v>
      </c>
      <c r="W102" s="281" t="str">
        <f t="shared" si="5"/>
        <v/>
      </c>
      <c r="AA102" s="281" t="str">
        <f t="shared" si="6"/>
        <v/>
      </c>
      <c r="AE102" s="281" t="str">
        <f t="shared" si="7"/>
        <v/>
      </c>
      <c r="AI102" s="281" t="str">
        <f t="shared" si="8"/>
        <v/>
      </c>
      <c r="AM102" s="281" t="str">
        <f t="shared" si="9"/>
        <v/>
      </c>
    </row>
    <row r="103" spans="1:39">
      <c r="A103" s="371">
        <f>References!E269</f>
        <v>256</v>
      </c>
      <c r="B103" s="292" t="s">
        <v>40</v>
      </c>
      <c r="C103" s="284">
        <v>2006</v>
      </c>
      <c r="F103" s="31">
        <v>340</v>
      </c>
      <c r="H103" s="31">
        <v>3213</v>
      </c>
      <c r="J103" s="31">
        <v>2873</v>
      </c>
      <c r="K103" s="31">
        <v>58.225999999999999</v>
      </c>
      <c r="L103" s="294">
        <v>331.24026900000001</v>
      </c>
      <c r="M103" s="31">
        <v>22932</v>
      </c>
      <c r="N103" s="281">
        <v>260.2</v>
      </c>
      <c r="Q103" s="281">
        <v>2.9</v>
      </c>
      <c r="W103" s="281" t="str">
        <f t="shared" si="5"/>
        <v/>
      </c>
      <c r="AA103" s="281" t="str">
        <f t="shared" si="6"/>
        <v/>
      </c>
      <c r="AE103" s="281" t="str">
        <f t="shared" si="7"/>
        <v/>
      </c>
      <c r="AI103" s="281" t="str">
        <f t="shared" si="8"/>
        <v/>
      </c>
      <c r="AM103" s="281" t="str">
        <f t="shared" si="9"/>
        <v/>
      </c>
    </row>
    <row r="104" spans="1:39">
      <c r="A104" s="371">
        <f>References!F269</f>
        <v>257</v>
      </c>
      <c r="B104" s="292" t="s">
        <v>40</v>
      </c>
      <c r="C104" s="284">
        <v>2007</v>
      </c>
      <c r="F104" s="31">
        <v>372</v>
      </c>
      <c r="H104" s="31">
        <v>3263</v>
      </c>
      <c r="J104" s="31">
        <v>2890</v>
      </c>
      <c r="K104" s="31">
        <v>63.186</v>
      </c>
      <c r="L104" s="294">
        <v>332.68494299999998</v>
      </c>
      <c r="M104" s="31">
        <v>23135</v>
      </c>
      <c r="N104" s="281">
        <v>353.1</v>
      </c>
      <c r="Q104" s="281">
        <v>4.2</v>
      </c>
      <c r="W104" s="281" t="str">
        <f t="shared" si="5"/>
        <v/>
      </c>
      <c r="AA104" s="281" t="str">
        <f t="shared" si="6"/>
        <v/>
      </c>
      <c r="AE104" s="281" t="str">
        <f t="shared" si="7"/>
        <v/>
      </c>
      <c r="AI104" s="281" t="str">
        <f t="shared" si="8"/>
        <v/>
      </c>
      <c r="AM104" s="281" t="str">
        <f t="shared" si="9"/>
        <v/>
      </c>
    </row>
    <row r="105" spans="1:39">
      <c r="A105" s="371">
        <f>References!G269</f>
        <v>258</v>
      </c>
      <c r="B105" s="292" t="s">
        <v>40</v>
      </c>
      <c r="C105" s="284">
        <v>2008</v>
      </c>
      <c r="D105" s="31">
        <v>3003.7539999999999</v>
      </c>
      <c r="E105" s="281">
        <v>0</v>
      </c>
      <c r="F105" s="31">
        <v>459.9</v>
      </c>
      <c r="G105" s="281">
        <v>43</v>
      </c>
      <c r="H105" s="31">
        <v>3463.654</v>
      </c>
      <c r="I105" s="31">
        <v>43</v>
      </c>
      <c r="J105" s="31">
        <v>3003.7539999999999</v>
      </c>
      <c r="K105" s="31">
        <v>70</v>
      </c>
      <c r="L105" s="281">
        <v>348.15204</v>
      </c>
      <c r="M105" s="31">
        <v>23584</v>
      </c>
      <c r="N105" s="281">
        <v>265.3</v>
      </c>
      <c r="O105" s="281">
        <v>100.8</v>
      </c>
      <c r="P105" s="281">
        <v>164.5</v>
      </c>
      <c r="Q105" s="281">
        <v>2.94</v>
      </c>
      <c r="R105" s="281">
        <v>0.53</v>
      </c>
      <c r="S105" s="281">
        <v>2.42</v>
      </c>
      <c r="T105" s="281">
        <v>7421.3329999999996</v>
      </c>
      <c r="U105" s="281">
        <v>109034.24000000001</v>
      </c>
      <c r="V105" s="281">
        <v>16429</v>
      </c>
      <c r="W105" s="281">
        <f t="shared" si="5"/>
        <v>6.8064242938731896</v>
      </c>
      <c r="X105" s="31">
        <v>6557.0309999999999</v>
      </c>
      <c r="Y105" s="31">
        <v>100581.92</v>
      </c>
      <c r="Z105" s="31">
        <v>6852</v>
      </c>
      <c r="AA105" s="281">
        <f t="shared" si="6"/>
        <v>6.5190950818994109</v>
      </c>
      <c r="AB105" s="31">
        <v>6020.35</v>
      </c>
      <c r="AC105" s="31">
        <v>113498.88</v>
      </c>
      <c r="AD105" s="31">
        <v>298</v>
      </c>
      <c r="AE105" s="281">
        <f t="shared" si="7"/>
        <v>5.3043254699958267</v>
      </c>
      <c r="AF105" s="31">
        <v>947.28599999999994</v>
      </c>
      <c r="AG105" s="31">
        <v>25037</v>
      </c>
      <c r="AH105" s="31">
        <v>5</v>
      </c>
      <c r="AI105" s="281">
        <f t="shared" si="8"/>
        <v>3.7835443543555534</v>
      </c>
      <c r="AJ105" s="31">
        <v>20946</v>
      </c>
      <c r="AK105" s="31">
        <v>348152.04</v>
      </c>
      <c r="AL105" s="281">
        <v>23584</v>
      </c>
      <c r="AM105" s="281">
        <f t="shared" si="9"/>
        <v>6.0163370003519159</v>
      </c>
    </row>
    <row r="106" spans="1:39">
      <c r="A106" s="371">
        <f>References!H269</f>
        <v>259</v>
      </c>
      <c r="B106" s="292" t="s">
        <v>40</v>
      </c>
      <c r="C106" s="284">
        <v>2009</v>
      </c>
      <c r="D106" s="31">
        <v>2881</v>
      </c>
      <c r="E106" s="281">
        <v>0</v>
      </c>
      <c r="F106" s="31">
        <v>439</v>
      </c>
      <c r="G106" s="281">
        <v>44</v>
      </c>
      <c r="H106" s="31">
        <v>3320</v>
      </c>
      <c r="I106" s="31">
        <v>44</v>
      </c>
      <c r="J106" s="31">
        <v>2881</v>
      </c>
      <c r="K106" s="31">
        <v>70</v>
      </c>
      <c r="L106" s="281">
        <v>353.07544000000001</v>
      </c>
      <c r="M106" s="31">
        <v>23870</v>
      </c>
      <c r="N106" s="281">
        <v>249.88</v>
      </c>
      <c r="O106" s="281">
        <v>96.32</v>
      </c>
      <c r="P106" s="281">
        <v>153.56</v>
      </c>
      <c r="Q106" s="281">
        <v>1.98</v>
      </c>
      <c r="R106" s="281">
        <v>0.34</v>
      </c>
      <c r="S106" s="281">
        <v>1.64</v>
      </c>
      <c r="T106" s="281">
        <v>9301.61</v>
      </c>
      <c r="U106" s="281">
        <v>113363</v>
      </c>
      <c r="V106" s="281">
        <v>16674</v>
      </c>
      <c r="W106" s="281">
        <f t="shared" si="5"/>
        <v>8.2051551211594607</v>
      </c>
      <c r="X106" s="31">
        <v>7596.51</v>
      </c>
      <c r="Y106" s="31">
        <v>99061.053</v>
      </c>
      <c r="Z106" s="31">
        <v>6887</v>
      </c>
      <c r="AA106" s="281">
        <f t="shared" si="6"/>
        <v>7.6685132753434386</v>
      </c>
      <c r="AB106" s="31">
        <v>6955.39</v>
      </c>
      <c r="AC106" s="31">
        <v>116086.96</v>
      </c>
      <c r="AD106" s="31">
        <v>304</v>
      </c>
      <c r="AE106" s="281">
        <f t="shared" si="7"/>
        <v>5.9915342774072124</v>
      </c>
      <c r="AF106" s="31">
        <v>1048.75</v>
      </c>
      <c r="AG106" s="31">
        <v>24564.428</v>
      </c>
      <c r="AH106" s="31">
        <v>5</v>
      </c>
      <c r="AI106" s="281">
        <f t="shared" si="8"/>
        <v>4.2693849822190035</v>
      </c>
      <c r="AJ106" s="31">
        <v>24902.26</v>
      </c>
      <c r="AK106" s="31">
        <v>353075.44</v>
      </c>
      <c r="AL106" s="281">
        <v>23870</v>
      </c>
      <c r="AM106" s="281">
        <f t="shared" si="9"/>
        <v>7.0529572943391363</v>
      </c>
    </row>
    <row r="107" spans="1:39">
      <c r="A107" s="371">
        <f>References!I269</f>
        <v>260</v>
      </c>
      <c r="B107" s="292" t="s">
        <v>40</v>
      </c>
      <c r="C107" s="284">
        <v>2010</v>
      </c>
      <c r="D107" s="31">
        <v>2880</v>
      </c>
      <c r="E107" s="281">
        <v>0</v>
      </c>
      <c r="F107" s="31">
        <v>454</v>
      </c>
      <c r="G107" s="281">
        <v>45</v>
      </c>
      <c r="H107" s="31">
        <v>3334</v>
      </c>
      <c r="I107" s="31">
        <v>45</v>
      </c>
      <c r="J107" s="31">
        <v>2880</v>
      </c>
      <c r="K107" s="31">
        <v>72</v>
      </c>
      <c r="L107" s="281">
        <v>368.476</v>
      </c>
      <c r="M107" s="31">
        <v>24073</v>
      </c>
      <c r="N107" s="281">
        <v>283.79000000000002</v>
      </c>
      <c r="O107" s="281">
        <v>103.56</v>
      </c>
      <c r="P107" s="281">
        <v>180.23</v>
      </c>
      <c r="Q107" s="281">
        <v>2.83</v>
      </c>
      <c r="R107" s="281">
        <v>0.41</v>
      </c>
      <c r="S107" s="281">
        <v>2.42</v>
      </c>
      <c r="T107" s="281">
        <v>10656.89</v>
      </c>
      <c r="U107" s="281">
        <v>131001</v>
      </c>
      <c r="V107" s="281">
        <v>18629</v>
      </c>
      <c r="W107" s="281">
        <f t="shared" si="5"/>
        <v>8.1349684353554554</v>
      </c>
      <c r="X107" s="31">
        <v>6551.05</v>
      </c>
      <c r="Y107" s="31">
        <v>87554</v>
      </c>
      <c r="Z107" s="31">
        <v>5132</v>
      </c>
      <c r="AA107" s="281">
        <f t="shared" si="6"/>
        <v>7.4822966397880162</v>
      </c>
      <c r="AB107" s="31">
        <v>7576.16</v>
      </c>
      <c r="AC107" s="31">
        <v>123771</v>
      </c>
      <c r="AD107" s="31">
        <v>307</v>
      </c>
      <c r="AE107" s="281">
        <f t="shared" si="7"/>
        <v>6.1211107610021731</v>
      </c>
      <c r="AF107" s="31">
        <v>935.9</v>
      </c>
      <c r="AG107" s="31">
        <v>26150</v>
      </c>
      <c r="AH107" s="31">
        <v>5</v>
      </c>
      <c r="AI107" s="281">
        <f t="shared" si="8"/>
        <v>3.5789674952198851</v>
      </c>
      <c r="AJ107" s="31">
        <v>25720</v>
      </c>
      <c r="AK107" s="31">
        <v>368476</v>
      </c>
      <c r="AL107" s="281">
        <v>24073</v>
      </c>
      <c r="AM107" s="281">
        <f t="shared" si="9"/>
        <v>6.9801018248135565</v>
      </c>
    </row>
    <row r="108" spans="1:39">
      <c r="A108" s="371">
        <f>References!J269</f>
        <v>261</v>
      </c>
      <c r="B108" s="292" t="s">
        <v>40</v>
      </c>
      <c r="C108" s="284">
        <v>2011</v>
      </c>
      <c r="D108" s="31">
        <v>2877</v>
      </c>
      <c r="E108" s="281">
        <v>0</v>
      </c>
      <c r="F108" s="31">
        <v>472</v>
      </c>
      <c r="G108" s="281">
        <v>44.8</v>
      </c>
      <c r="H108" s="31">
        <v>3349</v>
      </c>
      <c r="I108" s="31">
        <v>44.8</v>
      </c>
      <c r="J108" s="31">
        <v>2877</v>
      </c>
      <c r="K108" s="31">
        <v>70.247</v>
      </c>
      <c r="L108" s="281">
        <v>363.91399999999999</v>
      </c>
      <c r="M108" s="31">
        <v>24270</v>
      </c>
      <c r="N108" s="281">
        <v>422.91</v>
      </c>
      <c r="O108" s="281">
        <v>84</v>
      </c>
      <c r="P108" s="281">
        <v>338.92</v>
      </c>
      <c r="Q108" s="281">
        <v>2.83</v>
      </c>
      <c r="R108" s="281">
        <v>0.53</v>
      </c>
      <c r="S108" s="281">
        <v>2.31</v>
      </c>
      <c r="T108" s="281">
        <v>11056</v>
      </c>
      <c r="U108" s="281">
        <v>126805</v>
      </c>
      <c r="V108" s="281">
        <v>18877</v>
      </c>
      <c r="W108" s="281">
        <f t="shared" si="5"/>
        <v>8.7188990970387596</v>
      </c>
      <c r="X108" s="31">
        <v>6796</v>
      </c>
      <c r="Y108" s="31">
        <v>85315</v>
      </c>
      <c r="Z108" s="31">
        <v>5075</v>
      </c>
      <c r="AA108" s="281">
        <f t="shared" si="6"/>
        <v>7.9657738967356266</v>
      </c>
      <c r="AB108" s="31">
        <v>7814</v>
      </c>
      <c r="AC108" s="31">
        <v>130109</v>
      </c>
      <c r="AD108" s="31">
        <v>313</v>
      </c>
      <c r="AE108" s="281">
        <f t="shared" si="7"/>
        <v>6.0057336540900321</v>
      </c>
      <c r="AF108" s="31">
        <v>1336</v>
      </c>
      <c r="AG108" s="31">
        <v>21685</v>
      </c>
      <c r="AH108" s="31">
        <v>5</v>
      </c>
      <c r="AI108" s="281">
        <f t="shared" si="8"/>
        <v>6.1609407424486973</v>
      </c>
      <c r="AJ108" s="31">
        <v>27002</v>
      </c>
      <c r="AK108" s="31">
        <v>363914</v>
      </c>
      <c r="AL108" s="281">
        <v>24270</v>
      </c>
      <c r="AM108" s="281">
        <f t="shared" si="9"/>
        <v>7.4198849178652102</v>
      </c>
    </row>
    <row r="109" spans="1:39">
      <c r="A109" s="371">
        <f>References!C270</f>
        <v>277</v>
      </c>
      <c r="B109" s="292" t="s">
        <v>41</v>
      </c>
      <c r="C109" s="284">
        <v>2004</v>
      </c>
      <c r="F109" s="31">
        <v>202</v>
      </c>
      <c r="H109" s="31">
        <v>240</v>
      </c>
      <c r="J109" s="31">
        <v>37</v>
      </c>
      <c r="K109" s="31">
        <v>29.8</v>
      </c>
      <c r="L109" s="294">
        <v>137.67072899999999</v>
      </c>
      <c r="M109" s="31">
        <v>8735</v>
      </c>
      <c r="N109" s="281">
        <v>53.2</v>
      </c>
      <c r="Q109" s="281">
        <v>0.8</v>
      </c>
      <c r="W109" s="281" t="str">
        <f t="shared" si="5"/>
        <v/>
      </c>
      <c r="AA109" s="281" t="str">
        <f t="shared" si="6"/>
        <v/>
      </c>
      <c r="AE109" s="281" t="str">
        <f t="shared" si="7"/>
        <v/>
      </c>
      <c r="AI109" s="281" t="str">
        <f t="shared" si="8"/>
        <v/>
      </c>
      <c r="AM109" s="281" t="str">
        <f t="shared" si="9"/>
        <v/>
      </c>
    </row>
    <row r="110" spans="1:39">
      <c r="A110" s="371">
        <f>References!D270</f>
        <v>278</v>
      </c>
      <c r="B110" s="292" t="s">
        <v>41</v>
      </c>
      <c r="C110" s="284">
        <v>2005</v>
      </c>
      <c r="F110" s="31">
        <v>206</v>
      </c>
      <c r="H110" s="31">
        <v>242</v>
      </c>
      <c r="J110" s="31">
        <v>36</v>
      </c>
      <c r="K110" s="31">
        <v>30.12</v>
      </c>
      <c r="L110" s="294">
        <v>146.63485700000001</v>
      </c>
      <c r="M110" s="31">
        <v>8876</v>
      </c>
      <c r="N110" s="281">
        <v>51</v>
      </c>
      <c r="Q110" s="281">
        <v>0.8</v>
      </c>
      <c r="W110" s="281" t="str">
        <f t="shared" si="5"/>
        <v/>
      </c>
      <c r="AA110" s="281" t="str">
        <f t="shared" si="6"/>
        <v/>
      </c>
      <c r="AE110" s="281" t="str">
        <f t="shared" si="7"/>
        <v/>
      </c>
      <c r="AI110" s="281" t="str">
        <f t="shared" si="8"/>
        <v/>
      </c>
      <c r="AM110" s="281" t="str">
        <f t="shared" si="9"/>
        <v/>
      </c>
    </row>
    <row r="111" spans="1:39">
      <c r="A111" s="371">
        <f>References!E270</f>
        <v>279</v>
      </c>
      <c r="B111" s="292" t="s">
        <v>41</v>
      </c>
      <c r="C111" s="284">
        <v>2006</v>
      </c>
      <c r="F111" s="31">
        <v>209</v>
      </c>
      <c r="H111" s="31">
        <v>244</v>
      </c>
      <c r="J111" s="31">
        <v>35</v>
      </c>
      <c r="K111" s="31">
        <v>31.065999999999999</v>
      </c>
      <c r="L111" s="294">
        <v>145.43299500000001</v>
      </c>
      <c r="M111" s="31">
        <v>8915</v>
      </c>
      <c r="N111" s="281">
        <v>122</v>
      </c>
      <c r="Q111" s="281">
        <v>2.2000000000000002</v>
      </c>
      <c r="W111" s="281" t="str">
        <f t="shared" si="5"/>
        <v/>
      </c>
      <c r="AA111" s="281" t="str">
        <f t="shared" si="6"/>
        <v/>
      </c>
      <c r="AE111" s="281" t="str">
        <f t="shared" si="7"/>
        <v/>
      </c>
      <c r="AI111" s="281" t="str">
        <f t="shared" si="8"/>
        <v/>
      </c>
      <c r="AM111" s="281" t="str">
        <f t="shared" si="9"/>
        <v/>
      </c>
    </row>
    <row r="112" spans="1:39">
      <c r="A112" s="371">
        <f>References!F270</f>
        <v>280</v>
      </c>
      <c r="B112" s="292" t="s">
        <v>41</v>
      </c>
      <c r="C112" s="284">
        <v>2007</v>
      </c>
      <c r="F112" s="31">
        <v>210</v>
      </c>
      <c r="H112" s="31">
        <v>245</v>
      </c>
      <c r="J112" s="31">
        <v>35</v>
      </c>
      <c r="K112" s="31">
        <v>31.669</v>
      </c>
      <c r="L112" s="294">
        <v>149.979232</v>
      </c>
      <c r="M112" s="31">
        <v>8900</v>
      </c>
      <c r="N112" s="281">
        <v>249.9</v>
      </c>
      <c r="Q112" s="281">
        <v>2.5</v>
      </c>
      <c r="W112" s="281" t="str">
        <f t="shared" si="5"/>
        <v/>
      </c>
      <c r="AA112" s="281" t="str">
        <f t="shared" si="6"/>
        <v/>
      </c>
      <c r="AE112" s="281" t="str">
        <f t="shared" si="7"/>
        <v/>
      </c>
      <c r="AI112" s="281" t="str">
        <f t="shared" si="8"/>
        <v/>
      </c>
      <c r="AM112" s="281" t="str">
        <f t="shared" si="9"/>
        <v/>
      </c>
    </row>
    <row r="113" spans="1:39">
      <c r="A113" s="371">
        <f>References!G270</f>
        <v>281</v>
      </c>
      <c r="B113" s="292" t="s">
        <v>41</v>
      </c>
      <c r="C113" s="284">
        <v>2008</v>
      </c>
      <c r="D113" s="31">
        <v>35</v>
      </c>
      <c r="E113" s="281">
        <v>0</v>
      </c>
      <c r="F113" s="31">
        <v>211.43</v>
      </c>
      <c r="G113" s="281">
        <v>43</v>
      </c>
      <c r="H113" s="31">
        <v>246.43</v>
      </c>
      <c r="I113" s="31">
        <v>43</v>
      </c>
      <c r="J113" s="31">
        <v>35</v>
      </c>
      <c r="K113" s="31">
        <v>34.231999999999999</v>
      </c>
      <c r="L113" s="281">
        <v>150.10590999999999</v>
      </c>
      <c r="M113" s="31">
        <v>8881</v>
      </c>
      <c r="N113" s="281">
        <v>16.934999999999999</v>
      </c>
      <c r="O113" s="281">
        <v>4.6669999999999998</v>
      </c>
      <c r="P113" s="281">
        <v>12.268000000000001</v>
      </c>
      <c r="Q113" s="281">
        <v>0.184</v>
      </c>
      <c r="R113" s="281">
        <v>2.9000000000000001E-2</v>
      </c>
      <c r="S113" s="281">
        <v>0.155</v>
      </c>
      <c r="T113" s="281">
        <v>3512.5010000000002</v>
      </c>
      <c r="U113" s="281">
        <v>55443.531999999999</v>
      </c>
      <c r="V113" s="281">
        <v>7437</v>
      </c>
      <c r="W113" s="281">
        <f t="shared" si="5"/>
        <v>6.3352764033864224</v>
      </c>
      <c r="X113" s="31">
        <v>1618</v>
      </c>
      <c r="Y113" s="31">
        <v>29771.062000000002</v>
      </c>
      <c r="Z113" s="31">
        <v>1349</v>
      </c>
      <c r="AA113" s="281">
        <f t="shared" si="6"/>
        <v>5.4348078009444203</v>
      </c>
      <c r="AB113" s="31">
        <v>1681</v>
      </c>
      <c r="AC113" s="31">
        <v>37892.311999999998</v>
      </c>
      <c r="AD113" s="31">
        <v>90</v>
      </c>
      <c r="AE113" s="281">
        <f t="shared" si="7"/>
        <v>4.4362560933204609</v>
      </c>
      <c r="AF113" s="31">
        <v>668</v>
      </c>
      <c r="AG113" s="31">
        <v>26999</v>
      </c>
      <c r="AH113" s="31">
        <v>5</v>
      </c>
      <c r="AI113" s="281">
        <f t="shared" si="8"/>
        <v>2.4741657098411052</v>
      </c>
      <c r="AJ113" s="31">
        <v>7479.5010000000002</v>
      </c>
      <c r="AK113" s="31">
        <v>150105.91</v>
      </c>
      <c r="AL113" s="281">
        <v>8881</v>
      </c>
      <c r="AM113" s="281">
        <f t="shared" si="9"/>
        <v>4.9828157998575806</v>
      </c>
    </row>
    <row r="114" spans="1:39">
      <c r="A114" s="371">
        <f>References!H270</f>
        <v>282</v>
      </c>
      <c r="B114" s="292" t="s">
        <v>41</v>
      </c>
      <c r="C114" s="284">
        <v>2009</v>
      </c>
      <c r="D114" s="31">
        <v>33</v>
      </c>
      <c r="E114" s="281">
        <v>0</v>
      </c>
      <c r="F114" s="31">
        <v>214</v>
      </c>
      <c r="G114" s="281">
        <v>43</v>
      </c>
      <c r="H114" s="31">
        <v>247</v>
      </c>
      <c r="I114" s="31">
        <v>43</v>
      </c>
      <c r="J114" s="31">
        <v>33</v>
      </c>
      <c r="K114" s="31">
        <v>32.813000000000002</v>
      </c>
      <c r="L114" s="281">
        <v>148.41614999999999</v>
      </c>
      <c r="M114" s="31">
        <v>8943</v>
      </c>
      <c r="N114" s="281">
        <v>185.4</v>
      </c>
      <c r="O114" s="281">
        <v>28.63</v>
      </c>
      <c r="P114" s="281">
        <v>87.18</v>
      </c>
      <c r="Q114" s="281">
        <v>2.9</v>
      </c>
      <c r="R114" s="281">
        <v>0.21</v>
      </c>
      <c r="S114" s="281">
        <v>1.68</v>
      </c>
      <c r="T114" s="281">
        <v>3857.3699000000001</v>
      </c>
      <c r="U114" s="281">
        <v>55762.953000000001</v>
      </c>
      <c r="V114" s="281">
        <v>7475</v>
      </c>
      <c r="W114" s="281">
        <f t="shared" si="5"/>
        <v>6.9174419439372228</v>
      </c>
      <c r="X114" s="31">
        <v>1820.1932999999999</v>
      </c>
      <c r="Y114" s="31">
        <v>30168.944</v>
      </c>
      <c r="Z114" s="31">
        <v>1371</v>
      </c>
      <c r="AA114" s="281">
        <f t="shared" si="6"/>
        <v>6.0333344779983014</v>
      </c>
      <c r="AB114" s="31">
        <v>1865.0174</v>
      </c>
      <c r="AC114" s="31">
        <v>37411.525000000001</v>
      </c>
      <c r="AD114" s="31">
        <v>92</v>
      </c>
      <c r="AE114" s="281">
        <f t="shared" si="7"/>
        <v>4.9851413434763749</v>
      </c>
      <c r="AF114" s="31">
        <v>747.72857999999997</v>
      </c>
      <c r="AG114" s="31">
        <v>25072.727999999999</v>
      </c>
      <c r="AH114" s="31">
        <v>5</v>
      </c>
      <c r="AI114" s="281">
        <f t="shared" si="8"/>
        <v>2.9822386299568198</v>
      </c>
      <c r="AJ114" s="31">
        <v>8290.3091000000004</v>
      </c>
      <c r="AK114" s="31">
        <v>148416.15</v>
      </c>
      <c r="AL114" s="281">
        <v>8943</v>
      </c>
      <c r="AM114" s="281">
        <f t="shared" si="9"/>
        <v>5.5858537632191645</v>
      </c>
    </row>
    <row r="115" spans="1:39">
      <c r="A115" s="371">
        <f>References!I270</f>
        <v>283</v>
      </c>
      <c r="B115" s="292" t="s">
        <v>41</v>
      </c>
      <c r="C115" s="284">
        <v>2010</v>
      </c>
      <c r="D115" s="31">
        <v>32.4</v>
      </c>
      <c r="E115" s="281">
        <v>0</v>
      </c>
      <c r="F115" s="31">
        <v>215.97</v>
      </c>
      <c r="G115" s="281">
        <v>43</v>
      </c>
      <c r="H115" s="31">
        <v>248.37</v>
      </c>
      <c r="I115" s="31">
        <v>43</v>
      </c>
      <c r="J115" s="31">
        <v>32.4</v>
      </c>
      <c r="K115" s="31">
        <v>33.53</v>
      </c>
      <c r="L115" s="281">
        <v>147.4984</v>
      </c>
      <c r="M115" s="31">
        <v>9008</v>
      </c>
      <c r="N115" s="281">
        <v>169.41900000000001</v>
      </c>
      <c r="O115" s="281">
        <v>54.38</v>
      </c>
      <c r="P115" s="281">
        <v>24.916</v>
      </c>
      <c r="Q115" s="281">
        <v>1.756</v>
      </c>
      <c r="R115" s="281">
        <v>0.182</v>
      </c>
      <c r="S115" s="281">
        <v>0.57499999999999996</v>
      </c>
      <c r="T115" s="281">
        <v>683</v>
      </c>
      <c r="U115" s="281">
        <v>10194.529</v>
      </c>
      <c r="V115" s="281">
        <v>1745</v>
      </c>
      <c r="W115" s="281">
        <f t="shared" si="5"/>
        <v>6.6996719514947669</v>
      </c>
      <c r="X115" s="31">
        <v>5099</v>
      </c>
      <c r="Y115" s="31">
        <v>76620.73</v>
      </c>
      <c r="Z115" s="31">
        <v>7164</v>
      </c>
      <c r="AA115" s="281">
        <f t="shared" si="6"/>
        <v>6.6548569819159908</v>
      </c>
      <c r="AB115" s="31">
        <v>1830</v>
      </c>
      <c r="AC115" s="31">
        <v>38114.828000000001</v>
      </c>
      <c r="AD115" s="31">
        <v>94</v>
      </c>
      <c r="AE115" s="281">
        <f t="shared" si="7"/>
        <v>4.8012810132581469</v>
      </c>
      <c r="AF115" s="31">
        <v>714</v>
      </c>
      <c r="AG115" s="31">
        <v>22568.313999999998</v>
      </c>
      <c r="AH115" s="31">
        <v>5</v>
      </c>
      <c r="AI115" s="281">
        <f t="shared" si="8"/>
        <v>3.1637276936150394</v>
      </c>
      <c r="AJ115" s="31">
        <v>8326</v>
      </c>
      <c r="AK115" s="31">
        <v>147498.4</v>
      </c>
      <c r="AL115" s="281">
        <v>9008</v>
      </c>
      <c r="AM115" s="281">
        <f t="shared" si="9"/>
        <v>5.6448069945165509</v>
      </c>
    </row>
    <row r="116" spans="1:39">
      <c r="A116" s="371">
        <f>References!J270</f>
        <v>284</v>
      </c>
      <c r="B116" s="292" t="s">
        <v>41</v>
      </c>
      <c r="C116" s="284">
        <v>2011</v>
      </c>
      <c r="D116" s="31">
        <v>39</v>
      </c>
      <c r="E116" s="281">
        <v>1.02</v>
      </c>
      <c r="F116" s="31">
        <v>215.721</v>
      </c>
      <c r="G116" s="281">
        <v>63.43</v>
      </c>
      <c r="H116" s="31">
        <v>254.721</v>
      </c>
      <c r="I116" s="31">
        <v>64.45</v>
      </c>
      <c r="J116" s="31">
        <v>39</v>
      </c>
      <c r="K116" s="31">
        <v>32.75</v>
      </c>
      <c r="L116" s="281">
        <v>145.751</v>
      </c>
      <c r="M116" s="31">
        <v>9048</v>
      </c>
      <c r="N116" s="281">
        <v>114.66</v>
      </c>
      <c r="O116" s="281">
        <v>8.9499999999999993</v>
      </c>
      <c r="P116" s="281">
        <v>105.71</v>
      </c>
      <c r="Q116" s="281">
        <v>0.57999999999999996</v>
      </c>
      <c r="R116" s="281">
        <v>0.04</v>
      </c>
      <c r="S116" s="281">
        <v>0.54</v>
      </c>
      <c r="T116" s="281">
        <v>767</v>
      </c>
      <c r="U116" s="281">
        <v>10613</v>
      </c>
      <c r="V116" s="281">
        <v>2011</v>
      </c>
      <c r="W116" s="281">
        <f t="shared" si="5"/>
        <v>7.226985772166211</v>
      </c>
      <c r="X116" s="31">
        <v>5325</v>
      </c>
      <c r="Y116" s="31">
        <v>73114</v>
      </c>
      <c r="Z116" s="31">
        <v>6942</v>
      </c>
      <c r="AA116" s="281">
        <f t="shared" si="6"/>
        <v>7.2831468665371881</v>
      </c>
      <c r="AB116" s="31">
        <v>1769</v>
      </c>
      <c r="AC116" s="31">
        <v>34584</v>
      </c>
      <c r="AD116" s="31">
        <v>90</v>
      </c>
      <c r="AE116" s="281">
        <f t="shared" si="7"/>
        <v>5.1150821188989131</v>
      </c>
      <c r="AF116" s="31">
        <v>972</v>
      </c>
      <c r="AG116" s="31">
        <v>27440</v>
      </c>
      <c r="AH116" s="31">
        <v>5</v>
      </c>
      <c r="AI116" s="281">
        <f t="shared" si="8"/>
        <v>3.5422740524781342</v>
      </c>
      <c r="AJ116" s="31">
        <v>8833</v>
      </c>
      <c r="AK116" s="31">
        <v>145751</v>
      </c>
      <c r="AL116" s="281">
        <v>9048</v>
      </c>
      <c r="AM116" s="281">
        <f t="shared" si="9"/>
        <v>6.0603357781421741</v>
      </c>
    </row>
    <row r="117" spans="1:39">
      <c r="A117" s="371">
        <f>References!C271</f>
        <v>300</v>
      </c>
      <c r="B117" s="292" t="s">
        <v>42</v>
      </c>
      <c r="C117" s="284">
        <v>2004</v>
      </c>
      <c r="F117" s="31">
        <v>600.25</v>
      </c>
      <c r="H117" s="31">
        <v>3244.28</v>
      </c>
      <c r="J117" s="31">
        <v>2644.03</v>
      </c>
      <c r="K117" s="31">
        <v>129.29</v>
      </c>
      <c r="L117" s="294">
        <v>703.73145199999999</v>
      </c>
      <c r="M117" s="31">
        <v>33335</v>
      </c>
      <c r="N117" s="281">
        <v>164.1</v>
      </c>
      <c r="Q117" s="281">
        <v>1.73</v>
      </c>
      <c r="W117" s="281" t="str">
        <f t="shared" si="5"/>
        <v/>
      </c>
      <c r="AA117" s="281" t="str">
        <f t="shared" si="6"/>
        <v/>
      </c>
      <c r="AE117" s="281" t="str">
        <f t="shared" si="7"/>
        <v/>
      </c>
      <c r="AI117" s="281" t="str">
        <f t="shared" si="8"/>
        <v/>
      </c>
      <c r="AM117" s="281" t="str">
        <f t="shared" si="9"/>
        <v/>
      </c>
    </row>
    <row r="118" spans="1:39">
      <c r="A118" s="371">
        <f>References!D271</f>
        <v>301</v>
      </c>
      <c r="B118" s="292" t="s">
        <v>42</v>
      </c>
      <c r="C118" s="284">
        <v>2005</v>
      </c>
      <c r="F118" s="31">
        <v>637.32000000000005</v>
      </c>
      <c r="H118" s="31">
        <v>3246.85</v>
      </c>
      <c r="J118" s="31">
        <v>2609.5300000000002</v>
      </c>
      <c r="K118" s="31">
        <v>134.977</v>
      </c>
      <c r="L118" s="294">
        <v>742.56739200000004</v>
      </c>
      <c r="M118" s="31">
        <v>33830</v>
      </c>
      <c r="N118" s="281">
        <v>210.15</v>
      </c>
      <c r="Q118" s="281">
        <v>2.4700000000000002</v>
      </c>
      <c r="W118" s="281" t="str">
        <f t="shared" si="5"/>
        <v/>
      </c>
      <c r="AA118" s="281" t="str">
        <f t="shared" si="6"/>
        <v/>
      </c>
      <c r="AE118" s="281" t="str">
        <f t="shared" si="7"/>
        <v/>
      </c>
      <c r="AI118" s="281" t="str">
        <f t="shared" si="8"/>
        <v/>
      </c>
      <c r="AM118" s="281" t="str">
        <f t="shared" si="9"/>
        <v/>
      </c>
    </row>
    <row r="119" spans="1:39">
      <c r="A119" s="371">
        <f>References!E271</f>
        <v>302</v>
      </c>
      <c r="B119" s="292" t="s">
        <v>42</v>
      </c>
      <c r="C119" s="284">
        <v>2006</v>
      </c>
      <c r="F119" s="31">
        <v>664.59</v>
      </c>
      <c r="H119" s="31">
        <v>3265.09</v>
      </c>
      <c r="J119" s="31">
        <v>2600.5</v>
      </c>
      <c r="K119" s="31">
        <v>138.74600000000001</v>
      </c>
      <c r="L119" s="294">
        <v>739.97688400000004</v>
      </c>
      <c r="M119" s="31">
        <v>34400</v>
      </c>
      <c r="N119" s="281">
        <v>224.66</v>
      </c>
      <c r="Q119" s="281">
        <v>2.5299999999999998</v>
      </c>
      <c r="W119" s="281" t="str">
        <f t="shared" si="5"/>
        <v/>
      </c>
      <c r="AA119" s="281" t="str">
        <f t="shared" si="6"/>
        <v/>
      </c>
      <c r="AE119" s="281" t="str">
        <f t="shared" si="7"/>
        <v/>
      </c>
      <c r="AI119" s="281" t="str">
        <f t="shared" si="8"/>
        <v/>
      </c>
      <c r="AM119" s="281" t="str">
        <f t="shared" si="9"/>
        <v/>
      </c>
    </row>
    <row r="120" spans="1:39">
      <c r="A120" s="371">
        <f>References!F271</f>
        <v>303</v>
      </c>
      <c r="B120" s="292" t="s">
        <v>42</v>
      </c>
      <c r="C120" s="284">
        <v>2007</v>
      </c>
      <c r="F120" s="31">
        <v>712.71</v>
      </c>
      <c r="H120" s="31">
        <v>3299.41</v>
      </c>
      <c r="J120" s="31">
        <v>2586.7399999999998</v>
      </c>
      <c r="K120" s="31">
        <v>140.017</v>
      </c>
      <c r="L120" s="294">
        <v>740.43544599999996</v>
      </c>
      <c r="M120" s="31">
        <v>34910</v>
      </c>
      <c r="N120" s="281">
        <v>285.41000000000003</v>
      </c>
      <c r="Q120" s="281">
        <v>3.29</v>
      </c>
      <c r="W120" s="281" t="str">
        <f t="shared" si="5"/>
        <v/>
      </c>
      <c r="AA120" s="281" t="str">
        <f t="shared" si="6"/>
        <v/>
      </c>
      <c r="AE120" s="281" t="str">
        <f t="shared" si="7"/>
        <v/>
      </c>
      <c r="AI120" s="281" t="str">
        <f t="shared" si="8"/>
        <v/>
      </c>
      <c r="AM120" s="281" t="str">
        <f t="shared" si="9"/>
        <v/>
      </c>
    </row>
    <row r="121" spans="1:39">
      <c r="A121" s="371">
        <f>References!G271</f>
        <v>304</v>
      </c>
      <c r="B121" s="292" t="s">
        <v>42</v>
      </c>
      <c r="C121" s="284">
        <v>2008</v>
      </c>
      <c r="D121" s="31">
        <v>2572.6</v>
      </c>
      <c r="E121" s="281">
        <v>0</v>
      </c>
      <c r="F121" s="31">
        <v>739.6</v>
      </c>
      <c r="G121" s="281">
        <v>0</v>
      </c>
      <c r="H121" s="31">
        <v>3312.2</v>
      </c>
      <c r="I121" s="31">
        <v>0</v>
      </c>
      <c r="J121" s="31">
        <v>2573.0819999999999</v>
      </c>
      <c r="K121" s="31">
        <v>147.952</v>
      </c>
      <c r="L121" s="281">
        <v>594.24832000000004</v>
      </c>
      <c r="M121" s="31">
        <v>35416</v>
      </c>
      <c r="N121" s="281">
        <v>172</v>
      </c>
      <c r="O121" s="281">
        <v>45.85</v>
      </c>
      <c r="P121" s="281">
        <v>111.69</v>
      </c>
      <c r="Q121" s="281">
        <v>1.63</v>
      </c>
      <c r="R121" s="281">
        <v>0.2</v>
      </c>
      <c r="S121" s="281">
        <v>1.33</v>
      </c>
      <c r="T121" s="281">
        <v>15810.424000000001</v>
      </c>
      <c r="U121" s="281">
        <v>243717.6</v>
      </c>
      <c r="V121" s="281">
        <v>33524</v>
      </c>
      <c r="W121" s="281">
        <f t="shared" si="5"/>
        <v>6.4871900921394277</v>
      </c>
      <c r="X121" s="31">
        <v>4281.9880999999996</v>
      </c>
      <c r="Y121" s="31">
        <v>53223.398000000001</v>
      </c>
      <c r="Z121" s="31">
        <v>1505</v>
      </c>
      <c r="AA121" s="281">
        <f t="shared" si="6"/>
        <v>8.0453113872962394</v>
      </c>
      <c r="AB121" s="31">
        <v>6513.6365999999998</v>
      </c>
      <c r="AC121" s="31">
        <v>129099.42</v>
      </c>
      <c r="AD121" s="31">
        <v>382</v>
      </c>
      <c r="AE121" s="281">
        <f t="shared" si="7"/>
        <v>5.0454421871143964</v>
      </c>
      <c r="AF121" s="31">
        <v>2313.6983</v>
      </c>
      <c r="AG121" s="31">
        <v>168207.9</v>
      </c>
      <c r="AH121" s="31">
        <v>5</v>
      </c>
      <c r="AI121" s="281">
        <f t="shared" si="8"/>
        <v>1.3754991888014774</v>
      </c>
      <c r="AJ121" s="31">
        <v>28919.746999999999</v>
      </c>
      <c r="AK121" s="31">
        <v>594248.31999999995</v>
      </c>
      <c r="AL121" s="281">
        <v>35416</v>
      </c>
      <c r="AM121" s="281">
        <f t="shared" si="9"/>
        <v>4.8666098037938079</v>
      </c>
    </row>
    <row r="122" spans="1:39">
      <c r="A122" s="371">
        <f>References!H271</f>
        <v>305</v>
      </c>
      <c r="B122" s="292" t="s">
        <v>42</v>
      </c>
      <c r="C122" s="284">
        <v>2009</v>
      </c>
      <c r="D122" s="31">
        <v>2568.1</v>
      </c>
      <c r="E122" s="281">
        <v>0</v>
      </c>
      <c r="F122" s="31">
        <v>762</v>
      </c>
      <c r="G122" s="281">
        <v>0</v>
      </c>
      <c r="H122" s="31">
        <v>3330.1</v>
      </c>
      <c r="I122" s="31">
        <v>0</v>
      </c>
      <c r="J122" s="31">
        <v>2569</v>
      </c>
      <c r="K122" s="31">
        <v>148.4</v>
      </c>
      <c r="L122" s="281">
        <v>575.23339999999996</v>
      </c>
      <c r="M122" s="31">
        <v>35829</v>
      </c>
      <c r="N122" s="281">
        <v>342.31</v>
      </c>
      <c r="O122" s="281">
        <v>30.41</v>
      </c>
      <c r="P122" s="281">
        <v>214.62</v>
      </c>
      <c r="Q122" s="281">
        <v>2.33</v>
      </c>
      <c r="R122" s="281">
        <v>0.13</v>
      </c>
      <c r="S122" s="281">
        <v>1.53</v>
      </c>
      <c r="T122" s="281">
        <v>17276.71</v>
      </c>
      <c r="U122" s="281">
        <v>245311.35999999999</v>
      </c>
      <c r="V122" s="281">
        <v>33913</v>
      </c>
      <c r="W122" s="281">
        <f t="shared" si="5"/>
        <v>7.042768015309198</v>
      </c>
      <c r="X122" s="31">
        <v>4491.6634000000004</v>
      </c>
      <c r="Y122" s="31">
        <v>52196.281999999999</v>
      </c>
      <c r="Z122" s="31">
        <v>1520</v>
      </c>
      <c r="AA122" s="281">
        <f t="shared" si="6"/>
        <v>8.6053320809325076</v>
      </c>
      <c r="AB122" s="31">
        <v>6993.6970000000001</v>
      </c>
      <c r="AC122" s="31">
        <v>125517.27</v>
      </c>
      <c r="AD122" s="31">
        <v>391</v>
      </c>
      <c r="AE122" s="281">
        <f t="shared" si="7"/>
        <v>5.5719001855282535</v>
      </c>
      <c r="AF122" s="31">
        <v>2308.9396999999999</v>
      </c>
      <c r="AG122" s="31">
        <v>152208.49</v>
      </c>
      <c r="AH122" s="31">
        <v>5</v>
      </c>
      <c r="AI122" s="281">
        <f t="shared" si="8"/>
        <v>1.5169585481072705</v>
      </c>
      <c r="AJ122" s="31">
        <v>31071.010999999999</v>
      </c>
      <c r="AK122" s="31">
        <v>575233.4</v>
      </c>
      <c r="AL122" s="281">
        <v>35829</v>
      </c>
      <c r="AM122" s="281">
        <f t="shared" si="9"/>
        <v>5.4014615632541494</v>
      </c>
    </row>
    <row r="123" spans="1:39">
      <c r="A123" s="371">
        <f>References!I271</f>
        <v>306</v>
      </c>
      <c r="B123" s="292" t="s">
        <v>42</v>
      </c>
      <c r="C123" s="284">
        <v>2010</v>
      </c>
      <c r="D123" s="31">
        <v>2563.1999999999998</v>
      </c>
      <c r="E123" s="281">
        <v>0</v>
      </c>
      <c r="F123" s="31">
        <v>784.52</v>
      </c>
      <c r="G123" s="281">
        <v>0</v>
      </c>
      <c r="H123" s="31">
        <v>3347.72</v>
      </c>
      <c r="I123" s="31">
        <v>0</v>
      </c>
      <c r="J123" s="31">
        <v>2562.6</v>
      </c>
      <c r="K123" s="31">
        <v>146.197</v>
      </c>
      <c r="L123" s="281">
        <v>579</v>
      </c>
      <c r="M123" s="31">
        <v>36219</v>
      </c>
      <c r="N123" s="281">
        <v>226.39</v>
      </c>
      <c r="O123" s="281">
        <v>61.88</v>
      </c>
      <c r="P123" s="281">
        <v>86.42</v>
      </c>
      <c r="Q123" s="281">
        <v>2.5939999999999999</v>
      </c>
      <c r="R123" s="281">
        <v>0.28000000000000003</v>
      </c>
      <c r="S123" s="281">
        <v>1.48</v>
      </c>
      <c r="T123" s="281">
        <v>18424.726999999999</v>
      </c>
      <c r="U123" s="281">
        <v>254095</v>
      </c>
      <c r="V123" s="281">
        <v>34278</v>
      </c>
      <c r="W123" s="281">
        <f t="shared" si="5"/>
        <v>7.2511174954249391</v>
      </c>
      <c r="X123" s="31">
        <v>4767.6787999999997</v>
      </c>
      <c r="Y123" s="31">
        <v>53926</v>
      </c>
      <c r="Z123" s="31">
        <v>1542</v>
      </c>
      <c r="AA123" s="281">
        <f t="shared" si="6"/>
        <v>8.8411504654526567</v>
      </c>
      <c r="AB123" s="31">
        <v>7379.6803</v>
      </c>
      <c r="AC123" s="31">
        <v>128237</v>
      </c>
      <c r="AD123" s="31">
        <v>394</v>
      </c>
      <c r="AE123" s="281">
        <f t="shared" si="7"/>
        <v>5.7547200106053635</v>
      </c>
      <c r="AF123" s="31">
        <v>2421.0306999999998</v>
      </c>
      <c r="AG123" s="31">
        <v>142477</v>
      </c>
      <c r="AH123" s="31">
        <v>5</v>
      </c>
      <c r="AI123" s="281">
        <f t="shared" si="8"/>
        <v>1.6992431760915796</v>
      </c>
      <c r="AJ123" s="31">
        <v>32993.116999999998</v>
      </c>
      <c r="AK123" s="31">
        <v>578735</v>
      </c>
      <c r="AL123" s="281">
        <v>36219</v>
      </c>
      <c r="AM123" s="281">
        <f t="shared" si="9"/>
        <v>5.7009023128029233</v>
      </c>
    </row>
    <row r="124" spans="1:39">
      <c r="A124" s="371">
        <f>References!J271</f>
        <v>307</v>
      </c>
      <c r="B124" s="292" t="s">
        <v>42</v>
      </c>
      <c r="C124" s="284">
        <v>2011</v>
      </c>
      <c r="D124" s="31">
        <v>2549</v>
      </c>
      <c r="E124" s="281">
        <v>0</v>
      </c>
      <c r="F124" s="31">
        <v>807</v>
      </c>
      <c r="G124" s="281">
        <v>0</v>
      </c>
      <c r="H124" s="31">
        <v>3356</v>
      </c>
      <c r="I124" s="31">
        <v>0</v>
      </c>
      <c r="J124" s="31">
        <v>2549.4</v>
      </c>
      <c r="K124" s="31">
        <v>146.07594</v>
      </c>
      <c r="L124" s="281">
        <v>579.91179999999997</v>
      </c>
      <c r="M124" s="31">
        <v>36679</v>
      </c>
      <c r="N124" s="281">
        <v>236.57</v>
      </c>
      <c r="O124" s="281">
        <v>48.17</v>
      </c>
      <c r="P124" s="281">
        <v>129.87</v>
      </c>
      <c r="Q124" s="281">
        <v>1.91</v>
      </c>
      <c r="R124" s="281">
        <v>0.27</v>
      </c>
      <c r="S124" s="281">
        <v>1.37</v>
      </c>
      <c r="T124" s="281">
        <v>18508.471000000001</v>
      </c>
      <c r="U124" s="281">
        <v>245800.27</v>
      </c>
      <c r="V124" s="281">
        <v>34700</v>
      </c>
      <c r="W124" s="281">
        <f t="shared" si="5"/>
        <v>7.5298822902025302</v>
      </c>
      <c r="X124" s="31">
        <v>5047.0137999999997</v>
      </c>
      <c r="Y124" s="31">
        <v>55517.898999999998</v>
      </c>
      <c r="Z124" s="31">
        <v>1571</v>
      </c>
      <c r="AA124" s="281">
        <f t="shared" si="6"/>
        <v>9.090786738885777</v>
      </c>
      <c r="AB124" s="31">
        <v>7566.6130000000003</v>
      </c>
      <c r="AC124" s="31">
        <v>132804.24</v>
      </c>
      <c r="AD124" s="31">
        <v>403</v>
      </c>
      <c r="AE124" s="281">
        <f t="shared" si="7"/>
        <v>5.6975688426815294</v>
      </c>
      <c r="AF124" s="31">
        <v>2441.4474</v>
      </c>
      <c r="AG124" s="31">
        <v>145789.31</v>
      </c>
      <c r="AH124" s="31">
        <v>5</v>
      </c>
      <c r="AI124" s="281">
        <f t="shared" si="8"/>
        <v>1.6746408910228054</v>
      </c>
      <c r="AJ124" s="31">
        <v>33563.544999999998</v>
      </c>
      <c r="AK124" s="31">
        <v>579911.72</v>
      </c>
      <c r="AL124" s="281">
        <v>36679</v>
      </c>
      <c r="AM124" s="281">
        <f t="shared" si="9"/>
        <v>5.7876990311559835</v>
      </c>
    </row>
    <row r="125" spans="1:39">
      <c r="A125" s="371">
        <f>References!C272</f>
        <v>323</v>
      </c>
      <c r="B125" s="292" t="s">
        <v>43</v>
      </c>
      <c r="C125" s="284">
        <v>2004</v>
      </c>
      <c r="F125" s="31">
        <v>64.61</v>
      </c>
      <c r="H125" s="31">
        <v>1933.33</v>
      </c>
      <c r="J125" s="31">
        <v>1868.71</v>
      </c>
      <c r="K125" s="31">
        <v>36.21</v>
      </c>
      <c r="L125" s="294">
        <v>183.27153300000001</v>
      </c>
      <c r="M125" s="31">
        <v>11491</v>
      </c>
      <c r="N125" s="281">
        <v>187</v>
      </c>
      <c r="Q125" s="281">
        <v>1.65</v>
      </c>
      <c r="W125" s="281" t="str">
        <f t="shared" si="5"/>
        <v/>
      </c>
      <c r="AA125" s="281" t="str">
        <f t="shared" si="6"/>
        <v/>
      </c>
      <c r="AE125" s="281" t="str">
        <f t="shared" si="7"/>
        <v/>
      </c>
      <c r="AI125" s="281" t="str">
        <f t="shared" si="8"/>
        <v/>
      </c>
      <c r="AM125" s="281" t="str">
        <f t="shared" si="9"/>
        <v/>
      </c>
    </row>
    <row r="126" spans="1:39">
      <c r="A126" s="371">
        <f>References!D272</f>
        <v>324</v>
      </c>
      <c r="B126" s="292" t="s">
        <v>43</v>
      </c>
      <c r="C126" s="284">
        <v>2005</v>
      </c>
      <c r="F126" s="31">
        <v>67.14</v>
      </c>
      <c r="H126" s="31">
        <v>1940.57</v>
      </c>
      <c r="J126" s="31">
        <v>1873.42</v>
      </c>
      <c r="K126" s="31">
        <v>33.555999999999997</v>
      </c>
      <c r="L126" s="294">
        <v>183.36752300000001</v>
      </c>
      <c r="M126" s="31">
        <v>11975</v>
      </c>
      <c r="N126" s="281">
        <v>104.85</v>
      </c>
      <c r="Q126" s="281">
        <v>1.38</v>
      </c>
      <c r="W126" s="281" t="str">
        <f t="shared" si="5"/>
        <v/>
      </c>
      <c r="AA126" s="281" t="str">
        <f t="shared" si="6"/>
        <v/>
      </c>
      <c r="AE126" s="281" t="str">
        <f t="shared" si="7"/>
        <v/>
      </c>
      <c r="AI126" s="281" t="str">
        <f t="shared" si="8"/>
        <v/>
      </c>
      <c r="AM126" s="281" t="str">
        <f t="shared" si="9"/>
        <v/>
      </c>
    </row>
    <row r="127" spans="1:39">
      <c r="A127" s="371">
        <f>References!E272</f>
        <v>325</v>
      </c>
      <c r="B127" s="292" t="s">
        <v>43</v>
      </c>
      <c r="C127" s="284">
        <v>2006</v>
      </c>
      <c r="F127" s="31">
        <v>72.819999999999993</v>
      </c>
      <c r="H127" s="31">
        <v>1993.56</v>
      </c>
      <c r="J127" s="31">
        <v>1920.74</v>
      </c>
      <c r="K127" s="31">
        <v>33.99</v>
      </c>
      <c r="L127" s="294">
        <v>190.44625400000001</v>
      </c>
      <c r="M127" s="31">
        <v>12006</v>
      </c>
      <c r="N127" s="281">
        <v>102.31</v>
      </c>
      <c r="Q127" s="281">
        <v>1.91</v>
      </c>
      <c r="W127" s="281" t="str">
        <f t="shared" si="5"/>
        <v/>
      </c>
      <c r="AA127" s="281" t="str">
        <f t="shared" si="6"/>
        <v/>
      </c>
      <c r="AE127" s="281" t="str">
        <f t="shared" si="7"/>
        <v/>
      </c>
      <c r="AI127" s="281" t="str">
        <f t="shared" si="8"/>
        <v/>
      </c>
      <c r="AM127" s="281" t="str">
        <f t="shared" si="9"/>
        <v/>
      </c>
    </row>
    <row r="128" spans="1:39">
      <c r="A128" s="371">
        <f>References!F272</f>
        <v>326</v>
      </c>
      <c r="B128" s="292" t="s">
        <v>43</v>
      </c>
      <c r="C128" s="284">
        <v>2007</v>
      </c>
      <c r="F128" s="31">
        <v>74.986000000000004</v>
      </c>
      <c r="H128" s="31">
        <v>2004.625</v>
      </c>
      <c r="J128" s="31">
        <v>1929.65</v>
      </c>
      <c r="K128" s="31">
        <v>42.566000000000003</v>
      </c>
      <c r="L128" s="294">
        <v>201.99730700000001</v>
      </c>
      <c r="M128" s="31">
        <v>11944</v>
      </c>
      <c r="N128" s="281">
        <v>505.55</v>
      </c>
      <c r="Q128" s="281">
        <v>3.32</v>
      </c>
      <c r="W128" s="281" t="str">
        <f t="shared" si="5"/>
        <v/>
      </c>
      <c r="AA128" s="281" t="str">
        <f t="shared" si="6"/>
        <v/>
      </c>
      <c r="AE128" s="281" t="str">
        <f t="shared" si="7"/>
        <v/>
      </c>
      <c r="AI128" s="281" t="str">
        <f t="shared" si="8"/>
        <v/>
      </c>
      <c r="AM128" s="281" t="str">
        <f t="shared" si="9"/>
        <v/>
      </c>
    </row>
    <row r="129" spans="1:39">
      <c r="A129" s="371">
        <f>References!G272</f>
        <v>327</v>
      </c>
      <c r="B129" s="292" t="s">
        <v>43</v>
      </c>
      <c r="C129" s="284">
        <v>2008</v>
      </c>
      <c r="D129" s="31">
        <v>1872</v>
      </c>
      <c r="E129" s="281">
        <v>0</v>
      </c>
      <c r="F129" s="31">
        <v>89.557000000000002</v>
      </c>
      <c r="G129" s="281">
        <v>0</v>
      </c>
      <c r="H129" s="31">
        <v>1961.557</v>
      </c>
      <c r="I129" s="31">
        <v>0</v>
      </c>
      <c r="J129" s="31">
        <v>1872</v>
      </c>
      <c r="K129" s="31">
        <v>46.421999999999997</v>
      </c>
      <c r="L129" s="281">
        <v>230</v>
      </c>
      <c r="M129" s="31">
        <v>11970</v>
      </c>
      <c r="N129" s="281">
        <v>94.67</v>
      </c>
      <c r="O129" s="281">
        <v>24.14</v>
      </c>
      <c r="P129" s="281">
        <v>70.540000000000006</v>
      </c>
      <c r="Q129" s="281">
        <v>2.1</v>
      </c>
      <c r="R129" s="281">
        <v>0.13</v>
      </c>
      <c r="S129" s="281">
        <v>1.97</v>
      </c>
      <c r="T129" s="281">
        <v>4001</v>
      </c>
      <c r="U129" s="281">
        <v>72394</v>
      </c>
      <c r="V129" s="281">
        <v>10137</v>
      </c>
      <c r="W129" s="281">
        <f t="shared" si="5"/>
        <v>5.5267011078266153</v>
      </c>
      <c r="X129" s="31">
        <v>3879.7226999999998</v>
      </c>
      <c r="Y129" s="31">
        <v>70565</v>
      </c>
      <c r="Z129" s="31">
        <v>1777</v>
      </c>
      <c r="AA129" s="281">
        <f t="shared" si="6"/>
        <v>5.4980836108552396</v>
      </c>
      <c r="AB129" s="31">
        <v>1054.7154</v>
      </c>
      <c r="AC129" s="31">
        <v>28213</v>
      </c>
      <c r="AD129" s="31">
        <v>51</v>
      </c>
      <c r="AE129" s="281">
        <f t="shared" si="7"/>
        <v>3.7384021550349131</v>
      </c>
      <c r="AF129" s="31">
        <v>1120</v>
      </c>
      <c r="AG129" s="31">
        <v>58828</v>
      </c>
      <c r="AH129" s="31">
        <v>5</v>
      </c>
      <c r="AI129" s="281">
        <f t="shared" si="8"/>
        <v>1.9038553069966682</v>
      </c>
      <c r="AJ129" s="31">
        <v>10055.438</v>
      </c>
      <c r="AK129" s="31">
        <v>230000</v>
      </c>
      <c r="AL129" s="281">
        <v>11970</v>
      </c>
      <c r="AM129" s="281">
        <f t="shared" si="9"/>
        <v>4.3719295652173917</v>
      </c>
    </row>
    <row r="130" spans="1:39">
      <c r="A130" s="371">
        <f>References!H272</f>
        <v>328</v>
      </c>
      <c r="B130" s="292" t="s">
        <v>43</v>
      </c>
      <c r="C130" s="284">
        <v>2009</v>
      </c>
      <c r="D130" s="31">
        <v>1794</v>
      </c>
      <c r="E130" s="281">
        <v>0</v>
      </c>
      <c r="F130" s="31">
        <v>74</v>
      </c>
      <c r="G130" s="281">
        <v>0</v>
      </c>
      <c r="H130" s="31">
        <v>1868</v>
      </c>
      <c r="I130" s="31">
        <v>0</v>
      </c>
      <c r="J130" s="31">
        <v>1794</v>
      </c>
      <c r="K130" s="31">
        <v>47.276000000000003</v>
      </c>
      <c r="L130" s="281">
        <v>233.73</v>
      </c>
      <c r="M130" s="31">
        <v>12256</v>
      </c>
      <c r="N130" s="281">
        <v>69.36</v>
      </c>
      <c r="O130" s="281">
        <v>10.76</v>
      </c>
      <c r="P130" s="281">
        <v>58.6</v>
      </c>
      <c r="Q130" s="281">
        <v>1.07</v>
      </c>
      <c r="R130" s="281">
        <v>7.0000000000000007E-2</v>
      </c>
      <c r="S130" s="281">
        <v>1</v>
      </c>
      <c r="T130" s="281">
        <v>3154</v>
      </c>
      <c r="U130" s="281">
        <v>75049.195000000007</v>
      </c>
      <c r="V130" s="281">
        <v>10022</v>
      </c>
      <c r="W130" s="281">
        <f t="shared" si="5"/>
        <v>4.2025767231747118</v>
      </c>
      <c r="X130" s="31">
        <v>5486</v>
      </c>
      <c r="Y130" s="31">
        <v>71752.918999999994</v>
      </c>
      <c r="Z130" s="31">
        <v>2175</v>
      </c>
      <c r="AA130" s="281">
        <f t="shared" si="6"/>
        <v>7.6456819826382265</v>
      </c>
      <c r="AB130" s="31">
        <v>1235</v>
      </c>
      <c r="AC130" s="31">
        <v>29376.544999999998</v>
      </c>
      <c r="AD130" s="31">
        <v>54</v>
      </c>
      <c r="AE130" s="281">
        <f t="shared" si="7"/>
        <v>4.2040342048392692</v>
      </c>
      <c r="AF130" s="31">
        <v>1156</v>
      </c>
      <c r="AG130" s="31">
        <v>57551.341999999997</v>
      </c>
      <c r="AH130" s="31">
        <v>5</v>
      </c>
      <c r="AI130" s="281">
        <f t="shared" si="8"/>
        <v>2.008641258096119</v>
      </c>
      <c r="AJ130" s="31">
        <v>11031</v>
      </c>
      <c r="AK130" s="31">
        <v>233730</v>
      </c>
      <c r="AL130" s="281">
        <v>12256</v>
      </c>
      <c r="AM130" s="281">
        <f t="shared" si="9"/>
        <v>4.7195481966371453</v>
      </c>
    </row>
    <row r="131" spans="1:39">
      <c r="A131" s="371">
        <f>References!I272</f>
        <v>329</v>
      </c>
      <c r="B131" s="292" t="s">
        <v>43</v>
      </c>
      <c r="C131" s="284">
        <v>2010</v>
      </c>
      <c r="D131" s="31">
        <v>1631</v>
      </c>
      <c r="E131" s="281">
        <v>0</v>
      </c>
      <c r="F131" s="31">
        <v>83</v>
      </c>
      <c r="G131" s="281">
        <v>0</v>
      </c>
      <c r="H131" s="31">
        <v>1714</v>
      </c>
      <c r="I131" s="31">
        <v>0</v>
      </c>
      <c r="J131" s="31">
        <v>1631</v>
      </c>
      <c r="K131" s="31">
        <v>51</v>
      </c>
      <c r="L131" s="281">
        <v>241</v>
      </c>
      <c r="M131" s="31">
        <v>12257</v>
      </c>
      <c r="N131" s="281">
        <v>64.290000000000006</v>
      </c>
      <c r="O131" s="281">
        <v>14.68</v>
      </c>
      <c r="P131" s="281">
        <v>49.61</v>
      </c>
      <c r="Q131" s="281">
        <v>1.46</v>
      </c>
      <c r="R131" s="281">
        <v>7.0000000000000007E-2</v>
      </c>
      <c r="S131" s="281">
        <v>1.39</v>
      </c>
      <c r="T131" s="281">
        <v>4743</v>
      </c>
      <c r="U131" s="281">
        <v>76903</v>
      </c>
      <c r="V131" s="281">
        <v>10279</v>
      </c>
      <c r="W131" s="281">
        <f t="shared" si="5"/>
        <v>6.1675097200369295</v>
      </c>
      <c r="X131" s="31">
        <v>4836</v>
      </c>
      <c r="Y131" s="31">
        <v>73141</v>
      </c>
      <c r="Z131" s="31">
        <v>1914</v>
      </c>
      <c r="AA131" s="281">
        <f t="shared" si="6"/>
        <v>6.6118866299339629</v>
      </c>
      <c r="AB131" s="31">
        <v>1583</v>
      </c>
      <c r="AC131" s="31">
        <v>33095</v>
      </c>
      <c r="AD131" s="31">
        <v>59</v>
      </c>
      <c r="AE131" s="281">
        <f t="shared" si="7"/>
        <v>4.7831998791358208</v>
      </c>
      <c r="AF131" s="31">
        <v>1261</v>
      </c>
      <c r="AG131" s="31">
        <v>57861</v>
      </c>
      <c r="AH131" s="31">
        <v>5</v>
      </c>
      <c r="AI131" s="281">
        <f t="shared" si="8"/>
        <v>2.179360882114032</v>
      </c>
      <c r="AJ131" s="31">
        <v>12423</v>
      </c>
      <c r="AK131" s="31">
        <v>241000</v>
      </c>
      <c r="AL131" s="281">
        <v>12257</v>
      </c>
      <c r="AM131" s="281">
        <f t="shared" si="9"/>
        <v>5.1547717842323655</v>
      </c>
    </row>
    <row r="132" spans="1:39">
      <c r="A132" s="371">
        <f>References!J272</f>
        <v>330</v>
      </c>
      <c r="B132" s="292" t="s">
        <v>43</v>
      </c>
      <c r="C132" s="284">
        <v>2011</v>
      </c>
      <c r="D132" s="31">
        <v>1645</v>
      </c>
      <c r="E132" s="281">
        <v>0</v>
      </c>
      <c r="F132" s="31">
        <v>85</v>
      </c>
      <c r="G132" s="281">
        <v>0</v>
      </c>
      <c r="H132" s="31">
        <v>1730</v>
      </c>
      <c r="I132" s="31">
        <v>0</v>
      </c>
      <c r="J132" s="31">
        <v>1645</v>
      </c>
      <c r="K132" s="31">
        <v>48</v>
      </c>
      <c r="L132" s="281">
        <v>222.94704999999999</v>
      </c>
      <c r="M132" s="31">
        <v>12318</v>
      </c>
      <c r="N132" s="281">
        <v>61.33</v>
      </c>
      <c r="O132" s="281">
        <v>11.35</v>
      </c>
      <c r="P132" s="281">
        <v>49.96</v>
      </c>
      <c r="Q132" s="281">
        <v>0.82</v>
      </c>
      <c r="R132" s="281">
        <v>0.05</v>
      </c>
      <c r="S132" s="281">
        <v>0.76</v>
      </c>
      <c r="T132" s="281">
        <v>4236</v>
      </c>
      <c r="U132" s="281">
        <v>73240.301000000007</v>
      </c>
      <c r="V132" s="281">
        <v>10510</v>
      </c>
      <c r="W132" s="281">
        <f t="shared" si="5"/>
        <v>5.7837009708630216</v>
      </c>
      <c r="X132" s="31">
        <v>5270</v>
      </c>
      <c r="Y132" s="31">
        <v>69881.53</v>
      </c>
      <c r="Z132" s="31">
        <v>1742</v>
      </c>
      <c r="AA132" s="281">
        <f t="shared" si="6"/>
        <v>7.5413345987129938</v>
      </c>
      <c r="AB132" s="31">
        <v>1711</v>
      </c>
      <c r="AC132" s="31">
        <v>29965.454000000002</v>
      </c>
      <c r="AD132" s="31">
        <v>61</v>
      </c>
      <c r="AE132" s="281">
        <f t="shared" si="7"/>
        <v>5.7099084832821152</v>
      </c>
      <c r="AF132" s="31">
        <v>1284</v>
      </c>
      <c r="AG132" s="31">
        <v>49859.762000000002</v>
      </c>
      <c r="AH132" s="31">
        <v>5</v>
      </c>
      <c r="AI132" s="281">
        <f t="shared" si="8"/>
        <v>2.5752228821308853</v>
      </c>
      <c r="AJ132" s="31">
        <v>12501</v>
      </c>
      <c r="AK132" s="31">
        <v>222947.05</v>
      </c>
      <c r="AL132" s="281">
        <v>12318</v>
      </c>
      <c r="AM132" s="281">
        <f t="shared" si="9"/>
        <v>5.6071609828432356</v>
      </c>
    </row>
    <row r="133" spans="1:39">
      <c r="A133" s="371">
        <f>References!C273</f>
        <v>346</v>
      </c>
      <c r="B133" s="292" t="s">
        <v>44</v>
      </c>
      <c r="C133" s="284">
        <v>2004</v>
      </c>
      <c r="F133" s="31">
        <v>436</v>
      </c>
      <c r="H133" s="31">
        <v>5305</v>
      </c>
      <c r="J133" s="31">
        <v>4869</v>
      </c>
      <c r="K133" s="31">
        <v>131.88</v>
      </c>
      <c r="L133" s="294">
        <v>867.72043699999995</v>
      </c>
      <c r="M133" s="31">
        <v>48852</v>
      </c>
      <c r="N133" s="281">
        <v>145.32</v>
      </c>
      <c r="Q133" s="281">
        <v>2.71</v>
      </c>
      <c r="W133" s="281" t="str">
        <f t="shared" si="5"/>
        <v/>
      </c>
      <c r="AA133" s="281" t="str">
        <f t="shared" si="6"/>
        <v/>
      </c>
      <c r="AE133" s="281" t="str">
        <f t="shared" si="7"/>
        <v/>
      </c>
      <c r="AI133" s="281" t="str">
        <f t="shared" si="8"/>
        <v/>
      </c>
      <c r="AM133" s="281" t="str">
        <f t="shared" si="9"/>
        <v/>
      </c>
    </row>
    <row r="134" spans="1:39">
      <c r="A134" s="371">
        <f>References!D273</f>
        <v>347</v>
      </c>
      <c r="B134" s="292" t="s">
        <v>44</v>
      </c>
      <c r="C134" s="284">
        <v>2005</v>
      </c>
      <c r="F134" s="31">
        <v>513</v>
      </c>
      <c r="H134" s="31">
        <v>5419</v>
      </c>
      <c r="J134" s="31">
        <v>4906</v>
      </c>
      <c r="K134" s="31">
        <v>135.34399999999999</v>
      </c>
      <c r="L134" s="294">
        <v>876.31043299999999</v>
      </c>
      <c r="M134" s="31">
        <v>49820</v>
      </c>
      <c r="N134" s="281">
        <v>113.24</v>
      </c>
      <c r="Q134" s="281">
        <v>2.6</v>
      </c>
      <c r="W134" s="281" t="str">
        <f t="shared" si="5"/>
        <v/>
      </c>
      <c r="AA134" s="281" t="str">
        <f t="shared" si="6"/>
        <v/>
      </c>
      <c r="AE134" s="281" t="str">
        <f t="shared" si="7"/>
        <v/>
      </c>
      <c r="AI134" s="281" t="str">
        <f t="shared" si="8"/>
        <v/>
      </c>
      <c r="AM134" s="281" t="str">
        <f t="shared" si="9"/>
        <v/>
      </c>
    </row>
    <row r="135" spans="1:39">
      <c r="A135" s="371">
        <f>References!E273</f>
        <v>348</v>
      </c>
      <c r="B135" s="292" t="s">
        <v>44</v>
      </c>
      <c r="C135" s="284">
        <v>2006</v>
      </c>
      <c r="F135" s="31">
        <v>640</v>
      </c>
      <c r="H135" s="31">
        <v>5586</v>
      </c>
      <c r="J135" s="31">
        <v>4946</v>
      </c>
      <c r="K135" s="31">
        <v>143.80000000000001</v>
      </c>
      <c r="L135" s="294">
        <v>929.93555200000003</v>
      </c>
      <c r="M135" s="31">
        <v>50753</v>
      </c>
      <c r="N135" s="281">
        <v>119.23</v>
      </c>
      <c r="Q135" s="281">
        <v>2.4700000000000002</v>
      </c>
      <c r="W135" s="281" t="str">
        <f t="shared" si="5"/>
        <v/>
      </c>
      <c r="AA135" s="281" t="str">
        <f t="shared" si="6"/>
        <v/>
      </c>
      <c r="AE135" s="281" t="str">
        <f t="shared" si="7"/>
        <v/>
      </c>
      <c r="AI135" s="281" t="str">
        <f t="shared" si="8"/>
        <v/>
      </c>
      <c r="AM135" s="281" t="str">
        <f t="shared" si="9"/>
        <v/>
      </c>
    </row>
    <row r="136" spans="1:39">
      <c r="A136" s="371">
        <f>References!F273</f>
        <v>349</v>
      </c>
      <c r="B136" s="292" t="s">
        <v>44</v>
      </c>
      <c r="C136" s="284">
        <v>2007</v>
      </c>
      <c r="F136" s="31">
        <v>751</v>
      </c>
      <c r="H136" s="31">
        <v>5646</v>
      </c>
      <c r="J136" s="31">
        <v>4895</v>
      </c>
      <c r="K136" s="31">
        <v>144.01400000000001</v>
      </c>
      <c r="L136" s="294">
        <v>939.04750899999999</v>
      </c>
      <c r="M136" s="31">
        <v>51669</v>
      </c>
      <c r="N136" s="281">
        <v>151.33000000000001</v>
      </c>
      <c r="Q136" s="281">
        <v>2.73</v>
      </c>
      <c r="W136" s="281" t="str">
        <f t="shared" si="5"/>
        <v/>
      </c>
      <c r="AA136" s="281" t="str">
        <f t="shared" si="6"/>
        <v/>
      </c>
      <c r="AE136" s="281" t="str">
        <f t="shared" si="7"/>
        <v/>
      </c>
      <c r="AI136" s="281" t="str">
        <f t="shared" si="8"/>
        <v/>
      </c>
      <c r="AM136" s="281" t="str">
        <f t="shared" si="9"/>
        <v/>
      </c>
    </row>
    <row r="137" spans="1:39">
      <c r="A137" s="371">
        <f>References!G273</f>
        <v>350</v>
      </c>
      <c r="B137" s="292" t="s">
        <v>44</v>
      </c>
      <c r="C137" s="284">
        <v>2008</v>
      </c>
      <c r="D137" s="31">
        <v>4998</v>
      </c>
      <c r="E137" s="281">
        <v>175</v>
      </c>
      <c r="F137" s="31">
        <v>758</v>
      </c>
      <c r="G137" s="281">
        <v>178</v>
      </c>
      <c r="H137" s="31">
        <v>5756</v>
      </c>
      <c r="I137" s="31">
        <v>353</v>
      </c>
      <c r="J137" s="31">
        <v>4998</v>
      </c>
      <c r="K137" s="31">
        <v>154</v>
      </c>
      <c r="L137" s="281">
        <v>970</v>
      </c>
      <c r="M137" s="31">
        <v>52876</v>
      </c>
      <c r="N137" s="281">
        <v>783.08</v>
      </c>
      <c r="O137" s="281">
        <v>22.1</v>
      </c>
      <c r="P137" s="281">
        <v>760.98</v>
      </c>
      <c r="Q137" s="281">
        <v>4.63</v>
      </c>
      <c r="R137" s="281">
        <v>0.16</v>
      </c>
      <c r="S137" s="281">
        <v>4.47</v>
      </c>
      <c r="T137" s="281">
        <v>19727</v>
      </c>
      <c r="U137" s="281">
        <v>273541</v>
      </c>
      <c r="V137" s="281">
        <v>42184</v>
      </c>
      <c r="W137" s="281">
        <f t="shared" si="5"/>
        <v>7.2117159767639949</v>
      </c>
      <c r="X137" s="31">
        <v>9727</v>
      </c>
      <c r="Y137" s="31">
        <v>121367</v>
      </c>
      <c r="Z137" s="31">
        <v>10220</v>
      </c>
      <c r="AA137" s="281">
        <f t="shared" si="6"/>
        <v>8.0145344286338123</v>
      </c>
      <c r="AB137" s="31">
        <v>6286</v>
      </c>
      <c r="AC137" s="31">
        <v>121566</v>
      </c>
      <c r="AD137" s="31">
        <v>467</v>
      </c>
      <c r="AE137" s="281">
        <f t="shared" si="7"/>
        <v>5.1708536926443252</v>
      </c>
      <c r="AF137" s="31">
        <v>5613</v>
      </c>
      <c r="AG137" s="31">
        <v>453611</v>
      </c>
      <c r="AH137" s="31">
        <v>5</v>
      </c>
      <c r="AI137" s="281">
        <f t="shared" si="8"/>
        <v>1.2374038548447899</v>
      </c>
      <c r="AJ137" s="31">
        <v>41353</v>
      </c>
      <c r="AK137" s="31">
        <v>970085</v>
      </c>
      <c r="AL137" s="281">
        <v>52876</v>
      </c>
      <c r="AM137" s="281">
        <f t="shared" si="9"/>
        <v>4.2628223300020105</v>
      </c>
    </row>
    <row r="138" spans="1:39">
      <c r="A138" s="371">
        <f>References!H273</f>
        <v>351</v>
      </c>
      <c r="B138" s="292" t="s">
        <v>44</v>
      </c>
      <c r="C138" s="284">
        <v>2009</v>
      </c>
      <c r="D138" s="31">
        <v>4894</v>
      </c>
      <c r="E138" s="281">
        <v>176</v>
      </c>
      <c r="F138" s="31">
        <v>733</v>
      </c>
      <c r="G138" s="281">
        <v>182</v>
      </c>
      <c r="H138" s="31">
        <v>5627</v>
      </c>
      <c r="I138" s="31">
        <v>358</v>
      </c>
      <c r="J138" s="31">
        <v>4894</v>
      </c>
      <c r="K138" s="31">
        <v>151</v>
      </c>
      <c r="L138" s="281">
        <v>965.35199999999998</v>
      </c>
      <c r="M138" s="31">
        <v>53331</v>
      </c>
      <c r="N138" s="281">
        <v>254.34</v>
      </c>
      <c r="O138" s="281">
        <v>27.6</v>
      </c>
      <c r="P138" s="281">
        <v>226.74</v>
      </c>
      <c r="Q138" s="281">
        <v>3.2530000000000001</v>
      </c>
      <c r="R138" s="281">
        <v>0.185</v>
      </c>
      <c r="S138" s="281">
        <v>3.0680000000000001</v>
      </c>
      <c r="T138" s="281">
        <v>21835</v>
      </c>
      <c r="U138" s="281">
        <v>273369</v>
      </c>
      <c r="V138" s="281">
        <v>42722</v>
      </c>
      <c r="W138" s="281">
        <f t="shared" si="5"/>
        <v>7.9873723794578027</v>
      </c>
      <c r="X138" s="31">
        <v>10323</v>
      </c>
      <c r="Y138" s="31">
        <v>124018</v>
      </c>
      <c r="Z138" s="31">
        <v>10134</v>
      </c>
      <c r="AA138" s="281">
        <f t="shared" si="6"/>
        <v>8.3237917076553405</v>
      </c>
      <c r="AB138" s="31">
        <v>6983.4</v>
      </c>
      <c r="AC138" s="31">
        <v>122774</v>
      </c>
      <c r="AD138" s="31">
        <v>470</v>
      </c>
      <c r="AE138" s="281">
        <f t="shared" si="7"/>
        <v>5.6880121198299314</v>
      </c>
      <c r="AF138" s="31">
        <v>6586</v>
      </c>
      <c r="AG138" s="31">
        <v>445191</v>
      </c>
      <c r="AH138" s="31">
        <v>5</v>
      </c>
      <c r="AI138" s="281">
        <f t="shared" si="8"/>
        <v>1.479365036579805</v>
      </c>
      <c r="AJ138" s="31">
        <v>45727.4</v>
      </c>
      <c r="AK138" s="31">
        <v>965352</v>
      </c>
      <c r="AL138" s="281">
        <v>53331</v>
      </c>
      <c r="AM138" s="281">
        <f t="shared" si="9"/>
        <v>4.7368628230945813</v>
      </c>
    </row>
    <row r="139" spans="1:39">
      <c r="A139" s="371">
        <f>References!I273</f>
        <v>352</v>
      </c>
      <c r="B139" s="292" t="s">
        <v>44</v>
      </c>
      <c r="C139" s="284">
        <v>2010</v>
      </c>
      <c r="D139" s="31">
        <v>5004</v>
      </c>
      <c r="E139" s="281">
        <v>179</v>
      </c>
      <c r="F139" s="31">
        <v>825</v>
      </c>
      <c r="G139" s="281">
        <v>191</v>
      </c>
      <c r="H139" s="31">
        <v>5829</v>
      </c>
      <c r="I139" s="31">
        <v>370</v>
      </c>
      <c r="J139" s="31">
        <v>5004</v>
      </c>
      <c r="K139" s="31">
        <v>150</v>
      </c>
      <c r="L139" s="281">
        <v>950.39300000000003</v>
      </c>
      <c r="M139" s="31">
        <v>53706</v>
      </c>
      <c r="N139" s="281">
        <v>132.29</v>
      </c>
      <c r="O139" s="281">
        <v>27.03</v>
      </c>
      <c r="P139" s="281">
        <v>105.27</v>
      </c>
      <c r="Q139" s="281">
        <v>2.37</v>
      </c>
      <c r="R139" s="281">
        <v>0.18</v>
      </c>
      <c r="S139" s="281">
        <v>2.19</v>
      </c>
      <c r="T139" s="281">
        <v>24371</v>
      </c>
      <c r="U139" s="281">
        <v>283757</v>
      </c>
      <c r="V139" s="281">
        <v>43244</v>
      </c>
      <c r="W139" s="281">
        <f t="shared" si="5"/>
        <v>8.5886867989159743</v>
      </c>
      <c r="X139" s="31">
        <v>11216</v>
      </c>
      <c r="Y139" s="31">
        <v>123049</v>
      </c>
      <c r="Z139" s="31">
        <v>9967</v>
      </c>
      <c r="AA139" s="281">
        <f t="shared" si="6"/>
        <v>9.1150679810482007</v>
      </c>
      <c r="AB139" s="31">
        <v>7468</v>
      </c>
      <c r="AC139" s="31">
        <v>125409</v>
      </c>
      <c r="AD139" s="31">
        <v>490</v>
      </c>
      <c r="AE139" s="281">
        <f t="shared" si="7"/>
        <v>5.9549155164302405</v>
      </c>
      <c r="AF139" s="31">
        <v>7092</v>
      </c>
      <c r="AG139" s="31">
        <v>418178</v>
      </c>
      <c r="AH139" s="31">
        <v>5</v>
      </c>
      <c r="AI139" s="281">
        <f t="shared" si="8"/>
        <v>1.695928528043082</v>
      </c>
      <c r="AJ139" s="31">
        <v>50147</v>
      </c>
      <c r="AK139" s="31">
        <v>950393</v>
      </c>
      <c r="AL139" s="281">
        <v>53706</v>
      </c>
      <c r="AM139" s="281">
        <f t="shared" si="9"/>
        <v>5.2764487953930637</v>
      </c>
    </row>
    <row r="140" spans="1:39">
      <c r="A140" s="371">
        <f>References!J273</f>
        <v>353</v>
      </c>
      <c r="B140" s="292" t="s">
        <v>44</v>
      </c>
      <c r="C140" s="284">
        <v>2011</v>
      </c>
      <c r="D140" s="31">
        <v>4970</v>
      </c>
      <c r="E140" s="281">
        <v>175</v>
      </c>
      <c r="F140" s="31">
        <v>856</v>
      </c>
      <c r="G140" s="281">
        <v>213.50881999999999</v>
      </c>
      <c r="H140" s="31">
        <v>5826</v>
      </c>
      <c r="I140" s="31">
        <v>388.50882000000001</v>
      </c>
      <c r="J140" s="31">
        <v>4970</v>
      </c>
      <c r="K140" s="31">
        <v>153</v>
      </c>
      <c r="L140" s="281">
        <v>956.81200000000001</v>
      </c>
      <c r="M140" s="31">
        <v>54416</v>
      </c>
      <c r="N140" s="281">
        <v>134.81</v>
      </c>
      <c r="O140" s="281">
        <v>30.73</v>
      </c>
      <c r="P140" s="281">
        <v>104.08</v>
      </c>
      <c r="Q140" s="281">
        <v>2.3239999999999998</v>
      </c>
      <c r="R140" s="281">
        <v>0.23200000000000001</v>
      </c>
      <c r="S140" s="281">
        <v>2.0920000000000001</v>
      </c>
      <c r="T140" s="281">
        <v>24786</v>
      </c>
      <c r="U140" s="281">
        <v>276656</v>
      </c>
      <c r="V140" s="281">
        <v>43793</v>
      </c>
      <c r="W140" s="281">
        <f t="shared" si="5"/>
        <v>8.9591405933722754</v>
      </c>
      <c r="X140" s="31">
        <v>11094</v>
      </c>
      <c r="Y140" s="31">
        <v>116548</v>
      </c>
      <c r="Z140" s="31">
        <v>10124</v>
      </c>
      <c r="AA140" s="281">
        <f t="shared" si="6"/>
        <v>9.5188248618594908</v>
      </c>
      <c r="AB140" s="31">
        <v>7948</v>
      </c>
      <c r="AC140" s="31">
        <v>134330</v>
      </c>
      <c r="AD140" s="31">
        <v>494</v>
      </c>
      <c r="AE140" s="281">
        <f t="shared" si="7"/>
        <v>5.9167721283406536</v>
      </c>
      <c r="AF140" s="31">
        <v>6197</v>
      </c>
      <c r="AG140" s="31">
        <v>429278</v>
      </c>
      <c r="AH140" s="31">
        <v>5</v>
      </c>
      <c r="AI140" s="281">
        <f t="shared" si="8"/>
        <v>1.4435866734377256</v>
      </c>
      <c r="AJ140" s="31">
        <v>50025</v>
      </c>
      <c r="AK140" s="31">
        <v>956812</v>
      </c>
      <c r="AL140" s="281">
        <v>54416</v>
      </c>
      <c r="AM140" s="281">
        <f t="shared" si="9"/>
        <v>5.228299812293324</v>
      </c>
    </row>
    <row r="141" spans="1:39">
      <c r="A141" s="371">
        <f>References!C274</f>
        <v>369</v>
      </c>
      <c r="B141" s="292" t="s">
        <v>45</v>
      </c>
      <c r="C141" s="284">
        <v>2004</v>
      </c>
      <c r="F141" s="31">
        <v>6715</v>
      </c>
      <c r="H141" s="31">
        <v>13028</v>
      </c>
      <c r="J141" s="31">
        <v>6312</v>
      </c>
      <c r="K141" s="31">
        <v>563.12400000000002</v>
      </c>
      <c r="L141" s="294">
        <v>2928.9076930000001</v>
      </c>
      <c r="M141" s="31">
        <v>174450</v>
      </c>
      <c r="N141" s="281">
        <v>43.4</v>
      </c>
      <c r="Q141" s="281">
        <v>0.63</v>
      </c>
      <c r="W141" s="281" t="str">
        <f t="shared" si="5"/>
        <v/>
      </c>
      <c r="AA141" s="281" t="str">
        <f t="shared" si="6"/>
        <v/>
      </c>
      <c r="AE141" s="281" t="str">
        <f t="shared" si="7"/>
        <v/>
      </c>
      <c r="AI141" s="281" t="str">
        <f t="shared" si="8"/>
        <v/>
      </c>
      <c r="AM141" s="281" t="str">
        <f t="shared" si="9"/>
        <v/>
      </c>
    </row>
    <row r="142" spans="1:39">
      <c r="A142" s="371">
        <f>References!D274</f>
        <v>370</v>
      </c>
      <c r="B142" s="292" t="s">
        <v>45</v>
      </c>
      <c r="C142" s="284">
        <v>2005</v>
      </c>
      <c r="F142" s="31">
        <v>6899</v>
      </c>
      <c r="H142" s="31">
        <v>13304</v>
      </c>
      <c r="J142" s="31">
        <v>6405</v>
      </c>
      <c r="K142" s="31">
        <v>577.36599999999999</v>
      </c>
      <c r="L142" s="294">
        <v>3036.9886900000001</v>
      </c>
      <c r="M142" s="31">
        <v>177718</v>
      </c>
      <c r="N142" s="281">
        <v>52.9</v>
      </c>
      <c r="Q142" s="281">
        <v>0.76</v>
      </c>
      <c r="W142" s="281" t="str">
        <f t="shared" ref="W142:W205" si="10">IF(U142="","",T142*100/U142)</f>
        <v/>
      </c>
      <c r="AA142" s="281" t="str">
        <f t="shared" ref="AA142:AA205" si="11">IF(Y142="","",X142*100/Y142)</f>
        <v/>
      </c>
      <c r="AE142" s="281" t="str">
        <f t="shared" ref="AE142:AE205" si="12">IF(AC142="","",AB142*100/AC142)</f>
        <v/>
      </c>
      <c r="AI142" s="281" t="str">
        <f t="shared" ref="AI142:AI205" si="13">IF(AG142="","",AF142*100/AG142)</f>
        <v/>
      </c>
      <c r="AM142" s="281" t="str">
        <f t="shared" ref="AM142:AM205" si="14">IF(AK142="","",AJ142*100/AK142)</f>
        <v/>
      </c>
    </row>
    <row r="143" spans="1:39">
      <c r="A143" s="371">
        <f>References!E274</f>
        <v>371</v>
      </c>
      <c r="B143" s="292" t="s">
        <v>45</v>
      </c>
      <c r="C143" s="284">
        <v>2006</v>
      </c>
      <c r="F143" s="31">
        <v>7265</v>
      </c>
      <c r="H143" s="31">
        <v>13748</v>
      </c>
      <c r="J143" s="31">
        <v>6483</v>
      </c>
      <c r="K143" s="31">
        <v>594.71</v>
      </c>
      <c r="L143" s="294">
        <v>3097.913986</v>
      </c>
      <c r="M143" s="31">
        <v>180541</v>
      </c>
      <c r="N143" s="281">
        <v>64</v>
      </c>
      <c r="Q143" s="281">
        <v>0.96</v>
      </c>
      <c r="W143" s="281" t="str">
        <f t="shared" si="10"/>
        <v/>
      </c>
      <c r="AA143" s="281" t="str">
        <f t="shared" si="11"/>
        <v/>
      </c>
      <c r="AE143" s="281" t="str">
        <f t="shared" si="12"/>
        <v/>
      </c>
      <c r="AI143" s="281" t="str">
        <f t="shared" si="13"/>
        <v/>
      </c>
      <c r="AM143" s="281" t="str">
        <f t="shared" si="14"/>
        <v/>
      </c>
    </row>
    <row r="144" spans="1:39">
      <c r="A144" s="371">
        <f>References!F274</f>
        <v>372</v>
      </c>
      <c r="B144" s="292" t="s">
        <v>45</v>
      </c>
      <c r="C144" s="284">
        <v>2007</v>
      </c>
      <c r="F144" s="31">
        <v>7428</v>
      </c>
      <c r="H144" s="31">
        <v>14188</v>
      </c>
      <c r="J144" s="31">
        <v>6760</v>
      </c>
      <c r="K144" s="31">
        <v>630.02800000000002</v>
      </c>
      <c r="L144" s="294">
        <v>3125.0201040000002</v>
      </c>
      <c r="M144" s="31">
        <v>183200</v>
      </c>
      <c r="N144" s="281">
        <v>154.5</v>
      </c>
      <c r="Q144" s="281">
        <v>0.72</v>
      </c>
      <c r="W144" s="281" t="str">
        <f t="shared" si="10"/>
        <v/>
      </c>
      <c r="AA144" s="281" t="str">
        <f t="shared" si="11"/>
        <v/>
      </c>
      <c r="AE144" s="281" t="str">
        <f t="shared" si="12"/>
        <v/>
      </c>
      <c r="AI144" s="281" t="str">
        <f t="shared" si="13"/>
        <v/>
      </c>
      <c r="AM144" s="281" t="str">
        <f t="shared" si="14"/>
        <v/>
      </c>
    </row>
    <row r="145" spans="1:39">
      <c r="A145" s="371">
        <f>References!G274</f>
        <v>373</v>
      </c>
      <c r="B145" s="292" t="s">
        <v>45</v>
      </c>
      <c r="C145" s="284">
        <v>2008</v>
      </c>
      <c r="D145" s="31">
        <v>5826</v>
      </c>
      <c r="E145" s="281">
        <v>961</v>
      </c>
      <c r="F145" s="31">
        <v>4718</v>
      </c>
      <c r="G145" s="281">
        <v>1856</v>
      </c>
      <c r="H145" s="31">
        <v>10544</v>
      </c>
      <c r="I145" s="31">
        <v>2817</v>
      </c>
      <c r="J145" s="31">
        <v>5826</v>
      </c>
      <c r="K145" s="31">
        <v>631.6</v>
      </c>
      <c r="L145" s="281">
        <v>3155.8</v>
      </c>
      <c r="M145" s="31">
        <v>186029</v>
      </c>
      <c r="N145" s="281">
        <v>53.76</v>
      </c>
      <c r="O145" s="281">
        <v>10.19</v>
      </c>
      <c r="P145" s="281">
        <v>34.659999999999997</v>
      </c>
      <c r="Q145" s="281">
        <v>0.74</v>
      </c>
      <c r="R145" s="281">
        <v>0.04</v>
      </c>
      <c r="S145" s="281">
        <v>0.59</v>
      </c>
      <c r="T145" s="281">
        <v>144924.6</v>
      </c>
      <c r="U145" s="281">
        <v>2299216.6</v>
      </c>
      <c r="V145" s="281">
        <v>185621</v>
      </c>
      <c r="W145" s="281">
        <f t="shared" si="10"/>
        <v>6.3032164955663594</v>
      </c>
      <c r="X145" s="31">
        <v>0</v>
      </c>
      <c r="Y145" s="31">
        <v>0</v>
      </c>
      <c r="Z145" s="31">
        <v>0</v>
      </c>
      <c r="AA145" s="281" t="e">
        <f t="shared" si="11"/>
        <v>#DIV/0!</v>
      </c>
      <c r="AB145" s="31">
        <v>22272.6</v>
      </c>
      <c r="AC145" s="31">
        <v>760065.4</v>
      </c>
      <c r="AD145" s="31">
        <v>403</v>
      </c>
      <c r="AE145" s="281">
        <f t="shared" si="12"/>
        <v>2.9303530985623079</v>
      </c>
      <c r="AF145" s="31">
        <v>2174.8000000000002</v>
      </c>
      <c r="AG145" s="31">
        <v>96550.8</v>
      </c>
      <c r="AH145" s="31">
        <v>5</v>
      </c>
      <c r="AI145" s="281">
        <f t="shared" si="13"/>
        <v>2.2524929881471727</v>
      </c>
      <c r="AJ145" s="31">
        <v>169372</v>
      </c>
      <c r="AK145" s="31">
        <v>3155832.8</v>
      </c>
      <c r="AL145" s="281">
        <v>186029</v>
      </c>
      <c r="AM145" s="281">
        <f t="shared" si="14"/>
        <v>5.3669509994319098</v>
      </c>
    </row>
    <row r="146" spans="1:39">
      <c r="A146" s="371">
        <f>References!H274</f>
        <v>374</v>
      </c>
      <c r="B146" s="292" t="s">
        <v>45</v>
      </c>
      <c r="C146" s="284">
        <v>2009</v>
      </c>
      <c r="D146" s="31">
        <v>5833</v>
      </c>
      <c r="E146" s="281">
        <v>957</v>
      </c>
      <c r="F146" s="31">
        <v>4800</v>
      </c>
      <c r="G146" s="281">
        <v>1887</v>
      </c>
      <c r="H146" s="31">
        <v>10633</v>
      </c>
      <c r="I146" s="31">
        <v>2844</v>
      </c>
      <c r="J146" s="31">
        <v>5833</v>
      </c>
      <c r="K146" s="31">
        <v>625</v>
      </c>
      <c r="L146" s="281">
        <v>3263</v>
      </c>
      <c r="M146" s="31">
        <v>190286</v>
      </c>
      <c r="N146" s="281">
        <v>62.85</v>
      </c>
      <c r="O146" s="281">
        <v>21.19</v>
      </c>
      <c r="P146" s="281">
        <v>40.42</v>
      </c>
      <c r="Q146" s="281">
        <v>0.72</v>
      </c>
      <c r="R146" s="281">
        <v>0.08</v>
      </c>
      <c r="S146" s="281">
        <v>0.52</v>
      </c>
      <c r="T146" s="281">
        <v>153956</v>
      </c>
      <c r="U146" s="281">
        <v>2397462</v>
      </c>
      <c r="V146" s="281">
        <v>189821</v>
      </c>
      <c r="W146" s="281">
        <f t="shared" si="10"/>
        <v>6.4216242009258124</v>
      </c>
      <c r="X146" s="31">
        <v>0</v>
      </c>
      <c r="Y146" s="31">
        <v>0</v>
      </c>
      <c r="Z146" s="31">
        <v>0</v>
      </c>
      <c r="AA146" s="281" t="e">
        <f t="shared" si="11"/>
        <v>#DIV/0!</v>
      </c>
      <c r="AB146" s="31">
        <v>24168.1</v>
      </c>
      <c r="AC146" s="31">
        <v>770327.4</v>
      </c>
      <c r="AD146" s="31">
        <v>460</v>
      </c>
      <c r="AE146" s="281">
        <f t="shared" si="12"/>
        <v>3.1373802879139441</v>
      </c>
      <c r="AF146" s="31">
        <v>2290.9</v>
      </c>
      <c r="AG146" s="31">
        <v>95170.9</v>
      </c>
      <c r="AH146" s="31">
        <v>5</v>
      </c>
      <c r="AI146" s="281">
        <f t="shared" si="13"/>
        <v>2.4071433599976464</v>
      </c>
      <c r="AJ146" s="31">
        <v>180415</v>
      </c>
      <c r="AK146" s="31">
        <v>3262960.3</v>
      </c>
      <c r="AL146" s="281">
        <v>190286</v>
      </c>
      <c r="AM146" s="281">
        <f t="shared" si="14"/>
        <v>5.5291815839745277</v>
      </c>
    </row>
    <row r="147" spans="1:39">
      <c r="A147" s="371">
        <f>References!I274</f>
        <v>375</v>
      </c>
      <c r="B147" s="292" t="s">
        <v>45</v>
      </c>
      <c r="C147" s="284">
        <v>2010</v>
      </c>
      <c r="D147" s="31">
        <v>5822.9</v>
      </c>
      <c r="E147" s="281">
        <v>952</v>
      </c>
      <c r="F147" s="31">
        <v>4884.6000000000004</v>
      </c>
      <c r="G147" s="281">
        <v>1931</v>
      </c>
      <c r="H147" s="31">
        <v>10707.5</v>
      </c>
      <c r="I147" s="31">
        <v>2883</v>
      </c>
      <c r="J147" s="31">
        <v>5822.9</v>
      </c>
      <c r="K147" s="31">
        <v>615.85</v>
      </c>
      <c r="L147" s="281">
        <v>3278.3</v>
      </c>
      <c r="M147" s="31">
        <v>192179</v>
      </c>
      <c r="N147" s="281">
        <v>61.16</v>
      </c>
      <c r="O147" s="281">
        <v>20.72</v>
      </c>
      <c r="P147" s="281">
        <v>40.44</v>
      </c>
      <c r="Q147" s="281">
        <v>0.57999999999999996</v>
      </c>
      <c r="R147" s="281">
        <v>0.08</v>
      </c>
      <c r="S147" s="281">
        <v>0.49</v>
      </c>
      <c r="T147" s="281">
        <v>160162</v>
      </c>
      <c r="U147" s="281">
        <v>2427539</v>
      </c>
      <c r="V147" s="281">
        <v>191707</v>
      </c>
      <c r="W147" s="281">
        <f t="shared" si="10"/>
        <v>6.5977106855955761</v>
      </c>
      <c r="X147" s="31">
        <v>0</v>
      </c>
      <c r="Y147" s="31">
        <v>0</v>
      </c>
      <c r="Z147" s="31">
        <v>0</v>
      </c>
      <c r="AA147" s="281" t="e">
        <f t="shared" si="11"/>
        <v>#DIV/0!</v>
      </c>
      <c r="AB147" s="31">
        <v>27454</v>
      </c>
      <c r="AC147" s="31">
        <v>754620</v>
      </c>
      <c r="AD147" s="31">
        <v>467</v>
      </c>
      <c r="AE147" s="281">
        <f t="shared" si="12"/>
        <v>3.6381224987410881</v>
      </c>
      <c r="AF147" s="31">
        <v>2536</v>
      </c>
      <c r="AG147" s="31">
        <v>96171</v>
      </c>
      <c r="AH147" s="31">
        <v>5</v>
      </c>
      <c r="AI147" s="281">
        <f t="shared" si="13"/>
        <v>2.6369695646296702</v>
      </c>
      <c r="AJ147" s="31">
        <v>190152</v>
      </c>
      <c r="AK147" s="31">
        <v>3278330</v>
      </c>
      <c r="AL147" s="281">
        <v>192179</v>
      </c>
      <c r="AM147" s="281">
        <f t="shared" si="14"/>
        <v>5.8002702595528817</v>
      </c>
    </row>
    <row r="148" spans="1:39">
      <c r="A148" s="371">
        <f>References!J274</f>
        <v>376</v>
      </c>
      <c r="B148" s="292" t="s">
        <v>45</v>
      </c>
      <c r="C148" s="284">
        <v>2011</v>
      </c>
      <c r="D148" s="281">
        <f t="shared" ref="D148:K148" si="15">D147</f>
        <v>5822.9</v>
      </c>
      <c r="E148" s="281">
        <f t="shared" si="15"/>
        <v>952</v>
      </c>
      <c r="F148" s="281">
        <f t="shared" si="15"/>
        <v>4884.6000000000004</v>
      </c>
      <c r="G148" s="281">
        <f t="shared" si="15"/>
        <v>1931</v>
      </c>
      <c r="H148" s="281">
        <f t="shared" si="15"/>
        <v>10707.5</v>
      </c>
      <c r="I148" s="281">
        <f t="shared" si="15"/>
        <v>2883</v>
      </c>
      <c r="J148" s="281">
        <f t="shared" si="15"/>
        <v>5822.9</v>
      </c>
      <c r="K148" s="281">
        <f t="shared" si="15"/>
        <v>615.85</v>
      </c>
      <c r="L148" s="281">
        <f t="shared" ref="L148:M148" si="16">L147</f>
        <v>3278.3</v>
      </c>
      <c r="M148" s="281">
        <f t="shared" si="16"/>
        <v>192179</v>
      </c>
      <c r="N148" s="281">
        <f t="shared" ref="N148:AD148" si="17">N147</f>
        <v>61.16</v>
      </c>
      <c r="O148" s="281">
        <f t="shared" si="17"/>
        <v>20.72</v>
      </c>
      <c r="P148" s="281">
        <f t="shared" si="17"/>
        <v>40.44</v>
      </c>
      <c r="Q148" s="281">
        <f t="shared" si="17"/>
        <v>0.57999999999999996</v>
      </c>
      <c r="R148" s="281">
        <f t="shared" si="17"/>
        <v>0.08</v>
      </c>
      <c r="S148" s="281">
        <f t="shared" si="17"/>
        <v>0.49</v>
      </c>
      <c r="T148" s="281">
        <f t="shared" si="17"/>
        <v>160162</v>
      </c>
      <c r="U148" s="281">
        <f t="shared" si="17"/>
        <v>2427539</v>
      </c>
      <c r="V148" s="281">
        <f t="shared" si="17"/>
        <v>191707</v>
      </c>
      <c r="W148" s="281">
        <f t="shared" si="10"/>
        <v>6.5977106855955761</v>
      </c>
      <c r="X148" s="281">
        <f t="shared" si="17"/>
        <v>0</v>
      </c>
      <c r="Y148" s="281">
        <f t="shared" si="17"/>
        <v>0</v>
      </c>
      <c r="Z148" s="281">
        <f t="shared" si="17"/>
        <v>0</v>
      </c>
      <c r="AA148" s="281" t="e">
        <f t="shared" si="11"/>
        <v>#DIV/0!</v>
      </c>
      <c r="AB148" s="281">
        <f t="shared" si="17"/>
        <v>27454</v>
      </c>
      <c r="AC148" s="281">
        <f t="shared" si="17"/>
        <v>754620</v>
      </c>
      <c r="AD148" s="281">
        <f t="shared" si="17"/>
        <v>467</v>
      </c>
      <c r="AE148" s="281">
        <f t="shared" si="12"/>
        <v>3.6381224987410881</v>
      </c>
      <c r="AF148" s="281">
        <f t="shared" ref="AF148:AL148" si="18">AF147</f>
        <v>2536</v>
      </c>
      <c r="AG148" s="281">
        <f t="shared" si="18"/>
        <v>96171</v>
      </c>
      <c r="AH148" s="281">
        <f t="shared" si="18"/>
        <v>5</v>
      </c>
      <c r="AI148" s="281">
        <f t="shared" si="13"/>
        <v>2.6369695646296702</v>
      </c>
      <c r="AJ148" s="281">
        <f t="shared" si="18"/>
        <v>190152</v>
      </c>
      <c r="AK148" s="281">
        <f t="shared" si="18"/>
        <v>3278330</v>
      </c>
      <c r="AL148" s="281">
        <f t="shared" si="18"/>
        <v>192179</v>
      </c>
      <c r="AM148" s="281">
        <f t="shared" si="14"/>
        <v>5.8002702595528817</v>
      </c>
    </row>
    <row r="149" spans="1:39">
      <c r="A149" s="371">
        <f>References!C275</f>
        <v>392</v>
      </c>
      <c r="B149" s="292" t="s">
        <v>46</v>
      </c>
      <c r="C149" s="284">
        <v>2004</v>
      </c>
      <c r="F149" s="31">
        <v>12</v>
      </c>
      <c r="H149" s="31">
        <v>4355</v>
      </c>
      <c r="J149" s="31">
        <v>4343</v>
      </c>
      <c r="K149" s="31">
        <v>55.134</v>
      </c>
      <c r="L149" s="294">
        <v>339.953778</v>
      </c>
      <c r="M149" s="31">
        <v>14542</v>
      </c>
      <c r="N149" s="281">
        <v>503.9</v>
      </c>
      <c r="Q149" s="281">
        <v>3.49</v>
      </c>
      <c r="W149" s="281" t="str">
        <f t="shared" si="10"/>
        <v/>
      </c>
      <c r="AA149" s="281" t="str">
        <f t="shared" si="11"/>
        <v/>
      </c>
      <c r="AE149" s="281" t="str">
        <f t="shared" si="12"/>
        <v/>
      </c>
      <c r="AI149" s="281" t="str">
        <f t="shared" si="13"/>
        <v/>
      </c>
      <c r="AM149" s="281" t="str">
        <f t="shared" si="14"/>
        <v/>
      </c>
    </row>
    <row r="150" spans="1:39">
      <c r="A150" s="371">
        <f>References!D275</f>
        <v>393</v>
      </c>
      <c r="B150" s="292" t="s">
        <v>46</v>
      </c>
      <c r="C150" s="284">
        <v>2005</v>
      </c>
      <c r="F150" s="31">
        <v>19</v>
      </c>
      <c r="H150" s="31">
        <v>4370</v>
      </c>
      <c r="J150" s="31">
        <v>4351</v>
      </c>
      <c r="K150" s="31">
        <v>54.996000000000002</v>
      </c>
      <c r="L150" s="294">
        <v>351.73603100000003</v>
      </c>
      <c r="M150" s="31">
        <v>14585</v>
      </c>
      <c r="N150" s="281">
        <v>194.1</v>
      </c>
      <c r="Q150" s="281">
        <v>2.12</v>
      </c>
      <c r="W150" s="281" t="str">
        <f t="shared" si="10"/>
        <v/>
      </c>
      <c r="AA150" s="281" t="str">
        <f t="shared" si="11"/>
        <v/>
      </c>
      <c r="AE150" s="281" t="str">
        <f t="shared" si="12"/>
        <v/>
      </c>
      <c r="AI150" s="281" t="str">
        <f t="shared" si="13"/>
        <v/>
      </c>
      <c r="AM150" s="281" t="str">
        <f t="shared" si="14"/>
        <v/>
      </c>
    </row>
    <row r="151" spans="1:39">
      <c r="A151" s="371">
        <f>References!E275</f>
        <v>394</v>
      </c>
      <c r="B151" s="292" t="s">
        <v>46</v>
      </c>
      <c r="C151" s="284">
        <v>2006</v>
      </c>
      <c r="F151" s="31">
        <v>24</v>
      </c>
      <c r="H151" s="31">
        <v>4344</v>
      </c>
      <c r="J151" s="31">
        <v>4320</v>
      </c>
      <c r="K151" s="31">
        <v>54.494999999999997</v>
      </c>
      <c r="L151" s="294">
        <v>347.164602</v>
      </c>
      <c r="M151" s="31">
        <v>14497</v>
      </c>
      <c r="N151" s="281">
        <v>313.2</v>
      </c>
      <c r="Q151" s="281">
        <v>3.97</v>
      </c>
      <c r="W151" s="281" t="str">
        <f t="shared" si="10"/>
        <v/>
      </c>
      <c r="AA151" s="281" t="str">
        <f t="shared" si="11"/>
        <v/>
      </c>
      <c r="AE151" s="281" t="str">
        <f t="shared" si="12"/>
        <v/>
      </c>
      <c r="AI151" s="281" t="str">
        <f t="shared" si="13"/>
        <v/>
      </c>
      <c r="AM151" s="281" t="str">
        <f t="shared" si="14"/>
        <v/>
      </c>
    </row>
    <row r="152" spans="1:39">
      <c r="A152" s="371">
        <f>References!F275</f>
        <v>395</v>
      </c>
      <c r="B152" s="292" t="s">
        <v>46</v>
      </c>
      <c r="C152" s="284">
        <v>2007</v>
      </c>
      <c r="F152" s="31">
        <v>28</v>
      </c>
      <c r="H152" s="31">
        <v>4380</v>
      </c>
      <c r="J152" s="31">
        <v>4352</v>
      </c>
      <c r="K152" s="31">
        <v>54.473999999999997</v>
      </c>
      <c r="L152" s="294">
        <v>351.57110299999999</v>
      </c>
      <c r="M152" s="31">
        <v>14692</v>
      </c>
      <c r="N152" s="281">
        <v>484.8</v>
      </c>
      <c r="Q152" s="281">
        <v>4.1900000000000004</v>
      </c>
      <c r="W152" s="281" t="str">
        <f t="shared" si="10"/>
        <v/>
      </c>
      <c r="AA152" s="281" t="str">
        <f t="shared" si="11"/>
        <v/>
      </c>
      <c r="AE152" s="281" t="str">
        <f t="shared" si="12"/>
        <v/>
      </c>
      <c r="AI152" s="281" t="str">
        <f t="shared" si="13"/>
        <v/>
      </c>
      <c r="AM152" s="281" t="str">
        <f t="shared" si="14"/>
        <v/>
      </c>
    </row>
    <row r="153" spans="1:39">
      <c r="A153" s="371">
        <f>References!G275</f>
        <v>396</v>
      </c>
      <c r="B153" s="292" t="s">
        <v>46</v>
      </c>
      <c r="C153" s="284">
        <v>2008</v>
      </c>
      <c r="D153" s="31">
        <v>4326.6643000000004</v>
      </c>
      <c r="E153" s="281">
        <v>0.48129</v>
      </c>
      <c r="F153" s="31">
        <v>30.907019999999999</v>
      </c>
      <c r="G153" s="281">
        <v>0.1188</v>
      </c>
      <c r="H153" s="31">
        <v>4357.5713999999998</v>
      </c>
      <c r="I153" s="31">
        <v>0.60009000000000001</v>
      </c>
      <c r="J153" s="31">
        <v>4326.6643000000004</v>
      </c>
      <c r="K153" s="31">
        <v>56.28192</v>
      </c>
      <c r="L153" s="281">
        <v>359.75524000000001</v>
      </c>
      <c r="M153" s="31">
        <v>14747</v>
      </c>
      <c r="N153" s="281">
        <v>502.51</v>
      </c>
      <c r="O153" s="281">
        <v>187.24</v>
      </c>
      <c r="P153" s="281">
        <v>315.27</v>
      </c>
      <c r="Q153" s="281">
        <v>3.1</v>
      </c>
      <c r="R153" s="281">
        <v>0.81</v>
      </c>
      <c r="S153" s="281">
        <v>2.29</v>
      </c>
      <c r="T153" s="281">
        <v>14407.587</v>
      </c>
      <c r="U153" s="281">
        <v>104069.23</v>
      </c>
      <c r="V153" s="281">
        <v>14192</v>
      </c>
      <c r="W153" s="281">
        <f t="shared" si="10"/>
        <v>13.844233305079705</v>
      </c>
      <c r="X153" s="31">
        <v>2756.6853999999998</v>
      </c>
      <c r="Y153" s="31">
        <v>21063.254000000001</v>
      </c>
      <c r="Z153" s="31">
        <v>452</v>
      </c>
      <c r="AA153" s="281">
        <f t="shared" si="11"/>
        <v>13.087652078828844</v>
      </c>
      <c r="AB153" s="31">
        <v>2516.7175999999999</v>
      </c>
      <c r="AC153" s="31">
        <v>32905.709000000003</v>
      </c>
      <c r="AD153" s="31">
        <v>98</v>
      </c>
      <c r="AE153" s="281">
        <f t="shared" si="12"/>
        <v>7.6482703958756817</v>
      </c>
      <c r="AF153" s="31">
        <v>2687.0104999999999</v>
      </c>
      <c r="AG153" s="31">
        <v>201717.04</v>
      </c>
      <c r="AH153" s="31">
        <v>5</v>
      </c>
      <c r="AI153" s="281">
        <f t="shared" si="13"/>
        <v>1.3320691697637441</v>
      </c>
      <c r="AJ153" s="31">
        <v>22368</v>
      </c>
      <c r="AK153" s="31">
        <v>359755.24</v>
      </c>
      <c r="AL153" s="281">
        <v>14747</v>
      </c>
      <c r="AM153" s="281">
        <f t="shared" si="14"/>
        <v>6.2175605836901777</v>
      </c>
    </row>
    <row r="154" spans="1:39">
      <c r="A154" s="371">
        <f>References!H275</f>
        <v>397</v>
      </c>
      <c r="B154" s="292" t="s">
        <v>46</v>
      </c>
      <c r="C154" s="284">
        <v>2009</v>
      </c>
      <c r="D154" s="31">
        <v>4336.0487000000003</v>
      </c>
      <c r="E154" s="281">
        <v>0.53661000000000003</v>
      </c>
      <c r="F154" s="31">
        <v>32.228319999999997</v>
      </c>
      <c r="G154" s="281">
        <v>0.1188</v>
      </c>
      <c r="H154" s="31">
        <v>4368.277</v>
      </c>
      <c r="I154" s="31">
        <v>0.65541000000000005</v>
      </c>
      <c r="J154" s="31">
        <v>4336.0487000000003</v>
      </c>
      <c r="K154" s="31">
        <v>59.859780000000001</v>
      </c>
      <c r="L154" s="281">
        <v>384.11039</v>
      </c>
      <c r="M154" s="31">
        <v>14761</v>
      </c>
      <c r="N154" s="281">
        <v>274.25</v>
      </c>
      <c r="O154" s="281">
        <v>163.55000000000001</v>
      </c>
      <c r="P154" s="281">
        <v>106.65</v>
      </c>
      <c r="Q154" s="281">
        <v>3.02</v>
      </c>
      <c r="R154" s="281">
        <v>0.72</v>
      </c>
      <c r="S154" s="281">
        <v>2.08</v>
      </c>
      <c r="T154" s="281">
        <v>14731.822</v>
      </c>
      <c r="U154" s="281">
        <v>110166.92</v>
      </c>
      <c r="V154" s="281">
        <v>14187</v>
      </c>
      <c r="W154" s="281">
        <f t="shared" si="10"/>
        <v>13.372273637131727</v>
      </c>
      <c r="X154" s="31">
        <v>3546.6060000000002</v>
      </c>
      <c r="Y154" s="31">
        <v>27984.68</v>
      </c>
      <c r="Z154" s="31">
        <v>468</v>
      </c>
      <c r="AA154" s="281">
        <f t="shared" si="11"/>
        <v>12.673384151614384</v>
      </c>
      <c r="AB154" s="31">
        <v>2593.5749000000001</v>
      </c>
      <c r="AC154" s="31">
        <v>41622.798999999999</v>
      </c>
      <c r="AD154" s="31">
        <v>101</v>
      </c>
      <c r="AE154" s="281">
        <f t="shared" si="12"/>
        <v>6.2311400537959987</v>
      </c>
      <c r="AF154" s="31">
        <v>2918.9872999999998</v>
      </c>
      <c r="AG154" s="31">
        <v>204335.99</v>
      </c>
      <c r="AH154" s="31">
        <v>5</v>
      </c>
      <c r="AI154" s="281">
        <f t="shared" si="13"/>
        <v>1.4285233355122609</v>
      </c>
      <c r="AJ154" s="31">
        <v>23790.99</v>
      </c>
      <c r="AK154" s="31">
        <v>384110.39</v>
      </c>
      <c r="AL154" s="281">
        <v>14761</v>
      </c>
      <c r="AM154" s="281">
        <f t="shared" si="14"/>
        <v>6.1937897592408264</v>
      </c>
    </row>
    <row r="155" spans="1:39">
      <c r="A155" s="371">
        <f>References!I275</f>
        <v>398</v>
      </c>
      <c r="B155" s="292" t="s">
        <v>46</v>
      </c>
      <c r="C155" s="284">
        <v>2010</v>
      </c>
      <c r="D155" s="31">
        <v>4348.1922000000004</v>
      </c>
      <c r="E155" s="281">
        <v>0.94638</v>
      </c>
      <c r="F155" s="31">
        <v>38.731659999999998</v>
      </c>
      <c r="G155" s="281">
        <v>0.25440000000000002</v>
      </c>
      <c r="H155" s="31">
        <v>4386.9237999999996</v>
      </c>
      <c r="I155" s="31">
        <v>1.20078</v>
      </c>
      <c r="J155" s="31">
        <v>4348.1922000000004</v>
      </c>
      <c r="K155" s="31">
        <v>60.589359999999999</v>
      </c>
      <c r="L155" s="281">
        <v>384.54701999999997</v>
      </c>
      <c r="M155" s="31">
        <v>14768</v>
      </c>
      <c r="N155" s="281">
        <v>341.2</v>
      </c>
      <c r="O155" s="281">
        <v>168.90299999999999</v>
      </c>
      <c r="P155" s="281">
        <v>163.73500000000001</v>
      </c>
      <c r="Q155" s="281">
        <v>3.78</v>
      </c>
      <c r="R155" s="281">
        <v>0.73919999999999997</v>
      </c>
      <c r="S155" s="281">
        <v>2.5198999999999998</v>
      </c>
      <c r="T155" s="281">
        <v>15590.51</v>
      </c>
      <c r="U155" s="281">
        <v>100695.05</v>
      </c>
      <c r="V155" s="281">
        <v>14182</v>
      </c>
      <c r="W155" s="281">
        <f t="shared" si="10"/>
        <v>15.48289613044534</v>
      </c>
      <c r="X155" s="31">
        <v>3637.8627000000001</v>
      </c>
      <c r="Y155" s="31">
        <v>29359.388999999999</v>
      </c>
      <c r="Z155" s="31">
        <v>480</v>
      </c>
      <c r="AA155" s="281">
        <f t="shared" si="11"/>
        <v>12.39079839161503</v>
      </c>
      <c r="AB155" s="31">
        <v>2784.7057</v>
      </c>
      <c r="AC155" s="31">
        <v>35541.696000000004</v>
      </c>
      <c r="AD155" s="31">
        <v>101</v>
      </c>
      <c r="AE155" s="281">
        <f t="shared" si="12"/>
        <v>7.8350388794051913</v>
      </c>
      <c r="AF155" s="31">
        <v>3323.9216000000001</v>
      </c>
      <c r="AG155" s="31">
        <v>218950.89</v>
      </c>
      <c r="AH155" s="31">
        <v>5</v>
      </c>
      <c r="AI155" s="281">
        <f t="shared" si="13"/>
        <v>1.5181128516993012</v>
      </c>
      <c r="AJ155" s="31">
        <v>25337</v>
      </c>
      <c r="AK155" s="31">
        <v>384547.02</v>
      </c>
      <c r="AL155" s="281">
        <v>14768</v>
      </c>
      <c r="AM155" s="281">
        <f t="shared" si="14"/>
        <v>6.5887911444483427</v>
      </c>
    </row>
    <row r="156" spans="1:39">
      <c r="A156" s="371">
        <f>References!J275</f>
        <v>399</v>
      </c>
      <c r="B156" s="292" t="s">
        <v>46</v>
      </c>
      <c r="C156" s="284">
        <v>2011</v>
      </c>
      <c r="D156" s="31">
        <v>4350.2582000000002</v>
      </c>
      <c r="E156" s="281">
        <v>1.3458399999999999</v>
      </c>
      <c r="F156" s="31">
        <v>42.006210000000003</v>
      </c>
      <c r="G156" s="281">
        <v>0.28909000000000001</v>
      </c>
      <c r="H156" s="31">
        <v>4392.2645000000002</v>
      </c>
      <c r="I156" s="31">
        <v>1.63493</v>
      </c>
      <c r="J156" s="31">
        <v>4350.2582000000002</v>
      </c>
      <c r="K156" s="31">
        <v>60.418900000000001</v>
      </c>
      <c r="L156" s="281">
        <v>380.82724999999999</v>
      </c>
      <c r="M156" s="31">
        <v>14801</v>
      </c>
      <c r="N156" s="281">
        <v>247.08</v>
      </c>
      <c r="O156" s="281">
        <v>114.59</v>
      </c>
      <c r="P156" s="281">
        <v>132.49</v>
      </c>
      <c r="Q156" s="281">
        <v>2.2599999999999998</v>
      </c>
      <c r="R156" s="281">
        <v>0.48</v>
      </c>
      <c r="S156" s="281">
        <v>1.77</v>
      </c>
      <c r="T156" s="281">
        <v>17503.054</v>
      </c>
      <c r="U156" s="281">
        <v>97637.345000000001</v>
      </c>
      <c r="V156" s="281">
        <v>14201</v>
      </c>
      <c r="W156" s="281">
        <f t="shared" si="10"/>
        <v>17.926597655845722</v>
      </c>
      <c r="X156" s="31">
        <v>4024.1122999999998</v>
      </c>
      <c r="Y156" s="31">
        <v>28181.001</v>
      </c>
      <c r="Z156" s="31">
        <v>489</v>
      </c>
      <c r="AA156" s="281">
        <f t="shared" si="11"/>
        <v>14.279522221371767</v>
      </c>
      <c r="AB156" s="31">
        <v>3156.9789999999998</v>
      </c>
      <c r="AC156" s="31">
        <v>33761.097999999998</v>
      </c>
      <c r="AD156" s="31">
        <v>106</v>
      </c>
      <c r="AE156" s="281">
        <f t="shared" si="12"/>
        <v>9.3509369867058236</v>
      </c>
      <c r="AF156" s="31">
        <v>3482.2305000000001</v>
      </c>
      <c r="AG156" s="31">
        <v>221247.81</v>
      </c>
      <c r="AH156" s="31">
        <v>5</v>
      </c>
      <c r="AI156" s="281">
        <f t="shared" si="13"/>
        <v>1.573905070517986</v>
      </c>
      <c r="AJ156" s="31">
        <v>28166.376</v>
      </c>
      <c r="AK156" s="31">
        <v>380827.25</v>
      </c>
      <c r="AL156" s="281">
        <v>14801</v>
      </c>
      <c r="AM156" s="281">
        <f t="shared" si="14"/>
        <v>7.396103088736429</v>
      </c>
    </row>
    <row r="157" spans="1:39">
      <c r="A157" s="371">
        <f>References!C276</f>
        <v>415</v>
      </c>
      <c r="B157" s="292" t="s">
        <v>47</v>
      </c>
      <c r="C157" s="284">
        <v>2004</v>
      </c>
      <c r="F157" s="31">
        <v>4164.74</v>
      </c>
      <c r="H157" s="31">
        <v>24939.64</v>
      </c>
      <c r="J157" s="31">
        <v>20774.900000000001</v>
      </c>
      <c r="K157" s="31">
        <v>692.24900000000002</v>
      </c>
      <c r="L157" s="294">
        <v>3.796233</v>
      </c>
      <c r="M157" s="31">
        <v>296165</v>
      </c>
      <c r="N157" s="281">
        <v>370.41</v>
      </c>
      <c r="Q157" s="281">
        <v>3.7869999999999999</v>
      </c>
      <c r="W157" s="281" t="str">
        <f t="shared" si="10"/>
        <v/>
      </c>
      <c r="AA157" s="281" t="str">
        <f t="shared" si="11"/>
        <v/>
      </c>
      <c r="AE157" s="281" t="str">
        <f t="shared" si="12"/>
        <v/>
      </c>
      <c r="AI157" s="281" t="str">
        <f t="shared" si="13"/>
        <v/>
      </c>
      <c r="AM157" s="281" t="str">
        <f t="shared" si="14"/>
        <v/>
      </c>
    </row>
    <row r="158" spans="1:39">
      <c r="A158" s="371">
        <f>References!D276</f>
        <v>416</v>
      </c>
      <c r="B158" s="292" t="s">
        <v>47</v>
      </c>
      <c r="C158" s="284">
        <v>2005</v>
      </c>
      <c r="F158" s="31">
        <v>5247.79</v>
      </c>
      <c r="H158" s="31">
        <v>26811.69</v>
      </c>
      <c r="J158" s="31">
        <v>21563.89</v>
      </c>
      <c r="K158" s="31">
        <v>727.42100000000005</v>
      </c>
      <c r="L158" s="294">
        <v>4052.404352</v>
      </c>
      <c r="M158" s="31">
        <v>298665</v>
      </c>
      <c r="N158" s="281">
        <v>208.32</v>
      </c>
      <c r="Q158" s="281">
        <v>2.915</v>
      </c>
      <c r="W158" s="281" t="str">
        <f t="shared" si="10"/>
        <v/>
      </c>
      <c r="AA158" s="281" t="str">
        <f t="shared" si="11"/>
        <v/>
      </c>
      <c r="AE158" s="281" t="str">
        <f t="shared" si="12"/>
        <v/>
      </c>
      <c r="AI158" s="281" t="str">
        <f t="shared" si="13"/>
        <v/>
      </c>
      <c r="AM158" s="281" t="str">
        <f t="shared" si="14"/>
        <v/>
      </c>
    </row>
    <row r="159" spans="1:39">
      <c r="A159" s="371">
        <f>References!E276</f>
        <v>417</v>
      </c>
      <c r="B159" s="292" t="s">
        <v>47</v>
      </c>
      <c r="C159" s="284">
        <v>2006</v>
      </c>
      <c r="F159" s="31">
        <v>5165</v>
      </c>
      <c r="H159" s="31">
        <v>27089</v>
      </c>
      <c r="J159" s="31">
        <v>21925</v>
      </c>
      <c r="K159" s="31">
        <v>677.25599999999997</v>
      </c>
      <c r="L159" s="294">
        <v>4235.2839999999997</v>
      </c>
      <c r="M159" s="31">
        <v>304471</v>
      </c>
      <c r="N159" s="281">
        <v>235.8</v>
      </c>
      <c r="Q159" s="281">
        <v>2.89</v>
      </c>
      <c r="W159" s="281" t="str">
        <f t="shared" si="10"/>
        <v/>
      </c>
      <c r="AA159" s="281" t="str">
        <f t="shared" si="11"/>
        <v/>
      </c>
      <c r="AE159" s="281" t="str">
        <f t="shared" si="12"/>
        <v/>
      </c>
      <c r="AI159" s="281" t="str">
        <f t="shared" si="13"/>
        <v/>
      </c>
      <c r="AM159" s="281" t="str">
        <f t="shared" si="14"/>
        <v/>
      </c>
    </row>
    <row r="160" spans="1:39">
      <c r="A160" s="371">
        <f>References!F276</f>
        <v>418</v>
      </c>
      <c r="B160" s="292" t="s">
        <v>47</v>
      </c>
      <c r="C160" s="284">
        <v>2007</v>
      </c>
      <c r="F160" s="31">
        <v>5165</v>
      </c>
      <c r="H160" s="31">
        <v>27089</v>
      </c>
      <c r="J160" s="31">
        <v>21925</v>
      </c>
      <c r="K160" s="31">
        <v>753.03399999999999</v>
      </c>
      <c r="L160" s="294">
        <v>4106.4269999999997</v>
      </c>
      <c r="M160" s="31">
        <v>306126</v>
      </c>
      <c r="N160" s="281">
        <v>220.6</v>
      </c>
      <c r="Q160" s="281">
        <v>2.8</v>
      </c>
      <c r="W160" s="281" t="str">
        <f t="shared" si="10"/>
        <v/>
      </c>
      <c r="AA160" s="281" t="str">
        <f t="shared" si="11"/>
        <v/>
      </c>
      <c r="AE160" s="281" t="str">
        <f t="shared" si="12"/>
        <v/>
      </c>
      <c r="AI160" s="281" t="str">
        <f t="shared" si="13"/>
        <v/>
      </c>
      <c r="AM160" s="281" t="str">
        <f t="shared" si="14"/>
        <v/>
      </c>
    </row>
    <row r="161" spans="1:39">
      <c r="A161" s="371">
        <f>References!G276</f>
        <v>419</v>
      </c>
      <c r="B161" s="292" t="s">
        <v>47</v>
      </c>
      <c r="C161" s="284">
        <v>2008</v>
      </c>
      <c r="D161" s="31">
        <v>22232.23</v>
      </c>
      <c r="E161" s="281">
        <v>1088.0402999999999</v>
      </c>
      <c r="F161" s="31">
        <v>5128.3258999999998</v>
      </c>
      <c r="G161" s="281">
        <v>1310.6461999999999</v>
      </c>
      <c r="H161" s="31">
        <v>27360.556</v>
      </c>
      <c r="I161" s="31">
        <v>2398.6864999999998</v>
      </c>
      <c r="J161" s="31">
        <v>22150.528999999999</v>
      </c>
      <c r="K161" s="31">
        <v>776</v>
      </c>
      <c r="L161" s="281">
        <v>4430.0692339999996</v>
      </c>
      <c r="M161" s="31">
        <v>305071</v>
      </c>
      <c r="N161" s="281">
        <v>358.75736000000001</v>
      </c>
      <c r="O161" s="281">
        <v>36.032919</v>
      </c>
      <c r="P161" s="281">
        <v>292.62365999999997</v>
      </c>
      <c r="Q161" s="281">
        <v>2.9300350000000002</v>
      </c>
      <c r="R161" s="281">
        <v>0.19618190999999999</v>
      </c>
      <c r="S161" s="281">
        <v>2.2999999999999998</v>
      </c>
      <c r="T161" s="281">
        <v>201339.59</v>
      </c>
      <c r="U161" s="281">
        <v>2402226.9</v>
      </c>
      <c r="V161" s="281">
        <v>296767</v>
      </c>
      <c r="W161" s="281">
        <f t="shared" si="10"/>
        <v>8.3813727171234333</v>
      </c>
      <c r="X161" s="31">
        <v>13538.17</v>
      </c>
      <c r="Y161" s="31">
        <v>370069.24</v>
      </c>
      <c r="Z161" s="31">
        <v>7281</v>
      </c>
      <c r="AA161" s="281">
        <f t="shared" si="11"/>
        <v>3.6582802720917851</v>
      </c>
      <c r="AB161" s="31">
        <v>41705.120000000003</v>
      </c>
      <c r="AC161" s="31">
        <v>1162891.6000000001</v>
      </c>
      <c r="AD161" s="31">
        <v>1018</v>
      </c>
      <c r="AE161" s="281">
        <f t="shared" si="12"/>
        <v>3.5863291127049162</v>
      </c>
      <c r="AF161" s="31">
        <v>10299.209999999999</v>
      </c>
      <c r="AG161" s="31">
        <v>462078.6</v>
      </c>
      <c r="AH161" s="31">
        <v>5</v>
      </c>
      <c r="AI161" s="281">
        <f t="shared" si="13"/>
        <v>2.2288870335046895</v>
      </c>
      <c r="AJ161" s="31">
        <v>266882.09000000003</v>
      </c>
      <c r="AK161" s="31">
        <v>4397266.3</v>
      </c>
      <c r="AL161" s="281">
        <v>305071</v>
      </c>
      <c r="AM161" s="281">
        <f t="shared" si="14"/>
        <v>6.069272857093055</v>
      </c>
    </row>
    <row r="162" spans="1:39">
      <c r="A162" s="371">
        <f>References!H276</f>
        <v>420</v>
      </c>
      <c r="B162" s="292" t="s">
        <v>47</v>
      </c>
      <c r="C162" s="284">
        <v>2009</v>
      </c>
      <c r="D162" s="31">
        <v>23089</v>
      </c>
      <c r="E162" s="281">
        <v>1098</v>
      </c>
      <c r="F162" s="31">
        <v>6185</v>
      </c>
      <c r="G162" s="281">
        <v>1427</v>
      </c>
      <c r="H162" s="31">
        <v>29274</v>
      </c>
      <c r="I162" s="31">
        <v>2525</v>
      </c>
      <c r="J162" s="31">
        <v>23089</v>
      </c>
      <c r="K162" s="31">
        <v>764</v>
      </c>
      <c r="L162" s="281">
        <v>4376.4629999999997</v>
      </c>
      <c r="M162" s="31">
        <v>315379</v>
      </c>
      <c r="N162" s="281">
        <v>320.08999999999997</v>
      </c>
      <c r="O162" s="281">
        <v>46.87</v>
      </c>
      <c r="P162" s="281">
        <v>243.82</v>
      </c>
      <c r="Q162" s="281">
        <v>2.75</v>
      </c>
      <c r="R162" s="281">
        <v>0.21</v>
      </c>
      <c r="S162" s="281">
        <v>2.5499999999999998</v>
      </c>
      <c r="T162" s="281">
        <v>194880</v>
      </c>
      <c r="U162" s="281">
        <v>2400569</v>
      </c>
      <c r="V162" s="281">
        <v>306584</v>
      </c>
      <c r="W162" s="281">
        <f t="shared" si="10"/>
        <v>8.1180753396382279</v>
      </c>
      <c r="X162" s="31">
        <v>24831</v>
      </c>
      <c r="Y162" s="31">
        <v>358711</v>
      </c>
      <c r="Z162" s="31">
        <v>7813</v>
      </c>
      <c r="AA162" s="281">
        <f t="shared" si="11"/>
        <v>6.9222856282634213</v>
      </c>
      <c r="AB162" s="31">
        <v>48130</v>
      </c>
      <c r="AC162" s="31">
        <v>1104612</v>
      </c>
      <c r="AD162" s="31">
        <v>972</v>
      </c>
      <c r="AE162" s="281">
        <f t="shared" si="12"/>
        <v>4.3571860526592143</v>
      </c>
      <c r="AF162" s="31">
        <v>9572</v>
      </c>
      <c r="AG162" s="31">
        <v>512571</v>
      </c>
      <c r="AH162" s="31">
        <v>5</v>
      </c>
      <c r="AI162" s="281">
        <f t="shared" si="13"/>
        <v>1.8674486071197942</v>
      </c>
      <c r="AJ162" s="31">
        <v>277413</v>
      </c>
      <c r="AK162" s="31">
        <v>4376463</v>
      </c>
      <c r="AL162" s="281">
        <v>315379</v>
      </c>
      <c r="AM162" s="281">
        <f t="shared" si="14"/>
        <v>6.3387488937984848</v>
      </c>
    </row>
    <row r="163" spans="1:39">
      <c r="A163" s="371">
        <f>References!I276</f>
        <v>421</v>
      </c>
      <c r="B163" s="292" t="s">
        <v>162</v>
      </c>
      <c r="C163" s="284">
        <v>2010</v>
      </c>
      <c r="D163" s="31">
        <v>22615.423999999999</v>
      </c>
      <c r="E163" s="281">
        <v>1083.9808</v>
      </c>
      <c r="F163" s="31">
        <v>7420.0582999999997</v>
      </c>
      <c r="G163" s="281">
        <v>1482.8787</v>
      </c>
      <c r="H163" s="31">
        <v>30035.483</v>
      </c>
      <c r="I163" s="31">
        <v>2566.8593999999998</v>
      </c>
      <c r="J163" s="31">
        <v>22615.423999999999</v>
      </c>
      <c r="K163" s="31">
        <v>812.86599999999999</v>
      </c>
      <c r="L163" s="281">
        <v>4294.6331</v>
      </c>
      <c r="M163" s="31">
        <v>317489</v>
      </c>
      <c r="N163" s="281">
        <v>253.2003</v>
      </c>
      <c r="O163" s="281">
        <v>41.792538</v>
      </c>
      <c r="P163" s="281">
        <v>184.29268999999999</v>
      </c>
      <c r="Q163" s="281">
        <v>2.6225664000000002</v>
      </c>
      <c r="R163" s="281">
        <v>0.2117376</v>
      </c>
      <c r="S163" s="281">
        <v>2.2671424</v>
      </c>
      <c r="T163" s="281">
        <v>207611</v>
      </c>
      <c r="U163" s="281">
        <v>2381923.2000000002</v>
      </c>
      <c r="V163" s="281">
        <v>308665</v>
      </c>
      <c r="W163" s="281">
        <f t="shared" si="10"/>
        <v>8.7161080592354949</v>
      </c>
      <c r="X163" s="31">
        <v>25747</v>
      </c>
      <c r="Y163" s="31">
        <v>363922.13</v>
      </c>
      <c r="Z163" s="31">
        <v>7821</v>
      </c>
      <c r="AA163" s="281">
        <f t="shared" si="11"/>
        <v>7.0748651641492648</v>
      </c>
      <c r="AB163" s="31">
        <v>48937</v>
      </c>
      <c r="AC163" s="31">
        <v>1082054.6000000001</v>
      </c>
      <c r="AD163" s="31">
        <v>998</v>
      </c>
      <c r="AE163" s="281">
        <f t="shared" si="12"/>
        <v>4.5225998761984831</v>
      </c>
      <c r="AF163" s="31">
        <v>9571</v>
      </c>
      <c r="AG163" s="31">
        <v>466733.16</v>
      </c>
      <c r="AH163" s="31">
        <v>5</v>
      </c>
      <c r="AI163" s="281">
        <f t="shared" si="13"/>
        <v>2.050636385038509</v>
      </c>
      <c r="AJ163" s="31">
        <v>291866</v>
      </c>
      <c r="AK163" s="31">
        <v>4294633.0999999996</v>
      </c>
      <c r="AL163" s="281">
        <v>317489</v>
      </c>
      <c r="AM163" s="281">
        <f t="shared" si="14"/>
        <v>6.7960636730527693</v>
      </c>
    </row>
    <row r="164" spans="1:39">
      <c r="A164" s="371">
        <f>References!J276</f>
        <v>422</v>
      </c>
      <c r="B164" s="292" t="s">
        <v>162</v>
      </c>
      <c r="C164" s="284">
        <v>2011</v>
      </c>
      <c r="D164" s="31">
        <v>22322</v>
      </c>
      <c r="E164" s="281">
        <v>1081</v>
      </c>
      <c r="F164" s="31">
        <v>7598</v>
      </c>
      <c r="G164" s="281">
        <v>1509</v>
      </c>
      <c r="H164" s="31">
        <v>29920</v>
      </c>
      <c r="I164" s="31">
        <v>2590</v>
      </c>
      <c r="J164" s="31">
        <v>22322</v>
      </c>
      <c r="K164" s="31">
        <v>801.05799999999999</v>
      </c>
      <c r="L164" s="281">
        <v>4303.8891000000003</v>
      </c>
      <c r="M164" s="31">
        <v>319181</v>
      </c>
      <c r="N164" s="281">
        <v>306.42</v>
      </c>
      <c r="O164" s="281">
        <v>56.29</v>
      </c>
      <c r="P164" s="281">
        <v>217.64</v>
      </c>
      <c r="Q164" s="281">
        <v>2.9496305999999999</v>
      </c>
      <c r="R164" s="281">
        <v>0.27</v>
      </c>
      <c r="S164" s="281">
        <v>2.35</v>
      </c>
      <c r="T164" s="281">
        <v>224722</v>
      </c>
      <c r="U164" s="281">
        <v>2555588</v>
      </c>
      <c r="V164" s="281">
        <v>317593</v>
      </c>
      <c r="W164" s="281">
        <f t="shared" si="10"/>
        <v>8.7933579278036991</v>
      </c>
      <c r="X164" s="31">
        <v>9257</v>
      </c>
      <c r="Y164" s="31">
        <v>138693</v>
      </c>
      <c r="Z164" s="31">
        <v>607</v>
      </c>
      <c r="AA164" s="281">
        <f t="shared" si="11"/>
        <v>6.6744536494271518</v>
      </c>
      <c r="AB164" s="31">
        <v>49571.741000000002</v>
      </c>
      <c r="AC164" s="31">
        <v>1083865.6000000001</v>
      </c>
      <c r="AD164" s="31">
        <v>976</v>
      </c>
      <c r="AE164" s="281">
        <f t="shared" si="12"/>
        <v>4.5736058972625386</v>
      </c>
      <c r="AF164" s="31">
        <v>9009.6955999999991</v>
      </c>
      <c r="AG164" s="31">
        <v>525742.75</v>
      </c>
      <c r="AH164" s="31">
        <v>5</v>
      </c>
      <c r="AI164" s="281">
        <f t="shared" si="13"/>
        <v>1.7137080064347059</v>
      </c>
      <c r="AJ164" s="31">
        <v>292560.95</v>
      </c>
      <c r="AK164" s="31">
        <v>4303889.0999999996</v>
      </c>
      <c r="AL164" s="281">
        <v>319181</v>
      </c>
      <c r="AM164" s="281">
        <f t="shared" si="14"/>
        <v>6.7975949937929405</v>
      </c>
    </row>
    <row r="165" spans="1:39">
      <c r="A165" s="371">
        <f>References!C277</f>
        <v>438</v>
      </c>
      <c r="B165" s="292" t="s">
        <v>48</v>
      </c>
      <c r="C165" s="284">
        <v>2004</v>
      </c>
      <c r="F165" s="31">
        <v>47</v>
      </c>
      <c r="H165" s="31">
        <v>861</v>
      </c>
      <c r="J165" s="31">
        <v>814</v>
      </c>
      <c r="K165" s="31">
        <v>15.226000000000001</v>
      </c>
      <c r="L165" s="294">
        <v>86.686126000000002</v>
      </c>
      <c r="M165" s="31">
        <v>6719</v>
      </c>
      <c r="N165" s="281">
        <v>185.2</v>
      </c>
      <c r="Q165" s="281">
        <v>1.67</v>
      </c>
      <c r="W165" s="281" t="str">
        <f t="shared" si="10"/>
        <v/>
      </c>
      <c r="AA165" s="281" t="str">
        <f t="shared" si="11"/>
        <v/>
      </c>
      <c r="AE165" s="281" t="str">
        <f t="shared" si="12"/>
        <v/>
      </c>
      <c r="AI165" s="281" t="str">
        <f t="shared" si="13"/>
        <v/>
      </c>
      <c r="AM165" s="281" t="str">
        <f t="shared" si="14"/>
        <v/>
      </c>
    </row>
    <row r="166" spans="1:39">
      <c r="A166" s="371">
        <f>References!D277</f>
        <v>439</v>
      </c>
      <c r="B166" s="292" t="s">
        <v>48</v>
      </c>
      <c r="C166" s="284">
        <v>2005</v>
      </c>
      <c r="F166" s="31">
        <v>50</v>
      </c>
      <c r="H166" s="31">
        <v>861</v>
      </c>
      <c r="J166" s="31">
        <v>811</v>
      </c>
      <c r="K166" s="31">
        <v>16.47</v>
      </c>
      <c r="L166" s="294">
        <v>91.319985000000003</v>
      </c>
      <c r="M166" s="31">
        <v>6753</v>
      </c>
      <c r="N166" s="281">
        <v>71.31</v>
      </c>
      <c r="Q166" s="281">
        <v>0.83</v>
      </c>
      <c r="W166" s="281" t="str">
        <f t="shared" si="10"/>
        <v/>
      </c>
      <c r="AA166" s="281" t="str">
        <f t="shared" si="11"/>
        <v/>
      </c>
      <c r="AE166" s="281" t="str">
        <f t="shared" si="12"/>
        <v/>
      </c>
      <c r="AI166" s="281" t="str">
        <f t="shared" si="13"/>
        <v/>
      </c>
      <c r="AM166" s="281" t="str">
        <f t="shared" si="14"/>
        <v/>
      </c>
    </row>
    <row r="167" spans="1:39">
      <c r="A167" s="371">
        <f>References!E277</f>
        <v>440</v>
      </c>
      <c r="B167" s="292" t="s">
        <v>48</v>
      </c>
      <c r="C167" s="284">
        <v>2006</v>
      </c>
      <c r="F167" s="31">
        <v>52</v>
      </c>
      <c r="H167" s="31">
        <v>865</v>
      </c>
      <c r="J167" s="31">
        <v>813</v>
      </c>
      <c r="K167" s="31">
        <v>16.352</v>
      </c>
      <c r="L167" s="294">
        <v>89.875765999999999</v>
      </c>
      <c r="M167" s="31">
        <v>6694</v>
      </c>
      <c r="N167" s="281">
        <v>68.59</v>
      </c>
      <c r="Q167" s="281">
        <v>0.98</v>
      </c>
      <c r="W167" s="281" t="str">
        <f t="shared" si="10"/>
        <v/>
      </c>
      <c r="AA167" s="281" t="str">
        <f t="shared" si="11"/>
        <v/>
      </c>
      <c r="AE167" s="281" t="str">
        <f t="shared" si="12"/>
        <v/>
      </c>
      <c r="AI167" s="281" t="str">
        <f t="shared" si="13"/>
        <v/>
      </c>
      <c r="AM167" s="281" t="str">
        <f t="shared" si="14"/>
        <v/>
      </c>
    </row>
    <row r="168" spans="1:39">
      <c r="A168" s="371">
        <f>References!F277</f>
        <v>441</v>
      </c>
      <c r="B168" s="292" t="s">
        <v>48</v>
      </c>
      <c r="C168" s="284">
        <v>2007</v>
      </c>
      <c r="F168" s="31">
        <v>56</v>
      </c>
      <c r="H168" s="31">
        <v>871</v>
      </c>
      <c r="J168" s="31">
        <v>815</v>
      </c>
      <c r="K168" s="31">
        <v>17.608000000000001</v>
      </c>
      <c r="L168" s="294">
        <v>90.556528</v>
      </c>
      <c r="M168" s="31">
        <v>6686</v>
      </c>
      <c r="N168" s="281">
        <v>46.67</v>
      </c>
      <c r="Q168" s="281">
        <v>0.84</v>
      </c>
      <c r="W168" s="281" t="str">
        <f t="shared" si="10"/>
        <v/>
      </c>
      <c r="AA168" s="281" t="str">
        <f t="shared" si="11"/>
        <v/>
      </c>
      <c r="AE168" s="281" t="str">
        <f t="shared" si="12"/>
        <v/>
      </c>
      <c r="AI168" s="281" t="str">
        <f t="shared" si="13"/>
        <v/>
      </c>
      <c r="AM168" s="281" t="str">
        <f t="shared" si="14"/>
        <v/>
      </c>
    </row>
    <row r="169" spans="1:39">
      <c r="A169" s="371">
        <f>References!G277</f>
        <v>442</v>
      </c>
      <c r="B169" s="292" t="s">
        <v>48</v>
      </c>
      <c r="C169" s="284">
        <v>2008</v>
      </c>
      <c r="D169" s="31">
        <v>825.67</v>
      </c>
      <c r="E169" s="281">
        <v>0</v>
      </c>
      <c r="F169" s="31">
        <v>57.56</v>
      </c>
      <c r="G169" s="281">
        <v>0</v>
      </c>
      <c r="H169" s="31">
        <v>883.23</v>
      </c>
      <c r="I169" s="31">
        <v>0</v>
      </c>
      <c r="J169" s="31">
        <v>825.67</v>
      </c>
      <c r="K169" s="31">
        <v>17.350000000000001</v>
      </c>
      <c r="L169" s="281">
        <v>89.83</v>
      </c>
      <c r="M169" s="31">
        <v>6734</v>
      </c>
      <c r="N169" s="281">
        <v>58.31</v>
      </c>
      <c r="O169" s="281">
        <v>14.13</v>
      </c>
      <c r="P169" s="281">
        <v>44.18</v>
      </c>
      <c r="Q169" s="281">
        <v>1.29</v>
      </c>
      <c r="R169" s="281">
        <v>0.13</v>
      </c>
      <c r="S169" s="281">
        <v>1.17</v>
      </c>
      <c r="T169" s="281">
        <v>4509</v>
      </c>
      <c r="U169" s="281">
        <v>57103</v>
      </c>
      <c r="V169" s="281">
        <v>6710</v>
      </c>
      <c r="W169" s="281">
        <f t="shared" si="10"/>
        <v>7.896257639703693</v>
      </c>
      <c r="X169" s="31">
        <v>74</v>
      </c>
      <c r="Y169" s="31">
        <v>1449</v>
      </c>
      <c r="Z169" s="31">
        <v>9</v>
      </c>
      <c r="AA169" s="281">
        <f t="shared" si="11"/>
        <v>5.1069703243616287</v>
      </c>
      <c r="AB169" s="31">
        <v>285</v>
      </c>
      <c r="AC169" s="31">
        <v>4793</v>
      </c>
      <c r="AD169" s="31">
        <v>10</v>
      </c>
      <c r="AE169" s="281">
        <f t="shared" si="12"/>
        <v>5.9461715001043185</v>
      </c>
      <c r="AF169" s="31">
        <v>1151</v>
      </c>
      <c r="AG169" s="31">
        <v>26485</v>
      </c>
      <c r="AH169" s="31">
        <v>5</v>
      </c>
      <c r="AI169" s="281">
        <f t="shared" si="13"/>
        <v>4.3458561449877289</v>
      </c>
      <c r="AJ169" s="31">
        <v>6019</v>
      </c>
      <c r="AK169" s="31">
        <v>89830</v>
      </c>
      <c r="AL169" s="281">
        <v>6734</v>
      </c>
      <c r="AM169" s="281">
        <f t="shared" si="14"/>
        <v>6.7004341534008685</v>
      </c>
    </row>
    <row r="170" spans="1:39">
      <c r="A170" s="371">
        <f>References!H277</f>
        <v>443</v>
      </c>
      <c r="B170" s="292" t="s">
        <v>48</v>
      </c>
      <c r="C170" s="284">
        <v>2009</v>
      </c>
      <c r="D170" s="31">
        <v>834.63</v>
      </c>
      <c r="E170" s="281">
        <v>0</v>
      </c>
      <c r="F170" s="31">
        <v>58.96</v>
      </c>
      <c r="G170" s="281">
        <v>0</v>
      </c>
      <c r="H170" s="31">
        <v>893.59</v>
      </c>
      <c r="I170" s="31">
        <v>0</v>
      </c>
      <c r="J170" s="31">
        <v>834.63</v>
      </c>
      <c r="K170" s="31">
        <v>16.239999999999998</v>
      </c>
      <c r="L170" s="281">
        <v>80.507999999999996</v>
      </c>
      <c r="M170" s="31">
        <v>6832</v>
      </c>
      <c r="N170" s="281">
        <v>35.57</v>
      </c>
      <c r="O170" s="281">
        <v>16.36</v>
      </c>
      <c r="P170" s="281">
        <v>19.21</v>
      </c>
      <c r="Q170" s="281">
        <v>0.89</v>
      </c>
      <c r="R170" s="281">
        <v>0.12</v>
      </c>
      <c r="S170" s="281">
        <v>0.77</v>
      </c>
      <c r="T170" s="281">
        <v>4629</v>
      </c>
      <c r="U170" s="281">
        <v>57472</v>
      </c>
      <c r="V170" s="281">
        <v>6808</v>
      </c>
      <c r="W170" s="281">
        <f t="shared" si="10"/>
        <v>8.054356904231625</v>
      </c>
      <c r="X170" s="31">
        <v>71</v>
      </c>
      <c r="Y170" s="31">
        <v>1367</v>
      </c>
      <c r="Z170" s="31">
        <v>7</v>
      </c>
      <c r="AA170" s="281">
        <f t="shared" si="11"/>
        <v>5.1938551572787128</v>
      </c>
      <c r="AB170" s="31">
        <v>253</v>
      </c>
      <c r="AC170" s="31">
        <v>4475</v>
      </c>
      <c r="AD170" s="31">
        <v>12</v>
      </c>
      <c r="AE170" s="281">
        <f t="shared" si="12"/>
        <v>5.6536312849162007</v>
      </c>
      <c r="AF170" s="31">
        <v>860</v>
      </c>
      <c r="AG170" s="31">
        <v>17194</v>
      </c>
      <c r="AH170" s="31">
        <v>5</v>
      </c>
      <c r="AI170" s="281">
        <f t="shared" si="13"/>
        <v>5.0017447946958242</v>
      </c>
      <c r="AJ170" s="31">
        <v>5813</v>
      </c>
      <c r="AK170" s="31">
        <v>80508</v>
      </c>
      <c r="AL170" s="281">
        <v>6832</v>
      </c>
      <c r="AM170" s="281">
        <f t="shared" si="14"/>
        <v>7.2204004570974316</v>
      </c>
    </row>
    <row r="171" spans="1:39">
      <c r="A171" s="371">
        <f>References!I277</f>
        <v>444</v>
      </c>
      <c r="B171" s="292" t="s">
        <v>48</v>
      </c>
      <c r="C171" s="284">
        <v>2010</v>
      </c>
      <c r="D171" s="31">
        <v>844.52880000000005</v>
      </c>
      <c r="E171" s="281">
        <v>0</v>
      </c>
      <c r="F171" s="31">
        <v>60.713000000000001</v>
      </c>
      <c r="G171" s="281">
        <v>0</v>
      </c>
      <c r="H171" s="31">
        <v>905.24180000000001</v>
      </c>
      <c r="I171" s="31">
        <v>0</v>
      </c>
      <c r="J171" s="31">
        <v>844.52880000000005</v>
      </c>
      <c r="K171" s="31">
        <v>16.574000000000002</v>
      </c>
      <c r="L171" s="281">
        <v>83.064999999999998</v>
      </c>
      <c r="M171" s="31">
        <v>6786</v>
      </c>
      <c r="N171" s="281">
        <v>65.88</v>
      </c>
      <c r="O171" s="281">
        <v>29.39</v>
      </c>
      <c r="P171" s="281">
        <v>36.49</v>
      </c>
      <c r="Q171" s="281">
        <v>0.74</v>
      </c>
      <c r="R171" s="281">
        <v>0.17</v>
      </c>
      <c r="S171" s="281">
        <v>0.56999999999999995</v>
      </c>
      <c r="T171" s="281">
        <v>5039</v>
      </c>
      <c r="U171" s="281">
        <v>59422</v>
      </c>
      <c r="V171" s="281">
        <v>6761</v>
      </c>
      <c r="W171" s="281">
        <f t="shared" si="10"/>
        <v>8.4800242334488907</v>
      </c>
      <c r="X171" s="31">
        <v>67</v>
      </c>
      <c r="Y171" s="31">
        <v>1354</v>
      </c>
      <c r="Z171" s="31">
        <v>7</v>
      </c>
      <c r="AA171" s="281">
        <f t="shared" si="11"/>
        <v>4.9483013293943872</v>
      </c>
      <c r="AB171" s="31">
        <v>292</v>
      </c>
      <c r="AC171" s="31">
        <v>4905</v>
      </c>
      <c r="AD171" s="31">
        <v>13</v>
      </c>
      <c r="AE171" s="281">
        <f t="shared" si="12"/>
        <v>5.9531090723751277</v>
      </c>
      <c r="AF171" s="31">
        <v>780</v>
      </c>
      <c r="AG171" s="31">
        <v>17384</v>
      </c>
      <c r="AH171" s="31">
        <v>5</v>
      </c>
      <c r="AI171" s="281">
        <f t="shared" si="13"/>
        <v>4.4868844914864239</v>
      </c>
      <c r="AJ171" s="31">
        <v>6178</v>
      </c>
      <c r="AK171" s="31">
        <v>83065</v>
      </c>
      <c r="AL171" s="281">
        <v>6786</v>
      </c>
      <c r="AM171" s="281">
        <f t="shared" si="14"/>
        <v>7.4375489074820926</v>
      </c>
    </row>
    <row r="172" spans="1:39">
      <c r="A172" s="371">
        <f>References!J277</f>
        <v>445</v>
      </c>
      <c r="B172" s="292" t="s">
        <v>48</v>
      </c>
      <c r="C172" s="284">
        <v>2011</v>
      </c>
      <c r="D172" s="31">
        <v>968</v>
      </c>
      <c r="E172" s="281">
        <v>0</v>
      </c>
      <c r="F172" s="31">
        <v>71</v>
      </c>
      <c r="G172" s="281">
        <v>0</v>
      </c>
      <c r="H172" s="31">
        <v>1039</v>
      </c>
      <c r="I172" s="31">
        <v>0</v>
      </c>
      <c r="J172" s="31">
        <v>968</v>
      </c>
      <c r="K172" s="31">
        <v>15.788</v>
      </c>
      <c r="L172" s="281">
        <v>81.397000000000006</v>
      </c>
      <c r="M172" s="31">
        <v>6787</v>
      </c>
      <c r="N172" s="281">
        <v>103.65</v>
      </c>
      <c r="O172" s="281">
        <v>38.840000000000003</v>
      </c>
      <c r="P172" s="281">
        <v>64.81</v>
      </c>
      <c r="Q172" s="281">
        <v>1.63</v>
      </c>
      <c r="R172" s="281">
        <v>0.17</v>
      </c>
      <c r="S172" s="281">
        <v>1.46</v>
      </c>
      <c r="T172" s="281">
        <v>5371</v>
      </c>
      <c r="U172" s="281">
        <v>58669</v>
      </c>
      <c r="V172" s="281">
        <v>6762</v>
      </c>
      <c r="W172" s="281">
        <f t="shared" si="10"/>
        <v>9.1547495270074482</v>
      </c>
      <c r="X172" s="31">
        <v>80</v>
      </c>
      <c r="Y172" s="31">
        <v>1369</v>
      </c>
      <c r="Z172" s="31">
        <v>7</v>
      </c>
      <c r="AA172" s="281">
        <f t="shared" si="11"/>
        <v>5.8436815193571947</v>
      </c>
      <c r="AB172" s="31">
        <v>314</v>
      </c>
      <c r="AC172" s="31">
        <v>4960</v>
      </c>
      <c r="AD172" s="31">
        <v>13</v>
      </c>
      <c r="AE172" s="281">
        <f t="shared" si="12"/>
        <v>6.330645161290323</v>
      </c>
      <c r="AF172" s="31">
        <v>793</v>
      </c>
      <c r="AG172" s="31">
        <v>16399</v>
      </c>
      <c r="AH172" s="31">
        <v>5</v>
      </c>
      <c r="AI172" s="281">
        <f t="shared" si="13"/>
        <v>4.8356607110189644</v>
      </c>
      <c r="AJ172" s="31">
        <v>6558</v>
      </c>
      <c r="AK172" s="31">
        <v>81397</v>
      </c>
      <c r="AL172" s="281">
        <v>6787</v>
      </c>
      <c r="AM172" s="281">
        <f t="shared" si="14"/>
        <v>8.0568079904664796</v>
      </c>
    </row>
    <row r="173" spans="1:39" ht="18" customHeight="1">
      <c r="A173" s="371">
        <f>References!C278</f>
        <v>461</v>
      </c>
      <c r="B173" s="292" t="s">
        <v>49</v>
      </c>
      <c r="C173" s="284">
        <v>2004</v>
      </c>
      <c r="F173" s="31">
        <v>244</v>
      </c>
      <c r="H173" s="31">
        <v>4768.2</v>
      </c>
      <c r="J173" s="31">
        <v>4524.2</v>
      </c>
      <c r="K173" s="31">
        <v>57.32</v>
      </c>
      <c r="L173" s="294">
        <v>278.07799999999997</v>
      </c>
      <c r="M173" s="31">
        <v>25197</v>
      </c>
      <c r="N173" s="281">
        <v>400.2</v>
      </c>
      <c r="Q173" s="281">
        <v>4.96</v>
      </c>
      <c r="W173" s="281" t="str">
        <f t="shared" si="10"/>
        <v/>
      </c>
      <c r="AA173" s="281" t="str">
        <f t="shared" si="11"/>
        <v/>
      </c>
      <c r="AE173" s="281" t="str">
        <f t="shared" si="12"/>
        <v/>
      </c>
      <c r="AI173" s="281" t="str">
        <f t="shared" si="13"/>
        <v/>
      </c>
      <c r="AM173" s="281" t="str">
        <f t="shared" si="14"/>
        <v/>
      </c>
    </row>
    <row r="174" spans="1:39">
      <c r="A174" s="371">
        <f>References!D278</f>
        <v>462</v>
      </c>
      <c r="B174" s="292" t="s">
        <v>49</v>
      </c>
      <c r="C174" s="284">
        <v>2005</v>
      </c>
      <c r="F174" s="31">
        <v>242.8</v>
      </c>
      <c r="H174" s="31">
        <v>4376</v>
      </c>
      <c r="J174" s="31">
        <v>4133.3</v>
      </c>
      <c r="K174" s="31">
        <v>55.58</v>
      </c>
      <c r="L174" s="294">
        <v>291.45299999999997</v>
      </c>
      <c r="M174" s="31">
        <v>25535</v>
      </c>
      <c r="N174" s="281">
        <v>305.60000000000002</v>
      </c>
      <c r="Q174" s="281">
        <v>4.0199999999999996</v>
      </c>
      <c r="W174" s="281" t="str">
        <f t="shared" si="10"/>
        <v/>
      </c>
      <c r="AA174" s="281" t="str">
        <f t="shared" si="11"/>
        <v/>
      </c>
      <c r="AE174" s="281" t="str">
        <f t="shared" si="12"/>
        <v/>
      </c>
      <c r="AI174" s="281" t="str">
        <f t="shared" si="13"/>
        <v/>
      </c>
      <c r="AM174" s="281" t="str">
        <f t="shared" si="14"/>
        <v/>
      </c>
    </row>
    <row r="175" spans="1:39">
      <c r="A175" s="371">
        <f>References!E278</f>
        <v>463</v>
      </c>
      <c r="B175" s="292" t="s">
        <v>49</v>
      </c>
      <c r="C175" s="284">
        <v>2006</v>
      </c>
      <c r="F175" s="31">
        <v>247.6</v>
      </c>
      <c r="H175" s="31">
        <v>4409.2</v>
      </c>
      <c r="J175" s="31">
        <v>4161.6000000000004</v>
      </c>
      <c r="K175" s="31">
        <v>55.7</v>
      </c>
      <c r="L175" s="294">
        <v>294.803</v>
      </c>
      <c r="M175" s="31">
        <v>26181</v>
      </c>
      <c r="N175" s="281">
        <v>284.89999999999998</v>
      </c>
      <c r="Q175" s="281">
        <v>3.84</v>
      </c>
      <c r="W175" s="281" t="str">
        <f t="shared" si="10"/>
        <v/>
      </c>
      <c r="AA175" s="281" t="str">
        <f t="shared" si="11"/>
        <v/>
      </c>
      <c r="AE175" s="281" t="str">
        <f t="shared" si="12"/>
        <v/>
      </c>
      <c r="AI175" s="281" t="str">
        <f t="shared" si="13"/>
        <v/>
      </c>
      <c r="AM175" s="281" t="str">
        <f t="shared" si="14"/>
        <v/>
      </c>
    </row>
    <row r="176" spans="1:39">
      <c r="A176" s="371">
        <f>References!F278</f>
        <v>464</v>
      </c>
      <c r="B176" s="292" t="s">
        <v>49</v>
      </c>
      <c r="C176" s="284">
        <v>2007</v>
      </c>
      <c r="F176" s="31">
        <v>242</v>
      </c>
      <c r="H176" s="31">
        <v>4381.3</v>
      </c>
      <c r="J176" s="31">
        <v>4139.3</v>
      </c>
      <c r="K176" s="31">
        <v>58.44</v>
      </c>
      <c r="L176" s="294">
        <v>306.39299999999997</v>
      </c>
      <c r="M176" s="31">
        <v>23359</v>
      </c>
      <c r="N176" s="281">
        <v>368.5</v>
      </c>
      <c r="Q176" s="281">
        <v>3.63</v>
      </c>
      <c r="W176" s="281" t="str">
        <f t="shared" si="10"/>
        <v/>
      </c>
      <c r="AA176" s="281" t="str">
        <f t="shared" si="11"/>
        <v/>
      </c>
      <c r="AE176" s="281" t="str">
        <f t="shared" si="12"/>
        <v/>
      </c>
      <c r="AI176" s="281" t="str">
        <f t="shared" si="13"/>
        <v/>
      </c>
      <c r="AM176" s="281" t="str">
        <f t="shared" si="14"/>
        <v/>
      </c>
    </row>
    <row r="177" spans="1:39">
      <c r="A177" s="371">
        <f>References!G278</f>
        <v>465</v>
      </c>
      <c r="B177" s="292" t="s">
        <v>49</v>
      </c>
      <c r="C177" s="284">
        <v>2008</v>
      </c>
      <c r="D177" s="31">
        <v>4150.0200000000004</v>
      </c>
      <c r="E177" s="281">
        <v>0</v>
      </c>
      <c r="F177" s="31">
        <v>209.94</v>
      </c>
      <c r="G177" s="281">
        <v>44.11</v>
      </c>
      <c r="H177" s="31">
        <v>4359.96</v>
      </c>
      <c r="I177" s="31">
        <v>44.11</v>
      </c>
      <c r="J177" s="31">
        <v>4150.0200000000004</v>
      </c>
      <c r="K177" s="31">
        <v>65</v>
      </c>
      <c r="L177" s="281">
        <v>301.18700000000001</v>
      </c>
      <c r="M177" s="31">
        <v>23228</v>
      </c>
      <c r="N177" s="281">
        <v>267.31</v>
      </c>
      <c r="O177" s="281">
        <v>80.709999999999994</v>
      </c>
      <c r="P177" s="281">
        <v>186.4</v>
      </c>
      <c r="Q177" s="281">
        <v>3.68</v>
      </c>
      <c r="R177" s="281">
        <v>0.71</v>
      </c>
      <c r="S177" s="281">
        <v>2.97</v>
      </c>
      <c r="T177" s="281">
        <v>13445.253000000001</v>
      </c>
      <c r="U177" s="281">
        <v>140071</v>
      </c>
      <c r="V177" s="281">
        <v>22942</v>
      </c>
      <c r="W177" s="281">
        <f t="shared" si="10"/>
        <v>9.5988841373303551</v>
      </c>
      <c r="X177" s="31">
        <v>2323.2109999999998</v>
      </c>
      <c r="Y177" s="31">
        <v>45358</v>
      </c>
      <c r="Z177" s="31">
        <v>225</v>
      </c>
      <c r="AA177" s="281">
        <f t="shared" si="11"/>
        <v>5.1219432073724587</v>
      </c>
      <c r="AB177" s="31">
        <v>3869.8440000000001</v>
      </c>
      <c r="AC177" s="31">
        <v>62458</v>
      </c>
      <c r="AD177" s="31">
        <v>56</v>
      </c>
      <c r="AE177" s="281">
        <f t="shared" si="12"/>
        <v>6.1959140542444526</v>
      </c>
      <c r="AF177" s="31">
        <v>3079.692</v>
      </c>
      <c r="AG177" s="31">
        <v>53300</v>
      </c>
      <c r="AH177" s="31">
        <v>5</v>
      </c>
      <c r="AI177" s="281">
        <f t="shared" si="13"/>
        <v>5.7780337711069425</v>
      </c>
      <c r="AJ177" s="31">
        <v>22718</v>
      </c>
      <c r="AK177" s="31">
        <v>301187</v>
      </c>
      <c r="AL177" s="281">
        <v>23228</v>
      </c>
      <c r="AM177" s="281">
        <f t="shared" si="14"/>
        <v>7.5428222333633261</v>
      </c>
    </row>
    <row r="178" spans="1:39">
      <c r="A178" s="371">
        <f>References!H278</f>
        <v>466</v>
      </c>
      <c r="B178" s="292" t="s">
        <v>49</v>
      </c>
      <c r="C178" s="284">
        <v>2009</v>
      </c>
      <c r="D178" s="31">
        <v>4144</v>
      </c>
      <c r="E178" s="281">
        <v>0</v>
      </c>
      <c r="F178" s="31">
        <v>272.79000000000002</v>
      </c>
      <c r="G178" s="281">
        <v>44</v>
      </c>
      <c r="H178" s="31">
        <v>4416.79</v>
      </c>
      <c r="I178" s="31">
        <v>44</v>
      </c>
      <c r="J178" s="31">
        <v>4144</v>
      </c>
      <c r="K178" s="31">
        <v>61</v>
      </c>
      <c r="L178" s="281">
        <v>293.74966000000001</v>
      </c>
      <c r="M178" s="31">
        <v>24185</v>
      </c>
      <c r="N178" s="281">
        <v>297.13</v>
      </c>
      <c r="O178" s="281">
        <v>57.71</v>
      </c>
      <c r="P178" s="281">
        <v>227.43</v>
      </c>
      <c r="Q178" s="281">
        <v>4.7690000000000001</v>
      </c>
      <c r="R178" s="281">
        <v>0.81</v>
      </c>
      <c r="S178" s="281">
        <v>3.45</v>
      </c>
      <c r="T178" s="281">
        <v>18030.767</v>
      </c>
      <c r="U178" s="281">
        <v>188618.91</v>
      </c>
      <c r="V178" s="281">
        <v>23897</v>
      </c>
      <c r="W178" s="281">
        <f t="shared" si="10"/>
        <v>9.5593633745418209</v>
      </c>
      <c r="X178" s="31">
        <v>1356.6859999999999</v>
      </c>
      <c r="Y178" s="31">
        <v>29323.563999999998</v>
      </c>
      <c r="Z178" s="31">
        <v>226</v>
      </c>
      <c r="AA178" s="281">
        <f t="shared" si="11"/>
        <v>4.6266067794487737</v>
      </c>
      <c r="AB178" s="31">
        <v>2797.8380000000002</v>
      </c>
      <c r="AC178" s="31">
        <v>35335.754999999997</v>
      </c>
      <c r="AD178" s="31">
        <v>57</v>
      </c>
      <c r="AE178" s="281">
        <f t="shared" si="12"/>
        <v>7.917866761301692</v>
      </c>
      <c r="AF178" s="31">
        <v>1989.7090000000001</v>
      </c>
      <c r="AG178" s="31">
        <v>40471.436000000002</v>
      </c>
      <c r="AH178" s="31">
        <v>5</v>
      </c>
      <c r="AI178" s="281">
        <f t="shared" si="13"/>
        <v>4.9163291364309378</v>
      </c>
      <c r="AJ178" s="31">
        <v>24175</v>
      </c>
      <c r="AK178" s="31">
        <v>293749.65999999997</v>
      </c>
      <c r="AL178" s="281">
        <v>24185</v>
      </c>
      <c r="AM178" s="281">
        <f t="shared" si="14"/>
        <v>8.2297967595945476</v>
      </c>
    </row>
    <row r="179" spans="1:39">
      <c r="A179" s="371">
        <f>References!I278</f>
        <v>467</v>
      </c>
      <c r="B179" s="292" t="s">
        <v>49</v>
      </c>
      <c r="C179" s="284">
        <v>2010</v>
      </c>
      <c r="D179" s="31">
        <v>4206</v>
      </c>
      <c r="E179" s="281">
        <v>0</v>
      </c>
      <c r="F179" s="31">
        <v>284.89999999999998</v>
      </c>
      <c r="G179" s="281">
        <v>44.11</v>
      </c>
      <c r="H179" s="31">
        <v>4490.8999999999996</v>
      </c>
      <c r="I179" s="31">
        <v>44.11</v>
      </c>
      <c r="J179" s="31">
        <v>4206</v>
      </c>
      <c r="K179" s="31">
        <v>63.5</v>
      </c>
      <c r="L179" s="281">
        <v>311</v>
      </c>
      <c r="M179" s="31">
        <v>24435</v>
      </c>
      <c r="N179" s="281">
        <v>293.26</v>
      </c>
      <c r="O179" s="281">
        <v>89.1</v>
      </c>
      <c r="P179" s="281">
        <v>204.16</v>
      </c>
      <c r="Q179" s="281">
        <v>2.63</v>
      </c>
      <c r="R179" s="281">
        <v>0.54</v>
      </c>
      <c r="S179" s="281">
        <v>2.09</v>
      </c>
      <c r="T179" s="281">
        <v>17369</v>
      </c>
      <c r="U179" s="281">
        <v>199695</v>
      </c>
      <c r="V179" s="281">
        <v>24083</v>
      </c>
      <c r="W179" s="281">
        <f t="shared" si="10"/>
        <v>8.6977640902376123</v>
      </c>
      <c r="X179" s="31">
        <v>3152</v>
      </c>
      <c r="Y179" s="31">
        <v>31046</v>
      </c>
      <c r="Z179" s="31">
        <v>288</v>
      </c>
      <c r="AA179" s="281">
        <f t="shared" si="11"/>
        <v>10.152676673323455</v>
      </c>
      <c r="AB179" s="31">
        <v>3769</v>
      </c>
      <c r="AC179" s="31">
        <v>37411</v>
      </c>
      <c r="AD179" s="31">
        <v>59</v>
      </c>
      <c r="AE179" s="281">
        <f t="shared" si="12"/>
        <v>10.074576996070675</v>
      </c>
      <c r="AF179" s="31">
        <v>3077</v>
      </c>
      <c r="AG179" s="31">
        <v>42848</v>
      </c>
      <c r="AH179" s="31">
        <v>5</v>
      </c>
      <c r="AI179" s="281">
        <f t="shared" si="13"/>
        <v>7.181198655713219</v>
      </c>
      <c r="AJ179" s="31">
        <v>27367</v>
      </c>
      <c r="AK179" s="31">
        <v>311000</v>
      </c>
      <c r="AL179" s="281">
        <v>24435</v>
      </c>
      <c r="AM179" s="281">
        <f t="shared" si="14"/>
        <v>8.7996784565916393</v>
      </c>
    </row>
    <row r="180" spans="1:39">
      <c r="A180" s="371">
        <f>References!J278</f>
        <v>468</v>
      </c>
      <c r="B180" s="292" t="s">
        <v>49</v>
      </c>
      <c r="C180" s="284">
        <v>2011</v>
      </c>
      <c r="D180" s="31">
        <v>4707</v>
      </c>
      <c r="E180" s="281">
        <v>0</v>
      </c>
      <c r="F180" s="31">
        <v>294</v>
      </c>
      <c r="G180" s="281">
        <v>0</v>
      </c>
      <c r="H180" s="31">
        <v>5001</v>
      </c>
      <c r="I180" s="31">
        <v>0</v>
      </c>
      <c r="J180" s="31">
        <v>4707</v>
      </c>
      <c r="K180" s="31">
        <v>63</v>
      </c>
      <c r="L180" s="281">
        <v>299</v>
      </c>
      <c r="M180" s="31">
        <v>24474</v>
      </c>
      <c r="N180" s="281">
        <v>292.43</v>
      </c>
      <c r="O180" s="281">
        <v>63.59</v>
      </c>
      <c r="P180" s="281">
        <v>228.84</v>
      </c>
      <c r="Q180" s="281">
        <v>3.47</v>
      </c>
      <c r="R180" s="281">
        <v>0.48</v>
      </c>
      <c r="S180" s="281">
        <v>2.99</v>
      </c>
      <c r="T180" s="281">
        <v>21113</v>
      </c>
      <c r="U180" s="281">
        <v>194974</v>
      </c>
      <c r="V180" s="281">
        <v>24207</v>
      </c>
      <c r="W180" s="281">
        <f t="shared" si="10"/>
        <v>10.82862330361997</v>
      </c>
      <c r="X180" s="31">
        <v>3046</v>
      </c>
      <c r="Y180" s="31">
        <v>23826</v>
      </c>
      <c r="Z180" s="31">
        <v>211</v>
      </c>
      <c r="AA180" s="281">
        <f t="shared" si="11"/>
        <v>12.784353227566523</v>
      </c>
      <c r="AB180" s="31">
        <v>3429</v>
      </c>
      <c r="AC180" s="31">
        <v>39200</v>
      </c>
      <c r="AD180" s="31">
        <v>51</v>
      </c>
      <c r="AE180" s="281">
        <f t="shared" si="12"/>
        <v>8.7474489795918373</v>
      </c>
      <c r="AF180" s="31">
        <v>3065</v>
      </c>
      <c r="AG180" s="31">
        <v>41000</v>
      </c>
      <c r="AH180" s="31">
        <v>5</v>
      </c>
      <c r="AI180" s="281">
        <f t="shared" si="13"/>
        <v>7.475609756097561</v>
      </c>
      <c r="AJ180" s="31">
        <v>30653</v>
      </c>
      <c r="AK180" s="31">
        <v>299000</v>
      </c>
      <c r="AL180" s="281">
        <v>24474</v>
      </c>
      <c r="AM180" s="281">
        <f t="shared" si="14"/>
        <v>10.251839464882943</v>
      </c>
    </row>
    <row r="181" spans="1:39">
      <c r="A181" s="371">
        <f>References!C279</f>
        <v>484</v>
      </c>
      <c r="B181" s="292" t="s">
        <v>50</v>
      </c>
      <c r="C181" s="284">
        <v>2004</v>
      </c>
      <c r="F181" s="31">
        <v>209</v>
      </c>
      <c r="H181" s="31">
        <v>8472</v>
      </c>
      <c r="J181" s="31">
        <v>8263</v>
      </c>
      <c r="K181" s="31">
        <v>110.52</v>
      </c>
      <c r="L181" s="294">
        <v>601.9298</v>
      </c>
      <c r="M181" s="31">
        <v>31875</v>
      </c>
      <c r="N181" s="281">
        <v>157.30000000000001</v>
      </c>
      <c r="Q181" s="281">
        <v>4.13</v>
      </c>
      <c r="W181" s="281" t="str">
        <f t="shared" si="10"/>
        <v/>
      </c>
      <c r="AA181" s="281" t="str">
        <f t="shared" si="11"/>
        <v/>
      </c>
      <c r="AE181" s="281" t="str">
        <f t="shared" si="12"/>
        <v/>
      </c>
      <c r="AI181" s="281" t="str">
        <f t="shared" si="13"/>
        <v/>
      </c>
      <c r="AM181" s="281" t="str">
        <f t="shared" si="14"/>
        <v/>
      </c>
    </row>
    <row r="182" spans="1:39">
      <c r="A182" s="371">
        <f>References!D279</f>
        <v>485</v>
      </c>
      <c r="B182" s="292" t="s">
        <v>50</v>
      </c>
      <c r="C182" s="284">
        <v>2005</v>
      </c>
      <c r="F182" s="31">
        <v>220</v>
      </c>
      <c r="H182" s="31">
        <v>8498</v>
      </c>
      <c r="J182" s="31">
        <v>8278</v>
      </c>
      <c r="K182" s="31">
        <v>112.173</v>
      </c>
      <c r="L182" s="294">
        <v>615.16206899999997</v>
      </c>
      <c r="M182" s="31">
        <v>31967</v>
      </c>
      <c r="N182" s="281">
        <v>125.5</v>
      </c>
      <c r="Q182" s="281">
        <v>3</v>
      </c>
      <c r="W182" s="281" t="str">
        <f t="shared" si="10"/>
        <v/>
      </c>
      <c r="AA182" s="281" t="str">
        <f t="shared" si="11"/>
        <v/>
      </c>
      <c r="AE182" s="281" t="str">
        <f t="shared" si="12"/>
        <v/>
      </c>
      <c r="AI182" s="281" t="str">
        <f t="shared" si="13"/>
        <v/>
      </c>
      <c r="AM182" s="281" t="str">
        <f t="shared" si="14"/>
        <v/>
      </c>
    </row>
    <row r="183" spans="1:39">
      <c r="A183" s="371">
        <f>References!E279</f>
        <v>486</v>
      </c>
      <c r="B183" s="292" t="s">
        <v>50</v>
      </c>
      <c r="C183" s="284">
        <v>2006</v>
      </c>
      <c r="F183" s="31">
        <v>257</v>
      </c>
      <c r="H183" s="31">
        <v>8540</v>
      </c>
      <c r="J183" s="31">
        <v>8284</v>
      </c>
      <c r="K183" s="31">
        <v>114.01</v>
      </c>
      <c r="L183" s="294">
        <v>621.15863300000001</v>
      </c>
      <c r="M183" s="31">
        <v>32243</v>
      </c>
      <c r="N183" s="281">
        <v>161.19999999999999</v>
      </c>
      <c r="Q183" s="281">
        <v>3.07</v>
      </c>
      <c r="W183" s="281" t="str">
        <f t="shared" si="10"/>
        <v/>
      </c>
      <c r="AA183" s="281" t="str">
        <f t="shared" si="11"/>
        <v/>
      </c>
      <c r="AE183" s="281" t="str">
        <f t="shared" si="12"/>
        <v/>
      </c>
      <c r="AI183" s="281" t="str">
        <f t="shared" si="13"/>
        <v/>
      </c>
      <c r="AM183" s="281" t="str">
        <f t="shared" si="14"/>
        <v/>
      </c>
    </row>
    <row r="184" spans="1:39">
      <c r="A184" s="371">
        <f>References!F279</f>
        <v>487</v>
      </c>
      <c r="B184" s="292" t="s">
        <v>50</v>
      </c>
      <c r="C184" s="284">
        <v>2007</v>
      </c>
      <c r="F184" s="31">
        <v>248</v>
      </c>
      <c r="H184" s="31">
        <v>8545</v>
      </c>
      <c r="J184" s="31">
        <v>8297</v>
      </c>
      <c r="K184" s="31">
        <v>113.916</v>
      </c>
      <c r="L184" s="294">
        <v>646.26060299999995</v>
      </c>
      <c r="M184" s="31">
        <v>32568</v>
      </c>
      <c r="N184" s="281">
        <v>182.9</v>
      </c>
      <c r="Q184" s="281">
        <v>3.28</v>
      </c>
      <c r="W184" s="281" t="str">
        <f t="shared" si="10"/>
        <v/>
      </c>
      <c r="AA184" s="281" t="str">
        <f t="shared" si="11"/>
        <v/>
      </c>
      <c r="AE184" s="281" t="str">
        <f t="shared" si="12"/>
        <v/>
      </c>
      <c r="AI184" s="281" t="str">
        <f t="shared" si="13"/>
        <v/>
      </c>
      <c r="AM184" s="281" t="str">
        <f t="shared" si="14"/>
        <v/>
      </c>
    </row>
    <row r="185" spans="1:39">
      <c r="A185" s="371">
        <f>References!G279</f>
        <v>488</v>
      </c>
      <c r="B185" s="292" t="s">
        <v>50</v>
      </c>
      <c r="C185" s="284">
        <v>2008</v>
      </c>
      <c r="D185" s="31">
        <v>8253.5360999999994</v>
      </c>
      <c r="E185" s="281">
        <v>270.65818000000002</v>
      </c>
      <c r="F185" s="31">
        <v>275.82600000000002</v>
      </c>
      <c r="G185" s="281">
        <v>69.955910000000003</v>
      </c>
      <c r="H185" s="31">
        <v>8529.3621000000003</v>
      </c>
      <c r="I185" s="31">
        <v>340.61408999999998</v>
      </c>
      <c r="J185" s="31">
        <v>8253.5360999999994</v>
      </c>
      <c r="K185" s="31">
        <v>121.533</v>
      </c>
      <c r="L185" s="281">
        <v>629.46559999999999</v>
      </c>
      <c r="M185" s="31">
        <v>32998</v>
      </c>
      <c r="N185" s="281">
        <v>294.77999999999997</v>
      </c>
      <c r="O185" s="281">
        <v>40.96</v>
      </c>
      <c r="P185" s="281">
        <v>253.82</v>
      </c>
      <c r="Q185" s="281">
        <v>3.75</v>
      </c>
      <c r="R185" s="281">
        <v>0.27</v>
      </c>
      <c r="S185" s="281">
        <v>3.48</v>
      </c>
      <c r="T185" s="281">
        <v>16777.223999999998</v>
      </c>
      <c r="U185" s="281">
        <v>206407.5</v>
      </c>
      <c r="V185" s="281">
        <v>27994</v>
      </c>
      <c r="W185" s="281">
        <f t="shared" si="10"/>
        <v>8.1282046437266082</v>
      </c>
      <c r="X185" s="31">
        <v>10678.627</v>
      </c>
      <c r="Y185" s="31">
        <v>131651.79999999999</v>
      </c>
      <c r="Z185" s="31">
        <v>4765</v>
      </c>
      <c r="AA185" s="281">
        <f t="shared" si="11"/>
        <v>8.1112654745320611</v>
      </c>
      <c r="AB185" s="31">
        <v>5593.8422</v>
      </c>
      <c r="AC185" s="31">
        <v>151731.45000000001</v>
      </c>
      <c r="AD185" s="31">
        <v>234</v>
      </c>
      <c r="AE185" s="281">
        <f t="shared" si="12"/>
        <v>3.6866728684132388</v>
      </c>
      <c r="AF185" s="31">
        <v>3274.3074000000001</v>
      </c>
      <c r="AG185" s="31">
        <v>139674.85</v>
      </c>
      <c r="AH185" s="31">
        <v>5</v>
      </c>
      <c r="AI185" s="281">
        <f t="shared" si="13"/>
        <v>2.3442354869183677</v>
      </c>
      <c r="AJ185" s="31">
        <v>36324</v>
      </c>
      <c r="AK185" s="31">
        <v>629465.59999999998</v>
      </c>
      <c r="AL185" s="281">
        <v>32998</v>
      </c>
      <c r="AM185" s="281">
        <f t="shared" si="14"/>
        <v>5.7706092278910877</v>
      </c>
    </row>
    <row r="186" spans="1:39">
      <c r="A186" s="371">
        <f>References!H279</f>
        <v>489</v>
      </c>
      <c r="B186" s="292" t="s">
        <v>50</v>
      </c>
      <c r="C186" s="284">
        <v>2009</v>
      </c>
      <c r="D186" s="31">
        <v>8282.0848000000005</v>
      </c>
      <c r="E186" s="281">
        <v>270.83623</v>
      </c>
      <c r="F186" s="31">
        <v>298.12923999999998</v>
      </c>
      <c r="G186" s="281">
        <v>72.801569999999998</v>
      </c>
      <c r="H186" s="31">
        <v>8580.2139999999999</v>
      </c>
      <c r="I186" s="31">
        <v>343.63781</v>
      </c>
      <c r="J186" s="31">
        <v>8282.0848000000005</v>
      </c>
      <c r="K186" s="31">
        <v>128.04220000000001</v>
      </c>
      <c r="L186" s="281">
        <v>649.86622999999997</v>
      </c>
      <c r="M186" s="31">
        <v>33692</v>
      </c>
      <c r="N186" s="281">
        <v>217.34299999999999</v>
      </c>
      <c r="O186" s="281">
        <v>45.195999999999998</v>
      </c>
      <c r="P186" s="281">
        <v>165.03100000000001</v>
      </c>
      <c r="Q186" s="281">
        <v>4.3663999999999996</v>
      </c>
      <c r="R186" s="281">
        <v>0.24049999999999999</v>
      </c>
      <c r="S186" s="281">
        <v>3.8258000000000001</v>
      </c>
      <c r="T186" s="281">
        <v>21617.175999999999</v>
      </c>
      <c r="U186" s="281">
        <v>238919.01</v>
      </c>
      <c r="V186" s="281">
        <v>28550</v>
      </c>
      <c r="W186" s="281">
        <f t="shared" si="10"/>
        <v>9.0479095824145599</v>
      </c>
      <c r="X186" s="31">
        <v>11608.415000000001</v>
      </c>
      <c r="Y186" s="31">
        <v>136688.04</v>
      </c>
      <c r="Z186" s="31">
        <v>4890</v>
      </c>
      <c r="AA186" s="281">
        <f t="shared" si="11"/>
        <v>8.4926340300146226</v>
      </c>
      <c r="AB186" s="31">
        <v>4429.9587000000001</v>
      </c>
      <c r="AC186" s="31">
        <v>131463.72</v>
      </c>
      <c r="AD186" s="31">
        <v>247</v>
      </c>
      <c r="AE186" s="281">
        <f t="shared" si="12"/>
        <v>3.3697195697794036</v>
      </c>
      <c r="AF186" s="31">
        <v>2393.0693999999999</v>
      </c>
      <c r="AG186" s="31">
        <v>142795.47</v>
      </c>
      <c r="AH186" s="31">
        <v>5</v>
      </c>
      <c r="AI186" s="281">
        <f t="shared" si="13"/>
        <v>1.6758720707316554</v>
      </c>
      <c r="AJ186" s="31">
        <v>40048.618999999999</v>
      </c>
      <c r="AK186" s="31">
        <v>649866.23</v>
      </c>
      <c r="AL186" s="281">
        <v>33692</v>
      </c>
      <c r="AM186" s="281">
        <f t="shared" si="14"/>
        <v>6.1625942618990992</v>
      </c>
    </row>
    <row r="187" spans="1:39">
      <c r="A187" s="371">
        <f>References!I279</f>
        <v>490</v>
      </c>
      <c r="B187" s="292" t="s">
        <v>50</v>
      </c>
      <c r="C187" s="284">
        <v>2010</v>
      </c>
      <c r="D187" s="31">
        <v>8289.2595000000001</v>
      </c>
      <c r="E187" s="281">
        <v>270.99928</v>
      </c>
      <c r="F187" s="31">
        <v>313.93040999999999</v>
      </c>
      <c r="G187" s="281">
        <v>73.972989999999996</v>
      </c>
      <c r="H187" s="31">
        <v>8603.19</v>
      </c>
      <c r="I187" s="31">
        <v>344.97228000000001</v>
      </c>
      <c r="J187" s="31">
        <v>8289.2595000000001</v>
      </c>
      <c r="K187" s="31">
        <v>130.25200000000001</v>
      </c>
      <c r="L187" s="281">
        <v>668.72577999999999</v>
      </c>
      <c r="M187" s="31">
        <v>34050</v>
      </c>
      <c r="N187" s="281">
        <v>214.43600000000001</v>
      </c>
      <c r="O187" s="281">
        <v>77.373000000000005</v>
      </c>
      <c r="P187" s="281">
        <v>132.137</v>
      </c>
      <c r="Q187" s="281">
        <v>3.1640000000000001</v>
      </c>
      <c r="R187" s="281">
        <v>0.34849999999999998</v>
      </c>
      <c r="S187" s="281">
        <v>2.5327999999999999</v>
      </c>
      <c r="T187" s="281">
        <v>24891.395</v>
      </c>
      <c r="U187" s="281">
        <v>255227.54</v>
      </c>
      <c r="V187" s="281">
        <v>28913</v>
      </c>
      <c r="W187" s="281">
        <f t="shared" si="10"/>
        <v>9.7526289678613836</v>
      </c>
      <c r="X187" s="31">
        <v>11727.517</v>
      </c>
      <c r="Y187" s="31">
        <v>148294.89000000001</v>
      </c>
      <c r="Z187" s="31">
        <v>4887</v>
      </c>
      <c r="AA187" s="281">
        <f t="shared" si="11"/>
        <v>7.9082408031726503</v>
      </c>
      <c r="AB187" s="31">
        <v>4080.7588000000001</v>
      </c>
      <c r="AC187" s="31">
        <v>115004.34</v>
      </c>
      <c r="AD187" s="31">
        <v>245</v>
      </c>
      <c r="AE187" s="281">
        <f t="shared" si="12"/>
        <v>3.548352001324472</v>
      </c>
      <c r="AF187" s="31">
        <v>3024.3285000000001</v>
      </c>
      <c r="AG187" s="31">
        <v>150199.01999999999</v>
      </c>
      <c r="AH187" s="31">
        <v>5</v>
      </c>
      <c r="AI187" s="281">
        <f t="shared" si="13"/>
        <v>2.0135474252761441</v>
      </c>
      <c r="AJ187" s="31">
        <v>43724</v>
      </c>
      <c r="AK187" s="31">
        <v>668725.78</v>
      </c>
      <c r="AL187" s="281">
        <v>34050</v>
      </c>
      <c r="AM187" s="281">
        <f t="shared" si="14"/>
        <v>6.538405024552814</v>
      </c>
    </row>
    <row r="188" spans="1:39">
      <c r="A188" s="371">
        <f>References!J279</f>
        <v>491</v>
      </c>
      <c r="B188" s="292" t="s">
        <v>50</v>
      </c>
      <c r="C188" s="284">
        <v>2011</v>
      </c>
      <c r="D188" s="31">
        <v>8306.3626999999997</v>
      </c>
      <c r="E188" s="281">
        <v>271.41187000000002</v>
      </c>
      <c r="F188" s="31">
        <v>323.93194999999997</v>
      </c>
      <c r="G188" s="281">
        <v>74.466179999999994</v>
      </c>
      <c r="H188" s="31">
        <v>8630.2945999999993</v>
      </c>
      <c r="I188" s="31">
        <v>345.87804999999997</v>
      </c>
      <c r="J188" s="31">
        <v>8306.3626999999997</v>
      </c>
      <c r="K188" s="31">
        <v>134.946</v>
      </c>
      <c r="L188" s="281">
        <v>671.70122000000003</v>
      </c>
      <c r="M188" s="31">
        <v>34431</v>
      </c>
      <c r="N188" s="281">
        <v>209.06</v>
      </c>
      <c r="O188" s="281">
        <v>71.27</v>
      </c>
      <c r="P188" s="281">
        <v>137.79</v>
      </c>
      <c r="Q188" s="281">
        <v>3.21</v>
      </c>
      <c r="R188" s="281">
        <v>0.42</v>
      </c>
      <c r="S188" s="281">
        <v>2.79</v>
      </c>
      <c r="T188" s="281">
        <v>24585.013999999999</v>
      </c>
      <c r="U188" s="281">
        <v>255577.39</v>
      </c>
      <c r="V188" s="281">
        <v>29265</v>
      </c>
      <c r="W188" s="281">
        <f t="shared" si="10"/>
        <v>9.619400996308789</v>
      </c>
      <c r="X188" s="31">
        <v>11484.915999999999</v>
      </c>
      <c r="Y188" s="31">
        <v>145814.06</v>
      </c>
      <c r="Z188" s="31">
        <v>4895</v>
      </c>
      <c r="AA188" s="281">
        <f t="shared" si="11"/>
        <v>7.8764119180276575</v>
      </c>
      <c r="AB188" s="31">
        <v>5954.9094999999998</v>
      </c>
      <c r="AC188" s="31">
        <v>116237.43</v>
      </c>
      <c r="AD188" s="31">
        <v>266</v>
      </c>
      <c r="AE188" s="281">
        <f t="shared" si="12"/>
        <v>5.1230567468671664</v>
      </c>
      <c r="AF188" s="31">
        <v>2976.0636</v>
      </c>
      <c r="AG188" s="31">
        <v>154072.34</v>
      </c>
      <c r="AH188" s="31">
        <v>5</v>
      </c>
      <c r="AI188" s="281">
        <f t="shared" si="13"/>
        <v>1.931601480187813</v>
      </c>
      <c r="AJ188" s="31">
        <v>45000.902999999998</v>
      </c>
      <c r="AK188" s="31">
        <v>671701.22</v>
      </c>
      <c r="AL188" s="281">
        <v>34431</v>
      </c>
      <c r="AM188" s="281">
        <f t="shared" si="14"/>
        <v>6.6995416503784231</v>
      </c>
    </row>
    <row r="189" spans="1:39">
      <c r="A189" s="371">
        <f>References!C280</f>
        <v>507</v>
      </c>
      <c r="B189" s="292" t="s">
        <v>142</v>
      </c>
      <c r="C189" s="284">
        <v>2004</v>
      </c>
      <c r="F189" s="31">
        <v>535</v>
      </c>
      <c r="H189" s="31">
        <v>3828</v>
      </c>
      <c r="J189" s="31">
        <v>3293</v>
      </c>
      <c r="K189" s="31">
        <v>59</v>
      </c>
      <c r="L189" s="294">
        <v>313.54554999999999</v>
      </c>
      <c r="M189" s="31">
        <v>27075</v>
      </c>
      <c r="N189" s="281">
        <v>352.9</v>
      </c>
      <c r="Q189" s="281">
        <v>4.5999999999999996</v>
      </c>
      <c r="W189" s="281" t="str">
        <f t="shared" si="10"/>
        <v/>
      </c>
      <c r="AA189" s="281" t="str">
        <f t="shared" si="11"/>
        <v/>
      </c>
      <c r="AE189" s="281" t="str">
        <f t="shared" si="12"/>
        <v/>
      </c>
      <c r="AI189" s="281" t="str">
        <f t="shared" si="13"/>
        <v/>
      </c>
      <c r="AM189" s="281" t="str">
        <f t="shared" si="14"/>
        <v/>
      </c>
    </row>
    <row r="190" spans="1:39">
      <c r="A190" s="371">
        <f>References!D280</f>
        <v>508</v>
      </c>
      <c r="B190" s="292" t="s">
        <v>142</v>
      </c>
      <c r="C190" s="284">
        <v>2005</v>
      </c>
      <c r="F190" s="31">
        <v>576</v>
      </c>
      <c r="H190" s="31">
        <v>3870</v>
      </c>
      <c r="J190" s="31">
        <v>3294</v>
      </c>
      <c r="K190" s="31">
        <v>59</v>
      </c>
      <c r="L190" s="294">
        <v>322.13301000000001</v>
      </c>
      <c r="M190" s="31">
        <v>27656</v>
      </c>
      <c r="N190" s="281">
        <v>496.2</v>
      </c>
      <c r="Q190" s="281">
        <v>6.2</v>
      </c>
      <c r="W190" s="281" t="str">
        <f t="shared" si="10"/>
        <v/>
      </c>
      <c r="AA190" s="281" t="str">
        <f t="shared" si="11"/>
        <v/>
      </c>
      <c r="AE190" s="281" t="str">
        <f t="shared" si="12"/>
        <v/>
      </c>
      <c r="AI190" s="281" t="str">
        <f t="shared" si="13"/>
        <v/>
      </c>
      <c r="AM190" s="281" t="str">
        <f t="shared" si="14"/>
        <v/>
      </c>
    </row>
    <row r="191" spans="1:39">
      <c r="A191" s="371">
        <f>References!E280</f>
        <v>509</v>
      </c>
      <c r="B191" s="292" t="s">
        <v>142</v>
      </c>
      <c r="C191" s="284">
        <v>2006</v>
      </c>
      <c r="F191" s="31">
        <v>720</v>
      </c>
      <c r="H191" s="31">
        <v>3267</v>
      </c>
      <c r="J191" s="31">
        <v>3267</v>
      </c>
      <c r="K191" s="31">
        <v>59</v>
      </c>
      <c r="L191" s="294">
        <v>324.68244800000002</v>
      </c>
      <c r="M191" s="31">
        <v>28486</v>
      </c>
      <c r="N191" s="281">
        <v>556.1</v>
      </c>
      <c r="Q191" s="281">
        <v>5.6</v>
      </c>
      <c r="W191" s="281" t="str">
        <f t="shared" si="10"/>
        <v/>
      </c>
      <c r="AA191" s="281" t="str">
        <f t="shared" si="11"/>
        <v/>
      </c>
      <c r="AE191" s="281" t="str">
        <f t="shared" si="12"/>
        <v/>
      </c>
      <c r="AI191" s="281" t="str">
        <f t="shared" si="13"/>
        <v/>
      </c>
      <c r="AM191" s="281" t="str">
        <f t="shared" si="14"/>
        <v/>
      </c>
    </row>
    <row r="192" spans="1:39">
      <c r="A192" s="371">
        <f>References!F280</f>
        <v>510</v>
      </c>
      <c r="B192" s="292" t="s">
        <v>142</v>
      </c>
      <c r="C192" s="284">
        <v>2007</v>
      </c>
      <c r="F192" s="31">
        <v>741.3</v>
      </c>
      <c r="H192" s="31">
        <v>3798</v>
      </c>
      <c r="J192" s="31">
        <v>3056</v>
      </c>
      <c r="K192" s="31">
        <v>64</v>
      </c>
      <c r="L192" s="294">
        <v>336.252861</v>
      </c>
      <c r="M192" s="31">
        <v>29073</v>
      </c>
      <c r="N192" s="281">
        <v>487.8</v>
      </c>
      <c r="Q192" s="281">
        <v>5.7</v>
      </c>
      <c r="W192" s="281" t="str">
        <f t="shared" si="10"/>
        <v/>
      </c>
      <c r="AA192" s="281" t="str">
        <f t="shared" si="11"/>
        <v/>
      </c>
      <c r="AE192" s="281" t="str">
        <f t="shared" si="12"/>
        <v/>
      </c>
      <c r="AI192" s="281" t="str">
        <f t="shared" si="13"/>
        <v/>
      </c>
      <c r="AM192" s="281" t="str">
        <f t="shared" si="14"/>
        <v/>
      </c>
    </row>
    <row r="193" spans="1:39">
      <c r="A193" s="371">
        <f>References!G280</f>
        <v>511</v>
      </c>
      <c r="B193" s="292" t="s">
        <v>142</v>
      </c>
      <c r="C193" s="284">
        <v>2008</v>
      </c>
      <c r="D193" s="31">
        <v>3305</v>
      </c>
      <c r="E193" s="281">
        <v>9.8539999999999992</v>
      </c>
      <c r="F193" s="31">
        <v>790.81299999999999</v>
      </c>
      <c r="G193" s="281">
        <v>310.01299999999998</v>
      </c>
      <c r="H193" s="31">
        <v>4095.8130000000001</v>
      </c>
      <c r="I193" s="31">
        <v>319.86700000000002</v>
      </c>
      <c r="J193" s="31">
        <v>3305</v>
      </c>
      <c r="K193" s="31">
        <v>62.764000000000003</v>
      </c>
      <c r="L193" s="281">
        <v>323.327</v>
      </c>
      <c r="M193" s="31">
        <v>29973</v>
      </c>
      <c r="N193" s="281">
        <v>818.3</v>
      </c>
      <c r="O193" s="281">
        <v>36.633000000000003</v>
      </c>
      <c r="P193" s="281">
        <v>781.66899999999998</v>
      </c>
      <c r="Q193" s="281">
        <v>6.3956900000000001</v>
      </c>
      <c r="R193" s="281">
        <v>0.34234999999999999</v>
      </c>
      <c r="S193" s="281">
        <v>6.0533400000000004</v>
      </c>
      <c r="T193" s="281">
        <v>18976</v>
      </c>
      <c r="U193" s="281">
        <v>226030</v>
      </c>
      <c r="V193" s="281">
        <v>29789</v>
      </c>
      <c r="W193" s="281">
        <f t="shared" si="10"/>
        <v>8.3953457505640845</v>
      </c>
      <c r="X193" s="31">
        <v>2589</v>
      </c>
      <c r="Y193" s="31">
        <v>34979</v>
      </c>
      <c r="Z193" s="31">
        <v>166</v>
      </c>
      <c r="AA193" s="281">
        <f t="shared" si="11"/>
        <v>7.4015838074273139</v>
      </c>
      <c r="AB193" s="31">
        <v>490</v>
      </c>
      <c r="AC193" s="31">
        <v>8530</v>
      </c>
      <c r="AD193" s="31">
        <v>13</v>
      </c>
      <c r="AE193" s="281">
        <f t="shared" si="12"/>
        <v>5.7444314185228604</v>
      </c>
      <c r="AF193" s="31">
        <v>1564</v>
      </c>
      <c r="AG193" s="31">
        <v>53788</v>
      </c>
      <c r="AH193" s="31">
        <v>5</v>
      </c>
      <c r="AI193" s="281">
        <f t="shared" si="13"/>
        <v>2.9077117572692792</v>
      </c>
      <c r="AJ193" s="31">
        <v>23619</v>
      </c>
      <c r="AK193" s="31">
        <v>323327</v>
      </c>
      <c r="AL193" s="281">
        <v>29973</v>
      </c>
      <c r="AM193" s="281">
        <f t="shared" si="14"/>
        <v>7.3049884482273368</v>
      </c>
    </row>
    <row r="194" spans="1:39">
      <c r="A194" s="371">
        <f>References!H280</f>
        <v>512</v>
      </c>
      <c r="B194" s="292" t="s">
        <v>142</v>
      </c>
      <c r="C194" s="284">
        <v>2009</v>
      </c>
      <c r="D194" s="31">
        <v>3055.7460000000001</v>
      </c>
      <c r="E194" s="281">
        <v>9.7289999999999992</v>
      </c>
      <c r="F194" s="31">
        <v>781.46900000000005</v>
      </c>
      <c r="G194" s="281">
        <v>319.98599999999999</v>
      </c>
      <c r="H194" s="31">
        <v>3837.2150000000001</v>
      </c>
      <c r="I194" s="31">
        <v>329.71499999999997</v>
      </c>
      <c r="J194" s="31">
        <v>3055.7460000000001</v>
      </c>
      <c r="K194" s="31">
        <v>63.288200000000003</v>
      </c>
      <c r="L194" s="281">
        <v>324.54599999999999</v>
      </c>
      <c r="M194" s="31">
        <v>30453</v>
      </c>
      <c r="N194" s="281">
        <v>915.15621999999996</v>
      </c>
      <c r="O194" s="281">
        <v>73.895799999999994</v>
      </c>
      <c r="P194" s="281">
        <v>841.26041999999995</v>
      </c>
      <c r="Q194" s="281">
        <v>10.881805999999999</v>
      </c>
      <c r="R194" s="281">
        <v>0.59954324000000003</v>
      </c>
      <c r="S194" s="281">
        <v>10.282263</v>
      </c>
      <c r="T194" s="281">
        <v>20794.97</v>
      </c>
      <c r="U194" s="281">
        <v>225036.32</v>
      </c>
      <c r="V194" s="281">
        <v>30271</v>
      </c>
      <c r="W194" s="281">
        <f t="shared" si="10"/>
        <v>9.2407172317784081</v>
      </c>
      <c r="X194" s="31">
        <v>2722.02</v>
      </c>
      <c r="Y194" s="31">
        <v>33416.43</v>
      </c>
      <c r="Z194" s="31">
        <v>164</v>
      </c>
      <c r="AA194" s="281">
        <f t="shared" si="11"/>
        <v>8.1457534512214504</v>
      </c>
      <c r="AB194" s="31">
        <v>478.58</v>
      </c>
      <c r="AC194" s="31">
        <v>7355.5</v>
      </c>
      <c r="AD194" s="31">
        <v>13</v>
      </c>
      <c r="AE194" s="281">
        <f t="shared" si="12"/>
        <v>6.5064237645299432</v>
      </c>
      <c r="AF194" s="31">
        <v>1513.43</v>
      </c>
      <c r="AG194" s="31">
        <v>58737.75</v>
      </c>
      <c r="AH194" s="31">
        <v>5</v>
      </c>
      <c r="AI194" s="281">
        <f t="shared" si="13"/>
        <v>2.5765883099029159</v>
      </c>
      <c r="AJ194" s="31">
        <v>25509</v>
      </c>
      <c r="AK194" s="31">
        <v>324546</v>
      </c>
      <c r="AL194" s="281">
        <v>30453</v>
      </c>
      <c r="AM194" s="281">
        <f t="shared" si="14"/>
        <v>7.8599027564659556</v>
      </c>
    </row>
    <row r="195" spans="1:39">
      <c r="A195" s="371">
        <f>References!I280</f>
        <v>513</v>
      </c>
      <c r="B195" s="292" t="s">
        <v>142</v>
      </c>
      <c r="C195" s="284">
        <v>2010</v>
      </c>
      <c r="D195" s="31">
        <v>3059</v>
      </c>
      <c r="E195" s="281">
        <v>10</v>
      </c>
      <c r="F195" s="31">
        <v>787.14</v>
      </c>
      <c r="G195" s="281">
        <v>319</v>
      </c>
      <c r="H195" s="31">
        <v>3846.14</v>
      </c>
      <c r="I195" s="31">
        <v>329</v>
      </c>
      <c r="J195" s="31">
        <v>3059</v>
      </c>
      <c r="K195" s="31">
        <v>62.677999999999997</v>
      </c>
      <c r="L195" s="281">
        <v>327.81799999999998</v>
      </c>
      <c r="M195" s="31">
        <v>30824</v>
      </c>
      <c r="N195" s="281">
        <v>463.03188999999998</v>
      </c>
      <c r="O195" s="281">
        <v>23.088612999999999</v>
      </c>
      <c r="P195" s="281">
        <v>439.94326999999998</v>
      </c>
      <c r="Q195" s="281">
        <v>4.1926303000000003</v>
      </c>
      <c r="R195" s="281">
        <v>0.15457424</v>
      </c>
      <c r="S195" s="281">
        <v>4.0380561000000004</v>
      </c>
      <c r="T195" s="281">
        <v>21814</v>
      </c>
      <c r="U195" s="281">
        <v>231579</v>
      </c>
      <c r="V195" s="281">
        <v>30631</v>
      </c>
      <c r="W195" s="281">
        <f t="shared" si="10"/>
        <v>9.4196796773455276</v>
      </c>
      <c r="X195" s="31">
        <v>2976</v>
      </c>
      <c r="Y195" s="31">
        <v>34187</v>
      </c>
      <c r="Z195" s="31">
        <v>174</v>
      </c>
      <c r="AA195" s="281">
        <f t="shared" si="11"/>
        <v>8.7050633281656769</v>
      </c>
      <c r="AB195" s="31">
        <v>515</v>
      </c>
      <c r="AC195" s="31">
        <v>7748</v>
      </c>
      <c r="AD195" s="31">
        <v>14</v>
      </c>
      <c r="AE195" s="281">
        <f t="shared" si="12"/>
        <v>6.6468766133195665</v>
      </c>
      <c r="AF195" s="31">
        <v>1614</v>
      </c>
      <c r="AG195" s="31">
        <v>54304</v>
      </c>
      <c r="AH195" s="31">
        <v>5</v>
      </c>
      <c r="AI195" s="281">
        <f t="shared" si="13"/>
        <v>2.9721567472009429</v>
      </c>
      <c r="AJ195" s="31">
        <v>26919</v>
      </c>
      <c r="AK195" s="31">
        <v>327818</v>
      </c>
      <c r="AL195" s="281">
        <v>30824</v>
      </c>
      <c r="AM195" s="281">
        <f t="shared" si="14"/>
        <v>8.2115686142920765</v>
      </c>
    </row>
    <row r="196" spans="1:39">
      <c r="A196" s="371">
        <f>References!J280</f>
        <v>514</v>
      </c>
      <c r="B196" s="292" t="s">
        <v>142</v>
      </c>
      <c r="C196" s="284">
        <v>2011</v>
      </c>
      <c r="D196" s="31">
        <v>3051</v>
      </c>
      <c r="E196" s="281">
        <v>10</v>
      </c>
      <c r="F196" s="31">
        <v>798</v>
      </c>
      <c r="G196" s="281">
        <v>326</v>
      </c>
      <c r="H196" s="31">
        <v>3849</v>
      </c>
      <c r="I196" s="31">
        <v>336</v>
      </c>
      <c r="J196" s="31">
        <v>3051</v>
      </c>
      <c r="K196" s="31">
        <v>70</v>
      </c>
      <c r="L196" s="281">
        <v>327.38986</v>
      </c>
      <c r="M196" s="31">
        <v>31002</v>
      </c>
      <c r="N196" s="281">
        <v>440.017</v>
      </c>
      <c r="O196" s="281">
        <v>20.972000000000001</v>
      </c>
      <c r="P196" s="281">
        <v>419.04500000000002</v>
      </c>
      <c r="Q196" s="281">
        <v>4.9260000000000002</v>
      </c>
      <c r="R196" s="281">
        <v>9.5000000000000001E-2</v>
      </c>
      <c r="S196" s="281">
        <v>4.8310000000000004</v>
      </c>
      <c r="T196" s="281">
        <v>25763.687999999998</v>
      </c>
      <c r="U196" s="281">
        <v>225127.36</v>
      </c>
      <c r="V196" s="281">
        <v>30809</v>
      </c>
      <c r="W196" s="281">
        <f t="shared" si="10"/>
        <v>11.444050158985563</v>
      </c>
      <c r="X196" s="31">
        <v>2843.6651000000002</v>
      </c>
      <c r="Y196" s="31">
        <v>31066.817999999999</v>
      </c>
      <c r="Z196" s="31">
        <v>174</v>
      </c>
      <c r="AA196" s="281">
        <f t="shared" si="11"/>
        <v>9.1533838451044467</v>
      </c>
      <c r="AB196" s="31">
        <v>516.30462</v>
      </c>
      <c r="AC196" s="31">
        <v>7006.22</v>
      </c>
      <c r="AD196" s="31">
        <v>14</v>
      </c>
      <c r="AE196" s="281">
        <f t="shared" si="12"/>
        <v>7.3692321965339369</v>
      </c>
      <c r="AF196" s="31">
        <v>2366.3425000000002</v>
      </c>
      <c r="AG196" s="31">
        <v>64189.457999999999</v>
      </c>
      <c r="AH196" s="31">
        <v>5</v>
      </c>
      <c r="AI196" s="281">
        <f t="shared" si="13"/>
        <v>3.6864970880420898</v>
      </c>
      <c r="AJ196" s="31">
        <v>31490</v>
      </c>
      <c r="AK196" s="31">
        <v>327389.86</v>
      </c>
      <c r="AL196" s="281">
        <v>31002</v>
      </c>
      <c r="AM196" s="281">
        <f t="shared" si="14"/>
        <v>9.6185019291678735</v>
      </c>
    </row>
    <row r="197" spans="1:39">
      <c r="A197" s="371">
        <f>References!C281</f>
        <v>530</v>
      </c>
      <c r="B197" s="292" t="s">
        <v>52</v>
      </c>
      <c r="C197" s="284">
        <v>2004</v>
      </c>
      <c r="F197" s="31">
        <v>3263</v>
      </c>
      <c r="H197" s="31">
        <v>9173</v>
      </c>
      <c r="J197" s="31">
        <v>5910</v>
      </c>
      <c r="K197" s="31">
        <v>276.88400000000001</v>
      </c>
      <c r="L197" s="294">
        <v>1523.885</v>
      </c>
      <c r="M197" s="31">
        <v>102299</v>
      </c>
      <c r="N197" s="281">
        <v>202</v>
      </c>
      <c r="Q197" s="281">
        <v>2.38</v>
      </c>
      <c r="W197" s="281" t="str">
        <f t="shared" si="10"/>
        <v/>
      </c>
      <c r="AA197" s="281" t="str">
        <f t="shared" si="11"/>
        <v/>
      </c>
      <c r="AE197" s="281" t="str">
        <f t="shared" si="12"/>
        <v/>
      </c>
      <c r="AI197" s="281" t="str">
        <f t="shared" si="13"/>
        <v/>
      </c>
      <c r="AM197" s="281" t="str">
        <f t="shared" si="14"/>
        <v/>
      </c>
    </row>
    <row r="198" spans="1:39">
      <c r="A198" s="371">
        <f>References!D281</f>
        <v>531</v>
      </c>
      <c r="B198" s="292" t="s">
        <v>52</v>
      </c>
      <c r="C198" s="284">
        <v>2005</v>
      </c>
      <c r="F198" s="31">
        <v>3366</v>
      </c>
      <c r="H198" s="31">
        <v>9264</v>
      </c>
      <c r="J198" s="31">
        <v>5899</v>
      </c>
      <c r="K198" s="31">
        <v>302.01400000000001</v>
      </c>
      <c r="L198" s="294">
        <v>1581.079</v>
      </c>
      <c r="M198" s="31">
        <v>103347</v>
      </c>
      <c r="N198" s="281">
        <v>156</v>
      </c>
      <c r="Q198" s="281">
        <v>3.21</v>
      </c>
      <c r="W198" s="281" t="str">
        <f t="shared" si="10"/>
        <v/>
      </c>
      <c r="AA198" s="281" t="str">
        <f t="shared" si="11"/>
        <v/>
      </c>
      <c r="AE198" s="281" t="str">
        <f t="shared" si="12"/>
        <v/>
      </c>
      <c r="AI198" s="281" t="str">
        <f t="shared" si="13"/>
        <v/>
      </c>
      <c r="AM198" s="281" t="str">
        <f t="shared" si="14"/>
        <v/>
      </c>
    </row>
    <row r="199" spans="1:39">
      <c r="A199" s="371">
        <f>References!E281</f>
        <v>532</v>
      </c>
      <c r="B199" s="292" t="s">
        <v>52</v>
      </c>
      <c r="C199" s="284">
        <v>2006</v>
      </c>
      <c r="F199" s="31">
        <v>3461</v>
      </c>
      <c r="H199" s="31">
        <v>9317</v>
      </c>
      <c r="J199" s="31">
        <v>5856</v>
      </c>
      <c r="K199" s="31">
        <v>307.72399999999999</v>
      </c>
      <c r="L199" s="294">
        <v>1606.5251740000001</v>
      </c>
      <c r="M199" s="31">
        <v>104578</v>
      </c>
      <c r="N199" s="281">
        <v>134</v>
      </c>
      <c r="Q199" s="281">
        <v>2.83</v>
      </c>
      <c r="W199" s="281" t="str">
        <f t="shared" si="10"/>
        <v/>
      </c>
      <c r="AA199" s="281" t="str">
        <f t="shared" si="11"/>
        <v/>
      </c>
      <c r="AE199" s="281" t="str">
        <f t="shared" si="12"/>
        <v/>
      </c>
      <c r="AI199" s="281" t="str">
        <f t="shared" si="13"/>
        <v/>
      </c>
      <c r="AM199" s="281" t="str">
        <f t="shared" si="14"/>
        <v/>
      </c>
    </row>
    <row r="200" spans="1:39">
      <c r="A200" s="371">
        <f>References!F281</f>
        <v>533</v>
      </c>
      <c r="B200" s="292" t="s">
        <v>52</v>
      </c>
      <c r="C200" s="284">
        <v>2007</v>
      </c>
      <c r="F200" s="31">
        <v>3535</v>
      </c>
      <c r="H200" s="31">
        <v>9376</v>
      </c>
      <c r="J200" s="31">
        <v>5841</v>
      </c>
      <c r="K200" s="31">
        <v>318.88200000000001</v>
      </c>
      <c r="L200" s="294">
        <v>1592.5117829999999</v>
      </c>
      <c r="M200" s="31">
        <v>105819</v>
      </c>
      <c r="N200" s="281">
        <v>140</v>
      </c>
      <c r="Q200" s="281">
        <v>2.15</v>
      </c>
      <c r="W200" s="281" t="str">
        <f t="shared" si="10"/>
        <v/>
      </c>
      <c r="AA200" s="281" t="str">
        <f t="shared" si="11"/>
        <v/>
      </c>
      <c r="AE200" s="281" t="str">
        <f t="shared" si="12"/>
        <v/>
      </c>
      <c r="AI200" s="281" t="str">
        <f t="shared" si="13"/>
        <v/>
      </c>
      <c r="AM200" s="281" t="str">
        <f t="shared" si="14"/>
        <v/>
      </c>
    </row>
    <row r="201" spans="1:39">
      <c r="A201" s="371">
        <f>References!G281</f>
        <v>534</v>
      </c>
      <c r="B201" s="292" t="s">
        <v>52</v>
      </c>
      <c r="C201" s="284">
        <v>2008</v>
      </c>
      <c r="D201" s="31">
        <v>5558.2830000000004</v>
      </c>
      <c r="E201" s="281">
        <v>383.39600000000002</v>
      </c>
      <c r="F201" s="31">
        <v>3380.643</v>
      </c>
      <c r="G201" s="281">
        <v>1214.383</v>
      </c>
      <c r="H201" s="31">
        <v>7854</v>
      </c>
      <c r="I201" s="31">
        <v>1597.779</v>
      </c>
      <c r="J201" s="31">
        <v>5558.2830000000004</v>
      </c>
      <c r="K201" s="31">
        <v>332.55811999999997</v>
      </c>
      <c r="L201" s="281">
        <v>1569.0325</v>
      </c>
      <c r="M201" s="31">
        <v>108140</v>
      </c>
      <c r="N201" s="281">
        <v>117.8</v>
      </c>
      <c r="O201" s="281">
        <v>39.158155000000001</v>
      </c>
      <c r="P201" s="281">
        <v>78.640552</v>
      </c>
      <c r="Q201" s="281">
        <v>2.02</v>
      </c>
      <c r="R201" s="281">
        <v>0.286885</v>
      </c>
      <c r="S201" s="281">
        <v>1.7377</v>
      </c>
      <c r="T201" s="281">
        <v>53748.097999999998</v>
      </c>
      <c r="U201" s="281">
        <v>750545.47</v>
      </c>
      <c r="V201" s="281">
        <v>101650</v>
      </c>
      <c r="W201" s="281">
        <f t="shared" si="10"/>
        <v>7.1612047701786805</v>
      </c>
      <c r="X201" s="31">
        <v>19863.48</v>
      </c>
      <c r="Y201" s="31">
        <v>367794.33</v>
      </c>
      <c r="Z201" s="31">
        <v>6136</v>
      </c>
      <c r="AA201" s="281">
        <f t="shared" si="11"/>
        <v>5.4007031592901393</v>
      </c>
      <c r="AB201" s="31">
        <v>10173.42</v>
      </c>
      <c r="AC201" s="31">
        <v>357692.48</v>
      </c>
      <c r="AD201" s="31">
        <v>349</v>
      </c>
      <c r="AE201" s="281">
        <f t="shared" si="12"/>
        <v>2.844180565383986</v>
      </c>
      <c r="AF201" s="31">
        <v>2733.73</v>
      </c>
      <c r="AG201" s="31">
        <v>93000.197</v>
      </c>
      <c r="AH201" s="31">
        <v>5</v>
      </c>
      <c r="AI201" s="281">
        <f t="shared" si="13"/>
        <v>2.9394883969976968</v>
      </c>
      <c r="AJ201" s="31">
        <v>86518.728000000003</v>
      </c>
      <c r="AK201" s="31">
        <v>1569032.5</v>
      </c>
      <c r="AL201" s="281">
        <v>108140</v>
      </c>
      <c r="AM201" s="281">
        <f t="shared" si="14"/>
        <v>5.5141450543567458</v>
      </c>
    </row>
    <row r="202" spans="1:39">
      <c r="A202" s="371">
        <f>References!H281</f>
        <v>535</v>
      </c>
      <c r="B202" s="292" t="s">
        <v>52</v>
      </c>
      <c r="C202" s="284">
        <v>2009</v>
      </c>
      <c r="D202" s="31">
        <v>5846.393</v>
      </c>
      <c r="E202" s="281">
        <v>382.40199999999999</v>
      </c>
      <c r="F202" s="31">
        <v>3663.942</v>
      </c>
      <c r="G202" s="281">
        <v>1232.902</v>
      </c>
      <c r="H202" s="31">
        <v>7895</v>
      </c>
      <c r="I202" s="31">
        <v>1615.3040000000001</v>
      </c>
      <c r="J202" s="31">
        <v>5846.393</v>
      </c>
      <c r="K202" s="31">
        <v>341.93299999999999</v>
      </c>
      <c r="L202" s="281">
        <v>1562.5137</v>
      </c>
      <c r="M202" s="31">
        <v>107484</v>
      </c>
      <c r="N202" s="281">
        <v>129.24463</v>
      </c>
      <c r="O202" s="281">
        <v>50.878197</v>
      </c>
      <c r="P202" s="281">
        <v>78.366433000000001</v>
      </c>
      <c r="Q202" s="281">
        <v>2.0699540000000001</v>
      </c>
      <c r="R202" s="281">
        <v>0.24682200000000001</v>
      </c>
      <c r="S202" s="281">
        <v>1.823132</v>
      </c>
      <c r="T202" s="281">
        <v>56993.661999999997</v>
      </c>
      <c r="U202" s="281">
        <v>746504.33</v>
      </c>
      <c r="V202" s="281">
        <v>100901</v>
      </c>
      <c r="W202" s="281">
        <f t="shared" si="10"/>
        <v>7.634739640425126</v>
      </c>
      <c r="X202" s="31">
        <v>18919.825000000001</v>
      </c>
      <c r="Y202" s="31">
        <v>321798.46000000002</v>
      </c>
      <c r="Z202" s="31">
        <v>6205</v>
      </c>
      <c r="AA202" s="281">
        <f t="shared" si="11"/>
        <v>5.8794019710349135</v>
      </c>
      <c r="AB202" s="31">
        <v>12154.865</v>
      </c>
      <c r="AC202" s="31">
        <v>401616.11</v>
      </c>
      <c r="AD202" s="31">
        <v>373</v>
      </c>
      <c r="AE202" s="281">
        <f t="shared" si="12"/>
        <v>3.0264884045612614</v>
      </c>
      <c r="AF202" s="31">
        <v>1931.4911</v>
      </c>
      <c r="AG202" s="31">
        <v>92594.846999999994</v>
      </c>
      <c r="AH202" s="31">
        <v>5</v>
      </c>
      <c r="AI202" s="281">
        <f t="shared" si="13"/>
        <v>2.0859595998900455</v>
      </c>
      <c r="AJ202" s="31">
        <v>89999.842999999993</v>
      </c>
      <c r="AK202" s="31">
        <v>1562513.7</v>
      </c>
      <c r="AL202" s="281">
        <v>107484</v>
      </c>
      <c r="AM202" s="281">
        <f t="shared" si="14"/>
        <v>5.7599394488509121</v>
      </c>
    </row>
    <row r="203" spans="1:39">
      <c r="A203" s="371">
        <f>References!I281</f>
        <v>536</v>
      </c>
      <c r="B203" s="292" t="s">
        <v>52</v>
      </c>
      <c r="C203" s="284">
        <v>2010</v>
      </c>
      <c r="D203" s="31">
        <v>5870.63</v>
      </c>
      <c r="E203" s="281">
        <v>379.43</v>
      </c>
      <c r="F203" s="31">
        <v>3700.46</v>
      </c>
      <c r="G203" s="281">
        <v>1242.48</v>
      </c>
      <c r="H203" s="31">
        <v>7949</v>
      </c>
      <c r="I203" s="31">
        <v>1621.91</v>
      </c>
      <c r="J203" s="31">
        <v>5870.63</v>
      </c>
      <c r="K203" s="31">
        <v>318.7</v>
      </c>
      <c r="L203" s="281">
        <v>1598.8055999999999</v>
      </c>
      <c r="M203" s="31">
        <v>108212</v>
      </c>
      <c r="N203" s="281">
        <v>110.88</v>
      </c>
      <c r="O203" s="281">
        <v>38.04</v>
      </c>
      <c r="P203" s="281">
        <v>72.84</v>
      </c>
      <c r="Q203" s="281">
        <v>1.59</v>
      </c>
      <c r="R203" s="281">
        <v>0.2</v>
      </c>
      <c r="S203" s="281">
        <v>1.39</v>
      </c>
      <c r="T203" s="281">
        <v>67835.990000000005</v>
      </c>
      <c r="U203" s="281">
        <v>783137.64</v>
      </c>
      <c r="V203" s="281">
        <v>101241</v>
      </c>
      <c r="W203" s="281">
        <f t="shared" si="10"/>
        <v>8.662077588302358</v>
      </c>
      <c r="X203" s="31">
        <v>22629.153999999999</v>
      </c>
      <c r="Y203" s="31">
        <v>371382.55</v>
      </c>
      <c r="Z203" s="31">
        <v>6624</v>
      </c>
      <c r="AA203" s="281">
        <f t="shared" si="11"/>
        <v>6.0932195117945094</v>
      </c>
      <c r="AB203" s="31">
        <v>11377.772000000001</v>
      </c>
      <c r="AC203" s="31">
        <v>360925.44</v>
      </c>
      <c r="AD203" s="31">
        <v>342</v>
      </c>
      <c r="AE203" s="281">
        <f t="shared" si="12"/>
        <v>3.1523884822305686</v>
      </c>
      <c r="AF203" s="31">
        <v>1891.4390000000001</v>
      </c>
      <c r="AG203" s="31">
        <v>83360.010999999999</v>
      </c>
      <c r="AH203" s="31">
        <v>5</v>
      </c>
      <c r="AI203" s="281">
        <f t="shared" si="13"/>
        <v>2.2690004203574299</v>
      </c>
      <c r="AJ203" s="31">
        <v>103734.36</v>
      </c>
      <c r="AK203" s="31">
        <v>1598805.6</v>
      </c>
      <c r="AL203" s="281">
        <v>108212</v>
      </c>
      <c r="AM203" s="281">
        <f t="shared" si="14"/>
        <v>6.4882409718855119</v>
      </c>
    </row>
    <row r="204" spans="1:39">
      <c r="A204" s="371">
        <f>References!J281</f>
        <v>537</v>
      </c>
      <c r="B204" s="292" t="s">
        <v>163</v>
      </c>
      <c r="C204" s="284">
        <v>2011</v>
      </c>
      <c r="D204" s="31">
        <v>5492.5910000000003</v>
      </c>
      <c r="E204" s="281">
        <v>376.637</v>
      </c>
      <c r="F204" s="31">
        <v>2489.2750000000001</v>
      </c>
      <c r="G204" s="281">
        <v>1251.2560000000001</v>
      </c>
      <c r="H204" s="31">
        <v>7981.866</v>
      </c>
      <c r="I204" s="31">
        <v>1627.893</v>
      </c>
      <c r="J204" s="31">
        <v>5492.5910000000003</v>
      </c>
      <c r="K204" s="31">
        <v>301.16000000000003</v>
      </c>
      <c r="L204" s="281">
        <v>1588.9458999999999</v>
      </c>
      <c r="M204" s="31">
        <v>108978</v>
      </c>
      <c r="N204" s="281">
        <v>127.98</v>
      </c>
      <c r="O204" s="281">
        <v>25.7</v>
      </c>
      <c r="P204" s="281">
        <v>102.28</v>
      </c>
      <c r="Q204" s="281">
        <v>1.83</v>
      </c>
      <c r="R204" s="281">
        <v>0.18</v>
      </c>
      <c r="S204" s="281">
        <v>1.64</v>
      </c>
      <c r="T204" s="281">
        <v>68243</v>
      </c>
      <c r="U204" s="281">
        <v>755439.15</v>
      </c>
      <c r="V204" s="281">
        <v>101909</v>
      </c>
      <c r="W204" s="281">
        <f t="shared" si="10"/>
        <v>9.0335535297581551</v>
      </c>
      <c r="X204" s="31">
        <v>18480</v>
      </c>
      <c r="Y204" s="31">
        <v>427598.14</v>
      </c>
      <c r="Z204" s="31">
        <v>6508</v>
      </c>
      <c r="AA204" s="281">
        <f t="shared" si="11"/>
        <v>4.3218148703827381</v>
      </c>
      <c r="AB204" s="31">
        <v>17024</v>
      </c>
      <c r="AC204" s="31">
        <v>319045.88</v>
      </c>
      <c r="AD204" s="31">
        <v>556</v>
      </c>
      <c r="AE204" s="281">
        <f t="shared" si="12"/>
        <v>5.3359096817047131</v>
      </c>
      <c r="AF204" s="31">
        <v>1914</v>
      </c>
      <c r="AG204" s="31">
        <v>86862.739000000001</v>
      </c>
      <c r="AH204" s="31">
        <v>5</v>
      </c>
      <c r="AI204" s="281">
        <f t="shared" si="13"/>
        <v>2.2034764526594079</v>
      </c>
      <c r="AJ204" s="31">
        <v>105661</v>
      </c>
      <c r="AK204" s="31">
        <v>1588945.9</v>
      </c>
      <c r="AL204" s="281">
        <v>108978</v>
      </c>
      <c r="AM204" s="281">
        <f t="shared" si="14"/>
        <v>6.6497544063646226</v>
      </c>
    </row>
    <row r="205" spans="1:39">
      <c r="A205" s="371">
        <f>References!C282</f>
        <v>553</v>
      </c>
      <c r="B205" s="292" t="s">
        <v>53</v>
      </c>
      <c r="C205" s="284">
        <v>2004</v>
      </c>
      <c r="F205" s="31">
        <v>14993</v>
      </c>
      <c r="H205" s="31">
        <v>28016.97</v>
      </c>
      <c r="J205" s="31">
        <v>13023.97</v>
      </c>
      <c r="K205" s="31">
        <v>1957.7739999999999</v>
      </c>
      <c r="L205" s="294">
        <v>9773.7738609999997</v>
      </c>
      <c r="M205" s="31">
        <v>644000</v>
      </c>
      <c r="N205" s="281">
        <v>107.94</v>
      </c>
      <c r="Q205" s="281">
        <v>1.54</v>
      </c>
      <c r="W205" s="281" t="str">
        <f t="shared" si="10"/>
        <v/>
      </c>
      <c r="AA205" s="281" t="str">
        <f t="shared" si="11"/>
        <v/>
      </c>
      <c r="AE205" s="281" t="str">
        <f t="shared" si="12"/>
        <v/>
      </c>
      <c r="AI205" s="281" t="str">
        <f t="shared" si="13"/>
        <v/>
      </c>
      <c r="AM205" s="281" t="str">
        <f t="shared" si="14"/>
        <v/>
      </c>
    </row>
    <row r="206" spans="1:39">
      <c r="A206" s="371">
        <f>References!D282</f>
        <v>554</v>
      </c>
      <c r="B206" s="292" t="s">
        <v>53</v>
      </c>
      <c r="C206" s="284">
        <v>2005</v>
      </c>
      <c r="F206" s="31">
        <v>15065.32</v>
      </c>
      <c r="H206" s="31">
        <v>27731.68</v>
      </c>
      <c r="J206" s="31">
        <v>12666.36</v>
      </c>
      <c r="K206" s="31">
        <v>2085.09</v>
      </c>
      <c r="L206" s="294">
        <v>10243.037361000001</v>
      </c>
      <c r="M206" s="31">
        <v>651000</v>
      </c>
      <c r="N206" s="281">
        <v>83.09</v>
      </c>
      <c r="Q206" s="281">
        <v>1.25</v>
      </c>
      <c r="W206" s="281" t="str">
        <f t="shared" ref="W206:W244" si="19">IF(U206="","",T206*100/U206)</f>
        <v/>
      </c>
      <c r="AA206" s="281" t="str">
        <f t="shared" ref="AA206:AA244" si="20">IF(Y206="","",X206*100/Y206)</f>
        <v/>
      </c>
      <c r="AE206" s="281" t="str">
        <f t="shared" ref="AE206:AE244" si="21">IF(AC206="","",AB206*100/AC206)</f>
        <v/>
      </c>
      <c r="AI206" s="281" t="str">
        <f t="shared" ref="AI206:AI244" si="22">IF(AG206="","",AF206*100/AG206)</f>
        <v/>
      </c>
      <c r="AM206" s="281" t="str">
        <f t="shared" ref="AM206:AM244" si="23">IF(AK206="","",AJ206*100/AK206)</f>
        <v/>
      </c>
    </row>
    <row r="207" spans="1:39">
      <c r="A207" s="371">
        <f>References!E282</f>
        <v>555</v>
      </c>
      <c r="B207" s="292" t="s">
        <v>53</v>
      </c>
      <c r="C207" s="284">
        <v>2006</v>
      </c>
      <c r="F207" s="31">
        <v>14902.21</v>
      </c>
      <c r="H207" s="31">
        <v>27925.86</v>
      </c>
      <c r="J207" s="31">
        <v>13023.65</v>
      </c>
      <c r="K207" s="31">
        <v>2088.8620000000001</v>
      </c>
      <c r="L207" s="294">
        <v>10289.040526000001</v>
      </c>
      <c r="M207" s="31">
        <v>660347</v>
      </c>
      <c r="N207" s="281">
        <v>119.81</v>
      </c>
      <c r="Q207" s="281">
        <v>1.67</v>
      </c>
      <c r="W207" s="281" t="str">
        <f t="shared" si="19"/>
        <v/>
      </c>
      <c r="AA207" s="281" t="str">
        <f t="shared" si="20"/>
        <v/>
      </c>
      <c r="AE207" s="281" t="str">
        <f t="shared" si="21"/>
        <v/>
      </c>
      <c r="AI207" s="281" t="str">
        <f t="shared" si="22"/>
        <v/>
      </c>
      <c r="AM207" s="281" t="str">
        <f t="shared" si="23"/>
        <v/>
      </c>
    </row>
    <row r="208" spans="1:39">
      <c r="A208" s="371">
        <f>References!F282</f>
        <v>556</v>
      </c>
      <c r="B208" s="292" t="s">
        <v>53</v>
      </c>
      <c r="C208" s="284">
        <v>2007</v>
      </c>
      <c r="F208" s="31">
        <v>11376.48</v>
      </c>
      <c r="H208" s="31">
        <v>21743.95</v>
      </c>
      <c r="J208" s="31">
        <v>10367.469999999999</v>
      </c>
      <c r="K208" s="31">
        <v>2241.8000000000002</v>
      </c>
      <c r="L208" s="294">
        <v>10695.854601999999</v>
      </c>
      <c r="M208" s="31">
        <v>671678</v>
      </c>
      <c r="N208" s="281">
        <v>244.38</v>
      </c>
      <c r="Q208" s="281">
        <v>2.0499999999999998</v>
      </c>
      <c r="W208" s="281" t="str">
        <f t="shared" si="19"/>
        <v/>
      </c>
      <c r="AA208" s="281" t="str">
        <f t="shared" si="20"/>
        <v/>
      </c>
      <c r="AE208" s="281" t="str">
        <f t="shared" si="21"/>
        <v/>
      </c>
      <c r="AI208" s="281" t="str">
        <f t="shared" si="22"/>
        <v/>
      </c>
      <c r="AM208" s="281" t="str">
        <f t="shared" si="23"/>
        <v/>
      </c>
    </row>
    <row r="209" spans="1:39">
      <c r="A209" s="371">
        <f>References!G282</f>
        <v>557</v>
      </c>
      <c r="B209" s="292" t="s">
        <v>53</v>
      </c>
      <c r="C209" s="284">
        <v>2008</v>
      </c>
      <c r="D209" s="31">
        <v>10341.14</v>
      </c>
      <c r="E209" s="281">
        <v>80.040000000000006</v>
      </c>
      <c r="F209" s="31">
        <v>11669.14</v>
      </c>
      <c r="G209" s="281">
        <v>545.33000000000004</v>
      </c>
      <c r="H209" s="31">
        <v>22010.28</v>
      </c>
      <c r="I209" s="31">
        <v>625.37</v>
      </c>
      <c r="J209" s="31">
        <v>10341.14</v>
      </c>
      <c r="K209" s="31">
        <v>2221.7600000000002</v>
      </c>
      <c r="L209" s="281">
        <v>10650.117</v>
      </c>
      <c r="M209" s="31">
        <v>679612</v>
      </c>
      <c r="N209" s="281">
        <v>220.20214999999999</v>
      </c>
      <c r="O209" s="281">
        <v>3.8610633000000001</v>
      </c>
      <c r="P209" s="281">
        <v>195.56864999999999</v>
      </c>
      <c r="Q209" s="281">
        <v>1.6629092999999999</v>
      </c>
      <c r="R209" s="281">
        <v>2.5069339999999999E-2</v>
      </c>
      <c r="S209" s="281">
        <v>1.4673054000000001</v>
      </c>
      <c r="T209" s="281">
        <v>349761.64</v>
      </c>
      <c r="U209" s="281">
        <v>4779607.0999999996</v>
      </c>
      <c r="V209" s="281">
        <v>631963</v>
      </c>
      <c r="W209" s="281">
        <f t="shared" si="19"/>
        <v>7.3177906192331168</v>
      </c>
      <c r="X209" s="31">
        <v>86120.172000000006</v>
      </c>
      <c r="Y209" s="31">
        <v>1358680.5</v>
      </c>
      <c r="Z209" s="31">
        <v>41160.000999999997</v>
      </c>
      <c r="AA209" s="281">
        <f t="shared" si="20"/>
        <v>6.3385153463231427</v>
      </c>
      <c r="AB209" s="31">
        <v>150988.45000000001</v>
      </c>
      <c r="AC209" s="31">
        <v>3928586.5</v>
      </c>
      <c r="AD209" s="31">
        <v>6473.9976999999999</v>
      </c>
      <c r="AE209" s="281">
        <f t="shared" si="21"/>
        <v>3.8433276192340431</v>
      </c>
      <c r="AF209" s="31">
        <v>12346.753000000001</v>
      </c>
      <c r="AG209" s="31">
        <v>583242.80000000005</v>
      </c>
      <c r="AH209" s="31">
        <v>15</v>
      </c>
      <c r="AI209" s="281">
        <f t="shared" si="22"/>
        <v>2.1169147737443135</v>
      </c>
      <c r="AJ209" s="31">
        <v>599217.02</v>
      </c>
      <c r="AK209" s="31">
        <v>10650117</v>
      </c>
      <c r="AL209" s="281">
        <v>679612</v>
      </c>
      <c r="AM209" s="281">
        <f t="shared" si="23"/>
        <v>5.6263890809838051</v>
      </c>
    </row>
    <row r="210" spans="1:39">
      <c r="A210" s="371">
        <f>References!H282</f>
        <v>558</v>
      </c>
      <c r="B210" s="292" t="s">
        <v>53</v>
      </c>
      <c r="C210" s="284">
        <v>2009</v>
      </c>
      <c r="D210" s="31">
        <v>8532</v>
      </c>
      <c r="E210" s="281">
        <v>17</v>
      </c>
      <c r="F210" s="31">
        <v>9005</v>
      </c>
      <c r="G210" s="281">
        <v>309</v>
      </c>
      <c r="H210" s="31">
        <v>17537</v>
      </c>
      <c r="I210" s="31">
        <v>326</v>
      </c>
      <c r="J210" s="31">
        <v>8532</v>
      </c>
      <c r="K210" s="31">
        <v>1711</v>
      </c>
      <c r="L210" s="281">
        <v>8244</v>
      </c>
      <c r="M210" s="31">
        <v>522147</v>
      </c>
      <c r="N210" s="281">
        <v>172.34</v>
      </c>
      <c r="O210" s="281">
        <v>4.9400000000000004</v>
      </c>
      <c r="P210" s="281">
        <v>148.5</v>
      </c>
      <c r="Q210" s="281">
        <v>1.89</v>
      </c>
      <c r="R210" s="281">
        <v>0.03</v>
      </c>
      <c r="S210" s="281">
        <v>1.65</v>
      </c>
      <c r="T210" s="281">
        <v>307643</v>
      </c>
      <c r="U210" s="281">
        <v>3628963</v>
      </c>
      <c r="V210" s="281">
        <v>486419</v>
      </c>
      <c r="W210" s="281">
        <f t="shared" si="19"/>
        <v>8.4774355649258482</v>
      </c>
      <c r="X210" s="31">
        <v>62611</v>
      </c>
      <c r="Y210" s="31">
        <v>959874</v>
      </c>
      <c r="Z210" s="31">
        <v>30204</v>
      </c>
      <c r="AA210" s="281">
        <f t="shared" si="20"/>
        <v>6.5228352887983219</v>
      </c>
      <c r="AB210" s="31">
        <v>110701</v>
      </c>
      <c r="AC210" s="31">
        <v>3170144</v>
      </c>
      <c r="AD210" s="31">
        <v>5514</v>
      </c>
      <c r="AE210" s="281">
        <f t="shared" si="21"/>
        <v>3.4919864838947379</v>
      </c>
      <c r="AF210" s="31">
        <v>9328</v>
      </c>
      <c r="AG210" s="31">
        <v>485277</v>
      </c>
      <c r="AH210" s="31">
        <v>10</v>
      </c>
      <c r="AI210" s="281">
        <f t="shared" si="22"/>
        <v>1.9222011346097176</v>
      </c>
      <c r="AJ210" s="31">
        <v>490283</v>
      </c>
      <c r="AK210" s="31">
        <v>8244258</v>
      </c>
      <c r="AL210" s="281">
        <v>522147</v>
      </c>
      <c r="AM210" s="281">
        <f t="shared" si="23"/>
        <v>5.9469633289011572</v>
      </c>
    </row>
    <row r="211" spans="1:39">
      <c r="A211" s="371">
        <f>References!I282</f>
        <v>559</v>
      </c>
      <c r="B211" s="292" t="s">
        <v>164</v>
      </c>
      <c r="C211" s="284">
        <v>2010</v>
      </c>
      <c r="D211" s="31">
        <v>8505</v>
      </c>
      <c r="E211" s="281">
        <v>17.374706</v>
      </c>
      <c r="F211" s="31">
        <v>9126.0691000000006</v>
      </c>
      <c r="G211" s="281">
        <v>316.30574999999999</v>
      </c>
      <c r="H211" s="31">
        <v>17631.069</v>
      </c>
      <c r="I211" s="31">
        <v>333.68045000000001</v>
      </c>
      <c r="J211" s="31">
        <v>8505</v>
      </c>
      <c r="K211" s="31">
        <v>1775.1035999999999</v>
      </c>
      <c r="L211" s="281">
        <v>8310.9231</v>
      </c>
      <c r="M211" s="31">
        <v>527096</v>
      </c>
      <c r="N211" s="281">
        <v>119.73634</v>
      </c>
      <c r="O211" s="281">
        <v>9.6269782999999993</v>
      </c>
      <c r="P211" s="281">
        <v>57.152230000000003</v>
      </c>
      <c r="Q211" s="281">
        <v>1.5607610000000001</v>
      </c>
      <c r="R211" s="281">
        <v>4.697486E-2</v>
      </c>
      <c r="S211" s="281">
        <v>0.97126305999999996</v>
      </c>
      <c r="T211" s="281">
        <v>335552.49</v>
      </c>
      <c r="U211" s="281">
        <v>3745571</v>
      </c>
      <c r="V211" s="281">
        <v>490832.49</v>
      </c>
      <c r="W211" s="281">
        <f t="shared" si="19"/>
        <v>8.9586471595385593</v>
      </c>
      <c r="X211" s="31">
        <v>65043.91</v>
      </c>
      <c r="Y211" s="31">
        <v>942182.03</v>
      </c>
      <c r="Z211" s="31">
        <v>30651.169000000002</v>
      </c>
      <c r="AA211" s="281">
        <f t="shared" si="20"/>
        <v>6.9035396482779445</v>
      </c>
      <c r="AB211" s="31">
        <v>120759.26</v>
      </c>
      <c r="AC211" s="31">
        <v>3172894.3</v>
      </c>
      <c r="AD211" s="31">
        <v>5602.3451999999997</v>
      </c>
      <c r="AE211" s="281">
        <f t="shared" si="21"/>
        <v>3.8059654240609277</v>
      </c>
      <c r="AF211" s="31">
        <v>10993.502</v>
      </c>
      <c r="AG211" s="31">
        <v>450275.77</v>
      </c>
      <c r="AH211" s="31">
        <v>10</v>
      </c>
      <c r="AI211" s="281">
        <f t="shared" si="22"/>
        <v>2.4415042363927331</v>
      </c>
      <c r="AJ211" s="31">
        <v>532349.16</v>
      </c>
      <c r="AK211" s="31">
        <v>8310923.0999999996</v>
      </c>
      <c r="AL211" s="281">
        <v>527096</v>
      </c>
      <c r="AM211" s="281">
        <f t="shared" si="23"/>
        <v>6.4054155428294122</v>
      </c>
    </row>
    <row r="212" spans="1:39">
      <c r="A212" s="371">
        <f>References!J282</f>
        <v>560</v>
      </c>
      <c r="B212" s="292" t="s">
        <v>164</v>
      </c>
      <c r="C212" s="284">
        <v>2011</v>
      </c>
      <c r="D212" s="31">
        <v>8461</v>
      </c>
      <c r="E212" s="281">
        <v>17.374706</v>
      </c>
      <c r="F212" s="31">
        <v>9258.7837999999992</v>
      </c>
      <c r="G212" s="281">
        <v>335</v>
      </c>
      <c r="H212" s="31">
        <v>17719.784</v>
      </c>
      <c r="I212" s="31">
        <v>352.37470999999999</v>
      </c>
      <c r="J212" s="31">
        <v>8461</v>
      </c>
      <c r="K212" s="31">
        <v>1722</v>
      </c>
      <c r="L212" s="281">
        <v>8289</v>
      </c>
      <c r="M212" s="31">
        <v>531185</v>
      </c>
      <c r="N212" s="281">
        <v>123.95</v>
      </c>
      <c r="O212" s="281">
        <v>20.39</v>
      </c>
      <c r="P212" s="281">
        <v>102.76</v>
      </c>
      <c r="Q212" s="281">
        <v>1.24</v>
      </c>
      <c r="R212" s="281">
        <v>0.1</v>
      </c>
      <c r="S212" s="281">
        <v>1.1399999999999999</v>
      </c>
      <c r="T212" s="281">
        <v>335766</v>
      </c>
      <c r="U212" s="281">
        <v>3639618</v>
      </c>
      <c r="V212" s="281">
        <v>483600</v>
      </c>
      <c r="W212" s="281">
        <f t="shared" si="19"/>
        <v>9.2253088098805982</v>
      </c>
      <c r="X212" s="31">
        <v>67061</v>
      </c>
      <c r="Y212" s="31">
        <v>949402</v>
      </c>
      <c r="Z212" s="31">
        <v>41621</v>
      </c>
      <c r="AA212" s="281">
        <f t="shared" si="20"/>
        <v>7.063498918266446</v>
      </c>
      <c r="AB212" s="31">
        <v>124576</v>
      </c>
      <c r="AC212" s="31">
        <v>3193770</v>
      </c>
      <c r="AD212" s="31">
        <v>5954</v>
      </c>
      <c r="AE212" s="281">
        <f t="shared" si="21"/>
        <v>3.9005939688831694</v>
      </c>
      <c r="AF212" s="31">
        <v>10733</v>
      </c>
      <c r="AG212" s="31">
        <v>506511</v>
      </c>
      <c r="AH212" s="31">
        <v>10</v>
      </c>
      <c r="AI212" s="281">
        <f t="shared" si="22"/>
        <v>2.1190062999618964</v>
      </c>
      <c r="AJ212" s="31">
        <v>538136</v>
      </c>
      <c r="AK212" s="31">
        <v>8289301</v>
      </c>
      <c r="AL212" s="281">
        <v>531185</v>
      </c>
      <c r="AM212" s="281">
        <f t="shared" si="23"/>
        <v>6.491934603412278</v>
      </c>
    </row>
    <row r="213" spans="1:39">
      <c r="A213" s="371">
        <f>References!C283</f>
        <v>576</v>
      </c>
      <c r="B213" s="292" t="s">
        <v>54</v>
      </c>
      <c r="C213" s="284">
        <v>2004</v>
      </c>
      <c r="F213" s="31">
        <v>173</v>
      </c>
      <c r="H213" s="31">
        <v>1902</v>
      </c>
      <c r="J213" s="31">
        <v>1729</v>
      </c>
      <c r="K213" s="31">
        <v>56.808</v>
      </c>
      <c r="L213" s="294">
        <v>303.21859699999999</v>
      </c>
      <c r="M213" s="31">
        <v>20773</v>
      </c>
      <c r="N213" s="281">
        <v>491.04</v>
      </c>
      <c r="Q213" s="281">
        <v>5.58</v>
      </c>
      <c r="W213" s="281" t="str">
        <f t="shared" si="19"/>
        <v/>
      </c>
      <c r="AA213" s="281" t="str">
        <f t="shared" si="20"/>
        <v/>
      </c>
      <c r="AE213" s="281" t="str">
        <f t="shared" si="21"/>
        <v/>
      </c>
      <c r="AI213" s="281" t="str">
        <f t="shared" si="22"/>
        <v/>
      </c>
      <c r="AM213" s="281" t="str">
        <f t="shared" si="23"/>
        <v/>
      </c>
    </row>
    <row r="214" spans="1:39">
      <c r="A214" s="371">
        <f>References!D283</f>
        <v>577</v>
      </c>
      <c r="B214" s="292" t="s">
        <v>54</v>
      </c>
      <c r="C214" s="284">
        <v>2005</v>
      </c>
      <c r="F214" s="31">
        <v>196</v>
      </c>
      <c r="H214" s="31">
        <v>2015</v>
      </c>
      <c r="J214" s="31">
        <v>1819</v>
      </c>
      <c r="K214" s="31">
        <v>60.56</v>
      </c>
      <c r="L214" s="294">
        <v>313.63304699999998</v>
      </c>
      <c r="M214" s="31">
        <v>21107</v>
      </c>
      <c r="N214" s="281">
        <v>278.74</v>
      </c>
      <c r="Q214" s="281">
        <v>4.29</v>
      </c>
      <c r="W214" s="281" t="str">
        <f t="shared" si="19"/>
        <v/>
      </c>
      <c r="AA214" s="281" t="str">
        <f t="shared" si="20"/>
        <v/>
      </c>
      <c r="AE214" s="281" t="str">
        <f t="shared" si="21"/>
        <v/>
      </c>
      <c r="AI214" s="281" t="str">
        <f t="shared" si="22"/>
        <v/>
      </c>
      <c r="AM214" s="281" t="str">
        <f t="shared" si="23"/>
        <v/>
      </c>
    </row>
    <row r="215" spans="1:39">
      <c r="A215" s="371">
        <f>References!E283</f>
        <v>578</v>
      </c>
      <c r="B215" s="292" t="s">
        <v>54</v>
      </c>
      <c r="C215" s="284">
        <v>2006</v>
      </c>
      <c r="F215" s="31">
        <v>232</v>
      </c>
      <c r="H215" s="31">
        <v>1955</v>
      </c>
      <c r="J215" s="31">
        <v>1723</v>
      </c>
      <c r="K215" s="31">
        <v>58.731999999999999</v>
      </c>
      <c r="L215" s="294">
        <v>315.159312</v>
      </c>
      <c r="M215" s="31">
        <v>21538</v>
      </c>
      <c r="N215" s="281">
        <v>176.23</v>
      </c>
      <c r="Q215" s="281">
        <v>3.94</v>
      </c>
      <c r="W215" s="281" t="str">
        <f t="shared" si="19"/>
        <v/>
      </c>
      <c r="AA215" s="281" t="str">
        <f t="shared" si="20"/>
        <v/>
      </c>
      <c r="AE215" s="281" t="str">
        <f t="shared" si="21"/>
        <v/>
      </c>
      <c r="AI215" s="281" t="str">
        <f t="shared" si="22"/>
        <v/>
      </c>
      <c r="AM215" s="281" t="str">
        <f t="shared" si="23"/>
        <v/>
      </c>
    </row>
    <row r="216" spans="1:39">
      <c r="A216" s="371">
        <f>References!F283</f>
        <v>579</v>
      </c>
      <c r="B216" s="292" t="s">
        <v>54</v>
      </c>
      <c r="C216" s="284">
        <v>2007</v>
      </c>
      <c r="F216" s="31">
        <v>254</v>
      </c>
      <c r="H216" s="31">
        <v>1981</v>
      </c>
      <c r="J216" s="31">
        <v>1727</v>
      </c>
      <c r="K216" s="31">
        <v>58.142000000000003</v>
      </c>
      <c r="L216" s="294">
        <v>321.12230599999998</v>
      </c>
      <c r="M216" s="31">
        <v>22006</v>
      </c>
      <c r="N216" s="281">
        <v>541.42999999999995</v>
      </c>
      <c r="Q216" s="281">
        <v>4.45</v>
      </c>
      <c r="W216" s="281" t="str">
        <f t="shared" si="19"/>
        <v/>
      </c>
      <c r="AA216" s="281" t="str">
        <f t="shared" si="20"/>
        <v/>
      </c>
      <c r="AE216" s="281" t="str">
        <f t="shared" si="21"/>
        <v/>
      </c>
      <c r="AI216" s="281" t="str">
        <f t="shared" si="22"/>
        <v/>
      </c>
      <c r="AM216" s="281" t="str">
        <f t="shared" si="23"/>
        <v/>
      </c>
    </row>
    <row r="217" spans="1:39">
      <c r="A217" s="371">
        <f>References!G283</f>
        <v>580</v>
      </c>
      <c r="B217" s="292" t="s">
        <v>54</v>
      </c>
      <c r="C217" s="284">
        <v>2008</v>
      </c>
      <c r="D217" s="31">
        <v>1724.0980999999999</v>
      </c>
      <c r="E217" s="281">
        <v>67.624930000000006</v>
      </c>
      <c r="F217" s="31">
        <v>285.28136000000001</v>
      </c>
      <c r="G217" s="281">
        <v>45.200809999999997</v>
      </c>
      <c r="H217" s="31">
        <v>2009.3794</v>
      </c>
      <c r="I217" s="31">
        <v>112.82574</v>
      </c>
      <c r="J217" s="31">
        <v>1724.0980999999999</v>
      </c>
      <c r="K217" s="31">
        <v>60.769060000000003</v>
      </c>
      <c r="L217" s="281">
        <v>318.80135999999999</v>
      </c>
      <c r="M217" s="31">
        <v>22702</v>
      </c>
      <c r="N217" s="281">
        <v>497.29</v>
      </c>
      <c r="O217" s="281">
        <v>9.99</v>
      </c>
      <c r="P217" s="281">
        <v>102.68</v>
      </c>
      <c r="Q217" s="281">
        <v>5.1615000000000002</v>
      </c>
      <c r="R217" s="281">
        <v>4.7E-2</v>
      </c>
      <c r="S217" s="281">
        <v>1.8313999999999999</v>
      </c>
      <c r="T217" s="281">
        <v>7831.1476000000002</v>
      </c>
      <c r="U217" s="281">
        <v>144455.35999999999</v>
      </c>
      <c r="V217" s="281">
        <v>21001</v>
      </c>
      <c r="W217" s="281">
        <f t="shared" si="19"/>
        <v>5.4211540506354359</v>
      </c>
      <c r="X217" s="31">
        <v>4724.2628000000004</v>
      </c>
      <c r="Y217" s="31">
        <v>81418.801000000007</v>
      </c>
      <c r="Z217" s="31">
        <v>1632</v>
      </c>
      <c r="AA217" s="281">
        <f t="shared" si="20"/>
        <v>5.8024224650520217</v>
      </c>
      <c r="AB217" s="31">
        <v>1214.0061000000001</v>
      </c>
      <c r="AC217" s="31">
        <v>24341.94</v>
      </c>
      <c r="AD217" s="31">
        <v>64</v>
      </c>
      <c r="AE217" s="281">
        <f t="shared" si="21"/>
        <v>4.9873021624406277</v>
      </c>
      <c r="AF217" s="31">
        <v>1878.3272999999999</v>
      </c>
      <c r="AG217" s="31">
        <v>68585.259999999995</v>
      </c>
      <c r="AH217" s="31">
        <v>5</v>
      </c>
      <c r="AI217" s="281">
        <f t="shared" si="22"/>
        <v>2.7386748989505909</v>
      </c>
      <c r="AJ217" s="31">
        <v>15647.744000000001</v>
      </c>
      <c r="AK217" s="31">
        <v>318801.36</v>
      </c>
      <c r="AL217" s="281">
        <v>22702</v>
      </c>
      <c r="AM217" s="281">
        <f t="shared" si="23"/>
        <v>4.9083052845194892</v>
      </c>
    </row>
    <row r="218" spans="1:39">
      <c r="A218" s="371">
        <f>References!H283</f>
        <v>581</v>
      </c>
      <c r="B218" s="292" t="s">
        <v>54</v>
      </c>
      <c r="C218" s="284">
        <v>2009</v>
      </c>
      <c r="D218" s="31">
        <v>1735.095</v>
      </c>
      <c r="E218" s="281">
        <v>72.810159999999996</v>
      </c>
      <c r="F218" s="31">
        <v>322.75601999999998</v>
      </c>
      <c r="G218" s="281">
        <v>52.652810000000002</v>
      </c>
      <c r="H218" s="31">
        <v>2057.8510000000001</v>
      </c>
      <c r="I218" s="31">
        <v>125.46297</v>
      </c>
      <c r="J218" s="31">
        <v>1735.095</v>
      </c>
      <c r="K218" s="31">
        <v>61.135840000000002</v>
      </c>
      <c r="L218" s="281">
        <v>318.47629999999998</v>
      </c>
      <c r="M218" s="31">
        <v>22897</v>
      </c>
      <c r="N218" s="281">
        <v>236.99</v>
      </c>
      <c r="O218" s="281">
        <v>39.840000000000003</v>
      </c>
      <c r="P218" s="281">
        <v>194.61</v>
      </c>
      <c r="Q218" s="281">
        <v>3.0842999999999998</v>
      </c>
      <c r="R218" s="281">
        <v>0.19600000000000001</v>
      </c>
      <c r="S218" s="281">
        <v>2.3331</v>
      </c>
      <c r="T218" s="281">
        <v>10350.132</v>
      </c>
      <c r="U218" s="281">
        <v>157349.01</v>
      </c>
      <c r="V218" s="281">
        <v>21175</v>
      </c>
      <c r="W218" s="281">
        <f t="shared" si="19"/>
        <v>6.5778183161114256</v>
      </c>
      <c r="X218" s="31">
        <v>4502.0102999999999</v>
      </c>
      <c r="Y218" s="31">
        <v>75793.398000000001</v>
      </c>
      <c r="Z218" s="31">
        <v>1662</v>
      </c>
      <c r="AA218" s="281">
        <f t="shared" si="20"/>
        <v>5.9398449189466342</v>
      </c>
      <c r="AB218" s="31">
        <v>1015.0252</v>
      </c>
      <c r="AC218" s="31">
        <v>18883.603999999999</v>
      </c>
      <c r="AD218" s="31">
        <v>55</v>
      </c>
      <c r="AE218" s="281">
        <f t="shared" si="21"/>
        <v>5.3751667319437546</v>
      </c>
      <c r="AF218" s="31">
        <v>1531.3945000000001</v>
      </c>
      <c r="AG218" s="31">
        <v>66450.293000000005</v>
      </c>
      <c r="AH218" s="31">
        <v>5</v>
      </c>
      <c r="AI218" s="281">
        <f t="shared" si="22"/>
        <v>2.304571478714172</v>
      </c>
      <c r="AJ218" s="31">
        <v>17398.562000000002</v>
      </c>
      <c r="AK218" s="31">
        <v>318476.3</v>
      </c>
      <c r="AL218" s="281">
        <v>22897</v>
      </c>
      <c r="AM218" s="281">
        <f t="shared" si="23"/>
        <v>5.463063342546997</v>
      </c>
    </row>
    <row r="219" spans="1:39">
      <c r="A219" s="371">
        <f>References!I283</f>
        <v>582</v>
      </c>
      <c r="B219" s="292" t="s">
        <v>54</v>
      </c>
      <c r="C219" s="284">
        <v>2010</v>
      </c>
      <c r="D219" s="31">
        <v>1732.4091000000001</v>
      </c>
      <c r="E219" s="281">
        <v>68.212950000000006</v>
      </c>
      <c r="F219" s="31">
        <v>340.08667000000003</v>
      </c>
      <c r="G219" s="281">
        <v>55.44744</v>
      </c>
      <c r="H219" s="31">
        <v>2072.4958000000001</v>
      </c>
      <c r="I219" s="31">
        <v>123.66039000000001</v>
      </c>
      <c r="J219" s="31">
        <v>1732.4091000000001</v>
      </c>
      <c r="K219" s="31">
        <v>67.386499999999998</v>
      </c>
      <c r="L219" s="281">
        <v>338.18011000000001</v>
      </c>
      <c r="M219" s="31">
        <v>23176</v>
      </c>
      <c r="N219" s="281">
        <v>284.02</v>
      </c>
      <c r="O219" s="281">
        <v>43.28</v>
      </c>
      <c r="P219" s="281">
        <v>83.54</v>
      </c>
      <c r="Q219" s="281">
        <v>3.2542</v>
      </c>
      <c r="R219" s="281">
        <v>0.1988</v>
      </c>
      <c r="S219" s="281">
        <v>1.7097</v>
      </c>
      <c r="T219" s="281">
        <v>10787.218000000001</v>
      </c>
      <c r="U219" s="281">
        <v>153960.81</v>
      </c>
      <c r="V219" s="281">
        <v>21328</v>
      </c>
      <c r="W219" s="281">
        <f t="shared" si="19"/>
        <v>7.0064700231182213</v>
      </c>
      <c r="X219" s="31">
        <v>5441.3024999999998</v>
      </c>
      <c r="Y219" s="31">
        <v>86991.362999999998</v>
      </c>
      <c r="Z219" s="31">
        <v>1778</v>
      </c>
      <c r="AA219" s="281">
        <f t="shared" si="20"/>
        <v>6.2549916593443884</v>
      </c>
      <c r="AB219" s="31">
        <v>1436.7086999999999</v>
      </c>
      <c r="AC219" s="31">
        <v>24450.012999999999</v>
      </c>
      <c r="AD219" s="31">
        <v>65</v>
      </c>
      <c r="AE219" s="281">
        <f t="shared" si="21"/>
        <v>5.8761060781440078</v>
      </c>
      <c r="AF219" s="31">
        <v>1600.8972000000001</v>
      </c>
      <c r="AG219" s="31">
        <v>72777.922999999995</v>
      </c>
      <c r="AH219" s="31">
        <v>5</v>
      </c>
      <c r="AI219" s="281">
        <f t="shared" si="22"/>
        <v>2.1997016870074737</v>
      </c>
      <c r="AJ219" s="31">
        <v>19266.126</v>
      </c>
      <c r="AK219" s="31">
        <v>338180.11</v>
      </c>
      <c r="AL219" s="281">
        <v>23176</v>
      </c>
      <c r="AM219" s="281">
        <f t="shared" si="23"/>
        <v>5.6970015179189577</v>
      </c>
    </row>
    <row r="220" spans="1:39">
      <c r="A220" s="371">
        <f>References!J283</f>
        <v>583</v>
      </c>
      <c r="B220" s="292" t="s">
        <v>54</v>
      </c>
      <c r="C220" s="284">
        <v>2011</v>
      </c>
      <c r="D220" s="31">
        <v>1735.3688999999999</v>
      </c>
      <c r="E220" s="281">
        <v>68.21651</v>
      </c>
      <c r="F220" s="31">
        <v>348.74381</v>
      </c>
      <c r="G220" s="281">
        <v>58.552439999999997</v>
      </c>
      <c r="H220" s="31">
        <v>2084.1127000000001</v>
      </c>
      <c r="I220" s="31">
        <v>126.76895</v>
      </c>
      <c r="J220" s="31">
        <v>1735.3688999999999</v>
      </c>
      <c r="K220" s="31">
        <v>71.665779999999998</v>
      </c>
      <c r="L220" s="281">
        <v>334.26598000000001</v>
      </c>
      <c r="M220" s="31">
        <v>23510</v>
      </c>
      <c r="N220" s="281">
        <v>199.34</v>
      </c>
      <c r="O220" s="281">
        <v>28.35</v>
      </c>
      <c r="P220" s="281">
        <v>85.92</v>
      </c>
      <c r="Q220" s="281">
        <v>3.2633000000000001</v>
      </c>
      <c r="R220" s="281">
        <v>0.1237</v>
      </c>
      <c r="S220" s="281">
        <v>1.4381999999999999</v>
      </c>
      <c r="T220" s="281">
        <v>11746.689</v>
      </c>
      <c r="U220" s="281">
        <v>165916.06</v>
      </c>
      <c r="V220" s="281">
        <v>21740</v>
      </c>
      <c r="W220" s="281">
        <f t="shared" si="19"/>
        <v>7.079898715049044</v>
      </c>
      <c r="X220" s="31">
        <v>5495.9745999999996</v>
      </c>
      <c r="Y220" s="31">
        <v>84337.394</v>
      </c>
      <c r="Z220" s="31">
        <v>1707</v>
      </c>
      <c r="AA220" s="281">
        <f t="shared" si="20"/>
        <v>6.516652150764819</v>
      </c>
      <c r="AB220" s="31">
        <v>1061.0476000000001</v>
      </c>
      <c r="AC220" s="31">
        <v>15872.732</v>
      </c>
      <c r="AD220" s="31">
        <v>58</v>
      </c>
      <c r="AE220" s="281">
        <f t="shared" si="21"/>
        <v>6.6847194295222785</v>
      </c>
      <c r="AF220" s="31">
        <v>1544.1962000000001</v>
      </c>
      <c r="AG220" s="31">
        <v>68139.789000000004</v>
      </c>
      <c r="AH220" s="31">
        <v>5</v>
      </c>
      <c r="AI220" s="281">
        <f t="shared" si="22"/>
        <v>2.2662180535956749</v>
      </c>
      <c r="AJ220" s="31">
        <v>19847.906999999999</v>
      </c>
      <c r="AK220" s="31">
        <v>334265.98</v>
      </c>
      <c r="AL220" s="281">
        <v>23510</v>
      </c>
      <c r="AM220" s="281">
        <f t="shared" si="23"/>
        <v>5.937758607681225</v>
      </c>
    </row>
    <row r="221" spans="1:39">
      <c r="A221" s="371">
        <f>References!C284</f>
        <v>599</v>
      </c>
      <c r="B221" s="292" t="s">
        <v>55</v>
      </c>
      <c r="C221" s="284">
        <v>2004</v>
      </c>
      <c r="F221" s="31">
        <v>1428</v>
      </c>
      <c r="H221" s="31">
        <v>4875.3100000000004</v>
      </c>
      <c r="J221" s="31">
        <v>3447.31</v>
      </c>
      <c r="K221" s="31">
        <v>202.34399999999999</v>
      </c>
      <c r="L221" s="294">
        <v>971.88778200000002</v>
      </c>
      <c r="M221" s="31">
        <v>75595</v>
      </c>
      <c r="N221" s="281">
        <v>68.48</v>
      </c>
      <c r="Q221" s="281">
        <v>1.83</v>
      </c>
      <c r="W221" s="281" t="str">
        <f t="shared" si="19"/>
        <v/>
      </c>
      <c r="AA221" s="281" t="str">
        <f t="shared" si="20"/>
        <v/>
      </c>
      <c r="AE221" s="281" t="str">
        <f t="shared" si="21"/>
        <v/>
      </c>
      <c r="AI221" s="281" t="str">
        <f t="shared" si="22"/>
        <v/>
      </c>
      <c r="AM221" s="281" t="str">
        <f t="shared" si="23"/>
        <v/>
      </c>
    </row>
    <row r="222" spans="1:39">
      <c r="A222" s="371">
        <f>References!D284</f>
        <v>600</v>
      </c>
      <c r="B222" s="292" t="s">
        <v>55</v>
      </c>
      <c r="C222" s="284">
        <v>2005</v>
      </c>
      <c r="F222" s="31">
        <v>1469.14</v>
      </c>
      <c r="H222" s="31">
        <v>4884</v>
      </c>
      <c r="J222" s="31">
        <v>3414.86</v>
      </c>
      <c r="K222" s="31">
        <v>199.99700000000001</v>
      </c>
      <c r="L222" s="294">
        <v>1017.637372</v>
      </c>
      <c r="M222" s="31">
        <v>77480</v>
      </c>
      <c r="N222" s="281">
        <v>132.43</v>
      </c>
      <c r="Q222" s="281">
        <v>2.42</v>
      </c>
      <c r="W222" s="281" t="str">
        <f t="shared" si="19"/>
        <v/>
      </c>
      <c r="AA222" s="281" t="str">
        <f t="shared" si="20"/>
        <v/>
      </c>
      <c r="AE222" s="281" t="str">
        <f t="shared" si="21"/>
        <v/>
      </c>
      <c r="AI222" s="281" t="str">
        <f t="shared" si="22"/>
        <v/>
      </c>
      <c r="AM222" s="281" t="str">
        <f t="shared" si="23"/>
        <v/>
      </c>
    </row>
    <row r="223" spans="1:39">
      <c r="A223" s="371">
        <f>References!E284</f>
        <v>601</v>
      </c>
      <c r="B223" s="292" t="s">
        <v>55</v>
      </c>
      <c r="C223" s="284">
        <v>2006</v>
      </c>
      <c r="F223" s="31">
        <v>1567.4</v>
      </c>
      <c r="H223" s="31">
        <v>4970.96</v>
      </c>
      <c r="J223" s="31">
        <v>3403.56</v>
      </c>
      <c r="K223" s="31">
        <v>223</v>
      </c>
      <c r="L223" s="294">
        <v>1041.7008679999999</v>
      </c>
      <c r="M223" s="31">
        <v>79195</v>
      </c>
      <c r="N223" s="281">
        <v>69.63</v>
      </c>
      <c r="Q223" s="281">
        <v>1.53</v>
      </c>
      <c r="W223" s="281" t="str">
        <f t="shared" si="19"/>
        <v/>
      </c>
      <c r="AA223" s="281" t="str">
        <f t="shared" si="20"/>
        <v/>
      </c>
      <c r="AE223" s="281" t="str">
        <f t="shared" si="21"/>
        <v/>
      </c>
      <c r="AI223" s="281" t="str">
        <f t="shared" si="22"/>
        <v/>
      </c>
      <c r="AM223" s="281" t="str">
        <f t="shared" si="23"/>
        <v/>
      </c>
    </row>
    <row r="224" spans="1:39">
      <c r="A224" s="371">
        <f>References!F284</f>
        <v>602</v>
      </c>
      <c r="B224" s="292" t="s">
        <v>55</v>
      </c>
      <c r="C224" s="284">
        <v>2007</v>
      </c>
      <c r="F224" s="31">
        <v>1607.22</v>
      </c>
      <c r="H224" s="31">
        <v>4995.8100000000004</v>
      </c>
      <c r="J224" s="31">
        <v>3388.59</v>
      </c>
      <c r="K224" s="31">
        <v>231</v>
      </c>
      <c r="L224" s="294">
        <v>1102.8293980000001</v>
      </c>
      <c r="M224" s="31">
        <v>81461</v>
      </c>
      <c r="N224" s="281">
        <v>103.43</v>
      </c>
      <c r="Q224" s="281">
        <v>1.86</v>
      </c>
      <c r="W224" s="281" t="str">
        <f t="shared" si="19"/>
        <v/>
      </c>
      <c r="AA224" s="281" t="str">
        <f t="shared" si="20"/>
        <v/>
      </c>
      <c r="AE224" s="281" t="str">
        <f t="shared" si="21"/>
        <v/>
      </c>
      <c r="AI224" s="281" t="str">
        <f t="shared" si="22"/>
        <v/>
      </c>
      <c r="AM224" s="281" t="str">
        <f t="shared" si="23"/>
        <v/>
      </c>
    </row>
    <row r="225" spans="1:39">
      <c r="A225" s="371">
        <f>References!G284</f>
        <v>603</v>
      </c>
      <c r="B225" s="292" t="s">
        <v>55</v>
      </c>
      <c r="C225" s="284">
        <v>2008</v>
      </c>
      <c r="D225" s="31">
        <v>3371.52</v>
      </c>
      <c r="E225" s="281">
        <v>256.13553999999999</v>
      </c>
      <c r="F225" s="31">
        <v>1680.93</v>
      </c>
      <c r="G225" s="281">
        <v>891.03849000000002</v>
      </c>
      <c r="H225" s="31">
        <v>5052.45</v>
      </c>
      <c r="I225" s="31">
        <v>1147.174</v>
      </c>
      <c r="J225" s="31">
        <v>3371.52</v>
      </c>
      <c r="K225" s="31">
        <v>236.55221</v>
      </c>
      <c r="L225" s="281">
        <v>1160.2452000000001</v>
      </c>
      <c r="M225" s="31">
        <v>81312</v>
      </c>
      <c r="N225" s="281">
        <v>80.13</v>
      </c>
      <c r="O225" s="281">
        <v>2.71</v>
      </c>
      <c r="P225" s="281">
        <v>77.42</v>
      </c>
      <c r="Q225" s="281">
        <v>1.41</v>
      </c>
      <c r="R225" s="281">
        <v>1.9952879999999999E-2</v>
      </c>
      <c r="S225" s="281">
        <v>1.3909450000000001</v>
      </c>
      <c r="T225" s="281">
        <v>47921.695</v>
      </c>
      <c r="U225" s="281">
        <v>710443.57</v>
      </c>
      <c r="V225" s="281">
        <v>80749</v>
      </c>
      <c r="W225" s="281">
        <f t="shared" si="19"/>
        <v>6.7453203918785558</v>
      </c>
      <c r="X225" s="31">
        <v>1291.8729000000001</v>
      </c>
      <c r="Y225" s="31">
        <v>23295.066999999999</v>
      </c>
      <c r="Z225" s="31">
        <v>162</v>
      </c>
      <c r="AA225" s="281">
        <f t="shared" si="20"/>
        <v>5.545693000153209</v>
      </c>
      <c r="AB225" s="31">
        <v>15018.877</v>
      </c>
      <c r="AC225" s="31">
        <v>344612.45</v>
      </c>
      <c r="AD225" s="31">
        <v>396</v>
      </c>
      <c r="AE225" s="281">
        <f t="shared" si="21"/>
        <v>4.3581933850619734</v>
      </c>
      <c r="AF225" s="31">
        <v>2447.7260999999999</v>
      </c>
      <c r="AG225" s="31">
        <v>81894.114000000001</v>
      </c>
      <c r="AH225" s="31">
        <v>5</v>
      </c>
      <c r="AI225" s="281">
        <f t="shared" si="22"/>
        <v>2.988891362815159</v>
      </c>
      <c r="AJ225" s="31">
        <v>66680.171000000002</v>
      </c>
      <c r="AK225" s="31">
        <v>1160245.2</v>
      </c>
      <c r="AL225" s="281">
        <v>81312</v>
      </c>
      <c r="AM225" s="281">
        <f t="shared" si="23"/>
        <v>5.7470757905311745</v>
      </c>
    </row>
    <row r="226" spans="1:39">
      <c r="A226" s="371">
        <f>References!H284</f>
        <v>604</v>
      </c>
      <c r="B226" s="292" t="s">
        <v>55</v>
      </c>
      <c r="C226" s="284">
        <v>2009</v>
      </c>
      <c r="D226" s="31">
        <v>3368.87</v>
      </c>
      <c r="E226" s="281">
        <v>258.66662000000002</v>
      </c>
      <c r="F226" s="31">
        <v>1799.43</v>
      </c>
      <c r="G226" s="281">
        <v>937.55115000000001</v>
      </c>
      <c r="H226" s="31">
        <v>5168.3</v>
      </c>
      <c r="I226" s="31">
        <v>1196.2177999999999</v>
      </c>
      <c r="J226" s="31">
        <v>3368.87</v>
      </c>
      <c r="K226" s="31">
        <v>214.26786000000001</v>
      </c>
      <c r="L226" s="281">
        <v>1152.5418</v>
      </c>
      <c r="M226" s="31">
        <v>83715</v>
      </c>
      <c r="N226" s="281">
        <v>88.744136999999995</v>
      </c>
      <c r="O226" s="281">
        <v>2.4442824999999999</v>
      </c>
      <c r="P226" s="281">
        <v>81.717855</v>
      </c>
      <c r="Q226" s="281">
        <v>1.6834073000000001</v>
      </c>
      <c r="R226" s="281">
        <v>1.8751029999999998E-2</v>
      </c>
      <c r="S226" s="281">
        <v>1.6221129999999999</v>
      </c>
      <c r="T226" s="281">
        <v>54812.955999999998</v>
      </c>
      <c r="U226" s="281">
        <v>714638.26</v>
      </c>
      <c r="V226" s="281">
        <v>83159</v>
      </c>
      <c r="W226" s="281">
        <f t="shared" si="19"/>
        <v>7.6700281902063283</v>
      </c>
      <c r="X226" s="31">
        <v>1355.9036000000001</v>
      </c>
      <c r="Y226" s="31">
        <v>22892.064999999999</v>
      </c>
      <c r="Z226" s="31">
        <v>153</v>
      </c>
      <c r="AA226" s="281">
        <f t="shared" si="20"/>
        <v>5.9230287874859702</v>
      </c>
      <c r="AB226" s="31">
        <v>15668.601000000001</v>
      </c>
      <c r="AC226" s="31">
        <v>336560.4</v>
      </c>
      <c r="AD226" s="31">
        <v>398</v>
      </c>
      <c r="AE226" s="281">
        <f t="shared" si="21"/>
        <v>4.6555093825655067</v>
      </c>
      <c r="AF226" s="31">
        <v>2580.1995999999999</v>
      </c>
      <c r="AG226" s="31">
        <v>78451.085000000006</v>
      </c>
      <c r="AH226" s="31">
        <v>5</v>
      </c>
      <c r="AI226" s="281">
        <f t="shared" si="22"/>
        <v>3.2889278714245949</v>
      </c>
      <c r="AJ226" s="31">
        <v>74417.66</v>
      </c>
      <c r="AK226" s="31">
        <v>1152541.8</v>
      </c>
      <c r="AL226" s="281">
        <v>83715</v>
      </c>
      <c r="AM226" s="281">
        <f t="shared" si="23"/>
        <v>6.4568295917770619</v>
      </c>
    </row>
    <row r="227" spans="1:39">
      <c r="A227" s="371">
        <f>References!I284</f>
        <v>605</v>
      </c>
      <c r="B227" s="292" t="s">
        <v>55</v>
      </c>
      <c r="C227" s="284">
        <v>2010</v>
      </c>
      <c r="D227" s="31">
        <v>3241</v>
      </c>
      <c r="E227" s="281">
        <v>260</v>
      </c>
      <c r="F227" s="31">
        <v>1802</v>
      </c>
      <c r="G227" s="281">
        <v>1113</v>
      </c>
      <c r="H227" s="31">
        <v>5043</v>
      </c>
      <c r="I227" s="31">
        <v>1373</v>
      </c>
      <c r="J227" s="31">
        <v>3241</v>
      </c>
      <c r="K227" s="31">
        <v>263.08897999999999</v>
      </c>
      <c r="L227" s="281">
        <v>1164.7189000000001</v>
      </c>
      <c r="M227" s="31">
        <v>84276</v>
      </c>
      <c r="N227" s="281">
        <v>74.980101000000005</v>
      </c>
      <c r="O227" s="281">
        <v>9.8352310000000003</v>
      </c>
      <c r="P227" s="281">
        <v>65.144869999999997</v>
      </c>
      <c r="Q227" s="281">
        <v>1.1609167</v>
      </c>
      <c r="R227" s="281">
        <v>7.6165159999999996E-2</v>
      </c>
      <c r="S227" s="281">
        <v>1.0847515999999999</v>
      </c>
      <c r="T227" s="281">
        <v>58950.658000000003</v>
      </c>
      <c r="U227" s="281">
        <v>747606.01</v>
      </c>
      <c r="V227" s="281">
        <v>83745</v>
      </c>
      <c r="W227" s="281">
        <f t="shared" si="19"/>
        <v>7.8852573697207182</v>
      </c>
      <c r="X227" s="31">
        <v>1247.2330999999999</v>
      </c>
      <c r="Y227" s="31">
        <v>20049.767</v>
      </c>
      <c r="Z227" s="31">
        <v>148</v>
      </c>
      <c r="AA227" s="281">
        <f t="shared" si="20"/>
        <v>6.2206862553564832</v>
      </c>
      <c r="AB227" s="31">
        <v>15901.329</v>
      </c>
      <c r="AC227" s="31">
        <v>322806.59000000003</v>
      </c>
      <c r="AD227" s="31">
        <v>378</v>
      </c>
      <c r="AE227" s="281">
        <f t="shared" si="21"/>
        <v>4.9259617035699295</v>
      </c>
      <c r="AF227" s="31">
        <v>2735.2235999999998</v>
      </c>
      <c r="AG227" s="31">
        <v>74256.498999999996</v>
      </c>
      <c r="AH227" s="31">
        <v>5</v>
      </c>
      <c r="AI227" s="281">
        <f t="shared" si="22"/>
        <v>3.6834804183267513</v>
      </c>
      <c r="AJ227" s="31">
        <v>78834.444000000003</v>
      </c>
      <c r="AK227" s="31">
        <v>1164718.8999999999</v>
      </c>
      <c r="AL227" s="281">
        <v>84276</v>
      </c>
      <c r="AM227" s="281">
        <f t="shared" si="23"/>
        <v>6.7685382284085893</v>
      </c>
    </row>
    <row r="228" spans="1:39">
      <c r="A228" s="371">
        <f>References!J284</f>
        <v>606</v>
      </c>
      <c r="B228" s="292" t="s">
        <v>55</v>
      </c>
      <c r="C228" s="284">
        <v>2011</v>
      </c>
      <c r="D228" s="31">
        <v>3161.4259000000002</v>
      </c>
      <c r="E228" s="281">
        <v>262.81808000000001</v>
      </c>
      <c r="F228" s="31">
        <v>1891.8894</v>
      </c>
      <c r="G228" s="281">
        <v>1133.317</v>
      </c>
      <c r="H228" s="31">
        <v>5053.3154000000004</v>
      </c>
      <c r="I228" s="31">
        <v>1396.1351</v>
      </c>
      <c r="J228" s="31">
        <v>3161.4259000000002</v>
      </c>
      <c r="K228" s="31">
        <v>248.94558000000001</v>
      </c>
      <c r="L228" s="281">
        <v>1177.3904</v>
      </c>
      <c r="M228" s="31">
        <v>83614</v>
      </c>
      <c r="N228" s="281">
        <v>82.552322000000004</v>
      </c>
      <c r="O228" s="281">
        <v>16.729949000000001</v>
      </c>
      <c r="P228" s="281">
        <v>65.822372999999999</v>
      </c>
      <c r="Q228" s="281">
        <v>1.2553996999999999</v>
      </c>
      <c r="R228" s="281">
        <v>0.12565403999999999</v>
      </c>
      <c r="S228" s="281">
        <v>1.1297457</v>
      </c>
      <c r="T228" s="281">
        <v>56916.506000000001</v>
      </c>
      <c r="U228" s="281">
        <v>721340.31</v>
      </c>
      <c r="V228" s="281">
        <v>83031</v>
      </c>
      <c r="W228" s="281">
        <f t="shared" si="19"/>
        <v>7.8903820029134382</v>
      </c>
      <c r="X228" s="31">
        <v>1569.3579999999999</v>
      </c>
      <c r="Y228" s="31">
        <v>24886.842000000001</v>
      </c>
      <c r="Z228" s="31">
        <v>179</v>
      </c>
      <c r="AA228" s="281">
        <f t="shared" si="20"/>
        <v>6.3059748601288979</v>
      </c>
      <c r="AB228" s="31">
        <v>17632.895</v>
      </c>
      <c r="AC228" s="31">
        <v>351937.41</v>
      </c>
      <c r="AD228" s="31">
        <v>399</v>
      </c>
      <c r="AE228" s="281">
        <f t="shared" si="21"/>
        <v>5.0102360530527292</v>
      </c>
      <c r="AF228" s="31">
        <v>2997.2055</v>
      </c>
      <c r="AG228" s="31">
        <v>79225.827999999994</v>
      </c>
      <c r="AH228" s="31">
        <v>5</v>
      </c>
      <c r="AI228" s="281">
        <f t="shared" si="22"/>
        <v>3.7831166624096375</v>
      </c>
      <c r="AJ228" s="31">
        <v>79115.964000000007</v>
      </c>
      <c r="AK228" s="31">
        <v>1177390.3999999999</v>
      </c>
      <c r="AL228" s="281">
        <v>83614</v>
      </c>
      <c r="AM228" s="281">
        <f t="shared" si="23"/>
        <v>6.7196032853673691</v>
      </c>
    </row>
    <row r="229" spans="1:39">
      <c r="A229" s="371">
        <f>References!C285</f>
        <v>622</v>
      </c>
      <c r="B229" s="292" t="s">
        <v>56</v>
      </c>
      <c r="C229" s="284">
        <v>2004</v>
      </c>
      <c r="W229" s="281" t="str">
        <f t="shared" si="19"/>
        <v/>
      </c>
      <c r="AA229" s="281" t="str">
        <f t="shared" si="20"/>
        <v/>
      </c>
      <c r="AE229" s="281" t="str">
        <f t="shared" si="21"/>
        <v/>
      </c>
      <c r="AI229" s="281" t="str">
        <f t="shared" si="22"/>
        <v/>
      </c>
      <c r="AM229" s="281" t="str">
        <f t="shared" si="23"/>
        <v/>
      </c>
    </row>
    <row r="230" spans="1:39">
      <c r="A230" s="371">
        <f>References!D285</f>
        <v>623</v>
      </c>
      <c r="B230" s="292" t="s">
        <v>56</v>
      </c>
      <c r="C230" s="284">
        <v>2005</v>
      </c>
      <c r="W230" s="281" t="str">
        <f t="shared" si="19"/>
        <v/>
      </c>
      <c r="AA230" s="281" t="str">
        <f t="shared" si="20"/>
        <v/>
      </c>
      <c r="AE230" s="281" t="str">
        <f t="shared" si="21"/>
        <v/>
      </c>
      <c r="AI230" s="281" t="str">
        <f t="shared" si="22"/>
        <v/>
      </c>
      <c r="AM230" s="281" t="str">
        <f t="shared" si="23"/>
        <v/>
      </c>
    </row>
    <row r="231" spans="1:39">
      <c r="A231" s="371">
        <f>References!E285</f>
        <v>624</v>
      </c>
      <c r="B231" s="292" t="s">
        <v>56</v>
      </c>
      <c r="C231" s="284">
        <v>2006</v>
      </c>
      <c r="W231" s="281" t="str">
        <f t="shared" si="19"/>
        <v/>
      </c>
      <c r="AA231" s="281" t="str">
        <f t="shared" si="20"/>
        <v/>
      </c>
      <c r="AE231" s="281" t="str">
        <f t="shared" si="21"/>
        <v/>
      </c>
      <c r="AI231" s="281" t="str">
        <f t="shared" si="22"/>
        <v/>
      </c>
      <c r="AM231" s="281" t="str">
        <f t="shared" si="23"/>
        <v/>
      </c>
    </row>
    <row r="232" spans="1:39">
      <c r="A232" s="371">
        <f>References!F285</f>
        <v>625</v>
      </c>
      <c r="B232" s="292" t="s">
        <v>56</v>
      </c>
      <c r="C232" s="284">
        <v>2007</v>
      </c>
      <c r="W232" s="281" t="str">
        <f t="shared" si="19"/>
        <v/>
      </c>
      <c r="AA232" s="281" t="str">
        <f t="shared" si="20"/>
        <v/>
      </c>
      <c r="AE232" s="281" t="str">
        <f t="shared" si="21"/>
        <v/>
      </c>
      <c r="AI232" s="281" t="str">
        <f t="shared" si="22"/>
        <v/>
      </c>
      <c r="AM232" s="281" t="str">
        <f t="shared" si="23"/>
        <v/>
      </c>
    </row>
    <row r="233" spans="1:39">
      <c r="A233" s="371">
        <f>References!G285</f>
        <v>626</v>
      </c>
      <c r="B233" s="292" t="s">
        <v>56</v>
      </c>
      <c r="C233" s="284">
        <v>2008</v>
      </c>
      <c r="AE233" s="281"/>
      <c r="AI233" s="281"/>
    </row>
    <row r="234" spans="1:39">
      <c r="A234" s="371">
        <f>References!H285</f>
        <v>627</v>
      </c>
      <c r="B234" s="292" t="s">
        <v>56</v>
      </c>
      <c r="C234" s="284">
        <v>2009</v>
      </c>
      <c r="D234" s="31">
        <v>1771.5</v>
      </c>
      <c r="E234" s="281">
        <v>90</v>
      </c>
      <c r="F234" s="31">
        <v>2818.2</v>
      </c>
      <c r="G234" s="281">
        <v>293</v>
      </c>
      <c r="H234" s="31">
        <v>4589.7</v>
      </c>
      <c r="I234" s="31">
        <v>383</v>
      </c>
      <c r="J234" s="31">
        <v>1772</v>
      </c>
      <c r="K234" s="31">
        <v>529</v>
      </c>
      <c r="L234" s="281">
        <v>1603.075</v>
      </c>
      <c r="M234" s="31">
        <v>162900</v>
      </c>
      <c r="N234" s="281">
        <v>26.3</v>
      </c>
      <c r="O234" s="281">
        <v>0.56999999999999995</v>
      </c>
      <c r="P234" s="281">
        <v>25.78</v>
      </c>
      <c r="Q234" s="281">
        <v>0.38800000000000001</v>
      </c>
      <c r="R234" s="281">
        <v>5.0000000000000001E-3</v>
      </c>
      <c r="S234" s="281">
        <v>0.38300000000000001</v>
      </c>
      <c r="T234" s="281">
        <v>55680.197</v>
      </c>
      <c r="U234" s="281">
        <v>737476</v>
      </c>
      <c r="V234" s="281">
        <v>150575</v>
      </c>
      <c r="W234" s="281">
        <f t="shared" si="19"/>
        <v>7.5501029186034527</v>
      </c>
      <c r="X234" s="31">
        <v>11688.939</v>
      </c>
      <c r="Y234" s="31">
        <v>260835</v>
      </c>
      <c r="Z234" s="31">
        <v>11121</v>
      </c>
      <c r="AA234" s="281">
        <f t="shared" si="20"/>
        <v>4.4813537293691423</v>
      </c>
      <c r="AB234" s="31">
        <v>19476.788</v>
      </c>
      <c r="AC234" s="31">
        <v>551674</v>
      </c>
      <c r="AD234" s="31">
        <v>1199</v>
      </c>
      <c r="AE234" s="281">
        <f t="shared" si="21"/>
        <v>3.53048865815681</v>
      </c>
      <c r="AF234" s="31">
        <v>1319.0761</v>
      </c>
      <c r="AG234" s="31">
        <v>53090</v>
      </c>
      <c r="AH234" s="31">
        <v>5</v>
      </c>
      <c r="AI234" s="281">
        <f t="shared" si="22"/>
        <v>2.484603691844038</v>
      </c>
      <c r="AJ234" s="31">
        <v>88165</v>
      </c>
      <c r="AK234" s="31">
        <v>1603075</v>
      </c>
      <c r="AL234" s="281">
        <v>162900</v>
      </c>
      <c r="AM234" s="281">
        <f t="shared" si="23"/>
        <v>5.4997426820329682</v>
      </c>
    </row>
    <row r="235" spans="1:39">
      <c r="A235" s="371">
        <f>References!I285</f>
        <v>628</v>
      </c>
      <c r="B235" s="292" t="s">
        <v>56</v>
      </c>
      <c r="C235" s="284">
        <v>2010</v>
      </c>
      <c r="D235" s="31">
        <v>1772</v>
      </c>
      <c r="E235" s="281">
        <v>90</v>
      </c>
      <c r="F235" s="31">
        <v>2837.9</v>
      </c>
      <c r="G235" s="281">
        <v>296</v>
      </c>
      <c r="H235" s="31">
        <v>4609.8999999999996</v>
      </c>
      <c r="I235" s="31">
        <v>386</v>
      </c>
      <c r="J235" s="31">
        <v>1771.7</v>
      </c>
      <c r="K235" s="31">
        <v>565.4</v>
      </c>
      <c r="L235" s="281">
        <v>2504</v>
      </c>
      <c r="M235" s="31">
        <v>164058</v>
      </c>
      <c r="N235" s="281">
        <v>40.628999999999998</v>
      </c>
      <c r="O235" s="281">
        <v>2.94</v>
      </c>
      <c r="P235" s="281">
        <v>37.69</v>
      </c>
      <c r="Q235" s="281">
        <v>0.58299999999999996</v>
      </c>
      <c r="R235" s="281">
        <v>0.03</v>
      </c>
      <c r="S235" s="281">
        <v>0.56000000000000005</v>
      </c>
      <c r="T235" s="281">
        <v>96098.285999999993</v>
      </c>
      <c r="U235" s="281">
        <v>1221078.7</v>
      </c>
      <c r="V235" s="281">
        <v>151715</v>
      </c>
      <c r="W235" s="281">
        <f t="shared" si="19"/>
        <v>7.869950233346958</v>
      </c>
      <c r="X235" s="31">
        <v>18306.797999999999</v>
      </c>
      <c r="Y235" s="31">
        <v>390288.17</v>
      </c>
      <c r="Z235" s="31">
        <v>11107</v>
      </c>
      <c r="AA235" s="281">
        <f t="shared" si="20"/>
        <v>4.6905849080693374</v>
      </c>
      <c r="AB235" s="31">
        <v>30206.278999999999</v>
      </c>
      <c r="AC235" s="31">
        <v>847197.32</v>
      </c>
      <c r="AD235" s="31">
        <v>1231</v>
      </c>
      <c r="AE235" s="281">
        <f t="shared" si="21"/>
        <v>3.5654360899064224</v>
      </c>
      <c r="AF235" s="31">
        <v>2660.4915999999998</v>
      </c>
      <c r="AG235" s="31">
        <v>46256.267999999996</v>
      </c>
      <c r="AH235" s="31">
        <v>5</v>
      </c>
      <c r="AI235" s="281">
        <f t="shared" si="22"/>
        <v>5.7516347838524284</v>
      </c>
      <c r="AJ235" s="31">
        <v>147271.85</v>
      </c>
      <c r="AK235" s="31">
        <v>2504820.5</v>
      </c>
      <c r="AL235" s="281">
        <v>164058</v>
      </c>
      <c r="AM235" s="281">
        <f t="shared" si="23"/>
        <v>5.8795370766088828</v>
      </c>
    </row>
    <row r="236" spans="1:39">
      <c r="A236" s="371">
        <f>References!J285</f>
        <v>629</v>
      </c>
      <c r="B236" s="292" t="s">
        <v>56</v>
      </c>
      <c r="C236" s="284">
        <v>2011</v>
      </c>
      <c r="D236" s="31">
        <v>1758.9321</v>
      </c>
      <c r="E236" s="281">
        <v>90</v>
      </c>
      <c r="F236" s="31">
        <v>2845.4897000000001</v>
      </c>
      <c r="G236" s="281">
        <v>296</v>
      </c>
      <c r="H236" s="31">
        <v>4604.4216999999999</v>
      </c>
      <c r="I236" s="31">
        <v>386</v>
      </c>
      <c r="J236" s="31">
        <v>1758.9321</v>
      </c>
      <c r="K236" s="31">
        <v>570.46</v>
      </c>
      <c r="L236" s="281">
        <v>2454.8793999999998</v>
      </c>
      <c r="M236" s="31">
        <v>164250</v>
      </c>
      <c r="N236" s="281">
        <v>34.738356000000003</v>
      </c>
      <c r="O236" s="281">
        <v>0.76</v>
      </c>
      <c r="P236" s="281">
        <v>33.978355999999998</v>
      </c>
      <c r="Q236" s="281">
        <v>0.53600000000000003</v>
      </c>
      <c r="R236" s="281">
        <v>5.0000000000000001E-3</v>
      </c>
      <c r="S236" s="281">
        <v>0.53100000000000003</v>
      </c>
      <c r="T236" s="281">
        <v>95975.591</v>
      </c>
      <c r="U236" s="281">
        <v>1164448.3</v>
      </c>
      <c r="V236" s="281">
        <v>152379</v>
      </c>
      <c r="W236" s="281">
        <f t="shared" si="19"/>
        <v>8.2421513260829169</v>
      </c>
      <c r="X236" s="31">
        <v>18456.884999999998</v>
      </c>
      <c r="Y236" s="31">
        <v>380816.93</v>
      </c>
      <c r="Z236" s="31">
        <v>10831</v>
      </c>
      <c r="AA236" s="281">
        <f t="shared" si="20"/>
        <v>4.8466555833008789</v>
      </c>
      <c r="AB236" s="31">
        <v>31808.23</v>
      </c>
      <c r="AC236" s="31">
        <v>835335.47</v>
      </c>
      <c r="AD236" s="31">
        <v>1035</v>
      </c>
      <c r="AE236" s="281">
        <f t="shared" si="21"/>
        <v>3.8078390230454362</v>
      </c>
      <c r="AF236" s="31">
        <v>1841.2909999999999</v>
      </c>
      <c r="AG236" s="31">
        <v>74278.695000000007</v>
      </c>
      <c r="AH236" s="31">
        <v>5</v>
      </c>
      <c r="AI236" s="281">
        <f t="shared" si="22"/>
        <v>2.4788951932986976</v>
      </c>
      <c r="AJ236" s="31">
        <v>148082</v>
      </c>
      <c r="AK236" s="31">
        <v>2454879.4</v>
      </c>
      <c r="AL236" s="281">
        <v>164250</v>
      </c>
      <c r="AM236" s="281">
        <f t="shared" si="23"/>
        <v>6.0321496852350469</v>
      </c>
    </row>
    <row r="237" spans="1:39">
      <c r="A237" s="371">
        <f>References!C286</f>
        <v>645</v>
      </c>
      <c r="B237" s="292" t="s">
        <v>57</v>
      </c>
      <c r="C237" s="284">
        <v>2004</v>
      </c>
      <c r="F237" s="31">
        <v>122</v>
      </c>
      <c r="H237" s="31">
        <v>1978</v>
      </c>
      <c r="J237" s="31">
        <v>1856</v>
      </c>
      <c r="K237" s="31">
        <v>36.024000000000001</v>
      </c>
      <c r="L237" s="294">
        <v>192.73146499999999</v>
      </c>
      <c r="M237" s="31">
        <v>11931</v>
      </c>
      <c r="N237" s="281">
        <v>205.49</v>
      </c>
      <c r="Q237" s="281">
        <v>2.4</v>
      </c>
      <c r="W237" s="281" t="str">
        <f t="shared" si="19"/>
        <v/>
      </c>
      <c r="AA237" s="281" t="str">
        <f t="shared" si="20"/>
        <v/>
      </c>
      <c r="AE237" s="281" t="str">
        <f t="shared" si="21"/>
        <v/>
      </c>
      <c r="AI237" s="281" t="str">
        <f t="shared" si="22"/>
        <v/>
      </c>
      <c r="AM237" s="281" t="str">
        <f t="shared" si="23"/>
        <v/>
      </c>
    </row>
    <row r="238" spans="1:39">
      <c r="A238" s="371">
        <f>References!D286</f>
        <v>646</v>
      </c>
      <c r="B238" s="292" t="s">
        <v>57</v>
      </c>
      <c r="C238" s="284">
        <v>2005</v>
      </c>
      <c r="F238" s="31">
        <v>126</v>
      </c>
      <c r="H238" s="31">
        <v>2002</v>
      </c>
      <c r="J238" s="31">
        <v>1876</v>
      </c>
      <c r="K238" s="31">
        <v>37.171999999999997</v>
      </c>
      <c r="L238" s="294">
        <v>196.81777500000001</v>
      </c>
      <c r="M238" s="31">
        <v>12031</v>
      </c>
      <c r="N238" s="281">
        <v>372.06</v>
      </c>
      <c r="Q238" s="281">
        <v>4.2300000000000004</v>
      </c>
      <c r="W238" s="281" t="str">
        <f t="shared" si="19"/>
        <v/>
      </c>
      <c r="AA238" s="281" t="str">
        <f t="shared" si="20"/>
        <v/>
      </c>
      <c r="AE238" s="281" t="str">
        <f t="shared" si="21"/>
        <v/>
      </c>
      <c r="AI238" s="281" t="str">
        <f t="shared" si="22"/>
        <v/>
      </c>
      <c r="AM238" s="281" t="str">
        <f t="shared" si="23"/>
        <v/>
      </c>
    </row>
    <row r="239" spans="1:39">
      <c r="A239" s="371">
        <f>References!E286</f>
        <v>647</v>
      </c>
      <c r="B239" s="292" t="s">
        <v>57</v>
      </c>
      <c r="C239" s="284">
        <v>2006</v>
      </c>
      <c r="F239" s="31">
        <v>129</v>
      </c>
      <c r="H239" s="31">
        <v>2021</v>
      </c>
      <c r="J239" s="31">
        <v>1892</v>
      </c>
      <c r="K239" s="31">
        <v>39.292000000000002</v>
      </c>
      <c r="L239" s="294">
        <v>210.98400000000001</v>
      </c>
      <c r="M239" s="31">
        <v>12010</v>
      </c>
      <c r="N239" s="281">
        <v>151.12</v>
      </c>
      <c r="Q239" s="281">
        <v>2.04</v>
      </c>
      <c r="W239" s="281" t="str">
        <f t="shared" si="19"/>
        <v/>
      </c>
      <c r="AA239" s="281" t="str">
        <f t="shared" si="20"/>
        <v/>
      </c>
      <c r="AE239" s="281" t="str">
        <f t="shared" si="21"/>
        <v/>
      </c>
      <c r="AI239" s="281" t="str">
        <f t="shared" si="22"/>
        <v/>
      </c>
      <c r="AM239" s="281" t="str">
        <f t="shared" si="23"/>
        <v/>
      </c>
    </row>
    <row r="240" spans="1:39">
      <c r="A240" s="371">
        <f>References!F286</f>
        <v>648</v>
      </c>
      <c r="B240" s="292" t="s">
        <v>57</v>
      </c>
      <c r="C240" s="284">
        <v>2007</v>
      </c>
      <c r="F240" s="31">
        <v>148</v>
      </c>
      <c r="H240" s="31">
        <v>2085</v>
      </c>
      <c r="J240" s="31">
        <v>1937</v>
      </c>
      <c r="K240" s="31">
        <v>42.103000000000002</v>
      </c>
      <c r="L240" s="294">
        <v>215.66679099999999</v>
      </c>
      <c r="M240" s="31">
        <v>12192</v>
      </c>
      <c r="N240" s="281">
        <v>309.87</v>
      </c>
      <c r="Q240" s="281">
        <v>7.88</v>
      </c>
      <c r="W240" s="281" t="str">
        <f t="shared" si="19"/>
        <v/>
      </c>
      <c r="AA240" s="281" t="str">
        <f t="shared" si="20"/>
        <v/>
      </c>
      <c r="AE240" s="281" t="str">
        <f t="shared" si="21"/>
        <v/>
      </c>
      <c r="AI240" s="281" t="str">
        <f t="shared" si="22"/>
        <v/>
      </c>
      <c r="AM240" s="281" t="str">
        <f t="shared" si="23"/>
        <v/>
      </c>
    </row>
    <row r="241" spans="1:39">
      <c r="A241" s="371">
        <f>References!G286</f>
        <v>649</v>
      </c>
      <c r="B241" s="292" t="s">
        <v>57</v>
      </c>
      <c r="C241" s="284">
        <v>2008</v>
      </c>
      <c r="D241" s="31">
        <v>1937</v>
      </c>
      <c r="E241" s="281">
        <v>0</v>
      </c>
      <c r="F241" s="31">
        <v>147</v>
      </c>
      <c r="G241" s="281">
        <v>0</v>
      </c>
      <c r="H241" s="31">
        <v>2084</v>
      </c>
      <c r="I241" s="31">
        <v>0</v>
      </c>
      <c r="J241" s="31">
        <v>1937</v>
      </c>
      <c r="K241" s="31">
        <v>44</v>
      </c>
      <c r="L241" s="281">
        <v>245.12299999999999</v>
      </c>
      <c r="M241" s="31">
        <v>12414</v>
      </c>
      <c r="N241" s="281">
        <v>150.52000000000001</v>
      </c>
      <c r="O241" s="281">
        <v>44.46</v>
      </c>
      <c r="P241" s="281">
        <v>106.06</v>
      </c>
      <c r="Q241" s="281">
        <v>1.41</v>
      </c>
      <c r="R241" s="281">
        <v>0.23</v>
      </c>
      <c r="S241" s="281">
        <v>1.18</v>
      </c>
      <c r="T241" s="281">
        <v>7021</v>
      </c>
      <c r="U241" s="281">
        <v>78562</v>
      </c>
      <c r="V241" s="281">
        <v>11577</v>
      </c>
      <c r="W241" s="281">
        <f t="shared" si="19"/>
        <v>8.9368906086912254</v>
      </c>
      <c r="X241" s="31">
        <v>4266</v>
      </c>
      <c r="Y241" s="31">
        <v>56536</v>
      </c>
      <c r="Z241" s="31">
        <v>812</v>
      </c>
      <c r="AA241" s="281">
        <f t="shared" si="20"/>
        <v>7.5456346398754777</v>
      </c>
      <c r="AB241" s="31">
        <v>2027</v>
      </c>
      <c r="AC241" s="31">
        <v>23202</v>
      </c>
      <c r="AD241" s="31">
        <v>20</v>
      </c>
      <c r="AE241" s="281">
        <f t="shared" si="21"/>
        <v>8.7363158348418235</v>
      </c>
      <c r="AF241" s="31">
        <v>2353</v>
      </c>
      <c r="AG241" s="31">
        <v>86823</v>
      </c>
      <c r="AH241" s="31">
        <v>5</v>
      </c>
      <c r="AI241" s="281">
        <f t="shared" si="22"/>
        <v>2.7101113760178754</v>
      </c>
      <c r="AJ241" s="31">
        <v>15667</v>
      </c>
      <c r="AK241" s="31">
        <v>245123</v>
      </c>
      <c r="AL241" s="281">
        <v>12414</v>
      </c>
      <c r="AM241" s="281">
        <f t="shared" si="23"/>
        <v>6.3914850911583168</v>
      </c>
    </row>
    <row r="242" spans="1:39">
      <c r="A242" s="371">
        <f>References!H286</f>
        <v>650</v>
      </c>
      <c r="B242" s="292" t="s">
        <v>57</v>
      </c>
      <c r="C242" s="284">
        <v>2009</v>
      </c>
      <c r="D242" s="31">
        <v>1970</v>
      </c>
      <c r="E242" s="281">
        <v>0</v>
      </c>
      <c r="F242" s="31">
        <v>147</v>
      </c>
      <c r="G242" s="281">
        <v>0</v>
      </c>
      <c r="H242" s="31">
        <v>2117</v>
      </c>
      <c r="I242" s="31">
        <v>0</v>
      </c>
      <c r="J242" s="31">
        <v>1970</v>
      </c>
      <c r="K242" s="31">
        <v>47.292999999999999</v>
      </c>
      <c r="L242" s="281">
        <v>271.91500000000002</v>
      </c>
      <c r="M242" s="31">
        <v>12617</v>
      </c>
      <c r="N242" s="281">
        <v>382.47</v>
      </c>
      <c r="O242" s="281">
        <v>43.45</v>
      </c>
      <c r="P242" s="281">
        <v>339.02</v>
      </c>
      <c r="Q242" s="281">
        <v>3.09</v>
      </c>
      <c r="R242" s="281">
        <v>0.19189999999999999</v>
      </c>
      <c r="S242" s="281">
        <v>2.9001000000000001</v>
      </c>
      <c r="T242" s="281">
        <v>7399</v>
      </c>
      <c r="U242" s="281">
        <v>80816</v>
      </c>
      <c r="V242" s="281">
        <v>11767</v>
      </c>
      <c r="W242" s="281">
        <f t="shared" si="19"/>
        <v>9.1553652742031275</v>
      </c>
      <c r="X242" s="31">
        <v>4609</v>
      </c>
      <c r="Y242" s="31">
        <v>59367</v>
      </c>
      <c r="Z242" s="31">
        <v>824</v>
      </c>
      <c r="AA242" s="281">
        <f t="shared" si="20"/>
        <v>7.7635723550120437</v>
      </c>
      <c r="AB242" s="31">
        <v>1469</v>
      </c>
      <c r="AC242" s="31">
        <v>23968</v>
      </c>
      <c r="AD242" s="31">
        <v>21</v>
      </c>
      <c r="AE242" s="281">
        <f t="shared" si="21"/>
        <v>6.1290053404539382</v>
      </c>
      <c r="AF242" s="31">
        <v>3263</v>
      </c>
      <c r="AG242" s="31">
        <v>107764</v>
      </c>
      <c r="AH242" s="31">
        <v>5</v>
      </c>
      <c r="AI242" s="281">
        <f t="shared" si="22"/>
        <v>3.0279128465906981</v>
      </c>
      <c r="AJ242" s="31">
        <v>16740</v>
      </c>
      <c r="AK242" s="31">
        <v>271915</v>
      </c>
      <c r="AL242" s="281">
        <v>12617</v>
      </c>
      <c r="AM242" s="281">
        <f t="shared" si="23"/>
        <v>6.1563356195870034</v>
      </c>
    </row>
    <row r="243" spans="1:39">
      <c r="A243" s="371">
        <f>References!I286</f>
        <v>651</v>
      </c>
      <c r="B243" s="292" t="s">
        <v>57</v>
      </c>
      <c r="C243" s="284">
        <v>2010</v>
      </c>
      <c r="D243" s="31">
        <v>1976</v>
      </c>
      <c r="E243" s="281">
        <v>0</v>
      </c>
      <c r="F243" s="31">
        <v>154</v>
      </c>
      <c r="G243" s="281">
        <v>0</v>
      </c>
      <c r="H243" s="31">
        <v>2130</v>
      </c>
      <c r="I243" s="31">
        <v>0</v>
      </c>
      <c r="J243" s="31">
        <v>1976</v>
      </c>
      <c r="K243" s="31">
        <v>53</v>
      </c>
      <c r="L243" s="281">
        <v>294.37299999999999</v>
      </c>
      <c r="M243" s="31">
        <v>12782</v>
      </c>
      <c r="N243" s="281">
        <v>279.31</v>
      </c>
      <c r="O243" s="281">
        <v>54.18</v>
      </c>
      <c r="P243" s="281">
        <v>225.12</v>
      </c>
      <c r="Q243" s="281">
        <v>2.02</v>
      </c>
      <c r="R243" s="281">
        <v>0.18</v>
      </c>
      <c r="S243" s="281">
        <v>1.84</v>
      </c>
      <c r="T243" s="281">
        <v>7893</v>
      </c>
      <c r="U243" s="281">
        <v>82831</v>
      </c>
      <c r="V243" s="281">
        <v>11911</v>
      </c>
      <c r="W243" s="281">
        <f t="shared" si="19"/>
        <v>9.5290410595067065</v>
      </c>
      <c r="X243" s="31">
        <v>5028</v>
      </c>
      <c r="Y243" s="31">
        <v>61628</v>
      </c>
      <c r="Z243" s="31">
        <v>845</v>
      </c>
      <c r="AA243" s="281">
        <f t="shared" si="20"/>
        <v>8.1586291945219713</v>
      </c>
      <c r="AB243" s="31">
        <v>1887</v>
      </c>
      <c r="AC243" s="31">
        <v>24994</v>
      </c>
      <c r="AD243" s="31">
        <v>21</v>
      </c>
      <c r="AE243" s="281">
        <f t="shared" si="21"/>
        <v>7.5498119548691687</v>
      </c>
      <c r="AF243" s="31">
        <v>3491</v>
      </c>
      <c r="AG243" s="31">
        <v>124920</v>
      </c>
      <c r="AH243" s="31">
        <v>5</v>
      </c>
      <c r="AI243" s="281">
        <f t="shared" si="22"/>
        <v>2.7945885366634644</v>
      </c>
      <c r="AJ243" s="31">
        <v>18299</v>
      </c>
      <c r="AK243" s="31">
        <v>294373</v>
      </c>
      <c r="AL243" s="281">
        <v>12782</v>
      </c>
      <c r="AM243" s="281">
        <f t="shared" si="23"/>
        <v>6.2162630404283004</v>
      </c>
    </row>
    <row r="244" spans="1:39">
      <c r="A244" s="371">
        <f>References!J286</f>
        <v>652</v>
      </c>
      <c r="B244" s="375" t="s">
        <v>57</v>
      </c>
      <c r="C244" s="296">
        <v>2011</v>
      </c>
      <c r="D244" s="36">
        <v>1972</v>
      </c>
      <c r="E244" s="297">
        <v>0</v>
      </c>
      <c r="F244" s="36">
        <v>179</v>
      </c>
      <c r="G244" s="297">
        <v>0</v>
      </c>
      <c r="H244" s="36">
        <v>2151</v>
      </c>
      <c r="I244" s="36">
        <v>0</v>
      </c>
      <c r="J244" s="36">
        <v>1972</v>
      </c>
      <c r="K244" s="36">
        <v>55</v>
      </c>
      <c r="L244" s="297">
        <v>293.46600000000001</v>
      </c>
      <c r="M244" s="36">
        <v>12876</v>
      </c>
      <c r="N244" s="297">
        <v>330.82</v>
      </c>
      <c r="O244" s="297">
        <v>46.92</v>
      </c>
      <c r="P244" s="297">
        <v>250.36</v>
      </c>
      <c r="Q244" s="297">
        <v>3.73</v>
      </c>
      <c r="R244" s="297">
        <v>0.17</v>
      </c>
      <c r="S244" s="297">
        <v>2.4500000000000002</v>
      </c>
      <c r="T244" s="297">
        <v>8157</v>
      </c>
      <c r="U244" s="297">
        <v>81583</v>
      </c>
      <c r="V244" s="297">
        <v>12027</v>
      </c>
      <c r="W244" s="297">
        <f t="shared" si="19"/>
        <v>9.9984065307723426</v>
      </c>
      <c r="X244" s="36">
        <v>5255</v>
      </c>
      <c r="Y244" s="36">
        <v>62168</v>
      </c>
      <c r="Z244" s="36">
        <v>827</v>
      </c>
      <c r="AA244" s="297">
        <f t="shared" si="20"/>
        <v>8.452901814438297</v>
      </c>
      <c r="AB244" s="36">
        <v>1562</v>
      </c>
      <c r="AC244" s="36">
        <v>25195</v>
      </c>
      <c r="AD244" s="36">
        <v>17</v>
      </c>
      <c r="AE244" s="297">
        <f t="shared" si="21"/>
        <v>6.1996427862671162</v>
      </c>
      <c r="AF244" s="36">
        <v>3043</v>
      </c>
      <c r="AG244" s="36">
        <v>124520</v>
      </c>
      <c r="AH244" s="36">
        <v>5</v>
      </c>
      <c r="AI244" s="297">
        <f t="shared" si="22"/>
        <v>2.4437841310632828</v>
      </c>
      <c r="AJ244" s="36">
        <v>18017</v>
      </c>
      <c r="AK244" s="36">
        <v>293466</v>
      </c>
      <c r="AL244" s="297">
        <v>12876</v>
      </c>
      <c r="AM244" s="297">
        <f t="shared" si="23"/>
        <v>6.1393824156801813</v>
      </c>
    </row>
    <row r="245" spans="1:39" s="376" customFormat="1">
      <c r="A245" s="371">
        <v>1</v>
      </c>
      <c r="B245" s="376">
        <f>A245+1</f>
        <v>2</v>
      </c>
      <c r="C245" s="376">
        <f t="shared" ref="C245" si="24">B245+1</f>
        <v>3</v>
      </c>
      <c r="D245" s="376">
        <f t="shared" ref="D245" si="25">C245+1</f>
        <v>4</v>
      </c>
      <c r="E245" s="376">
        <f t="shared" ref="E245" si="26">D245+1</f>
        <v>5</v>
      </c>
      <c r="F245" s="376">
        <f t="shared" ref="F245" si="27">E245+1</f>
        <v>6</v>
      </c>
      <c r="G245" s="376">
        <f t="shared" ref="G245" si="28">F245+1</f>
        <v>7</v>
      </c>
      <c r="H245" s="376">
        <f t="shared" ref="H245" si="29">G245+1</f>
        <v>8</v>
      </c>
      <c r="I245" s="376">
        <f t="shared" ref="I245" si="30">H245+1</f>
        <v>9</v>
      </c>
      <c r="J245" s="376">
        <f t="shared" ref="J245" si="31">I245+1</f>
        <v>10</v>
      </c>
      <c r="K245" s="376">
        <f t="shared" ref="K245" si="32">J245+1</f>
        <v>11</v>
      </c>
      <c r="L245" s="376">
        <f t="shared" ref="L245" si="33">K245+1</f>
        <v>12</v>
      </c>
      <c r="M245" s="376">
        <f t="shared" ref="M245" si="34">L245+1</f>
        <v>13</v>
      </c>
      <c r="N245" s="376">
        <f t="shared" ref="N245" si="35">M245+1</f>
        <v>14</v>
      </c>
      <c r="O245" s="376">
        <f t="shared" ref="O245" si="36">N245+1</f>
        <v>15</v>
      </c>
      <c r="P245" s="376">
        <f t="shared" ref="P245" si="37">O245+1</f>
        <v>16</v>
      </c>
      <c r="Q245" s="376">
        <f t="shared" ref="Q245" si="38">P245+1</f>
        <v>17</v>
      </c>
      <c r="R245" s="376">
        <f t="shared" ref="R245" si="39">Q245+1</f>
        <v>18</v>
      </c>
      <c r="S245" s="376">
        <f t="shared" ref="S245" si="40">R245+1</f>
        <v>19</v>
      </c>
      <c r="T245" s="376">
        <f t="shared" ref="T245" si="41">S245+1</f>
        <v>20</v>
      </c>
      <c r="U245" s="376">
        <f t="shared" ref="U245" si="42">T245+1</f>
        <v>21</v>
      </c>
      <c r="V245" s="376">
        <f t="shared" ref="V245" si="43">U245+1</f>
        <v>22</v>
      </c>
      <c r="W245" s="376">
        <f t="shared" ref="W245" si="44">V245+1</f>
        <v>23</v>
      </c>
      <c r="X245" s="376">
        <f t="shared" ref="X245" si="45">W245+1</f>
        <v>24</v>
      </c>
      <c r="Y245" s="376">
        <f t="shared" ref="Y245" si="46">X245+1</f>
        <v>25</v>
      </c>
      <c r="Z245" s="376">
        <f t="shared" ref="Z245" si="47">Y245+1</f>
        <v>26</v>
      </c>
      <c r="AA245" s="376">
        <f t="shared" ref="AA245" si="48">Z245+1</f>
        <v>27</v>
      </c>
      <c r="AB245" s="376">
        <f t="shared" ref="AB245" si="49">AA245+1</f>
        <v>28</v>
      </c>
      <c r="AC245" s="376">
        <f t="shared" ref="AC245" si="50">AB245+1</f>
        <v>29</v>
      </c>
      <c r="AD245" s="376">
        <f t="shared" ref="AD245" si="51">AC245+1</f>
        <v>30</v>
      </c>
      <c r="AE245" s="376">
        <f t="shared" ref="AE245" si="52">AD245+1</f>
        <v>31</v>
      </c>
      <c r="AF245" s="376">
        <f t="shared" ref="AF245" si="53">AE245+1</f>
        <v>32</v>
      </c>
      <c r="AG245" s="376">
        <f t="shared" ref="AG245" si="54">AF245+1</f>
        <v>33</v>
      </c>
      <c r="AH245" s="376">
        <f t="shared" ref="AH245" si="55">AG245+1</f>
        <v>34</v>
      </c>
      <c r="AI245" s="376">
        <f t="shared" ref="AI245" si="56">AH245+1</f>
        <v>35</v>
      </c>
      <c r="AJ245" s="376">
        <f t="shared" ref="AJ245" si="57">AI245+1</f>
        <v>36</v>
      </c>
      <c r="AK245" s="376">
        <f t="shared" ref="AK245" si="58">AJ245+1</f>
        <v>37</v>
      </c>
      <c r="AL245" s="376">
        <f t="shared" ref="AL245" si="59">AK245+1</f>
        <v>38</v>
      </c>
      <c r="AM245" s="376">
        <f t="shared" ref="AM245" si="60">AL245+1</f>
        <v>39</v>
      </c>
    </row>
    <row r="249" spans="1:39">
      <c r="M249" s="90"/>
    </row>
  </sheetData>
  <sheetProtection password="80F5" sheet="1" objects="1" scenarios="1" formatCells="0" formatColumns="0" formatRows="0"/>
  <mergeCells count="13">
    <mergeCell ref="AJ11:AM11"/>
    <mergeCell ref="N10:AM10"/>
    <mergeCell ref="D10:M10"/>
    <mergeCell ref="N11:P11"/>
    <mergeCell ref="Q11:S11"/>
    <mergeCell ref="T11:W11"/>
    <mergeCell ref="X11:AA11"/>
    <mergeCell ref="AB11:AE11"/>
    <mergeCell ref="B10:C11"/>
    <mergeCell ref="D11:E11"/>
    <mergeCell ref="F11:G11"/>
    <mergeCell ref="H11:I11"/>
    <mergeCell ref="AF11:AI11"/>
  </mergeCells>
  <pageMargins left="0.7" right="0.7" top="0.75" bottom="0.75" header="0.3" footer="0.3"/>
  <pageSetup paperSize="9"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0" tint="-0.499984740745262"/>
  </sheetPr>
  <dimension ref="A2:CF445"/>
  <sheetViews>
    <sheetView showGridLines="0" zoomScale="70" zoomScaleNormal="70" workbookViewId="0">
      <pane xSplit="4" ySplit="9" topLeftCell="E10" activePane="bottomRight" state="frozen"/>
      <selection activeCell="V3" sqref="V3"/>
      <selection pane="topRight" activeCell="V3" sqref="V3"/>
      <selection pane="bottomLeft" activeCell="V3" sqref="V3"/>
      <selection pane="bottomRight"/>
    </sheetView>
  </sheetViews>
  <sheetFormatPr defaultColWidth="9.140625" defaultRowHeight="15"/>
  <cols>
    <col min="1" max="1" width="4.42578125" style="271" customWidth="1"/>
    <col min="2" max="2" width="15.5703125" style="273" customWidth="1"/>
    <col min="3" max="3" width="9.5703125" style="273" customWidth="1"/>
    <col min="4" max="4" width="13.42578125" style="273" customWidth="1"/>
    <col min="5" max="5" width="15.28515625" style="30" customWidth="1"/>
    <col min="6" max="6" width="11.7109375" style="30" customWidth="1"/>
    <col min="7" max="7" width="17.28515625" style="30" customWidth="1"/>
    <col min="8" max="8" width="16.7109375" style="30" customWidth="1"/>
    <col min="9" max="9" width="11.7109375" style="30" customWidth="1"/>
    <col min="10" max="10" width="17.85546875" style="30" customWidth="1"/>
    <col min="11" max="11" width="12.7109375" style="30" customWidth="1"/>
    <col min="12" max="12" width="18.42578125" style="30" customWidth="1"/>
    <col min="13" max="14" width="16.28515625" style="30" customWidth="1"/>
    <col min="15" max="15" width="1.140625" style="30" customWidth="1"/>
    <col min="16" max="23" width="9.140625" style="273"/>
    <col min="24" max="24" width="13.5703125" style="273" customWidth="1"/>
    <col min="25" max="16384" width="9.140625" style="273"/>
  </cols>
  <sheetData>
    <row r="2" spans="1:84" ht="15.75">
      <c r="B2" s="264" t="s">
        <v>324</v>
      </c>
    </row>
    <row r="4" spans="1:84">
      <c r="B4" s="266" t="s">
        <v>325</v>
      </c>
    </row>
    <row r="5" spans="1:84">
      <c r="B5" s="266" t="s">
        <v>326</v>
      </c>
    </row>
    <row r="6" spans="1:84">
      <c r="B6" s="266" t="s">
        <v>327</v>
      </c>
    </row>
    <row r="7" spans="1:84" ht="15.75" thickBot="1">
      <c r="B7" s="266"/>
    </row>
    <row r="8" spans="1:84" ht="15.75" hidden="1" thickBot="1">
      <c r="B8" s="300"/>
      <c r="E8" s="301"/>
      <c r="F8" s="273"/>
      <c r="H8" s="301"/>
      <c r="I8" s="273"/>
      <c r="J8" s="273"/>
      <c r="K8" s="38"/>
      <c r="L8" s="39"/>
      <c r="M8" s="40"/>
      <c r="N8" s="273"/>
      <c r="O8" s="39"/>
      <c r="P8" s="30"/>
      <c r="Q8" s="38"/>
      <c r="S8" s="30"/>
      <c r="T8" s="30"/>
      <c r="U8" s="30"/>
      <c r="V8" s="30"/>
      <c r="W8" s="38"/>
      <c r="Y8" s="30"/>
      <c r="Z8" s="30"/>
      <c r="AA8" s="38"/>
      <c r="AC8" s="30"/>
      <c r="AD8" s="30"/>
      <c r="AE8" s="30"/>
      <c r="AF8" s="30"/>
      <c r="AG8" s="38"/>
      <c r="AK8" s="30"/>
      <c r="AL8" s="30"/>
      <c r="AM8" s="30"/>
      <c r="AS8" s="30"/>
      <c r="AT8" s="30"/>
      <c r="AU8" s="30"/>
      <c r="AV8" s="30"/>
      <c r="AW8" s="30"/>
      <c r="AX8" s="301"/>
      <c r="BA8" s="30"/>
      <c r="BB8" s="30"/>
      <c r="BC8" s="30"/>
      <c r="BD8" s="38"/>
      <c r="BF8" s="30"/>
      <c r="BG8" s="30"/>
      <c r="BH8" s="30"/>
      <c r="BI8" s="38"/>
      <c r="BJ8" s="30"/>
      <c r="BK8" s="30"/>
      <c r="BL8" s="30"/>
      <c r="BM8" s="38"/>
      <c r="BN8" s="38"/>
      <c r="BO8" s="30"/>
      <c r="BP8" s="38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8"/>
      <c r="CC8" s="30"/>
      <c r="CD8" s="30"/>
      <c r="CE8" s="30"/>
      <c r="CF8" s="30"/>
    </row>
    <row r="9" spans="1:84" ht="75">
      <c r="B9" s="302" t="s">
        <v>28</v>
      </c>
      <c r="C9" s="303" t="s">
        <v>139</v>
      </c>
      <c r="D9" s="303" t="s">
        <v>140</v>
      </c>
      <c r="E9" s="41" t="s">
        <v>93</v>
      </c>
      <c r="F9" s="41" t="s">
        <v>94</v>
      </c>
      <c r="G9" s="41" t="s">
        <v>96</v>
      </c>
      <c r="H9" s="41" t="s">
        <v>95</v>
      </c>
      <c r="I9" s="41" t="s">
        <v>97</v>
      </c>
      <c r="J9" s="42" t="s">
        <v>328</v>
      </c>
      <c r="K9" s="41" t="s">
        <v>98</v>
      </c>
      <c r="L9" s="41" t="s">
        <v>99</v>
      </c>
      <c r="M9" s="41" t="s">
        <v>100</v>
      </c>
      <c r="N9" s="638" t="s">
        <v>329</v>
      </c>
      <c r="O9" s="43"/>
      <c r="X9" s="304"/>
      <c r="AJ9" s="304"/>
      <c r="AK9" s="304"/>
      <c r="AL9" s="304"/>
      <c r="AM9" s="304"/>
      <c r="AN9" s="304"/>
      <c r="AO9" s="304"/>
      <c r="AP9" s="304"/>
      <c r="AQ9" s="304"/>
      <c r="AR9" s="304"/>
      <c r="AS9" s="304"/>
      <c r="AT9" s="304"/>
      <c r="AU9" s="304"/>
      <c r="AV9" s="304"/>
      <c r="AW9" s="304"/>
      <c r="AX9" s="304"/>
      <c r="AY9" s="304"/>
      <c r="AZ9" s="304"/>
      <c r="BA9" s="304"/>
      <c r="BB9" s="44"/>
      <c r="BC9" s="44"/>
      <c r="BD9" s="304"/>
    </row>
    <row r="10" spans="1:84" s="278" customFormat="1">
      <c r="A10" s="271">
        <f>References!K258</f>
        <v>9</v>
      </c>
      <c r="B10" s="305" t="s">
        <v>29</v>
      </c>
      <c r="C10" s="284">
        <v>2009</v>
      </c>
      <c r="D10" s="284">
        <v>2010</v>
      </c>
      <c r="E10" s="31">
        <v>3250</v>
      </c>
      <c r="F10" s="31">
        <v>7825</v>
      </c>
      <c r="G10" s="31">
        <v>2780</v>
      </c>
      <c r="H10" s="31">
        <v>220</v>
      </c>
      <c r="I10" s="31">
        <v>1300</v>
      </c>
      <c r="J10" s="27">
        <v>15375</v>
      </c>
      <c r="K10" s="31">
        <v>1066</v>
      </c>
      <c r="L10" s="31">
        <v>747</v>
      </c>
      <c r="M10" s="31">
        <v>392</v>
      </c>
      <c r="N10" s="639">
        <v>2205</v>
      </c>
      <c r="O10" s="29"/>
    </row>
    <row r="11" spans="1:84" s="278" customFormat="1">
      <c r="A11" s="271">
        <f>References!L258</f>
        <v>10</v>
      </c>
      <c r="B11" s="305" t="s">
        <v>29</v>
      </c>
      <c r="C11" s="284">
        <v>2009</v>
      </c>
      <c r="D11" s="284">
        <v>2011</v>
      </c>
      <c r="E11" s="31">
        <v>3040</v>
      </c>
      <c r="F11" s="31">
        <v>14230</v>
      </c>
      <c r="G11" s="31">
        <v>2498</v>
      </c>
      <c r="H11" s="31">
        <v>480</v>
      </c>
      <c r="I11" s="31">
        <v>1865</v>
      </c>
      <c r="J11" s="27">
        <v>22113</v>
      </c>
      <c r="K11" s="31">
        <v>1109</v>
      </c>
      <c r="L11" s="31">
        <v>777</v>
      </c>
      <c r="M11" s="31">
        <v>408</v>
      </c>
      <c r="N11" s="639">
        <v>2294</v>
      </c>
      <c r="O11" s="29"/>
    </row>
    <row r="12" spans="1:84" s="278" customFormat="1">
      <c r="A12" s="271">
        <f>References!M258</f>
        <v>11</v>
      </c>
      <c r="B12" s="305" t="s">
        <v>29</v>
      </c>
      <c r="C12" s="284">
        <v>2009</v>
      </c>
      <c r="D12" s="284">
        <v>2012</v>
      </c>
      <c r="E12" s="31">
        <v>3140</v>
      </c>
      <c r="F12" s="31">
        <v>14113</v>
      </c>
      <c r="G12" s="31">
        <v>3036</v>
      </c>
      <c r="H12" s="31">
        <v>1010</v>
      </c>
      <c r="I12" s="31">
        <v>1433</v>
      </c>
      <c r="J12" s="27">
        <v>22732</v>
      </c>
      <c r="K12" s="31">
        <v>1153</v>
      </c>
      <c r="L12" s="31">
        <v>808</v>
      </c>
      <c r="M12" s="31">
        <v>424</v>
      </c>
      <c r="N12" s="639">
        <v>2385</v>
      </c>
      <c r="O12" s="29"/>
    </row>
    <row r="13" spans="1:84" s="278" customFormat="1">
      <c r="A13" s="271">
        <f>References!N258</f>
        <v>12</v>
      </c>
      <c r="B13" s="305" t="s">
        <v>29</v>
      </c>
      <c r="C13" s="284">
        <v>2009</v>
      </c>
      <c r="D13" s="284">
        <v>2013</v>
      </c>
      <c r="E13" s="31">
        <v>4891</v>
      </c>
      <c r="F13" s="31">
        <v>5201</v>
      </c>
      <c r="G13" s="31">
        <v>4934</v>
      </c>
      <c r="H13" s="31">
        <v>838</v>
      </c>
      <c r="I13" s="31">
        <v>502</v>
      </c>
      <c r="J13" s="27">
        <v>16366</v>
      </c>
      <c r="K13" s="31">
        <v>1222</v>
      </c>
      <c r="L13" s="31">
        <v>856</v>
      </c>
      <c r="M13" s="31">
        <v>450</v>
      </c>
      <c r="N13" s="639">
        <v>2528</v>
      </c>
      <c r="O13" s="29"/>
    </row>
    <row r="14" spans="1:84" s="278" customFormat="1">
      <c r="A14" s="271">
        <f>References!O258</f>
        <v>13</v>
      </c>
      <c r="B14" s="305" t="s">
        <v>29</v>
      </c>
      <c r="C14" s="284">
        <v>2009</v>
      </c>
      <c r="D14" s="284">
        <v>2014</v>
      </c>
      <c r="E14" s="31">
        <v>3461</v>
      </c>
      <c r="F14" s="31">
        <v>5455</v>
      </c>
      <c r="G14" s="31">
        <v>1953</v>
      </c>
      <c r="H14" s="31">
        <v>2161</v>
      </c>
      <c r="I14" s="31">
        <v>200</v>
      </c>
      <c r="J14" s="27">
        <v>13230</v>
      </c>
      <c r="K14" s="31">
        <v>1296</v>
      </c>
      <c r="L14" s="31">
        <v>908</v>
      </c>
      <c r="M14" s="31">
        <v>477</v>
      </c>
      <c r="N14" s="639">
        <v>2681</v>
      </c>
      <c r="O14" s="29"/>
    </row>
    <row r="15" spans="1:84" s="278" customFormat="1">
      <c r="A15" s="271">
        <f>References!P258</f>
        <v>14</v>
      </c>
      <c r="B15" s="305" t="s">
        <v>29</v>
      </c>
      <c r="C15" s="284">
        <v>2010</v>
      </c>
      <c r="D15" s="284">
        <v>2011</v>
      </c>
      <c r="E15" s="31">
        <v>2463</v>
      </c>
      <c r="F15" s="31">
        <v>15850</v>
      </c>
      <c r="G15" s="31">
        <v>1535</v>
      </c>
      <c r="H15" s="31">
        <v>3790</v>
      </c>
      <c r="I15" s="31">
        <v>0</v>
      </c>
      <c r="J15" s="27">
        <v>23638</v>
      </c>
      <c r="K15" s="31">
        <v>1602</v>
      </c>
      <c r="L15" s="31">
        <v>1134</v>
      </c>
      <c r="M15" s="31">
        <v>1600</v>
      </c>
      <c r="N15" s="639">
        <v>4336</v>
      </c>
      <c r="O15" s="29"/>
    </row>
    <row r="16" spans="1:84" s="278" customFormat="1">
      <c r="A16" s="271">
        <f>References!Q258</f>
        <v>15</v>
      </c>
      <c r="B16" s="305" t="s">
        <v>29</v>
      </c>
      <c r="C16" s="284">
        <v>2010</v>
      </c>
      <c r="D16" s="284">
        <v>2012</v>
      </c>
      <c r="E16" s="31">
        <v>7013</v>
      </c>
      <c r="F16" s="31">
        <v>8502</v>
      </c>
      <c r="G16" s="31">
        <v>2918</v>
      </c>
      <c r="H16" s="31">
        <v>2991</v>
      </c>
      <c r="I16" s="31">
        <v>150</v>
      </c>
      <c r="J16" s="27">
        <v>21574</v>
      </c>
      <c r="K16" s="31">
        <v>1698</v>
      </c>
      <c r="L16" s="31">
        <v>1202</v>
      </c>
      <c r="M16" s="31">
        <v>1696</v>
      </c>
      <c r="N16" s="639">
        <v>4596</v>
      </c>
      <c r="O16" s="29"/>
    </row>
    <row r="17" spans="1:24" s="278" customFormat="1">
      <c r="A17" s="271">
        <f>References!R258</f>
        <v>16</v>
      </c>
      <c r="B17" s="305" t="s">
        <v>29</v>
      </c>
      <c r="C17" s="284">
        <v>2010</v>
      </c>
      <c r="D17" s="284">
        <v>2013</v>
      </c>
      <c r="E17" s="31">
        <v>10924</v>
      </c>
      <c r="F17" s="31">
        <v>9282</v>
      </c>
      <c r="G17" s="31">
        <v>4013</v>
      </c>
      <c r="H17" s="31">
        <v>4154</v>
      </c>
      <c r="I17" s="31">
        <v>0</v>
      </c>
      <c r="J17" s="27">
        <v>28373</v>
      </c>
      <c r="K17" s="31">
        <v>1799</v>
      </c>
      <c r="L17" s="31">
        <v>1274</v>
      </c>
      <c r="M17" s="31">
        <v>1799</v>
      </c>
      <c r="N17" s="639">
        <v>4872</v>
      </c>
      <c r="O17" s="29"/>
    </row>
    <row r="18" spans="1:24" s="278" customFormat="1">
      <c r="A18" s="271">
        <f>References!S258</f>
        <v>17</v>
      </c>
      <c r="B18" s="305" t="s">
        <v>29</v>
      </c>
      <c r="C18" s="284">
        <v>2010</v>
      </c>
      <c r="D18" s="284">
        <v>2014</v>
      </c>
      <c r="E18" s="31">
        <v>2940</v>
      </c>
      <c r="F18" s="31">
        <v>11380</v>
      </c>
      <c r="G18" s="31">
        <v>3506</v>
      </c>
      <c r="H18" s="31">
        <v>1217</v>
      </c>
      <c r="I18" s="31">
        <v>0</v>
      </c>
      <c r="J18" s="27">
        <v>19043</v>
      </c>
      <c r="K18" s="31">
        <v>1890</v>
      </c>
      <c r="L18" s="31">
        <v>1338</v>
      </c>
      <c r="M18" s="31">
        <v>1888</v>
      </c>
      <c r="N18" s="639">
        <v>5116</v>
      </c>
      <c r="O18" s="29"/>
    </row>
    <row r="19" spans="1:24" s="278" customFormat="1">
      <c r="A19" s="271">
        <f>References!T258</f>
        <v>18</v>
      </c>
      <c r="B19" s="305" t="s">
        <v>29</v>
      </c>
      <c r="C19" s="284">
        <v>2010</v>
      </c>
      <c r="D19" s="284">
        <v>2015</v>
      </c>
      <c r="E19" s="31">
        <v>3146</v>
      </c>
      <c r="F19" s="31">
        <v>7162</v>
      </c>
      <c r="G19" s="31">
        <v>815</v>
      </c>
      <c r="H19" s="31">
        <v>1273</v>
      </c>
      <c r="I19" s="31">
        <v>0</v>
      </c>
      <c r="J19" s="27">
        <v>12396</v>
      </c>
      <c r="K19" s="31">
        <v>1964</v>
      </c>
      <c r="L19" s="31">
        <v>1392</v>
      </c>
      <c r="M19" s="31">
        <v>1964</v>
      </c>
      <c r="N19" s="639">
        <v>5320</v>
      </c>
      <c r="O19" s="29"/>
    </row>
    <row r="20" spans="1:24" s="278" customFormat="1">
      <c r="A20" s="271">
        <f>References!U258</f>
        <v>19</v>
      </c>
      <c r="B20" s="305" t="s">
        <v>29</v>
      </c>
      <c r="C20" s="284">
        <v>2011</v>
      </c>
      <c r="D20" s="284">
        <v>2012</v>
      </c>
      <c r="E20" s="31">
        <v>2298</v>
      </c>
      <c r="F20" s="31">
        <v>13894</v>
      </c>
      <c r="G20" s="31">
        <v>2303</v>
      </c>
      <c r="H20" s="31">
        <v>2073</v>
      </c>
      <c r="I20" s="31">
        <v>0</v>
      </c>
      <c r="J20" s="27">
        <v>20568</v>
      </c>
      <c r="K20" s="31">
        <v>2273</v>
      </c>
      <c r="L20" s="31">
        <v>757</v>
      </c>
      <c r="M20" s="31">
        <v>2020</v>
      </c>
      <c r="N20" s="639">
        <v>5050</v>
      </c>
      <c r="O20" s="29"/>
      <c r="X20" s="46"/>
    </row>
    <row r="21" spans="1:24" s="278" customFormat="1">
      <c r="A21" s="271">
        <f>References!V258</f>
        <v>20</v>
      </c>
      <c r="B21" s="305" t="s">
        <v>29</v>
      </c>
      <c r="C21" s="284">
        <v>2011</v>
      </c>
      <c r="D21" s="284">
        <v>2013</v>
      </c>
      <c r="E21" s="31">
        <v>2449</v>
      </c>
      <c r="F21" s="31">
        <v>9516</v>
      </c>
      <c r="G21" s="31">
        <v>3343</v>
      </c>
      <c r="H21" s="31">
        <v>550</v>
      </c>
      <c r="I21" s="31">
        <v>0</v>
      </c>
      <c r="J21" s="27">
        <v>15858</v>
      </c>
      <c r="K21" s="31">
        <v>2408</v>
      </c>
      <c r="L21" s="31">
        <v>803</v>
      </c>
      <c r="M21" s="31">
        <v>2141</v>
      </c>
      <c r="N21" s="639">
        <v>5352</v>
      </c>
      <c r="O21" s="29"/>
      <c r="X21" s="46"/>
    </row>
    <row r="22" spans="1:24" s="278" customFormat="1">
      <c r="A22" s="271">
        <f>References!W258</f>
        <v>21</v>
      </c>
      <c r="B22" s="305" t="s">
        <v>29</v>
      </c>
      <c r="C22" s="284">
        <v>2011</v>
      </c>
      <c r="D22" s="284">
        <v>2014</v>
      </c>
      <c r="E22" s="31">
        <v>2599</v>
      </c>
      <c r="F22" s="31">
        <v>10589</v>
      </c>
      <c r="G22" s="31">
        <v>1708</v>
      </c>
      <c r="H22" s="31">
        <v>350</v>
      </c>
      <c r="I22" s="31">
        <v>0</v>
      </c>
      <c r="J22" s="27">
        <v>15246</v>
      </c>
      <c r="K22" s="31">
        <v>2530</v>
      </c>
      <c r="L22" s="31">
        <v>843</v>
      </c>
      <c r="M22" s="31">
        <v>2248</v>
      </c>
      <c r="N22" s="639">
        <v>5621</v>
      </c>
      <c r="O22" s="29"/>
      <c r="X22" s="46"/>
    </row>
    <row r="23" spans="1:24" s="278" customFormat="1">
      <c r="A23" s="271">
        <f>References!X258</f>
        <v>22</v>
      </c>
      <c r="B23" s="305" t="s">
        <v>29</v>
      </c>
      <c r="C23" s="284">
        <v>2011</v>
      </c>
      <c r="D23" s="284">
        <v>2015</v>
      </c>
      <c r="E23" s="31">
        <v>2781</v>
      </c>
      <c r="F23" s="31">
        <v>5867</v>
      </c>
      <c r="G23" s="31">
        <v>1340</v>
      </c>
      <c r="H23" s="31">
        <v>300</v>
      </c>
      <c r="I23" s="31">
        <v>0</v>
      </c>
      <c r="J23" s="27">
        <v>10288</v>
      </c>
      <c r="K23" s="31">
        <v>2631</v>
      </c>
      <c r="L23" s="31">
        <v>877</v>
      </c>
      <c r="M23" s="31">
        <v>2338</v>
      </c>
      <c r="N23" s="639">
        <v>5846</v>
      </c>
      <c r="O23" s="29"/>
      <c r="X23" s="46"/>
    </row>
    <row r="24" spans="1:24" s="278" customFormat="1">
      <c r="A24" s="271">
        <f>References!Y258</f>
        <v>23</v>
      </c>
      <c r="B24" s="305" t="s">
        <v>29</v>
      </c>
      <c r="C24" s="284">
        <v>2011</v>
      </c>
      <c r="D24" s="284">
        <v>2016</v>
      </c>
      <c r="E24" s="31">
        <v>2976</v>
      </c>
      <c r="F24" s="31">
        <v>6967</v>
      </c>
      <c r="G24" s="31">
        <v>1140</v>
      </c>
      <c r="H24" s="31">
        <v>300</v>
      </c>
      <c r="I24" s="31">
        <v>0</v>
      </c>
      <c r="J24" s="27">
        <v>11383</v>
      </c>
      <c r="K24" s="31">
        <v>2709</v>
      </c>
      <c r="L24" s="31">
        <v>903</v>
      </c>
      <c r="M24" s="31">
        <v>2408</v>
      </c>
      <c r="N24" s="639">
        <v>6020</v>
      </c>
      <c r="O24" s="29"/>
      <c r="X24" s="46"/>
    </row>
    <row r="25" spans="1:24" s="278" customFormat="1">
      <c r="A25" s="271">
        <f>References!K265</f>
        <v>170</v>
      </c>
      <c r="B25" s="305" t="s">
        <v>36</v>
      </c>
      <c r="C25" s="284">
        <v>2009</v>
      </c>
      <c r="D25" s="284">
        <v>2010</v>
      </c>
      <c r="E25" s="31">
        <v>670</v>
      </c>
      <c r="F25" s="31">
        <v>10541</v>
      </c>
      <c r="G25" s="31">
        <v>316</v>
      </c>
      <c r="H25" s="31">
        <v>1995</v>
      </c>
      <c r="I25" s="31">
        <v>0</v>
      </c>
      <c r="J25" s="27">
        <v>13522</v>
      </c>
      <c r="K25" s="31">
        <v>1340</v>
      </c>
      <c r="L25" s="31">
        <v>0</v>
      </c>
      <c r="M25" s="31">
        <v>449</v>
      </c>
      <c r="N25" s="639">
        <v>1789</v>
      </c>
      <c r="O25" s="29"/>
      <c r="X25" s="46"/>
    </row>
    <row r="26" spans="1:24" s="278" customFormat="1">
      <c r="A26" s="271">
        <f>References!L265</f>
        <v>171</v>
      </c>
      <c r="B26" s="305" t="s">
        <v>36</v>
      </c>
      <c r="C26" s="284">
        <v>2009</v>
      </c>
      <c r="D26" s="284">
        <v>2011</v>
      </c>
      <c r="E26" s="31">
        <v>230</v>
      </c>
      <c r="F26" s="31">
        <v>6128</v>
      </c>
      <c r="G26" s="31">
        <v>800</v>
      </c>
      <c r="H26" s="31">
        <v>1135</v>
      </c>
      <c r="I26" s="31">
        <v>0</v>
      </c>
      <c r="J26" s="27">
        <v>8293</v>
      </c>
      <c r="K26" s="31">
        <v>1337</v>
      </c>
      <c r="L26" s="31">
        <v>0</v>
      </c>
      <c r="M26" s="31">
        <v>449</v>
      </c>
      <c r="N26" s="639">
        <v>1786</v>
      </c>
      <c r="O26" s="29"/>
      <c r="X26" s="46"/>
    </row>
    <row r="27" spans="1:24" s="278" customFormat="1">
      <c r="A27" s="271">
        <f>References!M265</f>
        <v>172</v>
      </c>
      <c r="B27" s="305" t="s">
        <v>36</v>
      </c>
      <c r="C27" s="284">
        <v>2009</v>
      </c>
      <c r="D27" s="284">
        <v>2012</v>
      </c>
      <c r="E27" s="31">
        <v>230</v>
      </c>
      <c r="F27" s="31">
        <v>7934</v>
      </c>
      <c r="G27" s="31">
        <v>800</v>
      </c>
      <c r="H27" s="31">
        <v>930</v>
      </c>
      <c r="I27" s="31">
        <v>0</v>
      </c>
      <c r="J27" s="27">
        <v>9894</v>
      </c>
      <c r="K27" s="31">
        <v>1339</v>
      </c>
      <c r="L27" s="31">
        <v>0</v>
      </c>
      <c r="M27" s="31">
        <v>448</v>
      </c>
      <c r="N27" s="639">
        <v>1787</v>
      </c>
      <c r="O27" s="29"/>
      <c r="X27" s="46"/>
    </row>
    <row r="28" spans="1:24" s="278" customFormat="1">
      <c r="A28" s="271">
        <f>References!N265</f>
        <v>173</v>
      </c>
      <c r="B28" s="305" t="s">
        <v>36</v>
      </c>
      <c r="C28" s="284">
        <v>2009</v>
      </c>
      <c r="D28" s="284">
        <v>2013</v>
      </c>
      <c r="E28" s="31">
        <v>230</v>
      </c>
      <c r="F28" s="31">
        <v>4369</v>
      </c>
      <c r="G28" s="31">
        <v>800</v>
      </c>
      <c r="H28" s="31">
        <v>875</v>
      </c>
      <c r="I28" s="31">
        <v>0</v>
      </c>
      <c r="J28" s="27">
        <v>6274</v>
      </c>
      <c r="K28" s="31">
        <v>1338</v>
      </c>
      <c r="L28" s="31">
        <v>0</v>
      </c>
      <c r="M28" s="31">
        <v>448</v>
      </c>
      <c r="N28" s="639">
        <v>1786</v>
      </c>
      <c r="O28" s="29"/>
      <c r="X28" s="46"/>
    </row>
    <row r="29" spans="1:24" s="278" customFormat="1">
      <c r="A29" s="271">
        <f>References!O265</f>
        <v>174</v>
      </c>
      <c r="B29" s="305" t="s">
        <v>36</v>
      </c>
      <c r="C29" s="284">
        <v>2009</v>
      </c>
      <c r="D29" s="284">
        <v>2014</v>
      </c>
      <c r="E29" s="31">
        <v>230</v>
      </c>
      <c r="F29" s="31">
        <v>6302</v>
      </c>
      <c r="G29" s="31">
        <v>800</v>
      </c>
      <c r="H29" s="31">
        <v>1380</v>
      </c>
      <c r="I29" s="31">
        <v>0</v>
      </c>
      <c r="J29" s="27">
        <v>8712</v>
      </c>
      <c r="K29" s="31">
        <v>1335</v>
      </c>
      <c r="L29" s="31">
        <v>0</v>
      </c>
      <c r="M29" s="31">
        <v>447</v>
      </c>
      <c r="N29" s="639">
        <v>1782</v>
      </c>
      <c r="O29" s="29"/>
      <c r="X29" s="46"/>
    </row>
    <row r="30" spans="1:24" s="278" customFormat="1">
      <c r="A30" s="271">
        <f>References!P265</f>
        <v>175</v>
      </c>
      <c r="B30" s="305" t="s">
        <v>36</v>
      </c>
      <c r="C30" s="284">
        <v>2010</v>
      </c>
      <c r="D30" s="284">
        <v>2011</v>
      </c>
      <c r="E30" s="31">
        <v>3299</v>
      </c>
      <c r="F30" s="31">
        <v>5701</v>
      </c>
      <c r="G30" s="31">
        <v>3327</v>
      </c>
      <c r="H30" s="31">
        <v>433</v>
      </c>
      <c r="I30" s="31">
        <v>0</v>
      </c>
      <c r="J30" s="27">
        <v>12760</v>
      </c>
      <c r="K30" s="31">
        <v>1339.6</v>
      </c>
      <c r="L30" s="31">
        <v>0</v>
      </c>
      <c r="M30" s="31">
        <v>448.9</v>
      </c>
      <c r="N30" s="639">
        <v>1788.5</v>
      </c>
      <c r="O30" s="29"/>
      <c r="X30" s="46"/>
    </row>
    <row r="31" spans="1:24" s="278" customFormat="1">
      <c r="A31" s="271">
        <f>References!Q265</f>
        <v>176</v>
      </c>
      <c r="B31" s="305" t="s">
        <v>36</v>
      </c>
      <c r="C31" s="284">
        <v>2010</v>
      </c>
      <c r="D31" s="284">
        <v>2012</v>
      </c>
      <c r="E31" s="31">
        <v>3340</v>
      </c>
      <c r="F31" s="31">
        <v>10384.1</v>
      </c>
      <c r="G31" s="31">
        <v>2325</v>
      </c>
      <c r="H31" s="31">
        <v>200</v>
      </c>
      <c r="I31" s="31">
        <v>0</v>
      </c>
      <c r="J31" s="27">
        <v>16249.1</v>
      </c>
      <c r="K31" s="31">
        <v>1337.1</v>
      </c>
      <c r="L31" s="31">
        <v>0</v>
      </c>
      <c r="M31" s="31">
        <v>448.9</v>
      </c>
      <c r="N31" s="639">
        <v>1786</v>
      </c>
      <c r="O31" s="29"/>
      <c r="X31" s="46"/>
    </row>
    <row r="32" spans="1:24" s="278" customFormat="1">
      <c r="A32" s="271">
        <f>References!R265</f>
        <v>177</v>
      </c>
      <c r="B32" s="305" t="s">
        <v>36</v>
      </c>
      <c r="C32" s="284">
        <v>2010</v>
      </c>
      <c r="D32" s="284">
        <v>2013</v>
      </c>
      <c r="E32" s="31">
        <v>1230</v>
      </c>
      <c r="F32" s="31">
        <v>4003.1</v>
      </c>
      <c r="G32" s="31">
        <v>3150</v>
      </c>
      <c r="H32" s="31">
        <v>1310.0999999999999</v>
      </c>
      <c r="I32" s="31">
        <v>0</v>
      </c>
      <c r="J32" s="27">
        <v>9693.2000000000007</v>
      </c>
      <c r="K32" s="31">
        <v>1338.6</v>
      </c>
      <c r="L32" s="31">
        <v>0</v>
      </c>
      <c r="M32" s="31">
        <v>447.9</v>
      </c>
      <c r="N32" s="639">
        <v>1786.5</v>
      </c>
      <c r="O32" s="29"/>
      <c r="X32" s="46"/>
    </row>
    <row r="33" spans="1:24" s="278" customFormat="1">
      <c r="A33" s="271">
        <f>References!S265</f>
        <v>178</v>
      </c>
      <c r="B33" s="305" t="s">
        <v>36</v>
      </c>
      <c r="C33" s="284">
        <v>2010</v>
      </c>
      <c r="D33" s="284">
        <v>2014</v>
      </c>
      <c r="E33" s="31">
        <v>1230</v>
      </c>
      <c r="F33" s="31">
        <v>5791.1</v>
      </c>
      <c r="G33" s="31">
        <v>3800</v>
      </c>
      <c r="H33" s="31">
        <v>200.1</v>
      </c>
      <c r="I33" s="31">
        <v>0</v>
      </c>
      <c r="J33" s="27">
        <v>11021.2</v>
      </c>
      <c r="K33" s="31">
        <v>1337.8</v>
      </c>
      <c r="L33" s="31">
        <v>0</v>
      </c>
      <c r="M33" s="31">
        <v>447.9</v>
      </c>
      <c r="N33" s="639">
        <v>1785.6999999999998</v>
      </c>
      <c r="O33" s="29"/>
      <c r="X33" s="46"/>
    </row>
    <row r="34" spans="1:24" s="278" customFormat="1">
      <c r="A34" s="271">
        <f>References!T265</f>
        <v>179</v>
      </c>
      <c r="B34" s="305" t="s">
        <v>36</v>
      </c>
      <c r="C34" s="284">
        <v>2010</v>
      </c>
      <c r="D34" s="284">
        <v>2015</v>
      </c>
      <c r="E34" s="31">
        <v>1230</v>
      </c>
      <c r="F34" s="31">
        <v>7349.1</v>
      </c>
      <c r="G34" s="31">
        <v>2325</v>
      </c>
      <c r="H34" s="31">
        <v>1310.0999999999999</v>
      </c>
      <c r="I34" s="31">
        <v>0</v>
      </c>
      <c r="J34" s="27">
        <v>12214.2</v>
      </c>
      <c r="K34" s="31">
        <v>1334.6</v>
      </c>
      <c r="L34" s="31">
        <v>0</v>
      </c>
      <c r="M34" s="31">
        <v>447.3</v>
      </c>
      <c r="N34" s="639">
        <v>1781.8999999999999</v>
      </c>
      <c r="O34" s="29"/>
      <c r="X34" s="46"/>
    </row>
    <row r="35" spans="1:24" s="278" customFormat="1">
      <c r="A35" s="271">
        <f>References!U265</f>
        <v>180</v>
      </c>
      <c r="B35" s="305" t="s">
        <v>36</v>
      </c>
      <c r="C35" s="284">
        <v>2011</v>
      </c>
      <c r="D35" s="284">
        <v>2012</v>
      </c>
      <c r="E35" s="31">
        <v>2170</v>
      </c>
      <c r="F35" s="31">
        <v>7614</v>
      </c>
      <c r="G35" s="31">
        <v>2664</v>
      </c>
      <c r="H35" s="31">
        <v>358</v>
      </c>
      <c r="I35" s="31">
        <v>0</v>
      </c>
      <c r="J35" s="27">
        <v>12806</v>
      </c>
      <c r="K35" s="31">
        <v>1484</v>
      </c>
      <c r="L35" s="31">
        <v>0</v>
      </c>
      <c r="M35" s="31">
        <v>449</v>
      </c>
      <c r="N35" s="639">
        <v>1933</v>
      </c>
      <c r="O35" s="29"/>
      <c r="X35" s="46"/>
    </row>
    <row r="36" spans="1:24" s="278" customFormat="1">
      <c r="A36" s="271">
        <f>References!V265</f>
        <v>181</v>
      </c>
      <c r="B36" s="305" t="s">
        <v>36</v>
      </c>
      <c r="C36" s="284">
        <v>2011</v>
      </c>
      <c r="D36" s="284">
        <v>2013</v>
      </c>
      <c r="E36" s="31">
        <v>3340</v>
      </c>
      <c r="F36" s="31">
        <v>6509</v>
      </c>
      <c r="G36" s="31">
        <v>3150</v>
      </c>
      <c r="H36" s="31">
        <v>1310</v>
      </c>
      <c r="I36" s="31">
        <v>0</v>
      </c>
      <c r="J36" s="27">
        <v>14309</v>
      </c>
      <c r="K36" s="31">
        <v>1371</v>
      </c>
      <c r="L36" s="31">
        <v>0</v>
      </c>
      <c r="M36" s="31">
        <v>448</v>
      </c>
      <c r="N36" s="639">
        <v>1819</v>
      </c>
      <c r="O36" s="29"/>
      <c r="X36" s="46"/>
    </row>
    <row r="37" spans="1:24" s="278" customFormat="1">
      <c r="A37" s="271">
        <f>References!W265</f>
        <v>182</v>
      </c>
      <c r="B37" s="305" t="s">
        <v>36</v>
      </c>
      <c r="C37" s="284">
        <v>2011</v>
      </c>
      <c r="D37" s="284">
        <v>2014</v>
      </c>
      <c r="E37" s="31">
        <v>1230</v>
      </c>
      <c r="F37" s="31">
        <v>8371</v>
      </c>
      <c r="G37" s="31">
        <v>3800</v>
      </c>
      <c r="H37" s="31">
        <v>320</v>
      </c>
      <c r="I37" s="31">
        <v>0</v>
      </c>
      <c r="J37" s="27">
        <v>13721</v>
      </c>
      <c r="K37" s="31">
        <v>1372</v>
      </c>
      <c r="L37" s="31">
        <v>0</v>
      </c>
      <c r="M37" s="31">
        <v>447</v>
      </c>
      <c r="N37" s="639">
        <v>1819</v>
      </c>
      <c r="O37" s="29"/>
      <c r="X37" s="46"/>
    </row>
    <row r="38" spans="1:24" s="278" customFormat="1">
      <c r="A38" s="271">
        <f>References!X265</f>
        <v>183</v>
      </c>
      <c r="B38" s="305" t="s">
        <v>36</v>
      </c>
      <c r="C38" s="284">
        <v>2011</v>
      </c>
      <c r="D38" s="284">
        <v>2015</v>
      </c>
      <c r="E38" s="31">
        <v>1230</v>
      </c>
      <c r="F38" s="31">
        <v>7134</v>
      </c>
      <c r="G38" s="31">
        <v>2325</v>
      </c>
      <c r="H38" s="31">
        <v>1310</v>
      </c>
      <c r="I38" s="31">
        <v>0</v>
      </c>
      <c r="J38" s="27">
        <v>11999</v>
      </c>
      <c r="K38" s="31">
        <v>1376</v>
      </c>
      <c r="L38" s="31">
        <v>0</v>
      </c>
      <c r="M38" s="31">
        <v>447</v>
      </c>
      <c r="N38" s="639">
        <v>1823</v>
      </c>
      <c r="O38" s="29"/>
      <c r="X38" s="46"/>
    </row>
    <row r="39" spans="1:24" s="278" customFormat="1">
      <c r="A39" s="271">
        <f>References!Y265</f>
        <v>184</v>
      </c>
      <c r="B39" s="305" t="s">
        <v>36</v>
      </c>
      <c r="C39" s="284">
        <v>2011</v>
      </c>
      <c r="D39" s="284">
        <v>2016</v>
      </c>
      <c r="E39" s="31">
        <v>1230</v>
      </c>
      <c r="F39" s="31">
        <v>4935</v>
      </c>
      <c r="G39" s="31">
        <v>2325</v>
      </c>
      <c r="H39" s="31">
        <v>1103</v>
      </c>
      <c r="I39" s="31">
        <v>0</v>
      </c>
      <c r="J39" s="27">
        <v>9593</v>
      </c>
      <c r="K39" s="31">
        <v>1375</v>
      </c>
      <c r="L39" s="31">
        <v>0</v>
      </c>
      <c r="M39" s="31">
        <v>447</v>
      </c>
      <c r="N39" s="639">
        <v>1822</v>
      </c>
      <c r="O39" s="29"/>
      <c r="X39" s="46"/>
    </row>
    <row r="40" spans="1:24" s="278" customFormat="1">
      <c r="A40" s="271">
        <f>References!K259</f>
        <v>32</v>
      </c>
      <c r="B40" s="305" t="s">
        <v>30</v>
      </c>
      <c r="C40" s="284">
        <v>2009</v>
      </c>
      <c r="D40" s="284">
        <v>2010</v>
      </c>
      <c r="E40" s="31">
        <v>5000</v>
      </c>
      <c r="F40" s="31">
        <v>3650</v>
      </c>
      <c r="G40" s="31">
        <v>5460</v>
      </c>
      <c r="H40" s="31">
        <v>500</v>
      </c>
      <c r="I40" s="31">
        <v>400</v>
      </c>
      <c r="J40" s="27">
        <v>15010</v>
      </c>
      <c r="K40" s="31">
        <v>3410</v>
      </c>
      <c r="L40" s="31">
        <v>956</v>
      </c>
      <c r="M40" s="31">
        <v>4154</v>
      </c>
      <c r="N40" s="639">
        <v>8520</v>
      </c>
      <c r="O40" s="29"/>
      <c r="X40" s="46"/>
    </row>
    <row r="41" spans="1:24" s="278" customFormat="1">
      <c r="A41" s="271">
        <f>References!L259</f>
        <v>33</v>
      </c>
      <c r="B41" s="305" t="s">
        <v>30</v>
      </c>
      <c r="C41" s="284">
        <v>2009</v>
      </c>
      <c r="D41" s="284">
        <v>2011</v>
      </c>
      <c r="E41" s="31">
        <v>5000</v>
      </c>
      <c r="F41" s="31">
        <v>4000</v>
      </c>
      <c r="G41" s="31">
        <v>5060</v>
      </c>
      <c r="H41" s="31">
        <v>500</v>
      </c>
      <c r="I41" s="31">
        <v>400</v>
      </c>
      <c r="J41" s="27">
        <v>14960</v>
      </c>
      <c r="K41" s="31">
        <v>3501</v>
      </c>
      <c r="L41" s="31">
        <v>982</v>
      </c>
      <c r="M41" s="31">
        <v>4250</v>
      </c>
      <c r="N41" s="639">
        <v>8733</v>
      </c>
      <c r="O41" s="29"/>
      <c r="X41" s="46"/>
    </row>
    <row r="42" spans="1:24" s="278" customFormat="1">
      <c r="A42" s="271">
        <f>References!M259</f>
        <v>34</v>
      </c>
      <c r="B42" s="305" t="s">
        <v>30</v>
      </c>
      <c r="C42" s="284">
        <v>2009</v>
      </c>
      <c r="D42" s="284">
        <v>2012</v>
      </c>
      <c r="E42" s="31">
        <v>8200</v>
      </c>
      <c r="F42" s="31">
        <v>6700</v>
      </c>
      <c r="G42" s="31">
        <v>3240</v>
      </c>
      <c r="H42" s="31">
        <v>500</v>
      </c>
      <c r="I42" s="31">
        <v>400</v>
      </c>
      <c r="J42" s="27">
        <v>19040</v>
      </c>
      <c r="K42" s="31">
        <v>3596</v>
      </c>
      <c r="L42" s="31">
        <v>1009</v>
      </c>
      <c r="M42" s="31">
        <v>4345</v>
      </c>
      <c r="N42" s="639">
        <v>8950</v>
      </c>
      <c r="O42" s="29"/>
      <c r="X42" s="46"/>
    </row>
    <row r="43" spans="1:24" s="278" customFormat="1">
      <c r="A43" s="271">
        <f>References!N259</f>
        <v>35</v>
      </c>
      <c r="B43" s="305" t="s">
        <v>30</v>
      </c>
      <c r="C43" s="284">
        <v>2009</v>
      </c>
      <c r="D43" s="284">
        <v>2013</v>
      </c>
      <c r="E43" s="31">
        <v>8200</v>
      </c>
      <c r="F43" s="31">
        <v>6000</v>
      </c>
      <c r="G43" s="31">
        <v>4370</v>
      </c>
      <c r="H43" s="31">
        <v>500</v>
      </c>
      <c r="I43" s="31">
        <v>400</v>
      </c>
      <c r="J43" s="27">
        <v>19470</v>
      </c>
      <c r="K43" s="31">
        <v>3692</v>
      </c>
      <c r="L43" s="31">
        <v>1037</v>
      </c>
      <c r="M43" s="31">
        <v>4442</v>
      </c>
      <c r="N43" s="639">
        <v>9171</v>
      </c>
      <c r="O43" s="29"/>
      <c r="X43" s="46"/>
    </row>
    <row r="44" spans="1:24" s="278" customFormat="1">
      <c r="A44" s="271">
        <f>References!O259</f>
        <v>36</v>
      </c>
      <c r="B44" s="305" t="s">
        <v>30</v>
      </c>
      <c r="C44" s="284">
        <v>2009</v>
      </c>
      <c r="D44" s="284">
        <v>2014</v>
      </c>
      <c r="E44" s="31">
        <v>8200</v>
      </c>
      <c r="F44" s="31">
        <v>7200</v>
      </c>
      <c r="G44" s="31">
        <v>3630</v>
      </c>
      <c r="H44" s="31">
        <v>500</v>
      </c>
      <c r="I44" s="31">
        <v>400</v>
      </c>
      <c r="J44" s="27">
        <v>19930</v>
      </c>
      <c r="K44" s="31">
        <v>3792</v>
      </c>
      <c r="L44" s="31">
        <v>1066</v>
      </c>
      <c r="M44" s="31">
        <v>4542</v>
      </c>
      <c r="N44" s="639">
        <v>9400</v>
      </c>
      <c r="O44" s="29"/>
      <c r="X44" s="46"/>
    </row>
    <row r="45" spans="1:24" s="278" customFormat="1">
      <c r="A45" s="271">
        <f>References!P259</f>
        <v>37</v>
      </c>
      <c r="B45" s="305" t="s">
        <v>30</v>
      </c>
      <c r="C45" s="284">
        <v>2010</v>
      </c>
      <c r="D45" s="284">
        <v>2011</v>
      </c>
      <c r="E45" s="31">
        <v>5400</v>
      </c>
      <c r="F45" s="31">
        <v>4300</v>
      </c>
      <c r="G45" s="31">
        <v>9960</v>
      </c>
      <c r="H45" s="31">
        <v>3750</v>
      </c>
      <c r="I45" s="31">
        <v>600</v>
      </c>
      <c r="J45" s="27">
        <v>24010</v>
      </c>
      <c r="K45" s="31">
        <v>3426</v>
      </c>
      <c r="L45" s="31">
        <v>1782</v>
      </c>
      <c r="M45" s="31">
        <v>4172</v>
      </c>
      <c r="N45" s="639">
        <v>9380</v>
      </c>
      <c r="O45" s="29"/>
      <c r="X45" s="46"/>
    </row>
    <row r="46" spans="1:24" s="278" customFormat="1">
      <c r="A46" s="271">
        <f>References!Q259</f>
        <v>38</v>
      </c>
      <c r="B46" s="305" t="s">
        <v>30</v>
      </c>
      <c r="C46" s="284">
        <v>2010</v>
      </c>
      <c r="D46" s="284">
        <v>2012</v>
      </c>
      <c r="E46" s="31">
        <v>8200</v>
      </c>
      <c r="F46" s="31">
        <v>6600</v>
      </c>
      <c r="G46" s="31">
        <v>9240</v>
      </c>
      <c r="H46" s="31">
        <v>1100</v>
      </c>
      <c r="I46" s="31">
        <v>900</v>
      </c>
      <c r="J46" s="27">
        <v>26040</v>
      </c>
      <c r="K46" s="31">
        <v>3521</v>
      </c>
      <c r="L46" s="31">
        <v>1809</v>
      </c>
      <c r="M46" s="31">
        <v>4284</v>
      </c>
      <c r="N46" s="639">
        <v>9614</v>
      </c>
      <c r="O46" s="29"/>
      <c r="X46" s="46"/>
    </row>
    <row r="47" spans="1:24" s="278" customFormat="1">
      <c r="A47" s="271">
        <f>References!R259</f>
        <v>39</v>
      </c>
      <c r="B47" s="305" t="s">
        <v>30</v>
      </c>
      <c r="C47" s="284">
        <v>2010</v>
      </c>
      <c r="D47" s="284">
        <v>2013</v>
      </c>
      <c r="E47" s="31">
        <v>8200</v>
      </c>
      <c r="F47" s="31">
        <v>4200</v>
      </c>
      <c r="G47" s="31">
        <v>9200</v>
      </c>
      <c r="H47" s="31">
        <v>200</v>
      </c>
      <c r="I47" s="31">
        <v>700</v>
      </c>
      <c r="J47" s="27">
        <v>22500</v>
      </c>
      <c r="K47" s="31">
        <v>3617</v>
      </c>
      <c r="L47" s="31">
        <v>1837</v>
      </c>
      <c r="M47" s="31">
        <v>4395</v>
      </c>
      <c r="N47" s="639">
        <v>9849</v>
      </c>
      <c r="O47" s="29"/>
      <c r="X47" s="46"/>
    </row>
    <row r="48" spans="1:24" s="278" customFormat="1">
      <c r="A48" s="271">
        <f>References!S259</f>
        <v>40</v>
      </c>
      <c r="B48" s="305" t="s">
        <v>30</v>
      </c>
      <c r="C48" s="284">
        <v>2010</v>
      </c>
      <c r="D48" s="284">
        <v>2014</v>
      </c>
      <c r="E48" s="31">
        <v>8200</v>
      </c>
      <c r="F48" s="31">
        <v>15400</v>
      </c>
      <c r="G48" s="31">
        <v>1800</v>
      </c>
      <c r="H48" s="31">
        <v>200</v>
      </c>
      <c r="I48" s="31">
        <v>400</v>
      </c>
      <c r="J48" s="27">
        <v>26000</v>
      </c>
      <c r="K48" s="31">
        <v>3717</v>
      </c>
      <c r="L48" s="31">
        <v>1866</v>
      </c>
      <c r="M48" s="31">
        <v>4510</v>
      </c>
      <c r="N48" s="639">
        <v>10093</v>
      </c>
      <c r="O48" s="29"/>
      <c r="X48" s="46"/>
    </row>
    <row r="49" spans="1:24" s="278" customFormat="1">
      <c r="A49" s="271">
        <f>References!T259</f>
        <v>41</v>
      </c>
      <c r="B49" s="305" t="s">
        <v>30</v>
      </c>
      <c r="C49" s="284">
        <v>2010</v>
      </c>
      <c r="D49" s="284">
        <v>2015</v>
      </c>
      <c r="E49" s="31">
        <v>8200</v>
      </c>
      <c r="F49" s="31">
        <v>6300</v>
      </c>
      <c r="G49" s="31">
        <v>9500</v>
      </c>
      <c r="H49" s="31">
        <v>200</v>
      </c>
      <c r="I49" s="31">
        <v>400</v>
      </c>
      <c r="J49" s="27">
        <v>24600</v>
      </c>
      <c r="K49" s="31">
        <v>3819</v>
      </c>
      <c r="L49" s="31">
        <v>1895</v>
      </c>
      <c r="M49" s="31">
        <v>4628</v>
      </c>
      <c r="N49" s="639">
        <v>10342</v>
      </c>
      <c r="O49" s="29"/>
      <c r="X49" s="46"/>
    </row>
    <row r="50" spans="1:24" s="278" customFormat="1">
      <c r="A50" s="271">
        <f>References!U259</f>
        <v>42</v>
      </c>
      <c r="B50" s="305" t="s">
        <v>30</v>
      </c>
      <c r="C50" s="284">
        <v>2011</v>
      </c>
      <c r="D50" s="284">
        <v>2012</v>
      </c>
      <c r="E50" s="31">
        <v>5600</v>
      </c>
      <c r="F50" s="31">
        <v>7090</v>
      </c>
      <c r="G50" s="31">
        <v>8490</v>
      </c>
      <c r="H50" s="31">
        <v>2020</v>
      </c>
      <c r="I50" s="31">
        <v>400</v>
      </c>
      <c r="J50" s="27">
        <v>23600</v>
      </c>
      <c r="K50" s="31">
        <v>3540</v>
      </c>
      <c r="L50" s="31">
        <v>1310</v>
      </c>
      <c r="M50" s="31">
        <v>4270</v>
      </c>
      <c r="N50" s="639">
        <v>9120</v>
      </c>
      <c r="O50" s="29"/>
      <c r="X50" s="46"/>
    </row>
    <row r="51" spans="1:24" s="278" customFormat="1">
      <c r="A51" s="271">
        <f>References!V259</f>
        <v>43</v>
      </c>
      <c r="B51" s="305" t="s">
        <v>30</v>
      </c>
      <c r="C51" s="284">
        <v>2011</v>
      </c>
      <c r="D51" s="284">
        <v>2013</v>
      </c>
      <c r="E51" s="31">
        <v>6000</v>
      </c>
      <c r="F51" s="31">
        <v>2680</v>
      </c>
      <c r="G51" s="31">
        <v>8140</v>
      </c>
      <c r="H51" s="31">
        <v>1480</v>
      </c>
      <c r="I51" s="31">
        <v>500</v>
      </c>
      <c r="J51" s="27">
        <v>18800</v>
      </c>
      <c r="K51" s="31">
        <v>3640</v>
      </c>
      <c r="L51" s="31">
        <v>1340</v>
      </c>
      <c r="M51" s="31">
        <v>4370</v>
      </c>
      <c r="N51" s="639">
        <v>9350</v>
      </c>
      <c r="O51" s="29"/>
      <c r="X51" s="46"/>
    </row>
    <row r="52" spans="1:24" s="278" customFormat="1">
      <c r="A52" s="271">
        <f>References!W259</f>
        <v>44</v>
      </c>
      <c r="B52" s="305" t="s">
        <v>30</v>
      </c>
      <c r="C52" s="284">
        <v>2011</v>
      </c>
      <c r="D52" s="284">
        <v>2014</v>
      </c>
      <c r="E52" s="31">
        <v>6400</v>
      </c>
      <c r="F52" s="31">
        <v>10130</v>
      </c>
      <c r="G52" s="31">
        <v>8120</v>
      </c>
      <c r="H52" s="31">
        <v>1130</v>
      </c>
      <c r="I52" s="31">
        <v>600</v>
      </c>
      <c r="J52" s="27">
        <v>26380</v>
      </c>
      <c r="K52" s="31">
        <v>3740</v>
      </c>
      <c r="L52" s="31">
        <v>1370</v>
      </c>
      <c r="M52" s="31">
        <v>4470</v>
      </c>
      <c r="N52" s="639">
        <v>9580</v>
      </c>
      <c r="O52" s="29"/>
      <c r="X52" s="46"/>
    </row>
    <row r="53" spans="1:24" s="278" customFormat="1">
      <c r="A53" s="271">
        <f>References!X259</f>
        <v>45</v>
      </c>
      <c r="B53" s="305" t="s">
        <v>30</v>
      </c>
      <c r="C53" s="284">
        <v>2011</v>
      </c>
      <c r="D53" s="284">
        <v>2015</v>
      </c>
      <c r="E53" s="31">
        <v>6800</v>
      </c>
      <c r="F53" s="31">
        <v>14180</v>
      </c>
      <c r="G53" s="31">
        <v>4730</v>
      </c>
      <c r="H53" s="31">
        <v>1070</v>
      </c>
      <c r="I53" s="31">
        <v>500</v>
      </c>
      <c r="J53" s="27">
        <v>27280</v>
      </c>
      <c r="K53" s="31">
        <v>3850</v>
      </c>
      <c r="L53" s="31">
        <v>1390</v>
      </c>
      <c r="M53" s="31">
        <v>4570</v>
      </c>
      <c r="N53" s="639">
        <v>9810</v>
      </c>
      <c r="O53" s="29"/>
      <c r="X53" s="46"/>
    </row>
    <row r="54" spans="1:24" s="278" customFormat="1">
      <c r="A54" s="271">
        <f>References!Y259</f>
        <v>46</v>
      </c>
      <c r="B54" s="305" t="s">
        <v>30</v>
      </c>
      <c r="C54" s="284">
        <v>2011</v>
      </c>
      <c r="D54" s="284">
        <v>2016</v>
      </c>
      <c r="E54" s="31">
        <v>7200</v>
      </c>
      <c r="F54" s="31">
        <v>11080</v>
      </c>
      <c r="G54" s="31">
        <v>10030</v>
      </c>
      <c r="H54" s="31">
        <v>1680</v>
      </c>
      <c r="I54" s="31">
        <v>500</v>
      </c>
      <c r="J54" s="27">
        <v>30490</v>
      </c>
      <c r="K54" s="31">
        <v>3950</v>
      </c>
      <c r="L54" s="31">
        <v>1430</v>
      </c>
      <c r="M54" s="31">
        <v>4670</v>
      </c>
      <c r="N54" s="639">
        <v>10050</v>
      </c>
      <c r="O54" s="29"/>
      <c r="X54" s="46"/>
    </row>
    <row r="55" spans="1:24" s="278" customFormat="1">
      <c r="A55" s="271">
        <f>References!K260</f>
        <v>55</v>
      </c>
      <c r="B55" s="305" t="s">
        <v>31</v>
      </c>
      <c r="C55" s="284">
        <v>2009</v>
      </c>
      <c r="D55" s="284">
        <v>2010</v>
      </c>
      <c r="E55" s="31">
        <v>190</v>
      </c>
      <c r="F55" s="31">
        <v>850</v>
      </c>
      <c r="G55" s="31">
        <v>365</v>
      </c>
      <c r="H55" s="31">
        <v>378</v>
      </c>
      <c r="I55" s="31">
        <v>30</v>
      </c>
      <c r="J55" s="27">
        <v>1813</v>
      </c>
      <c r="K55" s="31">
        <v>259.49</v>
      </c>
      <c r="L55" s="31">
        <v>600.58100000000002</v>
      </c>
      <c r="M55" s="31">
        <v>239.3</v>
      </c>
      <c r="N55" s="639">
        <v>1099.3710000000001</v>
      </c>
      <c r="O55" s="29"/>
      <c r="X55" s="46"/>
    </row>
    <row r="56" spans="1:24" s="278" customFormat="1">
      <c r="A56" s="271">
        <f>References!L260</f>
        <v>56</v>
      </c>
      <c r="B56" s="305" t="s">
        <v>31</v>
      </c>
      <c r="C56" s="284">
        <v>2009</v>
      </c>
      <c r="D56" s="284">
        <v>2011</v>
      </c>
      <c r="E56" s="31">
        <v>190</v>
      </c>
      <c r="F56" s="31">
        <v>30</v>
      </c>
      <c r="G56" s="31">
        <v>332</v>
      </c>
      <c r="H56" s="31">
        <v>242</v>
      </c>
      <c r="I56" s="31">
        <v>30</v>
      </c>
      <c r="J56" s="27">
        <v>824</v>
      </c>
      <c r="K56" s="31">
        <v>228.49</v>
      </c>
      <c r="L56" s="31">
        <v>595.58100000000002</v>
      </c>
      <c r="M56" s="31">
        <v>244.3</v>
      </c>
      <c r="N56" s="639">
        <v>1068.3710000000001</v>
      </c>
      <c r="O56" s="29"/>
      <c r="X56" s="46"/>
    </row>
    <row r="57" spans="1:24" s="278" customFormat="1" ht="409.6">
      <c r="A57" s="271">
        <f>References!M260</f>
        <v>57</v>
      </c>
      <c r="B57" s="305" t="s">
        <v>31</v>
      </c>
      <c r="C57" s="284">
        <v>2009</v>
      </c>
      <c r="D57" s="284">
        <v>2012</v>
      </c>
      <c r="E57" s="31">
        <v>190</v>
      </c>
      <c r="F57" s="31">
        <v>30</v>
      </c>
      <c r="G57" s="31">
        <v>394</v>
      </c>
      <c r="H57" s="31">
        <v>196</v>
      </c>
      <c r="I57" s="31">
        <v>30</v>
      </c>
      <c r="J57" s="27">
        <v>840</v>
      </c>
      <c r="K57" s="31">
        <v>218.49</v>
      </c>
      <c r="L57" s="31">
        <v>676.32100000000003</v>
      </c>
      <c r="M57" s="31">
        <v>244.3</v>
      </c>
      <c r="N57" s="639">
        <v>1139.1110000000001</v>
      </c>
      <c r="O57" s="29"/>
      <c r="X57" s="46"/>
    </row>
    <row r="58" spans="1:24" s="278" customFormat="1" ht="409.6">
      <c r="A58" s="271">
        <f>References!N260</f>
        <v>58</v>
      </c>
      <c r="B58" s="305" t="s">
        <v>31</v>
      </c>
      <c r="C58" s="284">
        <v>2009</v>
      </c>
      <c r="D58" s="284">
        <v>2013</v>
      </c>
      <c r="E58" s="31">
        <v>190</v>
      </c>
      <c r="F58" s="31">
        <v>30</v>
      </c>
      <c r="G58" s="31">
        <v>337</v>
      </c>
      <c r="H58" s="31">
        <v>197</v>
      </c>
      <c r="I58" s="31">
        <v>30</v>
      </c>
      <c r="J58" s="27">
        <v>784</v>
      </c>
      <c r="K58" s="31">
        <v>218.49</v>
      </c>
      <c r="L58" s="31">
        <v>588.58100000000002</v>
      </c>
      <c r="M58" s="31">
        <v>244.3</v>
      </c>
      <c r="N58" s="639">
        <v>1051.3710000000001</v>
      </c>
      <c r="O58" s="29"/>
      <c r="X58" s="46"/>
    </row>
    <row r="59" spans="1:24" s="278" customFormat="1" ht="409.6">
      <c r="A59" s="271">
        <f>References!O260</f>
        <v>59</v>
      </c>
      <c r="B59" s="305" t="s">
        <v>31</v>
      </c>
      <c r="C59" s="284">
        <v>2009</v>
      </c>
      <c r="D59" s="284">
        <v>2014</v>
      </c>
      <c r="E59" s="31">
        <v>190</v>
      </c>
      <c r="F59" s="31">
        <v>30</v>
      </c>
      <c r="G59" s="31">
        <v>332</v>
      </c>
      <c r="H59" s="31">
        <v>151</v>
      </c>
      <c r="I59" s="31">
        <v>30</v>
      </c>
      <c r="J59" s="27">
        <v>733</v>
      </c>
      <c r="K59" s="31">
        <v>218.49</v>
      </c>
      <c r="L59" s="31">
        <v>372.53800000000001</v>
      </c>
      <c r="M59" s="31">
        <v>244.3</v>
      </c>
      <c r="N59" s="639">
        <v>835.32799999999997</v>
      </c>
      <c r="O59" s="29"/>
      <c r="X59" s="46"/>
    </row>
    <row r="60" spans="1:24" s="278" customFormat="1" ht="409.6">
      <c r="A60" s="271">
        <f>References!P260</f>
        <v>60</v>
      </c>
      <c r="B60" s="305" t="s">
        <v>31</v>
      </c>
      <c r="C60" s="284">
        <v>2010</v>
      </c>
      <c r="D60" s="284">
        <v>2011</v>
      </c>
      <c r="E60" s="31">
        <v>630</v>
      </c>
      <c r="F60" s="31">
        <v>75</v>
      </c>
      <c r="G60" s="31">
        <v>477</v>
      </c>
      <c r="H60" s="31">
        <v>504</v>
      </c>
      <c r="I60" s="31">
        <v>50</v>
      </c>
      <c r="J60" s="27">
        <v>1736</v>
      </c>
      <c r="K60" s="31">
        <v>387</v>
      </c>
      <c r="L60" s="31">
        <v>773</v>
      </c>
      <c r="M60" s="31">
        <v>259</v>
      </c>
      <c r="N60" s="639">
        <v>1419</v>
      </c>
      <c r="O60" s="29"/>
      <c r="X60" s="46"/>
    </row>
    <row r="61" spans="1:24" s="278" customFormat="1" ht="409.6">
      <c r="A61" s="271">
        <f>References!Q260</f>
        <v>61</v>
      </c>
      <c r="B61" s="305" t="s">
        <v>31</v>
      </c>
      <c r="C61" s="284">
        <v>2010</v>
      </c>
      <c r="D61" s="284">
        <v>2012</v>
      </c>
      <c r="E61" s="31">
        <v>200</v>
      </c>
      <c r="F61" s="31">
        <v>60</v>
      </c>
      <c r="G61" s="31">
        <v>461</v>
      </c>
      <c r="H61" s="31">
        <v>297</v>
      </c>
      <c r="I61" s="31">
        <v>50</v>
      </c>
      <c r="J61" s="27">
        <v>1068</v>
      </c>
      <c r="K61" s="31">
        <v>378</v>
      </c>
      <c r="L61" s="31">
        <v>738</v>
      </c>
      <c r="M61" s="31">
        <v>274</v>
      </c>
      <c r="N61" s="639">
        <v>1390</v>
      </c>
      <c r="O61" s="29"/>
      <c r="X61" s="46"/>
    </row>
    <row r="62" spans="1:24" s="278" customFormat="1" ht="409.6">
      <c r="A62" s="271">
        <f>References!R260</f>
        <v>62</v>
      </c>
      <c r="B62" s="305" t="s">
        <v>31</v>
      </c>
      <c r="C62" s="284">
        <v>2010</v>
      </c>
      <c r="D62" s="284">
        <v>2013</v>
      </c>
      <c r="E62" s="31">
        <v>200</v>
      </c>
      <c r="F62" s="31">
        <v>30</v>
      </c>
      <c r="G62" s="31">
        <v>486</v>
      </c>
      <c r="H62" s="31">
        <v>265</v>
      </c>
      <c r="I62" s="31">
        <v>50</v>
      </c>
      <c r="J62" s="27">
        <v>1031</v>
      </c>
      <c r="K62" s="31">
        <v>378</v>
      </c>
      <c r="L62" s="31">
        <v>738</v>
      </c>
      <c r="M62" s="31">
        <v>274</v>
      </c>
      <c r="N62" s="639">
        <v>1390</v>
      </c>
      <c r="O62" s="29"/>
      <c r="X62" s="46"/>
    </row>
    <row r="63" spans="1:24" s="278" customFormat="1" ht="409.6">
      <c r="A63" s="271">
        <f>References!S260</f>
        <v>63</v>
      </c>
      <c r="B63" s="305" t="s">
        <v>31</v>
      </c>
      <c r="C63" s="284">
        <v>2010</v>
      </c>
      <c r="D63" s="284">
        <v>2014</v>
      </c>
      <c r="E63" s="31">
        <v>200</v>
      </c>
      <c r="F63" s="31">
        <v>30</v>
      </c>
      <c r="G63" s="31">
        <v>445</v>
      </c>
      <c r="H63" s="31">
        <v>265</v>
      </c>
      <c r="I63" s="31">
        <v>50</v>
      </c>
      <c r="J63" s="27">
        <v>990</v>
      </c>
      <c r="K63" s="31">
        <v>378</v>
      </c>
      <c r="L63" s="31">
        <v>746</v>
      </c>
      <c r="M63" s="31">
        <v>274</v>
      </c>
      <c r="N63" s="639">
        <v>1398</v>
      </c>
      <c r="O63" s="29"/>
      <c r="X63" s="46"/>
    </row>
    <row r="64" spans="1:24" s="278" customFormat="1" ht="409.6">
      <c r="A64" s="271">
        <f>References!T260</f>
        <v>64</v>
      </c>
      <c r="B64" s="305" t="s">
        <v>31</v>
      </c>
      <c r="C64" s="284">
        <v>2010</v>
      </c>
      <c r="D64" s="284">
        <v>2015</v>
      </c>
      <c r="E64" s="31">
        <v>200</v>
      </c>
      <c r="F64" s="31">
        <v>30</v>
      </c>
      <c r="G64" s="31">
        <v>445</v>
      </c>
      <c r="H64" s="31">
        <v>265</v>
      </c>
      <c r="I64" s="31">
        <v>50</v>
      </c>
      <c r="J64" s="27">
        <v>990</v>
      </c>
      <c r="K64" s="31">
        <v>388</v>
      </c>
      <c r="L64" s="31">
        <v>753</v>
      </c>
      <c r="M64" s="31">
        <v>274</v>
      </c>
      <c r="N64" s="639">
        <v>1415</v>
      </c>
      <c r="O64" s="29"/>
      <c r="X64" s="46"/>
    </row>
    <row r="65" spans="1:24" s="278" customFormat="1" ht="409.6">
      <c r="A65" s="271">
        <f>References!U260</f>
        <v>65</v>
      </c>
      <c r="B65" s="305" t="s">
        <v>31</v>
      </c>
      <c r="C65" s="284">
        <v>2011</v>
      </c>
      <c r="D65" s="284">
        <v>2012</v>
      </c>
      <c r="E65" s="31">
        <v>310</v>
      </c>
      <c r="F65" s="31">
        <v>198</v>
      </c>
      <c r="G65" s="31">
        <v>468</v>
      </c>
      <c r="H65" s="31">
        <v>554</v>
      </c>
      <c r="I65" s="31">
        <v>100</v>
      </c>
      <c r="J65" s="27">
        <v>1630</v>
      </c>
      <c r="K65" s="31">
        <v>359</v>
      </c>
      <c r="L65" s="31">
        <v>561</v>
      </c>
      <c r="M65" s="31">
        <v>252</v>
      </c>
      <c r="N65" s="639">
        <v>1172</v>
      </c>
      <c r="O65" s="29"/>
      <c r="X65" s="46"/>
    </row>
    <row r="66" spans="1:24" s="278" customFormat="1" ht="409.6">
      <c r="A66" s="271">
        <f>References!V260</f>
        <v>66</v>
      </c>
      <c r="B66" s="305" t="s">
        <v>31</v>
      </c>
      <c r="C66" s="284">
        <v>2011</v>
      </c>
      <c r="D66" s="284">
        <v>2013</v>
      </c>
      <c r="E66" s="31">
        <v>100</v>
      </c>
      <c r="F66" s="31">
        <v>30</v>
      </c>
      <c r="G66" s="31">
        <v>603</v>
      </c>
      <c r="H66" s="31">
        <v>660</v>
      </c>
      <c r="I66" s="31">
        <v>100</v>
      </c>
      <c r="J66" s="27">
        <v>1493</v>
      </c>
      <c r="K66" s="31">
        <v>349</v>
      </c>
      <c r="L66" s="31">
        <v>561</v>
      </c>
      <c r="M66" s="31">
        <v>252</v>
      </c>
      <c r="N66" s="639">
        <v>1162</v>
      </c>
      <c r="O66" s="29"/>
      <c r="X66" s="46"/>
    </row>
    <row r="67" spans="1:24" s="278" customFormat="1" ht="409.6">
      <c r="A67" s="271">
        <f>References!W260</f>
        <v>67</v>
      </c>
      <c r="B67" s="305" t="s">
        <v>31</v>
      </c>
      <c r="C67" s="284">
        <v>2011</v>
      </c>
      <c r="D67" s="284">
        <v>2014</v>
      </c>
      <c r="E67" s="31">
        <v>100</v>
      </c>
      <c r="F67" s="31">
        <v>30</v>
      </c>
      <c r="G67" s="31">
        <v>518</v>
      </c>
      <c r="H67" s="31">
        <v>245</v>
      </c>
      <c r="I67" s="31">
        <v>100</v>
      </c>
      <c r="J67" s="27">
        <v>993</v>
      </c>
      <c r="K67" s="31">
        <v>344</v>
      </c>
      <c r="L67" s="31">
        <v>569</v>
      </c>
      <c r="M67" s="31">
        <v>252</v>
      </c>
      <c r="N67" s="639">
        <v>1165</v>
      </c>
      <c r="O67" s="29"/>
      <c r="X67" s="46"/>
    </row>
    <row r="68" spans="1:24" s="278" customFormat="1" ht="409.6">
      <c r="A68" s="271">
        <f>References!X260</f>
        <v>68</v>
      </c>
      <c r="B68" s="305" t="s">
        <v>31</v>
      </c>
      <c r="C68" s="284">
        <v>2011</v>
      </c>
      <c r="D68" s="284">
        <v>2015</v>
      </c>
      <c r="E68" s="31">
        <v>100</v>
      </c>
      <c r="F68" s="31">
        <v>30</v>
      </c>
      <c r="G68" s="31">
        <v>518</v>
      </c>
      <c r="H68" s="31">
        <v>245</v>
      </c>
      <c r="I68" s="31">
        <v>100</v>
      </c>
      <c r="J68" s="27">
        <v>993</v>
      </c>
      <c r="K68" s="31">
        <v>332</v>
      </c>
      <c r="L68" s="31">
        <v>576</v>
      </c>
      <c r="M68" s="31">
        <v>252</v>
      </c>
      <c r="N68" s="639">
        <v>1160</v>
      </c>
      <c r="O68" s="29"/>
      <c r="X68" s="46"/>
    </row>
    <row r="69" spans="1:24" s="278" customFormat="1" ht="409.6">
      <c r="A69" s="271">
        <f>References!Y260</f>
        <v>69</v>
      </c>
      <c r="B69" s="305" t="s">
        <v>31</v>
      </c>
      <c r="C69" s="284">
        <v>2011</v>
      </c>
      <c r="D69" s="284">
        <v>2016</v>
      </c>
      <c r="E69" s="31">
        <v>100</v>
      </c>
      <c r="F69" s="31">
        <v>30</v>
      </c>
      <c r="G69" s="31">
        <v>619</v>
      </c>
      <c r="H69" s="31">
        <v>245</v>
      </c>
      <c r="I69" s="31">
        <v>100</v>
      </c>
      <c r="J69" s="27">
        <v>1094</v>
      </c>
      <c r="K69" s="31">
        <v>393</v>
      </c>
      <c r="L69" s="31">
        <v>385</v>
      </c>
      <c r="M69" s="31">
        <v>252</v>
      </c>
      <c r="N69" s="639">
        <v>1030</v>
      </c>
      <c r="O69" s="29"/>
      <c r="X69" s="46"/>
    </row>
    <row r="70" spans="1:24" s="278" customFormat="1" ht="409.6">
      <c r="A70" s="271">
        <f>References!K261</f>
        <v>78</v>
      </c>
      <c r="B70" s="305" t="s">
        <v>32</v>
      </c>
      <c r="C70" s="284">
        <v>2009</v>
      </c>
      <c r="D70" s="284">
        <v>2010</v>
      </c>
      <c r="E70" s="31">
        <v>500</v>
      </c>
      <c r="F70" s="31">
        <v>694.12</v>
      </c>
      <c r="G70" s="31">
        <v>1885.2070000000001</v>
      </c>
      <c r="H70" s="31">
        <v>2978.3560000000002</v>
      </c>
      <c r="I70" s="31">
        <v>200</v>
      </c>
      <c r="J70" s="27">
        <v>6257.6830000000009</v>
      </c>
      <c r="K70" s="31">
        <v>625.10400000000004</v>
      </c>
      <c r="L70" s="31">
        <v>100</v>
      </c>
      <c r="M70" s="31">
        <v>332.59199999999998</v>
      </c>
      <c r="N70" s="639">
        <v>1057.6959999999999</v>
      </c>
      <c r="O70" s="29"/>
      <c r="X70" s="46"/>
    </row>
    <row r="71" spans="1:24" s="278" customFormat="1" ht="409.6">
      <c r="A71" s="271">
        <f>References!L261</f>
        <v>79</v>
      </c>
      <c r="B71" s="305" t="s">
        <v>32</v>
      </c>
      <c r="C71" s="284">
        <v>2009</v>
      </c>
      <c r="D71" s="284">
        <v>2011</v>
      </c>
      <c r="E71" s="31">
        <v>500</v>
      </c>
      <c r="F71" s="31">
        <v>700</v>
      </c>
      <c r="G71" s="31">
        <v>550</v>
      </c>
      <c r="H71" s="31">
        <v>3050</v>
      </c>
      <c r="I71" s="31">
        <v>200</v>
      </c>
      <c r="J71" s="27">
        <v>5000</v>
      </c>
      <c r="K71" s="31">
        <v>656.35900000000004</v>
      </c>
      <c r="L71" s="31">
        <v>205</v>
      </c>
      <c r="M71" s="31">
        <v>349.22199999999998</v>
      </c>
      <c r="N71" s="639">
        <v>1210.5810000000001</v>
      </c>
      <c r="O71" s="29"/>
      <c r="X71" s="46"/>
    </row>
    <row r="72" spans="1:24" s="278" customFormat="1" ht="409.6">
      <c r="A72" s="271">
        <f>References!M261</f>
        <v>80</v>
      </c>
      <c r="B72" s="305" t="s">
        <v>32</v>
      </c>
      <c r="C72" s="284">
        <v>2009</v>
      </c>
      <c r="D72" s="284">
        <v>2012</v>
      </c>
      <c r="E72" s="31">
        <v>500</v>
      </c>
      <c r="F72" s="31">
        <v>700</v>
      </c>
      <c r="G72" s="31">
        <v>450</v>
      </c>
      <c r="H72" s="31">
        <v>2900</v>
      </c>
      <c r="I72" s="31">
        <v>200</v>
      </c>
      <c r="J72" s="27">
        <v>4750</v>
      </c>
      <c r="K72" s="31">
        <v>689.17700000000002</v>
      </c>
      <c r="L72" s="31">
        <v>110.25</v>
      </c>
      <c r="M72" s="31">
        <v>366.68299999999999</v>
      </c>
      <c r="N72" s="639">
        <v>1166.1100000000001</v>
      </c>
      <c r="O72" s="29"/>
      <c r="X72" s="46"/>
    </row>
    <row r="73" spans="1:24" s="278" customFormat="1" ht="409.6">
      <c r="A73" s="271">
        <f>References!N261</f>
        <v>81</v>
      </c>
      <c r="B73" s="305" t="s">
        <v>32</v>
      </c>
      <c r="C73" s="284">
        <v>2009</v>
      </c>
      <c r="D73" s="284">
        <v>2013</v>
      </c>
      <c r="E73" s="31">
        <v>500</v>
      </c>
      <c r="F73" s="31">
        <v>700</v>
      </c>
      <c r="G73" s="31">
        <v>100</v>
      </c>
      <c r="H73" s="31">
        <v>1750</v>
      </c>
      <c r="I73" s="31">
        <v>200</v>
      </c>
      <c r="J73" s="27">
        <v>3250</v>
      </c>
      <c r="K73" s="31">
        <v>723.63599999999997</v>
      </c>
      <c r="L73" s="31">
        <v>115.76300000000001</v>
      </c>
      <c r="M73" s="31">
        <v>385.017</v>
      </c>
      <c r="N73" s="639">
        <v>1224.4159999999999</v>
      </c>
      <c r="O73" s="29"/>
      <c r="X73" s="46"/>
    </row>
    <row r="74" spans="1:24" s="278" customFormat="1" ht="409.6">
      <c r="A74" s="271">
        <f>References!O261</f>
        <v>82</v>
      </c>
      <c r="B74" s="305" t="s">
        <v>32</v>
      </c>
      <c r="C74" s="284">
        <v>2009</v>
      </c>
      <c r="D74" s="284">
        <v>2014</v>
      </c>
      <c r="E74" s="31">
        <v>500</v>
      </c>
      <c r="F74" s="31">
        <v>700</v>
      </c>
      <c r="G74" s="31">
        <v>100</v>
      </c>
      <c r="H74" s="31">
        <v>1750</v>
      </c>
      <c r="I74" s="31">
        <v>200</v>
      </c>
      <c r="J74" s="27">
        <v>3250</v>
      </c>
      <c r="K74" s="31">
        <v>759.81799999999998</v>
      </c>
      <c r="L74" s="31">
        <v>121.551</v>
      </c>
      <c r="M74" s="31">
        <v>404.26799999999997</v>
      </c>
      <c r="N74" s="639">
        <v>1285.6369999999999</v>
      </c>
      <c r="O74" s="29"/>
      <c r="X74" s="46"/>
    </row>
    <row r="75" spans="1:24" s="278" customFormat="1" ht="409.6">
      <c r="A75" s="271">
        <f>References!P261</f>
        <v>83</v>
      </c>
      <c r="B75" s="305" t="s">
        <v>32</v>
      </c>
      <c r="C75" s="284">
        <v>2010</v>
      </c>
      <c r="D75" s="284">
        <v>2011</v>
      </c>
      <c r="E75" s="31">
        <v>240</v>
      </c>
      <c r="F75" s="31">
        <v>683</v>
      </c>
      <c r="G75" s="31">
        <v>1327</v>
      </c>
      <c r="H75" s="31">
        <v>3694</v>
      </c>
      <c r="I75" s="31">
        <v>115</v>
      </c>
      <c r="J75" s="27">
        <v>6059</v>
      </c>
      <c r="K75" s="31">
        <v>534.30600000000004</v>
      </c>
      <c r="L75" s="31">
        <v>593.20000000000005</v>
      </c>
      <c r="M75" s="31">
        <v>177</v>
      </c>
      <c r="N75" s="639">
        <v>1304.5060000000001</v>
      </c>
      <c r="O75" s="29"/>
      <c r="X75" s="46"/>
    </row>
    <row r="76" spans="1:24" s="278" customFormat="1" ht="409.6">
      <c r="A76" s="271">
        <f>References!Q261</f>
        <v>84</v>
      </c>
      <c r="B76" s="305" t="s">
        <v>32</v>
      </c>
      <c r="C76" s="284">
        <v>2010</v>
      </c>
      <c r="D76" s="284">
        <v>2012</v>
      </c>
      <c r="E76" s="31">
        <v>400</v>
      </c>
      <c r="F76" s="31">
        <v>250</v>
      </c>
      <c r="G76" s="31">
        <v>695</v>
      </c>
      <c r="H76" s="31">
        <v>1918</v>
      </c>
      <c r="I76" s="31">
        <v>115</v>
      </c>
      <c r="J76" s="27">
        <v>3378</v>
      </c>
      <c r="K76" s="31">
        <v>541.12400000000002</v>
      </c>
      <c r="L76" s="31">
        <v>609.25199999999995</v>
      </c>
      <c r="M76" s="31">
        <v>180.87</v>
      </c>
      <c r="N76" s="639">
        <v>1331.2460000000001</v>
      </c>
      <c r="O76" s="29"/>
      <c r="X76" s="46"/>
    </row>
    <row r="77" spans="1:24" s="278" customFormat="1" ht="409.6">
      <c r="A77" s="271">
        <f>References!R261</f>
        <v>85</v>
      </c>
      <c r="B77" s="305" t="s">
        <v>32</v>
      </c>
      <c r="C77" s="284">
        <v>2010</v>
      </c>
      <c r="D77" s="284">
        <v>2013</v>
      </c>
      <c r="E77" s="31">
        <v>500</v>
      </c>
      <c r="F77" s="31">
        <v>250</v>
      </c>
      <c r="G77" s="31">
        <v>120</v>
      </c>
      <c r="H77" s="31">
        <v>3144</v>
      </c>
      <c r="I77" s="31">
        <v>115</v>
      </c>
      <c r="J77" s="27">
        <v>4129</v>
      </c>
      <c r="K77" s="31">
        <v>548.05399999999997</v>
      </c>
      <c r="L77" s="31">
        <v>625.76800000000003</v>
      </c>
      <c r="M77" s="31">
        <v>184.84200000000001</v>
      </c>
      <c r="N77" s="639">
        <v>1358.6640000000002</v>
      </c>
      <c r="O77" s="29"/>
      <c r="X77" s="46"/>
    </row>
    <row r="78" spans="1:24" s="278" customFormat="1" ht="409.6">
      <c r="A78" s="271">
        <f>References!S261</f>
        <v>86</v>
      </c>
      <c r="B78" s="305" t="s">
        <v>32</v>
      </c>
      <c r="C78" s="284">
        <v>2010</v>
      </c>
      <c r="D78" s="284">
        <v>2014</v>
      </c>
      <c r="E78" s="31">
        <v>500</v>
      </c>
      <c r="F78" s="31">
        <v>250</v>
      </c>
      <c r="G78" s="31">
        <v>120</v>
      </c>
      <c r="H78" s="31">
        <v>2499</v>
      </c>
      <c r="I78" s="31">
        <v>115</v>
      </c>
      <c r="J78" s="27">
        <v>3484</v>
      </c>
      <c r="K78" s="31">
        <v>555.09900000000005</v>
      </c>
      <c r="L78" s="31">
        <v>642.76199999999994</v>
      </c>
      <c r="M78" s="31">
        <v>188.91800000000001</v>
      </c>
      <c r="N78" s="639">
        <v>1386.779</v>
      </c>
      <c r="O78" s="29"/>
      <c r="X78" s="46"/>
    </row>
    <row r="79" spans="1:24" s="278" customFormat="1" ht="409.6">
      <c r="A79" s="271">
        <f>References!T261</f>
        <v>87</v>
      </c>
      <c r="B79" s="305" t="s">
        <v>32</v>
      </c>
      <c r="C79" s="284">
        <v>2010</v>
      </c>
      <c r="D79" s="284">
        <v>2015</v>
      </c>
      <c r="E79" s="31">
        <v>500</v>
      </c>
      <c r="F79" s="31">
        <v>250</v>
      </c>
      <c r="G79" s="31">
        <v>250</v>
      </c>
      <c r="H79" s="31">
        <v>2538</v>
      </c>
      <c r="I79" s="31">
        <v>115</v>
      </c>
      <c r="J79" s="27">
        <v>3653</v>
      </c>
      <c r="K79" s="31">
        <v>562.26199999999994</v>
      </c>
      <c r="L79" s="31">
        <v>660.24800000000005</v>
      </c>
      <c r="M79" s="31">
        <v>193.102</v>
      </c>
      <c r="N79" s="639">
        <v>1415.6120000000001</v>
      </c>
      <c r="O79" s="29"/>
      <c r="X79" s="46"/>
    </row>
    <row r="80" spans="1:24" s="278" customFormat="1" ht="409.6">
      <c r="A80" s="271">
        <f>References!U261</f>
        <v>88</v>
      </c>
      <c r="B80" s="305" t="s">
        <v>32</v>
      </c>
      <c r="C80" s="284">
        <v>2011</v>
      </c>
      <c r="D80" s="284">
        <v>2012</v>
      </c>
      <c r="E80" s="31">
        <v>520</v>
      </c>
      <c r="F80" s="31">
        <v>210</v>
      </c>
      <c r="G80" s="31">
        <v>1685</v>
      </c>
      <c r="H80" s="31">
        <v>815</v>
      </c>
      <c r="I80" s="31">
        <v>115</v>
      </c>
      <c r="J80" s="27">
        <v>3345</v>
      </c>
      <c r="K80" s="31">
        <v>835</v>
      </c>
      <c r="L80" s="31">
        <v>187</v>
      </c>
      <c r="M80" s="31">
        <v>239</v>
      </c>
      <c r="N80" s="639">
        <v>1261</v>
      </c>
      <c r="O80" s="29"/>
      <c r="X80" s="46"/>
    </row>
    <row r="81" spans="1:24" s="278" customFormat="1" ht="409.6">
      <c r="A81" s="271">
        <f>References!V261</f>
        <v>89</v>
      </c>
      <c r="B81" s="305" t="s">
        <v>32</v>
      </c>
      <c r="C81" s="284">
        <v>2011</v>
      </c>
      <c r="D81" s="284">
        <v>2013</v>
      </c>
      <c r="E81" s="31">
        <v>515</v>
      </c>
      <c r="F81" s="31">
        <v>258</v>
      </c>
      <c r="G81" s="31">
        <v>3238</v>
      </c>
      <c r="H81" s="31">
        <v>124</v>
      </c>
      <c r="I81" s="31">
        <v>118</v>
      </c>
      <c r="J81" s="27">
        <v>4253</v>
      </c>
      <c r="K81" s="31">
        <v>564</v>
      </c>
      <c r="L81" s="31">
        <v>645</v>
      </c>
      <c r="M81" s="31">
        <v>190</v>
      </c>
      <c r="N81" s="639">
        <v>1399</v>
      </c>
      <c r="O81" s="29"/>
      <c r="X81" s="46"/>
    </row>
    <row r="82" spans="1:24" s="278" customFormat="1" ht="409.6">
      <c r="A82" s="271">
        <f>References!W261</f>
        <v>90</v>
      </c>
      <c r="B82" s="305" t="s">
        <v>32</v>
      </c>
      <c r="C82" s="284">
        <v>2011</v>
      </c>
      <c r="D82" s="284">
        <v>2014</v>
      </c>
      <c r="E82" s="31">
        <v>515</v>
      </c>
      <c r="F82" s="31">
        <v>258</v>
      </c>
      <c r="G82" s="31">
        <v>2574</v>
      </c>
      <c r="H82" s="31">
        <v>12</v>
      </c>
      <c r="I82" s="31">
        <v>118</v>
      </c>
      <c r="J82" s="27">
        <v>3477</v>
      </c>
      <c r="K82" s="31">
        <v>572</v>
      </c>
      <c r="L82" s="31">
        <v>662</v>
      </c>
      <c r="M82" s="31">
        <v>195</v>
      </c>
      <c r="N82" s="639">
        <v>1429</v>
      </c>
      <c r="O82" s="29"/>
      <c r="X82" s="46"/>
    </row>
    <row r="83" spans="1:24" s="278" customFormat="1" ht="409.6">
      <c r="A83" s="271">
        <f>References!X261</f>
        <v>91</v>
      </c>
      <c r="B83" s="305" t="s">
        <v>32</v>
      </c>
      <c r="C83" s="284">
        <v>2011</v>
      </c>
      <c r="D83" s="284">
        <v>2015</v>
      </c>
      <c r="E83" s="31">
        <v>515</v>
      </c>
      <c r="F83" s="31">
        <v>258</v>
      </c>
      <c r="G83" s="31">
        <v>2614</v>
      </c>
      <c r="H83" s="31">
        <v>258</v>
      </c>
      <c r="I83" s="31">
        <v>118</v>
      </c>
      <c r="J83" s="27">
        <v>3763</v>
      </c>
      <c r="K83" s="31">
        <v>579</v>
      </c>
      <c r="L83" s="31">
        <v>680</v>
      </c>
      <c r="M83" s="31">
        <v>199</v>
      </c>
      <c r="N83" s="639">
        <v>1458</v>
      </c>
      <c r="O83" s="29"/>
      <c r="X83" s="46"/>
    </row>
    <row r="84" spans="1:24" s="278" customFormat="1" ht="409.6">
      <c r="A84" s="271">
        <f>References!Y261</f>
        <v>92</v>
      </c>
      <c r="B84" s="305" t="s">
        <v>32</v>
      </c>
      <c r="C84" s="284">
        <v>2011</v>
      </c>
      <c r="D84" s="284">
        <v>2016</v>
      </c>
      <c r="E84" s="31">
        <v>515</v>
      </c>
      <c r="F84" s="31">
        <v>258</v>
      </c>
      <c r="G84" s="31">
        <v>1989</v>
      </c>
      <c r="H84" s="31">
        <v>155</v>
      </c>
      <c r="I84" s="31">
        <v>118</v>
      </c>
      <c r="J84" s="27">
        <v>3035</v>
      </c>
      <c r="K84" s="31">
        <v>587</v>
      </c>
      <c r="L84" s="31">
        <v>699</v>
      </c>
      <c r="M84" s="31">
        <v>203</v>
      </c>
      <c r="N84" s="639">
        <v>1489</v>
      </c>
      <c r="O84" s="29"/>
      <c r="X84" s="46"/>
    </row>
    <row r="85" spans="1:24" s="278" customFormat="1" ht="409.6">
      <c r="A85" s="271">
        <f>References!K262</f>
        <v>101</v>
      </c>
      <c r="B85" s="305" t="s">
        <v>33</v>
      </c>
      <c r="C85" s="284">
        <v>2009</v>
      </c>
      <c r="D85" s="284">
        <v>2010</v>
      </c>
      <c r="E85" s="31">
        <v>1625</v>
      </c>
      <c r="F85" s="31">
        <v>4505</v>
      </c>
      <c r="G85" s="31">
        <v>4367</v>
      </c>
      <c r="H85" s="31">
        <v>1325</v>
      </c>
      <c r="I85" s="31">
        <v>448.4</v>
      </c>
      <c r="J85" s="27">
        <v>12270.4</v>
      </c>
      <c r="K85" s="31">
        <v>1227.7884783402972</v>
      </c>
      <c r="L85" s="31">
        <v>818.81152165970298</v>
      </c>
      <c r="M85" s="31">
        <v>1293.5574999999999</v>
      </c>
      <c r="N85" s="639">
        <v>3340.1575000000003</v>
      </c>
      <c r="O85" s="29"/>
      <c r="X85" s="46"/>
    </row>
    <row r="86" spans="1:24" s="278" customFormat="1" ht="409.6">
      <c r="A86" s="271">
        <f>References!L262</f>
        <v>102</v>
      </c>
      <c r="B86" s="305" t="s">
        <v>33</v>
      </c>
      <c r="C86" s="284">
        <v>2009</v>
      </c>
      <c r="D86" s="284">
        <v>2011</v>
      </c>
      <c r="E86" s="31">
        <v>1625</v>
      </c>
      <c r="F86" s="31">
        <v>5367</v>
      </c>
      <c r="G86" s="31">
        <v>4689</v>
      </c>
      <c r="H86" s="31">
        <v>1295</v>
      </c>
      <c r="I86" s="31">
        <v>448.4</v>
      </c>
      <c r="J86" s="27">
        <v>13424.4</v>
      </c>
      <c r="K86" s="31">
        <v>1281.0302648949744</v>
      </c>
      <c r="L86" s="31">
        <v>854.31844246388516</v>
      </c>
      <c r="M86" s="31">
        <v>1349.6512926411401</v>
      </c>
      <c r="N86" s="639">
        <v>3484.9999999999995</v>
      </c>
      <c r="O86" s="29"/>
      <c r="X86" s="46"/>
    </row>
    <row r="87" spans="1:24" s="278" customFormat="1" ht="409.6">
      <c r="A87" s="271">
        <f>References!M262</f>
        <v>103</v>
      </c>
      <c r="B87" s="305" t="s">
        <v>33</v>
      </c>
      <c r="C87" s="284">
        <v>2009</v>
      </c>
      <c r="D87" s="284">
        <v>2012</v>
      </c>
      <c r="E87" s="31">
        <v>1625</v>
      </c>
      <c r="F87" s="31">
        <v>9074</v>
      </c>
      <c r="G87" s="31">
        <v>3159</v>
      </c>
      <c r="H87" s="31">
        <v>1295</v>
      </c>
      <c r="I87" s="31">
        <v>448.4</v>
      </c>
      <c r="J87" s="27">
        <v>15601.4</v>
      </c>
      <c r="K87" s="31">
        <v>1313.010073516456</v>
      </c>
      <c r="L87" s="31">
        <v>875.64576082668532</v>
      </c>
      <c r="M87" s="31">
        <v>1383.3441656568589</v>
      </c>
      <c r="N87" s="639">
        <v>3572.0000000000005</v>
      </c>
      <c r="O87" s="29"/>
      <c r="X87" s="46"/>
    </row>
    <row r="88" spans="1:24" s="278" customFormat="1" ht="409.6">
      <c r="A88" s="271">
        <f>References!N262</f>
        <v>104</v>
      </c>
      <c r="B88" s="305" t="s">
        <v>33</v>
      </c>
      <c r="C88" s="284">
        <v>2009</v>
      </c>
      <c r="D88" s="284">
        <v>2013</v>
      </c>
      <c r="E88" s="31">
        <v>2053.75</v>
      </c>
      <c r="F88" s="31">
        <v>6165</v>
      </c>
      <c r="G88" s="31">
        <v>2684</v>
      </c>
      <c r="H88" s="31">
        <v>1295</v>
      </c>
      <c r="I88" s="31">
        <v>448.4</v>
      </c>
      <c r="J88" s="27">
        <v>12646.15</v>
      </c>
      <c r="K88" s="31">
        <v>1345.7250501522242</v>
      </c>
      <c r="L88" s="31">
        <v>897.46336237023922</v>
      </c>
      <c r="M88" s="31">
        <v>1417.8115874775362</v>
      </c>
      <c r="N88" s="639">
        <v>3660.9999999999995</v>
      </c>
      <c r="O88" s="29"/>
      <c r="X88" s="46"/>
    </row>
    <row r="89" spans="1:24" s="278" customFormat="1" ht="409.6">
      <c r="A89" s="271">
        <f>References!O262</f>
        <v>105</v>
      </c>
      <c r="B89" s="305" t="s">
        <v>33</v>
      </c>
      <c r="C89" s="284">
        <v>2009</v>
      </c>
      <c r="D89" s="284">
        <v>2014</v>
      </c>
      <c r="E89" s="31">
        <v>2053.75</v>
      </c>
      <c r="F89" s="31">
        <v>5129</v>
      </c>
      <c r="G89" s="31">
        <v>2650</v>
      </c>
      <c r="H89" s="31">
        <v>1295</v>
      </c>
      <c r="I89" s="31">
        <v>448.4</v>
      </c>
      <c r="J89" s="27">
        <v>11576.15</v>
      </c>
      <c r="K89" s="31">
        <v>1378.4400267879923</v>
      </c>
      <c r="L89" s="31">
        <v>919.28096391379313</v>
      </c>
      <c r="M89" s="31">
        <v>1452.2790092982136</v>
      </c>
      <c r="N89" s="639">
        <v>3749.9999999999991</v>
      </c>
      <c r="O89" s="29"/>
      <c r="X89" s="46"/>
    </row>
    <row r="90" spans="1:24" s="278" customFormat="1" ht="409.6">
      <c r="A90" s="271">
        <f>References!P262</f>
        <v>106</v>
      </c>
      <c r="B90" s="305" t="s">
        <v>33</v>
      </c>
      <c r="C90" s="284">
        <v>2010</v>
      </c>
      <c r="D90" s="284">
        <v>2011</v>
      </c>
      <c r="E90" s="31">
        <v>1625</v>
      </c>
      <c r="F90" s="31">
        <v>3402</v>
      </c>
      <c r="G90" s="31">
        <v>4802</v>
      </c>
      <c r="H90" s="31">
        <v>1395</v>
      </c>
      <c r="I90" s="31">
        <v>400</v>
      </c>
      <c r="J90" s="27">
        <v>11624</v>
      </c>
      <c r="K90" s="31">
        <v>1281</v>
      </c>
      <c r="L90" s="31">
        <v>854</v>
      </c>
      <c r="M90" s="31">
        <v>1350</v>
      </c>
      <c r="N90" s="639">
        <v>3485</v>
      </c>
      <c r="O90" s="29"/>
      <c r="X90" s="46"/>
    </row>
    <row r="91" spans="1:24" s="278" customFormat="1" ht="409.6">
      <c r="A91" s="271">
        <f>References!Q262</f>
        <v>107</v>
      </c>
      <c r="B91" s="305" t="s">
        <v>33</v>
      </c>
      <c r="C91" s="284">
        <v>2010</v>
      </c>
      <c r="D91" s="284">
        <v>2012</v>
      </c>
      <c r="E91" s="31">
        <v>1625</v>
      </c>
      <c r="F91" s="31">
        <v>7185</v>
      </c>
      <c r="G91" s="31">
        <v>3407</v>
      </c>
      <c r="H91" s="31">
        <v>1295</v>
      </c>
      <c r="I91" s="31">
        <v>448.4</v>
      </c>
      <c r="J91" s="27">
        <v>13960.4</v>
      </c>
      <c r="K91" s="31">
        <v>1312.9790530846485</v>
      </c>
      <c r="L91" s="31">
        <v>875.31936872309905</v>
      </c>
      <c r="M91" s="31">
        <v>1383.7015781922526</v>
      </c>
      <c r="N91" s="639">
        <v>3572</v>
      </c>
      <c r="O91" s="29"/>
      <c r="X91" s="46"/>
    </row>
    <row r="92" spans="1:24" s="278" customFormat="1" ht="409.6">
      <c r="A92" s="271">
        <f>References!R262</f>
        <v>108</v>
      </c>
      <c r="B92" s="305" t="s">
        <v>33</v>
      </c>
      <c r="C92" s="284">
        <v>2010</v>
      </c>
      <c r="D92" s="284">
        <v>2013</v>
      </c>
      <c r="E92" s="31">
        <v>2053.75</v>
      </c>
      <c r="F92" s="31">
        <v>8037.5</v>
      </c>
      <c r="G92" s="31">
        <v>2965</v>
      </c>
      <c r="H92" s="31">
        <v>1295</v>
      </c>
      <c r="I92" s="31">
        <v>448.4</v>
      </c>
      <c r="J92" s="27">
        <v>14799.65</v>
      </c>
      <c r="K92" s="31">
        <v>1345.6932568149209</v>
      </c>
      <c r="L92" s="31">
        <v>897.12883787661406</v>
      </c>
      <c r="M92" s="31">
        <v>1418.1779053084649</v>
      </c>
      <c r="N92" s="639">
        <v>3661</v>
      </c>
      <c r="O92" s="29"/>
      <c r="X92" s="46"/>
    </row>
    <row r="93" spans="1:24" s="278" customFormat="1" ht="409.6">
      <c r="A93" s="271">
        <f>References!S262</f>
        <v>109</v>
      </c>
      <c r="B93" s="305" t="s">
        <v>33</v>
      </c>
      <c r="C93" s="284">
        <v>2010</v>
      </c>
      <c r="D93" s="284">
        <v>2014</v>
      </c>
      <c r="E93" s="31">
        <v>2053.75</v>
      </c>
      <c r="F93" s="31">
        <v>5588</v>
      </c>
      <c r="G93" s="31">
        <v>2740</v>
      </c>
      <c r="H93" s="31">
        <v>1295</v>
      </c>
      <c r="I93" s="31">
        <v>448.4</v>
      </c>
      <c r="J93" s="27">
        <v>12125.15</v>
      </c>
      <c r="K93" s="31">
        <v>1378.4074605451933</v>
      </c>
      <c r="L93" s="31">
        <v>918.93830703012907</v>
      </c>
      <c r="M93" s="31">
        <v>1452.6542324246773</v>
      </c>
      <c r="N93" s="639">
        <v>3750</v>
      </c>
      <c r="O93" s="29"/>
      <c r="X93" s="46"/>
    </row>
    <row r="94" spans="1:24" s="278" customFormat="1" ht="409.6">
      <c r="A94" s="271">
        <f>References!T262</f>
        <v>110</v>
      </c>
      <c r="B94" s="305" t="s">
        <v>33</v>
      </c>
      <c r="C94" s="284">
        <v>2010</v>
      </c>
      <c r="D94" s="284">
        <v>2015</v>
      </c>
      <c r="E94" s="31">
        <v>2207.75</v>
      </c>
      <c r="F94" s="31">
        <v>8495</v>
      </c>
      <c r="G94" s="31">
        <v>1755.25</v>
      </c>
      <c r="H94" s="31">
        <v>1295</v>
      </c>
      <c r="I94" s="31">
        <v>448.4</v>
      </c>
      <c r="J94" s="27">
        <v>14201.4</v>
      </c>
      <c r="K94" s="31">
        <v>1411.1216642754657</v>
      </c>
      <c r="L94" s="31">
        <v>940.74777618364408</v>
      </c>
      <c r="M94" s="31">
        <v>1487.1305595408896</v>
      </c>
      <c r="N94" s="639">
        <v>3838.9999999999991</v>
      </c>
      <c r="O94" s="29"/>
      <c r="X94" s="46"/>
    </row>
    <row r="95" spans="1:24" s="278" customFormat="1" ht="409.6">
      <c r="A95" s="271">
        <f>References!U262</f>
        <v>111</v>
      </c>
      <c r="B95" s="305" t="s">
        <v>33</v>
      </c>
      <c r="C95" s="284">
        <v>2011</v>
      </c>
      <c r="D95" s="284">
        <v>2012</v>
      </c>
      <c r="E95" s="31">
        <v>1360</v>
      </c>
      <c r="F95" s="31">
        <v>5620</v>
      </c>
      <c r="G95" s="31">
        <v>3872</v>
      </c>
      <c r="H95" s="31">
        <v>1930</v>
      </c>
      <c r="I95" s="31">
        <v>300</v>
      </c>
      <c r="J95" s="27">
        <v>13082</v>
      </c>
      <c r="K95" s="31">
        <v>1433.638465</v>
      </c>
      <c r="L95" s="31">
        <v>838.92953520000003</v>
      </c>
      <c r="M95" s="31">
        <v>1299.4960000000001</v>
      </c>
      <c r="N95" s="639">
        <v>3572.0639999999999</v>
      </c>
      <c r="O95" s="29"/>
      <c r="X95" s="46"/>
    </row>
    <row r="96" spans="1:24" s="278" customFormat="1" ht="409.6">
      <c r="A96" s="271">
        <f>References!V262</f>
        <v>112</v>
      </c>
      <c r="B96" s="305" t="s">
        <v>33</v>
      </c>
      <c r="C96" s="284">
        <v>2011</v>
      </c>
      <c r="D96" s="284">
        <v>2013</v>
      </c>
      <c r="E96" s="31">
        <v>1855</v>
      </c>
      <c r="F96" s="31">
        <v>6965</v>
      </c>
      <c r="G96" s="31">
        <v>2602</v>
      </c>
      <c r="H96" s="31">
        <v>2100</v>
      </c>
      <c r="I96" s="31">
        <v>224.8</v>
      </c>
      <c r="J96" s="27">
        <v>13746.8</v>
      </c>
      <c r="K96" s="31">
        <v>1469.3326939999999</v>
      </c>
      <c r="L96" s="31">
        <v>859.81690930000002</v>
      </c>
      <c r="M96" s="31">
        <v>1331.8503969999999</v>
      </c>
      <c r="N96" s="639">
        <v>3661</v>
      </c>
      <c r="O96" s="29"/>
      <c r="X96" s="46"/>
    </row>
    <row r="97" spans="1:24" s="278" customFormat="1" ht="409.6">
      <c r="A97" s="271">
        <f>References!W262</f>
        <v>113</v>
      </c>
      <c r="B97" s="305" t="s">
        <v>33</v>
      </c>
      <c r="C97" s="284">
        <v>2011</v>
      </c>
      <c r="D97" s="284">
        <v>2014</v>
      </c>
      <c r="E97" s="31">
        <v>2053.75</v>
      </c>
      <c r="F97" s="31">
        <v>5905</v>
      </c>
      <c r="G97" s="31">
        <v>3182</v>
      </c>
      <c r="H97" s="31">
        <v>1895</v>
      </c>
      <c r="I97" s="31">
        <v>224.8</v>
      </c>
      <c r="J97" s="27">
        <v>13260.55</v>
      </c>
      <c r="K97" s="31">
        <v>1505.0526090000001</v>
      </c>
      <c r="L97" s="31">
        <v>880.71931440000003</v>
      </c>
      <c r="M97" s="31">
        <v>1364.228077</v>
      </c>
      <c r="N97" s="639">
        <v>3750</v>
      </c>
      <c r="O97" s="29"/>
      <c r="X97" s="46"/>
    </row>
    <row r="98" spans="1:24" s="278" customFormat="1" ht="409.6">
      <c r="A98" s="271">
        <f>References!X262</f>
        <v>114</v>
      </c>
      <c r="B98" s="305" t="s">
        <v>33</v>
      </c>
      <c r="C98" s="284">
        <v>2011</v>
      </c>
      <c r="D98" s="284">
        <v>2015</v>
      </c>
      <c r="E98" s="31">
        <v>2053.75</v>
      </c>
      <c r="F98" s="31">
        <v>8860</v>
      </c>
      <c r="G98" s="31">
        <v>1625.25</v>
      </c>
      <c r="H98" s="31">
        <v>1895</v>
      </c>
      <c r="I98" s="31">
        <v>224.8</v>
      </c>
      <c r="J98" s="27">
        <v>14658.8</v>
      </c>
      <c r="K98" s="31">
        <v>1540.772524</v>
      </c>
      <c r="L98" s="31">
        <v>901.62171950000004</v>
      </c>
      <c r="M98" s="31">
        <v>1396.6057559999999</v>
      </c>
      <c r="N98" s="639">
        <v>3839</v>
      </c>
      <c r="O98" s="29"/>
      <c r="X98" s="46"/>
    </row>
    <row r="99" spans="1:24" s="278" customFormat="1" ht="409.6">
      <c r="A99" s="271">
        <f>References!Y262</f>
        <v>115</v>
      </c>
      <c r="B99" s="305" t="s">
        <v>33</v>
      </c>
      <c r="C99" s="284">
        <v>2011</v>
      </c>
      <c r="D99" s="284">
        <v>2016</v>
      </c>
      <c r="E99" s="31">
        <v>2207.75</v>
      </c>
      <c r="F99" s="31">
        <v>4875</v>
      </c>
      <c r="G99" s="31">
        <v>3065</v>
      </c>
      <c r="H99" s="31">
        <v>1895</v>
      </c>
      <c r="I99" s="31">
        <v>224.8</v>
      </c>
      <c r="J99" s="27">
        <v>12267.55</v>
      </c>
      <c r="K99" s="31">
        <v>1576.49244</v>
      </c>
      <c r="L99" s="31">
        <v>922.52412449999997</v>
      </c>
      <c r="M99" s="31">
        <v>1428.983436</v>
      </c>
      <c r="N99" s="639">
        <v>3928</v>
      </c>
      <c r="O99" s="29"/>
      <c r="X99" s="46"/>
    </row>
    <row r="100" spans="1:24" s="278" customFormat="1" ht="409.6">
      <c r="A100" s="271">
        <f>References!K263</f>
        <v>124</v>
      </c>
      <c r="B100" s="305" t="s">
        <v>34</v>
      </c>
      <c r="C100" s="284">
        <v>2009</v>
      </c>
      <c r="D100" s="284">
        <v>2010</v>
      </c>
      <c r="E100" s="31">
        <v>100</v>
      </c>
      <c r="F100" s="31">
        <v>1098</v>
      </c>
      <c r="G100" s="31">
        <v>4149</v>
      </c>
      <c r="H100" s="31">
        <v>110</v>
      </c>
      <c r="I100" s="31">
        <v>50</v>
      </c>
      <c r="J100" s="27">
        <v>5507</v>
      </c>
      <c r="K100" s="31">
        <v>1031.94</v>
      </c>
      <c r="L100" s="31">
        <v>243</v>
      </c>
      <c r="M100" s="31">
        <v>928.27300000000002</v>
      </c>
      <c r="N100" s="639">
        <v>2203.2130000000002</v>
      </c>
      <c r="O100" s="29"/>
      <c r="X100" s="46"/>
    </row>
    <row r="101" spans="1:24" s="278" customFormat="1" ht="409.6">
      <c r="A101" s="271">
        <f>References!L263</f>
        <v>125</v>
      </c>
      <c r="B101" s="305" t="s">
        <v>34</v>
      </c>
      <c r="C101" s="284">
        <v>2009</v>
      </c>
      <c r="D101" s="284">
        <v>2011</v>
      </c>
      <c r="E101" s="31">
        <v>100</v>
      </c>
      <c r="F101" s="31">
        <v>1278</v>
      </c>
      <c r="G101" s="31">
        <v>4202</v>
      </c>
      <c r="H101" s="31">
        <v>160</v>
      </c>
      <c r="I101" s="31">
        <v>50</v>
      </c>
      <c r="J101" s="27">
        <v>5790</v>
      </c>
      <c r="K101" s="31">
        <v>1031.94</v>
      </c>
      <c r="L101" s="31">
        <v>243</v>
      </c>
      <c r="M101" s="31">
        <v>928.27300000000002</v>
      </c>
      <c r="N101" s="639">
        <v>2203.2130000000002</v>
      </c>
      <c r="O101" s="29"/>
      <c r="X101" s="46"/>
    </row>
    <row r="102" spans="1:24" s="278" customFormat="1" ht="409.6">
      <c r="A102" s="271">
        <f>References!M263</f>
        <v>126</v>
      </c>
      <c r="B102" s="305" t="s">
        <v>34</v>
      </c>
      <c r="C102" s="284">
        <v>2009</v>
      </c>
      <c r="D102" s="284">
        <v>2012</v>
      </c>
      <c r="E102" s="31">
        <v>100</v>
      </c>
      <c r="F102" s="31">
        <v>1078</v>
      </c>
      <c r="G102" s="31">
        <v>5042</v>
      </c>
      <c r="H102" s="31">
        <v>100</v>
      </c>
      <c r="I102" s="31">
        <v>50</v>
      </c>
      <c r="J102" s="27">
        <v>6370</v>
      </c>
      <c r="K102" s="31">
        <v>1031.94</v>
      </c>
      <c r="L102" s="31">
        <v>243</v>
      </c>
      <c r="M102" s="31">
        <v>928.27300000000002</v>
      </c>
      <c r="N102" s="639">
        <v>2203.2130000000002</v>
      </c>
      <c r="O102" s="29"/>
      <c r="X102" s="46"/>
    </row>
    <row r="103" spans="1:24" s="278" customFormat="1" ht="409.6">
      <c r="A103" s="271">
        <f>References!N263</f>
        <v>127</v>
      </c>
      <c r="B103" s="305" t="s">
        <v>34</v>
      </c>
      <c r="C103" s="284">
        <v>2009</v>
      </c>
      <c r="D103" s="284">
        <v>2013</v>
      </c>
      <c r="E103" s="31">
        <v>100</v>
      </c>
      <c r="F103" s="31">
        <v>978</v>
      </c>
      <c r="G103" s="31">
        <v>4172</v>
      </c>
      <c r="H103" s="31">
        <v>155</v>
      </c>
      <c r="I103" s="31">
        <v>50</v>
      </c>
      <c r="J103" s="27">
        <v>5455</v>
      </c>
      <c r="K103" s="31">
        <v>1031.94</v>
      </c>
      <c r="L103" s="31">
        <v>243</v>
      </c>
      <c r="M103" s="31">
        <v>928.27300000000002</v>
      </c>
      <c r="N103" s="639">
        <v>2203.2130000000002</v>
      </c>
      <c r="O103" s="29"/>
      <c r="X103" s="46"/>
    </row>
    <row r="104" spans="1:24" s="278" customFormat="1" ht="409.6">
      <c r="A104" s="271">
        <f>References!O263</f>
        <v>128</v>
      </c>
      <c r="B104" s="305" t="s">
        <v>34</v>
      </c>
      <c r="C104" s="284">
        <v>2009</v>
      </c>
      <c r="D104" s="284">
        <v>2014</v>
      </c>
      <c r="E104" s="31">
        <v>100</v>
      </c>
      <c r="F104" s="31">
        <v>1213</v>
      </c>
      <c r="G104" s="31">
        <v>4282</v>
      </c>
      <c r="H104" s="31">
        <v>90</v>
      </c>
      <c r="I104" s="31">
        <v>50</v>
      </c>
      <c r="J104" s="27">
        <v>5735</v>
      </c>
      <c r="K104" s="31">
        <v>1031.94</v>
      </c>
      <c r="L104" s="31">
        <v>243</v>
      </c>
      <c r="M104" s="31">
        <v>928.27300000000002</v>
      </c>
      <c r="N104" s="639">
        <v>2203.2130000000002</v>
      </c>
      <c r="O104" s="29"/>
      <c r="X104" s="46"/>
    </row>
    <row r="105" spans="1:24" s="278" customFormat="1" ht="409.6">
      <c r="A105" s="271">
        <f>References!P263</f>
        <v>129</v>
      </c>
      <c r="B105" s="305" t="s">
        <v>34</v>
      </c>
      <c r="C105" s="284">
        <v>2010</v>
      </c>
      <c r="D105" s="284">
        <v>2011</v>
      </c>
      <c r="E105" s="31">
        <v>90</v>
      </c>
      <c r="F105" s="31">
        <v>1028</v>
      </c>
      <c r="G105" s="31">
        <v>3999</v>
      </c>
      <c r="H105" s="31">
        <v>110</v>
      </c>
      <c r="I105" s="31">
        <v>50</v>
      </c>
      <c r="J105" s="27">
        <v>5277</v>
      </c>
      <c r="K105" s="31">
        <v>1537</v>
      </c>
      <c r="L105" s="31">
        <v>230</v>
      </c>
      <c r="M105" s="31">
        <v>987</v>
      </c>
      <c r="N105" s="639">
        <v>2754</v>
      </c>
      <c r="O105" s="29"/>
      <c r="X105" s="46"/>
    </row>
    <row r="106" spans="1:24" s="278" customFormat="1" ht="409.6">
      <c r="A106" s="271">
        <f>References!Q263</f>
        <v>130</v>
      </c>
      <c r="B106" s="305" t="s">
        <v>34</v>
      </c>
      <c r="C106" s="284">
        <v>2010</v>
      </c>
      <c r="D106" s="284">
        <v>2012</v>
      </c>
      <c r="E106" s="31">
        <v>90</v>
      </c>
      <c r="F106" s="31">
        <v>1278</v>
      </c>
      <c r="G106" s="31">
        <v>4052</v>
      </c>
      <c r="H106" s="31">
        <v>160</v>
      </c>
      <c r="I106" s="31">
        <v>50</v>
      </c>
      <c r="J106" s="27">
        <v>5630</v>
      </c>
      <c r="K106" s="31">
        <v>1537</v>
      </c>
      <c r="L106" s="31">
        <v>230</v>
      </c>
      <c r="M106" s="31">
        <v>987</v>
      </c>
      <c r="N106" s="639">
        <v>2754</v>
      </c>
      <c r="O106" s="29"/>
      <c r="X106" s="46"/>
    </row>
    <row r="107" spans="1:24" s="278" customFormat="1" ht="409.6">
      <c r="A107" s="271">
        <f>References!R263</f>
        <v>131</v>
      </c>
      <c r="B107" s="305" t="s">
        <v>34</v>
      </c>
      <c r="C107" s="284">
        <v>2010</v>
      </c>
      <c r="D107" s="284">
        <v>2013</v>
      </c>
      <c r="E107" s="31">
        <v>90</v>
      </c>
      <c r="F107" s="31">
        <v>1078</v>
      </c>
      <c r="G107" s="31">
        <v>4257</v>
      </c>
      <c r="H107" s="31">
        <v>100</v>
      </c>
      <c r="I107" s="31">
        <v>50</v>
      </c>
      <c r="J107" s="27">
        <v>5575</v>
      </c>
      <c r="K107" s="31">
        <v>1537</v>
      </c>
      <c r="L107" s="31">
        <v>230</v>
      </c>
      <c r="M107" s="31">
        <v>987</v>
      </c>
      <c r="N107" s="639">
        <v>2754</v>
      </c>
      <c r="O107" s="29"/>
      <c r="X107" s="46"/>
    </row>
    <row r="108" spans="1:24" s="278" customFormat="1" ht="409.6">
      <c r="A108" s="271">
        <f>References!S263</f>
        <v>132</v>
      </c>
      <c r="B108" s="305" t="s">
        <v>34</v>
      </c>
      <c r="C108" s="284">
        <v>2010</v>
      </c>
      <c r="D108" s="284">
        <v>2014</v>
      </c>
      <c r="E108" s="31">
        <v>90</v>
      </c>
      <c r="F108" s="31">
        <v>978</v>
      </c>
      <c r="G108" s="31">
        <v>4272</v>
      </c>
      <c r="H108" s="31">
        <v>155</v>
      </c>
      <c r="I108" s="31">
        <v>50</v>
      </c>
      <c r="J108" s="27">
        <v>5545</v>
      </c>
      <c r="K108" s="31">
        <v>1337</v>
      </c>
      <c r="L108" s="31">
        <v>230</v>
      </c>
      <c r="M108" s="31">
        <v>987</v>
      </c>
      <c r="N108" s="639">
        <v>2554</v>
      </c>
      <c r="O108" s="29"/>
      <c r="X108" s="46"/>
    </row>
    <row r="109" spans="1:24" s="278" customFormat="1" ht="409.6">
      <c r="A109" s="271">
        <f>References!T263</f>
        <v>133</v>
      </c>
      <c r="B109" s="305" t="s">
        <v>34</v>
      </c>
      <c r="C109" s="284">
        <v>2010</v>
      </c>
      <c r="D109" s="284">
        <v>2015</v>
      </c>
      <c r="E109" s="31">
        <v>90</v>
      </c>
      <c r="F109" s="31">
        <v>1213</v>
      </c>
      <c r="G109" s="31">
        <v>4132</v>
      </c>
      <c r="H109" s="31">
        <v>90</v>
      </c>
      <c r="I109" s="31">
        <v>50</v>
      </c>
      <c r="J109" s="27">
        <v>5575</v>
      </c>
      <c r="K109" s="31">
        <v>1337</v>
      </c>
      <c r="L109" s="31">
        <v>230</v>
      </c>
      <c r="M109" s="31">
        <v>987</v>
      </c>
      <c r="N109" s="639">
        <v>2554</v>
      </c>
      <c r="O109" s="29"/>
      <c r="X109" s="46"/>
    </row>
    <row r="110" spans="1:24" s="278" customFormat="1" ht="409.6">
      <c r="A110" s="271">
        <f>References!U263</f>
        <v>134</v>
      </c>
      <c r="B110" s="305" t="s">
        <v>34</v>
      </c>
      <c r="C110" s="284">
        <v>2011</v>
      </c>
      <c r="D110" s="284">
        <v>2012</v>
      </c>
      <c r="E110" s="31">
        <v>95</v>
      </c>
      <c r="F110" s="31">
        <v>1342</v>
      </c>
      <c r="G110" s="31">
        <v>4255</v>
      </c>
      <c r="H110" s="31">
        <v>168</v>
      </c>
      <c r="I110" s="31">
        <v>52</v>
      </c>
      <c r="J110" s="27">
        <v>5912</v>
      </c>
      <c r="K110" s="31">
        <v>1537</v>
      </c>
      <c r="L110" s="31">
        <v>230</v>
      </c>
      <c r="M110" s="31">
        <v>987</v>
      </c>
      <c r="N110" s="639">
        <v>2754</v>
      </c>
      <c r="O110" s="29"/>
      <c r="X110" s="46"/>
    </row>
    <row r="111" spans="1:24" s="278" customFormat="1" ht="409.6">
      <c r="A111" s="271">
        <f>References!V263</f>
        <v>135</v>
      </c>
      <c r="B111" s="305" t="s">
        <v>34</v>
      </c>
      <c r="C111" s="284">
        <v>2011</v>
      </c>
      <c r="D111" s="284">
        <v>2013</v>
      </c>
      <c r="E111" s="31">
        <v>95</v>
      </c>
      <c r="F111" s="31">
        <v>1132</v>
      </c>
      <c r="G111" s="31">
        <v>4470</v>
      </c>
      <c r="H111" s="31">
        <v>105</v>
      </c>
      <c r="I111" s="31">
        <v>52</v>
      </c>
      <c r="J111" s="27">
        <v>5854</v>
      </c>
      <c r="K111" s="31">
        <v>1537</v>
      </c>
      <c r="L111" s="31">
        <v>230</v>
      </c>
      <c r="M111" s="31">
        <v>987</v>
      </c>
      <c r="N111" s="639">
        <v>2754</v>
      </c>
      <c r="O111" s="29"/>
      <c r="X111" s="46"/>
    </row>
    <row r="112" spans="1:24" s="278" customFormat="1" ht="409.6">
      <c r="A112" s="271">
        <f>References!W263</f>
        <v>136</v>
      </c>
      <c r="B112" s="305" t="s">
        <v>34</v>
      </c>
      <c r="C112" s="284">
        <v>2011</v>
      </c>
      <c r="D112" s="284">
        <v>2014</v>
      </c>
      <c r="E112" s="31">
        <v>95</v>
      </c>
      <c r="F112" s="31">
        <v>1027</v>
      </c>
      <c r="G112" s="31">
        <v>4486</v>
      </c>
      <c r="H112" s="31">
        <v>163</v>
      </c>
      <c r="I112" s="31">
        <v>52</v>
      </c>
      <c r="J112" s="27">
        <v>5823</v>
      </c>
      <c r="K112" s="31">
        <v>1337</v>
      </c>
      <c r="L112" s="31">
        <v>230</v>
      </c>
      <c r="M112" s="31">
        <v>987</v>
      </c>
      <c r="N112" s="639">
        <v>2554</v>
      </c>
      <c r="O112" s="29"/>
      <c r="X112" s="46"/>
    </row>
    <row r="113" spans="1:24" s="278" customFormat="1" ht="409.6">
      <c r="A113" s="271">
        <f>References!X263</f>
        <v>137</v>
      </c>
      <c r="B113" s="305" t="s">
        <v>34</v>
      </c>
      <c r="C113" s="284">
        <v>2011</v>
      </c>
      <c r="D113" s="284">
        <v>2015</v>
      </c>
      <c r="E113" s="31">
        <v>95</v>
      </c>
      <c r="F113" s="31">
        <v>1274</v>
      </c>
      <c r="G113" s="31">
        <v>4338</v>
      </c>
      <c r="H113" s="31">
        <v>95</v>
      </c>
      <c r="I113" s="31">
        <v>52</v>
      </c>
      <c r="J113" s="27">
        <v>5854</v>
      </c>
      <c r="K113" s="31">
        <v>1337</v>
      </c>
      <c r="L113" s="31">
        <v>230</v>
      </c>
      <c r="M113" s="31">
        <v>987</v>
      </c>
      <c r="N113" s="639">
        <v>2554</v>
      </c>
      <c r="O113" s="29"/>
      <c r="X113" s="46"/>
    </row>
    <row r="114" spans="1:24" s="278" customFormat="1" ht="409.6">
      <c r="A114" s="271">
        <f>References!Y263</f>
        <v>138</v>
      </c>
      <c r="B114" s="305" t="s">
        <v>34</v>
      </c>
      <c r="C114" s="284">
        <v>2011</v>
      </c>
      <c r="D114" s="284">
        <v>2016</v>
      </c>
      <c r="E114" s="31">
        <v>95</v>
      </c>
      <c r="F114" s="31">
        <v>1541</v>
      </c>
      <c r="G114" s="31">
        <v>3766</v>
      </c>
      <c r="H114" s="31">
        <v>436</v>
      </c>
      <c r="I114" s="31">
        <v>52</v>
      </c>
      <c r="J114" s="27">
        <v>5890</v>
      </c>
      <c r="K114" s="31">
        <v>1337</v>
      </c>
      <c r="L114" s="31">
        <v>230</v>
      </c>
      <c r="M114" s="31">
        <v>987</v>
      </c>
      <c r="N114" s="639">
        <v>2554</v>
      </c>
      <c r="O114" s="29"/>
      <c r="X114" s="46"/>
    </row>
    <row r="115" spans="1:24" s="278" customFormat="1" ht="409.6">
      <c r="A115" s="271">
        <f>References!K264</f>
        <v>147</v>
      </c>
      <c r="B115" s="305" t="s">
        <v>35</v>
      </c>
      <c r="C115" s="284">
        <v>2009</v>
      </c>
      <c r="D115" s="284">
        <v>2010</v>
      </c>
      <c r="E115" s="31">
        <v>307</v>
      </c>
      <c r="F115" s="31">
        <v>1140</v>
      </c>
      <c r="G115" s="31">
        <v>3704</v>
      </c>
      <c r="H115" s="31">
        <v>780</v>
      </c>
      <c r="I115" s="31">
        <v>0</v>
      </c>
      <c r="J115" s="27">
        <v>5931</v>
      </c>
      <c r="K115" s="31">
        <v>2427</v>
      </c>
      <c r="L115" s="31">
        <v>812</v>
      </c>
      <c r="M115" s="31">
        <v>1495</v>
      </c>
      <c r="N115" s="639">
        <v>4734</v>
      </c>
      <c r="O115" s="29"/>
      <c r="X115" s="46"/>
    </row>
    <row r="116" spans="1:24" s="278" customFormat="1" ht="409.6">
      <c r="A116" s="271">
        <f>References!L264</f>
        <v>148</v>
      </c>
      <c r="B116" s="305" t="s">
        <v>35</v>
      </c>
      <c r="C116" s="284">
        <v>2009</v>
      </c>
      <c r="D116" s="284">
        <v>2011</v>
      </c>
      <c r="E116" s="31">
        <v>311</v>
      </c>
      <c r="F116" s="31">
        <v>2447</v>
      </c>
      <c r="G116" s="31">
        <v>3206</v>
      </c>
      <c r="H116" s="31">
        <v>1355</v>
      </c>
      <c r="I116" s="31">
        <v>0</v>
      </c>
      <c r="J116" s="27">
        <v>7319</v>
      </c>
      <c r="K116" s="31">
        <v>2069</v>
      </c>
      <c r="L116" s="31">
        <v>812</v>
      </c>
      <c r="M116" s="31">
        <v>1495</v>
      </c>
      <c r="N116" s="639">
        <v>4376</v>
      </c>
      <c r="O116" s="29"/>
      <c r="X116" s="46"/>
    </row>
    <row r="117" spans="1:24" s="278" customFormat="1" ht="409.6">
      <c r="A117" s="271">
        <f>References!M264</f>
        <v>149</v>
      </c>
      <c r="B117" s="305" t="s">
        <v>35</v>
      </c>
      <c r="C117" s="284">
        <v>2009</v>
      </c>
      <c r="D117" s="284">
        <v>2012</v>
      </c>
      <c r="E117" s="31">
        <v>311</v>
      </c>
      <c r="F117" s="31">
        <v>2265</v>
      </c>
      <c r="G117" s="31">
        <v>3441</v>
      </c>
      <c r="H117" s="31">
        <v>671</v>
      </c>
      <c r="I117" s="31">
        <v>0</v>
      </c>
      <c r="J117" s="27">
        <v>6688</v>
      </c>
      <c r="K117" s="31">
        <v>2069</v>
      </c>
      <c r="L117" s="31">
        <v>812</v>
      </c>
      <c r="M117" s="31">
        <v>1495</v>
      </c>
      <c r="N117" s="639">
        <v>4376</v>
      </c>
      <c r="O117" s="29"/>
      <c r="X117" s="46"/>
    </row>
    <row r="118" spans="1:24" s="278" customFormat="1" ht="409.6">
      <c r="A118" s="271">
        <f>References!N264</f>
        <v>150</v>
      </c>
      <c r="B118" s="305" t="s">
        <v>35</v>
      </c>
      <c r="C118" s="284">
        <v>2009</v>
      </c>
      <c r="D118" s="284">
        <v>2013</v>
      </c>
      <c r="E118" s="31">
        <v>311</v>
      </c>
      <c r="F118" s="31">
        <v>1488</v>
      </c>
      <c r="G118" s="31">
        <v>2424</v>
      </c>
      <c r="H118" s="31">
        <v>1315</v>
      </c>
      <c r="I118" s="31">
        <v>0</v>
      </c>
      <c r="J118" s="27">
        <v>5538</v>
      </c>
      <c r="K118" s="31">
        <v>2069</v>
      </c>
      <c r="L118" s="31">
        <v>812</v>
      </c>
      <c r="M118" s="31">
        <v>1495</v>
      </c>
      <c r="N118" s="639">
        <v>4376</v>
      </c>
      <c r="O118" s="29"/>
      <c r="X118" s="46"/>
    </row>
    <row r="119" spans="1:24" s="278" customFormat="1" ht="409.6">
      <c r="A119" s="271">
        <f>References!O264</f>
        <v>151</v>
      </c>
      <c r="B119" s="305" t="s">
        <v>35</v>
      </c>
      <c r="C119" s="284">
        <v>2009</v>
      </c>
      <c r="D119" s="284">
        <v>2014</v>
      </c>
      <c r="E119" s="31">
        <v>311</v>
      </c>
      <c r="F119" s="31">
        <v>1015</v>
      </c>
      <c r="G119" s="31">
        <v>2315</v>
      </c>
      <c r="H119" s="31">
        <v>1185</v>
      </c>
      <c r="I119" s="31">
        <v>0</v>
      </c>
      <c r="J119" s="27">
        <v>4826</v>
      </c>
      <c r="K119" s="31">
        <v>2154</v>
      </c>
      <c r="L119" s="31">
        <v>812</v>
      </c>
      <c r="M119" s="31">
        <v>1495</v>
      </c>
      <c r="N119" s="639">
        <v>4461</v>
      </c>
      <c r="O119" s="29"/>
      <c r="X119" s="46"/>
    </row>
    <row r="120" spans="1:24" s="278" customFormat="1" ht="409.6">
      <c r="A120" s="271">
        <f>References!P264</f>
        <v>152</v>
      </c>
      <c r="B120" s="305" t="s">
        <v>35</v>
      </c>
      <c r="C120" s="284">
        <v>2010</v>
      </c>
      <c r="D120" s="284">
        <v>2011</v>
      </c>
      <c r="E120" s="31">
        <v>210</v>
      </c>
      <c r="F120" s="31">
        <v>1381</v>
      </c>
      <c r="G120" s="31">
        <v>3700</v>
      </c>
      <c r="H120" s="31">
        <v>2137</v>
      </c>
      <c r="I120" s="31">
        <v>30</v>
      </c>
      <c r="J120" s="27">
        <v>7458</v>
      </c>
      <c r="K120" s="31">
        <v>1945</v>
      </c>
      <c r="L120" s="31">
        <v>1230</v>
      </c>
      <c r="M120" s="31">
        <v>1783</v>
      </c>
      <c r="N120" s="639">
        <v>4958</v>
      </c>
      <c r="O120" s="29"/>
      <c r="X120" s="46"/>
    </row>
    <row r="121" spans="1:24" s="278" customFormat="1" ht="409.6">
      <c r="A121" s="271">
        <f>References!Q264</f>
        <v>153</v>
      </c>
      <c r="B121" s="305" t="s">
        <v>35</v>
      </c>
      <c r="C121" s="284">
        <v>2010</v>
      </c>
      <c r="D121" s="284">
        <v>2012</v>
      </c>
      <c r="E121" s="31">
        <v>311</v>
      </c>
      <c r="F121" s="31">
        <v>3400</v>
      </c>
      <c r="G121" s="31">
        <v>2634</v>
      </c>
      <c r="H121" s="31">
        <v>691</v>
      </c>
      <c r="I121" s="31">
        <v>50</v>
      </c>
      <c r="J121" s="27">
        <v>7086</v>
      </c>
      <c r="K121" s="31">
        <v>1764</v>
      </c>
      <c r="L121" s="31">
        <v>1230</v>
      </c>
      <c r="M121" s="31">
        <v>1514</v>
      </c>
      <c r="N121" s="639">
        <v>4508</v>
      </c>
      <c r="O121" s="29"/>
      <c r="X121" s="46"/>
    </row>
    <row r="122" spans="1:24" s="278" customFormat="1" ht="409.6">
      <c r="A122" s="271">
        <f>References!R264</f>
        <v>154</v>
      </c>
      <c r="B122" s="305" t="s">
        <v>35</v>
      </c>
      <c r="C122" s="284">
        <v>2010</v>
      </c>
      <c r="D122" s="284">
        <v>2013</v>
      </c>
      <c r="E122" s="31">
        <v>311</v>
      </c>
      <c r="F122" s="31">
        <v>1863</v>
      </c>
      <c r="G122" s="31">
        <v>3432</v>
      </c>
      <c r="H122" s="31">
        <v>1335</v>
      </c>
      <c r="I122" s="31">
        <v>0</v>
      </c>
      <c r="J122" s="27">
        <v>6941</v>
      </c>
      <c r="K122" s="31">
        <v>1764</v>
      </c>
      <c r="L122" s="31">
        <v>1230</v>
      </c>
      <c r="M122" s="31">
        <v>1514</v>
      </c>
      <c r="N122" s="639">
        <v>4508</v>
      </c>
      <c r="O122" s="29"/>
      <c r="X122" s="46"/>
    </row>
    <row r="123" spans="1:24" s="278" customFormat="1" ht="409.6">
      <c r="A123" s="271">
        <f>References!S264</f>
        <v>155</v>
      </c>
      <c r="B123" s="305" t="s">
        <v>35</v>
      </c>
      <c r="C123" s="284">
        <v>2010</v>
      </c>
      <c r="D123" s="284">
        <v>2014</v>
      </c>
      <c r="E123" s="31">
        <v>311</v>
      </c>
      <c r="F123" s="31">
        <v>1015</v>
      </c>
      <c r="G123" s="31">
        <v>2665</v>
      </c>
      <c r="H123" s="31">
        <v>1255</v>
      </c>
      <c r="I123" s="31">
        <v>0</v>
      </c>
      <c r="J123" s="27">
        <v>5246</v>
      </c>
      <c r="K123" s="31">
        <v>1764</v>
      </c>
      <c r="L123" s="31">
        <v>1230</v>
      </c>
      <c r="M123" s="31">
        <v>1514</v>
      </c>
      <c r="N123" s="639">
        <v>4508</v>
      </c>
      <c r="O123" s="29"/>
      <c r="X123" s="46"/>
    </row>
    <row r="124" spans="1:24" s="278" customFormat="1" ht="409.6">
      <c r="A124" s="271">
        <f>References!T264</f>
        <v>156</v>
      </c>
      <c r="B124" s="305" t="s">
        <v>35</v>
      </c>
      <c r="C124" s="284">
        <v>2010</v>
      </c>
      <c r="D124" s="284">
        <v>2015</v>
      </c>
      <c r="E124" s="31">
        <v>311</v>
      </c>
      <c r="F124" s="31">
        <v>765</v>
      </c>
      <c r="G124" s="31">
        <v>2736</v>
      </c>
      <c r="H124" s="31">
        <v>205</v>
      </c>
      <c r="I124" s="31">
        <v>0</v>
      </c>
      <c r="J124" s="27">
        <v>4017</v>
      </c>
      <c r="K124" s="31">
        <v>1764</v>
      </c>
      <c r="L124" s="31">
        <v>1230</v>
      </c>
      <c r="M124" s="31">
        <v>1514</v>
      </c>
      <c r="N124" s="639">
        <v>4508</v>
      </c>
      <c r="O124" s="29"/>
      <c r="X124" s="46"/>
    </row>
    <row r="125" spans="1:24" s="278" customFormat="1" ht="409.6">
      <c r="A125" s="271">
        <f>References!U264</f>
        <v>157</v>
      </c>
      <c r="B125" s="305" t="s">
        <v>35</v>
      </c>
      <c r="C125" s="284">
        <v>2011</v>
      </c>
      <c r="D125" s="284">
        <v>2012</v>
      </c>
      <c r="E125" s="31">
        <v>300</v>
      </c>
      <c r="F125" s="31">
        <v>260</v>
      </c>
      <c r="G125" s="31">
        <v>5125</v>
      </c>
      <c r="H125" s="31">
        <v>2285</v>
      </c>
      <c r="I125" s="31">
        <v>10</v>
      </c>
      <c r="J125" s="27">
        <v>7980</v>
      </c>
      <c r="K125" s="31">
        <v>2382</v>
      </c>
      <c r="L125" s="31">
        <v>1070</v>
      </c>
      <c r="M125" s="31">
        <v>1320</v>
      </c>
      <c r="N125" s="639">
        <v>4772</v>
      </c>
      <c r="O125" s="29"/>
      <c r="X125" s="46"/>
    </row>
    <row r="126" spans="1:24" s="278" customFormat="1" ht="409.6">
      <c r="A126" s="271">
        <f>References!V264</f>
        <v>158</v>
      </c>
      <c r="B126" s="305" t="s">
        <v>35</v>
      </c>
      <c r="C126" s="284">
        <v>2011</v>
      </c>
      <c r="D126" s="284">
        <v>2013</v>
      </c>
      <c r="E126" s="31">
        <v>311</v>
      </c>
      <c r="F126" s="31">
        <v>3273</v>
      </c>
      <c r="G126" s="31">
        <v>3132</v>
      </c>
      <c r="H126" s="31">
        <v>1235</v>
      </c>
      <c r="I126" s="31">
        <v>0</v>
      </c>
      <c r="J126" s="27">
        <v>7951</v>
      </c>
      <c r="K126" s="31">
        <v>1740</v>
      </c>
      <c r="L126" s="31">
        <v>1230</v>
      </c>
      <c r="M126" s="31">
        <v>1514</v>
      </c>
      <c r="N126" s="639">
        <v>4484</v>
      </c>
      <c r="O126" s="29"/>
      <c r="X126" s="46"/>
    </row>
    <row r="127" spans="1:24" s="278" customFormat="1" ht="409.6">
      <c r="A127" s="271">
        <f>References!W264</f>
        <v>159</v>
      </c>
      <c r="B127" s="305" t="s">
        <v>35</v>
      </c>
      <c r="C127" s="284">
        <v>2011</v>
      </c>
      <c r="D127" s="284">
        <v>2014</v>
      </c>
      <c r="E127" s="31">
        <v>311</v>
      </c>
      <c r="F127" s="31">
        <v>1675</v>
      </c>
      <c r="G127" s="31">
        <v>2490</v>
      </c>
      <c r="H127" s="31">
        <v>1105</v>
      </c>
      <c r="I127" s="31">
        <v>0</v>
      </c>
      <c r="J127" s="27">
        <v>5581</v>
      </c>
      <c r="K127" s="31">
        <v>1764</v>
      </c>
      <c r="L127" s="31">
        <v>1230</v>
      </c>
      <c r="M127" s="31">
        <v>1514</v>
      </c>
      <c r="N127" s="639">
        <v>4508</v>
      </c>
      <c r="O127" s="29"/>
      <c r="X127" s="46"/>
    </row>
    <row r="128" spans="1:24" s="278" customFormat="1" ht="409.6">
      <c r="A128" s="271">
        <f>References!X264</f>
        <v>160</v>
      </c>
      <c r="B128" s="305" t="s">
        <v>35</v>
      </c>
      <c r="C128" s="284">
        <v>2011</v>
      </c>
      <c r="D128" s="284">
        <v>2015</v>
      </c>
      <c r="E128" s="31">
        <v>311</v>
      </c>
      <c r="F128" s="31">
        <v>500</v>
      </c>
      <c r="G128" s="31">
        <v>2461</v>
      </c>
      <c r="H128" s="31">
        <v>205</v>
      </c>
      <c r="I128" s="31">
        <v>0</v>
      </c>
      <c r="J128" s="27">
        <v>3477</v>
      </c>
      <c r="K128" s="31">
        <v>1764</v>
      </c>
      <c r="L128" s="31">
        <v>1230</v>
      </c>
      <c r="M128" s="31">
        <v>1514</v>
      </c>
      <c r="N128" s="639">
        <v>4508</v>
      </c>
      <c r="O128" s="29"/>
      <c r="X128" s="46"/>
    </row>
    <row r="129" spans="1:24" s="278" customFormat="1" ht="409.6">
      <c r="A129" s="271">
        <f>References!Y264</f>
        <v>161</v>
      </c>
      <c r="B129" s="305" t="s">
        <v>35</v>
      </c>
      <c r="C129" s="284">
        <v>2011</v>
      </c>
      <c r="D129" s="284">
        <v>2016</v>
      </c>
      <c r="E129" s="31">
        <v>311</v>
      </c>
      <c r="F129" s="31">
        <v>650</v>
      </c>
      <c r="G129" s="31">
        <v>3353</v>
      </c>
      <c r="H129" s="31">
        <v>581</v>
      </c>
      <c r="I129" s="31">
        <v>0</v>
      </c>
      <c r="J129" s="27">
        <v>4895</v>
      </c>
      <c r="K129" s="31">
        <v>1764</v>
      </c>
      <c r="L129" s="31">
        <v>1230</v>
      </c>
      <c r="M129" s="31">
        <v>1514</v>
      </c>
      <c r="N129" s="639">
        <v>4508</v>
      </c>
      <c r="O129" s="29"/>
      <c r="X129" s="46"/>
    </row>
    <row r="130" spans="1:24" s="278" customFormat="1" ht="409.6">
      <c r="A130" s="271">
        <f>References!K267</f>
        <v>216</v>
      </c>
      <c r="B130" s="305" t="s">
        <v>38</v>
      </c>
      <c r="C130" s="284">
        <v>2009</v>
      </c>
      <c r="D130" s="284">
        <v>2010</v>
      </c>
      <c r="E130" s="31">
        <v>134.08275345447106</v>
      </c>
      <c r="F130" s="31">
        <v>1481.4872020466735</v>
      </c>
      <c r="G130" s="31">
        <v>1377.6726692318541</v>
      </c>
      <c r="H130" s="31">
        <v>2213.0110049599298</v>
      </c>
      <c r="I130" s="31">
        <v>38.703621512485562</v>
      </c>
      <c r="J130" s="27">
        <v>5244.9572512054137</v>
      </c>
      <c r="K130" s="31">
        <v>757.05286075462334</v>
      </c>
      <c r="L130" s="31">
        <v>858.41330101092251</v>
      </c>
      <c r="M130" s="31">
        <v>552.90244416726466</v>
      </c>
      <c r="N130" s="639">
        <v>2168.3686059328106</v>
      </c>
      <c r="O130" s="29"/>
      <c r="X130" s="46"/>
    </row>
    <row r="131" spans="1:24" s="278" customFormat="1" ht="409.6">
      <c r="A131" s="271">
        <f>References!L267</f>
        <v>217</v>
      </c>
      <c r="B131" s="305" t="s">
        <v>38</v>
      </c>
      <c r="C131" s="284">
        <v>2009</v>
      </c>
      <c r="D131" s="284">
        <v>2011</v>
      </c>
      <c r="E131" s="31">
        <v>134.08275345447106</v>
      </c>
      <c r="F131" s="31">
        <v>926.48720204667347</v>
      </c>
      <c r="G131" s="31">
        <v>1744.6726692318541</v>
      </c>
      <c r="H131" s="31">
        <v>1908.0110049599298</v>
      </c>
      <c r="I131" s="31">
        <v>38.703621512485562</v>
      </c>
      <c r="J131" s="27">
        <v>4751.9572512054137</v>
      </c>
      <c r="K131" s="31">
        <v>763.51065636097326</v>
      </c>
      <c r="L131" s="31">
        <v>868.83781981551545</v>
      </c>
      <c r="M131" s="31">
        <v>557.88968605798925</v>
      </c>
      <c r="N131" s="639">
        <v>2190.2381622344778</v>
      </c>
      <c r="O131" s="29"/>
      <c r="X131" s="46"/>
    </row>
    <row r="132" spans="1:24" s="278" customFormat="1" ht="409.6">
      <c r="A132" s="271">
        <f>References!M267</f>
        <v>218</v>
      </c>
      <c r="B132" s="305" t="s">
        <v>38</v>
      </c>
      <c r="C132" s="284">
        <v>2009</v>
      </c>
      <c r="D132" s="284">
        <v>2012</v>
      </c>
      <c r="E132" s="31">
        <v>134.08275345447106</v>
      </c>
      <c r="F132" s="31">
        <v>1406.4872020466735</v>
      </c>
      <c r="G132" s="31">
        <v>1394.6726692318541</v>
      </c>
      <c r="H132" s="31">
        <v>1448.0110049599298</v>
      </c>
      <c r="I132" s="31">
        <v>38.703621512485562</v>
      </c>
      <c r="J132" s="27">
        <v>4421.9572512054137</v>
      </c>
      <c r="K132" s="31">
        <v>769.87259196732316</v>
      </c>
      <c r="L132" s="31">
        <v>879.18053862010845</v>
      </c>
      <c r="M132" s="31">
        <v>562.67748794871386</v>
      </c>
      <c r="N132" s="639">
        <v>2211.7306185361454</v>
      </c>
      <c r="O132" s="29"/>
      <c r="X132" s="46"/>
    </row>
    <row r="133" spans="1:24" s="278" customFormat="1" ht="409.6">
      <c r="A133" s="271">
        <f>References!N267</f>
        <v>219</v>
      </c>
      <c r="B133" s="305" t="s">
        <v>38</v>
      </c>
      <c r="C133" s="284">
        <v>2009</v>
      </c>
      <c r="D133" s="284">
        <v>2013</v>
      </c>
      <c r="E133" s="31">
        <v>134.08275345447106</v>
      </c>
      <c r="F133" s="31">
        <v>806.48720204667347</v>
      </c>
      <c r="G133" s="31">
        <v>1535.6726692318541</v>
      </c>
      <c r="H133" s="31">
        <v>1018.0110049599297</v>
      </c>
      <c r="I133" s="31">
        <v>38.703621512485562</v>
      </c>
      <c r="J133" s="27">
        <v>3532.9572512054137</v>
      </c>
      <c r="K133" s="31">
        <v>776.15848757367303</v>
      </c>
      <c r="L133" s="31">
        <v>889.13005742470125</v>
      </c>
      <c r="M133" s="31">
        <v>567.32312983943848</v>
      </c>
      <c r="N133" s="639">
        <v>2232.6116748378126</v>
      </c>
      <c r="O133" s="29"/>
      <c r="X133" s="46"/>
    </row>
    <row r="134" spans="1:24" s="278" customFormat="1" ht="409.6">
      <c r="A134" s="271">
        <f>References!O267</f>
        <v>220</v>
      </c>
      <c r="B134" s="305" t="s">
        <v>38</v>
      </c>
      <c r="C134" s="284">
        <v>2009</v>
      </c>
      <c r="D134" s="284">
        <v>2014</v>
      </c>
      <c r="E134" s="31">
        <v>134.08275345447106</v>
      </c>
      <c r="F134" s="31">
        <v>306.48720204667347</v>
      </c>
      <c r="G134" s="31">
        <v>2980.6726692318543</v>
      </c>
      <c r="H134" s="31">
        <v>728.01100495992966</v>
      </c>
      <c r="I134" s="31">
        <v>38.703621512485562</v>
      </c>
      <c r="J134" s="27">
        <v>4187.9572512054137</v>
      </c>
      <c r="K134" s="31">
        <v>782.53500318002295</v>
      </c>
      <c r="L134" s="31">
        <v>899.39017622929441</v>
      </c>
      <c r="M134" s="31">
        <v>572.13625173016317</v>
      </c>
      <c r="N134" s="639">
        <v>2254.0614311394806</v>
      </c>
      <c r="O134" s="29"/>
      <c r="X134" s="46"/>
    </row>
    <row r="135" spans="1:24" s="278" customFormat="1" ht="409.6">
      <c r="A135" s="271">
        <f>References!P267</f>
        <v>221</v>
      </c>
      <c r="B135" s="305" t="s">
        <v>38</v>
      </c>
      <c r="C135" s="284">
        <v>2010</v>
      </c>
      <c r="D135" s="284">
        <v>2011</v>
      </c>
      <c r="E135" s="31">
        <v>545</v>
      </c>
      <c r="F135" s="31">
        <v>216.75</v>
      </c>
      <c r="G135" s="31">
        <v>1758</v>
      </c>
      <c r="H135" s="31">
        <v>3674.6278198400046</v>
      </c>
      <c r="I135" s="31">
        <v>19.75</v>
      </c>
      <c r="J135" s="27">
        <v>6214.127819840005</v>
      </c>
      <c r="K135" s="31">
        <v>1055.05</v>
      </c>
      <c r="L135" s="31">
        <v>252.75</v>
      </c>
      <c r="M135" s="31">
        <v>694.2</v>
      </c>
      <c r="N135" s="639">
        <v>2002</v>
      </c>
      <c r="O135" s="29"/>
      <c r="X135" s="46"/>
    </row>
    <row r="136" spans="1:24" s="278" customFormat="1" ht="409.6">
      <c r="A136" s="271">
        <f>References!Q267</f>
        <v>222</v>
      </c>
      <c r="B136" s="305" t="s">
        <v>38</v>
      </c>
      <c r="C136" s="284">
        <v>2010</v>
      </c>
      <c r="D136" s="284">
        <v>2012</v>
      </c>
      <c r="E136" s="31">
        <v>545</v>
      </c>
      <c r="F136" s="31">
        <v>491.75</v>
      </c>
      <c r="G136" s="31">
        <v>2258.11</v>
      </c>
      <c r="H136" s="31">
        <v>3015.4264862</v>
      </c>
      <c r="I136" s="31">
        <v>20</v>
      </c>
      <c r="J136" s="27">
        <v>6330.2864862000006</v>
      </c>
      <c r="K136" s="31">
        <v>1076.1510000000001</v>
      </c>
      <c r="L136" s="31">
        <v>178.88749999999999</v>
      </c>
      <c r="M136" s="31">
        <v>680.31600000000003</v>
      </c>
      <c r="N136" s="639">
        <v>1935.3545000000001</v>
      </c>
      <c r="O136" s="29"/>
      <c r="X136" s="46"/>
    </row>
    <row r="137" spans="1:24" s="278" customFormat="1" ht="409.6">
      <c r="A137" s="271">
        <f>References!R267</f>
        <v>223</v>
      </c>
      <c r="B137" s="305" t="s">
        <v>38</v>
      </c>
      <c r="C137" s="284">
        <v>2010</v>
      </c>
      <c r="D137" s="284">
        <v>2013</v>
      </c>
      <c r="E137" s="31">
        <v>545</v>
      </c>
      <c r="F137" s="31">
        <v>829.75</v>
      </c>
      <c r="G137" s="31">
        <v>1687.8833</v>
      </c>
      <c r="H137" s="31">
        <v>2759.0124833200007</v>
      </c>
      <c r="I137" s="31">
        <v>20</v>
      </c>
      <c r="J137" s="27">
        <v>5841.6457833200002</v>
      </c>
      <c r="K137" s="31">
        <v>1097.6740199999999</v>
      </c>
      <c r="L137" s="31">
        <v>435.33187500000003</v>
      </c>
      <c r="M137" s="31">
        <v>666.70967999999993</v>
      </c>
      <c r="N137" s="639">
        <v>2199.7155750000002</v>
      </c>
      <c r="O137" s="29"/>
      <c r="X137" s="46"/>
    </row>
    <row r="138" spans="1:24" s="278" customFormat="1" ht="409.6">
      <c r="A138" s="271">
        <f>References!S267</f>
        <v>224</v>
      </c>
      <c r="B138" s="305" t="s">
        <v>38</v>
      </c>
      <c r="C138" s="284">
        <v>2010</v>
      </c>
      <c r="D138" s="284">
        <v>2014</v>
      </c>
      <c r="E138" s="31">
        <v>545</v>
      </c>
      <c r="F138" s="31">
        <v>1224.75</v>
      </c>
      <c r="G138" s="31">
        <v>1586.8397990000001</v>
      </c>
      <c r="H138" s="31">
        <v>1154.3817848000001</v>
      </c>
      <c r="I138" s="31">
        <v>20</v>
      </c>
      <c r="J138" s="27">
        <v>4530.9715838000002</v>
      </c>
      <c r="K138" s="31">
        <v>1119.6275003999999</v>
      </c>
      <c r="L138" s="31">
        <v>449.59846874999999</v>
      </c>
      <c r="M138" s="31">
        <v>653.37548639999989</v>
      </c>
      <c r="N138" s="639">
        <v>2222.6014555499996</v>
      </c>
      <c r="O138" s="29"/>
      <c r="X138" s="46"/>
    </row>
    <row r="139" spans="1:24" s="278" customFormat="1" ht="409.6">
      <c r="A139" s="271">
        <f>References!T267</f>
        <v>225</v>
      </c>
      <c r="B139" s="305" t="s">
        <v>38</v>
      </c>
      <c r="C139" s="284">
        <v>2010</v>
      </c>
      <c r="D139" s="284">
        <v>2015</v>
      </c>
      <c r="E139" s="31">
        <v>545</v>
      </c>
      <c r="F139" s="31">
        <v>1139.75</v>
      </c>
      <c r="G139" s="31">
        <v>1673.7249929700001</v>
      </c>
      <c r="H139" s="31">
        <v>1021.69303012</v>
      </c>
      <c r="I139" s="31">
        <v>320</v>
      </c>
      <c r="J139" s="27">
        <v>4700.1680230900001</v>
      </c>
      <c r="K139" s="31">
        <v>1142.0200504080001</v>
      </c>
      <c r="L139" s="31">
        <v>464.42839218750004</v>
      </c>
      <c r="M139" s="31">
        <v>640.30797667199988</v>
      </c>
      <c r="N139" s="639">
        <v>2246.7564192675</v>
      </c>
      <c r="O139" s="29"/>
      <c r="X139" s="46"/>
    </row>
    <row r="140" spans="1:24" s="278" customFormat="1" ht="409.6">
      <c r="A140" s="271">
        <f>References!U267</f>
        <v>226</v>
      </c>
      <c r="B140" s="305" t="s">
        <v>38</v>
      </c>
      <c r="C140" s="284">
        <v>2011</v>
      </c>
      <c r="D140" s="284">
        <v>2012</v>
      </c>
      <c r="E140" s="31">
        <v>168</v>
      </c>
      <c r="F140" s="31">
        <v>714</v>
      </c>
      <c r="G140" s="31">
        <v>1910</v>
      </c>
      <c r="H140" s="31">
        <v>4078</v>
      </c>
      <c r="I140" s="31">
        <v>0</v>
      </c>
      <c r="J140" s="27">
        <v>6870</v>
      </c>
      <c r="K140" s="31">
        <v>1376</v>
      </c>
      <c r="L140" s="31">
        <v>516</v>
      </c>
      <c r="M140" s="31">
        <v>608</v>
      </c>
      <c r="N140" s="639">
        <v>2500</v>
      </c>
      <c r="O140" s="29"/>
      <c r="X140" s="46"/>
    </row>
    <row r="141" spans="1:24" s="278" customFormat="1" ht="409.6">
      <c r="A141" s="271">
        <f>References!V267</f>
        <v>227</v>
      </c>
      <c r="B141" s="305" t="s">
        <v>38</v>
      </c>
      <c r="C141" s="284">
        <v>2011</v>
      </c>
      <c r="D141" s="284">
        <v>2013</v>
      </c>
      <c r="E141" s="31">
        <v>200</v>
      </c>
      <c r="F141" s="31">
        <v>527</v>
      </c>
      <c r="G141" s="31">
        <v>2126</v>
      </c>
      <c r="H141" s="31">
        <v>3832</v>
      </c>
      <c r="I141" s="31">
        <v>0</v>
      </c>
      <c r="J141" s="27">
        <v>6685</v>
      </c>
      <c r="K141" s="31">
        <v>1283</v>
      </c>
      <c r="L141" s="31">
        <v>660</v>
      </c>
      <c r="M141" s="31">
        <v>602</v>
      </c>
      <c r="N141" s="639">
        <v>2545</v>
      </c>
      <c r="O141" s="29"/>
      <c r="X141" s="46"/>
    </row>
    <row r="142" spans="1:24" s="278" customFormat="1" ht="409.6">
      <c r="A142" s="271">
        <f>References!W267</f>
        <v>228</v>
      </c>
      <c r="B142" s="305" t="s">
        <v>38</v>
      </c>
      <c r="C142" s="284">
        <v>2011</v>
      </c>
      <c r="D142" s="284">
        <v>2014</v>
      </c>
      <c r="E142" s="31">
        <v>200</v>
      </c>
      <c r="F142" s="31">
        <v>1391</v>
      </c>
      <c r="G142" s="31">
        <v>2013</v>
      </c>
      <c r="H142" s="31">
        <v>4280</v>
      </c>
      <c r="I142" s="31">
        <v>0</v>
      </c>
      <c r="J142" s="27">
        <v>7884</v>
      </c>
      <c r="K142" s="31">
        <v>1440</v>
      </c>
      <c r="L142" s="31">
        <v>513</v>
      </c>
      <c r="M142" s="31">
        <v>596</v>
      </c>
      <c r="N142" s="639">
        <v>2549</v>
      </c>
      <c r="O142" s="29"/>
      <c r="X142" s="46"/>
    </row>
    <row r="143" spans="1:24" s="278" customFormat="1" ht="409.6">
      <c r="A143" s="271">
        <f>References!X267</f>
        <v>229</v>
      </c>
      <c r="B143" s="305" t="s">
        <v>38</v>
      </c>
      <c r="C143" s="284">
        <v>2011</v>
      </c>
      <c r="D143" s="284">
        <v>2015</v>
      </c>
      <c r="E143" s="31">
        <v>200</v>
      </c>
      <c r="F143" s="31">
        <v>3453</v>
      </c>
      <c r="G143" s="31">
        <v>2029</v>
      </c>
      <c r="H143" s="31">
        <v>2138</v>
      </c>
      <c r="I143" s="31">
        <v>0</v>
      </c>
      <c r="J143" s="27">
        <v>7820</v>
      </c>
      <c r="K143" s="31">
        <v>1467</v>
      </c>
      <c r="L143" s="31">
        <v>576</v>
      </c>
      <c r="M143" s="31">
        <v>590</v>
      </c>
      <c r="N143" s="639">
        <v>2633</v>
      </c>
      <c r="O143" s="29"/>
      <c r="X143" s="46"/>
    </row>
    <row r="144" spans="1:24" s="278" customFormat="1" ht="409.6">
      <c r="A144" s="271">
        <f>References!Y267</f>
        <v>230</v>
      </c>
      <c r="B144" s="305" t="s">
        <v>38</v>
      </c>
      <c r="C144" s="284">
        <v>2011</v>
      </c>
      <c r="D144" s="284">
        <v>2016</v>
      </c>
      <c r="E144" s="31">
        <v>200</v>
      </c>
      <c r="F144" s="31">
        <v>2625</v>
      </c>
      <c r="G144" s="31">
        <v>2584</v>
      </c>
      <c r="H144" s="31">
        <v>2200</v>
      </c>
      <c r="I144" s="31">
        <v>0</v>
      </c>
      <c r="J144" s="27">
        <v>7609</v>
      </c>
      <c r="K144" s="31">
        <v>1494</v>
      </c>
      <c r="L144" s="31">
        <v>539</v>
      </c>
      <c r="M144" s="31">
        <v>584</v>
      </c>
      <c r="N144" s="639">
        <v>2617</v>
      </c>
      <c r="O144" s="29"/>
      <c r="X144" s="46"/>
    </row>
    <row r="145" spans="1:24" s="278" customFormat="1" ht="409.6">
      <c r="A145" s="271">
        <f>References!K266</f>
        <v>193</v>
      </c>
      <c r="B145" s="305" t="s">
        <v>37</v>
      </c>
      <c r="C145" s="284">
        <v>2009</v>
      </c>
      <c r="D145" s="284">
        <v>2010</v>
      </c>
      <c r="E145" s="31">
        <v>350</v>
      </c>
      <c r="F145" s="31">
        <v>250</v>
      </c>
      <c r="G145" s="31">
        <v>757</v>
      </c>
      <c r="H145" s="31">
        <v>1602</v>
      </c>
      <c r="I145" s="31">
        <v>0</v>
      </c>
      <c r="J145" s="27">
        <v>2959</v>
      </c>
      <c r="K145" s="31">
        <v>670</v>
      </c>
      <c r="L145" s="31">
        <v>544</v>
      </c>
      <c r="M145" s="31">
        <v>779</v>
      </c>
      <c r="N145" s="639">
        <v>1993</v>
      </c>
      <c r="O145" s="29"/>
      <c r="X145" s="46"/>
    </row>
    <row r="146" spans="1:24" s="278" customFormat="1" ht="409.6">
      <c r="A146" s="271">
        <f>References!L266</f>
        <v>194</v>
      </c>
      <c r="B146" s="305" t="s">
        <v>37</v>
      </c>
      <c r="C146" s="284">
        <v>2009</v>
      </c>
      <c r="D146" s="284">
        <v>2011</v>
      </c>
      <c r="E146" s="31">
        <v>350</v>
      </c>
      <c r="F146" s="31">
        <v>250</v>
      </c>
      <c r="G146" s="31">
        <v>1500</v>
      </c>
      <c r="H146" s="31">
        <v>1893</v>
      </c>
      <c r="I146" s="31">
        <v>0</v>
      </c>
      <c r="J146" s="27">
        <v>3993</v>
      </c>
      <c r="K146" s="31">
        <v>666</v>
      </c>
      <c r="L146" s="31">
        <v>573</v>
      </c>
      <c r="M146" s="31">
        <v>774</v>
      </c>
      <c r="N146" s="639">
        <v>2013</v>
      </c>
      <c r="O146" s="29"/>
      <c r="X146" s="46"/>
    </row>
    <row r="147" spans="1:24" s="278" customFormat="1" ht="409.6">
      <c r="A147" s="271">
        <f>References!M266</f>
        <v>195</v>
      </c>
      <c r="B147" s="305" t="s">
        <v>37</v>
      </c>
      <c r="C147" s="284">
        <v>2009</v>
      </c>
      <c r="D147" s="284">
        <v>2012</v>
      </c>
      <c r="E147" s="31">
        <v>350</v>
      </c>
      <c r="F147" s="31">
        <v>1590</v>
      </c>
      <c r="G147" s="31">
        <v>780</v>
      </c>
      <c r="H147" s="31">
        <v>262</v>
      </c>
      <c r="I147" s="31">
        <v>0</v>
      </c>
      <c r="J147" s="27">
        <v>2982</v>
      </c>
      <c r="K147" s="31">
        <v>667</v>
      </c>
      <c r="L147" s="31">
        <v>518</v>
      </c>
      <c r="M147" s="31">
        <v>785</v>
      </c>
      <c r="N147" s="639">
        <v>1970</v>
      </c>
      <c r="O147" s="29"/>
      <c r="X147" s="46"/>
    </row>
    <row r="148" spans="1:24" s="278" customFormat="1" ht="409.6">
      <c r="A148" s="271">
        <f>References!N266</f>
        <v>196</v>
      </c>
      <c r="B148" s="305" t="s">
        <v>37</v>
      </c>
      <c r="C148" s="284">
        <v>2009</v>
      </c>
      <c r="D148" s="284">
        <v>2013</v>
      </c>
      <c r="E148" s="31">
        <v>350</v>
      </c>
      <c r="F148" s="31">
        <v>600</v>
      </c>
      <c r="G148" s="31">
        <v>1436</v>
      </c>
      <c r="H148" s="31">
        <v>611</v>
      </c>
      <c r="I148" s="31">
        <v>0</v>
      </c>
      <c r="J148" s="27">
        <v>2997</v>
      </c>
      <c r="K148" s="31">
        <v>663</v>
      </c>
      <c r="L148" s="31">
        <v>514</v>
      </c>
      <c r="M148" s="31">
        <v>786</v>
      </c>
      <c r="N148" s="639">
        <v>1963</v>
      </c>
      <c r="O148" s="29"/>
      <c r="X148" s="46"/>
    </row>
    <row r="149" spans="1:24" s="278" customFormat="1" ht="409.6">
      <c r="A149" s="271">
        <f>References!O266</f>
        <v>197</v>
      </c>
      <c r="B149" s="305" t="s">
        <v>37</v>
      </c>
      <c r="C149" s="284">
        <v>2009</v>
      </c>
      <c r="D149" s="284">
        <v>2014</v>
      </c>
      <c r="E149" s="31">
        <v>350</v>
      </c>
      <c r="F149" s="31">
        <v>1074</v>
      </c>
      <c r="G149" s="31">
        <v>1316</v>
      </c>
      <c r="H149" s="31">
        <v>29</v>
      </c>
      <c r="I149" s="31">
        <v>0</v>
      </c>
      <c r="J149" s="27">
        <v>2769</v>
      </c>
      <c r="K149" s="31">
        <v>658</v>
      </c>
      <c r="L149" s="31">
        <v>510</v>
      </c>
      <c r="M149" s="31">
        <v>788</v>
      </c>
      <c r="N149" s="639">
        <v>1956</v>
      </c>
      <c r="O149" s="29"/>
      <c r="X149" s="46"/>
    </row>
    <row r="150" spans="1:24" s="278" customFormat="1" ht="409.6">
      <c r="A150" s="271">
        <f>References!P266</f>
        <v>198</v>
      </c>
      <c r="B150" s="305" t="s">
        <v>37</v>
      </c>
      <c r="C150" s="284">
        <v>2010</v>
      </c>
      <c r="D150" s="284">
        <v>2011</v>
      </c>
      <c r="E150" s="31">
        <v>559</v>
      </c>
      <c r="F150" s="31">
        <v>216</v>
      </c>
      <c r="G150" s="31">
        <v>1970</v>
      </c>
      <c r="H150" s="31">
        <v>1199</v>
      </c>
      <c r="I150" s="31">
        <v>8</v>
      </c>
      <c r="J150" s="27">
        <v>3952</v>
      </c>
      <c r="K150" s="31">
        <v>559</v>
      </c>
      <c r="L150" s="31">
        <v>240</v>
      </c>
      <c r="M150" s="31">
        <v>674</v>
      </c>
      <c r="N150" s="639">
        <v>1473</v>
      </c>
      <c r="O150" s="29"/>
      <c r="X150" s="46"/>
    </row>
    <row r="151" spans="1:24" s="278" customFormat="1" ht="409.6">
      <c r="A151" s="271">
        <f>References!Q266</f>
        <v>199</v>
      </c>
      <c r="B151" s="305" t="s">
        <v>37</v>
      </c>
      <c r="C151" s="284">
        <v>2010</v>
      </c>
      <c r="D151" s="284">
        <v>2012</v>
      </c>
      <c r="E151" s="31">
        <v>419</v>
      </c>
      <c r="F151" s="31">
        <v>402</v>
      </c>
      <c r="G151" s="31">
        <v>1632</v>
      </c>
      <c r="H151" s="31">
        <v>990</v>
      </c>
      <c r="I151" s="31">
        <v>8</v>
      </c>
      <c r="J151" s="27">
        <v>3451</v>
      </c>
      <c r="K151" s="31">
        <v>534</v>
      </c>
      <c r="L151" s="31">
        <v>238</v>
      </c>
      <c r="M151" s="31">
        <v>670</v>
      </c>
      <c r="N151" s="639">
        <v>1442</v>
      </c>
      <c r="O151" s="29"/>
      <c r="X151" s="46"/>
    </row>
    <row r="152" spans="1:24" s="278" customFormat="1" ht="409.6">
      <c r="A152" s="271">
        <f>References!R266</f>
        <v>200</v>
      </c>
      <c r="B152" s="305" t="s">
        <v>37</v>
      </c>
      <c r="C152" s="284">
        <v>2010</v>
      </c>
      <c r="D152" s="284">
        <v>2013</v>
      </c>
      <c r="E152" s="31">
        <v>420</v>
      </c>
      <c r="F152" s="31">
        <v>1276</v>
      </c>
      <c r="G152" s="31">
        <v>1000</v>
      </c>
      <c r="H152" s="31">
        <v>640</v>
      </c>
      <c r="I152" s="31">
        <v>8</v>
      </c>
      <c r="J152" s="27">
        <v>3344</v>
      </c>
      <c r="K152" s="31">
        <v>529</v>
      </c>
      <c r="L152" s="31">
        <v>235</v>
      </c>
      <c r="M152" s="31">
        <v>668</v>
      </c>
      <c r="N152" s="639">
        <v>1432</v>
      </c>
      <c r="O152" s="29"/>
      <c r="X152" s="46"/>
    </row>
    <row r="153" spans="1:24" s="278" customFormat="1" ht="409.6">
      <c r="A153" s="271">
        <f>References!S266</f>
        <v>201</v>
      </c>
      <c r="B153" s="305" t="s">
        <v>37</v>
      </c>
      <c r="C153" s="284">
        <v>2010</v>
      </c>
      <c r="D153" s="284">
        <v>2014</v>
      </c>
      <c r="E153" s="31">
        <v>420</v>
      </c>
      <c r="F153" s="31">
        <v>577</v>
      </c>
      <c r="G153" s="31">
        <v>1882</v>
      </c>
      <c r="H153" s="31">
        <v>58</v>
      </c>
      <c r="I153" s="31">
        <v>8</v>
      </c>
      <c r="J153" s="27">
        <v>2945</v>
      </c>
      <c r="K153" s="31">
        <v>523</v>
      </c>
      <c r="L153" s="31">
        <v>233</v>
      </c>
      <c r="M153" s="31">
        <v>665</v>
      </c>
      <c r="N153" s="639">
        <v>1421</v>
      </c>
      <c r="O153" s="29"/>
      <c r="X153" s="46"/>
    </row>
    <row r="154" spans="1:24" s="278" customFormat="1" ht="409.6">
      <c r="A154" s="271">
        <f>References!T266</f>
        <v>202</v>
      </c>
      <c r="B154" s="305" t="s">
        <v>37</v>
      </c>
      <c r="C154" s="284">
        <v>2010</v>
      </c>
      <c r="D154" s="284">
        <v>2015</v>
      </c>
      <c r="E154" s="31">
        <v>420</v>
      </c>
      <c r="F154" s="31">
        <v>1509</v>
      </c>
      <c r="G154" s="31">
        <v>912</v>
      </c>
      <c r="H154" s="31">
        <v>58</v>
      </c>
      <c r="I154" s="31">
        <v>8</v>
      </c>
      <c r="J154" s="27">
        <v>2907</v>
      </c>
      <c r="K154" s="31">
        <v>518</v>
      </c>
      <c r="L154" s="31">
        <v>231</v>
      </c>
      <c r="M154" s="31">
        <v>662</v>
      </c>
      <c r="N154" s="639">
        <v>1411</v>
      </c>
      <c r="O154" s="29"/>
      <c r="X154" s="46"/>
    </row>
    <row r="155" spans="1:24" s="278" customFormat="1" ht="409.6">
      <c r="A155" s="271">
        <f>References!U266</f>
        <v>203</v>
      </c>
      <c r="B155" s="305" t="s">
        <v>37</v>
      </c>
      <c r="C155" s="284">
        <v>2011</v>
      </c>
      <c r="D155" s="284">
        <v>2012</v>
      </c>
      <c r="E155" s="31">
        <v>194</v>
      </c>
      <c r="F155" s="31">
        <v>7</v>
      </c>
      <c r="G155" s="31">
        <v>3548</v>
      </c>
      <c r="H155" s="31">
        <v>914</v>
      </c>
      <c r="I155" s="31">
        <v>0</v>
      </c>
      <c r="J155" s="27">
        <v>4663</v>
      </c>
      <c r="K155" s="31">
        <v>842</v>
      </c>
      <c r="L155" s="31">
        <v>220</v>
      </c>
      <c r="M155" s="31">
        <v>556</v>
      </c>
      <c r="N155" s="639">
        <v>1618</v>
      </c>
      <c r="O155" s="29"/>
      <c r="X155" s="46"/>
    </row>
    <row r="156" spans="1:24" s="278" customFormat="1" ht="409.6">
      <c r="A156" s="271">
        <f>References!V266</f>
        <v>204</v>
      </c>
      <c r="B156" s="305" t="s">
        <v>37</v>
      </c>
      <c r="C156" s="284">
        <v>2011</v>
      </c>
      <c r="D156" s="284">
        <v>2013</v>
      </c>
      <c r="E156" s="31">
        <v>194</v>
      </c>
      <c r="F156" s="31">
        <v>44</v>
      </c>
      <c r="G156" s="31">
        <v>4837</v>
      </c>
      <c r="H156" s="31">
        <v>155</v>
      </c>
      <c r="I156" s="31">
        <v>8</v>
      </c>
      <c r="J156" s="27">
        <v>5238</v>
      </c>
      <c r="K156" s="31">
        <v>822</v>
      </c>
      <c r="L156" s="31">
        <v>220</v>
      </c>
      <c r="M156" s="31">
        <v>556</v>
      </c>
      <c r="N156" s="639">
        <v>1598</v>
      </c>
      <c r="O156" s="29"/>
      <c r="X156" s="46"/>
    </row>
    <row r="157" spans="1:24" s="278" customFormat="1" ht="409.6">
      <c r="A157" s="271">
        <f>References!W266</f>
        <v>205</v>
      </c>
      <c r="B157" s="305" t="s">
        <v>37</v>
      </c>
      <c r="C157" s="284">
        <v>2011</v>
      </c>
      <c r="D157" s="284">
        <v>2014</v>
      </c>
      <c r="E157" s="31">
        <v>194</v>
      </c>
      <c r="F157" s="31">
        <v>129</v>
      </c>
      <c r="G157" s="31">
        <v>4480</v>
      </c>
      <c r="H157" s="31">
        <v>155</v>
      </c>
      <c r="I157" s="31">
        <v>8</v>
      </c>
      <c r="J157" s="27">
        <v>4966</v>
      </c>
      <c r="K157" s="31">
        <v>829</v>
      </c>
      <c r="L157" s="31">
        <v>220</v>
      </c>
      <c r="M157" s="31">
        <v>556</v>
      </c>
      <c r="N157" s="639">
        <v>1605</v>
      </c>
      <c r="O157" s="29"/>
      <c r="X157" s="46"/>
    </row>
    <row r="158" spans="1:24" s="278" customFormat="1" ht="409.6">
      <c r="A158" s="271">
        <f>References!X266</f>
        <v>206</v>
      </c>
      <c r="B158" s="305" t="s">
        <v>37</v>
      </c>
      <c r="C158" s="284">
        <v>2011</v>
      </c>
      <c r="D158" s="284">
        <v>2015</v>
      </c>
      <c r="E158" s="31">
        <v>194</v>
      </c>
      <c r="F158" s="31">
        <v>7</v>
      </c>
      <c r="G158" s="31">
        <v>2442</v>
      </c>
      <c r="H158" s="31">
        <v>1090</v>
      </c>
      <c r="I158" s="31">
        <v>8</v>
      </c>
      <c r="J158" s="27">
        <v>3741</v>
      </c>
      <c r="K158" s="31">
        <v>822</v>
      </c>
      <c r="L158" s="31">
        <v>220</v>
      </c>
      <c r="M158" s="31">
        <v>556</v>
      </c>
      <c r="N158" s="639">
        <v>1598</v>
      </c>
      <c r="O158" s="29"/>
      <c r="X158" s="46"/>
    </row>
    <row r="159" spans="1:24" s="278" customFormat="1" ht="409.6">
      <c r="A159" s="271">
        <f>References!Y266</f>
        <v>207</v>
      </c>
      <c r="B159" s="305" t="s">
        <v>37</v>
      </c>
      <c r="C159" s="284">
        <v>2011</v>
      </c>
      <c r="D159" s="284">
        <v>2016</v>
      </c>
      <c r="E159" s="31">
        <v>194</v>
      </c>
      <c r="F159" s="31">
        <v>7</v>
      </c>
      <c r="G159" s="31">
        <v>1522</v>
      </c>
      <c r="H159" s="31">
        <v>1090</v>
      </c>
      <c r="I159" s="31">
        <v>8</v>
      </c>
      <c r="J159" s="27">
        <v>2821</v>
      </c>
      <c r="K159" s="31">
        <v>822</v>
      </c>
      <c r="L159" s="31">
        <v>220</v>
      </c>
      <c r="M159" s="31">
        <v>556</v>
      </c>
      <c r="N159" s="639">
        <v>1598</v>
      </c>
      <c r="O159" s="29"/>
      <c r="X159" s="46"/>
    </row>
    <row r="160" spans="1:24" s="278" customFormat="1" ht="409.6">
      <c r="A160" s="271">
        <f>References!K268</f>
        <v>239</v>
      </c>
      <c r="B160" s="305" t="s">
        <v>39</v>
      </c>
      <c r="C160" s="284">
        <v>2009</v>
      </c>
      <c r="D160" s="284">
        <v>2010</v>
      </c>
      <c r="E160" s="31">
        <v>4396</v>
      </c>
      <c r="F160" s="31">
        <v>2849</v>
      </c>
      <c r="G160" s="31">
        <v>2696</v>
      </c>
      <c r="H160" s="31">
        <v>1748</v>
      </c>
      <c r="I160" s="31">
        <v>0</v>
      </c>
      <c r="J160" s="27">
        <v>11689</v>
      </c>
      <c r="K160" s="31">
        <v>3059</v>
      </c>
      <c r="L160" s="31">
        <v>36</v>
      </c>
      <c r="M160" s="31">
        <v>800</v>
      </c>
      <c r="N160" s="639">
        <v>3895</v>
      </c>
      <c r="O160" s="29"/>
      <c r="X160" s="46"/>
    </row>
    <row r="161" spans="1:24" s="278" customFormat="1" ht="409.6">
      <c r="A161" s="271">
        <f>References!L268</f>
        <v>240</v>
      </c>
      <c r="B161" s="305" t="s">
        <v>39</v>
      </c>
      <c r="C161" s="284">
        <v>2009</v>
      </c>
      <c r="D161" s="284">
        <v>2011</v>
      </c>
      <c r="E161" s="31">
        <v>4896</v>
      </c>
      <c r="F161" s="31">
        <v>5762</v>
      </c>
      <c r="G161" s="31">
        <v>2615</v>
      </c>
      <c r="H161" s="31">
        <v>505</v>
      </c>
      <c r="I161" s="31">
        <v>0</v>
      </c>
      <c r="J161" s="27">
        <v>13778</v>
      </c>
      <c r="K161" s="31">
        <v>3114</v>
      </c>
      <c r="L161" s="31">
        <v>80</v>
      </c>
      <c r="M161" s="31">
        <v>816</v>
      </c>
      <c r="N161" s="639">
        <v>4010</v>
      </c>
      <c r="O161" s="29"/>
      <c r="X161" s="46"/>
    </row>
    <row r="162" spans="1:24" s="278" customFormat="1" ht="409.6">
      <c r="A162" s="271">
        <f>References!M268</f>
        <v>241</v>
      </c>
      <c r="B162" s="305" t="s">
        <v>39</v>
      </c>
      <c r="C162" s="284">
        <v>2009</v>
      </c>
      <c r="D162" s="284">
        <v>2012</v>
      </c>
      <c r="E162" s="31">
        <v>5660</v>
      </c>
      <c r="F162" s="31">
        <v>1382</v>
      </c>
      <c r="G162" s="31">
        <v>2476</v>
      </c>
      <c r="H162" s="31">
        <v>325</v>
      </c>
      <c r="I162" s="31">
        <v>0</v>
      </c>
      <c r="J162" s="27">
        <v>9843</v>
      </c>
      <c r="K162" s="31">
        <v>3170</v>
      </c>
      <c r="L162" s="31">
        <v>80</v>
      </c>
      <c r="M162" s="31">
        <v>833</v>
      </c>
      <c r="N162" s="639">
        <v>4083</v>
      </c>
      <c r="O162" s="29"/>
      <c r="X162" s="46"/>
    </row>
    <row r="163" spans="1:24" s="278" customFormat="1" ht="409.6">
      <c r="A163" s="271">
        <f>References!N268</f>
        <v>242</v>
      </c>
      <c r="B163" s="305" t="s">
        <v>39</v>
      </c>
      <c r="C163" s="284">
        <v>2009</v>
      </c>
      <c r="D163" s="284">
        <v>2013</v>
      </c>
      <c r="E163" s="31">
        <v>5660</v>
      </c>
      <c r="F163" s="31">
        <v>2982</v>
      </c>
      <c r="G163" s="31">
        <v>2166</v>
      </c>
      <c r="H163" s="31">
        <v>275</v>
      </c>
      <c r="I163" s="31">
        <v>0</v>
      </c>
      <c r="J163" s="27">
        <v>11083</v>
      </c>
      <c r="K163" s="31">
        <v>3229</v>
      </c>
      <c r="L163" s="31">
        <v>80</v>
      </c>
      <c r="M163" s="31">
        <v>849</v>
      </c>
      <c r="N163" s="639">
        <v>4158</v>
      </c>
      <c r="O163" s="29"/>
      <c r="X163" s="46"/>
    </row>
    <row r="164" spans="1:24" s="278" customFormat="1" ht="409.6">
      <c r="A164" s="271">
        <f>References!O268</f>
        <v>243</v>
      </c>
      <c r="B164" s="305" t="s">
        <v>39</v>
      </c>
      <c r="C164" s="284">
        <v>2009</v>
      </c>
      <c r="D164" s="284">
        <v>2014</v>
      </c>
      <c r="E164" s="31">
        <v>4895</v>
      </c>
      <c r="F164" s="31">
        <v>1532</v>
      </c>
      <c r="G164" s="31">
        <v>2086</v>
      </c>
      <c r="H164" s="31">
        <v>275</v>
      </c>
      <c r="I164" s="31">
        <v>0</v>
      </c>
      <c r="J164" s="27">
        <v>8788</v>
      </c>
      <c r="K164" s="31">
        <v>3290</v>
      </c>
      <c r="L164" s="31">
        <v>80</v>
      </c>
      <c r="M164" s="31">
        <v>866</v>
      </c>
      <c r="N164" s="639">
        <v>4236</v>
      </c>
      <c r="O164" s="29"/>
      <c r="X164" s="46"/>
    </row>
    <row r="165" spans="1:24" s="278" customFormat="1" ht="409.6">
      <c r="A165" s="271">
        <f>References!P268</f>
        <v>244</v>
      </c>
      <c r="B165" s="305" t="s">
        <v>39</v>
      </c>
      <c r="C165" s="284">
        <v>2010</v>
      </c>
      <c r="D165" s="284">
        <v>2011</v>
      </c>
      <c r="E165" s="31">
        <v>4379</v>
      </c>
      <c r="F165" s="31">
        <v>3211</v>
      </c>
      <c r="G165" s="31">
        <v>3020</v>
      </c>
      <c r="H165" s="31">
        <v>1026</v>
      </c>
      <c r="I165" s="31">
        <v>0</v>
      </c>
      <c r="J165" s="27">
        <v>11636</v>
      </c>
      <c r="K165" s="31">
        <v>2400</v>
      </c>
      <c r="L165" s="31">
        <v>53</v>
      </c>
      <c r="M165" s="31">
        <v>746</v>
      </c>
      <c r="N165" s="639">
        <v>3199</v>
      </c>
      <c r="O165" s="29"/>
      <c r="X165" s="46"/>
    </row>
    <row r="166" spans="1:24" s="278" customFormat="1" ht="409.6">
      <c r="A166" s="271">
        <f>References!Q268</f>
        <v>245</v>
      </c>
      <c r="B166" s="305" t="s">
        <v>39</v>
      </c>
      <c r="C166" s="284">
        <v>2010</v>
      </c>
      <c r="D166" s="284">
        <v>2012</v>
      </c>
      <c r="E166" s="31">
        <v>4601</v>
      </c>
      <c r="F166" s="31">
        <v>5542</v>
      </c>
      <c r="G166" s="31">
        <v>3117</v>
      </c>
      <c r="H166" s="31">
        <v>606</v>
      </c>
      <c r="I166" s="31">
        <v>0</v>
      </c>
      <c r="J166" s="27">
        <v>13866</v>
      </c>
      <c r="K166" s="31">
        <v>2421</v>
      </c>
      <c r="L166" s="31">
        <v>73</v>
      </c>
      <c r="M166" s="31">
        <v>818</v>
      </c>
      <c r="N166" s="639">
        <v>3312</v>
      </c>
      <c r="O166" s="29"/>
      <c r="X166" s="46"/>
    </row>
    <row r="167" spans="1:24" s="278" customFormat="1" ht="409.6">
      <c r="A167" s="271">
        <f>References!R268</f>
        <v>246</v>
      </c>
      <c r="B167" s="305" t="s">
        <v>39</v>
      </c>
      <c r="C167" s="284">
        <v>2010</v>
      </c>
      <c r="D167" s="284">
        <v>2013</v>
      </c>
      <c r="E167" s="31">
        <v>4601</v>
      </c>
      <c r="F167" s="31">
        <v>5857</v>
      </c>
      <c r="G167" s="31">
        <v>2807</v>
      </c>
      <c r="H167" s="31">
        <v>606</v>
      </c>
      <c r="I167" s="31">
        <v>0</v>
      </c>
      <c r="J167" s="27">
        <v>13871</v>
      </c>
      <c r="K167" s="31">
        <v>2468</v>
      </c>
      <c r="L167" s="31">
        <v>73</v>
      </c>
      <c r="M167" s="31">
        <v>833</v>
      </c>
      <c r="N167" s="639">
        <v>3374</v>
      </c>
      <c r="O167" s="29"/>
      <c r="X167" s="46"/>
    </row>
    <row r="168" spans="1:24" s="278" customFormat="1" ht="409.6">
      <c r="A168" s="271">
        <f>References!S268</f>
        <v>247</v>
      </c>
      <c r="B168" s="305" t="s">
        <v>39</v>
      </c>
      <c r="C168" s="284">
        <v>2010</v>
      </c>
      <c r="D168" s="284">
        <v>2014</v>
      </c>
      <c r="E168" s="31">
        <v>4771</v>
      </c>
      <c r="F168" s="31">
        <v>5972</v>
      </c>
      <c r="G168" s="31">
        <v>2853</v>
      </c>
      <c r="H168" s="31">
        <v>606</v>
      </c>
      <c r="I168" s="31">
        <v>0</v>
      </c>
      <c r="J168" s="27">
        <v>14202</v>
      </c>
      <c r="K168" s="31">
        <v>2517</v>
      </c>
      <c r="L168" s="31">
        <v>73</v>
      </c>
      <c r="M168" s="31">
        <v>849</v>
      </c>
      <c r="N168" s="639">
        <v>3439</v>
      </c>
      <c r="O168" s="29"/>
      <c r="X168" s="46"/>
    </row>
    <row r="169" spans="1:24" s="278" customFormat="1" ht="409.6">
      <c r="A169" s="271">
        <f>References!T268</f>
        <v>248</v>
      </c>
      <c r="B169" s="305" t="s">
        <v>39</v>
      </c>
      <c r="C169" s="284">
        <v>2010</v>
      </c>
      <c r="D169" s="284">
        <v>2015</v>
      </c>
      <c r="E169" s="31">
        <v>5271</v>
      </c>
      <c r="F169" s="31">
        <v>3622</v>
      </c>
      <c r="G169" s="31">
        <v>2827</v>
      </c>
      <c r="H169" s="31">
        <v>1106</v>
      </c>
      <c r="I169" s="31">
        <v>0</v>
      </c>
      <c r="J169" s="27">
        <v>12826</v>
      </c>
      <c r="K169" s="31">
        <v>2569</v>
      </c>
      <c r="L169" s="31">
        <v>73</v>
      </c>
      <c r="M169" s="31">
        <v>868</v>
      </c>
      <c r="N169" s="639">
        <v>3510</v>
      </c>
      <c r="O169" s="29"/>
      <c r="X169" s="46"/>
    </row>
    <row r="170" spans="1:24" s="278" customFormat="1" ht="409.6">
      <c r="A170" s="271">
        <f>References!U268</f>
        <v>249</v>
      </c>
      <c r="B170" s="305" t="s">
        <v>39</v>
      </c>
      <c r="C170" s="284">
        <v>2011</v>
      </c>
      <c r="D170" s="284">
        <v>2012</v>
      </c>
      <c r="E170" s="31">
        <v>3757</v>
      </c>
      <c r="F170" s="31">
        <v>2516</v>
      </c>
      <c r="G170" s="31">
        <v>3247</v>
      </c>
      <c r="H170" s="31">
        <v>1848</v>
      </c>
      <c r="I170" s="31">
        <v>0</v>
      </c>
      <c r="J170" s="27">
        <v>11368</v>
      </c>
      <c r="K170" s="31">
        <v>2585</v>
      </c>
      <c r="L170" s="31">
        <v>53</v>
      </c>
      <c r="M170" s="31">
        <v>747</v>
      </c>
      <c r="N170" s="639">
        <v>3385</v>
      </c>
      <c r="O170" s="29"/>
      <c r="X170" s="46"/>
    </row>
    <row r="171" spans="1:24" s="278" customFormat="1" ht="409.6">
      <c r="A171" s="271">
        <f>References!V268</f>
        <v>250</v>
      </c>
      <c r="B171" s="305" t="s">
        <v>39</v>
      </c>
      <c r="C171" s="284">
        <v>2011</v>
      </c>
      <c r="D171" s="284">
        <v>2013</v>
      </c>
      <c r="E171" s="31">
        <v>4051</v>
      </c>
      <c r="F171" s="31">
        <v>7847</v>
      </c>
      <c r="G171" s="31">
        <v>3266</v>
      </c>
      <c r="H171" s="31">
        <v>1559</v>
      </c>
      <c r="I171" s="31">
        <v>0</v>
      </c>
      <c r="J171" s="27">
        <v>16723</v>
      </c>
      <c r="K171" s="31">
        <v>2532</v>
      </c>
      <c r="L171" s="31">
        <v>73</v>
      </c>
      <c r="M171" s="31">
        <v>833</v>
      </c>
      <c r="N171" s="639">
        <v>3438</v>
      </c>
      <c r="O171" s="29"/>
      <c r="X171" s="46"/>
    </row>
    <row r="172" spans="1:24" s="278" customFormat="1" ht="409.6">
      <c r="A172" s="271">
        <f>References!W268</f>
        <v>251</v>
      </c>
      <c r="B172" s="305" t="s">
        <v>39</v>
      </c>
      <c r="C172" s="284">
        <v>2011</v>
      </c>
      <c r="D172" s="284">
        <v>2014</v>
      </c>
      <c r="E172" s="31">
        <v>4021</v>
      </c>
      <c r="F172" s="31">
        <v>4627</v>
      </c>
      <c r="G172" s="31">
        <v>3266</v>
      </c>
      <c r="H172" s="31">
        <v>606</v>
      </c>
      <c r="I172" s="31">
        <v>0</v>
      </c>
      <c r="J172" s="27">
        <v>12520</v>
      </c>
      <c r="K172" s="31">
        <v>2577</v>
      </c>
      <c r="L172" s="31">
        <v>73</v>
      </c>
      <c r="M172" s="31">
        <v>828</v>
      </c>
      <c r="N172" s="639">
        <v>3478</v>
      </c>
      <c r="O172" s="29"/>
      <c r="X172" s="46"/>
    </row>
    <row r="173" spans="1:24" s="278" customFormat="1" ht="409.6">
      <c r="A173" s="271">
        <f>References!X268</f>
        <v>252</v>
      </c>
      <c r="B173" s="305" t="s">
        <v>39</v>
      </c>
      <c r="C173" s="284">
        <v>2011</v>
      </c>
      <c r="D173" s="284">
        <v>2015</v>
      </c>
      <c r="E173" s="31">
        <v>4171</v>
      </c>
      <c r="F173" s="31">
        <v>4777</v>
      </c>
      <c r="G173" s="31">
        <v>3366</v>
      </c>
      <c r="H173" s="31">
        <v>1106</v>
      </c>
      <c r="I173" s="31">
        <v>0</v>
      </c>
      <c r="J173" s="27">
        <v>13420</v>
      </c>
      <c r="K173" s="31">
        <v>2625</v>
      </c>
      <c r="L173" s="31">
        <v>73</v>
      </c>
      <c r="M173" s="31">
        <v>811</v>
      </c>
      <c r="N173" s="639">
        <v>3509</v>
      </c>
      <c r="O173" s="29"/>
      <c r="X173" s="46"/>
    </row>
    <row r="174" spans="1:24" s="278" customFormat="1" ht="409.6">
      <c r="A174" s="271">
        <f>References!Y268</f>
        <v>253</v>
      </c>
      <c r="B174" s="305" t="s">
        <v>39</v>
      </c>
      <c r="C174" s="284">
        <v>2011</v>
      </c>
      <c r="D174" s="284">
        <v>2016</v>
      </c>
      <c r="E174" s="31">
        <v>4171</v>
      </c>
      <c r="F174" s="31">
        <v>4187</v>
      </c>
      <c r="G174" s="31">
        <v>3166</v>
      </c>
      <c r="H174" s="31">
        <v>571</v>
      </c>
      <c r="I174" s="31">
        <v>0</v>
      </c>
      <c r="J174" s="27">
        <v>12095</v>
      </c>
      <c r="K174" s="31">
        <v>2500</v>
      </c>
      <c r="L174" s="31">
        <v>73</v>
      </c>
      <c r="M174" s="31">
        <v>826</v>
      </c>
      <c r="N174" s="639">
        <v>3399</v>
      </c>
      <c r="O174" s="29"/>
      <c r="X174" s="46"/>
    </row>
    <row r="175" spans="1:24" s="278" customFormat="1" ht="409.6">
      <c r="A175" s="271">
        <f>References!K269</f>
        <v>262</v>
      </c>
      <c r="B175" s="305" t="s">
        <v>40</v>
      </c>
      <c r="C175" s="284">
        <v>2009</v>
      </c>
      <c r="D175" s="284">
        <v>2010</v>
      </c>
      <c r="E175" s="31">
        <v>250</v>
      </c>
      <c r="F175" s="31">
        <v>6364.5</v>
      </c>
      <c r="G175" s="31">
        <v>2569</v>
      </c>
      <c r="H175" s="31">
        <v>4421.5</v>
      </c>
      <c r="I175" s="31">
        <v>50</v>
      </c>
      <c r="J175" s="27">
        <v>13655</v>
      </c>
      <c r="K175" s="31">
        <v>2660</v>
      </c>
      <c r="L175" s="31">
        <v>2560</v>
      </c>
      <c r="M175" s="31">
        <v>1010</v>
      </c>
      <c r="N175" s="639">
        <v>6230</v>
      </c>
      <c r="O175" s="29"/>
      <c r="X175" s="46"/>
    </row>
    <row r="176" spans="1:24" s="278" customFormat="1" ht="409.6">
      <c r="A176" s="271">
        <f>References!L269</f>
        <v>263</v>
      </c>
      <c r="B176" s="305" t="s">
        <v>40</v>
      </c>
      <c r="C176" s="284">
        <v>2009</v>
      </c>
      <c r="D176" s="284">
        <v>2011</v>
      </c>
      <c r="E176" s="31">
        <v>236</v>
      </c>
      <c r="F176" s="31">
        <v>3654.5</v>
      </c>
      <c r="G176" s="31">
        <v>4887.5</v>
      </c>
      <c r="H176" s="31">
        <v>1132</v>
      </c>
      <c r="I176" s="31">
        <v>165</v>
      </c>
      <c r="J176" s="27">
        <v>10075</v>
      </c>
      <c r="K176" s="31">
        <v>2760</v>
      </c>
      <c r="L176" s="31">
        <v>2660</v>
      </c>
      <c r="M176" s="31">
        <v>1050</v>
      </c>
      <c r="N176" s="639">
        <v>6470</v>
      </c>
      <c r="O176" s="29"/>
      <c r="X176" s="46"/>
    </row>
    <row r="177" spans="1:24" s="278" customFormat="1" ht="409.6">
      <c r="A177" s="271">
        <f>References!M269</f>
        <v>264</v>
      </c>
      <c r="B177" s="305" t="s">
        <v>40</v>
      </c>
      <c r="C177" s="284">
        <v>2009</v>
      </c>
      <c r="D177" s="284">
        <v>2012</v>
      </c>
      <c r="E177" s="31">
        <v>206</v>
      </c>
      <c r="F177" s="31">
        <v>4369.5</v>
      </c>
      <c r="G177" s="31">
        <v>4867.5</v>
      </c>
      <c r="H177" s="31">
        <v>1067</v>
      </c>
      <c r="I177" s="31">
        <v>155</v>
      </c>
      <c r="J177" s="27">
        <v>10665</v>
      </c>
      <c r="K177" s="31">
        <v>2870</v>
      </c>
      <c r="L177" s="31">
        <v>2760</v>
      </c>
      <c r="M177" s="31">
        <v>1090</v>
      </c>
      <c r="N177" s="639">
        <v>6720</v>
      </c>
      <c r="O177" s="29"/>
      <c r="X177" s="46"/>
    </row>
    <row r="178" spans="1:24" s="278" customFormat="1" ht="409.6">
      <c r="A178" s="271">
        <f>References!N269</f>
        <v>265</v>
      </c>
      <c r="B178" s="305" t="s">
        <v>40</v>
      </c>
      <c r="C178" s="284">
        <v>2009</v>
      </c>
      <c r="D178" s="284">
        <v>2013</v>
      </c>
      <c r="E178" s="31">
        <v>216</v>
      </c>
      <c r="F178" s="31">
        <v>4207</v>
      </c>
      <c r="G178" s="31">
        <v>5192.5</v>
      </c>
      <c r="H178" s="31">
        <v>1252</v>
      </c>
      <c r="I178" s="31">
        <v>197.5</v>
      </c>
      <c r="J178" s="27">
        <v>11065</v>
      </c>
      <c r="K178" s="31">
        <v>2980</v>
      </c>
      <c r="L178" s="31">
        <v>2870</v>
      </c>
      <c r="M178" s="31">
        <v>1130</v>
      </c>
      <c r="N178" s="639">
        <v>6980</v>
      </c>
      <c r="O178" s="29"/>
      <c r="X178" s="46"/>
    </row>
    <row r="179" spans="1:24" s="278" customFormat="1" ht="409.6">
      <c r="A179" s="271">
        <f>References!O269</f>
        <v>266</v>
      </c>
      <c r="B179" s="305" t="s">
        <v>40</v>
      </c>
      <c r="C179" s="284">
        <v>2009</v>
      </c>
      <c r="D179" s="284">
        <v>2014</v>
      </c>
      <c r="E179" s="31">
        <v>281</v>
      </c>
      <c r="F179" s="31">
        <v>3632</v>
      </c>
      <c r="G179" s="31">
        <v>4800</v>
      </c>
      <c r="H179" s="31">
        <v>939.5</v>
      </c>
      <c r="I179" s="31">
        <v>102.5</v>
      </c>
      <c r="J179" s="27">
        <v>9755</v>
      </c>
      <c r="K179" s="31">
        <v>3090</v>
      </c>
      <c r="L179" s="31">
        <v>2980</v>
      </c>
      <c r="M179" s="31">
        <v>1170</v>
      </c>
      <c r="N179" s="639">
        <v>7240</v>
      </c>
      <c r="O179" s="29"/>
      <c r="X179" s="46"/>
    </row>
    <row r="180" spans="1:24" s="278" customFormat="1" ht="409.6">
      <c r="A180" s="271">
        <f>References!P269</f>
        <v>267</v>
      </c>
      <c r="B180" s="305" t="s">
        <v>40</v>
      </c>
      <c r="C180" s="284">
        <v>2010</v>
      </c>
      <c r="D180" s="284">
        <v>2011</v>
      </c>
      <c r="E180" s="31">
        <v>277</v>
      </c>
      <c r="F180" s="31">
        <v>5045</v>
      </c>
      <c r="G180" s="31">
        <v>4033</v>
      </c>
      <c r="H180" s="31">
        <v>4075</v>
      </c>
      <c r="I180" s="31">
        <v>294</v>
      </c>
      <c r="J180" s="27">
        <v>13724</v>
      </c>
      <c r="K180" s="31">
        <v>3870</v>
      </c>
      <c r="L180" s="31">
        <v>1190</v>
      </c>
      <c r="M180" s="31">
        <v>890</v>
      </c>
      <c r="N180" s="639">
        <v>5950</v>
      </c>
      <c r="O180" s="29"/>
      <c r="X180" s="46"/>
    </row>
    <row r="181" spans="1:24" s="278" customFormat="1" ht="409.6">
      <c r="A181" s="271">
        <f>References!Q269</f>
        <v>268</v>
      </c>
      <c r="B181" s="305" t="s">
        <v>40</v>
      </c>
      <c r="C181" s="284">
        <v>2010</v>
      </c>
      <c r="D181" s="284">
        <v>2012</v>
      </c>
      <c r="E181" s="31">
        <v>303</v>
      </c>
      <c r="F181" s="31">
        <v>5624</v>
      </c>
      <c r="G181" s="31">
        <v>3387</v>
      </c>
      <c r="H181" s="31">
        <v>3633</v>
      </c>
      <c r="I181" s="31">
        <v>284</v>
      </c>
      <c r="J181" s="27">
        <v>13231</v>
      </c>
      <c r="K181" s="31">
        <v>3900</v>
      </c>
      <c r="L181" s="31">
        <v>1200</v>
      </c>
      <c r="M181" s="31">
        <v>890</v>
      </c>
      <c r="N181" s="639">
        <v>5990</v>
      </c>
      <c r="O181" s="29"/>
      <c r="X181" s="46"/>
    </row>
    <row r="182" spans="1:24" s="278" customFormat="1" ht="409.6">
      <c r="A182" s="271">
        <f>References!R269</f>
        <v>269</v>
      </c>
      <c r="B182" s="305" t="s">
        <v>40</v>
      </c>
      <c r="C182" s="284">
        <v>2010</v>
      </c>
      <c r="D182" s="284">
        <v>2013</v>
      </c>
      <c r="E182" s="31">
        <v>288</v>
      </c>
      <c r="F182" s="31">
        <v>3060</v>
      </c>
      <c r="G182" s="31">
        <v>2790</v>
      </c>
      <c r="H182" s="31">
        <v>4369</v>
      </c>
      <c r="I182" s="31">
        <v>418</v>
      </c>
      <c r="J182" s="27">
        <v>10925</v>
      </c>
      <c r="K182" s="31">
        <v>3930</v>
      </c>
      <c r="L182" s="31">
        <v>1210</v>
      </c>
      <c r="M182" s="31">
        <v>890</v>
      </c>
      <c r="N182" s="639">
        <v>6030</v>
      </c>
      <c r="O182" s="29"/>
      <c r="X182" s="46"/>
    </row>
    <row r="183" spans="1:24" s="278" customFormat="1" ht="409.6">
      <c r="A183" s="271">
        <f>References!S269</f>
        <v>270</v>
      </c>
      <c r="B183" s="305" t="s">
        <v>40</v>
      </c>
      <c r="C183" s="284">
        <v>2010</v>
      </c>
      <c r="D183" s="284">
        <v>2014</v>
      </c>
      <c r="E183" s="31">
        <v>286</v>
      </c>
      <c r="F183" s="31">
        <v>1990</v>
      </c>
      <c r="G183" s="31">
        <v>2555</v>
      </c>
      <c r="H183" s="31">
        <v>4004</v>
      </c>
      <c r="I183" s="31">
        <v>560</v>
      </c>
      <c r="J183" s="27">
        <v>9395</v>
      </c>
      <c r="K183" s="31">
        <v>3960</v>
      </c>
      <c r="L183" s="31">
        <v>1220</v>
      </c>
      <c r="M183" s="31">
        <v>890</v>
      </c>
      <c r="N183" s="639">
        <v>6070</v>
      </c>
      <c r="O183" s="29"/>
      <c r="X183" s="46"/>
    </row>
    <row r="184" spans="1:24" s="278" customFormat="1" ht="409.6">
      <c r="A184" s="271">
        <f>References!T269</f>
        <v>271</v>
      </c>
      <c r="B184" s="305" t="s">
        <v>40</v>
      </c>
      <c r="C184" s="284">
        <v>2010</v>
      </c>
      <c r="D184" s="284">
        <v>2015</v>
      </c>
      <c r="E184" s="31">
        <v>283</v>
      </c>
      <c r="F184" s="31">
        <v>2330</v>
      </c>
      <c r="G184" s="31">
        <v>3221</v>
      </c>
      <c r="H184" s="31">
        <v>3319</v>
      </c>
      <c r="I184" s="31">
        <v>942</v>
      </c>
      <c r="J184" s="27">
        <v>10095</v>
      </c>
      <c r="K184" s="31">
        <v>3990</v>
      </c>
      <c r="L184" s="31">
        <v>1230</v>
      </c>
      <c r="M184" s="31">
        <v>890</v>
      </c>
      <c r="N184" s="639">
        <v>6110</v>
      </c>
      <c r="O184" s="29"/>
      <c r="X184" s="46"/>
    </row>
    <row r="185" spans="1:24" s="278" customFormat="1" ht="409.6">
      <c r="A185" s="271">
        <f>References!U269</f>
        <v>272</v>
      </c>
      <c r="B185" s="305" t="s">
        <v>40</v>
      </c>
      <c r="C185" s="284">
        <v>2011</v>
      </c>
      <c r="D185" s="284">
        <v>2012</v>
      </c>
      <c r="E185" s="31">
        <v>555</v>
      </c>
      <c r="F185" s="31">
        <v>1957</v>
      </c>
      <c r="G185" s="31">
        <v>4666.5</v>
      </c>
      <c r="H185" s="31">
        <v>5116</v>
      </c>
      <c r="I185" s="31">
        <v>170</v>
      </c>
      <c r="J185" s="27">
        <v>12464.5</v>
      </c>
      <c r="K185" s="31">
        <v>4708</v>
      </c>
      <c r="L185" s="31">
        <v>1015</v>
      </c>
      <c r="M185" s="31">
        <v>1101</v>
      </c>
      <c r="N185" s="639">
        <v>6824</v>
      </c>
      <c r="O185" s="29"/>
      <c r="X185" s="46"/>
    </row>
    <row r="186" spans="1:24" s="278" customFormat="1" ht="409.6">
      <c r="A186" s="271">
        <f>References!V269</f>
        <v>273</v>
      </c>
      <c r="B186" s="305" t="s">
        <v>40</v>
      </c>
      <c r="C186" s="284">
        <v>2011</v>
      </c>
      <c r="D186" s="284">
        <v>2013</v>
      </c>
      <c r="E186" s="31">
        <v>287</v>
      </c>
      <c r="F186" s="31">
        <v>2163.75</v>
      </c>
      <c r="G186" s="31">
        <v>3528.85</v>
      </c>
      <c r="H186" s="31">
        <v>2143.3000000000002</v>
      </c>
      <c r="I186" s="31">
        <v>236.6</v>
      </c>
      <c r="J186" s="27">
        <v>8359.5</v>
      </c>
      <c r="K186" s="31">
        <v>4778</v>
      </c>
      <c r="L186" s="31">
        <v>1024</v>
      </c>
      <c r="M186" s="31">
        <v>1112</v>
      </c>
      <c r="N186" s="639">
        <v>6914</v>
      </c>
      <c r="O186" s="29"/>
      <c r="X186" s="46"/>
    </row>
    <row r="187" spans="1:24" s="278" customFormat="1" ht="409.6">
      <c r="A187" s="271">
        <f>References!W269</f>
        <v>274</v>
      </c>
      <c r="B187" s="305" t="s">
        <v>40</v>
      </c>
      <c r="C187" s="284">
        <v>2011</v>
      </c>
      <c r="D187" s="284">
        <v>2014</v>
      </c>
      <c r="E187" s="31">
        <v>286</v>
      </c>
      <c r="F187" s="31">
        <v>1990</v>
      </c>
      <c r="G187" s="31">
        <v>5429</v>
      </c>
      <c r="H187" s="31">
        <v>3030</v>
      </c>
      <c r="I187" s="31">
        <v>560</v>
      </c>
      <c r="J187" s="27">
        <v>11295</v>
      </c>
      <c r="K187" s="31">
        <v>4966</v>
      </c>
      <c r="L187" s="31">
        <v>1033</v>
      </c>
      <c r="M187" s="31">
        <v>1123</v>
      </c>
      <c r="N187" s="639">
        <v>7122</v>
      </c>
      <c r="O187" s="29"/>
      <c r="X187" s="46"/>
    </row>
    <row r="188" spans="1:24" s="278" customFormat="1" ht="409.6">
      <c r="A188" s="271">
        <f>References!X269</f>
        <v>275</v>
      </c>
      <c r="B188" s="305" t="s">
        <v>40</v>
      </c>
      <c r="C188" s="284">
        <v>2011</v>
      </c>
      <c r="D188" s="284">
        <v>2015</v>
      </c>
      <c r="E188" s="31">
        <v>282</v>
      </c>
      <c r="F188" s="31">
        <v>2216.25</v>
      </c>
      <c r="G188" s="31">
        <v>4496.25</v>
      </c>
      <c r="H188" s="31">
        <v>3557.5</v>
      </c>
      <c r="I188" s="31">
        <v>997.5</v>
      </c>
      <c r="J188" s="27">
        <v>11549.5</v>
      </c>
      <c r="K188" s="31">
        <v>5180</v>
      </c>
      <c r="L188" s="31">
        <v>1042</v>
      </c>
      <c r="M188" s="31">
        <v>1134</v>
      </c>
      <c r="N188" s="639">
        <v>7356</v>
      </c>
      <c r="O188" s="29"/>
      <c r="X188" s="46"/>
    </row>
    <row r="189" spans="1:24" s="278" customFormat="1" ht="409.6">
      <c r="A189" s="271">
        <f>References!Y269</f>
        <v>276</v>
      </c>
      <c r="B189" s="305" t="s">
        <v>40</v>
      </c>
      <c r="C189" s="284">
        <v>2011</v>
      </c>
      <c r="D189" s="284">
        <v>2016</v>
      </c>
      <c r="E189" s="31">
        <v>257</v>
      </c>
      <c r="F189" s="31">
        <v>3132.8</v>
      </c>
      <c r="G189" s="31">
        <v>4306.8999999999996</v>
      </c>
      <c r="H189" s="31">
        <v>3456.8</v>
      </c>
      <c r="I189" s="31">
        <v>891</v>
      </c>
      <c r="J189" s="27">
        <v>12044.5</v>
      </c>
      <c r="K189" s="31">
        <v>5271</v>
      </c>
      <c r="L189" s="31">
        <v>1051</v>
      </c>
      <c r="M189" s="31">
        <v>1145</v>
      </c>
      <c r="N189" s="639">
        <v>7467</v>
      </c>
      <c r="O189" s="29"/>
      <c r="X189" s="46"/>
    </row>
    <row r="190" spans="1:24" s="278" customFormat="1" ht="409.6">
      <c r="A190" s="271">
        <f>References!K270</f>
        <v>285</v>
      </c>
      <c r="B190" s="305" t="s">
        <v>41</v>
      </c>
      <c r="C190" s="284">
        <v>2009</v>
      </c>
      <c r="D190" s="284">
        <v>2010</v>
      </c>
      <c r="E190" s="31">
        <v>0</v>
      </c>
      <c r="F190" s="31">
        <v>360</v>
      </c>
      <c r="G190" s="31">
        <v>1072</v>
      </c>
      <c r="H190" s="31">
        <v>1058</v>
      </c>
      <c r="I190" s="31">
        <v>0</v>
      </c>
      <c r="J190" s="27">
        <v>2490</v>
      </c>
      <c r="K190" s="31">
        <v>224.28</v>
      </c>
      <c r="L190" s="31">
        <v>295.81</v>
      </c>
      <c r="M190" s="31">
        <v>69.911000000000001</v>
      </c>
      <c r="N190" s="639">
        <v>590.00099999999998</v>
      </c>
      <c r="O190" s="29"/>
      <c r="X190" s="46"/>
    </row>
    <row r="191" spans="1:24" s="278" customFormat="1" ht="409.6">
      <c r="A191" s="271">
        <f>References!L270</f>
        <v>286</v>
      </c>
      <c r="B191" s="305" t="s">
        <v>41</v>
      </c>
      <c r="C191" s="284">
        <v>2009</v>
      </c>
      <c r="D191" s="284">
        <v>2011</v>
      </c>
      <c r="E191" s="31">
        <v>0</v>
      </c>
      <c r="F191" s="31">
        <v>3047</v>
      </c>
      <c r="G191" s="31">
        <v>1264</v>
      </c>
      <c r="H191" s="31">
        <v>376</v>
      </c>
      <c r="I191" s="31">
        <v>0</v>
      </c>
      <c r="J191" s="27">
        <v>4687</v>
      </c>
      <c r="K191" s="31">
        <v>228.46100000000001</v>
      </c>
      <c r="L191" s="31">
        <v>301.32499999999999</v>
      </c>
      <c r="M191" s="31">
        <v>71.213999999999999</v>
      </c>
      <c r="N191" s="639">
        <v>601</v>
      </c>
      <c r="O191" s="29"/>
      <c r="X191" s="46"/>
    </row>
    <row r="192" spans="1:24" s="278" customFormat="1" ht="409.6">
      <c r="A192" s="271">
        <f>References!M270</f>
        <v>287</v>
      </c>
      <c r="B192" s="305" t="s">
        <v>41</v>
      </c>
      <c r="C192" s="284">
        <v>2009</v>
      </c>
      <c r="D192" s="284">
        <v>2012</v>
      </c>
      <c r="E192" s="31">
        <v>0</v>
      </c>
      <c r="F192" s="31">
        <v>2020</v>
      </c>
      <c r="G192" s="31">
        <v>764</v>
      </c>
      <c r="H192" s="31">
        <v>150</v>
      </c>
      <c r="I192" s="31">
        <v>0</v>
      </c>
      <c r="J192" s="27">
        <v>2934</v>
      </c>
      <c r="K192" s="31">
        <v>233.023</v>
      </c>
      <c r="L192" s="31">
        <v>307.34100000000001</v>
      </c>
      <c r="M192" s="31">
        <v>72.635999999999996</v>
      </c>
      <c r="N192" s="639">
        <v>613</v>
      </c>
      <c r="O192" s="29"/>
      <c r="X192" s="46"/>
    </row>
    <row r="193" spans="1:24" s="278" customFormat="1" ht="409.6">
      <c r="A193" s="271">
        <f>References!N270</f>
        <v>288</v>
      </c>
      <c r="B193" s="305" t="s">
        <v>41</v>
      </c>
      <c r="C193" s="284">
        <v>2009</v>
      </c>
      <c r="D193" s="284">
        <v>2013</v>
      </c>
      <c r="E193" s="31">
        <v>0</v>
      </c>
      <c r="F193" s="31">
        <v>220</v>
      </c>
      <c r="G193" s="31">
        <v>690</v>
      </c>
      <c r="H193" s="31">
        <v>50</v>
      </c>
      <c r="I193" s="31">
        <v>0</v>
      </c>
      <c r="J193" s="27">
        <v>960</v>
      </c>
      <c r="K193" s="31">
        <v>237.965</v>
      </c>
      <c r="L193" s="31">
        <v>313.85899999999998</v>
      </c>
      <c r="M193" s="31">
        <v>74.176000000000002</v>
      </c>
      <c r="N193" s="639">
        <v>626</v>
      </c>
      <c r="O193" s="29"/>
      <c r="X193" s="46"/>
    </row>
    <row r="194" spans="1:24" s="278" customFormat="1" ht="409.6">
      <c r="A194" s="271">
        <f>References!O270</f>
        <v>289</v>
      </c>
      <c r="B194" s="305" t="s">
        <v>41</v>
      </c>
      <c r="C194" s="284">
        <v>2009</v>
      </c>
      <c r="D194" s="284">
        <v>2014</v>
      </c>
      <c r="E194" s="31">
        <v>0</v>
      </c>
      <c r="F194" s="31">
        <v>200</v>
      </c>
      <c r="G194" s="31">
        <v>470</v>
      </c>
      <c r="H194" s="31">
        <v>50</v>
      </c>
      <c r="I194" s="31">
        <v>0</v>
      </c>
      <c r="J194" s="27">
        <v>720</v>
      </c>
      <c r="K194" s="31">
        <v>242.90600000000001</v>
      </c>
      <c r="L194" s="31">
        <v>320.37700000000001</v>
      </c>
      <c r="M194" s="31">
        <v>75.716999999999999</v>
      </c>
      <c r="N194" s="639">
        <v>639</v>
      </c>
      <c r="O194" s="29"/>
      <c r="X194" s="46"/>
    </row>
    <row r="195" spans="1:24" s="278" customFormat="1" ht="409.6">
      <c r="A195" s="271">
        <f>References!P270</f>
        <v>290</v>
      </c>
      <c r="B195" s="305" t="s">
        <v>41</v>
      </c>
      <c r="C195" s="284">
        <v>2010</v>
      </c>
      <c r="D195" s="284">
        <v>2011</v>
      </c>
      <c r="E195" s="31">
        <v>0</v>
      </c>
      <c r="F195" s="31">
        <v>4275</v>
      </c>
      <c r="G195" s="31">
        <v>464</v>
      </c>
      <c r="H195" s="31">
        <v>1378</v>
      </c>
      <c r="I195" s="31">
        <v>0</v>
      </c>
      <c r="J195" s="27">
        <v>6117</v>
      </c>
      <c r="K195" s="31">
        <v>228.46118609059593</v>
      </c>
      <c r="L195" s="31">
        <v>301.32468494622464</v>
      </c>
      <c r="M195" s="31">
        <v>71.214128963179419</v>
      </c>
      <c r="N195" s="639">
        <v>601</v>
      </c>
      <c r="O195" s="29"/>
      <c r="X195" s="46"/>
    </row>
    <row r="196" spans="1:24" s="278" customFormat="1" ht="409.6">
      <c r="A196" s="271">
        <f>References!Q270</f>
        <v>291</v>
      </c>
      <c r="B196" s="305" t="s">
        <v>41</v>
      </c>
      <c r="C196" s="284">
        <v>2010</v>
      </c>
      <c r="D196" s="284">
        <v>2012</v>
      </c>
      <c r="E196" s="31">
        <v>0</v>
      </c>
      <c r="F196" s="31">
        <v>4430</v>
      </c>
      <c r="G196" s="31">
        <v>150</v>
      </c>
      <c r="H196" s="31">
        <v>1654</v>
      </c>
      <c r="I196" s="31">
        <v>0</v>
      </c>
      <c r="J196" s="27">
        <v>6234</v>
      </c>
      <c r="K196" s="31">
        <v>233.02280711070765</v>
      </c>
      <c r="L196" s="31">
        <v>307.34115120139046</v>
      </c>
      <c r="M196" s="31">
        <v>72.636041687901795</v>
      </c>
      <c r="N196" s="639">
        <v>612.99999999999989</v>
      </c>
      <c r="O196" s="29"/>
      <c r="X196" s="46"/>
    </row>
    <row r="197" spans="1:24" s="278" customFormat="1" ht="409.6">
      <c r="A197" s="271">
        <f>References!R270</f>
        <v>292</v>
      </c>
      <c r="B197" s="305" t="s">
        <v>41</v>
      </c>
      <c r="C197" s="284">
        <v>2010</v>
      </c>
      <c r="D197" s="284">
        <v>2013</v>
      </c>
      <c r="E197" s="31">
        <v>0</v>
      </c>
      <c r="F197" s="31">
        <v>317</v>
      </c>
      <c r="G197" s="31">
        <v>72</v>
      </c>
      <c r="H197" s="31">
        <v>1382</v>
      </c>
      <c r="I197" s="31">
        <v>0</v>
      </c>
      <c r="J197" s="27">
        <v>1771</v>
      </c>
      <c r="K197" s="31">
        <v>237.96456321582872</v>
      </c>
      <c r="L197" s="31">
        <v>313.85898964448688</v>
      </c>
      <c r="M197" s="31">
        <v>74.176447139684385</v>
      </c>
      <c r="N197" s="639">
        <v>626</v>
      </c>
      <c r="O197" s="29"/>
      <c r="X197" s="46"/>
    </row>
    <row r="198" spans="1:24" s="278" customFormat="1" ht="409.6">
      <c r="A198" s="271">
        <f>References!S270</f>
        <v>293</v>
      </c>
      <c r="B198" s="305" t="s">
        <v>41</v>
      </c>
      <c r="C198" s="284">
        <v>2010</v>
      </c>
      <c r="D198" s="284">
        <v>2014</v>
      </c>
      <c r="E198" s="31">
        <v>0</v>
      </c>
      <c r="F198" s="31">
        <v>200</v>
      </c>
      <c r="G198" s="31">
        <v>122</v>
      </c>
      <c r="H198" s="31">
        <v>1083</v>
      </c>
      <c r="I198" s="31">
        <v>0</v>
      </c>
      <c r="J198" s="27">
        <v>1405</v>
      </c>
      <c r="K198" s="31">
        <v>242.90631932094976</v>
      </c>
      <c r="L198" s="31">
        <v>320.37682808758325</v>
      </c>
      <c r="M198" s="31">
        <v>75.716852591466974</v>
      </c>
      <c r="N198" s="639">
        <v>639</v>
      </c>
      <c r="O198" s="29"/>
      <c r="X198" s="46"/>
    </row>
    <row r="199" spans="1:24" s="278" customFormat="1" ht="409.6">
      <c r="A199" s="271">
        <f>References!T270</f>
        <v>294</v>
      </c>
      <c r="B199" s="305" t="s">
        <v>41</v>
      </c>
      <c r="C199" s="284">
        <v>2010</v>
      </c>
      <c r="D199" s="284">
        <v>2015</v>
      </c>
      <c r="E199" s="31">
        <v>0</v>
      </c>
      <c r="F199" s="31">
        <v>180</v>
      </c>
      <c r="G199" s="31">
        <v>50</v>
      </c>
      <c r="H199" s="31">
        <v>1307</v>
      </c>
      <c r="I199" s="31">
        <v>0</v>
      </c>
      <c r="J199" s="27">
        <v>1537</v>
      </c>
      <c r="K199" s="31">
        <v>247.46794034106148</v>
      </c>
      <c r="L199" s="31">
        <v>326.39329434274913</v>
      </c>
      <c r="M199" s="31">
        <v>77.138765316189364</v>
      </c>
      <c r="N199" s="639">
        <v>651</v>
      </c>
      <c r="O199" s="29"/>
      <c r="X199" s="46"/>
    </row>
    <row r="200" spans="1:24" s="278" customFormat="1" ht="409.6">
      <c r="A200" s="271">
        <f>References!U270</f>
        <v>295</v>
      </c>
      <c r="B200" s="305" t="s">
        <v>41</v>
      </c>
      <c r="C200" s="284">
        <v>2011</v>
      </c>
      <c r="D200" s="284">
        <v>2012</v>
      </c>
      <c r="E200" s="31">
        <v>0</v>
      </c>
      <c r="F200" s="31">
        <v>4280</v>
      </c>
      <c r="G200" s="31">
        <v>1327</v>
      </c>
      <c r="H200" s="31">
        <v>350</v>
      </c>
      <c r="I200" s="31">
        <v>0</v>
      </c>
      <c r="J200" s="27">
        <v>5957</v>
      </c>
      <c r="K200" s="31">
        <v>228.46118609999999</v>
      </c>
      <c r="L200" s="31">
        <v>301.32468490000002</v>
      </c>
      <c r="M200" s="31">
        <v>71.214128959999996</v>
      </c>
      <c r="N200" s="639">
        <v>601</v>
      </c>
      <c r="O200" s="29"/>
      <c r="X200" s="46"/>
    </row>
    <row r="201" spans="1:24" s="278" customFormat="1" ht="409.6">
      <c r="A201" s="271">
        <f>References!V270</f>
        <v>296</v>
      </c>
      <c r="B201" s="305" t="s">
        <v>41</v>
      </c>
      <c r="C201" s="284">
        <v>2011</v>
      </c>
      <c r="D201" s="284">
        <v>2013</v>
      </c>
      <c r="E201" s="31">
        <v>0</v>
      </c>
      <c r="F201" s="31">
        <v>4437</v>
      </c>
      <c r="G201" s="31">
        <v>1612</v>
      </c>
      <c r="H201" s="31">
        <v>172</v>
      </c>
      <c r="I201" s="31">
        <v>0</v>
      </c>
      <c r="J201" s="27">
        <v>6221</v>
      </c>
      <c r="K201" s="31">
        <v>233.02280709999999</v>
      </c>
      <c r="L201" s="31">
        <v>307.34115120000001</v>
      </c>
      <c r="M201" s="31">
        <v>72.636041689999999</v>
      </c>
      <c r="N201" s="639">
        <v>613</v>
      </c>
      <c r="O201" s="29"/>
      <c r="X201" s="46"/>
    </row>
    <row r="202" spans="1:24" s="278" customFormat="1" ht="409.6">
      <c r="A202" s="271">
        <f>References!W270</f>
        <v>297</v>
      </c>
      <c r="B202" s="305" t="s">
        <v>41</v>
      </c>
      <c r="C202" s="284">
        <v>2011</v>
      </c>
      <c r="D202" s="284">
        <v>2014</v>
      </c>
      <c r="E202" s="31">
        <v>0</v>
      </c>
      <c r="F202" s="31">
        <v>255</v>
      </c>
      <c r="G202" s="31">
        <v>1557</v>
      </c>
      <c r="H202" s="31">
        <v>60</v>
      </c>
      <c r="I202" s="31">
        <v>0</v>
      </c>
      <c r="J202" s="27">
        <v>1872</v>
      </c>
      <c r="K202" s="31">
        <v>237.96456319999999</v>
      </c>
      <c r="L202" s="31">
        <v>313.85898959999997</v>
      </c>
      <c r="M202" s="31">
        <v>74.176447139999993</v>
      </c>
      <c r="N202" s="639">
        <v>626</v>
      </c>
      <c r="O202" s="29"/>
      <c r="X202" s="46"/>
    </row>
    <row r="203" spans="1:24" s="278" customFormat="1" ht="409.6">
      <c r="A203" s="271">
        <f>References!X270</f>
        <v>298</v>
      </c>
      <c r="B203" s="305" t="s">
        <v>41</v>
      </c>
      <c r="C203" s="284">
        <v>2011</v>
      </c>
      <c r="D203" s="284">
        <v>2015</v>
      </c>
      <c r="E203" s="31">
        <v>0</v>
      </c>
      <c r="F203" s="31">
        <v>180</v>
      </c>
      <c r="G203" s="31">
        <v>1216</v>
      </c>
      <c r="H203" s="31">
        <v>30</v>
      </c>
      <c r="I203" s="31">
        <v>0</v>
      </c>
      <c r="J203" s="27">
        <v>1426</v>
      </c>
      <c r="K203" s="31">
        <v>242.90631930000001</v>
      </c>
      <c r="L203" s="31">
        <v>320.37682810000001</v>
      </c>
      <c r="M203" s="31">
        <v>75.716852590000002</v>
      </c>
      <c r="N203" s="639">
        <v>639</v>
      </c>
      <c r="O203" s="29"/>
      <c r="X203" s="46"/>
    </row>
    <row r="204" spans="1:24" s="278" customFormat="1" ht="409.6">
      <c r="A204" s="271">
        <f>References!Y270</f>
        <v>299</v>
      </c>
      <c r="B204" s="305" t="s">
        <v>41</v>
      </c>
      <c r="C204" s="284">
        <v>2011</v>
      </c>
      <c r="D204" s="284">
        <v>2016</v>
      </c>
      <c r="E204" s="31">
        <v>0</v>
      </c>
      <c r="F204" s="31">
        <v>150</v>
      </c>
      <c r="G204" s="31">
        <v>1462</v>
      </c>
      <c r="H204" s="31">
        <v>30</v>
      </c>
      <c r="I204" s="31">
        <v>0</v>
      </c>
      <c r="J204" s="27">
        <v>1642</v>
      </c>
      <c r="K204" s="31">
        <v>247.46794030000001</v>
      </c>
      <c r="L204" s="31">
        <v>326.39329429999998</v>
      </c>
      <c r="M204" s="31">
        <v>77.138765320000005</v>
      </c>
      <c r="N204" s="639">
        <v>651</v>
      </c>
      <c r="O204" s="29"/>
      <c r="X204" s="46"/>
    </row>
    <row r="205" spans="1:24" s="278" customFormat="1" ht="409.6">
      <c r="A205" s="271">
        <f>References!K273</f>
        <v>354</v>
      </c>
      <c r="B205" s="305" t="s">
        <v>44</v>
      </c>
      <c r="C205" s="284">
        <v>2009</v>
      </c>
      <c r="D205" s="284">
        <v>2010</v>
      </c>
      <c r="E205" s="31">
        <v>350</v>
      </c>
      <c r="F205" s="31">
        <v>3485</v>
      </c>
      <c r="G205" s="31">
        <v>7050</v>
      </c>
      <c r="H205" s="31">
        <v>375</v>
      </c>
      <c r="I205" s="31">
        <v>0</v>
      </c>
      <c r="J205" s="27">
        <v>11260</v>
      </c>
      <c r="K205" s="31">
        <v>1724</v>
      </c>
      <c r="L205" s="31">
        <v>4016</v>
      </c>
      <c r="M205" s="31">
        <v>1232</v>
      </c>
      <c r="N205" s="639">
        <v>6972</v>
      </c>
      <c r="O205" s="29"/>
      <c r="X205" s="46"/>
    </row>
    <row r="206" spans="1:24" s="278" customFormat="1" ht="409.6">
      <c r="A206" s="271">
        <f>References!L273</f>
        <v>355</v>
      </c>
      <c r="B206" s="305" t="s">
        <v>44</v>
      </c>
      <c r="C206" s="284">
        <v>2009</v>
      </c>
      <c r="D206" s="284">
        <v>2011</v>
      </c>
      <c r="E206" s="31">
        <v>350</v>
      </c>
      <c r="F206" s="31">
        <v>4675</v>
      </c>
      <c r="G206" s="31">
        <v>6058</v>
      </c>
      <c r="H206" s="31">
        <v>305</v>
      </c>
      <c r="I206" s="31">
        <v>0</v>
      </c>
      <c r="J206" s="27">
        <v>11388</v>
      </c>
      <c r="K206" s="31">
        <v>1724</v>
      </c>
      <c r="L206" s="31">
        <v>4204</v>
      </c>
      <c r="M206" s="31">
        <v>1233</v>
      </c>
      <c r="N206" s="639">
        <v>7161</v>
      </c>
      <c r="O206" s="29"/>
      <c r="X206" s="46"/>
    </row>
    <row r="207" spans="1:24" s="278" customFormat="1" ht="409.6">
      <c r="A207" s="271">
        <f>References!M273</f>
        <v>356</v>
      </c>
      <c r="B207" s="305" t="s">
        <v>44</v>
      </c>
      <c r="C207" s="284">
        <v>2009</v>
      </c>
      <c r="D207" s="284">
        <v>2012</v>
      </c>
      <c r="E207" s="31">
        <v>350</v>
      </c>
      <c r="F207" s="31">
        <v>3325</v>
      </c>
      <c r="G207" s="31">
        <v>4845</v>
      </c>
      <c r="H207" s="31">
        <v>675</v>
      </c>
      <c r="I207" s="31">
        <v>0</v>
      </c>
      <c r="J207" s="27">
        <v>9195</v>
      </c>
      <c r="K207" s="31">
        <v>1724</v>
      </c>
      <c r="L207" s="31">
        <v>4204</v>
      </c>
      <c r="M207" s="31">
        <v>1233</v>
      </c>
      <c r="N207" s="639">
        <v>7161</v>
      </c>
      <c r="O207" s="29"/>
      <c r="X207" s="46"/>
    </row>
    <row r="208" spans="1:24" s="278" customFormat="1" ht="409.6">
      <c r="A208" s="271">
        <f>References!N273</f>
        <v>357</v>
      </c>
      <c r="B208" s="305" t="s">
        <v>44</v>
      </c>
      <c r="C208" s="284">
        <v>2009</v>
      </c>
      <c r="D208" s="284">
        <v>2013</v>
      </c>
      <c r="E208" s="31">
        <v>350</v>
      </c>
      <c r="F208" s="31">
        <v>3000</v>
      </c>
      <c r="G208" s="31">
        <v>6200</v>
      </c>
      <c r="H208" s="31">
        <v>150</v>
      </c>
      <c r="I208" s="31">
        <v>0</v>
      </c>
      <c r="J208" s="27">
        <v>9700</v>
      </c>
      <c r="K208" s="31">
        <v>1724</v>
      </c>
      <c r="L208" s="31">
        <v>4204</v>
      </c>
      <c r="M208" s="31">
        <v>1233</v>
      </c>
      <c r="N208" s="639">
        <v>7161</v>
      </c>
      <c r="O208" s="29"/>
      <c r="X208" s="46"/>
    </row>
    <row r="209" spans="1:24" s="278" customFormat="1" ht="409.6">
      <c r="A209" s="271">
        <f>References!O273</f>
        <v>358</v>
      </c>
      <c r="B209" s="305" t="s">
        <v>44</v>
      </c>
      <c r="C209" s="284">
        <v>2009</v>
      </c>
      <c r="D209" s="284">
        <v>2014</v>
      </c>
      <c r="E209" s="31">
        <v>350</v>
      </c>
      <c r="F209" s="31">
        <v>2700</v>
      </c>
      <c r="G209" s="31">
        <v>4695</v>
      </c>
      <c r="H209" s="31">
        <v>325</v>
      </c>
      <c r="I209" s="31">
        <v>0</v>
      </c>
      <c r="J209" s="27">
        <v>8070</v>
      </c>
      <c r="K209" s="31">
        <v>1724</v>
      </c>
      <c r="L209" s="31">
        <v>4204</v>
      </c>
      <c r="M209" s="31">
        <v>1233</v>
      </c>
      <c r="N209" s="639">
        <v>7161</v>
      </c>
      <c r="O209" s="29"/>
      <c r="X209" s="46"/>
    </row>
    <row r="210" spans="1:24" s="278" customFormat="1" ht="409.6">
      <c r="A210" s="271">
        <f>References!P273</f>
        <v>359</v>
      </c>
      <c r="B210" s="305" t="s">
        <v>44</v>
      </c>
      <c r="C210" s="284">
        <v>2010</v>
      </c>
      <c r="D210" s="284">
        <v>2011</v>
      </c>
      <c r="E210" s="31">
        <v>375</v>
      </c>
      <c r="F210" s="31">
        <v>1065</v>
      </c>
      <c r="G210" s="31">
        <v>7226</v>
      </c>
      <c r="H210" s="31">
        <v>2660</v>
      </c>
      <c r="I210" s="31">
        <v>0</v>
      </c>
      <c r="J210" s="27">
        <v>11326</v>
      </c>
      <c r="K210" s="31">
        <v>1870</v>
      </c>
      <c r="L210" s="31">
        <v>4623</v>
      </c>
      <c r="M210" s="31">
        <v>1148</v>
      </c>
      <c r="N210" s="639">
        <v>7641</v>
      </c>
      <c r="O210" s="29"/>
      <c r="X210" s="46"/>
    </row>
    <row r="211" spans="1:24" s="278" customFormat="1" ht="409.6">
      <c r="A211" s="271">
        <f>References!Q273</f>
        <v>360</v>
      </c>
      <c r="B211" s="305" t="s">
        <v>44</v>
      </c>
      <c r="C211" s="284">
        <v>2010</v>
      </c>
      <c r="D211" s="284">
        <v>2012</v>
      </c>
      <c r="E211" s="31">
        <v>375</v>
      </c>
      <c r="F211" s="31">
        <v>3667</v>
      </c>
      <c r="G211" s="31">
        <v>6351</v>
      </c>
      <c r="H211" s="31">
        <v>1432</v>
      </c>
      <c r="I211" s="31">
        <v>0</v>
      </c>
      <c r="J211" s="27">
        <v>11825</v>
      </c>
      <c r="K211" s="31">
        <v>1925</v>
      </c>
      <c r="L211" s="31">
        <v>4262</v>
      </c>
      <c r="M211" s="31">
        <v>1182</v>
      </c>
      <c r="N211" s="639">
        <v>7369</v>
      </c>
      <c r="O211" s="29"/>
      <c r="X211" s="46"/>
    </row>
    <row r="212" spans="1:24" s="278" customFormat="1" ht="409.6">
      <c r="A212" s="271">
        <f>References!R273</f>
        <v>361</v>
      </c>
      <c r="B212" s="305" t="s">
        <v>44</v>
      </c>
      <c r="C212" s="284">
        <v>2010</v>
      </c>
      <c r="D212" s="284">
        <v>2013</v>
      </c>
      <c r="E212" s="31">
        <v>375</v>
      </c>
      <c r="F212" s="31">
        <v>3586</v>
      </c>
      <c r="G212" s="31">
        <v>7484</v>
      </c>
      <c r="H212" s="31">
        <v>467</v>
      </c>
      <c r="I212" s="31">
        <v>0</v>
      </c>
      <c r="J212" s="27">
        <v>11912</v>
      </c>
      <c r="K212" s="31">
        <v>1983</v>
      </c>
      <c r="L212" s="31">
        <v>4405</v>
      </c>
      <c r="M212" s="31">
        <v>1218</v>
      </c>
      <c r="N212" s="639">
        <v>7606</v>
      </c>
      <c r="O212" s="29"/>
      <c r="X212" s="46"/>
    </row>
    <row r="213" spans="1:24" s="278" customFormat="1" ht="409.6">
      <c r="A213" s="271">
        <f>References!S273</f>
        <v>362</v>
      </c>
      <c r="B213" s="305" t="s">
        <v>44</v>
      </c>
      <c r="C213" s="284">
        <v>2010</v>
      </c>
      <c r="D213" s="284">
        <v>2014</v>
      </c>
      <c r="E213" s="31">
        <v>375</v>
      </c>
      <c r="F213" s="31">
        <v>3071</v>
      </c>
      <c r="G213" s="31">
        <v>8152</v>
      </c>
      <c r="H213" s="31">
        <v>809</v>
      </c>
      <c r="I213" s="31">
        <v>0</v>
      </c>
      <c r="J213" s="27">
        <v>12407</v>
      </c>
      <c r="K213" s="31">
        <v>2042</v>
      </c>
      <c r="L213" s="31">
        <v>4552</v>
      </c>
      <c r="M213" s="31">
        <v>1254</v>
      </c>
      <c r="N213" s="639">
        <v>7848</v>
      </c>
      <c r="O213" s="29"/>
      <c r="X213" s="46"/>
    </row>
    <row r="214" spans="1:24" s="278" customFormat="1" ht="409.6">
      <c r="A214" s="271">
        <f>References!T273</f>
        <v>363</v>
      </c>
      <c r="B214" s="305" t="s">
        <v>44</v>
      </c>
      <c r="C214" s="284">
        <v>2010</v>
      </c>
      <c r="D214" s="284">
        <v>2015</v>
      </c>
      <c r="E214" s="31">
        <v>375</v>
      </c>
      <c r="F214" s="31">
        <v>6961</v>
      </c>
      <c r="G214" s="31">
        <v>4212</v>
      </c>
      <c r="H214" s="31">
        <v>411</v>
      </c>
      <c r="I214" s="31">
        <v>0</v>
      </c>
      <c r="J214" s="27">
        <v>11959</v>
      </c>
      <c r="K214" s="31">
        <v>2102</v>
      </c>
      <c r="L214" s="31">
        <v>4704</v>
      </c>
      <c r="M214" s="31">
        <v>1292</v>
      </c>
      <c r="N214" s="639">
        <v>8098</v>
      </c>
      <c r="O214" s="29"/>
      <c r="X214" s="46"/>
    </row>
    <row r="215" spans="1:24" s="278" customFormat="1" ht="409.6">
      <c r="A215" s="271">
        <f>References!U273</f>
        <v>364</v>
      </c>
      <c r="B215" s="305" t="s">
        <v>44</v>
      </c>
      <c r="C215" s="284">
        <v>2011</v>
      </c>
      <c r="D215" s="284">
        <v>2012</v>
      </c>
      <c r="E215" s="31">
        <v>375</v>
      </c>
      <c r="F215" s="31">
        <v>4892</v>
      </c>
      <c r="G215" s="31">
        <v>10206</v>
      </c>
      <c r="H215" s="31">
        <v>1264</v>
      </c>
      <c r="I215" s="31">
        <v>406</v>
      </c>
      <c r="J215" s="27">
        <v>17143</v>
      </c>
      <c r="K215" s="31">
        <v>1961</v>
      </c>
      <c r="L215" s="31">
        <v>3805</v>
      </c>
      <c r="M215" s="31">
        <v>1148</v>
      </c>
      <c r="N215" s="639">
        <v>6914</v>
      </c>
      <c r="O215" s="29"/>
      <c r="X215" s="46"/>
    </row>
    <row r="216" spans="1:24" s="278" customFormat="1" ht="409.6">
      <c r="A216" s="271">
        <f>References!V273</f>
        <v>365</v>
      </c>
      <c r="B216" s="305" t="s">
        <v>44</v>
      </c>
      <c r="C216" s="284">
        <v>2011</v>
      </c>
      <c r="D216" s="284">
        <v>2013</v>
      </c>
      <c r="E216" s="31">
        <v>381</v>
      </c>
      <c r="F216" s="31">
        <v>5089</v>
      </c>
      <c r="G216" s="31">
        <v>7206</v>
      </c>
      <c r="H216" s="31">
        <v>706</v>
      </c>
      <c r="I216" s="31">
        <v>103</v>
      </c>
      <c r="J216" s="27">
        <v>13485</v>
      </c>
      <c r="K216" s="31">
        <v>2064</v>
      </c>
      <c r="L216" s="31">
        <v>3856</v>
      </c>
      <c r="M216" s="31">
        <v>1165</v>
      </c>
      <c r="N216" s="639">
        <v>7085</v>
      </c>
      <c r="O216" s="29"/>
      <c r="X216" s="46"/>
    </row>
    <row r="217" spans="1:24" s="278" customFormat="1" ht="409.6">
      <c r="A217" s="271">
        <f>References!W273</f>
        <v>366</v>
      </c>
      <c r="B217" s="305" t="s">
        <v>44</v>
      </c>
      <c r="C217" s="284">
        <v>2011</v>
      </c>
      <c r="D217" s="284">
        <v>2014</v>
      </c>
      <c r="E217" s="31">
        <v>386</v>
      </c>
      <c r="F217" s="31">
        <v>4129</v>
      </c>
      <c r="G217" s="31">
        <v>6930</v>
      </c>
      <c r="H217" s="31">
        <v>352</v>
      </c>
      <c r="I217" s="31">
        <v>105</v>
      </c>
      <c r="J217" s="27">
        <v>11902</v>
      </c>
      <c r="K217" s="31">
        <v>2004</v>
      </c>
      <c r="L217" s="31">
        <v>3924</v>
      </c>
      <c r="M217" s="31">
        <v>1189</v>
      </c>
      <c r="N217" s="639">
        <v>7117</v>
      </c>
      <c r="O217" s="29"/>
      <c r="X217" s="46"/>
    </row>
    <row r="218" spans="1:24" s="278" customFormat="1" ht="409.6">
      <c r="A218" s="271">
        <f>References!X273</f>
        <v>367</v>
      </c>
      <c r="B218" s="305" t="s">
        <v>44</v>
      </c>
      <c r="C218" s="284">
        <v>2011</v>
      </c>
      <c r="D218" s="284">
        <v>2015</v>
      </c>
      <c r="E218" s="31">
        <v>392</v>
      </c>
      <c r="F218" s="31">
        <v>4667</v>
      </c>
      <c r="G218" s="31">
        <v>7176</v>
      </c>
      <c r="H218" s="31">
        <v>482</v>
      </c>
      <c r="I218" s="31">
        <v>107</v>
      </c>
      <c r="J218" s="27">
        <v>12824</v>
      </c>
      <c r="K218" s="31">
        <v>2078</v>
      </c>
      <c r="L218" s="31">
        <v>3994</v>
      </c>
      <c r="M218" s="31">
        <v>1212</v>
      </c>
      <c r="N218" s="639">
        <v>7284</v>
      </c>
      <c r="O218" s="29"/>
      <c r="X218" s="46"/>
    </row>
    <row r="219" spans="1:24" s="278" customFormat="1" ht="409.6">
      <c r="A219" s="271">
        <f>References!Y273</f>
        <v>368</v>
      </c>
      <c r="B219" s="305" t="s">
        <v>44</v>
      </c>
      <c r="C219" s="284">
        <v>2011</v>
      </c>
      <c r="D219" s="284">
        <v>2016</v>
      </c>
      <c r="E219" s="31">
        <v>398</v>
      </c>
      <c r="F219" s="31">
        <v>2998</v>
      </c>
      <c r="G219" s="31">
        <v>9410</v>
      </c>
      <c r="H219" s="31">
        <v>220</v>
      </c>
      <c r="I219" s="31">
        <v>110</v>
      </c>
      <c r="J219" s="27">
        <v>13136</v>
      </c>
      <c r="K219" s="31">
        <v>2136</v>
      </c>
      <c r="L219" s="31">
        <v>4083</v>
      </c>
      <c r="M219" s="31">
        <v>1243</v>
      </c>
      <c r="N219" s="639">
        <v>7462</v>
      </c>
      <c r="O219" s="29"/>
      <c r="X219" s="46"/>
    </row>
    <row r="220" spans="1:24" s="278" customFormat="1" ht="409.6">
      <c r="A220" s="271">
        <f>References!K274</f>
        <v>377</v>
      </c>
      <c r="B220" s="305" t="s">
        <v>45</v>
      </c>
      <c r="C220" s="284">
        <v>2009</v>
      </c>
      <c r="D220" s="284">
        <v>2010</v>
      </c>
      <c r="E220" s="31">
        <v>3600</v>
      </c>
      <c r="F220" s="31">
        <v>10588</v>
      </c>
      <c r="G220" s="31">
        <v>10513</v>
      </c>
      <c r="H220" s="31">
        <v>3886</v>
      </c>
      <c r="I220" s="31">
        <v>2100</v>
      </c>
      <c r="J220" s="27">
        <v>30687</v>
      </c>
      <c r="K220" s="31">
        <v>17316</v>
      </c>
      <c r="L220" s="31">
        <v>2890</v>
      </c>
      <c r="M220" s="31">
        <v>3170</v>
      </c>
      <c r="N220" s="639">
        <v>23376</v>
      </c>
      <c r="O220" s="29"/>
      <c r="X220" s="46"/>
    </row>
    <row r="221" spans="1:24" s="278" customFormat="1" ht="409.6">
      <c r="A221" s="271">
        <f>References!L274</f>
        <v>378</v>
      </c>
      <c r="B221" s="305" t="s">
        <v>45</v>
      </c>
      <c r="C221" s="284">
        <v>2009</v>
      </c>
      <c r="D221" s="284">
        <v>2011</v>
      </c>
      <c r="E221" s="31">
        <v>3800</v>
      </c>
      <c r="F221" s="31">
        <v>20790</v>
      </c>
      <c r="G221" s="31">
        <v>11565</v>
      </c>
      <c r="H221" s="31">
        <v>3645</v>
      </c>
      <c r="I221" s="31">
        <v>2100</v>
      </c>
      <c r="J221" s="27">
        <v>41900</v>
      </c>
      <c r="K221" s="31">
        <v>18997</v>
      </c>
      <c r="L221" s="31">
        <v>2890</v>
      </c>
      <c r="M221" s="31">
        <v>3170</v>
      </c>
      <c r="N221" s="639">
        <v>25057</v>
      </c>
      <c r="O221" s="29"/>
      <c r="X221" s="46"/>
    </row>
    <row r="222" spans="1:24" s="278" customFormat="1" ht="409.6">
      <c r="A222" s="271">
        <f>References!M274</f>
        <v>379</v>
      </c>
      <c r="B222" s="305" t="s">
        <v>45</v>
      </c>
      <c r="C222" s="284">
        <v>2009</v>
      </c>
      <c r="D222" s="284">
        <v>2012</v>
      </c>
      <c r="E222" s="31">
        <v>4200</v>
      </c>
      <c r="F222" s="31">
        <v>27120</v>
      </c>
      <c r="G222" s="31">
        <v>11149</v>
      </c>
      <c r="H222" s="31">
        <v>3125</v>
      </c>
      <c r="I222" s="31">
        <v>2100</v>
      </c>
      <c r="J222" s="27">
        <v>47694</v>
      </c>
      <c r="K222" s="31">
        <v>19085</v>
      </c>
      <c r="L222" s="31">
        <v>2890</v>
      </c>
      <c r="M222" s="31">
        <v>3170</v>
      </c>
      <c r="N222" s="639">
        <v>25145</v>
      </c>
      <c r="O222" s="29"/>
      <c r="X222" s="46"/>
    </row>
    <row r="223" spans="1:24" s="278" customFormat="1" ht="409.6">
      <c r="A223" s="271">
        <f>References!N274</f>
        <v>380</v>
      </c>
      <c r="B223" s="305" t="s">
        <v>45</v>
      </c>
      <c r="C223" s="284">
        <v>2009</v>
      </c>
      <c r="D223" s="284">
        <v>2013</v>
      </c>
      <c r="E223" s="31">
        <v>5000</v>
      </c>
      <c r="F223" s="31">
        <v>20905</v>
      </c>
      <c r="G223" s="31">
        <v>11780</v>
      </c>
      <c r="H223" s="31">
        <v>3192</v>
      </c>
      <c r="I223" s="31">
        <v>2100</v>
      </c>
      <c r="J223" s="27">
        <v>42977</v>
      </c>
      <c r="K223" s="31">
        <v>18984</v>
      </c>
      <c r="L223" s="31">
        <v>2905</v>
      </c>
      <c r="M223" s="31">
        <v>3170</v>
      </c>
      <c r="N223" s="639">
        <v>25059</v>
      </c>
      <c r="O223" s="29"/>
      <c r="X223" s="46"/>
    </row>
    <row r="224" spans="1:24" s="278" customFormat="1" ht="409.6">
      <c r="A224" s="271">
        <f>References!O274</f>
        <v>381</v>
      </c>
      <c r="B224" s="305" t="s">
        <v>45</v>
      </c>
      <c r="C224" s="284">
        <v>2009</v>
      </c>
      <c r="D224" s="284">
        <v>2014</v>
      </c>
      <c r="E224" s="31">
        <v>5400</v>
      </c>
      <c r="F224" s="31">
        <v>16475</v>
      </c>
      <c r="G224" s="31">
        <v>15638</v>
      </c>
      <c r="H224" s="31">
        <v>3145</v>
      </c>
      <c r="I224" s="31">
        <v>2100</v>
      </c>
      <c r="J224" s="27">
        <v>42758</v>
      </c>
      <c r="K224" s="31">
        <v>17386</v>
      </c>
      <c r="L224" s="31">
        <v>2905</v>
      </c>
      <c r="M224" s="31">
        <v>3170</v>
      </c>
      <c r="N224" s="639">
        <v>23461</v>
      </c>
      <c r="O224" s="29"/>
      <c r="X224" s="46"/>
    </row>
    <row r="225" spans="1:24" s="278" customFormat="1" ht="409.6">
      <c r="A225" s="271">
        <f>References!P274</f>
        <v>382</v>
      </c>
      <c r="B225" s="305" t="s">
        <v>45</v>
      </c>
      <c r="C225" s="284">
        <v>2010</v>
      </c>
      <c r="D225" s="284">
        <v>2011</v>
      </c>
      <c r="E225" s="31">
        <v>3900</v>
      </c>
      <c r="F225" s="31">
        <v>18834</v>
      </c>
      <c r="G225" s="31">
        <v>12764</v>
      </c>
      <c r="H225" s="31">
        <v>5765</v>
      </c>
      <c r="I225" s="31">
        <v>2100</v>
      </c>
      <c r="J225" s="27">
        <v>43363</v>
      </c>
      <c r="K225" s="31">
        <v>19621</v>
      </c>
      <c r="L225" s="31">
        <v>2680</v>
      </c>
      <c r="M225" s="31">
        <v>3480</v>
      </c>
      <c r="N225" s="639">
        <v>25781</v>
      </c>
      <c r="O225" s="29"/>
      <c r="X225" s="46"/>
    </row>
    <row r="226" spans="1:24" s="278" customFormat="1" ht="409.6">
      <c r="A226" s="271">
        <f>References!Q274</f>
        <v>383</v>
      </c>
      <c r="B226" s="305" t="s">
        <v>45</v>
      </c>
      <c r="C226" s="284">
        <v>2010</v>
      </c>
      <c r="D226" s="284">
        <v>2012</v>
      </c>
      <c r="E226" s="31">
        <v>4300</v>
      </c>
      <c r="F226" s="31">
        <v>24268</v>
      </c>
      <c r="G226" s="31">
        <v>28283</v>
      </c>
      <c r="H226" s="31">
        <v>5193</v>
      </c>
      <c r="I226" s="31">
        <v>2100</v>
      </c>
      <c r="J226" s="27">
        <v>64144</v>
      </c>
      <c r="K226" s="31">
        <v>21279</v>
      </c>
      <c r="L226" s="31">
        <v>2490</v>
      </c>
      <c r="M226" s="31">
        <v>3480</v>
      </c>
      <c r="N226" s="639">
        <v>27249</v>
      </c>
      <c r="O226" s="29"/>
      <c r="X226" s="46"/>
    </row>
    <row r="227" spans="1:24" s="278" customFormat="1" ht="409.6">
      <c r="A227" s="271">
        <f>References!R274</f>
        <v>384</v>
      </c>
      <c r="B227" s="305" t="s">
        <v>45</v>
      </c>
      <c r="C227" s="284">
        <v>2010</v>
      </c>
      <c r="D227" s="284">
        <v>2013</v>
      </c>
      <c r="E227" s="31">
        <v>5100</v>
      </c>
      <c r="F227" s="31">
        <v>21123</v>
      </c>
      <c r="G227" s="31">
        <v>23865</v>
      </c>
      <c r="H227" s="31">
        <v>4653</v>
      </c>
      <c r="I227" s="31">
        <v>2100</v>
      </c>
      <c r="J227" s="27">
        <v>56841</v>
      </c>
      <c r="K227" s="31">
        <v>21155</v>
      </c>
      <c r="L227" s="31">
        <v>2835</v>
      </c>
      <c r="M227" s="31">
        <v>3480</v>
      </c>
      <c r="N227" s="639">
        <v>27470</v>
      </c>
      <c r="O227" s="29"/>
      <c r="X227" s="46"/>
    </row>
    <row r="228" spans="1:24" s="278" customFormat="1" ht="409.6">
      <c r="A228" s="271">
        <f>References!S274</f>
        <v>385</v>
      </c>
      <c r="B228" s="305" t="s">
        <v>45</v>
      </c>
      <c r="C228" s="284">
        <v>2010</v>
      </c>
      <c r="D228" s="284">
        <v>2014</v>
      </c>
      <c r="E228" s="31">
        <v>5500</v>
      </c>
      <c r="F228" s="31">
        <v>15901</v>
      </c>
      <c r="G228" s="31">
        <v>11490</v>
      </c>
      <c r="H228" s="31">
        <v>2353</v>
      </c>
      <c r="I228" s="31">
        <v>2100</v>
      </c>
      <c r="J228" s="27">
        <v>37344</v>
      </c>
      <c r="K228" s="31">
        <v>21074</v>
      </c>
      <c r="L228" s="31">
        <v>2835</v>
      </c>
      <c r="M228" s="31">
        <v>3480</v>
      </c>
      <c r="N228" s="639">
        <v>27389</v>
      </c>
      <c r="O228" s="29"/>
      <c r="X228" s="46"/>
    </row>
    <row r="229" spans="1:24" s="278" customFormat="1" ht="409.6">
      <c r="A229" s="271">
        <f>References!T274</f>
        <v>386</v>
      </c>
      <c r="B229" s="305" t="s">
        <v>45</v>
      </c>
      <c r="C229" s="284">
        <v>2010</v>
      </c>
      <c r="D229" s="284">
        <v>2015</v>
      </c>
      <c r="E229" s="31">
        <v>5600</v>
      </c>
      <c r="F229" s="31">
        <v>9000</v>
      </c>
      <c r="G229" s="31">
        <v>15451</v>
      </c>
      <c r="H229" s="31">
        <v>2008</v>
      </c>
      <c r="I229" s="31">
        <v>2100</v>
      </c>
      <c r="J229" s="27">
        <v>34159</v>
      </c>
      <c r="K229" s="31">
        <v>21055</v>
      </c>
      <c r="L229" s="31">
        <v>2835</v>
      </c>
      <c r="M229" s="31">
        <v>3480</v>
      </c>
      <c r="N229" s="639">
        <v>27370</v>
      </c>
      <c r="O229" s="29"/>
      <c r="X229" s="46"/>
    </row>
    <row r="230" spans="1:24" s="278" customFormat="1" ht="409.6">
      <c r="A230" s="271">
        <f>References!U274</f>
        <v>387</v>
      </c>
      <c r="B230" s="305" t="s">
        <v>45</v>
      </c>
      <c r="C230" s="284">
        <v>2011</v>
      </c>
      <c r="D230" s="284">
        <v>2012</v>
      </c>
      <c r="E230" s="31"/>
      <c r="F230" s="31"/>
      <c r="G230" s="31"/>
      <c r="H230" s="31"/>
      <c r="I230" s="31"/>
      <c r="J230" s="27"/>
      <c r="K230" s="31"/>
      <c r="L230" s="31"/>
      <c r="M230" s="31"/>
      <c r="N230" s="639"/>
      <c r="O230" s="29">
        <f>O225*CPI!$I$54</f>
        <v>0</v>
      </c>
      <c r="X230" s="46"/>
    </row>
    <row r="231" spans="1:24" s="278" customFormat="1" ht="409.6">
      <c r="A231" s="271">
        <f>References!V274</f>
        <v>388</v>
      </c>
      <c r="B231" s="305" t="s">
        <v>45</v>
      </c>
      <c r="C231" s="284">
        <v>2011</v>
      </c>
      <c r="D231" s="284">
        <v>2013</v>
      </c>
      <c r="E231" s="31"/>
      <c r="F231" s="31"/>
      <c r="G231" s="31"/>
      <c r="H231" s="31"/>
      <c r="I231" s="31"/>
      <c r="J231" s="27"/>
      <c r="K231" s="31"/>
      <c r="L231" s="31"/>
      <c r="M231" s="31"/>
      <c r="N231" s="639"/>
      <c r="O231" s="29">
        <f>O226*CPI!$I$54</f>
        <v>0</v>
      </c>
      <c r="X231" s="46"/>
    </row>
    <row r="232" spans="1:24" s="278" customFormat="1" ht="409.6">
      <c r="A232" s="271">
        <f>References!W274</f>
        <v>389</v>
      </c>
      <c r="B232" s="305" t="s">
        <v>45</v>
      </c>
      <c r="C232" s="284">
        <v>2011</v>
      </c>
      <c r="D232" s="284">
        <v>2014</v>
      </c>
      <c r="E232" s="31"/>
      <c r="F232" s="31"/>
      <c r="G232" s="31"/>
      <c r="H232" s="31"/>
      <c r="I232" s="31"/>
      <c r="J232" s="27"/>
      <c r="K232" s="31"/>
      <c r="L232" s="31"/>
      <c r="M232" s="31"/>
      <c r="N232" s="639"/>
      <c r="O232" s="29">
        <f>O227*CPI!$I$54</f>
        <v>0</v>
      </c>
      <c r="X232" s="46"/>
    </row>
    <row r="233" spans="1:24" s="278" customFormat="1" ht="409.6">
      <c r="A233" s="271">
        <f>References!X274</f>
        <v>390</v>
      </c>
      <c r="B233" s="305" t="s">
        <v>45</v>
      </c>
      <c r="C233" s="284">
        <v>2011</v>
      </c>
      <c r="D233" s="284">
        <v>2015</v>
      </c>
      <c r="E233" s="31"/>
      <c r="F233" s="31"/>
      <c r="G233" s="31"/>
      <c r="H233" s="31"/>
      <c r="I233" s="31"/>
      <c r="J233" s="27"/>
      <c r="K233" s="31"/>
      <c r="L233" s="31"/>
      <c r="M233" s="31"/>
      <c r="N233" s="639"/>
      <c r="O233" s="29">
        <f>O228*CPI!$I$54</f>
        <v>0</v>
      </c>
      <c r="X233" s="46"/>
    </row>
    <row r="234" spans="1:24" s="278" customFormat="1" ht="409.6">
      <c r="A234" s="271">
        <f>References!Y274</f>
        <v>391</v>
      </c>
      <c r="B234" s="305" t="s">
        <v>45</v>
      </c>
      <c r="C234" s="284">
        <v>2011</v>
      </c>
      <c r="D234" s="284">
        <v>2016</v>
      </c>
      <c r="E234" s="31"/>
      <c r="F234" s="31"/>
      <c r="G234" s="31"/>
      <c r="H234" s="31"/>
      <c r="I234" s="31"/>
      <c r="J234" s="27"/>
      <c r="K234" s="31"/>
      <c r="L234" s="31"/>
      <c r="M234" s="31"/>
      <c r="N234" s="639"/>
      <c r="O234" s="29">
        <f>O229*CPI!$I$54</f>
        <v>0</v>
      </c>
      <c r="X234" s="46"/>
    </row>
    <row r="235" spans="1:24" s="278" customFormat="1" ht="409.6">
      <c r="A235" s="271">
        <f>References!K275</f>
        <v>400</v>
      </c>
      <c r="B235" s="305" t="s">
        <v>46</v>
      </c>
      <c r="C235" s="284">
        <v>2009</v>
      </c>
      <c r="D235" s="284">
        <v>2010</v>
      </c>
      <c r="E235" s="31">
        <v>1206</v>
      </c>
      <c r="F235" s="31">
        <v>483</v>
      </c>
      <c r="G235" s="31">
        <v>4822</v>
      </c>
      <c r="H235" s="31">
        <v>484</v>
      </c>
      <c r="I235" s="31">
        <v>16</v>
      </c>
      <c r="J235" s="27">
        <v>7011</v>
      </c>
      <c r="K235" s="31">
        <v>1068</v>
      </c>
      <c r="L235" s="31">
        <v>643</v>
      </c>
      <c r="M235" s="31">
        <v>1281</v>
      </c>
      <c r="N235" s="639">
        <v>2992</v>
      </c>
      <c r="O235" s="29"/>
      <c r="X235" s="46"/>
    </row>
    <row r="236" spans="1:24" s="278" customFormat="1" ht="409.6">
      <c r="A236" s="271">
        <f>References!L275</f>
        <v>401</v>
      </c>
      <c r="B236" s="305" t="s">
        <v>46</v>
      </c>
      <c r="C236" s="284">
        <v>2009</v>
      </c>
      <c r="D236" s="284">
        <v>2011</v>
      </c>
      <c r="E236" s="31">
        <v>1242</v>
      </c>
      <c r="F236" s="31">
        <v>85</v>
      </c>
      <c r="G236" s="31">
        <v>6424</v>
      </c>
      <c r="H236" s="31">
        <v>66</v>
      </c>
      <c r="I236" s="31">
        <v>0</v>
      </c>
      <c r="J236" s="27">
        <v>7817</v>
      </c>
      <c r="K236" s="31">
        <v>1001</v>
      </c>
      <c r="L236" s="31">
        <v>462</v>
      </c>
      <c r="M236" s="31">
        <v>1319</v>
      </c>
      <c r="N236" s="639">
        <v>2782</v>
      </c>
      <c r="O236" s="29"/>
      <c r="X236" s="46"/>
    </row>
    <row r="237" spans="1:24" s="278" customFormat="1" ht="409.6">
      <c r="A237" s="271">
        <f>References!M275</f>
        <v>402</v>
      </c>
      <c r="B237" s="305" t="s">
        <v>46</v>
      </c>
      <c r="C237" s="284">
        <v>2009</v>
      </c>
      <c r="D237" s="284">
        <v>2012</v>
      </c>
      <c r="E237" s="31">
        <v>1279</v>
      </c>
      <c r="F237" s="31">
        <v>87</v>
      </c>
      <c r="G237" s="31">
        <v>6682</v>
      </c>
      <c r="H237" s="31">
        <v>68</v>
      </c>
      <c r="I237" s="31">
        <v>0</v>
      </c>
      <c r="J237" s="27">
        <v>8116</v>
      </c>
      <c r="K237" s="31">
        <v>971</v>
      </c>
      <c r="L237" s="31">
        <v>381</v>
      </c>
      <c r="M237" s="31">
        <v>1359</v>
      </c>
      <c r="N237" s="639">
        <v>2711</v>
      </c>
      <c r="O237" s="29"/>
      <c r="X237" s="46"/>
    </row>
    <row r="238" spans="1:24" s="278" customFormat="1" ht="409.6">
      <c r="A238" s="271">
        <f>References!N275</f>
        <v>403</v>
      </c>
      <c r="B238" s="305" t="s">
        <v>46</v>
      </c>
      <c r="C238" s="284">
        <v>2009</v>
      </c>
      <c r="D238" s="284">
        <v>2013</v>
      </c>
      <c r="E238" s="31">
        <v>1317</v>
      </c>
      <c r="F238" s="31">
        <v>90</v>
      </c>
      <c r="G238" s="31">
        <v>6880</v>
      </c>
      <c r="H238" s="31">
        <v>37</v>
      </c>
      <c r="I238" s="31">
        <v>0</v>
      </c>
      <c r="J238" s="27">
        <v>8324</v>
      </c>
      <c r="K238" s="31">
        <v>999</v>
      </c>
      <c r="L238" s="31">
        <v>393</v>
      </c>
      <c r="M238" s="31">
        <v>1400</v>
      </c>
      <c r="N238" s="639">
        <v>2792</v>
      </c>
      <c r="O238" s="29"/>
      <c r="X238" s="46"/>
    </row>
    <row r="239" spans="1:24" s="278" customFormat="1" ht="409.6">
      <c r="A239" s="271">
        <f>References!O275</f>
        <v>404</v>
      </c>
      <c r="B239" s="305" t="s">
        <v>46</v>
      </c>
      <c r="C239" s="284">
        <v>2009</v>
      </c>
      <c r="D239" s="284">
        <v>2014</v>
      </c>
      <c r="E239" s="31">
        <v>1356</v>
      </c>
      <c r="F239" s="31">
        <v>93</v>
      </c>
      <c r="G239" s="31">
        <v>6936</v>
      </c>
      <c r="H239" s="31">
        <v>23</v>
      </c>
      <c r="I239" s="31">
        <v>0</v>
      </c>
      <c r="J239" s="27">
        <v>8408</v>
      </c>
      <c r="K239" s="31">
        <v>1028</v>
      </c>
      <c r="L239" s="31">
        <v>405</v>
      </c>
      <c r="M239" s="31">
        <v>1443</v>
      </c>
      <c r="N239" s="639">
        <v>2876</v>
      </c>
      <c r="O239" s="29"/>
      <c r="X239" s="46"/>
    </row>
    <row r="240" spans="1:24" s="278" customFormat="1" ht="409.6">
      <c r="A240" s="271">
        <f>References!P275</f>
        <v>405</v>
      </c>
      <c r="B240" s="305" t="s">
        <v>46</v>
      </c>
      <c r="C240" s="284">
        <v>2010</v>
      </c>
      <c r="D240" s="284">
        <v>2011</v>
      </c>
      <c r="E240" s="31">
        <v>1006</v>
      </c>
      <c r="F240" s="31">
        <v>2604</v>
      </c>
      <c r="G240" s="31">
        <v>5581</v>
      </c>
      <c r="H240" s="31">
        <v>1307</v>
      </c>
      <c r="I240" s="31">
        <v>0</v>
      </c>
      <c r="J240" s="27">
        <v>10498</v>
      </c>
      <c r="K240" s="31">
        <v>1371</v>
      </c>
      <c r="L240" s="31">
        <v>1069</v>
      </c>
      <c r="M240" s="31">
        <v>1507</v>
      </c>
      <c r="N240" s="639">
        <v>3947</v>
      </c>
      <c r="O240" s="29"/>
      <c r="X240" s="46"/>
    </row>
    <row r="241" spans="1:24" s="278" customFormat="1" ht="409.6">
      <c r="A241" s="271">
        <f>References!Q275</f>
        <v>406</v>
      </c>
      <c r="B241" s="305" t="s">
        <v>46</v>
      </c>
      <c r="C241" s="284">
        <v>2010</v>
      </c>
      <c r="D241" s="284">
        <v>2012</v>
      </c>
      <c r="E241" s="31">
        <v>1036</v>
      </c>
      <c r="F241" s="31">
        <v>2451</v>
      </c>
      <c r="G241" s="31">
        <v>6357</v>
      </c>
      <c r="H241" s="31">
        <v>596</v>
      </c>
      <c r="I241" s="31">
        <v>0</v>
      </c>
      <c r="J241" s="27">
        <v>10440</v>
      </c>
      <c r="K241" s="31">
        <v>1292</v>
      </c>
      <c r="L241" s="31">
        <v>1112</v>
      </c>
      <c r="M241" s="31">
        <v>1553</v>
      </c>
      <c r="N241" s="639">
        <v>3957</v>
      </c>
      <c r="O241" s="29"/>
      <c r="X241" s="46"/>
    </row>
    <row r="242" spans="1:24" s="278" customFormat="1" ht="409.6">
      <c r="A242" s="271">
        <f>References!R275</f>
        <v>407</v>
      </c>
      <c r="B242" s="305" t="s">
        <v>46</v>
      </c>
      <c r="C242" s="284">
        <v>2010</v>
      </c>
      <c r="D242" s="284">
        <v>2013</v>
      </c>
      <c r="E242" s="31">
        <v>1067</v>
      </c>
      <c r="F242" s="31">
        <v>2493</v>
      </c>
      <c r="G242" s="31">
        <v>6977</v>
      </c>
      <c r="H242" s="31">
        <v>270</v>
      </c>
      <c r="I242" s="31">
        <v>0</v>
      </c>
      <c r="J242" s="27">
        <v>10807</v>
      </c>
      <c r="K242" s="31">
        <v>1233</v>
      </c>
      <c r="L242" s="31">
        <v>1129</v>
      </c>
      <c r="M242" s="31">
        <v>1599</v>
      </c>
      <c r="N242" s="639">
        <v>3961</v>
      </c>
      <c r="O242" s="29"/>
      <c r="X242" s="46"/>
    </row>
    <row r="243" spans="1:24" s="278" customFormat="1" ht="409.6">
      <c r="A243" s="271">
        <f>References!S275</f>
        <v>408</v>
      </c>
      <c r="B243" s="305" t="s">
        <v>46</v>
      </c>
      <c r="C243" s="284">
        <v>2010</v>
      </c>
      <c r="D243" s="284">
        <v>2014</v>
      </c>
      <c r="E243" s="31">
        <v>1099</v>
      </c>
      <c r="F243" s="31">
        <v>9</v>
      </c>
      <c r="G243" s="31">
        <v>8733</v>
      </c>
      <c r="H243" s="31">
        <v>752</v>
      </c>
      <c r="I243" s="31">
        <v>0</v>
      </c>
      <c r="J243" s="27">
        <v>10593</v>
      </c>
      <c r="K243" s="31">
        <v>1217</v>
      </c>
      <c r="L243" s="31">
        <v>1161</v>
      </c>
      <c r="M243" s="31">
        <v>1648</v>
      </c>
      <c r="N243" s="639">
        <v>4026</v>
      </c>
      <c r="O243" s="29"/>
      <c r="X243" s="46"/>
    </row>
    <row r="244" spans="1:24" s="278" customFormat="1" ht="409.6">
      <c r="A244" s="271">
        <f>References!T275</f>
        <v>409</v>
      </c>
      <c r="B244" s="305" t="s">
        <v>46</v>
      </c>
      <c r="C244" s="284">
        <v>2010</v>
      </c>
      <c r="D244" s="284">
        <v>2015</v>
      </c>
      <c r="E244" s="31">
        <v>1132</v>
      </c>
      <c r="F244" s="31">
        <v>9</v>
      </c>
      <c r="G244" s="31">
        <v>8574</v>
      </c>
      <c r="H244" s="31">
        <v>556</v>
      </c>
      <c r="I244" s="31">
        <v>0</v>
      </c>
      <c r="J244" s="27">
        <v>10271</v>
      </c>
      <c r="K244" s="31">
        <v>1254</v>
      </c>
      <c r="L244" s="31">
        <v>1196</v>
      </c>
      <c r="M244" s="31">
        <v>1697</v>
      </c>
      <c r="N244" s="639">
        <v>4147</v>
      </c>
      <c r="O244" s="29"/>
      <c r="X244" s="46"/>
    </row>
    <row r="245" spans="1:24" s="278" customFormat="1" ht="409.6">
      <c r="A245" s="271">
        <f>References!U275</f>
        <v>410</v>
      </c>
      <c r="B245" s="305" t="s">
        <v>46</v>
      </c>
      <c r="C245" s="284">
        <v>2011</v>
      </c>
      <c r="D245" s="284">
        <v>2012</v>
      </c>
      <c r="E245" s="31">
        <v>1006</v>
      </c>
      <c r="F245" s="31">
        <v>3811</v>
      </c>
      <c r="G245" s="31">
        <v>6358</v>
      </c>
      <c r="H245" s="31">
        <v>752</v>
      </c>
      <c r="I245" s="31">
        <v>0</v>
      </c>
      <c r="J245" s="27">
        <v>11927</v>
      </c>
      <c r="K245" s="31">
        <v>1291</v>
      </c>
      <c r="L245" s="31">
        <v>858</v>
      </c>
      <c r="M245" s="31">
        <v>1457</v>
      </c>
      <c r="N245" s="639">
        <v>3606</v>
      </c>
      <c r="O245" s="29"/>
      <c r="X245" s="46"/>
    </row>
    <row r="246" spans="1:24" s="278" customFormat="1" ht="409.6">
      <c r="A246" s="271">
        <f>References!V275</f>
        <v>411</v>
      </c>
      <c r="B246" s="305" t="s">
        <v>46</v>
      </c>
      <c r="C246" s="284">
        <v>2011</v>
      </c>
      <c r="D246" s="284">
        <v>2013</v>
      </c>
      <c r="E246" s="31">
        <v>1006</v>
      </c>
      <c r="F246" s="31">
        <v>2308</v>
      </c>
      <c r="G246" s="31">
        <v>5695</v>
      </c>
      <c r="H246" s="31">
        <v>250</v>
      </c>
      <c r="I246" s="31">
        <v>0</v>
      </c>
      <c r="J246" s="27">
        <v>9259</v>
      </c>
      <c r="K246" s="31">
        <v>1221</v>
      </c>
      <c r="L246" s="31">
        <v>1081</v>
      </c>
      <c r="M246" s="31">
        <v>1457</v>
      </c>
      <c r="N246" s="639">
        <v>3759</v>
      </c>
      <c r="O246" s="29"/>
      <c r="X246" s="46"/>
    </row>
    <row r="247" spans="1:24" s="278" customFormat="1" ht="409.6">
      <c r="A247" s="271">
        <f>References!W275</f>
        <v>412</v>
      </c>
      <c r="B247" s="305" t="s">
        <v>46</v>
      </c>
      <c r="C247" s="284">
        <v>2011</v>
      </c>
      <c r="D247" s="284">
        <v>2014</v>
      </c>
      <c r="E247" s="31">
        <v>1006</v>
      </c>
      <c r="F247" s="31">
        <v>1209</v>
      </c>
      <c r="G247" s="31">
        <v>7536</v>
      </c>
      <c r="H247" s="31">
        <v>730</v>
      </c>
      <c r="I247" s="31">
        <v>0</v>
      </c>
      <c r="J247" s="27">
        <v>10481</v>
      </c>
      <c r="K247" s="31">
        <v>1221</v>
      </c>
      <c r="L247" s="31">
        <v>981</v>
      </c>
      <c r="M247" s="31">
        <v>1457</v>
      </c>
      <c r="N247" s="639">
        <v>3659</v>
      </c>
      <c r="O247" s="29"/>
      <c r="X247" s="46"/>
    </row>
    <row r="248" spans="1:24" s="278" customFormat="1" ht="409.6">
      <c r="A248" s="271">
        <f>References!X275</f>
        <v>413</v>
      </c>
      <c r="B248" s="305" t="s">
        <v>46</v>
      </c>
      <c r="C248" s="284">
        <v>2011</v>
      </c>
      <c r="D248" s="284">
        <v>2015</v>
      </c>
      <c r="E248" s="31">
        <v>1006</v>
      </c>
      <c r="F248" s="31">
        <v>1416</v>
      </c>
      <c r="G248" s="31">
        <v>6760</v>
      </c>
      <c r="H248" s="31">
        <v>530</v>
      </c>
      <c r="I248" s="31">
        <v>0</v>
      </c>
      <c r="J248" s="27">
        <v>9712</v>
      </c>
      <c r="K248" s="31">
        <v>1221</v>
      </c>
      <c r="L248" s="31">
        <v>981</v>
      </c>
      <c r="M248" s="31">
        <v>1457</v>
      </c>
      <c r="N248" s="639">
        <v>3659</v>
      </c>
      <c r="O248" s="29"/>
      <c r="X248" s="46"/>
    </row>
    <row r="249" spans="1:24" s="278" customFormat="1" ht="409.6">
      <c r="A249" s="271">
        <f>References!Y275</f>
        <v>414</v>
      </c>
      <c r="B249" s="305" t="s">
        <v>46</v>
      </c>
      <c r="C249" s="284">
        <v>2011</v>
      </c>
      <c r="D249" s="284">
        <v>2016</v>
      </c>
      <c r="E249" s="31">
        <v>1006</v>
      </c>
      <c r="F249" s="31">
        <v>1681</v>
      </c>
      <c r="G249" s="31">
        <v>6405</v>
      </c>
      <c r="H249" s="31">
        <v>230</v>
      </c>
      <c r="I249" s="31">
        <v>0</v>
      </c>
      <c r="J249" s="27">
        <v>9322</v>
      </c>
      <c r="K249" s="31">
        <v>1221</v>
      </c>
      <c r="L249" s="31">
        <v>981</v>
      </c>
      <c r="M249" s="31">
        <v>1457</v>
      </c>
      <c r="N249" s="639">
        <v>3659</v>
      </c>
      <c r="O249" s="29"/>
      <c r="X249" s="46"/>
    </row>
    <row r="250" spans="1:24" s="278" customFormat="1" ht="409.6">
      <c r="A250" s="271">
        <f>References!K276</f>
        <v>423</v>
      </c>
      <c r="B250" s="305" t="s">
        <v>47</v>
      </c>
      <c r="C250" s="284">
        <v>2009</v>
      </c>
      <c r="D250" s="284">
        <v>2010</v>
      </c>
      <c r="E250" s="31">
        <v>19613</v>
      </c>
      <c r="F250" s="31">
        <v>21591</v>
      </c>
      <c r="G250" s="31">
        <v>20493</v>
      </c>
      <c r="H250" s="31">
        <v>12013</v>
      </c>
      <c r="I250" s="31">
        <v>2179</v>
      </c>
      <c r="J250" s="27">
        <v>75889</v>
      </c>
      <c r="K250" s="31">
        <v>12222</v>
      </c>
      <c r="L250" s="31">
        <v>8148</v>
      </c>
      <c r="M250" s="31">
        <v>6790</v>
      </c>
      <c r="N250" s="639">
        <v>27160</v>
      </c>
      <c r="O250" s="29"/>
      <c r="X250" s="46"/>
    </row>
    <row r="251" spans="1:24" s="278" customFormat="1" ht="409.6">
      <c r="A251" s="271">
        <f>References!L276</f>
        <v>424</v>
      </c>
      <c r="B251" s="305" t="s">
        <v>47</v>
      </c>
      <c r="C251" s="284">
        <v>2009</v>
      </c>
      <c r="D251" s="284">
        <v>2011</v>
      </c>
      <c r="E251" s="31">
        <v>20348</v>
      </c>
      <c r="F251" s="31">
        <v>22165</v>
      </c>
      <c r="G251" s="31">
        <v>22765</v>
      </c>
      <c r="H251" s="31">
        <v>12637</v>
      </c>
      <c r="I251" s="31">
        <v>2261</v>
      </c>
      <c r="J251" s="27">
        <v>80176</v>
      </c>
      <c r="K251" s="31">
        <v>12305</v>
      </c>
      <c r="L251" s="31">
        <v>8203</v>
      </c>
      <c r="M251" s="31">
        <v>6836</v>
      </c>
      <c r="N251" s="639">
        <v>27344</v>
      </c>
      <c r="O251" s="29"/>
      <c r="X251" s="46"/>
    </row>
    <row r="252" spans="1:24" s="278" customFormat="1" ht="409.6">
      <c r="A252" s="271">
        <f>References!M276</f>
        <v>425</v>
      </c>
      <c r="B252" s="305" t="s">
        <v>47</v>
      </c>
      <c r="C252" s="284">
        <v>2009</v>
      </c>
      <c r="D252" s="284">
        <v>2012</v>
      </c>
      <c r="E252" s="31">
        <v>19370</v>
      </c>
      <c r="F252" s="31">
        <v>22721</v>
      </c>
      <c r="G252" s="31">
        <v>25253</v>
      </c>
      <c r="H252" s="31">
        <v>13292</v>
      </c>
      <c r="I252" s="31">
        <v>2394</v>
      </c>
      <c r="J252" s="27">
        <v>83030</v>
      </c>
      <c r="K252" s="31">
        <v>12542</v>
      </c>
      <c r="L252" s="31">
        <v>8361</v>
      </c>
      <c r="M252" s="31">
        <v>6968</v>
      </c>
      <c r="N252" s="639">
        <v>27871</v>
      </c>
      <c r="O252" s="29"/>
      <c r="X252" s="46"/>
    </row>
    <row r="253" spans="1:24" s="278" customFormat="1" ht="409.6">
      <c r="A253" s="271">
        <f>References!N276</f>
        <v>426</v>
      </c>
      <c r="B253" s="305" t="s">
        <v>47</v>
      </c>
      <c r="C253" s="284">
        <v>2009</v>
      </c>
      <c r="D253" s="284">
        <v>2013</v>
      </c>
      <c r="E253" s="31">
        <v>18573</v>
      </c>
      <c r="F253" s="31">
        <v>23290</v>
      </c>
      <c r="G253" s="31">
        <v>28014</v>
      </c>
      <c r="H253" s="31">
        <v>14001</v>
      </c>
      <c r="I253" s="31">
        <v>2296</v>
      </c>
      <c r="J253" s="27">
        <v>86174</v>
      </c>
      <c r="K253" s="31">
        <v>7548</v>
      </c>
      <c r="L253" s="31">
        <v>12825</v>
      </c>
      <c r="M253" s="31">
        <v>8550</v>
      </c>
      <c r="N253" s="639">
        <v>28923</v>
      </c>
      <c r="O253" s="29"/>
      <c r="X253" s="46"/>
    </row>
    <row r="254" spans="1:24" s="278" customFormat="1" ht="409.6">
      <c r="A254" s="271">
        <f>References!O276</f>
        <v>427</v>
      </c>
      <c r="B254" s="305" t="s">
        <v>47</v>
      </c>
      <c r="C254" s="284">
        <v>2009</v>
      </c>
      <c r="D254" s="284">
        <v>2014</v>
      </c>
      <c r="E254" s="31">
        <v>17531</v>
      </c>
      <c r="F254" s="31">
        <v>22282</v>
      </c>
      <c r="G254" s="31">
        <v>31078</v>
      </c>
      <c r="H254" s="31">
        <v>14150</v>
      </c>
      <c r="I254" s="31">
        <v>2391</v>
      </c>
      <c r="J254" s="27">
        <v>87432</v>
      </c>
      <c r="K254" s="31">
        <v>12987</v>
      </c>
      <c r="L254" s="31">
        <v>8658</v>
      </c>
      <c r="M254" s="31">
        <v>7215</v>
      </c>
      <c r="N254" s="639">
        <v>28860</v>
      </c>
      <c r="O254" s="29"/>
      <c r="X254" s="46"/>
    </row>
    <row r="255" spans="1:24" s="278" customFormat="1" ht="409.6">
      <c r="A255" s="271">
        <f>References!P276</f>
        <v>428</v>
      </c>
      <c r="B255" s="305" t="s">
        <v>47</v>
      </c>
      <c r="C255" s="284">
        <v>2010</v>
      </c>
      <c r="D255" s="284">
        <v>2011</v>
      </c>
      <c r="E255" s="31">
        <v>19860</v>
      </c>
      <c r="F255" s="31">
        <v>23796</v>
      </c>
      <c r="G255" s="31">
        <v>24441</v>
      </c>
      <c r="H255" s="31">
        <v>13567</v>
      </c>
      <c r="I255" s="31">
        <v>2207</v>
      </c>
      <c r="J255" s="27">
        <v>83871</v>
      </c>
      <c r="K255" s="31">
        <v>11521</v>
      </c>
      <c r="L255" s="31">
        <v>7680</v>
      </c>
      <c r="M255" s="31">
        <v>6400</v>
      </c>
      <c r="N255" s="639">
        <v>25601</v>
      </c>
      <c r="O255" s="29"/>
      <c r="X255" s="46"/>
    </row>
    <row r="256" spans="1:24" s="278" customFormat="1" ht="409.6">
      <c r="A256" s="271">
        <f>References!Q276</f>
        <v>429</v>
      </c>
      <c r="B256" s="305" t="s">
        <v>47</v>
      </c>
      <c r="C256" s="284">
        <v>2010</v>
      </c>
      <c r="D256" s="284">
        <v>2012</v>
      </c>
      <c r="E256" s="31">
        <v>18919</v>
      </c>
      <c r="F256" s="31">
        <v>24411</v>
      </c>
      <c r="G256" s="31">
        <v>27131</v>
      </c>
      <c r="H256" s="31">
        <v>14281</v>
      </c>
      <c r="I256" s="31">
        <v>2338</v>
      </c>
      <c r="J256" s="27">
        <v>87080</v>
      </c>
      <c r="K256" s="31">
        <v>11750</v>
      </c>
      <c r="L256" s="31">
        <v>7833</v>
      </c>
      <c r="M256" s="31">
        <v>6528</v>
      </c>
      <c r="N256" s="639">
        <v>26111</v>
      </c>
      <c r="O256" s="29"/>
      <c r="X256" s="46"/>
    </row>
    <row r="257" spans="1:24" s="278" customFormat="1" ht="409.6">
      <c r="A257" s="271">
        <f>References!R276</f>
        <v>430</v>
      </c>
      <c r="B257" s="305" t="s">
        <v>47</v>
      </c>
      <c r="C257" s="284">
        <v>2010</v>
      </c>
      <c r="D257" s="284">
        <v>2013</v>
      </c>
      <c r="E257" s="31">
        <v>18141</v>
      </c>
      <c r="F257" s="31">
        <v>25023</v>
      </c>
      <c r="G257" s="31">
        <v>30098</v>
      </c>
      <c r="H257" s="31">
        <v>15042</v>
      </c>
      <c r="I257" s="31">
        <v>2242</v>
      </c>
      <c r="J257" s="27">
        <v>90546</v>
      </c>
      <c r="K257" s="31">
        <v>12015</v>
      </c>
      <c r="L257" s="31">
        <v>8010</v>
      </c>
      <c r="M257" s="31">
        <v>6675</v>
      </c>
      <c r="N257" s="639">
        <v>26700</v>
      </c>
      <c r="O257" s="29"/>
      <c r="X257" s="46"/>
    </row>
    <row r="258" spans="1:24" s="278" customFormat="1" ht="409.6">
      <c r="A258" s="271">
        <f>References!S276</f>
        <v>431</v>
      </c>
      <c r="B258" s="305" t="s">
        <v>47</v>
      </c>
      <c r="C258" s="284">
        <v>2010</v>
      </c>
      <c r="D258" s="284">
        <v>2014</v>
      </c>
      <c r="E258" s="31">
        <v>17123</v>
      </c>
      <c r="F258" s="31">
        <v>23940</v>
      </c>
      <c r="G258" s="31">
        <v>33390</v>
      </c>
      <c r="H258" s="31">
        <v>15202</v>
      </c>
      <c r="I258" s="31">
        <v>2335</v>
      </c>
      <c r="J258" s="27">
        <v>91990</v>
      </c>
      <c r="K258" s="31">
        <v>12162</v>
      </c>
      <c r="L258" s="31">
        <v>8108</v>
      </c>
      <c r="M258" s="31">
        <v>6757</v>
      </c>
      <c r="N258" s="639">
        <v>27027</v>
      </c>
      <c r="O258" s="29"/>
      <c r="X258" s="46"/>
    </row>
    <row r="259" spans="1:24" s="278" customFormat="1" ht="409.6">
      <c r="A259" s="271">
        <f>References!T276</f>
        <v>432</v>
      </c>
      <c r="B259" s="305" t="s">
        <v>47</v>
      </c>
      <c r="C259" s="284">
        <v>2010</v>
      </c>
      <c r="D259" s="284">
        <v>2015</v>
      </c>
      <c r="E259" s="31">
        <v>16262</v>
      </c>
      <c r="F259" s="31">
        <v>22787</v>
      </c>
      <c r="G259" s="31">
        <v>37043</v>
      </c>
      <c r="H259" s="31">
        <v>15399</v>
      </c>
      <c r="I259" s="31">
        <v>2218</v>
      </c>
      <c r="J259" s="27">
        <v>93709</v>
      </c>
      <c r="K259" s="31">
        <v>12436</v>
      </c>
      <c r="L259" s="31">
        <v>8291</v>
      </c>
      <c r="M259" s="31">
        <v>6909</v>
      </c>
      <c r="N259" s="639">
        <v>27636</v>
      </c>
      <c r="O259" s="29"/>
      <c r="X259" s="46"/>
    </row>
    <row r="260" spans="1:24" s="278" customFormat="1" ht="409.6">
      <c r="A260" s="271">
        <f>References!U276</f>
        <v>433</v>
      </c>
      <c r="B260" s="305" t="s">
        <v>47</v>
      </c>
      <c r="C260" s="284">
        <v>2011</v>
      </c>
      <c r="D260" s="284">
        <v>2012</v>
      </c>
      <c r="E260" s="31">
        <v>19110</v>
      </c>
      <c r="F260" s="31">
        <v>24592</v>
      </c>
      <c r="G260" s="31">
        <v>26010</v>
      </c>
      <c r="H260" s="31">
        <v>13779</v>
      </c>
      <c r="I260" s="31">
        <v>2142</v>
      </c>
      <c r="J260" s="31">
        <v>85633</v>
      </c>
      <c r="K260" s="31">
        <v>12048.4</v>
      </c>
      <c r="L260" s="31">
        <v>8032.4</v>
      </c>
      <c r="M260" s="31">
        <v>6694</v>
      </c>
      <c r="N260" s="45">
        <v>26774.799999999999</v>
      </c>
      <c r="O260" s="29"/>
      <c r="X260" s="46"/>
    </row>
    <row r="261" spans="1:24" s="278" customFormat="1" ht="409.6">
      <c r="A261" s="271">
        <f>References!V276</f>
        <v>434</v>
      </c>
      <c r="B261" s="305" t="s">
        <v>47</v>
      </c>
      <c r="C261" s="284">
        <v>2011</v>
      </c>
      <c r="D261" s="284">
        <v>2013</v>
      </c>
      <c r="E261" s="31">
        <v>18173</v>
      </c>
      <c r="F261" s="31">
        <v>24500</v>
      </c>
      <c r="G261" s="31">
        <v>28645</v>
      </c>
      <c r="H261" s="31">
        <v>14493</v>
      </c>
      <c r="I261" s="31">
        <v>2246</v>
      </c>
      <c r="J261" s="31">
        <v>88057</v>
      </c>
      <c r="K261" s="31">
        <v>12428</v>
      </c>
      <c r="L261" s="31">
        <v>8286</v>
      </c>
      <c r="M261" s="31">
        <v>6905</v>
      </c>
      <c r="N261" s="45">
        <v>27619</v>
      </c>
      <c r="O261" s="29"/>
      <c r="X261" s="46"/>
    </row>
    <row r="262" spans="1:24" s="278" customFormat="1" ht="409.6">
      <c r="A262" s="271">
        <f>References!W276</f>
        <v>435</v>
      </c>
      <c r="B262" s="305" t="s">
        <v>47</v>
      </c>
      <c r="C262" s="284">
        <v>2011</v>
      </c>
      <c r="D262" s="284">
        <v>2014</v>
      </c>
      <c r="E262" s="31">
        <v>17210.400000000001</v>
      </c>
      <c r="F262" s="31">
        <v>23614.400000000001</v>
      </c>
      <c r="G262" s="31">
        <v>31765</v>
      </c>
      <c r="H262" s="31">
        <v>14789</v>
      </c>
      <c r="I262" s="31">
        <v>2289</v>
      </c>
      <c r="J262" s="31">
        <v>89667.8</v>
      </c>
      <c r="K262" s="31">
        <v>12615.4</v>
      </c>
      <c r="L262" s="31">
        <v>8410.4</v>
      </c>
      <c r="M262" s="31">
        <v>7008</v>
      </c>
      <c r="N262" s="45">
        <v>28033.8</v>
      </c>
      <c r="O262" s="29"/>
      <c r="X262" s="46"/>
    </row>
    <row r="263" spans="1:24" s="278" customFormat="1" ht="409.6">
      <c r="A263" s="271">
        <f>References!X276</f>
        <v>436</v>
      </c>
      <c r="B263" s="305" t="s">
        <v>47</v>
      </c>
      <c r="C263" s="284">
        <v>2011</v>
      </c>
      <c r="D263" s="284">
        <v>2015</v>
      </c>
      <c r="E263" s="31">
        <v>16320</v>
      </c>
      <c r="F263" s="31">
        <v>22514</v>
      </c>
      <c r="G263" s="31">
        <v>35252</v>
      </c>
      <c r="H263" s="31">
        <v>14977</v>
      </c>
      <c r="I263" s="31">
        <v>2226</v>
      </c>
      <c r="J263" s="31">
        <v>91289</v>
      </c>
      <c r="K263" s="31">
        <v>12869</v>
      </c>
      <c r="L263" s="31">
        <v>8579</v>
      </c>
      <c r="M263" s="31">
        <v>7149</v>
      </c>
      <c r="N263" s="45">
        <v>28597</v>
      </c>
      <c r="O263" s="29"/>
      <c r="X263" s="46"/>
    </row>
    <row r="264" spans="1:24" s="278" customFormat="1" ht="409.6">
      <c r="A264" s="271">
        <f>References!Y276</f>
        <v>437</v>
      </c>
      <c r="B264" s="305" t="s">
        <v>47</v>
      </c>
      <c r="C264" s="284">
        <v>2011</v>
      </c>
      <c r="D264" s="284">
        <v>2016</v>
      </c>
      <c r="E264" s="31">
        <v>16372.6</v>
      </c>
      <c r="F264" s="31">
        <v>22613.599999999999</v>
      </c>
      <c r="G264" s="31">
        <v>39134</v>
      </c>
      <c r="H264" s="31">
        <v>15700</v>
      </c>
      <c r="I264" s="31">
        <v>2233</v>
      </c>
      <c r="J264" s="31">
        <v>96053.2</v>
      </c>
      <c r="K264" s="31">
        <v>13153.4</v>
      </c>
      <c r="L264" s="31">
        <v>8769.4</v>
      </c>
      <c r="M264" s="31">
        <v>7307</v>
      </c>
      <c r="N264" s="45">
        <v>29229.8</v>
      </c>
      <c r="O264" s="29"/>
      <c r="X264" s="46"/>
    </row>
    <row r="265" spans="1:24" s="278" customFormat="1" ht="409.6">
      <c r="A265" s="271">
        <f>References!K277</f>
        <v>446</v>
      </c>
      <c r="B265" s="305" t="s">
        <v>48</v>
      </c>
      <c r="C265" s="284">
        <v>2009</v>
      </c>
      <c r="D265" s="284">
        <v>2010</v>
      </c>
      <c r="E265" s="31">
        <v>0</v>
      </c>
      <c r="F265" s="31">
        <v>0</v>
      </c>
      <c r="G265" s="31">
        <v>1253</v>
      </c>
      <c r="H265" s="31">
        <v>0</v>
      </c>
      <c r="I265" s="31">
        <v>0</v>
      </c>
      <c r="J265" s="27">
        <v>1253</v>
      </c>
      <c r="K265" s="31">
        <v>180</v>
      </c>
      <c r="L265" s="31">
        <v>351</v>
      </c>
      <c r="M265" s="31">
        <v>160</v>
      </c>
      <c r="N265" s="639">
        <v>691</v>
      </c>
      <c r="O265" s="29"/>
      <c r="X265" s="46"/>
    </row>
    <row r="266" spans="1:24" s="278" customFormat="1" ht="409.6">
      <c r="A266" s="271">
        <f>References!L277</f>
        <v>447</v>
      </c>
      <c r="B266" s="305" t="s">
        <v>48</v>
      </c>
      <c r="C266" s="284">
        <v>2009</v>
      </c>
      <c r="D266" s="284">
        <v>2011</v>
      </c>
      <c r="E266" s="31">
        <v>0</v>
      </c>
      <c r="F266" s="31">
        <v>0</v>
      </c>
      <c r="G266" s="31">
        <v>1559</v>
      </c>
      <c r="H266" s="31">
        <v>0</v>
      </c>
      <c r="I266" s="31">
        <v>0</v>
      </c>
      <c r="J266" s="27">
        <v>1559</v>
      </c>
      <c r="K266" s="31">
        <v>187</v>
      </c>
      <c r="L266" s="31">
        <v>365</v>
      </c>
      <c r="M266" s="31">
        <v>166</v>
      </c>
      <c r="N266" s="639">
        <v>718</v>
      </c>
      <c r="O266" s="29"/>
      <c r="X266" s="46"/>
    </row>
    <row r="267" spans="1:24" s="278" customFormat="1" ht="409.6">
      <c r="A267" s="271">
        <f>References!M277</f>
        <v>448</v>
      </c>
      <c r="B267" s="305" t="s">
        <v>48</v>
      </c>
      <c r="C267" s="284">
        <v>2009</v>
      </c>
      <c r="D267" s="284">
        <v>2012</v>
      </c>
      <c r="E267" s="31">
        <v>0</v>
      </c>
      <c r="F267" s="31">
        <v>0</v>
      </c>
      <c r="G267" s="31">
        <v>1134</v>
      </c>
      <c r="H267" s="31">
        <v>0</v>
      </c>
      <c r="I267" s="31">
        <v>0</v>
      </c>
      <c r="J267" s="27">
        <v>1134</v>
      </c>
      <c r="K267" s="31">
        <v>195</v>
      </c>
      <c r="L267" s="31">
        <v>380</v>
      </c>
      <c r="M267" s="31">
        <v>173</v>
      </c>
      <c r="N267" s="639">
        <v>748</v>
      </c>
      <c r="O267" s="29"/>
      <c r="X267" s="46"/>
    </row>
    <row r="268" spans="1:24" s="278" customFormat="1" ht="409.6">
      <c r="A268" s="271">
        <f>References!N277</f>
        <v>449</v>
      </c>
      <c r="B268" s="305" t="s">
        <v>48</v>
      </c>
      <c r="C268" s="284">
        <v>2009</v>
      </c>
      <c r="D268" s="284">
        <v>2013</v>
      </c>
      <c r="E268" s="31">
        <v>0</v>
      </c>
      <c r="F268" s="31">
        <v>0</v>
      </c>
      <c r="G268" s="31">
        <v>1005</v>
      </c>
      <c r="H268" s="31">
        <v>0</v>
      </c>
      <c r="I268" s="31">
        <v>0</v>
      </c>
      <c r="J268" s="27">
        <v>1005</v>
      </c>
      <c r="K268" s="31">
        <v>202</v>
      </c>
      <c r="L268" s="31">
        <v>395</v>
      </c>
      <c r="M268" s="31">
        <v>180</v>
      </c>
      <c r="N268" s="639">
        <v>777</v>
      </c>
      <c r="O268" s="29"/>
      <c r="X268" s="46"/>
    </row>
    <row r="269" spans="1:24" s="278" customFormat="1" ht="409.6">
      <c r="A269" s="271">
        <f>References!O277</f>
        <v>450</v>
      </c>
      <c r="B269" s="305" t="s">
        <v>48</v>
      </c>
      <c r="C269" s="284">
        <v>2009</v>
      </c>
      <c r="D269" s="284">
        <v>2014</v>
      </c>
      <c r="E269" s="31">
        <v>0</v>
      </c>
      <c r="F269" s="31">
        <v>0</v>
      </c>
      <c r="G269" s="31">
        <v>1005</v>
      </c>
      <c r="H269" s="31">
        <v>0</v>
      </c>
      <c r="I269" s="31">
        <v>0</v>
      </c>
      <c r="J269" s="27">
        <v>1005</v>
      </c>
      <c r="K269" s="31">
        <v>211</v>
      </c>
      <c r="L269" s="31">
        <v>411</v>
      </c>
      <c r="M269" s="31">
        <v>187</v>
      </c>
      <c r="N269" s="639">
        <v>809</v>
      </c>
      <c r="O269" s="29"/>
      <c r="X269" s="46"/>
    </row>
    <row r="270" spans="1:24" s="278" customFormat="1" ht="409.6">
      <c r="A270" s="271">
        <f>References!U277</f>
        <v>456</v>
      </c>
      <c r="B270" s="305" t="s">
        <v>48</v>
      </c>
      <c r="C270" s="284">
        <v>2011</v>
      </c>
      <c r="D270" s="284">
        <v>2012</v>
      </c>
      <c r="E270" s="31">
        <v>36</v>
      </c>
      <c r="F270" s="31">
        <v>60</v>
      </c>
      <c r="G270" s="31">
        <v>811</v>
      </c>
      <c r="H270" s="31">
        <v>31</v>
      </c>
      <c r="I270" s="31">
        <v>0</v>
      </c>
      <c r="J270" s="27">
        <v>938</v>
      </c>
      <c r="K270" s="31">
        <v>170</v>
      </c>
      <c r="L270" s="31">
        <v>360</v>
      </c>
      <c r="M270" s="31">
        <v>160</v>
      </c>
      <c r="N270" s="639">
        <v>690</v>
      </c>
      <c r="O270" s="29"/>
      <c r="X270" s="46"/>
    </row>
    <row r="271" spans="1:24" s="278" customFormat="1" ht="409.6">
      <c r="A271" s="271">
        <f>References!V277</f>
        <v>457</v>
      </c>
      <c r="B271" s="305" t="s">
        <v>48</v>
      </c>
      <c r="C271" s="284">
        <v>2011</v>
      </c>
      <c r="D271" s="284">
        <v>2013</v>
      </c>
      <c r="E271" s="31">
        <v>44</v>
      </c>
      <c r="F271" s="31">
        <v>75</v>
      </c>
      <c r="G271" s="31">
        <v>852</v>
      </c>
      <c r="H271" s="31">
        <v>32</v>
      </c>
      <c r="I271" s="31">
        <v>0</v>
      </c>
      <c r="J271" s="27">
        <v>1003</v>
      </c>
      <c r="K271" s="31">
        <v>170</v>
      </c>
      <c r="L271" s="31">
        <v>360</v>
      </c>
      <c r="M271" s="31">
        <v>160</v>
      </c>
      <c r="N271" s="639">
        <v>690</v>
      </c>
      <c r="O271" s="29"/>
      <c r="X271" s="46"/>
    </row>
    <row r="272" spans="1:24" s="278" customFormat="1" ht="409.6">
      <c r="A272" s="271">
        <f>References!W277</f>
        <v>458</v>
      </c>
      <c r="B272" s="305" t="s">
        <v>48</v>
      </c>
      <c r="C272" s="284">
        <v>2011</v>
      </c>
      <c r="D272" s="284">
        <v>2014</v>
      </c>
      <c r="E272" s="31">
        <v>55</v>
      </c>
      <c r="F272" s="31">
        <v>75</v>
      </c>
      <c r="G272" s="31">
        <v>816</v>
      </c>
      <c r="H272" s="31">
        <v>24</v>
      </c>
      <c r="I272" s="31">
        <v>0</v>
      </c>
      <c r="J272" s="27">
        <v>970</v>
      </c>
      <c r="K272" s="31">
        <v>170</v>
      </c>
      <c r="L272" s="31">
        <v>360</v>
      </c>
      <c r="M272" s="31">
        <v>160</v>
      </c>
      <c r="N272" s="639">
        <v>690</v>
      </c>
      <c r="O272" s="29"/>
      <c r="X272" s="46"/>
    </row>
    <row r="273" spans="1:24" s="278" customFormat="1" ht="409.6">
      <c r="A273" s="271">
        <f>References!X277</f>
        <v>459</v>
      </c>
      <c r="B273" s="305" t="s">
        <v>48</v>
      </c>
      <c r="C273" s="284">
        <v>2011</v>
      </c>
      <c r="D273" s="284">
        <v>2015</v>
      </c>
      <c r="E273" s="31">
        <v>66</v>
      </c>
      <c r="F273" s="31">
        <v>75</v>
      </c>
      <c r="G273" s="31">
        <v>894</v>
      </c>
      <c r="H273" s="31">
        <v>24</v>
      </c>
      <c r="I273" s="31">
        <v>0</v>
      </c>
      <c r="J273" s="27">
        <v>1059</v>
      </c>
      <c r="K273" s="31">
        <v>170</v>
      </c>
      <c r="L273" s="31">
        <v>360</v>
      </c>
      <c r="M273" s="31">
        <v>160</v>
      </c>
      <c r="N273" s="639">
        <v>690</v>
      </c>
      <c r="O273" s="29"/>
      <c r="X273" s="46"/>
    </row>
    <row r="274" spans="1:24" s="278" customFormat="1" ht="409.6">
      <c r="A274" s="271">
        <f>References!Y277</f>
        <v>460</v>
      </c>
      <c r="B274" s="305" t="s">
        <v>48</v>
      </c>
      <c r="C274" s="284">
        <v>2011</v>
      </c>
      <c r="D274" s="284">
        <v>2016</v>
      </c>
      <c r="E274" s="31">
        <v>66</v>
      </c>
      <c r="F274" s="31">
        <v>75</v>
      </c>
      <c r="G274" s="31">
        <v>897</v>
      </c>
      <c r="H274" s="31">
        <v>24</v>
      </c>
      <c r="I274" s="31">
        <v>0</v>
      </c>
      <c r="J274" s="27">
        <v>1062</v>
      </c>
      <c r="K274" s="31">
        <v>170</v>
      </c>
      <c r="L274" s="31">
        <v>360</v>
      </c>
      <c r="M274" s="31">
        <v>160</v>
      </c>
      <c r="N274" s="639">
        <v>690</v>
      </c>
      <c r="O274" s="29"/>
      <c r="X274" s="46"/>
    </row>
    <row r="275" spans="1:24" s="278" customFormat="1" ht="409.6">
      <c r="A275" s="271">
        <f>References!P277</f>
        <v>451</v>
      </c>
      <c r="B275" s="305" t="s">
        <v>141</v>
      </c>
      <c r="C275" s="284">
        <v>2010</v>
      </c>
      <c r="D275" s="284">
        <v>2011</v>
      </c>
      <c r="E275" s="31">
        <v>41</v>
      </c>
      <c r="F275" s="31">
        <v>62</v>
      </c>
      <c r="G275" s="31">
        <v>1058</v>
      </c>
      <c r="H275" s="31">
        <v>69</v>
      </c>
      <c r="I275" s="31">
        <v>0</v>
      </c>
      <c r="J275" s="27">
        <v>1230</v>
      </c>
      <c r="K275" s="31">
        <v>170</v>
      </c>
      <c r="L275" s="31">
        <v>360</v>
      </c>
      <c r="M275" s="31">
        <v>160</v>
      </c>
      <c r="N275" s="639">
        <v>690</v>
      </c>
      <c r="O275" s="29"/>
      <c r="X275" s="46"/>
    </row>
    <row r="276" spans="1:24" s="278" customFormat="1" ht="409.6">
      <c r="A276" s="271">
        <f>References!Q277</f>
        <v>452</v>
      </c>
      <c r="B276" s="305" t="s">
        <v>141</v>
      </c>
      <c r="C276" s="284">
        <v>2010</v>
      </c>
      <c r="D276" s="284">
        <v>2012</v>
      </c>
      <c r="E276" s="31">
        <v>66</v>
      </c>
      <c r="F276" s="31">
        <v>75</v>
      </c>
      <c r="G276" s="31">
        <v>790</v>
      </c>
      <c r="H276" s="31">
        <v>35</v>
      </c>
      <c r="I276" s="31">
        <v>0</v>
      </c>
      <c r="J276" s="27">
        <v>966</v>
      </c>
      <c r="K276" s="31">
        <v>170</v>
      </c>
      <c r="L276" s="31">
        <v>360</v>
      </c>
      <c r="M276" s="31">
        <v>160</v>
      </c>
      <c r="N276" s="639">
        <v>690</v>
      </c>
      <c r="O276" s="29"/>
      <c r="X276" s="46"/>
    </row>
    <row r="277" spans="1:24" s="278" customFormat="1" ht="409.6">
      <c r="A277" s="271">
        <f>References!R277</f>
        <v>453</v>
      </c>
      <c r="B277" s="305" t="s">
        <v>141</v>
      </c>
      <c r="C277" s="284">
        <v>2010</v>
      </c>
      <c r="D277" s="284">
        <v>2013</v>
      </c>
      <c r="E277" s="31">
        <v>66</v>
      </c>
      <c r="F277" s="31">
        <v>75</v>
      </c>
      <c r="G277" s="31">
        <v>779</v>
      </c>
      <c r="H277" s="31">
        <v>22</v>
      </c>
      <c r="I277" s="31">
        <v>0</v>
      </c>
      <c r="J277" s="27">
        <v>942</v>
      </c>
      <c r="K277" s="31">
        <v>170</v>
      </c>
      <c r="L277" s="31">
        <v>360</v>
      </c>
      <c r="M277" s="31">
        <v>160</v>
      </c>
      <c r="N277" s="639">
        <v>690</v>
      </c>
      <c r="O277" s="29"/>
      <c r="X277" s="46"/>
    </row>
    <row r="278" spans="1:24" s="278" customFormat="1" ht="409.6">
      <c r="A278" s="271">
        <f>References!S277</f>
        <v>454</v>
      </c>
      <c r="B278" s="305" t="s">
        <v>141</v>
      </c>
      <c r="C278" s="284">
        <v>2010</v>
      </c>
      <c r="D278" s="284">
        <v>2014</v>
      </c>
      <c r="E278" s="31">
        <v>66</v>
      </c>
      <c r="F278" s="31">
        <v>75</v>
      </c>
      <c r="G278" s="31">
        <v>792</v>
      </c>
      <c r="H278" s="31">
        <v>97</v>
      </c>
      <c r="I278" s="31">
        <v>0</v>
      </c>
      <c r="J278" s="27">
        <v>1030</v>
      </c>
      <c r="K278" s="31">
        <v>170</v>
      </c>
      <c r="L278" s="31">
        <v>360</v>
      </c>
      <c r="M278" s="31">
        <v>160</v>
      </c>
      <c r="N278" s="639">
        <v>690</v>
      </c>
      <c r="O278" s="29"/>
      <c r="X278" s="46"/>
    </row>
    <row r="279" spans="1:24" s="278" customFormat="1" ht="409.6">
      <c r="A279" s="271">
        <f>References!T277</f>
        <v>455</v>
      </c>
      <c r="B279" s="305" t="s">
        <v>141</v>
      </c>
      <c r="C279" s="284">
        <v>2010</v>
      </c>
      <c r="D279" s="284">
        <v>2015</v>
      </c>
      <c r="E279" s="31">
        <v>66</v>
      </c>
      <c r="F279" s="31">
        <v>75</v>
      </c>
      <c r="G279" s="31">
        <v>859</v>
      </c>
      <c r="H279" s="31">
        <v>22</v>
      </c>
      <c r="I279" s="31">
        <v>0</v>
      </c>
      <c r="J279" s="27">
        <v>1022</v>
      </c>
      <c r="K279" s="31">
        <v>170</v>
      </c>
      <c r="L279" s="31">
        <v>360</v>
      </c>
      <c r="M279" s="31">
        <v>160</v>
      </c>
      <c r="N279" s="639">
        <v>690</v>
      </c>
      <c r="O279" s="29"/>
      <c r="X279" s="46"/>
    </row>
    <row r="280" spans="1:24" s="278" customFormat="1" ht="409.6">
      <c r="A280" s="271">
        <f>References!K271</f>
        <v>308</v>
      </c>
      <c r="B280" s="305" t="s">
        <v>42</v>
      </c>
      <c r="C280" s="284">
        <v>2009</v>
      </c>
      <c r="D280" s="284">
        <v>2010</v>
      </c>
      <c r="E280" s="31">
        <v>525.29999999999995</v>
      </c>
      <c r="F280" s="31">
        <v>4008.25</v>
      </c>
      <c r="G280" s="31">
        <v>1620</v>
      </c>
      <c r="H280" s="31">
        <v>725</v>
      </c>
      <c r="I280" s="31">
        <v>550</v>
      </c>
      <c r="J280" s="27">
        <v>7428.55</v>
      </c>
      <c r="K280" s="31">
        <v>1279.3820000000001</v>
      </c>
      <c r="L280" s="31">
        <v>1799.9359999999999</v>
      </c>
      <c r="M280" s="31">
        <v>435.07100000000003</v>
      </c>
      <c r="N280" s="639">
        <v>3514.3890000000001</v>
      </c>
      <c r="O280" s="29"/>
      <c r="X280" s="46"/>
    </row>
    <row r="281" spans="1:24" s="278" customFormat="1" ht="409.6">
      <c r="A281" s="271">
        <f>References!L271</f>
        <v>309</v>
      </c>
      <c r="B281" s="305" t="s">
        <v>42</v>
      </c>
      <c r="C281" s="284">
        <v>2009</v>
      </c>
      <c r="D281" s="284">
        <v>2011</v>
      </c>
      <c r="E281" s="31">
        <v>525.29999999999995</v>
      </c>
      <c r="F281" s="31">
        <v>3753.25</v>
      </c>
      <c r="G281" s="31">
        <v>946.66600000000005</v>
      </c>
      <c r="H281" s="31">
        <v>1290</v>
      </c>
      <c r="I281" s="31">
        <v>500</v>
      </c>
      <c r="J281" s="27">
        <v>7015.2160000000003</v>
      </c>
      <c r="K281" s="31">
        <v>1279.3820000000001</v>
      </c>
      <c r="L281" s="31">
        <v>1799.9359999999999</v>
      </c>
      <c r="M281" s="31">
        <v>435.07100000000003</v>
      </c>
      <c r="N281" s="639">
        <v>3514.3890000000001</v>
      </c>
      <c r="O281" s="29"/>
      <c r="X281" s="46"/>
    </row>
    <row r="282" spans="1:24" s="278" customFormat="1" ht="409.6">
      <c r="A282" s="271">
        <f>References!M271</f>
        <v>310</v>
      </c>
      <c r="B282" s="305" t="s">
        <v>42</v>
      </c>
      <c r="C282" s="284">
        <v>2009</v>
      </c>
      <c r="D282" s="284">
        <v>2012</v>
      </c>
      <c r="E282" s="31">
        <v>1050.5999999999999</v>
      </c>
      <c r="F282" s="31">
        <v>3146.5</v>
      </c>
      <c r="G282" s="31">
        <v>382</v>
      </c>
      <c r="H282" s="31">
        <v>70</v>
      </c>
      <c r="I282" s="31">
        <v>500</v>
      </c>
      <c r="J282" s="27">
        <v>5149.1000000000004</v>
      </c>
      <c r="K282" s="31">
        <v>1279</v>
      </c>
      <c r="L282" s="31">
        <v>1799.9359999999999</v>
      </c>
      <c r="M282" s="31">
        <v>435.07100000000003</v>
      </c>
      <c r="N282" s="639">
        <v>3514.0069999999996</v>
      </c>
      <c r="O282" s="29"/>
      <c r="X282" s="46"/>
    </row>
    <row r="283" spans="1:24" s="278" customFormat="1" ht="409.6">
      <c r="A283" s="271">
        <f>References!N271</f>
        <v>311</v>
      </c>
      <c r="B283" s="305" t="s">
        <v>42</v>
      </c>
      <c r="C283" s="284">
        <v>2009</v>
      </c>
      <c r="D283" s="284">
        <v>2013</v>
      </c>
      <c r="E283" s="31">
        <v>1050.5999999999999</v>
      </c>
      <c r="F283" s="31">
        <v>1146.5</v>
      </c>
      <c r="G283" s="31">
        <v>585</v>
      </c>
      <c r="H283" s="31">
        <v>30</v>
      </c>
      <c r="I283" s="31">
        <v>500</v>
      </c>
      <c r="J283" s="27">
        <v>3312.1</v>
      </c>
      <c r="K283" s="31">
        <v>1279.3820000000001</v>
      </c>
      <c r="L283" s="31">
        <v>1649.9359999999999</v>
      </c>
      <c r="M283" s="31">
        <v>435.07100000000003</v>
      </c>
      <c r="N283" s="639">
        <v>3364.3890000000001</v>
      </c>
      <c r="O283" s="29"/>
      <c r="X283" s="46"/>
    </row>
    <row r="284" spans="1:24" s="278" customFormat="1" ht="409.6">
      <c r="A284" s="271">
        <f>References!O271</f>
        <v>312</v>
      </c>
      <c r="B284" s="305" t="s">
        <v>42</v>
      </c>
      <c r="C284" s="284">
        <v>2009</v>
      </c>
      <c r="D284" s="284">
        <v>2014</v>
      </c>
      <c r="E284" s="31">
        <v>1050.5999999999999</v>
      </c>
      <c r="F284" s="31">
        <v>1996.5</v>
      </c>
      <c r="G284" s="31">
        <v>560</v>
      </c>
      <c r="H284" s="31">
        <v>30</v>
      </c>
      <c r="I284" s="31">
        <v>500</v>
      </c>
      <c r="J284" s="27">
        <v>4137.1000000000004</v>
      </c>
      <c r="K284" s="31">
        <v>1179.3820000000001</v>
      </c>
      <c r="L284" s="31">
        <v>1649.9359999999999</v>
      </c>
      <c r="M284" s="31">
        <v>435.07100000000003</v>
      </c>
      <c r="N284" s="639">
        <v>3264.3890000000001</v>
      </c>
      <c r="O284" s="29"/>
      <c r="X284" s="46"/>
    </row>
    <row r="285" spans="1:24" s="278" customFormat="1" ht="409.6">
      <c r="A285" s="271">
        <f>References!P271</f>
        <v>313</v>
      </c>
      <c r="B285" s="305" t="s">
        <v>42</v>
      </c>
      <c r="C285" s="284">
        <v>2010</v>
      </c>
      <c r="D285" s="284">
        <v>2011</v>
      </c>
      <c r="E285" s="31">
        <v>1050.5999999999999</v>
      </c>
      <c r="F285" s="31">
        <v>4441</v>
      </c>
      <c r="G285" s="31">
        <v>1496.6659999999999</v>
      </c>
      <c r="H285" s="31">
        <v>925</v>
      </c>
      <c r="I285" s="31">
        <v>500</v>
      </c>
      <c r="J285" s="27">
        <v>8413.2659999999996</v>
      </c>
      <c r="K285" s="31">
        <v>1387.3689999999999</v>
      </c>
      <c r="L285" s="31">
        <v>2071.9380000000001</v>
      </c>
      <c r="M285" s="31">
        <v>460.81900000000002</v>
      </c>
      <c r="N285" s="639">
        <v>3920.1259999999997</v>
      </c>
      <c r="O285" s="29"/>
      <c r="X285" s="46"/>
    </row>
    <row r="286" spans="1:24" s="278" customFormat="1" ht="409.6">
      <c r="A286" s="271">
        <f>References!Q271</f>
        <v>314</v>
      </c>
      <c r="B286" s="305" t="s">
        <v>42</v>
      </c>
      <c r="C286" s="284">
        <v>2010</v>
      </c>
      <c r="D286" s="284">
        <v>2012</v>
      </c>
      <c r="E286" s="31">
        <v>1050.5999999999999</v>
      </c>
      <c r="F286" s="31">
        <v>3901.5</v>
      </c>
      <c r="G286" s="31">
        <v>880</v>
      </c>
      <c r="H286" s="31">
        <v>970</v>
      </c>
      <c r="I286" s="31">
        <v>500</v>
      </c>
      <c r="J286" s="27">
        <v>7302.1</v>
      </c>
      <c r="K286" s="31">
        <v>1413.3743499999998</v>
      </c>
      <c r="L286" s="31">
        <v>2143.7283000000002</v>
      </c>
      <c r="M286" s="31">
        <v>528.14184999999998</v>
      </c>
      <c r="N286" s="639">
        <v>4085.2444999999998</v>
      </c>
      <c r="O286" s="29"/>
      <c r="X286" s="46"/>
    </row>
    <row r="287" spans="1:24" s="278" customFormat="1" ht="409.6">
      <c r="A287" s="271">
        <f>References!R271</f>
        <v>315</v>
      </c>
      <c r="B287" s="305" t="s">
        <v>42</v>
      </c>
      <c r="C287" s="284">
        <v>2010</v>
      </c>
      <c r="D287" s="284">
        <v>2013</v>
      </c>
      <c r="E287" s="31">
        <v>1050.5999999999999</v>
      </c>
      <c r="F287" s="31">
        <v>3726.5</v>
      </c>
      <c r="G287" s="31">
        <v>660</v>
      </c>
      <c r="H287" s="31">
        <v>60</v>
      </c>
      <c r="I287" s="31">
        <v>500</v>
      </c>
      <c r="J287" s="27">
        <v>5997.1</v>
      </c>
      <c r="K287" s="31">
        <v>1343.374</v>
      </c>
      <c r="L287" s="31">
        <v>1971.2277727272724</v>
      </c>
      <c r="M287" s="31">
        <v>528.14200000000005</v>
      </c>
      <c r="N287" s="639">
        <v>3842.7437727272727</v>
      </c>
      <c r="O287" s="29"/>
      <c r="X287" s="46"/>
    </row>
    <row r="288" spans="1:24" s="278" customFormat="1" ht="409.6">
      <c r="A288" s="271">
        <f>References!S271</f>
        <v>316</v>
      </c>
      <c r="B288" s="305" t="s">
        <v>42</v>
      </c>
      <c r="C288" s="284">
        <v>2010</v>
      </c>
      <c r="D288" s="284">
        <v>2014</v>
      </c>
      <c r="E288" s="31">
        <v>1050.5999999999999</v>
      </c>
      <c r="F288" s="31">
        <v>1996.5</v>
      </c>
      <c r="G288" s="31">
        <v>585</v>
      </c>
      <c r="H288" s="31">
        <v>30</v>
      </c>
      <c r="I288" s="31">
        <v>1500</v>
      </c>
      <c r="J288" s="27">
        <v>5162.1000000000004</v>
      </c>
      <c r="K288" s="31">
        <v>1343.374</v>
      </c>
      <c r="L288" s="31">
        <v>1971.2280000000001</v>
      </c>
      <c r="M288" s="31">
        <v>528.14200000000005</v>
      </c>
      <c r="N288" s="639">
        <v>3842.7439999999997</v>
      </c>
      <c r="O288" s="29"/>
      <c r="X288" s="46"/>
    </row>
    <row r="289" spans="1:24" s="278" customFormat="1" ht="409.6">
      <c r="A289" s="271">
        <f>References!T271</f>
        <v>317</v>
      </c>
      <c r="B289" s="305" t="s">
        <v>42</v>
      </c>
      <c r="C289" s="284">
        <v>2010</v>
      </c>
      <c r="D289" s="284">
        <v>2015</v>
      </c>
      <c r="E289" s="31">
        <v>1050.5999999999999</v>
      </c>
      <c r="F289" s="31">
        <v>3096.5</v>
      </c>
      <c r="G289" s="31">
        <v>1110</v>
      </c>
      <c r="H289" s="31">
        <v>30</v>
      </c>
      <c r="I289" s="31">
        <v>500</v>
      </c>
      <c r="J289" s="27">
        <v>5787.1</v>
      </c>
      <c r="K289" s="31">
        <v>1343.374</v>
      </c>
      <c r="L289" s="31">
        <v>1971.2280000000001</v>
      </c>
      <c r="M289" s="31">
        <v>528.14200000000005</v>
      </c>
      <c r="N289" s="639">
        <v>3842.7439999999997</v>
      </c>
      <c r="O289" s="29"/>
      <c r="X289" s="46"/>
    </row>
    <row r="290" spans="1:24" s="278" customFormat="1" ht="409.6">
      <c r="A290" s="271">
        <f>References!U271</f>
        <v>318</v>
      </c>
      <c r="B290" s="305" t="s">
        <v>42</v>
      </c>
      <c r="C290" s="284">
        <v>2011</v>
      </c>
      <c r="D290" s="284">
        <v>2012</v>
      </c>
      <c r="E290" s="31">
        <v>1041</v>
      </c>
      <c r="F290" s="31">
        <v>2076</v>
      </c>
      <c r="G290" s="31">
        <v>1334</v>
      </c>
      <c r="H290" s="31">
        <v>2710</v>
      </c>
      <c r="I290" s="31">
        <v>0</v>
      </c>
      <c r="J290" s="27">
        <v>7161</v>
      </c>
      <c r="K290" s="31">
        <v>1451.83115</v>
      </c>
      <c r="L290" s="31">
        <v>2002.73245</v>
      </c>
      <c r="M290" s="31">
        <v>553</v>
      </c>
      <c r="N290" s="639">
        <v>4007.5636</v>
      </c>
      <c r="O290" s="29"/>
      <c r="X290" s="46"/>
    </row>
    <row r="291" spans="1:24" s="278" customFormat="1" ht="409.6">
      <c r="A291" s="271">
        <f>References!V271</f>
        <v>319</v>
      </c>
      <c r="B291" s="305" t="s">
        <v>42</v>
      </c>
      <c r="C291" s="284">
        <v>2011</v>
      </c>
      <c r="D291" s="284">
        <v>2013</v>
      </c>
      <c r="E291" s="31">
        <v>1041</v>
      </c>
      <c r="F291" s="31">
        <v>2356</v>
      </c>
      <c r="G291" s="31">
        <v>860</v>
      </c>
      <c r="H291" s="31">
        <v>1627</v>
      </c>
      <c r="I291" s="31">
        <v>800</v>
      </c>
      <c r="J291" s="27">
        <v>6684</v>
      </c>
      <c r="K291" s="31">
        <v>1451.83115</v>
      </c>
      <c r="L291" s="31">
        <v>2002.73245</v>
      </c>
      <c r="M291" s="31">
        <v>553</v>
      </c>
      <c r="N291" s="639">
        <v>4007.5636</v>
      </c>
      <c r="O291" s="29"/>
      <c r="X291" s="46"/>
    </row>
    <row r="292" spans="1:24" s="278" customFormat="1" ht="409.6">
      <c r="A292" s="271">
        <f>References!W271</f>
        <v>320</v>
      </c>
      <c r="B292" s="305" t="s">
        <v>42</v>
      </c>
      <c r="C292" s="284">
        <v>2011</v>
      </c>
      <c r="D292" s="284">
        <v>2014</v>
      </c>
      <c r="E292" s="31">
        <v>1041</v>
      </c>
      <c r="F292" s="31">
        <v>2616</v>
      </c>
      <c r="G292" s="31">
        <v>1298</v>
      </c>
      <c r="H292" s="31">
        <v>55</v>
      </c>
      <c r="I292" s="31">
        <v>2000</v>
      </c>
      <c r="J292" s="27">
        <v>7010</v>
      </c>
      <c r="K292" s="31">
        <v>1421.83115</v>
      </c>
      <c r="L292" s="31">
        <v>2002.73245</v>
      </c>
      <c r="M292" s="31">
        <v>560.65</v>
      </c>
      <c r="N292" s="639">
        <v>3985.2136</v>
      </c>
      <c r="O292" s="29"/>
      <c r="X292" s="46"/>
    </row>
    <row r="293" spans="1:24" s="278" customFormat="1" ht="409.6">
      <c r="A293" s="271">
        <f>References!X271</f>
        <v>321</v>
      </c>
      <c r="B293" s="305" t="s">
        <v>42</v>
      </c>
      <c r="C293" s="284">
        <v>2011</v>
      </c>
      <c r="D293" s="284">
        <v>2015</v>
      </c>
      <c r="E293" s="31">
        <v>1041</v>
      </c>
      <c r="F293" s="31">
        <v>1596</v>
      </c>
      <c r="G293" s="31">
        <v>712</v>
      </c>
      <c r="H293" s="31">
        <v>30</v>
      </c>
      <c r="I293" s="31">
        <v>1300</v>
      </c>
      <c r="J293" s="27">
        <v>4679</v>
      </c>
      <c r="K293" s="31">
        <v>1421.83115</v>
      </c>
      <c r="L293" s="31">
        <v>2002.73245</v>
      </c>
      <c r="M293" s="31">
        <v>568.29999999999995</v>
      </c>
      <c r="N293" s="639">
        <v>3992.8636000000001</v>
      </c>
      <c r="O293" s="29"/>
      <c r="X293" s="46"/>
    </row>
    <row r="294" spans="1:24" s="278" customFormat="1" ht="409.6">
      <c r="A294" s="271">
        <f>References!Y271</f>
        <v>322</v>
      </c>
      <c r="B294" s="305" t="s">
        <v>42</v>
      </c>
      <c r="C294" s="284">
        <v>2011</v>
      </c>
      <c r="D294" s="284">
        <v>2016</v>
      </c>
      <c r="E294" s="31">
        <v>1041</v>
      </c>
      <c r="F294" s="31">
        <v>1846</v>
      </c>
      <c r="G294" s="31">
        <v>839</v>
      </c>
      <c r="H294" s="31">
        <v>30</v>
      </c>
      <c r="I294" s="31">
        <v>1210</v>
      </c>
      <c r="J294" s="27">
        <v>4966</v>
      </c>
      <c r="K294" s="31">
        <v>1421.83115</v>
      </c>
      <c r="L294" s="31">
        <v>2002.73245</v>
      </c>
      <c r="M294" s="31">
        <v>575.95000000000005</v>
      </c>
      <c r="N294" s="639">
        <v>4000.5136000000002</v>
      </c>
      <c r="O294" s="29"/>
      <c r="X294" s="46"/>
    </row>
    <row r="295" spans="1:24" s="278" customFormat="1" ht="409.6">
      <c r="A295" s="271">
        <f>References!K280</f>
        <v>515</v>
      </c>
      <c r="B295" s="305" t="s">
        <v>142</v>
      </c>
      <c r="C295" s="284">
        <v>2009</v>
      </c>
      <c r="D295" s="284">
        <v>2010</v>
      </c>
      <c r="E295" s="31">
        <v>800</v>
      </c>
      <c r="F295" s="31">
        <v>2669</v>
      </c>
      <c r="G295" s="31">
        <v>3465.6</v>
      </c>
      <c r="H295" s="31">
        <v>2966.25</v>
      </c>
      <c r="I295" s="31">
        <v>182.4</v>
      </c>
      <c r="J295" s="27">
        <v>10083.25</v>
      </c>
      <c r="K295" s="31">
        <v>4294.4773019525601</v>
      </c>
      <c r="L295" s="31">
        <v>500</v>
      </c>
      <c r="M295" s="31">
        <v>1000</v>
      </c>
      <c r="N295" s="639">
        <v>5794.4773019525601</v>
      </c>
      <c r="O295" s="29"/>
      <c r="X295" s="46"/>
    </row>
    <row r="296" spans="1:24" s="278" customFormat="1" ht="409.6">
      <c r="A296" s="271">
        <f>References!L280</f>
        <v>516</v>
      </c>
      <c r="B296" s="305" t="s">
        <v>142</v>
      </c>
      <c r="C296" s="284">
        <v>2009</v>
      </c>
      <c r="D296" s="284">
        <v>2011</v>
      </c>
      <c r="E296" s="31">
        <v>1200</v>
      </c>
      <c r="F296" s="31">
        <v>6075</v>
      </c>
      <c r="G296" s="31">
        <v>3976.51</v>
      </c>
      <c r="H296" s="31">
        <v>1026</v>
      </c>
      <c r="I296" s="31">
        <v>209.29</v>
      </c>
      <c r="J296" s="27">
        <v>12486.800000000001</v>
      </c>
      <c r="K296" s="31">
        <v>4509.2011670501897</v>
      </c>
      <c r="L296" s="31">
        <v>525</v>
      </c>
      <c r="M296" s="31">
        <v>800</v>
      </c>
      <c r="N296" s="639">
        <v>5834.2011670501897</v>
      </c>
      <c r="O296" s="29"/>
      <c r="X296" s="46"/>
    </row>
    <row r="297" spans="1:24" s="278" customFormat="1" ht="409.6">
      <c r="A297" s="271">
        <f>References!M280</f>
        <v>517</v>
      </c>
      <c r="B297" s="305" t="s">
        <v>142</v>
      </c>
      <c r="C297" s="284">
        <v>2009</v>
      </c>
      <c r="D297" s="284">
        <v>2012</v>
      </c>
      <c r="E297" s="31">
        <v>1500</v>
      </c>
      <c r="F297" s="31">
        <v>6210</v>
      </c>
      <c r="G297" s="31">
        <v>3325</v>
      </c>
      <c r="H297" s="31">
        <v>2322</v>
      </c>
      <c r="I297" s="31">
        <v>175</v>
      </c>
      <c r="J297" s="27">
        <v>13532</v>
      </c>
      <c r="K297" s="31">
        <v>4734.6612254027004</v>
      </c>
      <c r="L297" s="31">
        <v>551.25</v>
      </c>
      <c r="M297" s="31">
        <v>600</v>
      </c>
      <c r="N297" s="639">
        <v>5885.9112254027004</v>
      </c>
      <c r="O297" s="29"/>
      <c r="X297" s="46"/>
    </row>
    <row r="298" spans="1:24" s="278" customFormat="1" ht="409.6">
      <c r="A298" s="271">
        <f>References!N280</f>
        <v>518</v>
      </c>
      <c r="B298" s="305" t="s">
        <v>142</v>
      </c>
      <c r="C298" s="284">
        <v>2009</v>
      </c>
      <c r="D298" s="284">
        <v>2013</v>
      </c>
      <c r="E298" s="31">
        <v>1500</v>
      </c>
      <c r="F298" s="31">
        <v>8842.5</v>
      </c>
      <c r="G298" s="31">
        <v>4275</v>
      </c>
      <c r="H298" s="31">
        <v>1466</v>
      </c>
      <c r="I298" s="31">
        <v>225</v>
      </c>
      <c r="J298" s="27">
        <v>16308.5</v>
      </c>
      <c r="K298" s="31">
        <v>2654.32069725463</v>
      </c>
      <c r="L298" s="31">
        <v>578.8125</v>
      </c>
      <c r="M298" s="31">
        <v>630</v>
      </c>
      <c r="N298" s="639">
        <v>3863.13319725463</v>
      </c>
      <c r="O298" s="29"/>
      <c r="X298" s="46"/>
    </row>
    <row r="299" spans="1:24" s="278" customFormat="1" ht="409.6">
      <c r="A299" s="271">
        <f>References!O280</f>
        <v>519</v>
      </c>
      <c r="B299" s="305" t="s">
        <v>142</v>
      </c>
      <c r="C299" s="284">
        <v>2009</v>
      </c>
      <c r="D299" s="284">
        <v>2014</v>
      </c>
      <c r="E299" s="31">
        <v>1500</v>
      </c>
      <c r="F299" s="31">
        <v>13162.5</v>
      </c>
      <c r="G299" s="31">
        <v>4750</v>
      </c>
      <c r="H299" s="31">
        <v>1250</v>
      </c>
      <c r="I299" s="31">
        <v>250</v>
      </c>
      <c r="J299" s="27">
        <v>20912.5</v>
      </c>
      <c r="K299" s="31">
        <v>2787.0367321173699</v>
      </c>
      <c r="L299" s="31">
        <v>607.75312499999995</v>
      </c>
      <c r="M299" s="31">
        <v>661.5</v>
      </c>
      <c r="N299" s="639">
        <v>4056.28985711737</v>
      </c>
      <c r="O299" s="29"/>
      <c r="X299" s="46"/>
    </row>
    <row r="300" spans="1:24" s="278" customFormat="1" ht="409.6">
      <c r="A300" s="271">
        <f>References!P280</f>
        <v>520</v>
      </c>
      <c r="B300" s="305" t="s">
        <v>142</v>
      </c>
      <c r="C300" s="284">
        <v>2010</v>
      </c>
      <c r="D300" s="284">
        <v>2011</v>
      </c>
      <c r="E300" s="31">
        <v>800</v>
      </c>
      <c r="F300" s="31">
        <v>7083</v>
      </c>
      <c r="G300" s="31">
        <v>4045</v>
      </c>
      <c r="H300" s="31">
        <v>3304</v>
      </c>
      <c r="I300" s="31">
        <v>222.5</v>
      </c>
      <c r="J300" s="27">
        <v>15454.5</v>
      </c>
      <c r="K300" s="31">
        <v>4422</v>
      </c>
      <c r="L300" s="31">
        <v>1000</v>
      </c>
      <c r="M300" s="31">
        <v>950</v>
      </c>
      <c r="N300" s="639">
        <v>6372</v>
      </c>
      <c r="O300" s="29"/>
      <c r="X300" s="46"/>
    </row>
    <row r="301" spans="1:24" s="278" customFormat="1" ht="409.6">
      <c r="A301" s="271">
        <f>References!Q280</f>
        <v>521</v>
      </c>
      <c r="B301" s="305" t="s">
        <v>142</v>
      </c>
      <c r="C301" s="284">
        <v>2010</v>
      </c>
      <c r="D301" s="284">
        <v>2012</v>
      </c>
      <c r="E301" s="31">
        <v>1000</v>
      </c>
      <c r="F301" s="31">
        <v>6686</v>
      </c>
      <c r="G301" s="31">
        <v>4085</v>
      </c>
      <c r="H301" s="31">
        <v>5392.5</v>
      </c>
      <c r="I301" s="31">
        <v>175</v>
      </c>
      <c r="J301" s="27">
        <v>17338.5</v>
      </c>
      <c r="K301" s="31">
        <v>4443.9350000000004</v>
      </c>
      <c r="L301" s="31">
        <v>1020</v>
      </c>
      <c r="M301" s="31">
        <v>600</v>
      </c>
      <c r="N301" s="639">
        <v>6063.9350000000004</v>
      </c>
      <c r="O301" s="29"/>
      <c r="X301" s="46"/>
    </row>
    <row r="302" spans="1:24" s="278" customFormat="1" ht="409.6">
      <c r="A302" s="271">
        <f>References!R280</f>
        <v>522</v>
      </c>
      <c r="B302" s="305" t="s">
        <v>142</v>
      </c>
      <c r="C302" s="284">
        <v>2010</v>
      </c>
      <c r="D302" s="284">
        <v>2013</v>
      </c>
      <c r="E302" s="31">
        <v>1200</v>
      </c>
      <c r="F302" s="31">
        <v>8389.6119999999992</v>
      </c>
      <c r="G302" s="31">
        <v>4045</v>
      </c>
      <c r="H302" s="31">
        <v>2550</v>
      </c>
      <c r="I302" s="31">
        <v>225</v>
      </c>
      <c r="J302" s="27">
        <v>16409.612000000001</v>
      </c>
      <c r="K302" s="31">
        <v>2106.5129999999999</v>
      </c>
      <c r="L302" s="31">
        <v>1040</v>
      </c>
      <c r="M302" s="31">
        <v>500</v>
      </c>
      <c r="N302" s="639">
        <v>3646.5129999999999</v>
      </c>
      <c r="O302" s="29"/>
      <c r="X302" s="46"/>
    </row>
    <row r="303" spans="1:24" s="278" customFormat="1" ht="409.6">
      <c r="A303" s="271">
        <f>References!S280</f>
        <v>523</v>
      </c>
      <c r="B303" s="305" t="s">
        <v>142</v>
      </c>
      <c r="C303" s="284">
        <v>2010</v>
      </c>
      <c r="D303" s="284">
        <v>2014</v>
      </c>
      <c r="E303" s="31">
        <v>1500</v>
      </c>
      <c r="F303" s="31">
        <v>8179.68</v>
      </c>
      <c r="G303" s="31">
        <v>4085</v>
      </c>
      <c r="H303" s="31">
        <v>1950</v>
      </c>
      <c r="I303" s="31">
        <v>250</v>
      </c>
      <c r="J303" s="27">
        <v>15964.68</v>
      </c>
      <c r="K303" s="31">
        <v>2178.643</v>
      </c>
      <c r="L303" s="31">
        <v>1161.2049999999999</v>
      </c>
      <c r="M303" s="31">
        <v>500</v>
      </c>
      <c r="N303" s="639">
        <v>3839.848</v>
      </c>
      <c r="O303" s="29"/>
      <c r="X303" s="46"/>
    </row>
    <row r="304" spans="1:24" s="278" customFormat="1" ht="409.6">
      <c r="A304" s="271">
        <f>References!T280</f>
        <v>524</v>
      </c>
      <c r="B304" s="305" t="s">
        <v>142</v>
      </c>
      <c r="C304" s="284">
        <v>2010</v>
      </c>
      <c r="D304" s="284">
        <v>2015</v>
      </c>
      <c r="E304" s="31">
        <v>1500</v>
      </c>
      <c r="F304" s="31">
        <v>7725.3429999999998</v>
      </c>
      <c r="G304" s="31">
        <v>4045</v>
      </c>
      <c r="H304" s="31">
        <v>2920</v>
      </c>
      <c r="I304" s="31">
        <v>250</v>
      </c>
      <c r="J304" s="27">
        <v>16440.343000000001</v>
      </c>
      <c r="K304" s="31">
        <v>2253.7159999999999</v>
      </c>
      <c r="L304" s="31">
        <v>1182.423</v>
      </c>
      <c r="M304" s="31">
        <v>525</v>
      </c>
      <c r="N304" s="639">
        <v>3961.1390000000001</v>
      </c>
      <c r="O304" s="29"/>
      <c r="X304" s="46"/>
    </row>
    <row r="305" spans="1:24" s="278" customFormat="1" ht="409.6">
      <c r="A305" s="271">
        <f>References!U280</f>
        <v>525</v>
      </c>
      <c r="B305" s="305" t="s">
        <v>142</v>
      </c>
      <c r="C305" s="284">
        <v>2011</v>
      </c>
      <c r="D305" s="284">
        <v>2012</v>
      </c>
      <c r="E305" s="31">
        <v>1000</v>
      </c>
      <c r="F305" s="31">
        <v>6686.0060000000003</v>
      </c>
      <c r="G305" s="31">
        <v>4085</v>
      </c>
      <c r="H305" s="31">
        <v>5392.5</v>
      </c>
      <c r="I305" s="31">
        <v>175</v>
      </c>
      <c r="J305" s="27">
        <v>17338.506000000001</v>
      </c>
      <c r="K305" s="31">
        <v>4100</v>
      </c>
      <c r="L305" s="31">
        <v>1077.5</v>
      </c>
      <c r="M305" s="31">
        <v>900</v>
      </c>
      <c r="N305" s="639">
        <v>6077.5</v>
      </c>
      <c r="O305" s="29"/>
      <c r="X305" s="46"/>
    </row>
    <row r="306" spans="1:24" s="278" customFormat="1" ht="409.6">
      <c r="A306" s="271">
        <f>References!V280</f>
        <v>526</v>
      </c>
      <c r="B306" s="305" t="s">
        <v>142</v>
      </c>
      <c r="C306" s="284">
        <v>2011</v>
      </c>
      <c r="D306" s="284">
        <v>2013</v>
      </c>
      <c r="E306" s="31">
        <v>1200</v>
      </c>
      <c r="F306" s="31">
        <v>8389.6119999999992</v>
      </c>
      <c r="G306" s="31">
        <v>4045</v>
      </c>
      <c r="H306" s="31">
        <v>2550</v>
      </c>
      <c r="I306" s="31">
        <v>225</v>
      </c>
      <c r="J306" s="27">
        <v>16409.612000000001</v>
      </c>
      <c r="K306" s="31">
        <v>2100</v>
      </c>
      <c r="L306" s="31">
        <v>720</v>
      </c>
      <c r="M306" s="31">
        <v>900</v>
      </c>
      <c r="N306" s="639">
        <v>3720</v>
      </c>
      <c r="O306" s="29"/>
      <c r="X306" s="46"/>
    </row>
    <row r="307" spans="1:24" s="278" customFormat="1" ht="409.6">
      <c r="A307" s="271">
        <f>References!W280</f>
        <v>527</v>
      </c>
      <c r="B307" s="305" t="s">
        <v>142</v>
      </c>
      <c r="C307" s="284">
        <v>2011</v>
      </c>
      <c r="D307" s="284">
        <v>2014</v>
      </c>
      <c r="E307" s="31">
        <v>1500</v>
      </c>
      <c r="F307" s="31">
        <v>8179.68</v>
      </c>
      <c r="G307" s="31">
        <v>4085</v>
      </c>
      <c r="H307" s="31">
        <v>1950</v>
      </c>
      <c r="I307" s="31">
        <v>250</v>
      </c>
      <c r="J307" s="27">
        <v>15964.68</v>
      </c>
      <c r="K307" s="31">
        <v>2100</v>
      </c>
      <c r="L307" s="31">
        <v>820</v>
      </c>
      <c r="M307" s="31">
        <v>900</v>
      </c>
      <c r="N307" s="639">
        <v>3820</v>
      </c>
      <c r="O307" s="29"/>
      <c r="X307" s="46"/>
    </row>
    <row r="308" spans="1:24" s="278" customFormat="1" ht="409.6">
      <c r="A308" s="271">
        <f>References!X280</f>
        <v>528</v>
      </c>
      <c r="B308" s="305" t="s">
        <v>142</v>
      </c>
      <c r="C308" s="284">
        <v>2011</v>
      </c>
      <c r="D308" s="284">
        <v>2015</v>
      </c>
      <c r="E308" s="31">
        <v>1500</v>
      </c>
      <c r="F308" s="31">
        <v>7725.3429999999998</v>
      </c>
      <c r="G308" s="31">
        <v>4045</v>
      </c>
      <c r="H308" s="31">
        <v>2920</v>
      </c>
      <c r="I308" s="31">
        <v>250</v>
      </c>
      <c r="J308" s="27">
        <v>16440.343000000001</v>
      </c>
      <c r="K308" s="31">
        <v>2100</v>
      </c>
      <c r="L308" s="31">
        <v>1020</v>
      </c>
      <c r="M308" s="31">
        <v>900</v>
      </c>
      <c r="N308" s="639">
        <v>4020</v>
      </c>
      <c r="O308" s="29"/>
      <c r="X308" s="46"/>
    </row>
    <row r="309" spans="1:24" s="278" customFormat="1" ht="409.6">
      <c r="A309" s="271">
        <f>References!Y280</f>
        <v>529</v>
      </c>
      <c r="B309" s="305" t="s">
        <v>142</v>
      </c>
      <c r="C309" s="284">
        <v>2011</v>
      </c>
      <c r="D309" s="284">
        <v>2016</v>
      </c>
      <c r="E309" s="31">
        <v>1500</v>
      </c>
      <c r="F309" s="31">
        <v>7580</v>
      </c>
      <c r="G309" s="31">
        <v>4085</v>
      </c>
      <c r="H309" s="31">
        <v>735</v>
      </c>
      <c r="I309" s="31">
        <v>250</v>
      </c>
      <c r="J309" s="27">
        <v>14150</v>
      </c>
      <c r="K309" s="31">
        <v>2100</v>
      </c>
      <c r="L309" s="31">
        <v>1183.5</v>
      </c>
      <c r="M309" s="31">
        <v>900</v>
      </c>
      <c r="N309" s="639">
        <v>4183.5</v>
      </c>
      <c r="O309" s="29"/>
      <c r="X309" s="46"/>
    </row>
    <row r="310" spans="1:24" s="278" customFormat="1" ht="409.6">
      <c r="A310" s="271">
        <f>References!K278</f>
        <v>469</v>
      </c>
      <c r="B310" s="305" t="s">
        <v>49</v>
      </c>
      <c r="C310" s="284">
        <v>2009</v>
      </c>
      <c r="D310" s="284">
        <v>2010</v>
      </c>
      <c r="E310" s="31">
        <v>1030</v>
      </c>
      <c r="F310" s="31">
        <v>130</v>
      </c>
      <c r="G310" s="31">
        <v>5756.1009620000004</v>
      </c>
      <c r="H310" s="31">
        <v>805</v>
      </c>
      <c r="I310" s="31">
        <v>50</v>
      </c>
      <c r="J310" s="27">
        <v>7771.1009620000004</v>
      </c>
      <c r="K310" s="31">
        <v>1545</v>
      </c>
      <c r="L310" s="31">
        <v>491</v>
      </c>
      <c r="M310" s="31">
        <v>1241</v>
      </c>
      <c r="N310" s="639">
        <v>3277</v>
      </c>
      <c r="O310" s="29"/>
      <c r="X310" s="46"/>
    </row>
    <row r="311" spans="1:24" s="278" customFormat="1" ht="409.6">
      <c r="A311" s="271">
        <f>References!L278</f>
        <v>470</v>
      </c>
      <c r="B311" s="305" t="s">
        <v>49</v>
      </c>
      <c r="C311" s="284">
        <v>2009</v>
      </c>
      <c r="D311" s="284">
        <v>2011</v>
      </c>
      <c r="E311" s="31">
        <v>1266.9000000000001</v>
      </c>
      <c r="F311" s="31">
        <v>988.8</v>
      </c>
      <c r="G311" s="31">
        <v>7432.0954369683332</v>
      </c>
      <c r="H311" s="31">
        <v>1431.7</v>
      </c>
      <c r="I311" s="31">
        <v>51.5</v>
      </c>
      <c r="J311" s="27">
        <v>11170.995436968333</v>
      </c>
      <c r="K311" s="31">
        <v>1589</v>
      </c>
      <c r="L311" s="31">
        <v>504.27231098629341</v>
      </c>
      <c r="M311" s="31">
        <v>1276</v>
      </c>
      <c r="N311" s="639">
        <v>3369.2723109862936</v>
      </c>
      <c r="O311" s="29"/>
      <c r="X311" s="46"/>
    </row>
    <row r="312" spans="1:24" s="278" customFormat="1" ht="409.6">
      <c r="A312" s="271">
        <f>References!M278</f>
        <v>471</v>
      </c>
      <c r="B312" s="305" t="s">
        <v>49</v>
      </c>
      <c r="C312" s="284">
        <v>2009</v>
      </c>
      <c r="D312" s="284">
        <v>2012</v>
      </c>
      <c r="E312" s="31">
        <v>1356.8</v>
      </c>
      <c r="F312" s="31">
        <v>402.8</v>
      </c>
      <c r="G312" s="31">
        <v>8653.8475826658323</v>
      </c>
      <c r="H312" s="31">
        <v>1203.0999999999999</v>
      </c>
      <c r="I312" s="31">
        <v>53</v>
      </c>
      <c r="J312" s="27">
        <v>11669.547582665833</v>
      </c>
      <c r="K312" s="31">
        <v>1634</v>
      </c>
      <c r="L312" s="31">
        <v>528</v>
      </c>
      <c r="M312" s="31">
        <v>1316</v>
      </c>
      <c r="N312" s="639">
        <v>3478</v>
      </c>
      <c r="O312" s="29"/>
      <c r="X312" s="46"/>
    </row>
    <row r="313" spans="1:24" s="278" customFormat="1" ht="409.6">
      <c r="A313" s="271">
        <f>References!N278</f>
        <v>472</v>
      </c>
      <c r="B313" s="305" t="s">
        <v>49</v>
      </c>
      <c r="C313" s="284">
        <v>2009</v>
      </c>
      <c r="D313" s="284">
        <v>2013</v>
      </c>
      <c r="E313" s="31">
        <v>1340.7</v>
      </c>
      <c r="F313" s="31">
        <v>839.3</v>
      </c>
      <c r="G313" s="31">
        <v>8677.6615952823959</v>
      </c>
      <c r="H313" s="31">
        <v>1958.73</v>
      </c>
      <c r="I313" s="31">
        <v>54.5</v>
      </c>
      <c r="J313" s="27">
        <v>12870.891595282395</v>
      </c>
      <c r="K313" s="31">
        <v>1664</v>
      </c>
      <c r="L313" s="31">
        <v>527.38743057991303</v>
      </c>
      <c r="M313" s="31">
        <v>1345</v>
      </c>
      <c r="N313" s="639">
        <v>3536.3874305799131</v>
      </c>
      <c r="O313" s="29"/>
      <c r="X313" s="46"/>
    </row>
    <row r="314" spans="1:24" s="278" customFormat="1" ht="409.6">
      <c r="A314" s="271">
        <f>References!O278</f>
        <v>473</v>
      </c>
      <c r="B314" s="305" t="s">
        <v>49</v>
      </c>
      <c r="C314" s="284">
        <v>2009</v>
      </c>
      <c r="D314" s="284">
        <v>2014</v>
      </c>
      <c r="E314" s="31">
        <v>1378</v>
      </c>
      <c r="F314" s="31">
        <v>1355</v>
      </c>
      <c r="G314" s="31">
        <v>8777</v>
      </c>
      <c r="H314" s="31">
        <v>2531</v>
      </c>
      <c r="I314" s="31">
        <v>56</v>
      </c>
      <c r="J314" s="27">
        <v>14097</v>
      </c>
      <c r="K314" s="31">
        <v>1704</v>
      </c>
      <c r="L314" s="31">
        <v>543</v>
      </c>
      <c r="M314" s="31">
        <v>1381</v>
      </c>
      <c r="N314" s="639">
        <v>3628</v>
      </c>
      <c r="O314" s="29"/>
      <c r="X314" s="46"/>
    </row>
    <row r="315" spans="1:24" s="278" customFormat="1" ht="409.6">
      <c r="A315" s="271">
        <f>References!P278</f>
        <v>474</v>
      </c>
      <c r="B315" s="305" t="s">
        <v>49</v>
      </c>
      <c r="C315" s="284">
        <v>2010</v>
      </c>
      <c r="D315" s="284">
        <v>2011</v>
      </c>
      <c r="E315" s="31">
        <v>960</v>
      </c>
      <c r="F315" s="31">
        <v>85</v>
      </c>
      <c r="G315" s="31">
        <v>5734</v>
      </c>
      <c r="H315" s="31">
        <v>1375</v>
      </c>
      <c r="I315" s="31">
        <v>50</v>
      </c>
      <c r="J315" s="27">
        <v>8204</v>
      </c>
      <c r="K315" s="31">
        <v>1579</v>
      </c>
      <c r="L315" s="31">
        <v>497</v>
      </c>
      <c r="M315" s="31">
        <v>1359</v>
      </c>
      <c r="N315" s="639">
        <v>3435</v>
      </c>
      <c r="O315" s="29"/>
      <c r="X315" s="46"/>
    </row>
    <row r="316" spans="1:24" s="278" customFormat="1" ht="409.6">
      <c r="A316" s="271">
        <f>References!Q278</f>
        <v>475</v>
      </c>
      <c r="B316" s="305" t="s">
        <v>49</v>
      </c>
      <c r="C316" s="284">
        <v>2010</v>
      </c>
      <c r="D316" s="284">
        <v>2012</v>
      </c>
      <c r="E316" s="31">
        <v>535</v>
      </c>
      <c r="F316" s="31">
        <v>485</v>
      </c>
      <c r="G316" s="31">
        <v>5665</v>
      </c>
      <c r="H316" s="31">
        <v>975</v>
      </c>
      <c r="I316" s="31">
        <v>50</v>
      </c>
      <c r="J316" s="27">
        <v>7710</v>
      </c>
      <c r="K316" s="31">
        <v>1612</v>
      </c>
      <c r="L316" s="31">
        <v>511</v>
      </c>
      <c r="M316" s="31">
        <v>1397</v>
      </c>
      <c r="N316" s="639">
        <v>3520</v>
      </c>
      <c r="O316" s="29"/>
      <c r="X316" s="46"/>
    </row>
    <row r="317" spans="1:24" s="278" customFormat="1" ht="409.6">
      <c r="A317" s="271">
        <f>References!R278</f>
        <v>476</v>
      </c>
      <c r="B317" s="305" t="s">
        <v>49</v>
      </c>
      <c r="C317" s="284">
        <v>2010</v>
      </c>
      <c r="D317" s="284">
        <v>2013</v>
      </c>
      <c r="E317" s="31">
        <v>835</v>
      </c>
      <c r="F317" s="31">
        <v>470</v>
      </c>
      <c r="G317" s="31">
        <v>5374</v>
      </c>
      <c r="H317" s="31">
        <v>1332</v>
      </c>
      <c r="I317" s="31">
        <v>50</v>
      </c>
      <c r="J317" s="27">
        <v>8061</v>
      </c>
      <c r="K317" s="31">
        <v>1647</v>
      </c>
      <c r="L317" s="31">
        <v>527</v>
      </c>
      <c r="M317" s="31">
        <v>1435</v>
      </c>
      <c r="N317" s="639">
        <v>3609</v>
      </c>
      <c r="O317" s="29"/>
      <c r="X317" s="46"/>
    </row>
    <row r="318" spans="1:24" s="278" customFormat="1" ht="409.6">
      <c r="A318" s="271">
        <f>References!S278</f>
        <v>477</v>
      </c>
      <c r="B318" s="305" t="s">
        <v>49</v>
      </c>
      <c r="C318" s="284">
        <v>2010</v>
      </c>
      <c r="D318" s="284">
        <v>2014</v>
      </c>
      <c r="E318" s="31">
        <v>835</v>
      </c>
      <c r="F318" s="31">
        <v>520</v>
      </c>
      <c r="G318" s="31">
        <v>5523</v>
      </c>
      <c r="H318" s="31">
        <v>1570</v>
      </c>
      <c r="I318" s="31">
        <v>50</v>
      </c>
      <c r="J318" s="27">
        <v>8498</v>
      </c>
      <c r="K318" s="31">
        <v>1675</v>
      </c>
      <c r="L318" s="31">
        <v>534</v>
      </c>
      <c r="M318" s="31">
        <v>1469</v>
      </c>
      <c r="N318" s="639">
        <v>3678</v>
      </c>
      <c r="O318" s="29"/>
      <c r="X318" s="46"/>
    </row>
    <row r="319" spans="1:24" s="278" customFormat="1" ht="409.6">
      <c r="A319" s="271">
        <f>References!T278</f>
        <v>478</v>
      </c>
      <c r="B319" s="305" t="s">
        <v>49</v>
      </c>
      <c r="C319" s="284">
        <v>2010</v>
      </c>
      <c r="D319" s="284">
        <v>2015</v>
      </c>
      <c r="E319" s="31">
        <v>785</v>
      </c>
      <c r="F319" s="31">
        <v>385</v>
      </c>
      <c r="G319" s="31">
        <v>5284</v>
      </c>
      <c r="H319" s="31">
        <v>1285</v>
      </c>
      <c r="I319" s="31">
        <v>50</v>
      </c>
      <c r="J319" s="27">
        <v>7789</v>
      </c>
      <c r="K319" s="31">
        <v>1710</v>
      </c>
      <c r="L319" s="31">
        <v>551</v>
      </c>
      <c r="M319" s="31">
        <v>1508</v>
      </c>
      <c r="N319" s="639">
        <v>3769</v>
      </c>
      <c r="O319" s="29"/>
      <c r="X319" s="46"/>
    </row>
    <row r="320" spans="1:24" s="278" customFormat="1" ht="409.6">
      <c r="A320" s="271">
        <f>References!U278</f>
        <v>479</v>
      </c>
      <c r="B320" s="305" t="s">
        <v>49</v>
      </c>
      <c r="C320" s="284">
        <v>2011</v>
      </c>
      <c r="D320" s="284">
        <v>2012</v>
      </c>
      <c r="E320" s="31">
        <v>3135</v>
      </c>
      <c r="F320" s="31">
        <v>435</v>
      </c>
      <c r="G320" s="31">
        <v>5901</v>
      </c>
      <c r="H320" s="31">
        <v>1300</v>
      </c>
      <c r="I320" s="31">
        <v>50</v>
      </c>
      <c r="J320" s="27">
        <v>10821</v>
      </c>
      <c r="K320" s="31">
        <v>1528</v>
      </c>
      <c r="L320" s="31">
        <v>495</v>
      </c>
      <c r="M320" s="31">
        <v>1296</v>
      </c>
      <c r="N320" s="639">
        <v>3319</v>
      </c>
      <c r="O320" s="29"/>
      <c r="X320" s="46"/>
    </row>
    <row r="321" spans="1:24" s="278" customFormat="1" ht="409.6">
      <c r="A321" s="271">
        <f>References!V278</f>
        <v>480</v>
      </c>
      <c r="B321" s="305" t="s">
        <v>49</v>
      </c>
      <c r="C321" s="284">
        <v>2011</v>
      </c>
      <c r="D321" s="284">
        <v>2013</v>
      </c>
      <c r="E321" s="31">
        <v>2282</v>
      </c>
      <c r="F321" s="31">
        <v>170</v>
      </c>
      <c r="G321" s="31">
        <v>5553</v>
      </c>
      <c r="H321" s="31">
        <v>2142</v>
      </c>
      <c r="I321" s="31">
        <v>50</v>
      </c>
      <c r="J321" s="27">
        <v>10197</v>
      </c>
      <c r="K321" s="31">
        <v>1511</v>
      </c>
      <c r="L321" s="31">
        <v>492</v>
      </c>
      <c r="M321" s="31">
        <v>1294</v>
      </c>
      <c r="N321" s="639">
        <v>3297</v>
      </c>
      <c r="O321" s="29"/>
      <c r="X321" s="46"/>
    </row>
    <row r="322" spans="1:24" s="278" customFormat="1" ht="409.6">
      <c r="A322" s="271">
        <f>References!W278</f>
        <v>481</v>
      </c>
      <c r="B322" s="305" t="s">
        <v>49</v>
      </c>
      <c r="C322" s="284">
        <v>2011</v>
      </c>
      <c r="D322" s="284">
        <v>2014</v>
      </c>
      <c r="E322" s="31">
        <v>835</v>
      </c>
      <c r="F322" s="31">
        <v>470</v>
      </c>
      <c r="G322" s="31">
        <v>5519</v>
      </c>
      <c r="H322" s="31">
        <v>1375</v>
      </c>
      <c r="I322" s="31">
        <v>50</v>
      </c>
      <c r="J322" s="27">
        <v>8249</v>
      </c>
      <c r="K322" s="31">
        <v>1497</v>
      </c>
      <c r="L322" s="31">
        <v>485</v>
      </c>
      <c r="M322" s="31">
        <v>1290</v>
      </c>
      <c r="N322" s="639">
        <v>3272</v>
      </c>
      <c r="O322" s="29"/>
      <c r="X322" s="46"/>
    </row>
    <row r="323" spans="1:24" s="278" customFormat="1" ht="409.6">
      <c r="A323" s="271">
        <f>References!X278</f>
        <v>482</v>
      </c>
      <c r="B323" s="305" t="s">
        <v>49</v>
      </c>
      <c r="C323" s="284">
        <v>2011</v>
      </c>
      <c r="D323" s="284">
        <v>2015</v>
      </c>
      <c r="E323" s="31">
        <v>1085</v>
      </c>
      <c r="F323" s="31">
        <v>935</v>
      </c>
      <c r="G323" s="31">
        <v>5622</v>
      </c>
      <c r="H323" s="31">
        <v>1570</v>
      </c>
      <c r="I323" s="31">
        <v>50</v>
      </c>
      <c r="J323" s="27">
        <v>9262</v>
      </c>
      <c r="K323" s="31">
        <v>1488</v>
      </c>
      <c r="L323" s="31">
        <v>487</v>
      </c>
      <c r="M323" s="31">
        <v>1290</v>
      </c>
      <c r="N323" s="639">
        <v>3265</v>
      </c>
      <c r="O323" s="29"/>
      <c r="X323" s="46"/>
    </row>
    <row r="324" spans="1:24" s="278" customFormat="1" ht="409.6">
      <c r="A324" s="271">
        <f>References!Y278</f>
        <v>483</v>
      </c>
      <c r="B324" s="305" t="s">
        <v>49</v>
      </c>
      <c r="C324" s="284">
        <v>2011</v>
      </c>
      <c r="D324" s="284">
        <v>2016</v>
      </c>
      <c r="E324" s="31">
        <v>535</v>
      </c>
      <c r="F324" s="31">
        <v>200</v>
      </c>
      <c r="G324" s="31">
        <v>5293</v>
      </c>
      <c r="H324" s="31">
        <v>1645</v>
      </c>
      <c r="I324" s="31">
        <v>50</v>
      </c>
      <c r="J324" s="27">
        <v>7723</v>
      </c>
      <c r="K324" s="31">
        <v>1479</v>
      </c>
      <c r="L324" s="31">
        <v>485</v>
      </c>
      <c r="M324" s="31">
        <v>1290</v>
      </c>
      <c r="N324" s="639">
        <v>3254</v>
      </c>
      <c r="O324" s="29"/>
      <c r="X324" s="46"/>
    </row>
    <row r="325" spans="1:24" s="278" customFormat="1" ht="409.6">
      <c r="A325" s="271">
        <f>References!K279</f>
        <v>492</v>
      </c>
      <c r="B325" s="305" t="s">
        <v>50</v>
      </c>
      <c r="C325" s="284">
        <v>2009</v>
      </c>
      <c r="D325" s="284">
        <v>2010</v>
      </c>
      <c r="E325" s="31">
        <v>5301</v>
      </c>
      <c r="F325" s="31">
        <v>7139</v>
      </c>
      <c r="G325" s="31">
        <v>5814</v>
      </c>
      <c r="H325" s="31">
        <v>175</v>
      </c>
      <c r="I325" s="31">
        <v>58</v>
      </c>
      <c r="J325" s="27">
        <v>18487</v>
      </c>
      <c r="K325" s="31">
        <v>3204</v>
      </c>
      <c r="L325" s="31">
        <v>1197</v>
      </c>
      <c r="M325" s="31">
        <v>2717</v>
      </c>
      <c r="N325" s="639">
        <v>7118</v>
      </c>
      <c r="O325" s="29"/>
      <c r="X325" s="46"/>
    </row>
    <row r="326" spans="1:24" s="278" customFormat="1" ht="409.6">
      <c r="A326" s="271">
        <f>References!L279</f>
        <v>493</v>
      </c>
      <c r="B326" s="305" t="s">
        <v>50</v>
      </c>
      <c r="C326" s="284">
        <v>2009</v>
      </c>
      <c r="D326" s="284">
        <v>2011</v>
      </c>
      <c r="E326" s="31">
        <v>3903</v>
      </c>
      <c r="F326" s="31">
        <v>5953</v>
      </c>
      <c r="G326" s="31">
        <v>7631</v>
      </c>
      <c r="H326" s="31">
        <v>716</v>
      </c>
      <c r="I326" s="31">
        <v>29</v>
      </c>
      <c r="J326" s="27">
        <v>18232</v>
      </c>
      <c r="K326" s="31">
        <v>2889</v>
      </c>
      <c r="L326" s="31">
        <v>1217</v>
      </c>
      <c r="M326" s="31">
        <v>2762</v>
      </c>
      <c r="N326" s="639">
        <v>6868</v>
      </c>
      <c r="O326" s="29"/>
      <c r="X326" s="46"/>
    </row>
    <row r="327" spans="1:24" s="278" customFormat="1" ht="409.6">
      <c r="A327" s="271">
        <f>References!M279</f>
        <v>494</v>
      </c>
      <c r="B327" s="305" t="s">
        <v>50</v>
      </c>
      <c r="C327" s="284">
        <v>2009</v>
      </c>
      <c r="D327" s="284">
        <v>2012</v>
      </c>
      <c r="E327" s="31">
        <v>3320</v>
      </c>
      <c r="F327" s="31">
        <v>8706</v>
      </c>
      <c r="G327" s="31">
        <v>7736</v>
      </c>
      <c r="H327" s="31">
        <v>979</v>
      </c>
      <c r="I327" s="31">
        <v>11</v>
      </c>
      <c r="J327" s="27">
        <v>20752</v>
      </c>
      <c r="K327" s="31">
        <v>2632</v>
      </c>
      <c r="L327" s="31">
        <v>1235</v>
      </c>
      <c r="M327" s="31">
        <v>2801</v>
      </c>
      <c r="N327" s="639">
        <v>6668</v>
      </c>
      <c r="O327" s="29"/>
      <c r="X327" s="46"/>
    </row>
    <row r="328" spans="1:24" s="278" customFormat="1" ht="409.6">
      <c r="A328" s="271">
        <f>References!N279</f>
        <v>495</v>
      </c>
      <c r="B328" s="305" t="s">
        <v>50</v>
      </c>
      <c r="C328" s="284">
        <v>2009</v>
      </c>
      <c r="D328" s="284">
        <v>2013</v>
      </c>
      <c r="E328" s="31">
        <v>3320</v>
      </c>
      <c r="F328" s="31">
        <v>5779</v>
      </c>
      <c r="G328" s="31">
        <v>8494</v>
      </c>
      <c r="H328" s="31">
        <v>512</v>
      </c>
      <c r="I328" s="31">
        <v>0</v>
      </c>
      <c r="J328" s="27">
        <v>18105</v>
      </c>
      <c r="K328" s="31">
        <v>2632</v>
      </c>
      <c r="L328" s="31">
        <v>1235</v>
      </c>
      <c r="M328" s="31">
        <v>2801</v>
      </c>
      <c r="N328" s="639">
        <v>6668</v>
      </c>
      <c r="O328" s="29"/>
      <c r="X328" s="46"/>
    </row>
    <row r="329" spans="1:24" s="278" customFormat="1" ht="409.6">
      <c r="A329" s="271">
        <f>References!O279</f>
        <v>496</v>
      </c>
      <c r="B329" s="305" t="s">
        <v>50</v>
      </c>
      <c r="C329" s="284">
        <v>2009</v>
      </c>
      <c r="D329" s="284">
        <v>2014</v>
      </c>
      <c r="E329" s="31">
        <v>2738</v>
      </c>
      <c r="F329" s="31">
        <v>4229</v>
      </c>
      <c r="G329" s="31">
        <v>7795</v>
      </c>
      <c r="H329" s="31">
        <v>512</v>
      </c>
      <c r="I329" s="31">
        <v>0</v>
      </c>
      <c r="J329" s="27">
        <v>15274</v>
      </c>
      <c r="K329" s="31">
        <v>2632</v>
      </c>
      <c r="L329" s="31">
        <v>1235</v>
      </c>
      <c r="M329" s="31">
        <v>2801</v>
      </c>
      <c r="N329" s="639">
        <v>6668</v>
      </c>
      <c r="O329" s="29"/>
      <c r="X329" s="46"/>
    </row>
    <row r="330" spans="1:24" s="278" customFormat="1" ht="409.6">
      <c r="A330" s="271">
        <f>References!P279</f>
        <v>497</v>
      </c>
      <c r="B330" s="305" t="s">
        <v>50</v>
      </c>
      <c r="C330" s="284">
        <v>2010</v>
      </c>
      <c r="D330" s="284">
        <v>2011</v>
      </c>
      <c r="E330" s="31">
        <v>4677</v>
      </c>
      <c r="F330" s="31">
        <v>6227</v>
      </c>
      <c r="G330" s="31">
        <v>7101</v>
      </c>
      <c r="H330" s="31">
        <v>274</v>
      </c>
      <c r="I330" s="31">
        <v>105</v>
      </c>
      <c r="J330" s="27">
        <v>18384</v>
      </c>
      <c r="K330" s="31">
        <v>2344</v>
      </c>
      <c r="L330" s="31">
        <v>960</v>
      </c>
      <c r="M330" s="31">
        <v>2410</v>
      </c>
      <c r="N330" s="639">
        <v>5714</v>
      </c>
      <c r="O330" s="29"/>
      <c r="X330" s="46"/>
    </row>
    <row r="331" spans="1:24" s="278" customFormat="1" ht="409.6">
      <c r="A331" s="271">
        <f>References!Q279</f>
        <v>498</v>
      </c>
      <c r="B331" s="305" t="s">
        <v>50</v>
      </c>
      <c r="C331" s="284">
        <v>2010</v>
      </c>
      <c r="D331" s="284">
        <v>2012</v>
      </c>
      <c r="E331" s="31">
        <v>3320</v>
      </c>
      <c r="F331" s="31">
        <v>7115</v>
      </c>
      <c r="G331" s="31">
        <v>7026</v>
      </c>
      <c r="H331" s="31">
        <v>571</v>
      </c>
      <c r="I331" s="31">
        <v>93</v>
      </c>
      <c r="J331" s="27">
        <v>18125</v>
      </c>
      <c r="K331" s="31">
        <v>2201</v>
      </c>
      <c r="L331" s="31">
        <v>950</v>
      </c>
      <c r="M331" s="31">
        <v>2410</v>
      </c>
      <c r="N331" s="639">
        <v>5561</v>
      </c>
      <c r="O331" s="29"/>
      <c r="X331" s="46"/>
    </row>
    <row r="332" spans="1:24" s="278" customFormat="1" ht="409.6">
      <c r="A332" s="271">
        <f>References!R279</f>
        <v>499</v>
      </c>
      <c r="B332" s="305" t="s">
        <v>50</v>
      </c>
      <c r="C332" s="284">
        <v>2010</v>
      </c>
      <c r="D332" s="284">
        <v>2013</v>
      </c>
      <c r="E332" s="31">
        <v>3320</v>
      </c>
      <c r="F332" s="31">
        <v>7056</v>
      </c>
      <c r="G332" s="31">
        <v>7620</v>
      </c>
      <c r="H332" s="31">
        <v>571</v>
      </c>
      <c r="I332" s="31">
        <v>81</v>
      </c>
      <c r="J332" s="27">
        <v>18648</v>
      </c>
      <c r="K332" s="31">
        <v>2088</v>
      </c>
      <c r="L332" s="31">
        <v>941</v>
      </c>
      <c r="M332" s="31">
        <v>2409</v>
      </c>
      <c r="N332" s="639">
        <v>5438</v>
      </c>
      <c r="O332" s="29"/>
      <c r="X332" s="46"/>
    </row>
    <row r="333" spans="1:24" s="278" customFormat="1" ht="409.6">
      <c r="A333" s="271">
        <f>References!S279</f>
        <v>500</v>
      </c>
      <c r="B333" s="305" t="s">
        <v>50</v>
      </c>
      <c r="C333" s="284">
        <v>2010</v>
      </c>
      <c r="D333" s="284">
        <v>2014</v>
      </c>
      <c r="E333" s="31">
        <v>2738</v>
      </c>
      <c r="F333" s="31">
        <v>6980</v>
      </c>
      <c r="G333" s="31">
        <v>7794</v>
      </c>
      <c r="H333" s="31">
        <v>571</v>
      </c>
      <c r="I333" s="31">
        <v>70</v>
      </c>
      <c r="J333" s="27">
        <v>18153</v>
      </c>
      <c r="K333" s="31">
        <v>1975</v>
      </c>
      <c r="L333" s="31">
        <v>931</v>
      </c>
      <c r="M333" s="31">
        <v>2410</v>
      </c>
      <c r="N333" s="639">
        <v>5316</v>
      </c>
      <c r="O333" s="29"/>
      <c r="X333" s="46"/>
    </row>
    <row r="334" spans="1:24" s="278" customFormat="1" ht="409.6">
      <c r="A334" s="271">
        <f>References!T279</f>
        <v>501</v>
      </c>
      <c r="B334" s="305" t="s">
        <v>50</v>
      </c>
      <c r="C334" s="284">
        <v>2010</v>
      </c>
      <c r="D334" s="284">
        <v>2015</v>
      </c>
      <c r="E334" s="31">
        <v>2738</v>
      </c>
      <c r="F334" s="31">
        <v>3740</v>
      </c>
      <c r="G334" s="31">
        <v>9571</v>
      </c>
      <c r="H334" s="31">
        <v>524</v>
      </c>
      <c r="I334" s="31">
        <v>58</v>
      </c>
      <c r="J334" s="27">
        <v>16631</v>
      </c>
      <c r="K334" s="31">
        <v>1862</v>
      </c>
      <c r="L334" s="31">
        <v>922</v>
      </c>
      <c r="M334" s="31">
        <v>2410</v>
      </c>
      <c r="N334" s="639">
        <v>5194</v>
      </c>
      <c r="O334" s="29"/>
      <c r="X334" s="46"/>
    </row>
    <row r="335" spans="1:24" s="278" customFormat="1" ht="409.6">
      <c r="A335" s="271">
        <f>References!U279</f>
        <v>502</v>
      </c>
      <c r="B335" s="305" t="s">
        <v>50</v>
      </c>
      <c r="C335" s="284">
        <v>2011</v>
      </c>
      <c r="D335" s="284">
        <v>2012</v>
      </c>
      <c r="E335" s="31">
        <v>3163</v>
      </c>
      <c r="F335" s="31">
        <v>9318</v>
      </c>
      <c r="G335" s="31">
        <v>7663</v>
      </c>
      <c r="H335" s="31">
        <v>1022</v>
      </c>
      <c r="I335" s="31">
        <v>108</v>
      </c>
      <c r="J335" s="27">
        <v>21274</v>
      </c>
      <c r="K335" s="31">
        <v>3521</v>
      </c>
      <c r="L335" s="31">
        <v>774</v>
      </c>
      <c r="M335" s="31">
        <v>2305</v>
      </c>
      <c r="N335" s="639">
        <v>6600</v>
      </c>
      <c r="O335" s="29"/>
      <c r="X335" s="46"/>
    </row>
    <row r="336" spans="1:24" s="278" customFormat="1" ht="409.6">
      <c r="A336" s="271">
        <f>References!V279</f>
        <v>503</v>
      </c>
      <c r="B336" s="305" t="s">
        <v>50</v>
      </c>
      <c r="C336" s="284">
        <v>2011</v>
      </c>
      <c r="D336" s="284">
        <v>2013</v>
      </c>
      <c r="E336" s="31">
        <v>2930</v>
      </c>
      <c r="F336" s="31">
        <v>6951</v>
      </c>
      <c r="G336" s="31">
        <v>9189</v>
      </c>
      <c r="H336" s="31">
        <v>920</v>
      </c>
      <c r="I336" s="31">
        <v>87</v>
      </c>
      <c r="J336" s="27">
        <v>20077</v>
      </c>
      <c r="K336" s="31">
        <v>3461</v>
      </c>
      <c r="L336" s="31">
        <v>774</v>
      </c>
      <c r="M336" s="31">
        <v>2304</v>
      </c>
      <c r="N336" s="639">
        <v>6539</v>
      </c>
      <c r="O336" s="29"/>
      <c r="X336" s="46"/>
    </row>
    <row r="337" spans="1:24" s="278" customFormat="1" ht="409.6">
      <c r="A337" s="271">
        <f>References!W279</f>
        <v>504</v>
      </c>
      <c r="B337" s="305" t="s">
        <v>50</v>
      </c>
      <c r="C337" s="284">
        <v>2011</v>
      </c>
      <c r="D337" s="284">
        <v>2014</v>
      </c>
      <c r="E337" s="31">
        <v>2930</v>
      </c>
      <c r="F337" s="31">
        <v>8566</v>
      </c>
      <c r="G337" s="31">
        <v>7625</v>
      </c>
      <c r="H337" s="31">
        <v>804</v>
      </c>
      <c r="I337" s="31">
        <v>87</v>
      </c>
      <c r="J337" s="27">
        <v>20012</v>
      </c>
      <c r="K337" s="31">
        <v>2711</v>
      </c>
      <c r="L337" s="31">
        <v>774</v>
      </c>
      <c r="M337" s="31">
        <v>2304</v>
      </c>
      <c r="N337" s="639">
        <v>5789</v>
      </c>
      <c r="O337" s="29"/>
      <c r="X337" s="46"/>
    </row>
    <row r="338" spans="1:24" s="278" customFormat="1" ht="409.6">
      <c r="A338" s="271">
        <f>References!X279</f>
        <v>505</v>
      </c>
      <c r="B338" s="305" t="s">
        <v>50</v>
      </c>
      <c r="C338" s="284">
        <v>2011</v>
      </c>
      <c r="D338" s="284">
        <v>2015</v>
      </c>
      <c r="E338" s="31">
        <v>3163</v>
      </c>
      <c r="F338" s="31">
        <v>4045</v>
      </c>
      <c r="G338" s="31">
        <v>10042</v>
      </c>
      <c r="H338" s="31">
        <v>874</v>
      </c>
      <c r="I338" s="31">
        <v>87</v>
      </c>
      <c r="J338" s="27">
        <v>18211</v>
      </c>
      <c r="K338" s="31">
        <v>2461</v>
      </c>
      <c r="L338" s="31">
        <v>774</v>
      </c>
      <c r="M338" s="31">
        <v>2304</v>
      </c>
      <c r="N338" s="639">
        <v>5539</v>
      </c>
      <c r="O338" s="29"/>
      <c r="X338" s="46"/>
    </row>
    <row r="339" spans="1:24" s="278" customFormat="1" ht="409.6">
      <c r="A339" s="271">
        <f>References!Y279</f>
        <v>506</v>
      </c>
      <c r="B339" s="305" t="s">
        <v>50</v>
      </c>
      <c r="C339" s="284">
        <v>2011</v>
      </c>
      <c r="D339" s="284">
        <v>2016</v>
      </c>
      <c r="E339" s="31">
        <v>2930</v>
      </c>
      <c r="F339" s="31">
        <v>3670</v>
      </c>
      <c r="G339" s="31">
        <v>10817</v>
      </c>
      <c r="H339" s="31">
        <v>804</v>
      </c>
      <c r="I339" s="31">
        <v>87</v>
      </c>
      <c r="J339" s="27">
        <v>18308</v>
      </c>
      <c r="K339" s="31">
        <v>2336</v>
      </c>
      <c r="L339" s="31">
        <v>774</v>
      </c>
      <c r="M339" s="31">
        <v>2304</v>
      </c>
      <c r="N339" s="639">
        <v>5414</v>
      </c>
      <c r="O339" s="29"/>
      <c r="X339" s="46"/>
    </row>
    <row r="340" spans="1:24" s="278" customFormat="1" ht="409.6">
      <c r="A340" s="271">
        <f>References!K281</f>
        <v>538</v>
      </c>
      <c r="B340" s="305" t="s">
        <v>52</v>
      </c>
      <c r="C340" s="284">
        <v>2009</v>
      </c>
      <c r="D340" s="284">
        <v>2010</v>
      </c>
      <c r="E340" s="31">
        <v>9900</v>
      </c>
      <c r="F340" s="31">
        <v>7500</v>
      </c>
      <c r="G340" s="31">
        <v>14750</v>
      </c>
      <c r="H340" s="31">
        <v>2500</v>
      </c>
      <c r="I340" s="31">
        <v>175</v>
      </c>
      <c r="J340" s="27">
        <v>34825</v>
      </c>
      <c r="K340" s="31">
        <v>4525</v>
      </c>
      <c r="L340" s="31">
        <v>1455</v>
      </c>
      <c r="M340" s="31">
        <v>3235</v>
      </c>
      <c r="N340" s="639">
        <v>9215</v>
      </c>
      <c r="O340" s="29"/>
      <c r="X340" s="46"/>
    </row>
    <row r="341" spans="1:24" s="278" customFormat="1" ht="409.6">
      <c r="A341" s="271">
        <f>References!L281</f>
        <v>539</v>
      </c>
      <c r="B341" s="305" t="s">
        <v>52</v>
      </c>
      <c r="C341" s="284">
        <v>2009</v>
      </c>
      <c r="D341" s="284">
        <v>2011</v>
      </c>
      <c r="E341" s="31">
        <v>5700</v>
      </c>
      <c r="F341" s="31">
        <v>4700</v>
      </c>
      <c r="G341" s="31">
        <v>16150</v>
      </c>
      <c r="H341" s="31">
        <v>1750</v>
      </c>
      <c r="I341" s="31">
        <v>0</v>
      </c>
      <c r="J341" s="27">
        <v>28300</v>
      </c>
      <c r="K341" s="31">
        <v>4788</v>
      </c>
      <c r="L341" s="31">
        <v>1530</v>
      </c>
      <c r="M341" s="31">
        <v>3112</v>
      </c>
      <c r="N341" s="639">
        <v>9430</v>
      </c>
      <c r="O341" s="29"/>
      <c r="X341" s="46"/>
    </row>
    <row r="342" spans="1:24" s="278" customFormat="1" ht="409.6">
      <c r="A342" s="271">
        <f>References!M281</f>
        <v>540</v>
      </c>
      <c r="B342" s="305" t="s">
        <v>52</v>
      </c>
      <c r="C342" s="284">
        <v>2009</v>
      </c>
      <c r="D342" s="284">
        <v>2012</v>
      </c>
      <c r="E342" s="31">
        <v>5000</v>
      </c>
      <c r="F342" s="31">
        <v>4800</v>
      </c>
      <c r="G342" s="31">
        <v>15975</v>
      </c>
      <c r="H342" s="31">
        <v>1750</v>
      </c>
      <c r="I342" s="31">
        <v>175</v>
      </c>
      <c r="J342" s="27">
        <v>27700</v>
      </c>
      <c r="K342" s="31">
        <v>5030</v>
      </c>
      <c r="L342" s="31">
        <v>1607</v>
      </c>
      <c r="M342" s="31">
        <v>2982</v>
      </c>
      <c r="N342" s="639">
        <v>9619</v>
      </c>
      <c r="O342" s="29"/>
      <c r="X342" s="46"/>
    </row>
    <row r="343" spans="1:24" s="278" customFormat="1" ht="409.6">
      <c r="A343" s="271">
        <f>References!N281</f>
        <v>541</v>
      </c>
      <c r="B343" s="305" t="s">
        <v>52</v>
      </c>
      <c r="C343" s="284">
        <v>2009</v>
      </c>
      <c r="D343" s="284">
        <v>2013</v>
      </c>
      <c r="E343" s="31">
        <v>5000</v>
      </c>
      <c r="F343" s="31">
        <v>2800</v>
      </c>
      <c r="G343" s="31">
        <v>15650</v>
      </c>
      <c r="H343" s="31">
        <v>1750</v>
      </c>
      <c r="I343" s="31">
        <v>500</v>
      </c>
      <c r="J343" s="27">
        <v>25700</v>
      </c>
      <c r="K343" s="31">
        <v>5354</v>
      </c>
      <c r="L343" s="31">
        <v>1710</v>
      </c>
      <c r="M343" s="31">
        <v>2747</v>
      </c>
      <c r="N343" s="639">
        <v>9811</v>
      </c>
      <c r="O343" s="29"/>
      <c r="X343" s="46"/>
    </row>
    <row r="344" spans="1:24" s="278" customFormat="1" ht="409.6">
      <c r="A344" s="271">
        <f>References!O281</f>
        <v>542</v>
      </c>
      <c r="B344" s="305" t="s">
        <v>52</v>
      </c>
      <c r="C344" s="284">
        <v>2009</v>
      </c>
      <c r="D344" s="284">
        <v>2014</v>
      </c>
      <c r="E344" s="31">
        <v>5100</v>
      </c>
      <c r="F344" s="31">
        <v>2800</v>
      </c>
      <c r="G344" s="31">
        <v>16150</v>
      </c>
      <c r="H344" s="31">
        <v>1750</v>
      </c>
      <c r="I344" s="31">
        <v>0</v>
      </c>
      <c r="J344" s="27">
        <v>25800</v>
      </c>
      <c r="K344" s="31">
        <v>5764</v>
      </c>
      <c r="L344" s="31">
        <v>1841</v>
      </c>
      <c r="M344" s="31">
        <v>2402</v>
      </c>
      <c r="N344" s="639">
        <v>10007</v>
      </c>
      <c r="O344" s="29"/>
      <c r="X344" s="46"/>
    </row>
    <row r="345" spans="1:24" s="278" customFormat="1" ht="409.6">
      <c r="A345" s="271">
        <f>References!P281</f>
        <v>543</v>
      </c>
      <c r="B345" s="305" t="s">
        <v>52</v>
      </c>
      <c r="C345" s="284">
        <v>2010</v>
      </c>
      <c r="D345" s="284">
        <v>2011</v>
      </c>
      <c r="E345" s="31">
        <v>9600</v>
      </c>
      <c r="F345" s="31">
        <v>3700</v>
      </c>
      <c r="G345" s="31">
        <v>17400</v>
      </c>
      <c r="H345" s="31">
        <v>9200</v>
      </c>
      <c r="I345" s="31">
        <v>1500</v>
      </c>
      <c r="J345" s="27">
        <v>41400</v>
      </c>
      <c r="K345" s="31">
        <v>4936</v>
      </c>
      <c r="L345" s="31">
        <v>2600</v>
      </c>
      <c r="M345" s="31">
        <v>3500</v>
      </c>
      <c r="N345" s="639">
        <v>11036</v>
      </c>
      <c r="O345" s="29"/>
      <c r="X345" s="46"/>
    </row>
    <row r="346" spans="1:24" s="278" customFormat="1" ht="409.6">
      <c r="A346" s="271">
        <f>References!Q281</f>
        <v>544</v>
      </c>
      <c r="B346" s="305" t="s">
        <v>52</v>
      </c>
      <c r="C346" s="284">
        <v>2010</v>
      </c>
      <c r="D346" s="284">
        <v>2012</v>
      </c>
      <c r="E346" s="31">
        <v>7000</v>
      </c>
      <c r="F346" s="31">
        <v>4800</v>
      </c>
      <c r="G346" s="31">
        <v>18200</v>
      </c>
      <c r="H346" s="31">
        <v>19000</v>
      </c>
      <c r="I346" s="31">
        <v>500</v>
      </c>
      <c r="J346" s="27">
        <v>49500</v>
      </c>
      <c r="K346" s="31">
        <v>5200</v>
      </c>
      <c r="L346" s="31">
        <v>2136</v>
      </c>
      <c r="M346" s="31">
        <v>3700</v>
      </c>
      <c r="N346" s="639">
        <v>11036</v>
      </c>
      <c r="O346" s="29"/>
      <c r="X346" s="46"/>
    </row>
    <row r="347" spans="1:24" s="278" customFormat="1" ht="409.6">
      <c r="A347" s="271">
        <f>References!R281</f>
        <v>545</v>
      </c>
      <c r="B347" s="305" t="s">
        <v>52</v>
      </c>
      <c r="C347" s="284">
        <v>2010</v>
      </c>
      <c r="D347" s="284">
        <v>2013</v>
      </c>
      <c r="E347" s="31">
        <v>5000</v>
      </c>
      <c r="F347" s="31">
        <v>2800</v>
      </c>
      <c r="G347" s="31">
        <v>17800</v>
      </c>
      <c r="H347" s="31">
        <v>18800</v>
      </c>
      <c r="I347" s="31">
        <v>500</v>
      </c>
      <c r="J347" s="27">
        <v>44900</v>
      </c>
      <c r="K347" s="31">
        <v>5300</v>
      </c>
      <c r="L347" s="31">
        <v>1936</v>
      </c>
      <c r="M347" s="31">
        <v>3800</v>
      </c>
      <c r="N347" s="639">
        <v>11036</v>
      </c>
      <c r="O347" s="29"/>
      <c r="X347" s="46"/>
    </row>
    <row r="348" spans="1:24" s="278" customFormat="1" ht="409.6">
      <c r="A348" s="271">
        <f>References!S281</f>
        <v>546</v>
      </c>
      <c r="B348" s="305" t="s">
        <v>52</v>
      </c>
      <c r="C348" s="284">
        <v>2010</v>
      </c>
      <c r="D348" s="284">
        <v>2014</v>
      </c>
      <c r="E348" s="31">
        <v>5000</v>
      </c>
      <c r="F348" s="31">
        <v>2800</v>
      </c>
      <c r="G348" s="31">
        <v>18400</v>
      </c>
      <c r="H348" s="31">
        <v>20100</v>
      </c>
      <c r="I348" s="31">
        <v>500</v>
      </c>
      <c r="J348" s="27">
        <v>46800</v>
      </c>
      <c r="K348" s="31">
        <v>5400</v>
      </c>
      <c r="L348" s="31">
        <v>1636</v>
      </c>
      <c r="M348" s="31">
        <v>4000</v>
      </c>
      <c r="N348" s="639">
        <v>11036</v>
      </c>
      <c r="O348" s="29"/>
      <c r="X348" s="46"/>
    </row>
    <row r="349" spans="1:24" s="278" customFormat="1" ht="409.6">
      <c r="A349" s="271">
        <f>References!T281</f>
        <v>547</v>
      </c>
      <c r="B349" s="305" t="s">
        <v>52</v>
      </c>
      <c r="C349" s="284">
        <v>2010</v>
      </c>
      <c r="D349" s="284">
        <v>2015</v>
      </c>
      <c r="E349" s="31">
        <v>5000</v>
      </c>
      <c r="F349" s="31">
        <v>3000</v>
      </c>
      <c r="G349" s="31">
        <v>18400</v>
      </c>
      <c r="H349" s="31">
        <v>2900</v>
      </c>
      <c r="I349" s="31">
        <v>500</v>
      </c>
      <c r="J349" s="27">
        <v>29800</v>
      </c>
      <c r="K349" s="31">
        <v>5400</v>
      </c>
      <c r="L349" s="31">
        <v>1636</v>
      </c>
      <c r="M349" s="31">
        <v>4000</v>
      </c>
      <c r="N349" s="639">
        <v>11036</v>
      </c>
      <c r="O349" s="29"/>
      <c r="X349" s="46"/>
    </row>
    <row r="350" spans="1:24" s="278" customFormat="1" ht="409.6">
      <c r="A350" s="271">
        <f>References!U281</f>
        <v>548</v>
      </c>
      <c r="B350" s="305" t="s">
        <v>52</v>
      </c>
      <c r="C350" s="284">
        <v>2011</v>
      </c>
      <c r="D350" s="284">
        <v>2012</v>
      </c>
      <c r="E350" s="31">
        <v>9068</v>
      </c>
      <c r="F350" s="31">
        <v>1890</v>
      </c>
      <c r="G350" s="31">
        <v>12627</v>
      </c>
      <c r="H350" s="31">
        <v>7765</v>
      </c>
      <c r="I350" s="31">
        <v>1104</v>
      </c>
      <c r="J350" s="27">
        <v>32454</v>
      </c>
      <c r="K350" s="31">
        <v>4770</v>
      </c>
      <c r="L350" s="31">
        <v>1397</v>
      </c>
      <c r="M350" s="31">
        <v>3420</v>
      </c>
      <c r="N350" s="639">
        <v>9587</v>
      </c>
      <c r="O350" s="29"/>
      <c r="X350" s="46"/>
    </row>
    <row r="351" spans="1:24" s="278" customFormat="1" ht="409.6">
      <c r="A351" s="271">
        <f>References!V281</f>
        <v>549</v>
      </c>
      <c r="B351" s="305" t="s">
        <v>52</v>
      </c>
      <c r="C351" s="284">
        <v>2011</v>
      </c>
      <c r="D351" s="284">
        <v>2013</v>
      </c>
      <c r="E351" s="31">
        <v>8000</v>
      </c>
      <c r="F351" s="31">
        <v>2884</v>
      </c>
      <c r="G351" s="31">
        <v>13439</v>
      </c>
      <c r="H351" s="31">
        <v>27253</v>
      </c>
      <c r="I351" s="31">
        <v>800</v>
      </c>
      <c r="J351" s="27">
        <v>52376</v>
      </c>
      <c r="K351" s="31">
        <v>4770</v>
      </c>
      <c r="L351" s="31">
        <v>1397</v>
      </c>
      <c r="M351" s="31">
        <v>3420</v>
      </c>
      <c r="N351" s="639">
        <v>9587</v>
      </c>
      <c r="O351" s="29"/>
      <c r="X351" s="46"/>
    </row>
    <row r="352" spans="1:24" s="278" customFormat="1" ht="409.6">
      <c r="A352" s="271">
        <f>References!W281</f>
        <v>550</v>
      </c>
      <c r="B352" s="305" t="s">
        <v>52</v>
      </c>
      <c r="C352" s="284">
        <v>2011</v>
      </c>
      <c r="D352" s="284">
        <v>2014</v>
      </c>
      <c r="E352" s="31">
        <v>8000</v>
      </c>
      <c r="F352" s="31">
        <v>2884</v>
      </c>
      <c r="G352" s="31">
        <v>14572</v>
      </c>
      <c r="H352" s="31">
        <v>21353</v>
      </c>
      <c r="I352" s="31">
        <v>800</v>
      </c>
      <c r="J352" s="27">
        <v>47609</v>
      </c>
      <c r="K352" s="31">
        <v>4770</v>
      </c>
      <c r="L352" s="31">
        <v>1397</v>
      </c>
      <c r="M352" s="31">
        <v>3420</v>
      </c>
      <c r="N352" s="639">
        <v>9587</v>
      </c>
      <c r="O352" s="29"/>
      <c r="X352" s="46"/>
    </row>
    <row r="353" spans="1:24" s="278" customFormat="1" ht="409.6">
      <c r="A353" s="271">
        <f>References!X281</f>
        <v>551</v>
      </c>
      <c r="B353" s="305" t="s">
        <v>52</v>
      </c>
      <c r="C353" s="284">
        <v>2011</v>
      </c>
      <c r="D353" s="284">
        <v>2015</v>
      </c>
      <c r="E353" s="31">
        <v>8000</v>
      </c>
      <c r="F353" s="31">
        <v>3090</v>
      </c>
      <c r="G353" s="31">
        <v>16838</v>
      </c>
      <c r="H353" s="31">
        <v>22653</v>
      </c>
      <c r="I353" s="31">
        <v>800</v>
      </c>
      <c r="J353" s="27">
        <v>51381</v>
      </c>
      <c r="K353" s="31">
        <v>4770</v>
      </c>
      <c r="L353" s="31">
        <v>1397</v>
      </c>
      <c r="M353" s="31">
        <v>3420</v>
      </c>
      <c r="N353" s="639">
        <v>9587</v>
      </c>
      <c r="O353" s="29"/>
      <c r="X353" s="46"/>
    </row>
    <row r="354" spans="1:24" s="278" customFormat="1" ht="409.6">
      <c r="A354" s="271">
        <f>References!Y281</f>
        <v>552</v>
      </c>
      <c r="B354" s="305" t="s">
        <v>52</v>
      </c>
      <c r="C354" s="284">
        <v>2011</v>
      </c>
      <c r="D354" s="284">
        <v>2016</v>
      </c>
      <c r="E354" s="31">
        <v>8000</v>
      </c>
      <c r="F354" s="31">
        <v>3914</v>
      </c>
      <c r="G354" s="31">
        <v>17250</v>
      </c>
      <c r="H354" s="31">
        <v>1230</v>
      </c>
      <c r="I354" s="31">
        <v>800</v>
      </c>
      <c r="J354" s="27">
        <v>31194</v>
      </c>
      <c r="K354" s="31">
        <v>3882</v>
      </c>
      <c r="L354" s="31">
        <v>2402</v>
      </c>
      <c r="M354" s="31">
        <v>3198</v>
      </c>
      <c r="N354" s="639">
        <v>9482</v>
      </c>
      <c r="O354" s="29"/>
      <c r="X354" s="46"/>
    </row>
    <row r="355" spans="1:24" s="278" customFormat="1" ht="409.6">
      <c r="A355" s="271">
        <f>References!K282</f>
        <v>561</v>
      </c>
      <c r="B355" s="305" t="s">
        <v>53</v>
      </c>
      <c r="C355" s="284">
        <v>2009</v>
      </c>
      <c r="D355" s="284">
        <v>2010</v>
      </c>
      <c r="E355" s="31">
        <v>9944</v>
      </c>
      <c r="F355" s="31">
        <v>38683</v>
      </c>
      <c r="G355" s="31">
        <v>42089</v>
      </c>
      <c r="H355" s="31">
        <v>5680</v>
      </c>
      <c r="I355" s="31">
        <v>6676</v>
      </c>
      <c r="J355" s="27">
        <v>103072</v>
      </c>
      <c r="K355" s="31">
        <v>10793</v>
      </c>
      <c r="L355" s="31">
        <v>13477</v>
      </c>
      <c r="M355" s="31">
        <v>19974</v>
      </c>
      <c r="N355" s="639">
        <v>44244</v>
      </c>
      <c r="O355" s="29"/>
      <c r="X355" s="46"/>
    </row>
    <row r="356" spans="1:24" s="278" customFormat="1" ht="409.6">
      <c r="A356" s="271">
        <f>References!L282</f>
        <v>562</v>
      </c>
      <c r="B356" s="305" t="s">
        <v>53</v>
      </c>
      <c r="C356" s="284">
        <v>2009</v>
      </c>
      <c r="D356" s="284">
        <v>2011</v>
      </c>
      <c r="E356" s="31">
        <v>8000</v>
      </c>
      <c r="F356" s="31">
        <v>29738</v>
      </c>
      <c r="G356" s="31">
        <v>40574</v>
      </c>
      <c r="H356" s="31">
        <v>5129</v>
      </c>
      <c r="I356" s="31">
        <v>5543</v>
      </c>
      <c r="J356" s="27">
        <v>88984</v>
      </c>
      <c r="K356" s="31">
        <v>10725</v>
      </c>
      <c r="L356" s="31">
        <v>13392</v>
      </c>
      <c r="M356" s="31">
        <v>19848</v>
      </c>
      <c r="N356" s="639">
        <v>43965</v>
      </c>
      <c r="O356" s="29"/>
      <c r="X356" s="46"/>
    </row>
    <row r="357" spans="1:24" s="278" customFormat="1" ht="409.6">
      <c r="A357" s="271">
        <f>References!M282</f>
        <v>563</v>
      </c>
      <c r="B357" s="305" t="s">
        <v>53</v>
      </c>
      <c r="C357" s="284">
        <v>2009</v>
      </c>
      <c r="D357" s="284">
        <v>2012</v>
      </c>
      <c r="E357" s="31">
        <v>12409</v>
      </c>
      <c r="F357" s="31">
        <v>32607</v>
      </c>
      <c r="G357" s="31">
        <v>45693</v>
      </c>
      <c r="H357" s="31">
        <v>5821</v>
      </c>
      <c r="I357" s="31">
        <v>5720</v>
      </c>
      <c r="J357" s="27">
        <v>102250</v>
      </c>
      <c r="K357" s="31">
        <v>10517</v>
      </c>
      <c r="L357" s="31">
        <v>13133</v>
      </c>
      <c r="M357" s="31">
        <v>19463</v>
      </c>
      <c r="N357" s="639">
        <v>43113</v>
      </c>
      <c r="O357" s="29"/>
      <c r="X357" s="46"/>
    </row>
    <row r="358" spans="1:24" s="278" customFormat="1" ht="409.6">
      <c r="A358" s="271">
        <f>References!N282</f>
        <v>564</v>
      </c>
      <c r="B358" s="305" t="s">
        <v>53</v>
      </c>
      <c r="C358" s="284">
        <v>2009</v>
      </c>
      <c r="D358" s="284">
        <v>2013</v>
      </c>
      <c r="E358" s="31">
        <v>17674</v>
      </c>
      <c r="F358" s="31">
        <v>43561</v>
      </c>
      <c r="G358" s="31">
        <v>51311</v>
      </c>
      <c r="H358" s="31">
        <v>6170</v>
      </c>
      <c r="I358" s="31">
        <v>6000</v>
      </c>
      <c r="J358" s="27">
        <v>124716</v>
      </c>
      <c r="K358" s="31">
        <v>10395</v>
      </c>
      <c r="L358" s="31">
        <v>12980</v>
      </c>
      <c r="M358" s="31">
        <v>19236</v>
      </c>
      <c r="N358" s="639">
        <v>42611</v>
      </c>
      <c r="O358" s="29"/>
      <c r="X358" s="46"/>
    </row>
    <row r="359" spans="1:24" s="278" customFormat="1" ht="409.6">
      <c r="A359" s="271">
        <f>References!O282</f>
        <v>565</v>
      </c>
      <c r="B359" s="305" t="s">
        <v>53</v>
      </c>
      <c r="C359" s="284">
        <v>2009</v>
      </c>
      <c r="D359" s="284">
        <v>2014</v>
      </c>
      <c r="E359" s="31">
        <v>22835</v>
      </c>
      <c r="F359" s="31">
        <v>53346</v>
      </c>
      <c r="G359" s="31">
        <v>54732</v>
      </c>
      <c r="H359" s="31">
        <v>5045</v>
      </c>
      <c r="I359" s="31">
        <v>6000</v>
      </c>
      <c r="J359" s="27">
        <v>141958</v>
      </c>
      <c r="K359" s="31">
        <v>10256</v>
      </c>
      <c r="L359" s="31">
        <v>12807</v>
      </c>
      <c r="M359" s="31">
        <v>18980</v>
      </c>
      <c r="N359" s="639">
        <v>42043</v>
      </c>
      <c r="O359" s="29"/>
      <c r="X359" s="46"/>
    </row>
    <row r="360" spans="1:24" s="278" customFormat="1" ht="409.6">
      <c r="A360" s="271">
        <f>References!P282</f>
        <v>566</v>
      </c>
      <c r="B360" s="305" t="s">
        <v>53</v>
      </c>
      <c r="C360" s="284">
        <v>2010</v>
      </c>
      <c r="D360" s="284">
        <v>2011</v>
      </c>
      <c r="E360" s="31">
        <v>17500</v>
      </c>
      <c r="F360" s="31">
        <v>43300</v>
      </c>
      <c r="G360" s="31">
        <v>47500</v>
      </c>
      <c r="H360" s="31">
        <v>4500</v>
      </c>
      <c r="I360" s="31">
        <v>23300</v>
      </c>
      <c r="J360" s="27">
        <v>136100</v>
      </c>
      <c r="K360" s="31">
        <v>13700</v>
      </c>
      <c r="L360" s="31">
        <v>11800</v>
      </c>
      <c r="M360" s="31">
        <v>14900</v>
      </c>
      <c r="N360" s="639">
        <v>40400</v>
      </c>
      <c r="O360" s="29"/>
      <c r="X360" s="46"/>
    </row>
    <row r="361" spans="1:24" s="278" customFormat="1" ht="409.6">
      <c r="A361" s="271">
        <f>References!Q282</f>
        <v>567</v>
      </c>
      <c r="B361" s="305" t="s">
        <v>53</v>
      </c>
      <c r="C361" s="284">
        <v>2010</v>
      </c>
      <c r="D361" s="284">
        <v>2012</v>
      </c>
      <c r="E361" s="31">
        <v>18500</v>
      </c>
      <c r="F361" s="31">
        <v>45300</v>
      </c>
      <c r="G361" s="31">
        <v>55400</v>
      </c>
      <c r="H361" s="31">
        <v>5800</v>
      </c>
      <c r="I361" s="31">
        <v>22300</v>
      </c>
      <c r="J361" s="27">
        <v>147300</v>
      </c>
      <c r="K361" s="31">
        <v>13700</v>
      </c>
      <c r="L361" s="31">
        <v>11800</v>
      </c>
      <c r="M361" s="31">
        <v>14900</v>
      </c>
      <c r="N361" s="639">
        <v>40400</v>
      </c>
      <c r="O361" s="29"/>
      <c r="X361" s="46"/>
    </row>
    <row r="362" spans="1:24" s="278" customFormat="1" ht="409.6">
      <c r="A362" s="271">
        <f>References!R282</f>
        <v>568</v>
      </c>
      <c r="B362" s="305" t="s">
        <v>53</v>
      </c>
      <c r="C362" s="284">
        <v>2010</v>
      </c>
      <c r="D362" s="284">
        <v>2013</v>
      </c>
      <c r="E362" s="31">
        <v>19000</v>
      </c>
      <c r="F362" s="31">
        <v>53500</v>
      </c>
      <c r="G362" s="31">
        <v>57300</v>
      </c>
      <c r="H362" s="31">
        <v>5900</v>
      </c>
      <c r="I362" s="31">
        <v>20100</v>
      </c>
      <c r="J362" s="27">
        <v>155800</v>
      </c>
      <c r="K362" s="31">
        <v>13700</v>
      </c>
      <c r="L362" s="31">
        <v>11800</v>
      </c>
      <c r="M362" s="31">
        <v>14900</v>
      </c>
      <c r="N362" s="639">
        <v>40400</v>
      </c>
      <c r="O362" s="29"/>
      <c r="X362" s="46"/>
    </row>
    <row r="363" spans="1:24" s="278" customFormat="1" ht="409.6">
      <c r="A363" s="271">
        <f>References!S282</f>
        <v>569</v>
      </c>
      <c r="B363" s="305" t="s">
        <v>53</v>
      </c>
      <c r="C363" s="284">
        <v>2010</v>
      </c>
      <c r="D363" s="284">
        <v>2014</v>
      </c>
      <c r="E363" s="31">
        <v>19700</v>
      </c>
      <c r="F363" s="31">
        <v>62600</v>
      </c>
      <c r="G363" s="31">
        <v>56700</v>
      </c>
      <c r="H363" s="31">
        <v>4300</v>
      </c>
      <c r="I363" s="31">
        <v>19400</v>
      </c>
      <c r="J363" s="27">
        <v>162700</v>
      </c>
      <c r="K363" s="31">
        <v>13700</v>
      </c>
      <c r="L363" s="31">
        <v>11800</v>
      </c>
      <c r="M363" s="31">
        <v>14900</v>
      </c>
      <c r="N363" s="639">
        <v>40400</v>
      </c>
      <c r="O363" s="29"/>
      <c r="X363" s="46"/>
    </row>
    <row r="364" spans="1:24" s="278" customFormat="1" ht="409.6">
      <c r="A364" s="271">
        <f>References!T282</f>
        <v>570</v>
      </c>
      <c r="B364" s="305" t="s">
        <v>53</v>
      </c>
      <c r="C364" s="284">
        <v>2010</v>
      </c>
      <c r="D364" s="284">
        <v>2015</v>
      </c>
      <c r="E364" s="31">
        <v>20000</v>
      </c>
      <c r="F364" s="31">
        <v>52800</v>
      </c>
      <c r="G364" s="31">
        <v>57700</v>
      </c>
      <c r="H364" s="31">
        <v>3800</v>
      </c>
      <c r="I364" s="31">
        <v>19000</v>
      </c>
      <c r="J364" s="27">
        <v>153300</v>
      </c>
      <c r="K364" s="31">
        <v>13700</v>
      </c>
      <c r="L364" s="31">
        <v>11800</v>
      </c>
      <c r="M364" s="31">
        <v>14900</v>
      </c>
      <c r="N364" s="639">
        <v>40400</v>
      </c>
      <c r="O364" s="29"/>
      <c r="X364" s="46"/>
    </row>
    <row r="365" spans="1:24" s="278" customFormat="1" ht="409.6">
      <c r="A365" s="271">
        <f>References!U282</f>
        <v>571</v>
      </c>
      <c r="B365" s="305" t="s">
        <v>53</v>
      </c>
      <c r="C365" s="284">
        <v>2011</v>
      </c>
      <c r="D365" s="284">
        <v>2012</v>
      </c>
      <c r="E365" s="31">
        <v>21600</v>
      </c>
      <c r="F365" s="31">
        <v>55500</v>
      </c>
      <c r="G365" s="31">
        <v>55900</v>
      </c>
      <c r="H365" s="31">
        <v>3400</v>
      </c>
      <c r="I365" s="31">
        <v>25800</v>
      </c>
      <c r="J365" s="27">
        <v>162200</v>
      </c>
      <c r="K365" s="31">
        <v>19600</v>
      </c>
      <c r="L365" s="31">
        <v>11600</v>
      </c>
      <c r="M365" s="31">
        <v>13000</v>
      </c>
      <c r="N365" s="639">
        <v>44200</v>
      </c>
      <c r="O365" s="29"/>
      <c r="X365" s="46"/>
    </row>
    <row r="366" spans="1:24" s="278" customFormat="1" ht="409.6">
      <c r="A366" s="271">
        <f>References!V282</f>
        <v>572</v>
      </c>
      <c r="B366" s="305" t="s">
        <v>53</v>
      </c>
      <c r="C366" s="284">
        <v>2011</v>
      </c>
      <c r="D366" s="284">
        <v>2013</v>
      </c>
      <c r="E366" s="31">
        <v>22000</v>
      </c>
      <c r="F366" s="31">
        <v>50600</v>
      </c>
      <c r="G366" s="31">
        <v>63200</v>
      </c>
      <c r="H366" s="31">
        <v>4000</v>
      </c>
      <c r="I366" s="31">
        <v>21600</v>
      </c>
      <c r="J366" s="27">
        <v>161400</v>
      </c>
      <c r="K366" s="31">
        <v>19800</v>
      </c>
      <c r="L366" s="31">
        <v>12000</v>
      </c>
      <c r="M366" s="31">
        <v>13100</v>
      </c>
      <c r="N366" s="639">
        <v>44900</v>
      </c>
      <c r="O366" s="29"/>
      <c r="X366" s="46"/>
    </row>
    <row r="367" spans="1:24" s="278" customFormat="1" ht="409.6">
      <c r="A367" s="271">
        <f>References!W282</f>
        <v>573</v>
      </c>
      <c r="B367" s="305" t="s">
        <v>53</v>
      </c>
      <c r="C367" s="284">
        <v>2011</v>
      </c>
      <c r="D367" s="284">
        <v>2014</v>
      </c>
      <c r="E367" s="31">
        <v>22200</v>
      </c>
      <c r="F367" s="31">
        <v>45000</v>
      </c>
      <c r="G367" s="31">
        <v>62700</v>
      </c>
      <c r="H367" s="31">
        <v>3800</v>
      </c>
      <c r="I367" s="31">
        <v>19400</v>
      </c>
      <c r="J367" s="27">
        <v>153100</v>
      </c>
      <c r="K367" s="31">
        <v>19700</v>
      </c>
      <c r="L367" s="31">
        <v>11900</v>
      </c>
      <c r="M367" s="31">
        <v>13100</v>
      </c>
      <c r="N367" s="639">
        <v>44700</v>
      </c>
      <c r="O367" s="29"/>
      <c r="X367" s="46"/>
    </row>
    <row r="368" spans="1:24" s="278" customFormat="1" ht="409.6">
      <c r="A368" s="271">
        <f>References!X282</f>
        <v>574</v>
      </c>
      <c r="B368" s="305" t="s">
        <v>53</v>
      </c>
      <c r="C368" s="284">
        <v>2011</v>
      </c>
      <c r="D368" s="284">
        <v>2015</v>
      </c>
      <c r="E368" s="31">
        <v>22400</v>
      </c>
      <c r="F368" s="31">
        <v>41000</v>
      </c>
      <c r="G368" s="31">
        <v>59500</v>
      </c>
      <c r="H368" s="31">
        <v>3200</v>
      </c>
      <c r="I368" s="31">
        <v>19100</v>
      </c>
      <c r="J368" s="27">
        <v>145200</v>
      </c>
      <c r="K368" s="31">
        <v>19900</v>
      </c>
      <c r="L368" s="31">
        <v>11900</v>
      </c>
      <c r="M368" s="31">
        <v>13200</v>
      </c>
      <c r="N368" s="639">
        <v>45000</v>
      </c>
      <c r="O368" s="29"/>
      <c r="X368" s="46"/>
    </row>
    <row r="369" spans="1:24" s="278" customFormat="1" ht="409.6">
      <c r="A369" s="271">
        <f>References!Y282</f>
        <v>575</v>
      </c>
      <c r="B369" s="305" t="s">
        <v>53</v>
      </c>
      <c r="C369" s="284">
        <v>2011</v>
      </c>
      <c r="D369" s="284">
        <v>2016</v>
      </c>
      <c r="E369" s="31">
        <v>22500</v>
      </c>
      <c r="F369" s="31">
        <v>43100</v>
      </c>
      <c r="G369" s="31">
        <v>59800</v>
      </c>
      <c r="H369" s="31">
        <v>2800</v>
      </c>
      <c r="I369" s="31">
        <v>18500</v>
      </c>
      <c r="J369" s="27">
        <v>146700</v>
      </c>
      <c r="K369" s="31">
        <v>19900</v>
      </c>
      <c r="L369" s="31">
        <v>11000</v>
      </c>
      <c r="M369" s="31">
        <v>13300</v>
      </c>
      <c r="N369" s="639">
        <v>44200</v>
      </c>
      <c r="O369" s="29"/>
      <c r="X369" s="46"/>
    </row>
    <row r="370" spans="1:24" s="278" customFormat="1" ht="409.6">
      <c r="A370" s="271">
        <f>References!K283</f>
        <v>584</v>
      </c>
      <c r="B370" s="305" t="s">
        <v>54</v>
      </c>
      <c r="C370" s="284">
        <v>2009</v>
      </c>
      <c r="D370" s="284">
        <v>2010</v>
      </c>
      <c r="E370" s="31">
        <v>2675</v>
      </c>
      <c r="F370" s="31">
        <v>110</v>
      </c>
      <c r="G370" s="31">
        <v>822</v>
      </c>
      <c r="H370" s="31">
        <v>1154</v>
      </c>
      <c r="I370" s="31">
        <v>0</v>
      </c>
      <c r="J370" s="27">
        <v>4761</v>
      </c>
      <c r="K370" s="31">
        <v>1314</v>
      </c>
      <c r="L370" s="31">
        <v>133</v>
      </c>
      <c r="M370" s="31">
        <v>429</v>
      </c>
      <c r="N370" s="639">
        <v>1876</v>
      </c>
      <c r="O370" s="29"/>
      <c r="X370" s="46"/>
    </row>
    <row r="371" spans="1:24" s="278" customFormat="1" ht="409.6">
      <c r="A371" s="271">
        <f>References!L283</f>
        <v>585</v>
      </c>
      <c r="B371" s="305" t="s">
        <v>54</v>
      </c>
      <c r="C371" s="284">
        <v>2009</v>
      </c>
      <c r="D371" s="284">
        <v>2011</v>
      </c>
      <c r="E371" s="31">
        <v>2675</v>
      </c>
      <c r="F371" s="31">
        <v>110</v>
      </c>
      <c r="G371" s="31">
        <v>130</v>
      </c>
      <c r="H371" s="31">
        <v>603</v>
      </c>
      <c r="I371" s="31">
        <v>0</v>
      </c>
      <c r="J371" s="27">
        <v>3518</v>
      </c>
      <c r="K371" s="31">
        <v>1189</v>
      </c>
      <c r="L371" s="31">
        <v>126</v>
      </c>
      <c r="M371" s="31">
        <v>429</v>
      </c>
      <c r="N371" s="639">
        <v>1744</v>
      </c>
      <c r="O371" s="29"/>
      <c r="X371" s="46"/>
    </row>
    <row r="372" spans="1:24" s="278" customFormat="1" ht="409.6">
      <c r="A372" s="271">
        <f>References!M283</f>
        <v>586</v>
      </c>
      <c r="B372" s="305" t="s">
        <v>54</v>
      </c>
      <c r="C372" s="284">
        <v>2009</v>
      </c>
      <c r="D372" s="284">
        <v>2012</v>
      </c>
      <c r="E372" s="31">
        <v>2675</v>
      </c>
      <c r="F372" s="31">
        <v>110</v>
      </c>
      <c r="G372" s="31">
        <v>130</v>
      </c>
      <c r="H372" s="31">
        <v>603</v>
      </c>
      <c r="I372" s="31">
        <v>0</v>
      </c>
      <c r="J372" s="27">
        <v>3518</v>
      </c>
      <c r="K372" s="31">
        <v>1189</v>
      </c>
      <c r="L372" s="31">
        <v>126</v>
      </c>
      <c r="M372" s="31">
        <v>429</v>
      </c>
      <c r="N372" s="639">
        <v>1744</v>
      </c>
      <c r="O372" s="29"/>
      <c r="X372" s="46"/>
    </row>
    <row r="373" spans="1:24" s="278" customFormat="1" ht="409.6">
      <c r="A373" s="271">
        <f>References!N283</f>
        <v>587</v>
      </c>
      <c r="B373" s="305" t="s">
        <v>54</v>
      </c>
      <c r="C373" s="284">
        <v>2009</v>
      </c>
      <c r="D373" s="284">
        <v>2013</v>
      </c>
      <c r="E373" s="31">
        <v>2675</v>
      </c>
      <c r="F373" s="31">
        <v>110</v>
      </c>
      <c r="G373" s="31">
        <v>130</v>
      </c>
      <c r="H373" s="31">
        <v>603</v>
      </c>
      <c r="I373" s="31">
        <v>0</v>
      </c>
      <c r="J373" s="27">
        <v>3518</v>
      </c>
      <c r="K373" s="31">
        <v>1189</v>
      </c>
      <c r="L373" s="31">
        <v>126</v>
      </c>
      <c r="M373" s="31">
        <v>429</v>
      </c>
      <c r="N373" s="639">
        <v>1744</v>
      </c>
      <c r="O373" s="29"/>
      <c r="X373" s="46"/>
    </row>
    <row r="374" spans="1:24" s="278" customFormat="1" ht="409.6">
      <c r="A374" s="271">
        <f>References!O283</f>
        <v>588</v>
      </c>
      <c r="B374" s="305" t="s">
        <v>54</v>
      </c>
      <c r="C374" s="284">
        <v>2009</v>
      </c>
      <c r="D374" s="284">
        <v>2014</v>
      </c>
      <c r="E374" s="31">
        <v>2675</v>
      </c>
      <c r="F374" s="31">
        <v>110</v>
      </c>
      <c r="G374" s="31">
        <v>130</v>
      </c>
      <c r="H374" s="31">
        <v>603</v>
      </c>
      <c r="I374" s="31">
        <v>0</v>
      </c>
      <c r="J374" s="27">
        <v>3518</v>
      </c>
      <c r="K374" s="31">
        <v>1189</v>
      </c>
      <c r="L374" s="31">
        <v>126</v>
      </c>
      <c r="M374" s="31">
        <v>429</v>
      </c>
      <c r="N374" s="639">
        <v>1744</v>
      </c>
      <c r="O374" s="29"/>
      <c r="X374" s="46"/>
    </row>
    <row r="375" spans="1:24" s="278" customFormat="1" ht="409.6">
      <c r="A375" s="271">
        <f>References!P283</f>
        <v>589</v>
      </c>
      <c r="B375" s="305" t="s">
        <v>54</v>
      </c>
      <c r="C375" s="284">
        <v>2010</v>
      </c>
      <c r="D375" s="284">
        <v>2011</v>
      </c>
      <c r="E375" s="31">
        <v>2675</v>
      </c>
      <c r="F375" s="31">
        <v>110</v>
      </c>
      <c r="G375" s="31">
        <v>130</v>
      </c>
      <c r="H375" s="31">
        <v>603</v>
      </c>
      <c r="I375" s="31">
        <v>0</v>
      </c>
      <c r="J375" s="27">
        <v>3518</v>
      </c>
      <c r="K375" s="31">
        <v>1189</v>
      </c>
      <c r="L375" s="31">
        <v>126</v>
      </c>
      <c r="M375" s="31">
        <v>429</v>
      </c>
      <c r="N375" s="639">
        <v>1744</v>
      </c>
      <c r="O375" s="29"/>
      <c r="X375" s="46"/>
    </row>
    <row r="376" spans="1:24" s="278" customFormat="1" ht="409.6">
      <c r="A376" s="271">
        <f>References!Q283</f>
        <v>590</v>
      </c>
      <c r="B376" s="305" t="s">
        <v>54</v>
      </c>
      <c r="C376" s="284">
        <v>2010</v>
      </c>
      <c r="D376" s="284">
        <v>2012</v>
      </c>
      <c r="E376" s="31">
        <v>2675</v>
      </c>
      <c r="F376" s="31">
        <v>110</v>
      </c>
      <c r="G376" s="31">
        <v>130</v>
      </c>
      <c r="H376" s="31">
        <v>603</v>
      </c>
      <c r="I376" s="31">
        <v>0</v>
      </c>
      <c r="J376" s="27">
        <v>3518</v>
      </c>
      <c r="K376" s="31">
        <v>1189</v>
      </c>
      <c r="L376" s="31">
        <v>126</v>
      </c>
      <c r="M376" s="31">
        <v>429</v>
      </c>
      <c r="N376" s="639">
        <v>1744</v>
      </c>
      <c r="O376" s="29"/>
      <c r="X376" s="46"/>
    </row>
    <row r="377" spans="1:24" s="278" customFormat="1" ht="409.6">
      <c r="A377" s="271">
        <f>References!R283</f>
        <v>591</v>
      </c>
      <c r="B377" s="305" t="s">
        <v>54</v>
      </c>
      <c r="C377" s="284">
        <v>2010</v>
      </c>
      <c r="D377" s="284">
        <v>2013</v>
      </c>
      <c r="E377" s="31">
        <v>2675</v>
      </c>
      <c r="F377" s="31">
        <v>110</v>
      </c>
      <c r="G377" s="31">
        <v>130</v>
      </c>
      <c r="H377" s="31">
        <v>603</v>
      </c>
      <c r="I377" s="31">
        <v>0</v>
      </c>
      <c r="J377" s="27">
        <v>3518</v>
      </c>
      <c r="K377" s="31">
        <v>1189</v>
      </c>
      <c r="L377" s="31">
        <v>126</v>
      </c>
      <c r="M377" s="31">
        <v>429</v>
      </c>
      <c r="N377" s="639">
        <v>1744</v>
      </c>
      <c r="O377" s="29"/>
      <c r="X377" s="46"/>
    </row>
    <row r="378" spans="1:24" s="278" customFormat="1" ht="409.6">
      <c r="A378" s="271">
        <f>References!S283</f>
        <v>592</v>
      </c>
      <c r="B378" s="305" t="s">
        <v>54</v>
      </c>
      <c r="C378" s="284">
        <v>2010</v>
      </c>
      <c r="D378" s="284">
        <v>2014</v>
      </c>
      <c r="E378" s="31">
        <v>2675</v>
      </c>
      <c r="F378" s="31">
        <v>110</v>
      </c>
      <c r="G378" s="31">
        <v>130</v>
      </c>
      <c r="H378" s="31">
        <v>603</v>
      </c>
      <c r="I378" s="31">
        <v>0</v>
      </c>
      <c r="J378" s="27">
        <v>3518</v>
      </c>
      <c r="K378" s="31">
        <v>1189</v>
      </c>
      <c r="L378" s="31">
        <v>126</v>
      </c>
      <c r="M378" s="31">
        <v>429</v>
      </c>
      <c r="N378" s="639">
        <v>1744</v>
      </c>
      <c r="O378" s="29"/>
      <c r="X378" s="46"/>
    </row>
    <row r="379" spans="1:24" s="278" customFormat="1" ht="409.6">
      <c r="A379" s="271">
        <f>References!T283</f>
        <v>593</v>
      </c>
      <c r="B379" s="305" t="s">
        <v>54</v>
      </c>
      <c r="C379" s="284">
        <v>2010</v>
      </c>
      <c r="D379" s="284">
        <v>2015</v>
      </c>
      <c r="E379" s="31">
        <v>2675</v>
      </c>
      <c r="F379" s="31">
        <v>240</v>
      </c>
      <c r="G379" s="31">
        <v>130</v>
      </c>
      <c r="H379" s="31">
        <v>603</v>
      </c>
      <c r="I379" s="31">
        <v>0</v>
      </c>
      <c r="J379" s="27">
        <v>3648</v>
      </c>
      <c r="K379" s="31">
        <v>1189</v>
      </c>
      <c r="L379" s="31">
        <v>126</v>
      </c>
      <c r="M379" s="31">
        <v>429</v>
      </c>
      <c r="N379" s="639">
        <v>1744</v>
      </c>
      <c r="O379" s="29"/>
      <c r="X379" s="46"/>
    </row>
    <row r="380" spans="1:24" s="278" customFormat="1" ht="409.6">
      <c r="A380" s="271">
        <f>References!U283</f>
        <v>594</v>
      </c>
      <c r="B380" s="305" t="s">
        <v>54</v>
      </c>
      <c r="C380" s="284">
        <v>2011</v>
      </c>
      <c r="D380" s="284">
        <v>2012</v>
      </c>
      <c r="E380" s="31">
        <v>1947</v>
      </c>
      <c r="F380" s="31">
        <v>65</v>
      </c>
      <c r="G380" s="31">
        <v>842</v>
      </c>
      <c r="H380" s="31">
        <v>1932</v>
      </c>
      <c r="I380" s="31">
        <v>0</v>
      </c>
      <c r="J380" s="27">
        <v>4786</v>
      </c>
      <c r="K380" s="31">
        <v>1567</v>
      </c>
      <c r="L380" s="31">
        <v>146</v>
      </c>
      <c r="M380" s="31">
        <v>451</v>
      </c>
      <c r="N380" s="639">
        <v>2164</v>
      </c>
      <c r="O380" s="29"/>
      <c r="X380" s="46"/>
    </row>
    <row r="381" spans="1:24" s="278" customFormat="1" ht="409.6">
      <c r="A381" s="271">
        <f>References!V283</f>
        <v>595</v>
      </c>
      <c r="B381" s="305" t="s">
        <v>54</v>
      </c>
      <c r="C381" s="284">
        <v>2011</v>
      </c>
      <c r="D381" s="284">
        <v>2013</v>
      </c>
      <c r="E381" s="31">
        <v>1947</v>
      </c>
      <c r="F381" s="31">
        <v>325</v>
      </c>
      <c r="G381" s="31">
        <v>842</v>
      </c>
      <c r="H381" s="31">
        <v>2427</v>
      </c>
      <c r="I381" s="31">
        <v>234</v>
      </c>
      <c r="J381" s="27">
        <v>5775</v>
      </c>
      <c r="K381" s="31">
        <v>1567</v>
      </c>
      <c r="L381" s="31">
        <v>146</v>
      </c>
      <c r="M381" s="31">
        <v>451</v>
      </c>
      <c r="N381" s="639">
        <v>2164</v>
      </c>
      <c r="O381" s="29"/>
      <c r="X381" s="46"/>
    </row>
    <row r="382" spans="1:24" s="278" customFormat="1" ht="409.6">
      <c r="A382" s="271">
        <f>References!W283</f>
        <v>596</v>
      </c>
      <c r="B382" s="305" t="s">
        <v>54</v>
      </c>
      <c r="C382" s="284">
        <v>2011</v>
      </c>
      <c r="D382" s="284">
        <v>2014</v>
      </c>
      <c r="E382" s="31">
        <v>1947</v>
      </c>
      <c r="F382" s="31">
        <v>260</v>
      </c>
      <c r="G382" s="31">
        <v>842</v>
      </c>
      <c r="H382" s="31">
        <v>1872</v>
      </c>
      <c r="I382" s="31">
        <v>234</v>
      </c>
      <c r="J382" s="27">
        <v>5155</v>
      </c>
      <c r="K382" s="31">
        <v>1567</v>
      </c>
      <c r="L382" s="31">
        <v>146</v>
      </c>
      <c r="M382" s="31">
        <v>451</v>
      </c>
      <c r="N382" s="639">
        <v>2164</v>
      </c>
      <c r="O382" s="29"/>
      <c r="X382" s="46"/>
    </row>
    <row r="383" spans="1:24" s="278" customFormat="1" ht="409.6">
      <c r="A383" s="271">
        <f>References!X283</f>
        <v>597</v>
      </c>
      <c r="B383" s="305" t="s">
        <v>54</v>
      </c>
      <c r="C383" s="284">
        <v>2011</v>
      </c>
      <c r="D383" s="284">
        <v>2015</v>
      </c>
      <c r="E383" s="31">
        <v>1999</v>
      </c>
      <c r="F383" s="31">
        <v>195</v>
      </c>
      <c r="G383" s="31">
        <v>842</v>
      </c>
      <c r="H383" s="31">
        <v>1650</v>
      </c>
      <c r="I383" s="31">
        <v>234</v>
      </c>
      <c r="J383" s="27">
        <v>4920</v>
      </c>
      <c r="K383" s="31">
        <v>1567</v>
      </c>
      <c r="L383" s="31">
        <v>146</v>
      </c>
      <c r="M383" s="31">
        <v>451</v>
      </c>
      <c r="N383" s="639">
        <v>2164</v>
      </c>
      <c r="O383" s="29"/>
      <c r="X383" s="46"/>
    </row>
    <row r="384" spans="1:24" s="278" customFormat="1" ht="409.6">
      <c r="A384" s="271">
        <f>References!Y283</f>
        <v>598</v>
      </c>
      <c r="B384" s="305" t="s">
        <v>54</v>
      </c>
      <c r="C384" s="284">
        <v>2011</v>
      </c>
      <c r="D384" s="284">
        <v>2016</v>
      </c>
      <c r="E384" s="31">
        <v>1999</v>
      </c>
      <c r="F384" s="31">
        <v>844</v>
      </c>
      <c r="G384" s="31">
        <v>598</v>
      </c>
      <c r="H384" s="31">
        <v>1466</v>
      </c>
      <c r="I384" s="31">
        <v>234</v>
      </c>
      <c r="J384" s="27">
        <v>5141</v>
      </c>
      <c r="K384" s="31">
        <v>1567</v>
      </c>
      <c r="L384" s="31">
        <v>146</v>
      </c>
      <c r="M384" s="31">
        <v>451</v>
      </c>
      <c r="N384" s="639">
        <v>2164</v>
      </c>
      <c r="O384" s="29"/>
      <c r="X384" s="46"/>
    </row>
    <row r="385" spans="1:24" s="278" customFormat="1" ht="409.6">
      <c r="A385" s="271">
        <f>References!K272</f>
        <v>331</v>
      </c>
      <c r="B385" s="305" t="s">
        <v>43</v>
      </c>
      <c r="C385" s="284">
        <v>2009</v>
      </c>
      <c r="D385" s="284">
        <v>2010</v>
      </c>
      <c r="E385" s="31">
        <v>705</v>
      </c>
      <c r="F385" s="31">
        <v>5320</v>
      </c>
      <c r="G385" s="31">
        <v>51</v>
      </c>
      <c r="H385" s="31">
        <v>911</v>
      </c>
      <c r="I385" s="31">
        <v>135</v>
      </c>
      <c r="J385" s="27">
        <v>7122</v>
      </c>
      <c r="K385" s="31">
        <v>1032</v>
      </c>
      <c r="L385" s="31">
        <v>436</v>
      </c>
      <c r="M385" s="31">
        <v>235</v>
      </c>
      <c r="N385" s="639">
        <v>1703</v>
      </c>
      <c r="O385" s="29"/>
      <c r="X385" s="46"/>
    </row>
    <row r="386" spans="1:24" s="278" customFormat="1" ht="409.6">
      <c r="A386" s="271">
        <f>References!L272</f>
        <v>332</v>
      </c>
      <c r="B386" s="305" t="s">
        <v>43</v>
      </c>
      <c r="C386" s="284">
        <v>2009</v>
      </c>
      <c r="D386" s="284">
        <v>2011</v>
      </c>
      <c r="E386" s="31">
        <v>1145</v>
      </c>
      <c r="F386" s="31">
        <v>4205</v>
      </c>
      <c r="G386" s="31">
        <v>126</v>
      </c>
      <c r="H386" s="31">
        <v>945</v>
      </c>
      <c r="I386" s="31">
        <v>135</v>
      </c>
      <c r="J386" s="27">
        <v>6556</v>
      </c>
      <c r="K386" s="31">
        <v>1032</v>
      </c>
      <c r="L386" s="31">
        <v>436</v>
      </c>
      <c r="M386" s="31">
        <v>235</v>
      </c>
      <c r="N386" s="639">
        <v>1703</v>
      </c>
      <c r="O386" s="29"/>
      <c r="X386" s="46"/>
    </row>
    <row r="387" spans="1:24" s="278" customFormat="1" ht="409.6">
      <c r="A387" s="271">
        <f>References!M272</f>
        <v>333</v>
      </c>
      <c r="B387" s="305" t="s">
        <v>43</v>
      </c>
      <c r="C387" s="284">
        <v>2009</v>
      </c>
      <c r="D387" s="284">
        <v>2012</v>
      </c>
      <c r="E387" s="31">
        <v>1120</v>
      </c>
      <c r="F387" s="31">
        <v>8157</v>
      </c>
      <c r="G387" s="31">
        <v>126</v>
      </c>
      <c r="H387" s="31">
        <v>945</v>
      </c>
      <c r="I387" s="31">
        <v>135</v>
      </c>
      <c r="J387" s="27">
        <v>10483</v>
      </c>
      <c r="K387" s="31">
        <v>1032</v>
      </c>
      <c r="L387" s="31">
        <v>436</v>
      </c>
      <c r="M387" s="31">
        <v>235</v>
      </c>
      <c r="N387" s="639">
        <v>1703</v>
      </c>
      <c r="O387" s="29"/>
      <c r="X387" s="46"/>
    </row>
    <row r="388" spans="1:24" s="278" customFormat="1" ht="409.6">
      <c r="A388" s="271">
        <f>References!N272</f>
        <v>334</v>
      </c>
      <c r="B388" s="305" t="s">
        <v>43</v>
      </c>
      <c r="C388" s="284">
        <v>2009</v>
      </c>
      <c r="D388" s="284">
        <v>2013</v>
      </c>
      <c r="E388" s="31">
        <v>1110</v>
      </c>
      <c r="F388" s="31">
        <v>7100</v>
      </c>
      <c r="G388" s="31">
        <v>10</v>
      </c>
      <c r="H388" s="31">
        <v>945</v>
      </c>
      <c r="I388" s="31">
        <v>135</v>
      </c>
      <c r="J388" s="27">
        <v>9300</v>
      </c>
      <c r="K388" s="31">
        <v>1032</v>
      </c>
      <c r="L388" s="31">
        <v>436</v>
      </c>
      <c r="M388" s="31">
        <v>235</v>
      </c>
      <c r="N388" s="639">
        <v>1703</v>
      </c>
      <c r="O388" s="29"/>
      <c r="X388" s="46"/>
    </row>
    <row r="389" spans="1:24" s="278" customFormat="1" ht="409.6">
      <c r="A389" s="271">
        <f>References!O272</f>
        <v>335</v>
      </c>
      <c r="B389" s="305" t="s">
        <v>43</v>
      </c>
      <c r="C389" s="284">
        <v>2009</v>
      </c>
      <c r="D389" s="284">
        <v>2014</v>
      </c>
      <c r="E389" s="31">
        <v>1110</v>
      </c>
      <c r="F389" s="31">
        <v>4590</v>
      </c>
      <c r="G389" s="31">
        <v>10</v>
      </c>
      <c r="H389" s="31">
        <v>945</v>
      </c>
      <c r="I389" s="31">
        <v>135</v>
      </c>
      <c r="J389" s="27">
        <v>6790</v>
      </c>
      <c r="K389" s="31">
        <v>1032</v>
      </c>
      <c r="L389" s="31">
        <v>436</v>
      </c>
      <c r="M389" s="31">
        <v>235</v>
      </c>
      <c r="N389" s="639">
        <v>1703</v>
      </c>
      <c r="O389" s="29"/>
      <c r="X389" s="46"/>
    </row>
    <row r="390" spans="1:24" s="278" customFormat="1" ht="409.6">
      <c r="A390" s="271">
        <f>References!P272</f>
        <v>336</v>
      </c>
      <c r="B390" s="305" t="s">
        <v>43</v>
      </c>
      <c r="C390" s="284">
        <v>2010</v>
      </c>
      <c r="D390" s="284">
        <v>2011</v>
      </c>
      <c r="E390" s="31">
        <v>1145</v>
      </c>
      <c r="F390" s="31">
        <v>4205</v>
      </c>
      <c r="G390" s="31">
        <v>645</v>
      </c>
      <c r="H390" s="31">
        <v>126</v>
      </c>
      <c r="I390" s="31">
        <v>135</v>
      </c>
      <c r="J390" s="27">
        <v>6256</v>
      </c>
      <c r="K390" s="31">
        <v>715</v>
      </c>
      <c r="L390" s="31">
        <v>752</v>
      </c>
      <c r="M390" s="31">
        <v>253</v>
      </c>
      <c r="N390" s="639">
        <v>1720</v>
      </c>
      <c r="O390" s="29"/>
      <c r="X390" s="46"/>
    </row>
    <row r="391" spans="1:24" s="278" customFormat="1" ht="409.6">
      <c r="A391" s="271">
        <f>References!Q272</f>
        <v>337</v>
      </c>
      <c r="B391" s="305" t="s">
        <v>43</v>
      </c>
      <c r="C391" s="284">
        <v>2010</v>
      </c>
      <c r="D391" s="284">
        <v>2012</v>
      </c>
      <c r="E391" s="31">
        <v>1120</v>
      </c>
      <c r="F391" s="31">
        <v>8157</v>
      </c>
      <c r="G391" s="31">
        <v>945</v>
      </c>
      <c r="H391" s="31">
        <v>126</v>
      </c>
      <c r="I391" s="31">
        <v>135</v>
      </c>
      <c r="J391" s="27">
        <v>10483</v>
      </c>
      <c r="K391" s="31">
        <v>715</v>
      </c>
      <c r="L391" s="31">
        <v>752</v>
      </c>
      <c r="M391" s="31">
        <v>254</v>
      </c>
      <c r="N391" s="639">
        <v>1721</v>
      </c>
      <c r="O391" s="29"/>
      <c r="X391" s="46"/>
    </row>
    <row r="392" spans="1:24" s="278" customFormat="1" ht="409.6">
      <c r="A392" s="271">
        <f>References!R272</f>
        <v>338</v>
      </c>
      <c r="B392" s="305" t="s">
        <v>43</v>
      </c>
      <c r="C392" s="284">
        <v>2010</v>
      </c>
      <c r="D392" s="284">
        <v>2013</v>
      </c>
      <c r="E392" s="31">
        <v>1110</v>
      </c>
      <c r="F392" s="31">
        <v>7100</v>
      </c>
      <c r="G392" s="31">
        <v>945</v>
      </c>
      <c r="H392" s="31">
        <v>10</v>
      </c>
      <c r="I392" s="31">
        <v>135</v>
      </c>
      <c r="J392" s="27">
        <v>9300</v>
      </c>
      <c r="K392" s="31">
        <v>714</v>
      </c>
      <c r="L392" s="31">
        <v>752</v>
      </c>
      <c r="M392" s="31">
        <v>254</v>
      </c>
      <c r="N392" s="639">
        <v>1720</v>
      </c>
      <c r="O392" s="29"/>
      <c r="X392" s="46"/>
    </row>
    <row r="393" spans="1:24" s="278" customFormat="1" ht="409.6">
      <c r="A393" s="271">
        <f>References!S272</f>
        <v>339</v>
      </c>
      <c r="B393" s="305" t="s">
        <v>43</v>
      </c>
      <c r="C393" s="284">
        <v>2010</v>
      </c>
      <c r="D393" s="284">
        <v>2014</v>
      </c>
      <c r="E393" s="31">
        <v>1110</v>
      </c>
      <c r="F393" s="31">
        <v>4590</v>
      </c>
      <c r="G393" s="31">
        <v>945</v>
      </c>
      <c r="H393" s="31">
        <v>10</v>
      </c>
      <c r="I393" s="31">
        <v>135</v>
      </c>
      <c r="J393" s="27">
        <v>6790</v>
      </c>
      <c r="K393" s="31">
        <v>714</v>
      </c>
      <c r="L393" s="31">
        <v>752</v>
      </c>
      <c r="M393" s="31">
        <v>254</v>
      </c>
      <c r="N393" s="639">
        <v>1720</v>
      </c>
      <c r="O393" s="29"/>
      <c r="X393" s="46"/>
    </row>
    <row r="394" spans="1:24" s="278" customFormat="1" ht="409.6">
      <c r="A394" s="271">
        <f>References!T272</f>
        <v>340</v>
      </c>
      <c r="B394" s="305" t="s">
        <v>43</v>
      </c>
      <c r="C394" s="284">
        <v>2010</v>
      </c>
      <c r="D394" s="284">
        <v>2015</v>
      </c>
      <c r="E394" s="31">
        <v>620</v>
      </c>
      <c r="F394" s="31">
        <v>835</v>
      </c>
      <c r="G394" s="31">
        <v>110</v>
      </c>
      <c r="H394" s="31">
        <v>3300</v>
      </c>
      <c r="I394" s="31">
        <v>135</v>
      </c>
      <c r="J394" s="27">
        <v>5000</v>
      </c>
      <c r="K394" s="31">
        <v>714</v>
      </c>
      <c r="L394" s="31">
        <v>752</v>
      </c>
      <c r="M394" s="31">
        <v>254</v>
      </c>
      <c r="N394" s="639">
        <v>1720</v>
      </c>
      <c r="O394" s="29"/>
      <c r="X394" s="46"/>
    </row>
    <row r="395" spans="1:24" s="278" customFormat="1" ht="409.6">
      <c r="A395" s="271">
        <f>References!U272</f>
        <v>341</v>
      </c>
      <c r="B395" s="305" t="s">
        <v>43</v>
      </c>
      <c r="C395" s="284">
        <v>2011</v>
      </c>
      <c r="D395" s="284">
        <v>2012</v>
      </c>
      <c r="E395" s="31">
        <v>570</v>
      </c>
      <c r="F395" s="31">
        <v>915</v>
      </c>
      <c r="G395" s="31">
        <v>725</v>
      </c>
      <c r="H395" s="31">
        <v>1305</v>
      </c>
      <c r="I395" s="31">
        <v>140</v>
      </c>
      <c r="J395" s="27">
        <v>3655</v>
      </c>
      <c r="K395" s="31">
        <v>747.10900000000004</v>
      </c>
      <c r="L395" s="31">
        <v>719.28</v>
      </c>
      <c r="M395" s="31">
        <v>254.0130106</v>
      </c>
      <c r="N395" s="639">
        <v>1720.4020109999999</v>
      </c>
      <c r="O395" s="29"/>
      <c r="X395" s="46"/>
    </row>
    <row r="396" spans="1:24" s="278" customFormat="1" ht="409.6">
      <c r="A396" s="271">
        <f>References!V272</f>
        <v>342</v>
      </c>
      <c r="B396" s="305" t="s">
        <v>43</v>
      </c>
      <c r="C396" s="284">
        <v>2011</v>
      </c>
      <c r="D396" s="284">
        <v>2013</v>
      </c>
      <c r="E396" s="31">
        <v>630</v>
      </c>
      <c r="F396" s="31">
        <v>890.6</v>
      </c>
      <c r="G396" s="31">
        <v>602.5</v>
      </c>
      <c r="H396" s="31">
        <v>2158</v>
      </c>
      <c r="I396" s="31">
        <v>140</v>
      </c>
      <c r="J396" s="27">
        <v>4421.1000000000004</v>
      </c>
      <c r="K396" s="31">
        <v>747.10900000000004</v>
      </c>
      <c r="L396" s="31">
        <v>719.28</v>
      </c>
      <c r="M396" s="31">
        <v>254.0130106</v>
      </c>
      <c r="N396" s="639">
        <v>1720.4020109999999</v>
      </c>
      <c r="O396" s="29"/>
      <c r="X396" s="46"/>
    </row>
    <row r="397" spans="1:24" s="278" customFormat="1" ht="409.6">
      <c r="A397" s="271">
        <f>References!W272</f>
        <v>343</v>
      </c>
      <c r="B397" s="305" t="s">
        <v>43</v>
      </c>
      <c r="C397" s="284">
        <v>2011</v>
      </c>
      <c r="D397" s="284">
        <v>2014</v>
      </c>
      <c r="E397" s="31">
        <v>630</v>
      </c>
      <c r="F397" s="31">
        <v>249.63</v>
      </c>
      <c r="G397" s="31">
        <v>1037.5</v>
      </c>
      <c r="H397" s="31">
        <v>762</v>
      </c>
      <c r="I397" s="31">
        <v>140</v>
      </c>
      <c r="J397" s="27">
        <v>2819.13</v>
      </c>
      <c r="K397" s="31">
        <v>747.10900000000004</v>
      </c>
      <c r="L397" s="31">
        <v>719.28</v>
      </c>
      <c r="M397" s="31">
        <v>254.0130106</v>
      </c>
      <c r="N397" s="639">
        <v>1720.4020109999999</v>
      </c>
      <c r="O397" s="29"/>
      <c r="X397" s="46"/>
    </row>
    <row r="398" spans="1:24" s="278" customFormat="1" ht="409.6">
      <c r="A398" s="271">
        <f>References!X272</f>
        <v>344</v>
      </c>
      <c r="B398" s="305" t="s">
        <v>43</v>
      </c>
      <c r="C398" s="284">
        <v>2011</v>
      </c>
      <c r="D398" s="284">
        <v>2015</v>
      </c>
      <c r="E398" s="31">
        <v>650</v>
      </c>
      <c r="F398" s="31">
        <v>259</v>
      </c>
      <c r="G398" s="31">
        <v>690</v>
      </c>
      <c r="H398" s="31">
        <v>223</v>
      </c>
      <c r="I398" s="31">
        <v>140</v>
      </c>
      <c r="J398" s="27">
        <v>1962</v>
      </c>
      <c r="K398" s="31">
        <v>747.10900000000004</v>
      </c>
      <c r="L398" s="31">
        <v>719.28</v>
      </c>
      <c r="M398" s="31">
        <v>254.0130106</v>
      </c>
      <c r="N398" s="639">
        <v>1720.4020109999999</v>
      </c>
      <c r="O398" s="29"/>
      <c r="X398" s="46"/>
    </row>
    <row r="399" spans="1:24" s="278" customFormat="1" ht="409.6">
      <c r="A399" s="271">
        <f>References!Y272</f>
        <v>345</v>
      </c>
      <c r="B399" s="305" t="s">
        <v>43</v>
      </c>
      <c r="C399" s="284">
        <v>2011</v>
      </c>
      <c r="D399" s="284">
        <v>2016</v>
      </c>
      <c r="E399" s="31">
        <v>650</v>
      </c>
      <c r="F399" s="31">
        <v>259</v>
      </c>
      <c r="G399" s="31">
        <v>690</v>
      </c>
      <c r="H399" s="31">
        <v>223</v>
      </c>
      <c r="I399" s="31">
        <v>140</v>
      </c>
      <c r="J399" s="27">
        <v>1962</v>
      </c>
      <c r="K399" s="31">
        <v>747.10900000000004</v>
      </c>
      <c r="L399" s="31">
        <v>719.28</v>
      </c>
      <c r="M399" s="31">
        <v>254.0130106</v>
      </c>
      <c r="N399" s="639">
        <v>1720.4020109999999</v>
      </c>
      <c r="O399" s="29"/>
      <c r="X399" s="46"/>
    </row>
    <row r="400" spans="1:24" s="278" customFormat="1" ht="409.6">
      <c r="A400" s="271">
        <f>References!K284</f>
        <v>607</v>
      </c>
      <c r="B400" s="305" t="s">
        <v>55</v>
      </c>
      <c r="C400" s="284">
        <v>2009</v>
      </c>
      <c r="D400" s="284">
        <v>2010</v>
      </c>
      <c r="E400" s="31">
        <v>2850.6531666666665</v>
      </c>
      <c r="F400" s="31">
        <v>13990.687</v>
      </c>
      <c r="G400" s="31">
        <v>5256.3047091412745</v>
      </c>
      <c r="H400" s="31">
        <v>2283.1745890000002</v>
      </c>
      <c r="I400" s="31">
        <v>3150</v>
      </c>
      <c r="J400" s="27">
        <v>27530.819464807937</v>
      </c>
      <c r="K400" s="31">
        <v>2557.1999999999998</v>
      </c>
      <c r="L400" s="31">
        <v>1294.5</v>
      </c>
      <c r="M400" s="31">
        <v>1885.3</v>
      </c>
      <c r="N400" s="639">
        <v>5737</v>
      </c>
      <c r="O400" s="29"/>
      <c r="X400" s="46"/>
    </row>
    <row r="401" spans="1:24" s="278" customFormat="1" ht="409.6">
      <c r="A401" s="271">
        <f>References!L284</f>
        <v>608</v>
      </c>
      <c r="B401" s="305" t="s">
        <v>55</v>
      </c>
      <c r="C401" s="284">
        <v>2009</v>
      </c>
      <c r="D401" s="284">
        <v>2011</v>
      </c>
      <c r="E401" s="31">
        <v>3131.8966066666662</v>
      </c>
      <c r="F401" s="31">
        <v>12675.382000000001</v>
      </c>
      <c r="G401" s="31">
        <v>5846.0110803324105</v>
      </c>
      <c r="H401" s="31">
        <v>448</v>
      </c>
      <c r="I401" s="31">
        <v>3150</v>
      </c>
      <c r="J401" s="27">
        <v>25251.289686999076</v>
      </c>
      <c r="K401" s="31">
        <v>2412.1</v>
      </c>
      <c r="L401" s="31">
        <v>1293.0999999999999</v>
      </c>
      <c r="M401" s="31">
        <v>1877.8</v>
      </c>
      <c r="N401" s="639">
        <v>5583</v>
      </c>
      <c r="O401" s="29"/>
      <c r="X401" s="46"/>
    </row>
    <row r="402" spans="1:24" s="278" customFormat="1" ht="409.6">
      <c r="A402" s="271">
        <f>References!M284</f>
        <v>609</v>
      </c>
      <c r="B402" s="305" t="s">
        <v>55</v>
      </c>
      <c r="C402" s="284">
        <v>2009</v>
      </c>
      <c r="D402" s="284">
        <v>2012</v>
      </c>
      <c r="E402" s="31">
        <v>3390.0383266666663</v>
      </c>
      <c r="F402" s="31">
        <v>9862.362000000001</v>
      </c>
      <c r="G402" s="31">
        <v>7583.3185595567866</v>
      </c>
      <c r="H402" s="31">
        <v>448</v>
      </c>
      <c r="I402" s="31">
        <v>3150</v>
      </c>
      <c r="J402" s="27">
        <v>24433.718886223454</v>
      </c>
      <c r="K402" s="31">
        <v>2367.3000000000002</v>
      </c>
      <c r="L402" s="31">
        <v>1290.4000000000001</v>
      </c>
      <c r="M402" s="31">
        <v>1878.3</v>
      </c>
      <c r="N402" s="639">
        <v>5536</v>
      </c>
      <c r="O402" s="29"/>
      <c r="X402" s="46"/>
    </row>
    <row r="403" spans="1:24" s="278" customFormat="1" ht="409.6">
      <c r="A403" s="271">
        <f>References!N284</f>
        <v>610</v>
      </c>
      <c r="B403" s="305" t="s">
        <v>55</v>
      </c>
      <c r="C403" s="284">
        <v>2009</v>
      </c>
      <c r="D403" s="284">
        <v>2013</v>
      </c>
      <c r="E403" s="31">
        <v>3507.5583266666663</v>
      </c>
      <c r="F403" s="31">
        <v>8411.393</v>
      </c>
      <c r="G403" s="31">
        <v>9773.1024930747917</v>
      </c>
      <c r="H403" s="31">
        <v>448</v>
      </c>
      <c r="I403" s="31">
        <v>3150</v>
      </c>
      <c r="J403" s="27">
        <v>25290.053819741457</v>
      </c>
      <c r="K403" s="31">
        <v>2184.35</v>
      </c>
      <c r="L403" s="31">
        <v>1288.3499999999999</v>
      </c>
      <c r="M403" s="31">
        <v>1840.3</v>
      </c>
      <c r="N403" s="639">
        <v>5313</v>
      </c>
      <c r="O403" s="29"/>
      <c r="X403" s="46"/>
    </row>
    <row r="404" spans="1:24" s="278" customFormat="1" ht="409.6">
      <c r="A404" s="271">
        <f>References!O284</f>
        <v>611</v>
      </c>
      <c r="B404" s="305" t="s">
        <v>55</v>
      </c>
      <c r="C404" s="284">
        <v>2009</v>
      </c>
      <c r="D404" s="284">
        <v>2014</v>
      </c>
      <c r="E404" s="31">
        <v>3625.0783266666663</v>
      </c>
      <c r="F404" s="31">
        <v>7892.1559999999999</v>
      </c>
      <c r="G404" s="31">
        <v>7547.7506925207708</v>
      </c>
      <c r="H404" s="31">
        <v>448</v>
      </c>
      <c r="I404" s="31">
        <v>3150</v>
      </c>
      <c r="J404" s="27">
        <v>22662.985019187436</v>
      </c>
      <c r="K404" s="31">
        <v>2202.5500000000002</v>
      </c>
      <c r="L404" s="31">
        <v>1298.1500000000001</v>
      </c>
      <c r="M404" s="31">
        <v>1840.3</v>
      </c>
      <c r="N404" s="639">
        <v>5341</v>
      </c>
      <c r="O404" s="29"/>
      <c r="X404" s="46"/>
    </row>
    <row r="405" spans="1:24" s="278" customFormat="1" ht="409.6">
      <c r="A405" s="271">
        <f>References!P284</f>
        <v>612</v>
      </c>
      <c r="B405" s="305" t="s">
        <v>55</v>
      </c>
      <c r="C405" s="284">
        <v>2010</v>
      </c>
      <c r="D405" s="284">
        <v>2011</v>
      </c>
      <c r="E405" s="31">
        <v>4794.7052950101834</v>
      </c>
      <c r="F405" s="31">
        <v>19290.798999999999</v>
      </c>
      <c r="G405" s="31">
        <v>6991.875</v>
      </c>
      <c r="H405" s="31">
        <v>925</v>
      </c>
      <c r="I405" s="31">
        <v>2988.9139999999998</v>
      </c>
      <c r="J405" s="27">
        <v>34991.293295010182</v>
      </c>
      <c r="K405" s="31">
        <v>2821.3</v>
      </c>
      <c r="L405" s="31">
        <v>1655.9</v>
      </c>
      <c r="M405" s="31">
        <v>2438.8000000000002</v>
      </c>
      <c r="N405" s="639">
        <v>6916.0000000000009</v>
      </c>
      <c r="O405" s="29"/>
      <c r="X405" s="46"/>
    </row>
    <row r="406" spans="1:24" s="278" customFormat="1" ht="409.6">
      <c r="A406" s="271">
        <f>References!Q284</f>
        <v>613</v>
      </c>
      <c r="B406" s="305" t="s">
        <v>55</v>
      </c>
      <c r="C406" s="284">
        <v>2010</v>
      </c>
      <c r="D406" s="284">
        <v>2012</v>
      </c>
      <c r="E406" s="31">
        <v>4990.1973003716912</v>
      </c>
      <c r="F406" s="31">
        <v>8782.116</v>
      </c>
      <c r="G406" s="31">
        <v>8259.0569999999989</v>
      </c>
      <c r="H406" s="31">
        <v>625</v>
      </c>
      <c r="I406" s="31">
        <v>2988.9139999999998</v>
      </c>
      <c r="J406" s="27">
        <v>25645.284300371688</v>
      </c>
      <c r="K406" s="31">
        <v>2566.1450000000004</v>
      </c>
      <c r="L406" s="31">
        <v>1510.7450000000001</v>
      </c>
      <c r="M406" s="31">
        <v>2401.8000000000002</v>
      </c>
      <c r="N406" s="639">
        <v>6478.6900000000005</v>
      </c>
      <c r="O406" s="29"/>
      <c r="X406" s="46"/>
    </row>
    <row r="407" spans="1:24" s="278" customFormat="1" ht="409.6">
      <c r="A407" s="271">
        <f>References!R284</f>
        <v>614</v>
      </c>
      <c r="B407" s="305" t="s">
        <v>55</v>
      </c>
      <c r="C407" s="284">
        <v>2010</v>
      </c>
      <c r="D407" s="284">
        <v>2013</v>
      </c>
      <c r="E407" s="31">
        <v>5196.7191505451619</v>
      </c>
      <c r="F407" s="31">
        <v>8235.6859999999997</v>
      </c>
      <c r="G407" s="31">
        <v>9810.9989999999998</v>
      </c>
      <c r="H407" s="31">
        <v>625</v>
      </c>
      <c r="I407" s="31">
        <v>2988.9139999999998</v>
      </c>
      <c r="J407" s="27">
        <v>26857.318150545161</v>
      </c>
      <c r="K407" s="31">
        <v>2548.6450000000004</v>
      </c>
      <c r="L407" s="31">
        <v>1494.7450000000001</v>
      </c>
      <c r="M407" s="31">
        <v>2370.3000000000002</v>
      </c>
      <c r="N407" s="639">
        <v>6413.6900000000005</v>
      </c>
      <c r="O407" s="29"/>
      <c r="X407" s="46"/>
    </row>
    <row r="408" spans="1:24" s="278" customFormat="1" ht="409.6">
      <c r="A408" s="271">
        <f>References!S284</f>
        <v>615</v>
      </c>
      <c r="B408" s="305" t="s">
        <v>55</v>
      </c>
      <c r="C408" s="284">
        <v>2010</v>
      </c>
      <c r="D408" s="284">
        <v>2014</v>
      </c>
      <c r="E408" s="31">
        <v>5415.118249340072</v>
      </c>
      <c r="F408" s="31">
        <v>10173</v>
      </c>
      <c r="G408" s="31">
        <v>8362.3825096952896</v>
      </c>
      <c r="H408" s="31">
        <v>625</v>
      </c>
      <c r="I408" s="31">
        <v>2988.9139999999998</v>
      </c>
      <c r="J408" s="27">
        <v>27564.414759035364</v>
      </c>
      <c r="K408" s="31">
        <v>2311.1450000000004</v>
      </c>
      <c r="L408" s="31">
        <v>1494.7450000000001</v>
      </c>
      <c r="M408" s="31">
        <v>2357.8000000000002</v>
      </c>
      <c r="N408" s="639">
        <v>6163.6900000000005</v>
      </c>
      <c r="O408" s="29"/>
      <c r="X408" s="46"/>
    </row>
    <row r="409" spans="1:24" s="278" customFormat="1" ht="409.6">
      <c r="A409" s="271">
        <f>References!T284</f>
        <v>616</v>
      </c>
      <c r="B409" s="305" t="s">
        <v>55</v>
      </c>
      <c r="C409" s="284">
        <v>2010</v>
      </c>
      <c r="D409" s="284">
        <v>2015</v>
      </c>
      <c r="E409" s="31">
        <v>5513.3286446349412</v>
      </c>
      <c r="F409" s="31">
        <v>11535</v>
      </c>
      <c r="G409" s="31">
        <v>8978.0760000000009</v>
      </c>
      <c r="H409" s="31">
        <v>625</v>
      </c>
      <c r="I409" s="31">
        <v>2988.9139999999998</v>
      </c>
      <c r="J409" s="27">
        <v>29640.318644634943</v>
      </c>
      <c r="K409" s="31">
        <v>2324.1450000000004</v>
      </c>
      <c r="L409" s="31">
        <v>1501.7450000000001</v>
      </c>
      <c r="M409" s="31">
        <v>2357.8000000000002</v>
      </c>
      <c r="N409" s="639">
        <v>6183.6900000000005</v>
      </c>
      <c r="O409" s="29"/>
      <c r="X409" s="46"/>
    </row>
    <row r="410" spans="1:24" s="278" customFormat="1" ht="409.6">
      <c r="A410" s="271">
        <f>References!U284</f>
        <v>617</v>
      </c>
      <c r="B410" s="305" t="s">
        <v>55</v>
      </c>
      <c r="C410" s="284">
        <v>2011</v>
      </c>
      <c r="D410" s="284">
        <v>2012</v>
      </c>
      <c r="E410" s="31">
        <v>6504.8187500000004</v>
      </c>
      <c r="F410" s="31">
        <v>19616.10873</v>
      </c>
      <c r="G410" s="31">
        <v>8600.5</v>
      </c>
      <c r="H410" s="31">
        <v>1347.7</v>
      </c>
      <c r="I410" s="31">
        <v>4000</v>
      </c>
      <c r="J410" s="27">
        <v>40069.127480000003</v>
      </c>
      <c r="K410" s="31">
        <v>3011.335</v>
      </c>
      <c r="L410" s="31">
        <v>1751.62</v>
      </c>
      <c r="M410" s="31">
        <v>2398.6616669999999</v>
      </c>
      <c r="N410" s="639">
        <v>7161.6166670000002</v>
      </c>
      <c r="O410" s="29"/>
      <c r="X410" s="46"/>
    </row>
    <row r="411" spans="1:24" s="278" customFormat="1" ht="409.6">
      <c r="A411" s="271">
        <f>References!V284</f>
        <v>618</v>
      </c>
      <c r="B411" s="305" t="s">
        <v>55</v>
      </c>
      <c r="C411" s="284">
        <v>2011</v>
      </c>
      <c r="D411" s="284">
        <v>2013</v>
      </c>
      <c r="E411" s="31">
        <v>5426.5387499999997</v>
      </c>
      <c r="F411" s="31">
        <v>20473.92513</v>
      </c>
      <c r="G411" s="31">
        <v>8015</v>
      </c>
      <c r="H411" s="31">
        <v>1064.1320000000001</v>
      </c>
      <c r="I411" s="31">
        <v>4000</v>
      </c>
      <c r="J411" s="27">
        <v>38979.595880000001</v>
      </c>
      <c r="K411" s="31">
        <v>3047.44</v>
      </c>
      <c r="L411" s="31">
        <v>1731.895</v>
      </c>
      <c r="M411" s="31">
        <v>2372.8983330000001</v>
      </c>
      <c r="N411" s="639">
        <v>7152.2333330000001</v>
      </c>
      <c r="O411" s="29"/>
      <c r="X411" s="46"/>
    </row>
    <row r="412" spans="1:24" s="278" customFormat="1" ht="409.6">
      <c r="A412" s="271">
        <f>References!W284</f>
        <v>619</v>
      </c>
      <c r="B412" s="305" t="s">
        <v>55</v>
      </c>
      <c r="C412" s="284">
        <v>2011</v>
      </c>
      <c r="D412" s="284">
        <v>2014</v>
      </c>
      <c r="E412" s="31">
        <v>5481.5387499999997</v>
      </c>
      <c r="F412" s="31">
        <v>19169.225129999999</v>
      </c>
      <c r="G412" s="31">
        <v>9755</v>
      </c>
      <c r="H412" s="31">
        <v>875</v>
      </c>
      <c r="I412" s="31">
        <v>4000</v>
      </c>
      <c r="J412" s="27">
        <v>39280.763879999999</v>
      </c>
      <c r="K412" s="31">
        <v>2807.29</v>
      </c>
      <c r="L412" s="31">
        <v>1688.395</v>
      </c>
      <c r="M412" s="31">
        <v>2366.2150000000001</v>
      </c>
      <c r="N412" s="639">
        <v>6861.9</v>
      </c>
      <c r="O412" s="29"/>
      <c r="X412" s="46"/>
    </row>
    <row r="413" spans="1:24" s="278" customFormat="1" ht="409.6">
      <c r="A413" s="271">
        <f>References!X284</f>
        <v>620</v>
      </c>
      <c r="B413" s="305" t="s">
        <v>55</v>
      </c>
      <c r="C413" s="284">
        <v>2011</v>
      </c>
      <c r="D413" s="284">
        <v>2015</v>
      </c>
      <c r="E413" s="31">
        <v>5419.0187500000002</v>
      </c>
      <c r="F413" s="31">
        <v>11303.984</v>
      </c>
      <c r="G413" s="31">
        <v>10516.02</v>
      </c>
      <c r="H413" s="31">
        <v>755</v>
      </c>
      <c r="I413" s="31">
        <v>4000</v>
      </c>
      <c r="J413" s="27">
        <v>31994.02275</v>
      </c>
      <c r="K413" s="31">
        <v>2835.09</v>
      </c>
      <c r="L413" s="31">
        <v>1702.395</v>
      </c>
      <c r="M413" s="31">
        <v>2366.415</v>
      </c>
      <c r="N413" s="639">
        <v>6903.9</v>
      </c>
      <c r="O413" s="29"/>
      <c r="X413" s="46"/>
    </row>
    <row r="414" spans="1:24" s="278" customFormat="1" ht="409.6">
      <c r="A414" s="271">
        <f>References!Y284</f>
        <v>621</v>
      </c>
      <c r="B414" s="305" t="s">
        <v>55</v>
      </c>
      <c r="C414" s="284">
        <v>2011</v>
      </c>
      <c r="D414" s="284">
        <v>2016</v>
      </c>
      <c r="E414" s="31">
        <v>5421.5187500000002</v>
      </c>
      <c r="F414" s="31">
        <v>8484.6329999999998</v>
      </c>
      <c r="G414" s="31">
        <v>11966.02</v>
      </c>
      <c r="H414" s="31">
        <v>730</v>
      </c>
      <c r="I414" s="31">
        <v>3000</v>
      </c>
      <c r="J414" s="27">
        <v>29602.171750000001</v>
      </c>
      <c r="K414" s="31">
        <v>2810.9079999999999</v>
      </c>
      <c r="L414" s="31">
        <v>1688.395</v>
      </c>
      <c r="M414" s="31">
        <v>2366.6170000000002</v>
      </c>
      <c r="N414" s="639">
        <v>6865.92</v>
      </c>
      <c r="O414" s="29"/>
      <c r="X414" s="46"/>
    </row>
    <row r="415" spans="1:24" s="278" customFormat="1" ht="409.6">
      <c r="A415" s="271">
        <f>References!K285</f>
        <v>630</v>
      </c>
      <c r="B415" s="305" t="s">
        <v>56</v>
      </c>
      <c r="C415" s="284">
        <v>2009</v>
      </c>
      <c r="D415" s="284">
        <v>2010</v>
      </c>
      <c r="E415" s="31">
        <v>7323</v>
      </c>
      <c r="F415" s="31">
        <v>3276</v>
      </c>
      <c r="G415" s="31">
        <v>10019</v>
      </c>
      <c r="H415" s="31">
        <v>492</v>
      </c>
      <c r="I415" s="31">
        <v>1180</v>
      </c>
      <c r="J415" s="27">
        <v>22290</v>
      </c>
      <c r="K415" s="31">
        <v>5936</v>
      </c>
      <c r="L415" s="31">
        <v>614</v>
      </c>
      <c r="M415" s="31">
        <v>4575</v>
      </c>
      <c r="N415" s="639">
        <v>11125</v>
      </c>
      <c r="O415" s="29"/>
      <c r="X415" s="46"/>
    </row>
    <row r="416" spans="1:24" s="278" customFormat="1" ht="409.6">
      <c r="A416" s="271">
        <f>References!L285</f>
        <v>631</v>
      </c>
      <c r="B416" s="305" t="s">
        <v>56</v>
      </c>
      <c r="C416" s="284">
        <v>2009</v>
      </c>
      <c r="D416" s="284">
        <v>2011</v>
      </c>
      <c r="E416" s="31">
        <v>5428</v>
      </c>
      <c r="F416" s="31">
        <v>2279</v>
      </c>
      <c r="G416" s="31">
        <v>12951</v>
      </c>
      <c r="H416" s="31">
        <v>452</v>
      </c>
      <c r="I416" s="31">
        <v>1180</v>
      </c>
      <c r="J416" s="27">
        <v>22290</v>
      </c>
      <c r="K416" s="31">
        <v>5499</v>
      </c>
      <c r="L416" s="31">
        <v>614</v>
      </c>
      <c r="M416" s="31">
        <v>4584</v>
      </c>
      <c r="N416" s="639">
        <v>10697</v>
      </c>
      <c r="O416" s="29"/>
      <c r="X416" s="46"/>
    </row>
    <row r="417" spans="1:24" s="278" customFormat="1" ht="409.6">
      <c r="A417" s="271">
        <f>References!M285</f>
        <v>632</v>
      </c>
      <c r="B417" s="305" t="s">
        <v>56</v>
      </c>
      <c r="C417" s="284">
        <v>2009</v>
      </c>
      <c r="D417" s="284">
        <v>2012</v>
      </c>
      <c r="E417" s="31">
        <v>7412</v>
      </c>
      <c r="F417" s="31">
        <v>3449</v>
      </c>
      <c r="G417" s="31">
        <v>12644</v>
      </c>
      <c r="H417" s="31">
        <v>606</v>
      </c>
      <c r="I417" s="31">
        <v>1180</v>
      </c>
      <c r="J417" s="27">
        <v>25291</v>
      </c>
      <c r="K417" s="31">
        <v>5485</v>
      </c>
      <c r="L417" s="31">
        <v>614</v>
      </c>
      <c r="M417" s="31">
        <v>4630</v>
      </c>
      <c r="N417" s="639">
        <v>10729</v>
      </c>
      <c r="O417" s="29"/>
      <c r="X417" s="46"/>
    </row>
    <row r="418" spans="1:24" s="278" customFormat="1" ht="409.6">
      <c r="A418" s="271">
        <f>References!N285</f>
        <v>633</v>
      </c>
      <c r="B418" s="305" t="s">
        <v>56</v>
      </c>
      <c r="C418" s="284">
        <v>2009</v>
      </c>
      <c r="D418" s="284">
        <v>2013</v>
      </c>
      <c r="E418" s="31">
        <v>5895</v>
      </c>
      <c r="F418" s="31">
        <v>8368</v>
      </c>
      <c r="G418" s="31">
        <v>11943</v>
      </c>
      <c r="H418" s="31">
        <v>469</v>
      </c>
      <c r="I418" s="31">
        <v>1180</v>
      </c>
      <c r="J418" s="27">
        <v>27855</v>
      </c>
      <c r="K418" s="31">
        <v>5535</v>
      </c>
      <c r="L418" s="31">
        <v>614</v>
      </c>
      <c r="M418" s="31">
        <v>4673</v>
      </c>
      <c r="N418" s="639">
        <v>10822</v>
      </c>
      <c r="O418" s="29"/>
      <c r="X418" s="46"/>
    </row>
    <row r="419" spans="1:24" s="278" customFormat="1" ht="409.6">
      <c r="A419" s="271">
        <f>References!O285</f>
        <v>634</v>
      </c>
      <c r="B419" s="305" t="s">
        <v>56</v>
      </c>
      <c r="C419" s="284">
        <v>2009</v>
      </c>
      <c r="D419" s="284">
        <v>2014</v>
      </c>
      <c r="E419" s="31">
        <v>5699</v>
      </c>
      <c r="F419" s="31">
        <v>5380</v>
      </c>
      <c r="G419" s="31">
        <v>15195</v>
      </c>
      <c r="H419" s="31">
        <v>468</v>
      </c>
      <c r="I419" s="31">
        <v>1180</v>
      </c>
      <c r="J419" s="27">
        <v>27922</v>
      </c>
      <c r="K419" s="31">
        <v>5599</v>
      </c>
      <c r="L419" s="31">
        <v>614</v>
      </c>
      <c r="M419" s="31">
        <v>4726</v>
      </c>
      <c r="N419" s="639">
        <v>10939</v>
      </c>
      <c r="O419" s="29"/>
      <c r="X419" s="46"/>
    </row>
    <row r="420" spans="1:24" s="278" customFormat="1" ht="409.6">
      <c r="A420" s="271">
        <f>References!P285</f>
        <v>635</v>
      </c>
      <c r="B420" s="305" t="s">
        <v>56</v>
      </c>
      <c r="C420" s="284">
        <v>2010</v>
      </c>
      <c r="D420" s="284">
        <v>2011</v>
      </c>
      <c r="E420" s="31">
        <v>5428</v>
      </c>
      <c r="F420" s="31">
        <v>2279</v>
      </c>
      <c r="G420" s="31">
        <v>12951</v>
      </c>
      <c r="H420" s="31">
        <v>452</v>
      </c>
      <c r="I420" s="31">
        <v>1180</v>
      </c>
      <c r="J420" s="27">
        <v>22290</v>
      </c>
      <c r="K420" s="31">
        <v>5499</v>
      </c>
      <c r="L420" s="31">
        <v>614</v>
      </c>
      <c r="M420" s="31">
        <v>4584</v>
      </c>
      <c r="N420" s="639">
        <v>10697</v>
      </c>
      <c r="O420" s="29"/>
      <c r="X420" s="46"/>
    </row>
    <row r="421" spans="1:24" s="278" customFormat="1" ht="409.6">
      <c r="A421" s="271">
        <f>References!Q285</f>
        <v>636</v>
      </c>
      <c r="B421" s="305" t="s">
        <v>56</v>
      </c>
      <c r="C421" s="284">
        <v>2010</v>
      </c>
      <c r="D421" s="284">
        <v>2012</v>
      </c>
      <c r="E421" s="31">
        <v>7412</v>
      </c>
      <c r="F421" s="31">
        <v>3449</v>
      </c>
      <c r="G421" s="31">
        <v>12644</v>
      </c>
      <c r="H421" s="31">
        <v>606</v>
      </c>
      <c r="I421" s="31">
        <v>1180</v>
      </c>
      <c r="J421" s="27">
        <v>25291</v>
      </c>
      <c r="K421" s="31">
        <v>5485</v>
      </c>
      <c r="L421" s="31">
        <v>614</v>
      </c>
      <c r="M421" s="31">
        <v>4630</v>
      </c>
      <c r="N421" s="639">
        <v>10729</v>
      </c>
      <c r="O421" s="29"/>
      <c r="X421" s="46"/>
    </row>
    <row r="422" spans="1:24" s="278" customFormat="1" ht="409.6">
      <c r="A422" s="271">
        <f>References!R285</f>
        <v>637</v>
      </c>
      <c r="B422" s="305" t="s">
        <v>56</v>
      </c>
      <c r="C422" s="284">
        <v>2010</v>
      </c>
      <c r="D422" s="284">
        <v>2013</v>
      </c>
      <c r="E422" s="31">
        <v>5895</v>
      </c>
      <c r="F422" s="31">
        <v>8368</v>
      </c>
      <c r="G422" s="31">
        <v>11943</v>
      </c>
      <c r="H422" s="31">
        <v>469</v>
      </c>
      <c r="I422" s="31">
        <v>1180</v>
      </c>
      <c r="J422" s="27">
        <v>27855</v>
      </c>
      <c r="K422" s="31">
        <v>5535</v>
      </c>
      <c r="L422" s="31">
        <v>614</v>
      </c>
      <c r="M422" s="31">
        <v>4673</v>
      </c>
      <c r="N422" s="639">
        <v>10822</v>
      </c>
      <c r="O422" s="29"/>
      <c r="X422" s="46"/>
    </row>
    <row r="423" spans="1:24" s="278" customFormat="1" ht="409.6">
      <c r="A423" s="271">
        <f>References!S285</f>
        <v>638</v>
      </c>
      <c r="B423" s="305" t="s">
        <v>56</v>
      </c>
      <c r="C423" s="284">
        <v>2010</v>
      </c>
      <c r="D423" s="284">
        <v>2014</v>
      </c>
      <c r="E423" s="31">
        <v>5699</v>
      </c>
      <c r="F423" s="31">
        <v>5380</v>
      </c>
      <c r="G423" s="31">
        <v>15195</v>
      </c>
      <c r="H423" s="31">
        <v>468</v>
      </c>
      <c r="I423" s="31">
        <v>1180</v>
      </c>
      <c r="J423" s="27">
        <v>27922</v>
      </c>
      <c r="K423" s="31">
        <v>5599</v>
      </c>
      <c r="L423" s="31">
        <v>614</v>
      </c>
      <c r="M423" s="31">
        <v>4726</v>
      </c>
      <c r="N423" s="639">
        <v>10939</v>
      </c>
      <c r="O423" s="29"/>
      <c r="X423" s="46"/>
    </row>
    <row r="424" spans="1:24" s="278" customFormat="1" ht="409.6">
      <c r="A424" s="271">
        <f>References!T285</f>
        <v>639</v>
      </c>
      <c r="B424" s="305" t="s">
        <v>56</v>
      </c>
      <c r="C424" s="284">
        <v>2010</v>
      </c>
      <c r="D424" s="284">
        <v>2015</v>
      </c>
      <c r="E424" s="31">
        <v>5633</v>
      </c>
      <c r="F424" s="31">
        <v>4075</v>
      </c>
      <c r="G424" s="31">
        <v>17587</v>
      </c>
      <c r="H424" s="31">
        <v>463</v>
      </c>
      <c r="I424" s="31">
        <v>1180</v>
      </c>
      <c r="J424" s="27">
        <v>28938</v>
      </c>
      <c r="K424" s="31">
        <v>5603</v>
      </c>
      <c r="L424" s="31">
        <v>614</v>
      </c>
      <c r="M424" s="31">
        <v>4771</v>
      </c>
      <c r="N424" s="639">
        <v>10988</v>
      </c>
      <c r="O424" s="29"/>
      <c r="X424" s="46"/>
    </row>
    <row r="425" spans="1:24" s="278" customFormat="1" ht="409.6">
      <c r="A425" s="271">
        <f>References!U285</f>
        <v>640</v>
      </c>
      <c r="B425" s="305" t="s">
        <v>56</v>
      </c>
      <c r="C425" s="284">
        <v>2011</v>
      </c>
      <c r="D425" s="284">
        <v>2012</v>
      </c>
      <c r="E425" s="31">
        <v>7789</v>
      </c>
      <c r="F425" s="31">
        <v>3624</v>
      </c>
      <c r="G425" s="31">
        <v>637</v>
      </c>
      <c r="H425" s="31">
        <v>13286</v>
      </c>
      <c r="I425" s="31">
        <v>1240</v>
      </c>
      <c r="J425" s="27">
        <v>26576</v>
      </c>
      <c r="K425" s="31">
        <v>5764</v>
      </c>
      <c r="L425" s="31">
        <v>645</v>
      </c>
      <c r="M425" s="31">
        <v>4865</v>
      </c>
      <c r="N425" s="639">
        <v>11274</v>
      </c>
      <c r="O425" s="29"/>
      <c r="X425" s="46"/>
    </row>
    <row r="426" spans="1:24" s="278" customFormat="1" ht="409.6">
      <c r="A426" s="271">
        <f>References!V285</f>
        <v>641</v>
      </c>
      <c r="B426" s="305" t="s">
        <v>56</v>
      </c>
      <c r="C426" s="284">
        <v>2011</v>
      </c>
      <c r="D426" s="284">
        <v>2013</v>
      </c>
      <c r="E426" s="31">
        <v>6195</v>
      </c>
      <c r="F426" s="31">
        <v>8793</v>
      </c>
      <c r="G426" s="31">
        <v>493</v>
      </c>
      <c r="H426" s="31">
        <v>12550</v>
      </c>
      <c r="I426" s="31">
        <v>1240</v>
      </c>
      <c r="J426" s="27">
        <v>29271</v>
      </c>
      <c r="K426" s="31">
        <v>5816</v>
      </c>
      <c r="L426" s="31">
        <v>645</v>
      </c>
      <c r="M426" s="31">
        <v>4910</v>
      </c>
      <c r="N426" s="639">
        <v>11371</v>
      </c>
      <c r="O426" s="29"/>
      <c r="X426" s="46"/>
    </row>
    <row r="427" spans="1:24" s="278" customFormat="1" ht="409.6">
      <c r="A427" s="271">
        <f>References!W285</f>
        <v>642</v>
      </c>
      <c r="B427" s="305" t="s">
        <v>56</v>
      </c>
      <c r="C427" s="284">
        <v>2011</v>
      </c>
      <c r="D427" s="284">
        <v>2014</v>
      </c>
      <c r="E427" s="31">
        <v>5989</v>
      </c>
      <c r="F427" s="31">
        <v>5653</v>
      </c>
      <c r="G427" s="31">
        <v>492</v>
      </c>
      <c r="H427" s="31">
        <v>15967</v>
      </c>
      <c r="I427" s="31">
        <v>1240</v>
      </c>
      <c r="J427" s="27">
        <v>29341</v>
      </c>
      <c r="K427" s="31">
        <v>5883</v>
      </c>
      <c r="L427" s="31">
        <v>645</v>
      </c>
      <c r="M427" s="31">
        <v>4966</v>
      </c>
      <c r="N427" s="639">
        <v>11494</v>
      </c>
      <c r="O427" s="29"/>
      <c r="X427" s="46"/>
    </row>
    <row r="428" spans="1:24" s="278" customFormat="1" ht="409.6">
      <c r="A428" s="271">
        <f>References!X285</f>
        <v>643</v>
      </c>
      <c r="B428" s="305" t="s">
        <v>56</v>
      </c>
      <c r="C428" s="284">
        <v>2011</v>
      </c>
      <c r="D428" s="284">
        <v>2015</v>
      </c>
      <c r="E428" s="31">
        <v>5919</v>
      </c>
      <c r="F428" s="31">
        <v>4282</v>
      </c>
      <c r="G428" s="31">
        <v>487</v>
      </c>
      <c r="H428" s="31">
        <v>18481</v>
      </c>
      <c r="I428" s="31">
        <v>1240</v>
      </c>
      <c r="J428" s="27">
        <v>30409</v>
      </c>
      <c r="K428" s="31">
        <v>5888</v>
      </c>
      <c r="L428" s="31">
        <v>645</v>
      </c>
      <c r="M428" s="31">
        <v>5013</v>
      </c>
      <c r="N428" s="639">
        <v>11546</v>
      </c>
      <c r="O428" s="29"/>
      <c r="X428" s="46"/>
    </row>
    <row r="429" spans="1:24" s="278" customFormat="1" ht="409.6">
      <c r="A429" s="271">
        <f>References!Y285</f>
        <v>644</v>
      </c>
      <c r="B429" s="305" t="s">
        <v>56</v>
      </c>
      <c r="C429" s="284">
        <v>2011</v>
      </c>
      <c r="D429" s="284">
        <v>2016</v>
      </c>
      <c r="E429" s="31">
        <v>9030</v>
      </c>
      <c r="F429" s="31">
        <v>6506</v>
      </c>
      <c r="G429" s="31">
        <v>653</v>
      </c>
      <c r="H429" s="31">
        <v>13779</v>
      </c>
      <c r="I429" s="31">
        <v>1240</v>
      </c>
      <c r="J429" s="27">
        <v>31208</v>
      </c>
      <c r="K429" s="31">
        <v>5943</v>
      </c>
      <c r="L429" s="31">
        <v>645</v>
      </c>
      <c r="M429" s="31">
        <v>5060</v>
      </c>
      <c r="N429" s="639">
        <v>11648</v>
      </c>
      <c r="O429" s="29"/>
      <c r="X429" s="46"/>
    </row>
    <row r="430" spans="1:24" s="278" customFormat="1" ht="409.6">
      <c r="A430" s="271">
        <f>References!K286</f>
        <v>653</v>
      </c>
      <c r="B430" s="305" t="s">
        <v>57</v>
      </c>
      <c r="C430" s="284">
        <v>2009</v>
      </c>
      <c r="D430" s="284">
        <v>2010</v>
      </c>
      <c r="E430" s="31">
        <v>163</v>
      </c>
      <c r="F430" s="31">
        <v>1170</v>
      </c>
      <c r="G430" s="31">
        <v>3221</v>
      </c>
      <c r="H430" s="31">
        <v>2066</v>
      </c>
      <c r="I430" s="31">
        <v>0</v>
      </c>
      <c r="J430" s="27">
        <v>6620</v>
      </c>
      <c r="K430" s="31">
        <v>3009</v>
      </c>
      <c r="L430" s="31">
        <v>1318</v>
      </c>
      <c r="M430" s="31">
        <v>807</v>
      </c>
      <c r="N430" s="639">
        <v>5134</v>
      </c>
      <c r="O430" s="29"/>
      <c r="X430" s="46"/>
    </row>
    <row r="431" spans="1:24" s="278" customFormat="1" ht="409.6">
      <c r="A431" s="271">
        <f>References!L286</f>
        <v>654</v>
      </c>
      <c r="B431" s="305" t="s">
        <v>57</v>
      </c>
      <c r="C431" s="284">
        <v>2009</v>
      </c>
      <c r="D431" s="284">
        <v>2011</v>
      </c>
      <c r="E431" s="31">
        <v>173</v>
      </c>
      <c r="F431" s="31">
        <v>1467</v>
      </c>
      <c r="G431" s="31">
        <v>3625</v>
      </c>
      <c r="H431" s="31">
        <v>992</v>
      </c>
      <c r="I431" s="31">
        <v>0</v>
      </c>
      <c r="J431" s="27">
        <v>6257</v>
      </c>
      <c r="K431" s="31">
        <v>3040</v>
      </c>
      <c r="L431" s="31">
        <v>1405</v>
      </c>
      <c r="M431" s="31">
        <v>809</v>
      </c>
      <c r="N431" s="639">
        <v>5254</v>
      </c>
      <c r="O431" s="29"/>
      <c r="X431" s="46"/>
    </row>
    <row r="432" spans="1:24" s="278" customFormat="1" ht="409.6">
      <c r="A432" s="271">
        <f>References!M286</f>
        <v>655</v>
      </c>
      <c r="B432" s="305" t="s">
        <v>57</v>
      </c>
      <c r="C432" s="284">
        <v>2009</v>
      </c>
      <c r="D432" s="284">
        <v>2012</v>
      </c>
      <c r="E432" s="31">
        <v>182</v>
      </c>
      <c r="F432" s="31">
        <v>2360</v>
      </c>
      <c r="G432" s="31">
        <v>2837</v>
      </c>
      <c r="H432" s="31">
        <v>1070</v>
      </c>
      <c r="I432" s="31">
        <v>0</v>
      </c>
      <c r="J432" s="27">
        <v>6449</v>
      </c>
      <c r="K432" s="31">
        <v>3162</v>
      </c>
      <c r="L432" s="31">
        <v>1158</v>
      </c>
      <c r="M432" s="31">
        <v>863</v>
      </c>
      <c r="N432" s="639">
        <v>5183</v>
      </c>
      <c r="O432" s="29"/>
      <c r="X432" s="46"/>
    </row>
    <row r="433" spans="1:24" s="278" customFormat="1" ht="409.6">
      <c r="A433" s="271">
        <f>References!N286</f>
        <v>656</v>
      </c>
      <c r="B433" s="305" t="s">
        <v>57</v>
      </c>
      <c r="C433" s="284">
        <v>2009</v>
      </c>
      <c r="D433" s="284">
        <v>2013</v>
      </c>
      <c r="E433" s="31">
        <v>193</v>
      </c>
      <c r="F433" s="31">
        <v>2913</v>
      </c>
      <c r="G433" s="31">
        <v>2231</v>
      </c>
      <c r="H433" s="31">
        <v>686</v>
      </c>
      <c r="I433" s="31">
        <v>0</v>
      </c>
      <c r="J433" s="27">
        <v>6023</v>
      </c>
      <c r="K433" s="31">
        <v>3208</v>
      </c>
      <c r="L433" s="31">
        <v>1212</v>
      </c>
      <c r="M433" s="31">
        <v>915</v>
      </c>
      <c r="N433" s="639">
        <v>5335</v>
      </c>
      <c r="O433" s="29"/>
      <c r="X433" s="46"/>
    </row>
    <row r="434" spans="1:24" s="278" customFormat="1" ht="409.6">
      <c r="A434" s="271">
        <f>References!O286</f>
        <v>657</v>
      </c>
      <c r="B434" s="305" t="s">
        <v>57</v>
      </c>
      <c r="C434" s="284">
        <v>2009</v>
      </c>
      <c r="D434" s="284">
        <v>2014</v>
      </c>
      <c r="E434" s="31">
        <v>206</v>
      </c>
      <c r="F434" s="31">
        <v>3628</v>
      </c>
      <c r="G434" s="31">
        <v>1368</v>
      </c>
      <c r="H434" s="31">
        <v>643</v>
      </c>
      <c r="I434" s="31">
        <v>0</v>
      </c>
      <c r="J434" s="27">
        <v>5845</v>
      </c>
      <c r="K434" s="31">
        <v>3392</v>
      </c>
      <c r="L434" s="31">
        <v>1190</v>
      </c>
      <c r="M434" s="31">
        <v>964</v>
      </c>
      <c r="N434" s="639">
        <v>5546</v>
      </c>
      <c r="O434" s="29"/>
      <c r="X434" s="46"/>
    </row>
    <row r="435" spans="1:24" s="278" customFormat="1" ht="409.6">
      <c r="A435" s="271">
        <f>References!P286</f>
        <v>658</v>
      </c>
      <c r="B435" s="305" t="s">
        <v>57</v>
      </c>
      <c r="C435" s="284">
        <v>2010</v>
      </c>
      <c r="D435" s="284">
        <v>2011</v>
      </c>
      <c r="E435" s="31">
        <v>204</v>
      </c>
      <c r="F435" s="31">
        <v>535</v>
      </c>
      <c r="G435" s="31">
        <v>1778</v>
      </c>
      <c r="H435" s="31">
        <v>3139</v>
      </c>
      <c r="I435" s="31">
        <v>0</v>
      </c>
      <c r="J435" s="27">
        <v>5656</v>
      </c>
      <c r="K435" s="31">
        <v>3313</v>
      </c>
      <c r="L435" s="31">
        <v>1061</v>
      </c>
      <c r="M435" s="31">
        <v>875</v>
      </c>
      <c r="N435" s="639">
        <v>5249</v>
      </c>
      <c r="O435" s="29"/>
      <c r="X435" s="46"/>
    </row>
    <row r="436" spans="1:24" s="278" customFormat="1" ht="409.6">
      <c r="A436" s="271">
        <f>References!Q286</f>
        <v>659</v>
      </c>
      <c r="B436" s="305" t="s">
        <v>57</v>
      </c>
      <c r="C436" s="284">
        <v>2010</v>
      </c>
      <c r="D436" s="284">
        <v>2012</v>
      </c>
      <c r="E436" s="31">
        <v>215</v>
      </c>
      <c r="F436" s="31">
        <v>2117</v>
      </c>
      <c r="G436" s="31">
        <v>1278</v>
      </c>
      <c r="H436" s="31">
        <v>3321</v>
      </c>
      <c r="I436" s="31">
        <v>0</v>
      </c>
      <c r="J436" s="27">
        <v>6931</v>
      </c>
      <c r="K436" s="31">
        <v>3360</v>
      </c>
      <c r="L436" s="31">
        <v>1056</v>
      </c>
      <c r="M436" s="31">
        <v>891</v>
      </c>
      <c r="N436" s="639">
        <v>5307</v>
      </c>
      <c r="O436" s="29"/>
      <c r="X436" s="46"/>
    </row>
    <row r="437" spans="1:24" s="278" customFormat="1" ht="409.6">
      <c r="A437" s="271">
        <f>References!R286</f>
        <v>660</v>
      </c>
      <c r="B437" s="305" t="s">
        <v>57</v>
      </c>
      <c r="C437" s="284">
        <v>2010</v>
      </c>
      <c r="D437" s="284">
        <v>2013</v>
      </c>
      <c r="E437" s="31">
        <v>223</v>
      </c>
      <c r="F437" s="31">
        <v>2695</v>
      </c>
      <c r="G437" s="31">
        <v>768</v>
      </c>
      <c r="H437" s="31">
        <v>2561</v>
      </c>
      <c r="I437" s="31">
        <v>0</v>
      </c>
      <c r="J437" s="27">
        <v>6247</v>
      </c>
      <c r="K437" s="31">
        <v>3412</v>
      </c>
      <c r="L437" s="31">
        <v>1062</v>
      </c>
      <c r="M437" s="31">
        <v>943</v>
      </c>
      <c r="N437" s="639">
        <v>5417</v>
      </c>
      <c r="O437" s="29"/>
      <c r="X437" s="46"/>
    </row>
    <row r="438" spans="1:24" s="278" customFormat="1" ht="409.6">
      <c r="A438" s="271">
        <f>References!S286</f>
        <v>661</v>
      </c>
      <c r="B438" s="305" t="s">
        <v>57</v>
      </c>
      <c r="C438" s="284">
        <v>2010</v>
      </c>
      <c r="D438" s="284">
        <v>2014</v>
      </c>
      <c r="E438" s="31">
        <v>237</v>
      </c>
      <c r="F438" s="31">
        <v>3425</v>
      </c>
      <c r="G438" s="31">
        <v>706</v>
      </c>
      <c r="H438" s="31">
        <v>2002</v>
      </c>
      <c r="I438" s="31">
        <v>0</v>
      </c>
      <c r="J438" s="27">
        <v>6370</v>
      </c>
      <c r="K438" s="31">
        <v>3603</v>
      </c>
      <c r="L438" s="31">
        <v>1149</v>
      </c>
      <c r="M438" s="31">
        <v>995</v>
      </c>
      <c r="N438" s="639">
        <v>5747</v>
      </c>
      <c r="O438" s="29"/>
      <c r="X438" s="46"/>
    </row>
    <row r="439" spans="1:24" s="278" customFormat="1" ht="409.6">
      <c r="A439" s="271">
        <f>References!T286</f>
        <v>662</v>
      </c>
      <c r="B439" s="305" t="s">
        <v>57</v>
      </c>
      <c r="C439" s="284">
        <v>2010</v>
      </c>
      <c r="D439" s="284">
        <v>2015</v>
      </c>
      <c r="E439" s="31">
        <v>246</v>
      </c>
      <c r="F439" s="31">
        <v>3657</v>
      </c>
      <c r="G439" s="31">
        <v>837</v>
      </c>
      <c r="H439" s="31">
        <v>865</v>
      </c>
      <c r="I439" s="31">
        <v>0</v>
      </c>
      <c r="J439" s="27">
        <v>5605</v>
      </c>
      <c r="K439" s="31">
        <v>3812</v>
      </c>
      <c r="L439" s="31">
        <v>1087</v>
      </c>
      <c r="M439" s="31">
        <v>1056</v>
      </c>
      <c r="N439" s="639">
        <v>5955</v>
      </c>
      <c r="O439" s="29"/>
      <c r="X439" s="46"/>
    </row>
    <row r="440" spans="1:24" s="278" customFormat="1" ht="409.6">
      <c r="A440" s="271">
        <f>References!U286</f>
        <v>663</v>
      </c>
      <c r="B440" s="305" t="s">
        <v>57</v>
      </c>
      <c r="C440" s="284">
        <v>2011</v>
      </c>
      <c r="D440" s="284">
        <v>2012</v>
      </c>
      <c r="E440" s="31">
        <v>215</v>
      </c>
      <c r="F440" s="31">
        <v>647</v>
      </c>
      <c r="G440" s="31">
        <v>3197</v>
      </c>
      <c r="H440" s="31">
        <v>1453</v>
      </c>
      <c r="I440" s="31">
        <v>0</v>
      </c>
      <c r="J440" s="27">
        <v>5512</v>
      </c>
      <c r="K440" s="31">
        <v>3737</v>
      </c>
      <c r="L440" s="31">
        <v>766</v>
      </c>
      <c r="M440" s="31">
        <v>904</v>
      </c>
      <c r="N440" s="639">
        <v>5407</v>
      </c>
      <c r="O440" s="29"/>
      <c r="X440" s="46"/>
    </row>
    <row r="441" spans="1:24" s="278" customFormat="1" ht="409.6">
      <c r="A441" s="271">
        <f>References!V286</f>
        <v>664</v>
      </c>
      <c r="B441" s="305" t="s">
        <v>57</v>
      </c>
      <c r="C441" s="284">
        <v>2011</v>
      </c>
      <c r="D441" s="284">
        <v>2013</v>
      </c>
      <c r="E441" s="31">
        <v>223</v>
      </c>
      <c r="F441" s="31">
        <v>1155</v>
      </c>
      <c r="G441" s="31">
        <v>2624</v>
      </c>
      <c r="H441" s="31">
        <v>1027</v>
      </c>
      <c r="I441" s="31">
        <v>0</v>
      </c>
      <c r="J441" s="27">
        <v>5029</v>
      </c>
      <c r="K441" s="31">
        <v>3646</v>
      </c>
      <c r="L441" s="31">
        <v>893</v>
      </c>
      <c r="M441" s="31">
        <v>959</v>
      </c>
      <c r="N441" s="639">
        <v>5498</v>
      </c>
      <c r="O441" s="29"/>
      <c r="X441" s="46"/>
    </row>
    <row r="442" spans="1:24" s="278" customFormat="1" ht="409.6">
      <c r="A442" s="271">
        <f>References!W286</f>
        <v>665</v>
      </c>
      <c r="B442" s="305" t="s">
        <v>57</v>
      </c>
      <c r="C442" s="284">
        <v>2011</v>
      </c>
      <c r="D442" s="284">
        <v>2014</v>
      </c>
      <c r="E442" s="31">
        <v>237</v>
      </c>
      <c r="F442" s="31">
        <v>625</v>
      </c>
      <c r="G442" s="31">
        <v>1704</v>
      </c>
      <c r="H442" s="31">
        <v>955</v>
      </c>
      <c r="I442" s="31">
        <v>0</v>
      </c>
      <c r="J442" s="27">
        <v>3521</v>
      </c>
      <c r="K442" s="31">
        <v>3757</v>
      </c>
      <c r="L442" s="31">
        <v>939</v>
      </c>
      <c r="M442" s="31">
        <v>1012</v>
      </c>
      <c r="N442" s="639">
        <v>5708</v>
      </c>
      <c r="O442" s="29"/>
      <c r="X442" s="46"/>
    </row>
    <row r="443" spans="1:24" s="278" customFormat="1" ht="409.6">
      <c r="A443" s="271">
        <f>References!X286</f>
        <v>666</v>
      </c>
      <c r="B443" s="305" t="s">
        <v>57</v>
      </c>
      <c r="C443" s="284">
        <v>2011</v>
      </c>
      <c r="D443" s="284">
        <v>2015</v>
      </c>
      <c r="E443" s="31">
        <v>246</v>
      </c>
      <c r="F443" s="31">
        <v>657</v>
      </c>
      <c r="G443" s="31">
        <v>626</v>
      </c>
      <c r="H443" s="31">
        <v>1230</v>
      </c>
      <c r="I443" s="31">
        <v>0</v>
      </c>
      <c r="J443" s="27">
        <v>2759</v>
      </c>
      <c r="K443" s="31">
        <v>3926</v>
      </c>
      <c r="L443" s="31">
        <v>850</v>
      </c>
      <c r="M443" s="31">
        <v>1075</v>
      </c>
      <c r="N443" s="639">
        <v>5851</v>
      </c>
      <c r="O443" s="29"/>
      <c r="X443" s="46"/>
    </row>
    <row r="444" spans="1:24" s="278" customFormat="1" thickBot="1">
      <c r="A444" s="271">
        <f>References!Y286</f>
        <v>667</v>
      </c>
      <c r="B444" s="306" t="s">
        <v>57</v>
      </c>
      <c r="C444" s="307">
        <v>2011</v>
      </c>
      <c r="D444" s="307">
        <v>2016</v>
      </c>
      <c r="E444" s="47">
        <v>261</v>
      </c>
      <c r="F444" s="47">
        <v>1025</v>
      </c>
      <c r="G444" s="47">
        <v>563</v>
      </c>
      <c r="H444" s="47">
        <v>874</v>
      </c>
      <c r="I444" s="47">
        <v>0</v>
      </c>
      <c r="J444" s="48">
        <v>2723</v>
      </c>
      <c r="K444" s="47">
        <v>4111</v>
      </c>
      <c r="L444" s="47">
        <v>1021</v>
      </c>
      <c r="M444" s="47">
        <v>1180</v>
      </c>
      <c r="N444" s="640">
        <v>6312</v>
      </c>
      <c r="O444" s="29"/>
      <c r="X444" s="46"/>
    </row>
    <row r="445" spans="1:24" s="308" customFormat="1" ht="409.6">
      <c r="A445" s="271">
        <v>1</v>
      </c>
      <c r="B445" s="308">
        <f>A445+1</f>
        <v>2</v>
      </c>
      <c r="C445" s="308">
        <f t="shared" ref="C445:N445" si="0">B445+1</f>
        <v>3</v>
      </c>
      <c r="D445" s="308">
        <f t="shared" si="0"/>
        <v>4</v>
      </c>
      <c r="E445" s="308">
        <f t="shared" si="0"/>
        <v>5</v>
      </c>
      <c r="F445" s="308">
        <f t="shared" si="0"/>
        <v>6</v>
      </c>
      <c r="G445" s="308">
        <f t="shared" si="0"/>
        <v>7</v>
      </c>
      <c r="H445" s="308">
        <f t="shared" si="0"/>
        <v>8</v>
      </c>
      <c r="I445" s="308">
        <f t="shared" si="0"/>
        <v>9</v>
      </c>
      <c r="J445" s="308">
        <f t="shared" si="0"/>
        <v>10</v>
      </c>
      <c r="K445" s="308">
        <f t="shared" si="0"/>
        <v>11</v>
      </c>
      <c r="L445" s="308">
        <f t="shared" si="0"/>
        <v>12</v>
      </c>
      <c r="M445" s="308">
        <f t="shared" si="0"/>
        <v>13</v>
      </c>
      <c r="N445" s="308">
        <f t="shared" si="0"/>
        <v>14</v>
      </c>
      <c r="O445" s="308">
        <v>19</v>
      </c>
    </row>
  </sheetData>
  <sheetProtection password="80F5" sheet="1" objects="1" scenarios="1" formatCells="0" formatColumns="0" formatRows="0"/>
  <sortState ref="A10:CI444">
    <sortCondition ref="B10:B444"/>
    <sortCondition ref="C10:C444"/>
    <sortCondition ref="D10:D444"/>
  </sortState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Y286"/>
  <sheetViews>
    <sheetView zoomScale="80" zoomScaleNormal="80" workbookViewId="0"/>
  </sheetViews>
  <sheetFormatPr defaultColWidth="9.140625" defaultRowHeight="15"/>
  <cols>
    <col min="1" max="1" width="3.140625" style="393" customWidth="1"/>
    <col min="2" max="2" width="34.28515625" style="393" customWidth="1"/>
    <col min="3" max="3" width="6.7109375" style="393" customWidth="1"/>
    <col min="4" max="25" width="6.5703125" style="393" customWidth="1"/>
    <col min="26" max="16384" width="9.140625" style="393"/>
  </cols>
  <sheetData>
    <row r="2" spans="2:4">
      <c r="B2" s="392"/>
      <c r="C2" s="392"/>
    </row>
    <row r="3" spans="2:4">
      <c r="B3" s="394"/>
      <c r="C3" s="395"/>
    </row>
    <row r="4" spans="2:4">
      <c r="B4" s="392"/>
      <c r="C4" s="396"/>
      <c r="D4" s="396"/>
    </row>
    <row r="5" spans="2:4">
      <c r="B5" s="392"/>
      <c r="C5" s="396"/>
      <c r="D5" s="396"/>
    </row>
    <row r="6" spans="2:4">
      <c r="B6" s="392"/>
      <c r="C6" s="396"/>
      <c r="D6" s="396"/>
    </row>
    <row r="7" spans="2:4" s="397" customFormat="1"/>
    <row r="8" spans="2:4" s="397" customFormat="1">
      <c r="B8" s="398"/>
      <c r="C8" s="399"/>
      <c r="D8" s="399"/>
    </row>
    <row r="9" spans="2:4" s="397" customFormat="1">
      <c r="B9" s="400"/>
      <c r="C9" s="400"/>
      <c r="D9" s="400"/>
    </row>
    <row r="10" spans="2:4" s="397" customFormat="1"/>
    <row r="11" spans="2:4" s="397" customFormat="1">
      <c r="D11" s="401"/>
    </row>
    <row r="12" spans="2:4" s="397" customFormat="1">
      <c r="B12" s="401"/>
      <c r="C12" s="401"/>
    </row>
    <row r="13" spans="2:4" s="397" customFormat="1">
      <c r="B13" s="401"/>
      <c r="C13" s="401"/>
      <c r="D13" s="401"/>
    </row>
    <row r="14" spans="2:4" s="397" customFormat="1">
      <c r="B14" s="401"/>
      <c r="C14" s="401"/>
    </row>
    <row r="15" spans="2:4" s="397" customFormat="1">
      <c r="B15" s="401"/>
      <c r="C15" s="401"/>
      <c r="D15" s="401"/>
    </row>
    <row r="16" spans="2:4" s="397" customFormat="1"/>
    <row r="17" spans="2:5" s="397" customFormat="1">
      <c r="B17" s="401"/>
      <c r="C17" s="401"/>
      <c r="D17" s="401"/>
    </row>
    <row r="18" spans="2:5" s="397" customFormat="1">
      <c r="B18" s="401"/>
      <c r="C18" s="401"/>
      <c r="D18" s="401"/>
    </row>
    <row r="19" spans="2:5" s="397" customFormat="1" ht="21" customHeight="1">
      <c r="B19" s="401"/>
      <c r="C19" s="401"/>
      <c r="D19" s="401"/>
      <c r="E19" s="402"/>
    </row>
    <row r="20" spans="2:5" s="397" customFormat="1">
      <c r="B20" s="401"/>
      <c r="C20" s="401"/>
      <c r="E20" s="402"/>
    </row>
    <row r="21" spans="2:5" s="397" customFormat="1">
      <c r="B21" s="401"/>
      <c r="C21" s="401"/>
    </row>
    <row r="22" spans="2:5" s="397" customFormat="1">
      <c r="B22" s="401"/>
      <c r="C22" s="401"/>
    </row>
    <row r="23" spans="2:5" s="397" customFormat="1">
      <c r="B23" s="401"/>
      <c r="C23" s="401"/>
      <c r="D23" s="401"/>
    </row>
    <row r="24" spans="2:5" s="397" customFormat="1">
      <c r="B24" s="400"/>
    </row>
    <row r="25" spans="2:5" s="397" customFormat="1">
      <c r="B25" s="398"/>
      <c r="C25" s="398"/>
      <c r="D25" s="403"/>
    </row>
    <row r="26" spans="2:5" s="397" customFormat="1">
      <c r="B26" s="400"/>
      <c r="C26" s="400"/>
      <c r="D26" s="400"/>
    </row>
    <row r="27" spans="2:5" s="397" customFormat="1">
      <c r="B27" s="404"/>
      <c r="C27" s="401"/>
      <c r="D27" s="233"/>
    </row>
    <row r="28" spans="2:5" s="397" customFormat="1">
      <c r="B28" s="404"/>
      <c r="C28" s="401"/>
      <c r="D28" s="233"/>
    </row>
    <row r="29" spans="2:5" s="397" customFormat="1">
      <c r="B29" s="404"/>
      <c r="C29" s="401"/>
    </row>
    <row r="30" spans="2:5" s="397" customFormat="1">
      <c r="B30" s="404"/>
      <c r="C30" s="401"/>
    </row>
    <row r="31" spans="2:5" s="397" customFormat="1">
      <c r="B31" s="404"/>
      <c r="C31" s="401"/>
    </row>
    <row r="32" spans="2:5" s="397" customFormat="1">
      <c r="B32" s="404"/>
      <c r="C32" s="401"/>
    </row>
    <row r="33" spans="2:3" s="397" customFormat="1">
      <c r="B33" s="404"/>
      <c r="C33" s="401"/>
    </row>
    <row r="34" spans="2:3" s="397" customFormat="1">
      <c r="B34" s="404"/>
      <c r="C34" s="401"/>
    </row>
    <row r="35" spans="2:3" s="397" customFormat="1">
      <c r="B35" s="404"/>
      <c r="C35" s="401"/>
    </row>
    <row r="36" spans="2:3" s="397" customFormat="1">
      <c r="B36" s="404"/>
      <c r="C36" s="401"/>
    </row>
    <row r="37" spans="2:3" s="397" customFormat="1">
      <c r="B37" s="404"/>
      <c r="C37" s="401"/>
    </row>
    <row r="38" spans="2:3" s="397" customFormat="1">
      <c r="B38" s="404"/>
      <c r="C38" s="401"/>
    </row>
    <row r="39" spans="2:3" s="397" customFormat="1">
      <c r="B39" s="404"/>
      <c r="C39" s="401"/>
    </row>
    <row r="40" spans="2:3" s="397" customFormat="1">
      <c r="B40" s="404"/>
      <c r="C40" s="401"/>
    </row>
    <row r="41" spans="2:3" s="397" customFormat="1">
      <c r="B41" s="404"/>
      <c r="C41" s="401"/>
    </row>
    <row r="42" spans="2:3" s="397" customFormat="1">
      <c r="B42" s="404"/>
      <c r="C42" s="401"/>
    </row>
    <row r="43" spans="2:3" s="397" customFormat="1">
      <c r="B43" s="404"/>
      <c r="C43" s="401"/>
    </row>
    <row r="44" spans="2:3" s="397" customFormat="1">
      <c r="B44" s="404"/>
      <c r="C44" s="401"/>
    </row>
    <row r="45" spans="2:3" s="397" customFormat="1">
      <c r="B45" s="404"/>
      <c r="C45" s="401"/>
    </row>
    <row r="46" spans="2:3" s="397" customFormat="1">
      <c r="B46" s="404"/>
      <c r="C46" s="401"/>
    </row>
    <row r="47" spans="2:3" s="397" customFormat="1">
      <c r="B47" s="404"/>
      <c r="C47" s="401"/>
    </row>
    <row r="48" spans="2:3" s="397" customFormat="1">
      <c r="B48" s="405"/>
      <c r="C48" s="401"/>
    </row>
    <row r="49" spans="2:3" s="397" customFormat="1">
      <c r="B49" s="405"/>
      <c r="C49" s="401"/>
    </row>
    <row r="50" spans="2:3" s="397" customFormat="1">
      <c r="B50" s="404"/>
      <c r="C50" s="401"/>
    </row>
    <row r="51" spans="2:3" s="397" customFormat="1">
      <c r="B51" s="404"/>
      <c r="C51" s="401"/>
    </row>
    <row r="52" spans="2:3" s="397" customFormat="1">
      <c r="B52" s="404"/>
      <c r="C52" s="401"/>
    </row>
    <row r="53" spans="2:3" s="397" customFormat="1">
      <c r="B53" s="404"/>
      <c r="C53" s="401"/>
    </row>
    <row r="54" spans="2:3" s="397" customFormat="1">
      <c r="B54" s="404"/>
      <c r="C54" s="401"/>
    </row>
    <row r="55" spans="2:3" s="397" customFormat="1">
      <c r="B55" s="404"/>
      <c r="C55" s="401"/>
    </row>
    <row r="56" spans="2:3" s="397" customFormat="1"/>
    <row r="57" spans="2:3" s="397" customFormat="1"/>
    <row r="58" spans="2:3" s="397" customFormat="1"/>
    <row r="59" spans="2:3" s="397" customFormat="1"/>
    <row r="60" spans="2:3" s="397" customFormat="1"/>
    <row r="61" spans="2:3" s="397" customFormat="1"/>
    <row r="62" spans="2:3" s="397" customFormat="1"/>
    <row r="63" spans="2:3" s="397" customFormat="1"/>
    <row r="64" spans="2:3" s="397" customFormat="1"/>
    <row r="65" s="397" customFormat="1"/>
    <row r="66" s="397" customFormat="1"/>
    <row r="67" s="397" customFormat="1"/>
    <row r="68" s="397" customFormat="1"/>
    <row r="69" s="397" customFormat="1"/>
    <row r="70" s="397" customFormat="1"/>
    <row r="71" s="397" customFormat="1"/>
    <row r="72" s="397" customFormat="1"/>
    <row r="73" s="397" customFormat="1"/>
    <row r="74" s="397" customFormat="1"/>
    <row r="75" s="397" customFormat="1"/>
    <row r="76" s="397" customFormat="1"/>
    <row r="77" s="397" customFormat="1"/>
    <row r="78" s="397" customFormat="1"/>
    <row r="79" s="397" customFormat="1"/>
    <row r="80" s="397" customFormat="1"/>
    <row r="81" s="397" customFormat="1"/>
    <row r="82" s="397" customFormat="1"/>
    <row r="83" s="397" customFormat="1"/>
    <row r="84" s="397" customFormat="1"/>
    <row r="85" s="397" customFormat="1"/>
    <row r="86" s="397" customFormat="1"/>
    <row r="87" s="397" customFormat="1"/>
    <row r="88" s="397" customFormat="1"/>
    <row r="89" s="397" customFormat="1"/>
    <row r="90" s="397" customFormat="1"/>
    <row r="91" s="397" customFormat="1"/>
    <row r="92" s="397" customFormat="1"/>
    <row r="93" s="397" customFormat="1"/>
    <row r="94" s="397" customFormat="1"/>
    <row r="95" s="397" customFormat="1"/>
    <row r="96" s="397" customFormat="1"/>
    <row r="97" s="397" customFormat="1"/>
    <row r="98" s="397" customFormat="1"/>
    <row r="99" s="397" customFormat="1"/>
    <row r="100" s="397" customFormat="1"/>
    <row r="101" s="397" customFormat="1"/>
    <row r="102" s="397" customFormat="1"/>
    <row r="103" s="397" customFormat="1"/>
    <row r="104" s="397" customFormat="1"/>
    <row r="105" s="397" customFormat="1"/>
    <row r="106" s="397" customFormat="1"/>
    <row r="107" s="397" customFormat="1"/>
    <row r="108" s="397" customFormat="1"/>
    <row r="109" s="397" customFormat="1"/>
    <row r="110" s="397" customFormat="1"/>
    <row r="111" s="397" customFormat="1"/>
    <row r="112" s="397" customFormat="1"/>
    <row r="113" s="397" customFormat="1"/>
    <row r="114" s="397" customFormat="1"/>
    <row r="115" s="397" customFormat="1"/>
    <row r="116" s="397" customFormat="1"/>
    <row r="117" s="397" customFormat="1"/>
    <row r="118" s="397" customFormat="1"/>
    <row r="119" s="397" customFormat="1"/>
    <row r="120" s="397" customFormat="1"/>
    <row r="121" s="397" customFormat="1"/>
    <row r="122" s="397" customFormat="1"/>
    <row r="123" s="397" customFormat="1"/>
    <row r="124" s="397" customFormat="1"/>
    <row r="125" s="397" customFormat="1"/>
    <row r="126" s="397" customFormat="1"/>
    <row r="127" s="397" customFormat="1"/>
    <row r="128" s="397" customFormat="1"/>
    <row r="129" s="397" customFormat="1"/>
    <row r="130" s="397" customFormat="1"/>
    <row r="131" s="397" customFormat="1"/>
    <row r="132" s="397" customFormat="1"/>
    <row r="133" s="397" customFormat="1"/>
    <row r="134" s="397" customFormat="1"/>
    <row r="135" s="397" customFormat="1"/>
    <row r="136" s="397" customFormat="1"/>
    <row r="137" s="397" customFormat="1"/>
    <row r="138" s="397" customFormat="1"/>
    <row r="139" s="397" customFormat="1"/>
    <row r="140" s="397" customFormat="1"/>
    <row r="141" s="397" customFormat="1"/>
    <row r="142" s="397" customFormat="1"/>
    <row r="143" s="397" customFormat="1"/>
    <row r="144" s="397" customFormat="1"/>
    <row r="145" s="397" customFormat="1"/>
    <row r="146" s="397" customFormat="1"/>
    <row r="147" s="397" customFormat="1"/>
    <row r="148" s="397" customFormat="1"/>
    <row r="149" s="397" customFormat="1"/>
    <row r="150" s="397" customFormat="1"/>
    <row r="151" s="397" customFormat="1"/>
    <row r="152" s="397" customFormat="1"/>
    <row r="153" s="397" customFormat="1"/>
    <row r="154" s="397" customFormat="1"/>
    <row r="155" s="397" customFormat="1"/>
    <row r="156" s="397" customFormat="1"/>
    <row r="157" s="397" customFormat="1"/>
    <row r="158" s="397" customFormat="1"/>
    <row r="159" s="397" customFormat="1"/>
    <row r="160" s="397" customFormat="1"/>
    <row r="161" s="397" customFormat="1"/>
    <row r="162" s="397" customFormat="1"/>
    <row r="163" s="397" customFormat="1"/>
    <row r="164" s="397" customFormat="1"/>
    <row r="165" s="397" customFormat="1"/>
    <row r="166" s="397" customFormat="1"/>
    <row r="167" s="397" customFormat="1"/>
    <row r="168" s="397" customFormat="1"/>
    <row r="169" s="397" customFormat="1"/>
    <row r="170" s="397" customFormat="1"/>
    <row r="171" s="397" customFormat="1"/>
    <row r="172" s="397" customFormat="1"/>
    <row r="173" s="397" customFormat="1"/>
    <row r="174" s="397" customFormat="1"/>
    <row r="175" s="397" customFormat="1"/>
    <row r="176" s="397" customFormat="1"/>
    <row r="177" s="397" customFormat="1"/>
    <row r="178" s="397" customFormat="1"/>
    <row r="179" s="397" customFormat="1"/>
    <row r="180" s="397" customFormat="1"/>
    <row r="181" s="397" customFormat="1"/>
    <row r="182" s="397" customFormat="1"/>
    <row r="183" s="397" customFormat="1"/>
    <row r="184" s="397" customFormat="1"/>
    <row r="185" s="397" customFormat="1"/>
    <row r="186" s="397" customFormat="1"/>
    <row r="187" s="397" customFormat="1"/>
    <row r="188" s="397" customFormat="1"/>
    <row r="189" s="397" customFormat="1"/>
    <row r="190" s="397" customFormat="1"/>
    <row r="191" s="397" customFormat="1"/>
    <row r="192" s="397" customFormat="1"/>
    <row r="193" s="397" customFormat="1"/>
    <row r="194" s="397" customFormat="1"/>
    <row r="195" s="397" customFormat="1"/>
    <row r="196" s="397" customFormat="1"/>
    <row r="197" s="397" customFormat="1"/>
    <row r="198" s="397" customFormat="1"/>
    <row r="199" s="397" customFormat="1"/>
    <row r="200" s="397" customFormat="1"/>
    <row r="201" s="397" customFormat="1"/>
    <row r="202" s="397" customFormat="1"/>
    <row r="203" s="397" customFormat="1"/>
    <row r="204" s="397" customFormat="1"/>
    <row r="205" s="397" customFormat="1"/>
    <row r="206" s="397" customFormat="1"/>
    <row r="207" s="397" customFormat="1"/>
    <row r="208" s="397" customFormat="1"/>
    <row r="209" s="397" customFormat="1"/>
    <row r="210" s="397" customFormat="1"/>
    <row r="211" s="397" customFormat="1"/>
    <row r="212" s="397" customFormat="1"/>
    <row r="213" s="397" customFormat="1"/>
    <row r="214" s="397" customFormat="1"/>
    <row r="215" s="397" customFormat="1"/>
    <row r="216" s="397" customFormat="1"/>
    <row r="217" s="397" customFormat="1"/>
    <row r="218" s="397" customFormat="1"/>
    <row r="219" s="397" customFormat="1"/>
    <row r="220" s="397" customFormat="1"/>
    <row r="221" s="397" customFormat="1"/>
    <row r="222" s="397" customFormat="1"/>
    <row r="223" s="397" customFormat="1"/>
    <row r="224" s="397" customFormat="1"/>
    <row r="225" s="397" customFormat="1"/>
    <row r="226" s="397" customFormat="1"/>
    <row r="227" s="397" customFormat="1"/>
    <row r="228" s="397" customFormat="1"/>
    <row r="229" s="397" customFormat="1"/>
    <row r="230" s="397" customFormat="1"/>
    <row r="231" s="397" customFormat="1"/>
    <row r="232" s="397" customFormat="1"/>
    <row r="233" s="397" customFormat="1"/>
    <row r="234" s="397" customFormat="1"/>
    <row r="235" s="397" customFormat="1"/>
    <row r="236" s="397" customFormat="1"/>
    <row r="237" s="397" customFormat="1"/>
    <row r="238" s="397" customFormat="1"/>
    <row r="239" s="397" customFormat="1"/>
    <row r="240" s="397" customFormat="1"/>
    <row r="241" spans="2:25" s="397" customFormat="1"/>
    <row r="242" spans="2:25" s="397" customFormat="1"/>
    <row r="243" spans="2:25" s="397" customFormat="1"/>
    <row r="244" spans="2:25" s="397" customFormat="1"/>
    <row r="245" spans="2:25" s="397" customFormat="1"/>
    <row r="246" spans="2:25" s="397" customFormat="1"/>
    <row r="247" spans="2:25" s="397" customFormat="1"/>
    <row r="248" spans="2:25" s="397" customFormat="1"/>
    <row r="249" spans="2:25" s="397" customFormat="1"/>
    <row r="250" spans="2:25" s="397" customFormat="1"/>
    <row r="254" spans="2:25">
      <c r="B254" s="393" t="s">
        <v>347</v>
      </c>
    </row>
    <row r="255" spans="2:25">
      <c r="B255" s="558"/>
      <c r="C255" s="558" t="s">
        <v>299</v>
      </c>
      <c r="D255" s="558"/>
      <c r="E255" s="558"/>
      <c r="F255" s="558"/>
      <c r="G255" s="558"/>
      <c r="H255" s="558"/>
      <c r="I255" s="558"/>
      <c r="J255" s="558"/>
      <c r="K255" s="558" t="s">
        <v>296</v>
      </c>
      <c r="L255" s="558"/>
      <c r="M255" s="558"/>
      <c r="N255" s="558"/>
      <c r="O255" s="558"/>
      <c r="P255" s="558" t="s">
        <v>297</v>
      </c>
      <c r="Q255" s="558"/>
      <c r="R255" s="558"/>
      <c r="S255" s="558"/>
      <c r="T255" s="558"/>
      <c r="U255" s="558" t="s">
        <v>298</v>
      </c>
      <c r="V255" s="558"/>
      <c r="W255" s="558"/>
      <c r="X255" s="558"/>
      <c r="Y255" s="558"/>
    </row>
    <row r="256" spans="2:25">
      <c r="B256" s="558">
        <v>1</v>
      </c>
      <c r="C256" s="558">
        <v>2</v>
      </c>
      <c r="D256" s="558">
        <v>3</v>
      </c>
      <c r="E256" s="558">
        <v>4</v>
      </c>
      <c r="F256" s="558">
        <v>5</v>
      </c>
      <c r="G256" s="558">
        <v>6</v>
      </c>
      <c r="H256" s="558">
        <v>7</v>
      </c>
      <c r="I256" s="558">
        <v>8</v>
      </c>
      <c r="J256" s="558">
        <v>9</v>
      </c>
      <c r="K256" s="558">
        <v>10</v>
      </c>
      <c r="L256" s="558">
        <v>11</v>
      </c>
      <c r="M256" s="558">
        <v>12</v>
      </c>
      <c r="N256" s="558">
        <v>13</v>
      </c>
      <c r="O256" s="558">
        <v>14</v>
      </c>
      <c r="P256" s="558">
        <v>15</v>
      </c>
      <c r="Q256" s="558">
        <v>16</v>
      </c>
      <c r="R256" s="558">
        <v>17</v>
      </c>
      <c r="S256" s="558">
        <v>18</v>
      </c>
      <c r="T256" s="558">
        <v>19</v>
      </c>
      <c r="U256" s="558">
        <v>20</v>
      </c>
      <c r="V256" s="558">
        <v>21</v>
      </c>
      <c r="W256" s="558">
        <v>22</v>
      </c>
      <c r="X256" s="558">
        <v>23</v>
      </c>
      <c r="Y256" s="558">
        <v>24</v>
      </c>
    </row>
    <row r="257" spans="2:25">
      <c r="B257" s="558"/>
      <c r="C257" s="558">
        <v>2004</v>
      </c>
      <c r="D257" s="558">
        <v>2005</v>
      </c>
      <c r="E257" s="558">
        <v>2006</v>
      </c>
      <c r="F257" s="558">
        <v>2007</v>
      </c>
      <c r="G257" s="558">
        <v>2008</v>
      </c>
      <c r="H257" s="558">
        <v>2009</v>
      </c>
      <c r="I257" s="558">
        <v>2010</v>
      </c>
      <c r="J257" s="558">
        <v>2011</v>
      </c>
      <c r="K257" s="558">
        <v>2010</v>
      </c>
      <c r="L257" s="558">
        <v>2011</v>
      </c>
      <c r="M257" s="558">
        <v>2012</v>
      </c>
      <c r="N257" s="558">
        <v>2013</v>
      </c>
      <c r="O257" s="558">
        <v>2014</v>
      </c>
      <c r="P257" s="558">
        <v>2011</v>
      </c>
      <c r="Q257" s="558">
        <v>2012</v>
      </c>
      <c r="R257" s="558">
        <v>2013</v>
      </c>
      <c r="S257" s="558">
        <v>2014</v>
      </c>
      <c r="T257" s="558">
        <v>2015</v>
      </c>
      <c r="U257" s="558">
        <v>2012</v>
      </c>
      <c r="V257" s="558">
        <v>2013</v>
      </c>
      <c r="W257" s="558">
        <v>2014</v>
      </c>
      <c r="X257" s="558">
        <v>2015</v>
      </c>
      <c r="Y257" s="558">
        <v>2016</v>
      </c>
    </row>
    <row r="258" spans="2:25">
      <c r="B258" s="558" t="s">
        <v>112</v>
      </c>
      <c r="C258" s="558">
        <v>1</v>
      </c>
      <c r="D258" s="558">
        <f>C258+1</f>
        <v>2</v>
      </c>
      <c r="E258" s="558">
        <f t="shared" ref="E258:Y258" si="0">D258+1</f>
        <v>3</v>
      </c>
      <c r="F258" s="558">
        <f t="shared" si="0"/>
        <v>4</v>
      </c>
      <c r="G258" s="558">
        <f t="shared" si="0"/>
        <v>5</v>
      </c>
      <c r="H258" s="558">
        <f t="shared" si="0"/>
        <v>6</v>
      </c>
      <c r="I258" s="558">
        <f t="shared" si="0"/>
        <v>7</v>
      </c>
      <c r="J258" s="558">
        <f t="shared" si="0"/>
        <v>8</v>
      </c>
      <c r="K258" s="558">
        <f t="shared" si="0"/>
        <v>9</v>
      </c>
      <c r="L258" s="558">
        <f t="shared" si="0"/>
        <v>10</v>
      </c>
      <c r="M258" s="558">
        <f t="shared" si="0"/>
        <v>11</v>
      </c>
      <c r="N258" s="558">
        <f t="shared" si="0"/>
        <v>12</v>
      </c>
      <c r="O258" s="558">
        <f t="shared" si="0"/>
        <v>13</v>
      </c>
      <c r="P258" s="558">
        <f t="shared" si="0"/>
        <v>14</v>
      </c>
      <c r="Q258" s="558">
        <f t="shared" si="0"/>
        <v>15</v>
      </c>
      <c r="R258" s="558">
        <f t="shared" si="0"/>
        <v>16</v>
      </c>
      <c r="S258" s="558">
        <f t="shared" si="0"/>
        <v>17</v>
      </c>
      <c r="T258" s="558">
        <f t="shared" si="0"/>
        <v>18</v>
      </c>
      <c r="U258" s="558">
        <f t="shared" si="0"/>
        <v>19</v>
      </c>
      <c r="V258" s="558">
        <f t="shared" si="0"/>
        <v>20</v>
      </c>
      <c r="W258" s="558">
        <f t="shared" si="0"/>
        <v>21</v>
      </c>
      <c r="X258" s="558">
        <f t="shared" si="0"/>
        <v>22</v>
      </c>
      <c r="Y258" s="558">
        <f t="shared" si="0"/>
        <v>23</v>
      </c>
    </row>
    <row r="259" spans="2:25">
      <c r="B259" s="558" t="s">
        <v>174</v>
      </c>
      <c r="C259" s="558">
        <f>Y258+1</f>
        <v>24</v>
      </c>
      <c r="D259" s="558">
        <f t="shared" ref="D259:Y259" si="1">C259+1</f>
        <v>25</v>
      </c>
      <c r="E259" s="558">
        <f t="shared" si="1"/>
        <v>26</v>
      </c>
      <c r="F259" s="558">
        <f t="shared" si="1"/>
        <v>27</v>
      </c>
      <c r="G259" s="558">
        <f t="shared" si="1"/>
        <v>28</v>
      </c>
      <c r="H259" s="558">
        <f t="shared" si="1"/>
        <v>29</v>
      </c>
      <c r="I259" s="558">
        <f t="shared" si="1"/>
        <v>30</v>
      </c>
      <c r="J259" s="558">
        <f t="shared" si="1"/>
        <v>31</v>
      </c>
      <c r="K259" s="558">
        <f t="shared" si="1"/>
        <v>32</v>
      </c>
      <c r="L259" s="558">
        <f t="shared" si="1"/>
        <v>33</v>
      </c>
      <c r="M259" s="558">
        <f t="shared" si="1"/>
        <v>34</v>
      </c>
      <c r="N259" s="558">
        <f t="shared" si="1"/>
        <v>35</v>
      </c>
      <c r="O259" s="558">
        <f t="shared" si="1"/>
        <v>36</v>
      </c>
      <c r="P259" s="558">
        <f t="shared" si="1"/>
        <v>37</v>
      </c>
      <c r="Q259" s="558">
        <f t="shared" si="1"/>
        <v>38</v>
      </c>
      <c r="R259" s="558">
        <f t="shared" si="1"/>
        <v>39</v>
      </c>
      <c r="S259" s="558">
        <f t="shared" si="1"/>
        <v>40</v>
      </c>
      <c r="T259" s="558">
        <f t="shared" si="1"/>
        <v>41</v>
      </c>
      <c r="U259" s="558">
        <f t="shared" si="1"/>
        <v>42</v>
      </c>
      <c r="V259" s="558">
        <f t="shared" si="1"/>
        <v>43</v>
      </c>
      <c r="W259" s="558">
        <f t="shared" si="1"/>
        <v>44</v>
      </c>
      <c r="X259" s="558">
        <f t="shared" si="1"/>
        <v>45</v>
      </c>
      <c r="Y259" s="558">
        <f t="shared" si="1"/>
        <v>46</v>
      </c>
    </row>
    <row r="260" spans="2:25">
      <c r="B260" s="558" t="s">
        <v>31</v>
      </c>
      <c r="C260" s="558">
        <f t="shared" ref="C260:C286" si="2">Y259+1</f>
        <v>47</v>
      </c>
      <c r="D260" s="558">
        <f t="shared" ref="D260:Y260" si="3">C260+1</f>
        <v>48</v>
      </c>
      <c r="E260" s="558">
        <f t="shared" si="3"/>
        <v>49</v>
      </c>
      <c r="F260" s="558">
        <f t="shared" si="3"/>
        <v>50</v>
      </c>
      <c r="G260" s="558">
        <f t="shared" si="3"/>
        <v>51</v>
      </c>
      <c r="H260" s="558">
        <f t="shared" si="3"/>
        <v>52</v>
      </c>
      <c r="I260" s="558">
        <f t="shared" si="3"/>
        <v>53</v>
      </c>
      <c r="J260" s="558">
        <f t="shared" si="3"/>
        <v>54</v>
      </c>
      <c r="K260" s="558">
        <f t="shared" si="3"/>
        <v>55</v>
      </c>
      <c r="L260" s="558">
        <f t="shared" si="3"/>
        <v>56</v>
      </c>
      <c r="M260" s="558">
        <f t="shared" si="3"/>
        <v>57</v>
      </c>
      <c r="N260" s="558">
        <f t="shared" si="3"/>
        <v>58</v>
      </c>
      <c r="O260" s="558">
        <f t="shared" si="3"/>
        <v>59</v>
      </c>
      <c r="P260" s="558">
        <f t="shared" si="3"/>
        <v>60</v>
      </c>
      <c r="Q260" s="558">
        <f t="shared" si="3"/>
        <v>61</v>
      </c>
      <c r="R260" s="558">
        <f t="shared" si="3"/>
        <v>62</v>
      </c>
      <c r="S260" s="558">
        <f t="shared" si="3"/>
        <v>63</v>
      </c>
      <c r="T260" s="558">
        <f t="shared" si="3"/>
        <v>64</v>
      </c>
      <c r="U260" s="558">
        <f t="shared" si="3"/>
        <v>65</v>
      </c>
      <c r="V260" s="558">
        <f t="shared" si="3"/>
        <v>66</v>
      </c>
      <c r="W260" s="558">
        <f t="shared" si="3"/>
        <v>67</v>
      </c>
      <c r="X260" s="558">
        <f t="shared" si="3"/>
        <v>68</v>
      </c>
      <c r="Y260" s="558">
        <f t="shared" si="3"/>
        <v>69</v>
      </c>
    </row>
    <row r="261" spans="2:25">
      <c r="B261" s="558" t="s">
        <v>32</v>
      </c>
      <c r="C261" s="558">
        <f t="shared" si="2"/>
        <v>70</v>
      </c>
      <c r="D261" s="558">
        <f t="shared" ref="D261:Y261" si="4">C261+1</f>
        <v>71</v>
      </c>
      <c r="E261" s="558">
        <f t="shared" si="4"/>
        <v>72</v>
      </c>
      <c r="F261" s="558">
        <f t="shared" si="4"/>
        <v>73</v>
      </c>
      <c r="G261" s="558">
        <f t="shared" si="4"/>
        <v>74</v>
      </c>
      <c r="H261" s="558">
        <f t="shared" si="4"/>
        <v>75</v>
      </c>
      <c r="I261" s="558">
        <f t="shared" si="4"/>
        <v>76</v>
      </c>
      <c r="J261" s="558">
        <f t="shared" si="4"/>
        <v>77</v>
      </c>
      <c r="K261" s="558">
        <f t="shared" si="4"/>
        <v>78</v>
      </c>
      <c r="L261" s="558">
        <f t="shared" si="4"/>
        <v>79</v>
      </c>
      <c r="M261" s="558">
        <f t="shared" si="4"/>
        <v>80</v>
      </c>
      <c r="N261" s="558">
        <f t="shared" si="4"/>
        <v>81</v>
      </c>
      <c r="O261" s="558">
        <f t="shared" si="4"/>
        <v>82</v>
      </c>
      <c r="P261" s="558">
        <f t="shared" si="4"/>
        <v>83</v>
      </c>
      <c r="Q261" s="558">
        <f t="shared" si="4"/>
        <v>84</v>
      </c>
      <c r="R261" s="558">
        <f t="shared" si="4"/>
        <v>85</v>
      </c>
      <c r="S261" s="558">
        <f t="shared" si="4"/>
        <v>86</v>
      </c>
      <c r="T261" s="558">
        <f t="shared" si="4"/>
        <v>87</v>
      </c>
      <c r="U261" s="558">
        <f t="shared" si="4"/>
        <v>88</v>
      </c>
      <c r="V261" s="558">
        <f t="shared" si="4"/>
        <v>89</v>
      </c>
      <c r="W261" s="558">
        <f t="shared" si="4"/>
        <v>90</v>
      </c>
      <c r="X261" s="558">
        <f t="shared" si="4"/>
        <v>91</v>
      </c>
      <c r="Y261" s="558">
        <f t="shared" si="4"/>
        <v>92</v>
      </c>
    </row>
    <row r="262" spans="2:25">
      <c r="B262" s="558" t="s">
        <v>33</v>
      </c>
      <c r="C262" s="558">
        <f t="shared" si="2"/>
        <v>93</v>
      </c>
      <c r="D262" s="558">
        <f t="shared" ref="D262:Y262" si="5">C262+1</f>
        <v>94</v>
      </c>
      <c r="E262" s="558">
        <f t="shared" si="5"/>
        <v>95</v>
      </c>
      <c r="F262" s="558">
        <f t="shared" si="5"/>
        <v>96</v>
      </c>
      <c r="G262" s="558">
        <f t="shared" si="5"/>
        <v>97</v>
      </c>
      <c r="H262" s="558">
        <f t="shared" si="5"/>
        <v>98</v>
      </c>
      <c r="I262" s="558">
        <f t="shared" si="5"/>
        <v>99</v>
      </c>
      <c r="J262" s="558">
        <f t="shared" si="5"/>
        <v>100</v>
      </c>
      <c r="K262" s="558">
        <f t="shared" si="5"/>
        <v>101</v>
      </c>
      <c r="L262" s="558">
        <f t="shared" si="5"/>
        <v>102</v>
      </c>
      <c r="M262" s="558">
        <f t="shared" si="5"/>
        <v>103</v>
      </c>
      <c r="N262" s="558">
        <f t="shared" si="5"/>
        <v>104</v>
      </c>
      <c r="O262" s="558">
        <f t="shared" si="5"/>
        <v>105</v>
      </c>
      <c r="P262" s="558">
        <f t="shared" si="5"/>
        <v>106</v>
      </c>
      <c r="Q262" s="558">
        <f t="shared" si="5"/>
        <v>107</v>
      </c>
      <c r="R262" s="558">
        <f t="shared" si="5"/>
        <v>108</v>
      </c>
      <c r="S262" s="558">
        <f t="shared" si="5"/>
        <v>109</v>
      </c>
      <c r="T262" s="558">
        <f t="shared" si="5"/>
        <v>110</v>
      </c>
      <c r="U262" s="558">
        <f t="shared" si="5"/>
        <v>111</v>
      </c>
      <c r="V262" s="558">
        <f t="shared" si="5"/>
        <v>112</v>
      </c>
      <c r="W262" s="558">
        <f t="shared" si="5"/>
        <v>113</v>
      </c>
      <c r="X262" s="558">
        <f t="shared" si="5"/>
        <v>114</v>
      </c>
      <c r="Y262" s="558">
        <f t="shared" si="5"/>
        <v>115</v>
      </c>
    </row>
    <row r="263" spans="2:25">
      <c r="B263" s="558" t="s">
        <v>34</v>
      </c>
      <c r="C263" s="558">
        <f t="shared" si="2"/>
        <v>116</v>
      </c>
      <c r="D263" s="558">
        <f t="shared" ref="D263:Y263" si="6">C263+1</f>
        <v>117</v>
      </c>
      <c r="E263" s="558">
        <f t="shared" si="6"/>
        <v>118</v>
      </c>
      <c r="F263" s="558">
        <f t="shared" si="6"/>
        <v>119</v>
      </c>
      <c r="G263" s="558">
        <f t="shared" si="6"/>
        <v>120</v>
      </c>
      <c r="H263" s="558">
        <f t="shared" si="6"/>
        <v>121</v>
      </c>
      <c r="I263" s="558">
        <f t="shared" si="6"/>
        <v>122</v>
      </c>
      <c r="J263" s="558">
        <f t="shared" si="6"/>
        <v>123</v>
      </c>
      <c r="K263" s="558">
        <f t="shared" si="6"/>
        <v>124</v>
      </c>
      <c r="L263" s="558">
        <f t="shared" si="6"/>
        <v>125</v>
      </c>
      <c r="M263" s="558">
        <f t="shared" si="6"/>
        <v>126</v>
      </c>
      <c r="N263" s="558">
        <f t="shared" si="6"/>
        <v>127</v>
      </c>
      <c r="O263" s="558">
        <f t="shared" si="6"/>
        <v>128</v>
      </c>
      <c r="P263" s="558">
        <f t="shared" si="6"/>
        <v>129</v>
      </c>
      <c r="Q263" s="558">
        <f t="shared" si="6"/>
        <v>130</v>
      </c>
      <c r="R263" s="558">
        <f t="shared" si="6"/>
        <v>131</v>
      </c>
      <c r="S263" s="558">
        <f t="shared" si="6"/>
        <v>132</v>
      </c>
      <c r="T263" s="558">
        <f t="shared" si="6"/>
        <v>133</v>
      </c>
      <c r="U263" s="558">
        <f t="shared" si="6"/>
        <v>134</v>
      </c>
      <c r="V263" s="558">
        <f t="shared" si="6"/>
        <v>135</v>
      </c>
      <c r="W263" s="558">
        <f t="shared" si="6"/>
        <v>136</v>
      </c>
      <c r="X263" s="558">
        <f t="shared" si="6"/>
        <v>137</v>
      </c>
      <c r="Y263" s="558">
        <f t="shared" si="6"/>
        <v>138</v>
      </c>
    </row>
    <row r="264" spans="2:25">
      <c r="B264" s="558" t="s">
        <v>35</v>
      </c>
      <c r="C264" s="558">
        <f t="shared" si="2"/>
        <v>139</v>
      </c>
      <c r="D264" s="558">
        <f t="shared" ref="D264:Y264" si="7">C264+1</f>
        <v>140</v>
      </c>
      <c r="E264" s="558">
        <f t="shared" si="7"/>
        <v>141</v>
      </c>
      <c r="F264" s="558">
        <f t="shared" si="7"/>
        <v>142</v>
      </c>
      <c r="G264" s="558">
        <f t="shared" si="7"/>
        <v>143</v>
      </c>
      <c r="H264" s="558">
        <f t="shared" si="7"/>
        <v>144</v>
      </c>
      <c r="I264" s="558">
        <f t="shared" si="7"/>
        <v>145</v>
      </c>
      <c r="J264" s="558">
        <f t="shared" si="7"/>
        <v>146</v>
      </c>
      <c r="K264" s="558">
        <f t="shared" si="7"/>
        <v>147</v>
      </c>
      <c r="L264" s="558">
        <f t="shared" si="7"/>
        <v>148</v>
      </c>
      <c r="M264" s="558">
        <f t="shared" si="7"/>
        <v>149</v>
      </c>
      <c r="N264" s="558">
        <f t="shared" si="7"/>
        <v>150</v>
      </c>
      <c r="O264" s="558">
        <f t="shared" si="7"/>
        <v>151</v>
      </c>
      <c r="P264" s="558">
        <f t="shared" si="7"/>
        <v>152</v>
      </c>
      <c r="Q264" s="558">
        <f t="shared" si="7"/>
        <v>153</v>
      </c>
      <c r="R264" s="558">
        <f t="shared" si="7"/>
        <v>154</v>
      </c>
      <c r="S264" s="558">
        <f t="shared" si="7"/>
        <v>155</v>
      </c>
      <c r="T264" s="558">
        <f t="shared" si="7"/>
        <v>156</v>
      </c>
      <c r="U264" s="558">
        <f t="shared" si="7"/>
        <v>157</v>
      </c>
      <c r="V264" s="558">
        <f t="shared" si="7"/>
        <v>158</v>
      </c>
      <c r="W264" s="558">
        <f t="shared" si="7"/>
        <v>159</v>
      </c>
      <c r="X264" s="558">
        <f t="shared" si="7"/>
        <v>160</v>
      </c>
      <c r="Y264" s="558">
        <f t="shared" si="7"/>
        <v>161</v>
      </c>
    </row>
    <row r="265" spans="2:25">
      <c r="B265" s="558" t="s">
        <v>115</v>
      </c>
      <c r="C265" s="558">
        <f t="shared" si="2"/>
        <v>162</v>
      </c>
      <c r="D265" s="558">
        <f t="shared" ref="D265:Y265" si="8">C265+1</f>
        <v>163</v>
      </c>
      <c r="E265" s="558">
        <f t="shared" si="8"/>
        <v>164</v>
      </c>
      <c r="F265" s="558">
        <f t="shared" si="8"/>
        <v>165</v>
      </c>
      <c r="G265" s="558">
        <f t="shared" si="8"/>
        <v>166</v>
      </c>
      <c r="H265" s="558">
        <f t="shared" si="8"/>
        <v>167</v>
      </c>
      <c r="I265" s="558">
        <f t="shared" si="8"/>
        <v>168</v>
      </c>
      <c r="J265" s="558">
        <f t="shared" si="8"/>
        <v>169</v>
      </c>
      <c r="K265" s="558">
        <f t="shared" si="8"/>
        <v>170</v>
      </c>
      <c r="L265" s="558">
        <f t="shared" si="8"/>
        <v>171</v>
      </c>
      <c r="M265" s="558">
        <f t="shared" si="8"/>
        <v>172</v>
      </c>
      <c r="N265" s="558">
        <f t="shared" si="8"/>
        <v>173</v>
      </c>
      <c r="O265" s="558">
        <f t="shared" si="8"/>
        <v>174</v>
      </c>
      <c r="P265" s="558">
        <f t="shared" si="8"/>
        <v>175</v>
      </c>
      <c r="Q265" s="558">
        <f t="shared" si="8"/>
        <v>176</v>
      </c>
      <c r="R265" s="558">
        <f t="shared" si="8"/>
        <v>177</v>
      </c>
      <c r="S265" s="558">
        <f t="shared" si="8"/>
        <v>178</v>
      </c>
      <c r="T265" s="558">
        <f t="shared" si="8"/>
        <v>179</v>
      </c>
      <c r="U265" s="558">
        <f t="shared" si="8"/>
        <v>180</v>
      </c>
      <c r="V265" s="558">
        <f t="shared" si="8"/>
        <v>181</v>
      </c>
      <c r="W265" s="558">
        <f t="shared" si="8"/>
        <v>182</v>
      </c>
      <c r="X265" s="558">
        <f t="shared" si="8"/>
        <v>183</v>
      </c>
      <c r="Y265" s="558">
        <f t="shared" si="8"/>
        <v>184</v>
      </c>
    </row>
    <row r="266" spans="2:25">
      <c r="B266" s="558" t="s">
        <v>116</v>
      </c>
      <c r="C266" s="558">
        <f t="shared" si="2"/>
        <v>185</v>
      </c>
      <c r="D266" s="558">
        <f t="shared" ref="D266:Y266" si="9">C266+1</f>
        <v>186</v>
      </c>
      <c r="E266" s="558">
        <f t="shared" si="9"/>
        <v>187</v>
      </c>
      <c r="F266" s="558">
        <f t="shared" si="9"/>
        <v>188</v>
      </c>
      <c r="G266" s="558">
        <f t="shared" si="9"/>
        <v>189</v>
      </c>
      <c r="H266" s="558">
        <f t="shared" si="9"/>
        <v>190</v>
      </c>
      <c r="I266" s="558">
        <f t="shared" si="9"/>
        <v>191</v>
      </c>
      <c r="J266" s="558">
        <f t="shared" si="9"/>
        <v>192</v>
      </c>
      <c r="K266" s="558">
        <f t="shared" si="9"/>
        <v>193</v>
      </c>
      <c r="L266" s="558">
        <f t="shared" si="9"/>
        <v>194</v>
      </c>
      <c r="M266" s="558">
        <f t="shared" si="9"/>
        <v>195</v>
      </c>
      <c r="N266" s="558">
        <f t="shared" si="9"/>
        <v>196</v>
      </c>
      <c r="O266" s="558">
        <f t="shared" si="9"/>
        <v>197</v>
      </c>
      <c r="P266" s="558">
        <f t="shared" si="9"/>
        <v>198</v>
      </c>
      <c r="Q266" s="558">
        <f t="shared" si="9"/>
        <v>199</v>
      </c>
      <c r="R266" s="558">
        <f t="shared" si="9"/>
        <v>200</v>
      </c>
      <c r="S266" s="558">
        <f t="shared" si="9"/>
        <v>201</v>
      </c>
      <c r="T266" s="558">
        <f t="shared" si="9"/>
        <v>202</v>
      </c>
      <c r="U266" s="558">
        <f t="shared" si="9"/>
        <v>203</v>
      </c>
      <c r="V266" s="558">
        <f t="shared" si="9"/>
        <v>204</v>
      </c>
      <c r="W266" s="558">
        <f t="shared" si="9"/>
        <v>205</v>
      </c>
      <c r="X266" s="558">
        <f t="shared" si="9"/>
        <v>206</v>
      </c>
      <c r="Y266" s="558">
        <f t="shared" si="9"/>
        <v>207</v>
      </c>
    </row>
    <row r="267" spans="2:25">
      <c r="B267" s="558" t="s">
        <v>38</v>
      </c>
      <c r="C267" s="558">
        <f t="shared" si="2"/>
        <v>208</v>
      </c>
      <c r="D267" s="558">
        <f t="shared" ref="D267:Y267" si="10">C267+1</f>
        <v>209</v>
      </c>
      <c r="E267" s="558">
        <f t="shared" si="10"/>
        <v>210</v>
      </c>
      <c r="F267" s="558">
        <f t="shared" si="10"/>
        <v>211</v>
      </c>
      <c r="G267" s="558">
        <f t="shared" si="10"/>
        <v>212</v>
      </c>
      <c r="H267" s="558">
        <f t="shared" si="10"/>
        <v>213</v>
      </c>
      <c r="I267" s="558">
        <f t="shared" si="10"/>
        <v>214</v>
      </c>
      <c r="J267" s="558">
        <f t="shared" si="10"/>
        <v>215</v>
      </c>
      <c r="K267" s="558">
        <f t="shared" si="10"/>
        <v>216</v>
      </c>
      <c r="L267" s="558">
        <f t="shared" si="10"/>
        <v>217</v>
      </c>
      <c r="M267" s="558">
        <f t="shared" si="10"/>
        <v>218</v>
      </c>
      <c r="N267" s="558">
        <f t="shared" si="10"/>
        <v>219</v>
      </c>
      <c r="O267" s="558">
        <f t="shared" si="10"/>
        <v>220</v>
      </c>
      <c r="P267" s="558">
        <f t="shared" si="10"/>
        <v>221</v>
      </c>
      <c r="Q267" s="558">
        <f t="shared" si="10"/>
        <v>222</v>
      </c>
      <c r="R267" s="558">
        <f t="shared" si="10"/>
        <v>223</v>
      </c>
      <c r="S267" s="558">
        <f t="shared" si="10"/>
        <v>224</v>
      </c>
      <c r="T267" s="558">
        <f t="shared" si="10"/>
        <v>225</v>
      </c>
      <c r="U267" s="558">
        <f t="shared" si="10"/>
        <v>226</v>
      </c>
      <c r="V267" s="558">
        <f t="shared" si="10"/>
        <v>227</v>
      </c>
      <c r="W267" s="558">
        <f t="shared" si="10"/>
        <v>228</v>
      </c>
      <c r="X267" s="558">
        <f t="shared" si="10"/>
        <v>229</v>
      </c>
      <c r="Y267" s="558">
        <f t="shared" si="10"/>
        <v>230</v>
      </c>
    </row>
    <row r="268" spans="2:25">
      <c r="B268" s="558" t="s">
        <v>39</v>
      </c>
      <c r="C268" s="558">
        <f t="shared" si="2"/>
        <v>231</v>
      </c>
      <c r="D268" s="558">
        <f t="shared" ref="D268:Y268" si="11">C268+1</f>
        <v>232</v>
      </c>
      <c r="E268" s="558">
        <f t="shared" si="11"/>
        <v>233</v>
      </c>
      <c r="F268" s="558">
        <f t="shared" si="11"/>
        <v>234</v>
      </c>
      <c r="G268" s="558">
        <f t="shared" si="11"/>
        <v>235</v>
      </c>
      <c r="H268" s="558">
        <f t="shared" si="11"/>
        <v>236</v>
      </c>
      <c r="I268" s="558">
        <f t="shared" si="11"/>
        <v>237</v>
      </c>
      <c r="J268" s="558">
        <f t="shared" si="11"/>
        <v>238</v>
      </c>
      <c r="K268" s="558">
        <f t="shared" si="11"/>
        <v>239</v>
      </c>
      <c r="L268" s="558">
        <f t="shared" si="11"/>
        <v>240</v>
      </c>
      <c r="M268" s="558">
        <f t="shared" si="11"/>
        <v>241</v>
      </c>
      <c r="N268" s="558">
        <f t="shared" si="11"/>
        <v>242</v>
      </c>
      <c r="O268" s="558">
        <f t="shared" si="11"/>
        <v>243</v>
      </c>
      <c r="P268" s="558">
        <f t="shared" si="11"/>
        <v>244</v>
      </c>
      <c r="Q268" s="558">
        <f t="shared" si="11"/>
        <v>245</v>
      </c>
      <c r="R268" s="558">
        <f t="shared" si="11"/>
        <v>246</v>
      </c>
      <c r="S268" s="558">
        <f t="shared" si="11"/>
        <v>247</v>
      </c>
      <c r="T268" s="558">
        <f t="shared" si="11"/>
        <v>248</v>
      </c>
      <c r="U268" s="558">
        <f t="shared" si="11"/>
        <v>249</v>
      </c>
      <c r="V268" s="558">
        <f t="shared" si="11"/>
        <v>250</v>
      </c>
      <c r="W268" s="558">
        <f t="shared" si="11"/>
        <v>251</v>
      </c>
      <c r="X268" s="558">
        <f t="shared" si="11"/>
        <v>252</v>
      </c>
      <c r="Y268" s="558">
        <f t="shared" si="11"/>
        <v>253</v>
      </c>
    </row>
    <row r="269" spans="2:25">
      <c r="B269" s="558" t="s">
        <v>40</v>
      </c>
      <c r="C269" s="558">
        <f t="shared" si="2"/>
        <v>254</v>
      </c>
      <c r="D269" s="558">
        <f t="shared" ref="D269:Y269" si="12">C269+1</f>
        <v>255</v>
      </c>
      <c r="E269" s="558">
        <f t="shared" si="12"/>
        <v>256</v>
      </c>
      <c r="F269" s="558">
        <f t="shared" si="12"/>
        <v>257</v>
      </c>
      <c r="G269" s="558">
        <f t="shared" si="12"/>
        <v>258</v>
      </c>
      <c r="H269" s="558">
        <f t="shared" si="12"/>
        <v>259</v>
      </c>
      <c r="I269" s="558">
        <f t="shared" si="12"/>
        <v>260</v>
      </c>
      <c r="J269" s="558">
        <f t="shared" si="12"/>
        <v>261</v>
      </c>
      <c r="K269" s="558">
        <f t="shared" si="12"/>
        <v>262</v>
      </c>
      <c r="L269" s="558">
        <f t="shared" si="12"/>
        <v>263</v>
      </c>
      <c r="M269" s="558">
        <f t="shared" si="12"/>
        <v>264</v>
      </c>
      <c r="N269" s="558">
        <f t="shared" si="12"/>
        <v>265</v>
      </c>
      <c r="O269" s="558">
        <f t="shared" si="12"/>
        <v>266</v>
      </c>
      <c r="P269" s="558">
        <f t="shared" si="12"/>
        <v>267</v>
      </c>
      <c r="Q269" s="558">
        <f t="shared" si="12"/>
        <v>268</v>
      </c>
      <c r="R269" s="558">
        <f t="shared" si="12"/>
        <v>269</v>
      </c>
      <c r="S269" s="558">
        <f t="shared" si="12"/>
        <v>270</v>
      </c>
      <c r="T269" s="558">
        <f t="shared" si="12"/>
        <v>271</v>
      </c>
      <c r="U269" s="558">
        <f t="shared" si="12"/>
        <v>272</v>
      </c>
      <c r="V269" s="558">
        <f t="shared" si="12"/>
        <v>273</v>
      </c>
      <c r="W269" s="558">
        <f t="shared" si="12"/>
        <v>274</v>
      </c>
      <c r="X269" s="558">
        <f t="shared" si="12"/>
        <v>275</v>
      </c>
      <c r="Y269" s="558">
        <f t="shared" si="12"/>
        <v>276</v>
      </c>
    </row>
    <row r="270" spans="2:25">
      <c r="B270" s="558" t="s">
        <v>41</v>
      </c>
      <c r="C270" s="558">
        <f t="shared" si="2"/>
        <v>277</v>
      </c>
      <c r="D270" s="558">
        <f t="shared" ref="D270:Y270" si="13">C270+1</f>
        <v>278</v>
      </c>
      <c r="E270" s="558">
        <f t="shared" si="13"/>
        <v>279</v>
      </c>
      <c r="F270" s="558">
        <f t="shared" si="13"/>
        <v>280</v>
      </c>
      <c r="G270" s="558">
        <f t="shared" si="13"/>
        <v>281</v>
      </c>
      <c r="H270" s="558">
        <f t="shared" si="13"/>
        <v>282</v>
      </c>
      <c r="I270" s="558">
        <f t="shared" si="13"/>
        <v>283</v>
      </c>
      <c r="J270" s="558">
        <f t="shared" si="13"/>
        <v>284</v>
      </c>
      <c r="K270" s="558">
        <f t="shared" si="13"/>
        <v>285</v>
      </c>
      <c r="L270" s="558">
        <f t="shared" si="13"/>
        <v>286</v>
      </c>
      <c r="M270" s="558">
        <f t="shared" si="13"/>
        <v>287</v>
      </c>
      <c r="N270" s="558">
        <f t="shared" si="13"/>
        <v>288</v>
      </c>
      <c r="O270" s="558">
        <f t="shared" si="13"/>
        <v>289</v>
      </c>
      <c r="P270" s="558">
        <f t="shared" si="13"/>
        <v>290</v>
      </c>
      <c r="Q270" s="558">
        <f t="shared" si="13"/>
        <v>291</v>
      </c>
      <c r="R270" s="558">
        <f t="shared" si="13"/>
        <v>292</v>
      </c>
      <c r="S270" s="558">
        <f t="shared" si="13"/>
        <v>293</v>
      </c>
      <c r="T270" s="558">
        <f t="shared" si="13"/>
        <v>294</v>
      </c>
      <c r="U270" s="558">
        <f t="shared" si="13"/>
        <v>295</v>
      </c>
      <c r="V270" s="558">
        <f t="shared" si="13"/>
        <v>296</v>
      </c>
      <c r="W270" s="558">
        <f t="shared" si="13"/>
        <v>297</v>
      </c>
      <c r="X270" s="558">
        <f t="shared" si="13"/>
        <v>298</v>
      </c>
      <c r="Y270" s="558">
        <f t="shared" si="13"/>
        <v>299</v>
      </c>
    </row>
    <row r="271" spans="2:25">
      <c r="B271" s="558" t="s">
        <v>42</v>
      </c>
      <c r="C271" s="558">
        <f t="shared" si="2"/>
        <v>300</v>
      </c>
      <c r="D271" s="558">
        <f t="shared" ref="D271:Y271" si="14">C271+1</f>
        <v>301</v>
      </c>
      <c r="E271" s="558">
        <f t="shared" si="14"/>
        <v>302</v>
      </c>
      <c r="F271" s="558">
        <f t="shared" si="14"/>
        <v>303</v>
      </c>
      <c r="G271" s="558">
        <f t="shared" si="14"/>
        <v>304</v>
      </c>
      <c r="H271" s="558">
        <f t="shared" si="14"/>
        <v>305</v>
      </c>
      <c r="I271" s="558">
        <f t="shared" si="14"/>
        <v>306</v>
      </c>
      <c r="J271" s="558">
        <f t="shared" si="14"/>
        <v>307</v>
      </c>
      <c r="K271" s="558">
        <f t="shared" si="14"/>
        <v>308</v>
      </c>
      <c r="L271" s="558">
        <f t="shared" si="14"/>
        <v>309</v>
      </c>
      <c r="M271" s="558">
        <f t="shared" si="14"/>
        <v>310</v>
      </c>
      <c r="N271" s="558">
        <f t="shared" si="14"/>
        <v>311</v>
      </c>
      <c r="O271" s="558">
        <f t="shared" si="14"/>
        <v>312</v>
      </c>
      <c r="P271" s="558">
        <f t="shared" si="14"/>
        <v>313</v>
      </c>
      <c r="Q271" s="558">
        <f t="shared" si="14"/>
        <v>314</v>
      </c>
      <c r="R271" s="558">
        <f t="shared" si="14"/>
        <v>315</v>
      </c>
      <c r="S271" s="558">
        <f t="shared" si="14"/>
        <v>316</v>
      </c>
      <c r="T271" s="558">
        <f t="shared" si="14"/>
        <v>317</v>
      </c>
      <c r="U271" s="558">
        <f t="shared" si="14"/>
        <v>318</v>
      </c>
      <c r="V271" s="558">
        <f t="shared" si="14"/>
        <v>319</v>
      </c>
      <c r="W271" s="558">
        <f t="shared" si="14"/>
        <v>320</v>
      </c>
      <c r="X271" s="558">
        <f t="shared" si="14"/>
        <v>321</v>
      </c>
      <c r="Y271" s="558">
        <f t="shared" si="14"/>
        <v>322</v>
      </c>
    </row>
    <row r="272" spans="2:25">
      <c r="B272" s="558" t="s">
        <v>43</v>
      </c>
      <c r="C272" s="558">
        <f t="shared" si="2"/>
        <v>323</v>
      </c>
      <c r="D272" s="558">
        <f t="shared" ref="D272:Y272" si="15">C272+1</f>
        <v>324</v>
      </c>
      <c r="E272" s="558">
        <f t="shared" si="15"/>
        <v>325</v>
      </c>
      <c r="F272" s="558">
        <f t="shared" si="15"/>
        <v>326</v>
      </c>
      <c r="G272" s="558">
        <f t="shared" si="15"/>
        <v>327</v>
      </c>
      <c r="H272" s="558">
        <f t="shared" si="15"/>
        <v>328</v>
      </c>
      <c r="I272" s="558">
        <f t="shared" si="15"/>
        <v>329</v>
      </c>
      <c r="J272" s="558">
        <f t="shared" si="15"/>
        <v>330</v>
      </c>
      <c r="K272" s="558">
        <f t="shared" si="15"/>
        <v>331</v>
      </c>
      <c r="L272" s="558">
        <f t="shared" si="15"/>
        <v>332</v>
      </c>
      <c r="M272" s="558">
        <f t="shared" si="15"/>
        <v>333</v>
      </c>
      <c r="N272" s="558">
        <f t="shared" si="15"/>
        <v>334</v>
      </c>
      <c r="O272" s="558">
        <f t="shared" si="15"/>
        <v>335</v>
      </c>
      <c r="P272" s="558">
        <f t="shared" si="15"/>
        <v>336</v>
      </c>
      <c r="Q272" s="558">
        <f t="shared" si="15"/>
        <v>337</v>
      </c>
      <c r="R272" s="558">
        <f t="shared" si="15"/>
        <v>338</v>
      </c>
      <c r="S272" s="558">
        <f t="shared" si="15"/>
        <v>339</v>
      </c>
      <c r="T272" s="558">
        <f t="shared" si="15"/>
        <v>340</v>
      </c>
      <c r="U272" s="558">
        <f t="shared" si="15"/>
        <v>341</v>
      </c>
      <c r="V272" s="558">
        <f t="shared" si="15"/>
        <v>342</v>
      </c>
      <c r="W272" s="558">
        <f t="shared" si="15"/>
        <v>343</v>
      </c>
      <c r="X272" s="558">
        <f t="shared" si="15"/>
        <v>344</v>
      </c>
      <c r="Y272" s="558">
        <f t="shared" si="15"/>
        <v>345</v>
      </c>
    </row>
    <row r="273" spans="2:25">
      <c r="B273" s="558" t="s">
        <v>44</v>
      </c>
      <c r="C273" s="558">
        <f t="shared" si="2"/>
        <v>346</v>
      </c>
      <c r="D273" s="558">
        <f t="shared" ref="D273:Y273" si="16">C273+1</f>
        <v>347</v>
      </c>
      <c r="E273" s="558">
        <f t="shared" si="16"/>
        <v>348</v>
      </c>
      <c r="F273" s="558">
        <f t="shared" si="16"/>
        <v>349</v>
      </c>
      <c r="G273" s="558">
        <f t="shared" si="16"/>
        <v>350</v>
      </c>
      <c r="H273" s="558">
        <f t="shared" si="16"/>
        <v>351</v>
      </c>
      <c r="I273" s="558">
        <f t="shared" si="16"/>
        <v>352</v>
      </c>
      <c r="J273" s="558">
        <f t="shared" si="16"/>
        <v>353</v>
      </c>
      <c r="K273" s="558">
        <f t="shared" si="16"/>
        <v>354</v>
      </c>
      <c r="L273" s="558">
        <f t="shared" si="16"/>
        <v>355</v>
      </c>
      <c r="M273" s="558">
        <f t="shared" si="16"/>
        <v>356</v>
      </c>
      <c r="N273" s="558">
        <f t="shared" si="16"/>
        <v>357</v>
      </c>
      <c r="O273" s="558">
        <f t="shared" si="16"/>
        <v>358</v>
      </c>
      <c r="P273" s="558">
        <f t="shared" si="16"/>
        <v>359</v>
      </c>
      <c r="Q273" s="558">
        <f t="shared" si="16"/>
        <v>360</v>
      </c>
      <c r="R273" s="558">
        <f t="shared" si="16"/>
        <v>361</v>
      </c>
      <c r="S273" s="558">
        <f t="shared" si="16"/>
        <v>362</v>
      </c>
      <c r="T273" s="558">
        <f t="shared" si="16"/>
        <v>363</v>
      </c>
      <c r="U273" s="558">
        <f t="shared" si="16"/>
        <v>364</v>
      </c>
      <c r="V273" s="558">
        <f t="shared" si="16"/>
        <v>365</v>
      </c>
      <c r="W273" s="558">
        <f t="shared" si="16"/>
        <v>366</v>
      </c>
      <c r="X273" s="558">
        <f t="shared" si="16"/>
        <v>367</v>
      </c>
      <c r="Y273" s="558">
        <f t="shared" si="16"/>
        <v>368</v>
      </c>
    </row>
    <row r="274" spans="2:25">
      <c r="B274" s="558" t="s">
        <v>45</v>
      </c>
      <c r="C274" s="558">
        <f t="shared" si="2"/>
        <v>369</v>
      </c>
      <c r="D274" s="558">
        <f t="shared" ref="D274:Y274" si="17">C274+1</f>
        <v>370</v>
      </c>
      <c r="E274" s="558">
        <f t="shared" si="17"/>
        <v>371</v>
      </c>
      <c r="F274" s="558">
        <f t="shared" si="17"/>
        <v>372</v>
      </c>
      <c r="G274" s="558">
        <f t="shared" si="17"/>
        <v>373</v>
      </c>
      <c r="H274" s="558">
        <f t="shared" si="17"/>
        <v>374</v>
      </c>
      <c r="I274" s="558">
        <f t="shared" si="17"/>
        <v>375</v>
      </c>
      <c r="J274" s="558">
        <f t="shared" si="17"/>
        <v>376</v>
      </c>
      <c r="K274" s="558">
        <f t="shared" si="17"/>
        <v>377</v>
      </c>
      <c r="L274" s="558">
        <f t="shared" si="17"/>
        <v>378</v>
      </c>
      <c r="M274" s="558">
        <f t="shared" si="17"/>
        <v>379</v>
      </c>
      <c r="N274" s="558">
        <f t="shared" si="17"/>
        <v>380</v>
      </c>
      <c r="O274" s="558">
        <f t="shared" si="17"/>
        <v>381</v>
      </c>
      <c r="P274" s="558">
        <f t="shared" si="17"/>
        <v>382</v>
      </c>
      <c r="Q274" s="558">
        <f t="shared" si="17"/>
        <v>383</v>
      </c>
      <c r="R274" s="558">
        <f t="shared" si="17"/>
        <v>384</v>
      </c>
      <c r="S274" s="558">
        <f t="shared" si="17"/>
        <v>385</v>
      </c>
      <c r="T274" s="558">
        <f t="shared" si="17"/>
        <v>386</v>
      </c>
      <c r="U274" s="558">
        <f t="shared" si="17"/>
        <v>387</v>
      </c>
      <c r="V274" s="558">
        <f t="shared" si="17"/>
        <v>388</v>
      </c>
      <c r="W274" s="558">
        <f t="shared" si="17"/>
        <v>389</v>
      </c>
      <c r="X274" s="558">
        <f t="shared" si="17"/>
        <v>390</v>
      </c>
      <c r="Y274" s="558">
        <f t="shared" si="17"/>
        <v>391</v>
      </c>
    </row>
    <row r="275" spans="2:25">
      <c r="B275" s="558" t="s">
        <v>295</v>
      </c>
      <c r="C275" s="558">
        <f t="shared" si="2"/>
        <v>392</v>
      </c>
      <c r="D275" s="558">
        <f t="shared" ref="D275:Y275" si="18">C275+1</f>
        <v>393</v>
      </c>
      <c r="E275" s="558">
        <f t="shared" si="18"/>
        <v>394</v>
      </c>
      <c r="F275" s="558">
        <f t="shared" si="18"/>
        <v>395</v>
      </c>
      <c r="G275" s="558">
        <f t="shared" si="18"/>
        <v>396</v>
      </c>
      <c r="H275" s="558">
        <f t="shared" si="18"/>
        <v>397</v>
      </c>
      <c r="I275" s="558">
        <f t="shared" si="18"/>
        <v>398</v>
      </c>
      <c r="J275" s="558">
        <f t="shared" si="18"/>
        <v>399</v>
      </c>
      <c r="K275" s="558">
        <f t="shared" si="18"/>
        <v>400</v>
      </c>
      <c r="L275" s="558">
        <f t="shared" si="18"/>
        <v>401</v>
      </c>
      <c r="M275" s="558">
        <f t="shared" si="18"/>
        <v>402</v>
      </c>
      <c r="N275" s="558">
        <f t="shared" si="18"/>
        <v>403</v>
      </c>
      <c r="O275" s="558">
        <f t="shared" si="18"/>
        <v>404</v>
      </c>
      <c r="P275" s="558">
        <f t="shared" si="18"/>
        <v>405</v>
      </c>
      <c r="Q275" s="558">
        <f t="shared" si="18"/>
        <v>406</v>
      </c>
      <c r="R275" s="558">
        <f t="shared" si="18"/>
        <v>407</v>
      </c>
      <c r="S275" s="558">
        <f t="shared" si="18"/>
        <v>408</v>
      </c>
      <c r="T275" s="558">
        <f t="shared" si="18"/>
        <v>409</v>
      </c>
      <c r="U275" s="558">
        <f t="shared" si="18"/>
        <v>410</v>
      </c>
      <c r="V275" s="558">
        <f t="shared" si="18"/>
        <v>411</v>
      </c>
      <c r="W275" s="558">
        <f t="shared" si="18"/>
        <v>412</v>
      </c>
      <c r="X275" s="558">
        <f t="shared" si="18"/>
        <v>413</v>
      </c>
      <c r="Y275" s="558">
        <f t="shared" si="18"/>
        <v>414</v>
      </c>
    </row>
    <row r="276" spans="2:25">
      <c r="B276" s="558" t="s">
        <v>47</v>
      </c>
      <c r="C276" s="558">
        <f t="shared" si="2"/>
        <v>415</v>
      </c>
      <c r="D276" s="558">
        <f t="shared" ref="D276:Y276" si="19">C276+1</f>
        <v>416</v>
      </c>
      <c r="E276" s="558">
        <f t="shared" si="19"/>
        <v>417</v>
      </c>
      <c r="F276" s="558">
        <f t="shared" si="19"/>
        <v>418</v>
      </c>
      <c r="G276" s="558">
        <f t="shared" si="19"/>
        <v>419</v>
      </c>
      <c r="H276" s="558">
        <f t="shared" si="19"/>
        <v>420</v>
      </c>
      <c r="I276" s="558">
        <f t="shared" si="19"/>
        <v>421</v>
      </c>
      <c r="J276" s="558">
        <f t="shared" si="19"/>
        <v>422</v>
      </c>
      <c r="K276" s="558">
        <f t="shared" si="19"/>
        <v>423</v>
      </c>
      <c r="L276" s="558">
        <f t="shared" si="19"/>
        <v>424</v>
      </c>
      <c r="M276" s="558">
        <f t="shared" si="19"/>
        <v>425</v>
      </c>
      <c r="N276" s="558">
        <f t="shared" si="19"/>
        <v>426</v>
      </c>
      <c r="O276" s="558">
        <f t="shared" si="19"/>
        <v>427</v>
      </c>
      <c r="P276" s="558">
        <f t="shared" si="19"/>
        <v>428</v>
      </c>
      <c r="Q276" s="558">
        <f t="shared" si="19"/>
        <v>429</v>
      </c>
      <c r="R276" s="558">
        <f t="shared" si="19"/>
        <v>430</v>
      </c>
      <c r="S276" s="558">
        <f t="shared" si="19"/>
        <v>431</v>
      </c>
      <c r="T276" s="558">
        <f t="shared" si="19"/>
        <v>432</v>
      </c>
      <c r="U276" s="558">
        <f t="shared" si="19"/>
        <v>433</v>
      </c>
      <c r="V276" s="558">
        <f t="shared" si="19"/>
        <v>434</v>
      </c>
      <c r="W276" s="558">
        <f t="shared" si="19"/>
        <v>435</v>
      </c>
      <c r="X276" s="558">
        <f t="shared" si="19"/>
        <v>436</v>
      </c>
      <c r="Y276" s="558">
        <f t="shared" si="19"/>
        <v>437</v>
      </c>
    </row>
    <row r="277" spans="2:25">
      <c r="B277" s="558" t="s">
        <v>48</v>
      </c>
      <c r="C277" s="558">
        <f t="shared" si="2"/>
        <v>438</v>
      </c>
      <c r="D277" s="558">
        <f t="shared" ref="D277:Y277" si="20">C277+1</f>
        <v>439</v>
      </c>
      <c r="E277" s="558">
        <f t="shared" si="20"/>
        <v>440</v>
      </c>
      <c r="F277" s="558">
        <f t="shared" si="20"/>
        <v>441</v>
      </c>
      <c r="G277" s="558">
        <f t="shared" si="20"/>
        <v>442</v>
      </c>
      <c r="H277" s="558">
        <f t="shared" si="20"/>
        <v>443</v>
      </c>
      <c r="I277" s="558">
        <f t="shared" si="20"/>
        <v>444</v>
      </c>
      <c r="J277" s="558">
        <f t="shared" si="20"/>
        <v>445</v>
      </c>
      <c r="K277" s="558">
        <f t="shared" si="20"/>
        <v>446</v>
      </c>
      <c r="L277" s="558">
        <f t="shared" si="20"/>
        <v>447</v>
      </c>
      <c r="M277" s="558">
        <f t="shared" si="20"/>
        <v>448</v>
      </c>
      <c r="N277" s="558">
        <f t="shared" si="20"/>
        <v>449</v>
      </c>
      <c r="O277" s="558">
        <f t="shared" si="20"/>
        <v>450</v>
      </c>
      <c r="P277" s="558">
        <f t="shared" si="20"/>
        <v>451</v>
      </c>
      <c r="Q277" s="558">
        <f t="shared" si="20"/>
        <v>452</v>
      </c>
      <c r="R277" s="558">
        <f t="shared" si="20"/>
        <v>453</v>
      </c>
      <c r="S277" s="558">
        <f t="shared" si="20"/>
        <v>454</v>
      </c>
      <c r="T277" s="558">
        <f t="shared" si="20"/>
        <v>455</v>
      </c>
      <c r="U277" s="558">
        <f t="shared" si="20"/>
        <v>456</v>
      </c>
      <c r="V277" s="558">
        <f t="shared" si="20"/>
        <v>457</v>
      </c>
      <c r="W277" s="558">
        <f t="shared" si="20"/>
        <v>458</v>
      </c>
      <c r="X277" s="558">
        <f t="shared" si="20"/>
        <v>459</v>
      </c>
      <c r="Y277" s="558">
        <f t="shared" si="20"/>
        <v>460</v>
      </c>
    </row>
    <row r="278" spans="2:25">
      <c r="B278" s="558" t="s">
        <v>176</v>
      </c>
      <c r="C278" s="558">
        <f t="shared" si="2"/>
        <v>461</v>
      </c>
      <c r="D278" s="558">
        <f t="shared" ref="D278:Y278" si="21">C278+1</f>
        <v>462</v>
      </c>
      <c r="E278" s="558">
        <f t="shared" si="21"/>
        <v>463</v>
      </c>
      <c r="F278" s="558">
        <f t="shared" si="21"/>
        <v>464</v>
      </c>
      <c r="G278" s="558">
        <f t="shared" si="21"/>
        <v>465</v>
      </c>
      <c r="H278" s="558">
        <f t="shared" si="21"/>
        <v>466</v>
      </c>
      <c r="I278" s="558">
        <f t="shared" si="21"/>
        <v>467</v>
      </c>
      <c r="J278" s="558">
        <f t="shared" si="21"/>
        <v>468</v>
      </c>
      <c r="K278" s="558">
        <f t="shared" si="21"/>
        <v>469</v>
      </c>
      <c r="L278" s="558">
        <f t="shared" si="21"/>
        <v>470</v>
      </c>
      <c r="M278" s="558">
        <f t="shared" si="21"/>
        <v>471</v>
      </c>
      <c r="N278" s="558">
        <f t="shared" si="21"/>
        <v>472</v>
      </c>
      <c r="O278" s="558">
        <f t="shared" si="21"/>
        <v>473</v>
      </c>
      <c r="P278" s="558">
        <f t="shared" si="21"/>
        <v>474</v>
      </c>
      <c r="Q278" s="558">
        <f t="shared" si="21"/>
        <v>475</v>
      </c>
      <c r="R278" s="558">
        <f t="shared" si="21"/>
        <v>476</v>
      </c>
      <c r="S278" s="558">
        <f t="shared" si="21"/>
        <v>477</v>
      </c>
      <c r="T278" s="558">
        <f t="shared" si="21"/>
        <v>478</v>
      </c>
      <c r="U278" s="558">
        <f t="shared" si="21"/>
        <v>479</v>
      </c>
      <c r="V278" s="558">
        <f t="shared" si="21"/>
        <v>480</v>
      </c>
      <c r="W278" s="558">
        <f t="shared" si="21"/>
        <v>481</v>
      </c>
      <c r="X278" s="558">
        <f t="shared" si="21"/>
        <v>482</v>
      </c>
      <c r="Y278" s="558">
        <f t="shared" si="21"/>
        <v>483</v>
      </c>
    </row>
    <row r="279" spans="2:25">
      <c r="B279" s="558" t="s">
        <v>124</v>
      </c>
      <c r="C279" s="558">
        <f t="shared" si="2"/>
        <v>484</v>
      </c>
      <c r="D279" s="558">
        <f t="shared" ref="D279:Y279" si="22">C279+1</f>
        <v>485</v>
      </c>
      <c r="E279" s="558">
        <f t="shared" si="22"/>
        <v>486</v>
      </c>
      <c r="F279" s="558">
        <f t="shared" si="22"/>
        <v>487</v>
      </c>
      <c r="G279" s="558">
        <f t="shared" si="22"/>
        <v>488</v>
      </c>
      <c r="H279" s="558">
        <f t="shared" si="22"/>
        <v>489</v>
      </c>
      <c r="I279" s="558">
        <f t="shared" si="22"/>
        <v>490</v>
      </c>
      <c r="J279" s="558">
        <f t="shared" si="22"/>
        <v>491</v>
      </c>
      <c r="K279" s="558">
        <f t="shared" si="22"/>
        <v>492</v>
      </c>
      <c r="L279" s="558">
        <f t="shared" si="22"/>
        <v>493</v>
      </c>
      <c r="M279" s="558">
        <f t="shared" si="22"/>
        <v>494</v>
      </c>
      <c r="N279" s="558">
        <f t="shared" si="22"/>
        <v>495</v>
      </c>
      <c r="O279" s="558">
        <f t="shared" si="22"/>
        <v>496</v>
      </c>
      <c r="P279" s="558">
        <f t="shared" si="22"/>
        <v>497</v>
      </c>
      <c r="Q279" s="558">
        <f t="shared" si="22"/>
        <v>498</v>
      </c>
      <c r="R279" s="558">
        <f t="shared" si="22"/>
        <v>499</v>
      </c>
      <c r="S279" s="558">
        <f t="shared" si="22"/>
        <v>500</v>
      </c>
      <c r="T279" s="558">
        <f t="shared" si="22"/>
        <v>501</v>
      </c>
      <c r="U279" s="558">
        <f t="shared" si="22"/>
        <v>502</v>
      </c>
      <c r="V279" s="558">
        <f t="shared" si="22"/>
        <v>503</v>
      </c>
      <c r="W279" s="558">
        <f t="shared" si="22"/>
        <v>504</v>
      </c>
      <c r="X279" s="558">
        <f t="shared" si="22"/>
        <v>505</v>
      </c>
      <c r="Y279" s="558">
        <f t="shared" si="22"/>
        <v>506</v>
      </c>
    </row>
    <row r="280" spans="2:25">
      <c r="B280" s="558" t="s">
        <v>125</v>
      </c>
      <c r="C280" s="558">
        <f t="shared" si="2"/>
        <v>507</v>
      </c>
      <c r="D280" s="558">
        <f t="shared" ref="D280:Y280" si="23">C280+1</f>
        <v>508</v>
      </c>
      <c r="E280" s="558">
        <f t="shared" si="23"/>
        <v>509</v>
      </c>
      <c r="F280" s="558">
        <f t="shared" si="23"/>
        <v>510</v>
      </c>
      <c r="G280" s="558">
        <f t="shared" si="23"/>
        <v>511</v>
      </c>
      <c r="H280" s="558">
        <f t="shared" si="23"/>
        <v>512</v>
      </c>
      <c r="I280" s="558">
        <f t="shared" si="23"/>
        <v>513</v>
      </c>
      <c r="J280" s="558">
        <f t="shared" si="23"/>
        <v>514</v>
      </c>
      <c r="K280" s="558">
        <f t="shared" si="23"/>
        <v>515</v>
      </c>
      <c r="L280" s="558">
        <f t="shared" si="23"/>
        <v>516</v>
      </c>
      <c r="M280" s="558">
        <f t="shared" si="23"/>
        <v>517</v>
      </c>
      <c r="N280" s="558">
        <f t="shared" si="23"/>
        <v>518</v>
      </c>
      <c r="O280" s="558">
        <f t="shared" si="23"/>
        <v>519</v>
      </c>
      <c r="P280" s="558">
        <f t="shared" si="23"/>
        <v>520</v>
      </c>
      <c r="Q280" s="558">
        <f t="shared" si="23"/>
        <v>521</v>
      </c>
      <c r="R280" s="558">
        <f t="shared" si="23"/>
        <v>522</v>
      </c>
      <c r="S280" s="558">
        <f t="shared" si="23"/>
        <v>523</v>
      </c>
      <c r="T280" s="558">
        <f t="shared" si="23"/>
        <v>524</v>
      </c>
      <c r="U280" s="558">
        <f t="shared" si="23"/>
        <v>525</v>
      </c>
      <c r="V280" s="558">
        <f t="shared" si="23"/>
        <v>526</v>
      </c>
      <c r="W280" s="558">
        <f t="shared" si="23"/>
        <v>527</v>
      </c>
      <c r="X280" s="558">
        <f t="shared" si="23"/>
        <v>528</v>
      </c>
      <c r="Y280" s="558">
        <f t="shared" si="23"/>
        <v>529</v>
      </c>
    </row>
    <row r="281" spans="2:25">
      <c r="B281" s="558" t="s">
        <v>52</v>
      </c>
      <c r="C281" s="558">
        <f t="shared" si="2"/>
        <v>530</v>
      </c>
      <c r="D281" s="558">
        <f t="shared" ref="D281:Y281" si="24">C281+1</f>
        <v>531</v>
      </c>
      <c r="E281" s="558">
        <f t="shared" si="24"/>
        <v>532</v>
      </c>
      <c r="F281" s="558">
        <f t="shared" si="24"/>
        <v>533</v>
      </c>
      <c r="G281" s="558">
        <f t="shared" si="24"/>
        <v>534</v>
      </c>
      <c r="H281" s="558">
        <f t="shared" si="24"/>
        <v>535</v>
      </c>
      <c r="I281" s="558">
        <f t="shared" si="24"/>
        <v>536</v>
      </c>
      <c r="J281" s="558">
        <f t="shared" si="24"/>
        <v>537</v>
      </c>
      <c r="K281" s="558">
        <f t="shared" si="24"/>
        <v>538</v>
      </c>
      <c r="L281" s="558">
        <f t="shared" si="24"/>
        <v>539</v>
      </c>
      <c r="M281" s="558">
        <f t="shared" si="24"/>
        <v>540</v>
      </c>
      <c r="N281" s="558">
        <f t="shared" si="24"/>
        <v>541</v>
      </c>
      <c r="O281" s="558">
        <f t="shared" si="24"/>
        <v>542</v>
      </c>
      <c r="P281" s="558">
        <f t="shared" si="24"/>
        <v>543</v>
      </c>
      <c r="Q281" s="558">
        <f t="shared" si="24"/>
        <v>544</v>
      </c>
      <c r="R281" s="558">
        <f t="shared" si="24"/>
        <v>545</v>
      </c>
      <c r="S281" s="558">
        <f t="shared" si="24"/>
        <v>546</v>
      </c>
      <c r="T281" s="558">
        <f t="shared" si="24"/>
        <v>547</v>
      </c>
      <c r="U281" s="558">
        <f t="shared" si="24"/>
        <v>548</v>
      </c>
      <c r="V281" s="558">
        <f t="shared" si="24"/>
        <v>549</v>
      </c>
      <c r="W281" s="558">
        <f t="shared" si="24"/>
        <v>550</v>
      </c>
      <c r="X281" s="558">
        <f t="shared" si="24"/>
        <v>551</v>
      </c>
      <c r="Y281" s="558">
        <f t="shared" si="24"/>
        <v>552</v>
      </c>
    </row>
    <row r="282" spans="2:25">
      <c r="B282" s="558" t="s">
        <v>53</v>
      </c>
      <c r="C282" s="558">
        <f t="shared" si="2"/>
        <v>553</v>
      </c>
      <c r="D282" s="558">
        <f t="shared" ref="D282:Y282" si="25">C282+1</f>
        <v>554</v>
      </c>
      <c r="E282" s="558">
        <f t="shared" si="25"/>
        <v>555</v>
      </c>
      <c r="F282" s="558">
        <f t="shared" si="25"/>
        <v>556</v>
      </c>
      <c r="G282" s="558">
        <f t="shared" si="25"/>
        <v>557</v>
      </c>
      <c r="H282" s="558">
        <f t="shared" si="25"/>
        <v>558</v>
      </c>
      <c r="I282" s="558">
        <f t="shared" si="25"/>
        <v>559</v>
      </c>
      <c r="J282" s="558">
        <f t="shared" si="25"/>
        <v>560</v>
      </c>
      <c r="K282" s="558">
        <f t="shared" si="25"/>
        <v>561</v>
      </c>
      <c r="L282" s="558">
        <f t="shared" si="25"/>
        <v>562</v>
      </c>
      <c r="M282" s="558">
        <f t="shared" si="25"/>
        <v>563</v>
      </c>
      <c r="N282" s="558">
        <f t="shared" si="25"/>
        <v>564</v>
      </c>
      <c r="O282" s="558">
        <f t="shared" si="25"/>
        <v>565</v>
      </c>
      <c r="P282" s="558">
        <f t="shared" si="25"/>
        <v>566</v>
      </c>
      <c r="Q282" s="558">
        <f t="shared" si="25"/>
        <v>567</v>
      </c>
      <c r="R282" s="558">
        <f t="shared" si="25"/>
        <v>568</v>
      </c>
      <c r="S282" s="558">
        <f t="shared" si="25"/>
        <v>569</v>
      </c>
      <c r="T282" s="558">
        <f t="shared" si="25"/>
        <v>570</v>
      </c>
      <c r="U282" s="558">
        <f t="shared" si="25"/>
        <v>571</v>
      </c>
      <c r="V282" s="558">
        <f t="shared" si="25"/>
        <v>572</v>
      </c>
      <c r="W282" s="558">
        <f t="shared" si="25"/>
        <v>573</v>
      </c>
      <c r="X282" s="558">
        <f t="shared" si="25"/>
        <v>574</v>
      </c>
      <c r="Y282" s="558">
        <f t="shared" si="25"/>
        <v>575</v>
      </c>
    </row>
    <row r="283" spans="2:25">
      <c r="B283" s="558" t="s">
        <v>54</v>
      </c>
      <c r="C283" s="558">
        <f t="shared" si="2"/>
        <v>576</v>
      </c>
      <c r="D283" s="558">
        <f t="shared" ref="D283:Y283" si="26">C283+1</f>
        <v>577</v>
      </c>
      <c r="E283" s="558">
        <f t="shared" si="26"/>
        <v>578</v>
      </c>
      <c r="F283" s="558">
        <f t="shared" si="26"/>
        <v>579</v>
      </c>
      <c r="G283" s="558">
        <f t="shared" si="26"/>
        <v>580</v>
      </c>
      <c r="H283" s="558">
        <f t="shared" si="26"/>
        <v>581</v>
      </c>
      <c r="I283" s="558">
        <f t="shared" si="26"/>
        <v>582</v>
      </c>
      <c r="J283" s="558">
        <f t="shared" si="26"/>
        <v>583</v>
      </c>
      <c r="K283" s="558">
        <f t="shared" si="26"/>
        <v>584</v>
      </c>
      <c r="L283" s="558">
        <f t="shared" si="26"/>
        <v>585</v>
      </c>
      <c r="M283" s="558">
        <f t="shared" si="26"/>
        <v>586</v>
      </c>
      <c r="N283" s="558">
        <f t="shared" si="26"/>
        <v>587</v>
      </c>
      <c r="O283" s="558">
        <f t="shared" si="26"/>
        <v>588</v>
      </c>
      <c r="P283" s="558">
        <f t="shared" si="26"/>
        <v>589</v>
      </c>
      <c r="Q283" s="558">
        <f t="shared" si="26"/>
        <v>590</v>
      </c>
      <c r="R283" s="558">
        <f t="shared" si="26"/>
        <v>591</v>
      </c>
      <c r="S283" s="558">
        <f t="shared" si="26"/>
        <v>592</v>
      </c>
      <c r="T283" s="558">
        <f t="shared" si="26"/>
        <v>593</v>
      </c>
      <c r="U283" s="558">
        <f t="shared" si="26"/>
        <v>594</v>
      </c>
      <c r="V283" s="558">
        <f t="shared" si="26"/>
        <v>595</v>
      </c>
      <c r="W283" s="558">
        <f t="shared" si="26"/>
        <v>596</v>
      </c>
      <c r="X283" s="558">
        <f t="shared" si="26"/>
        <v>597</v>
      </c>
      <c r="Y283" s="558">
        <f t="shared" si="26"/>
        <v>598</v>
      </c>
    </row>
    <row r="284" spans="2:25">
      <c r="B284" s="558" t="s">
        <v>55</v>
      </c>
      <c r="C284" s="558">
        <f t="shared" si="2"/>
        <v>599</v>
      </c>
      <c r="D284" s="558">
        <f t="shared" ref="D284:Y284" si="27">C284+1</f>
        <v>600</v>
      </c>
      <c r="E284" s="558">
        <f t="shared" si="27"/>
        <v>601</v>
      </c>
      <c r="F284" s="558">
        <f t="shared" si="27"/>
        <v>602</v>
      </c>
      <c r="G284" s="558">
        <f t="shared" si="27"/>
        <v>603</v>
      </c>
      <c r="H284" s="558">
        <f t="shared" si="27"/>
        <v>604</v>
      </c>
      <c r="I284" s="558">
        <f t="shared" si="27"/>
        <v>605</v>
      </c>
      <c r="J284" s="558">
        <f t="shared" si="27"/>
        <v>606</v>
      </c>
      <c r="K284" s="558">
        <f t="shared" si="27"/>
        <v>607</v>
      </c>
      <c r="L284" s="558">
        <f t="shared" si="27"/>
        <v>608</v>
      </c>
      <c r="M284" s="558">
        <f t="shared" si="27"/>
        <v>609</v>
      </c>
      <c r="N284" s="558">
        <f t="shared" si="27"/>
        <v>610</v>
      </c>
      <c r="O284" s="558">
        <f t="shared" si="27"/>
        <v>611</v>
      </c>
      <c r="P284" s="558">
        <f t="shared" si="27"/>
        <v>612</v>
      </c>
      <c r="Q284" s="558">
        <f t="shared" si="27"/>
        <v>613</v>
      </c>
      <c r="R284" s="558">
        <f t="shared" si="27"/>
        <v>614</v>
      </c>
      <c r="S284" s="558">
        <f t="shared" si="27"/>
        <v>615</v>
      </c>
      <c r="T284" s="558">
        <f t="shared" si="27"/>
        <v>616</v>
      </c>
      <c r="U284" s="558">
        <f t="shared" si="27"/>
        <v>617</v>
      </c>
      <c r="V284" s="558">
        <f t="shared" si="27"/>
        <v>618</v>
      </c>
      <c r="W284" s="558">
        <f t="shared" si="27"/>
        <v>619</v>
      </c>
      <c r="X284" s="558">
        <f t="shared" si="27"/>
        <v>620</v>
      </c>
      <c r="Y284" s="558">
        <f t="shared" si="27"/>
        <v>621</v>
      </c>
    </row>
    <row r="285" spans="2:25">
      <c r="B285" s="558" t="s">
        <v>214</v>
      </c>
      <c r="C285" s="558">
        <f t="shared" si="2"/>
        <v>622</v>
      </c>
      <c r="D285" s="558">
        <f t="shared" ref="D285:Y285" si="28">C285+1</f>
        <v>623</v>
      </c>
      <c r="E285" s="558">
        <f t="shared" si="28"/>
        <v>624</v>
      </c>
      <c r="F285" s="558">
        <f t="shared" si="28"/>
        <v>625</v>
      </c>
      <c r="G285" s="558">
        <f t="shared" si="28"/>
        <v>626</v>
      </c>
      <c r="H285" s="558">
        <f t="shared" si="28"/>
        <v>627</v>
      </c>
      <c r="I285" s="558">
        <f t="shared" si="28"/>
        <v>628</v>
      </c>
      <c r="J285" s="558">
        <f t="shared" si="28"/>
        <v>629</v>
      </c>
      <c r="K285" s="558">
        <f t="shared" si="28"/>
        <v>630</v>
      </c>
      <c r="L285" s="558">
        <f t="shared" si="28"/>
        <v>631</v>
      </c>
      <c r="M285" s="558">
        <f t="shared" si="28"/>
        <v>632</v>
      </c>
      <c r="N285" s="558">
        <f t="shared" si="28"/>
        <v>633</v>
      </c>
      <c r="O285" s="558">
        <f t="shared" si="28"/>
        <v>634</v>
      </c>
      <c r="P285" s="558">
        <f t="shared" si="28"/>
        <v>635</v>
      </c>
      <c r="Q285" s="558">
        <f t="shared" si="28"/>
        <v>636</v>
      </c>
      <c r="R285" s="558">
        <f t="shared" si="28"/>
        <v>637</v>
      </c>
      <c r="S285" s="558">
        <f t="shared" si="28"/>
        <v>638</v>
      </c>
      <c r="T285" s="558">
        <f t="shared" si="28"/>
        <v>639</v>
      </c>
      <c r="U285" s="558">
        <f t="shared" si="28"/>
        <v>640</v>
      </c>
      <c r="V285" s="558">
        <f t="shared" si="28"/>
        <v>641</v>
      </c>
      <c r="W285" s="558">
        <f t="shared" si="28"/>
        <v>642</v>
      </c>
      <c r="X285" s="558">
        <f t="shared" si="28"/>
        <v>643</v>
      </c>
      <c r="Y285" s="558">
        <f t="shared" si="28"/>
        <v>644</v>
      </c>
    </row>
    <row r="286" spans="2:25">
      <c r="B286" s="558" t="s">
        <v>57</v>
      </c>
      <c r="C286" s="558">
        <f t="shared" si="2"/>
        <v>645</v>
      </c>
      <c r="D286" s="558">
        <f t="shared" ref="D286:Y286" si="29">C286+1</f>
        <v>646</v>
      </c>
      <c r="E286" s="558">
        <f t="shared" si="29"/>
        <v>647</v>
      </c>
      <c r="F286" s="558">
        <f t="shared" si="29"/>
        <v>648</v>
      </c>
      <c r="G286" s="558">
        <f t="shared" si="29"/>
        <v>649</v>
      </c>
      <c r="H286" s="558">
        <f t="shared" si="29"/>
        <v>650</v>
      </c>
      <c r="I286" s="558">
        <f t="shared" si="29"/>
        <v>651</v>
      </c>
      <c r="J286" s="558">
        <f t="shared" si="29"/>
        <v>652</v>
      </c>
      <c r="K286" s="558">
        <f t="shared" si="29"/>
        <v>653</v>
      </c>
      <c r="L286" s="558">
        <f t="shared" si="29"/>
        <v>654</v>
      </c>
      <c r="M286" s="558">
        <f t="shared" si="29"/>
        <v>655</v>
      </c>
      <c r="N286" s="558">
        <f t="shared" si="29"/>
        <v>656</v>
      </c>
      <c r="O286" s="558">
        <f t="shared" si="29"/>
        <v>657</v>
      </c>
      <c r="P286" s="558">
        <f t="shared" si="29"/>
        <v>658</v>
      </c>
      <c r="Q286" s="558">
        <f t="shared" si="29"/>
        <v>659</v>
      </c>
      <c r="R286" s="558">
        <f t="shared" si="29"/>
        <v>660</v>
      </c>
      <c r="S286" s="558">
        <f t="shared" si="29"/>
        <v>661</v>
      </c>
      <c r="T286" s="558">
        <f t="shared" si="29"/>
        <v>662</v>
      </c>
      <c r="U286" s="558">
        <f t="shared" si="29"/>
        <v>663</v>
      </c>
      <c r="V286" s="558">
        <f t="shared" si="29"/>
        <v>664</v>
      </c>
      <c r="W286" s="558">
        <f t="shared" si="29"/>
        <v>665</v>
      </c>
      <c r="X286" s="558">
        <f t="shared" si="29"/>
        <v>666</v>
      </c>
      <c r="Y286" s="558">
        <f t="shared" si="29"/>
        <v>667</v>
      </c>
    </row>
  </sheetData>
  <sheetProtection password="80F5" sheet="1" objects="1" scenarios="1"/>
  <sortState ref="B190:E195">
    <sortCondition descending="1" ref="D190:D195"/>
  </sortState>
  <dataValidations count="1">
    <dataValidation type="list" allowBlank="1" showInputMessage="1" showErrorMessage="1" sqref="B2">
      <formula1>EDBs</formula1>
    </dataValidation>
  </dataValidations>
  <pageMargins left="0.7" right="0.7" top="0.75" bottom="0.75" header="0.3" footer="0.3"/>
  <pageSetup paperSize="9" scale="9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32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Centralines</v>
      </c>
      <c r="C6" s="108"/>
      <c r="D6" s="109">
        <f>VLOOKUP($B$6,$B$258:$J$286,9,FALSE)</f>
        <v>77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9.2110000000000003</v>
      </c>
      <c r="E7" s="407">
        <f>D7/('Industry calcs'!D4/1000)*100</f>
        <v>0.44684421478988501</v>
      </c>
    </row>
    <row r="8" spans="2:5">
      <c r="B8" s="111" t="s">
        <v>250</v>
      </c>
      <c r="C8" s="114"/>
      <c r="D8" s="406">
        <f>VLOOKUP(D6,'AV (2011)'!A8:F214,'AV (2011)'!F214,FALSE)/1000</f>
        <v>50.867136000000002</v>
      </c>
      <c r="E8" s="407">
        <f>D8/('Industry calcs'!D5/1000)*100</f>
        <v>0.56675584570247906</v>
      </c>
    </row>
    <row r="9" spans="2:5">
      <c r="B9" s="111" t="s">
        <v>230</v>
      </c>
      <c r="C9" s="114"/>
      <c r="D9" s="406">
        <f>VLOOKUP($D$6,'FS (2011)'!$A$13:$AH$244,'FS (2011)'!S245,FALSE)/1000</f>
        <v>3.2509999999999999</v>
      </c>
      <c r="E9" s="407">
        <f>D9/('Industry calcs'!D6/1000)*100</f>
        <v>0.71606752968725484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5.5629999999999997</v>
      </c>
      <c r="E10" s="407">
        <f>D10/('Industry calcs'!D7/1000)*100</f>
        <v>0.95066696622567259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109.283</v>
      </c>
      <c r="E11" s="407">
        <f>D11/'Industry calcs'!D8*100</f>
        <v>0.35314382969535341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21</v>
      </c>
      <c r="E12" s="407">
        <f>D12/'Industry calcs'!D9*100</f>
        <v>0.33582549432673203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1727.5</v>
      </c>
      <c r="E13" s="407">
        <f>D13/'Industry calcs'!D10*100</f>
        <v>1.1549791301803245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8245</v>
      </c>
      <c r="E14" s="407">
        <f>D14/'Industry calcs'!D11*100</f>
        <v>0.4104695881613501</v>
      </c>
    </row>
    <row r="15" spans="2:5">
      <c r="B15" s="115" t="s">
        <v>195</v>
      </c>
      <c r="C15" s="116" t="s">
        <v>239</v>
      </c>
      <c r="D15" s="408">
        <f>D14/D13</f>
        <v>4.7727930535455858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Centralines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24.774708448575744</v>
      </c>
      <c r="D20" s="409">
        <f>VLOOKUP($B$2,'MED price allocation'!$B$16:$F$44,3,FALSE)</f>
        <v>25.227774589882621</v>
      </c>
      <c r="E20" s="409">
        <f>VLOOKUP($B$2,'MED price allocation'!$B$16:$F$44,4,FALSE)</f>
        <v>24.641552639379157</v>
      </c>
      <c r="F20" s="503">
        <f>VLOOKUP($B$2,'MED price allocation'!$B$16:$F$44,5,FALSE)</f>
        <v>26.630000000000003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7.870120612471843</v>
      </c>
      <c r="D21" s="410">
        <f>VLOOKUP($B$2,'MED price allocation'!$B$47:$F$75,3,FALSE)</f>
        <v>8.2424710000686368</v>
      </c>
      <c r="E21" s="410">
        <f>VLOOKUP($B$2,'MED price allocation'!$B$47:$F$75,4,FALSE)</f>
        <v>9.1491417638974966</v>
      </c>
      <c r="F21" s="504">
        <f>VLOOKUP($B$2,'MED price allocation'!$B$47:$F$75,5,FALSE)</f>
        <v>10.1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9.605859542071796</v>
      </c>
      <c r="D22" s="409">
        <f>VLOOKUP($B$2,'MED price allocation'!$B$78:$F$106,3,FALSE)</f>
        <v>10.536660031573886</v>
      </c>
      <c r="E22" s="409">
        <f>VLOOKUP($B$2,'MED price allocation'!$B$78:$F$106,4,FALSE)</f>
        <v>11.736983643663601</v>
      </c>
      <c r="F22" s="503">
        <f>VLOOKUP($B$2,'MED price allocation'!$B$78:$F$106,5,FALSE)</f>
        <v>13.03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1.7357389295999541</v>
      </c>
      <c r="D23" s="411">
        <f>VLOOKUP($B$2,'MED price allocation'!$B$109:$F$137,3,FALSE)</f>
        <v>2.2941890315052502</v>
      </c>
      <c r="E23" s="411">
        <f>VLOOKUP($B$2,'MED price allocation'!$B$109:$F$137,4,FALSE)</f>
        <v>2.5878418797661067</v>
      </c>
      <c r="F23" s="505">
        <f>VLOOKUP($B$2,'MED price allocation'!$B$109:$F$137,5,FALSE)</f>
        <v>2.93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Centralines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1981.9766758860596</v>
      </c>
      <c r="D26" s="412">
        <f>(D20*8000)/100</f>
        <v>2018.2219671906098</v>
      </c>
      <c r="E26" s="412">
        <f>(E20*8000)/100</f>
        <v>1971.3242111503323</v>
      </c>
      <c r="F26" s="506">
        <f>(F20*8000)/100</f>
        <v>2130.4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768.4687633657436</v>
      </c>
      <c r="D27" s="412">
        <f>(D22*8000)/100</f>
        <v>842.93280252591092</v>
      </c>
      <c r="E27" s="412">
        <f>(E22*8000)/100</f>
        <v>938.95869149308817</v>
      </c>
      <c r="F27" s="506">
        <f>(F22*8000)/100</f>
        <v>1042.4000000000001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629.6096489977474</v>
      </c>
      <c r="D28" s="412">
        <f>(D21*8000)/100</f>
        <v>659.397680005491</v>
      </c>
      <c r="E28" s="412">
        <f>(E21*8000)/100</f>
        <v>731.93134111179972</v>
      </c>
      <c r="F28" s="506">
        <f>(F21*8000)/100</f>
        <v>808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138.85911436799634</v>
      </c>
      <c r="D29" s="413">
        <f>(D23*8000)/100</f>
        <v>183.53512252042</v>
      </c>
      <c r="E29" s="413">
        <f>(E23*8000)/100</f>
        <v>207.02735038128853</v>
      </c>
      <c r="F29" s="507">
        <f>(F23*8000)/100</f>
        <v>234.4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Centralines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2025.4807135567503</v>
      </c>
      <c r="D32" s="122"/>
    </row>
    <row r="33" spans="2:13">
      <c r="B33" s="120" t="s">
        <v>241</v>
      </c>
      <c r="C33" s="412">
        <f>AVERAGE(C27:F27)</f>
        <v>898.19006434618575</v>
      </c>
      <c r="D33" s="414">
        <f>C33/$C$32</f>
        <v>0.44344537982243298</v>
      </c>
    </row>
    <row r="34" spans="2:13">
      <c r="B34" s="120" t="s">
        <v>222</v>
      </c>
      <c r="C34" s="412">
        <f>AVERAGE(C28:F28)</f>
        <v>707.23466752875947</v>
      </c>
      <c r="D34" s="414">
        <f>C34/$C$32</f>
        <v>0.34916879869315232</v>
      </c>
    </row>
    <row r="35" spans="2:13">
      <c r="B35" s="124" t="s">
        <v>223</v>
      </c>
      <c r="C35" s="413">
        <f>AVERAGE(C29:F29)</f>
        <v>190.95539681742622</v>
      </c>
      <c r="D35" s="415">
        <f>C35/$C$32</f>
        <v>9.427658112928064E-2</v>
      </c>
    </row>
    <row r="38" spans="2:13">
      <c r="B38" s="517" t="s">
        <v>227</v>
      </c>
      <c r="C38" s="518">
        <f>VLOOKUP($B$2,$B$258:$J$286,6,FALSE)</f>
        <v>74</v>
      </c>
      <c r="D38" s="518">
        <f>VLOOKUP($B$2,$B$258:$J$286,7,FALSE)</f>
        <v>75</v>
      </c>
      <c r="E38" s="518">
        <f>VLOOKUP($B$2,$B$258:$J$286,8,FALSE)</f>
        <v>76</v>
      </c>
      <c r="F38" s="519">
        <f>VLOOKUP($B$2,$B$258:$J$286,9,FALSE)</f>
        <v>77</v>
      </c>
    </row>
    <row r="39" spans="2:13">
      <c r="B39" s="137" t="str">
        <f>B2</f>
        <v>Centralines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7326.5132697100171</v>
      </c>
      <c r="D40" s="418">
        <f>VLOOKUP($D$38,'FS (2011)'!$A$13:$AH$244,'FS (2011)'!E245,FALSE)</f>
        <v>8049.7653499897015</v>
      </c>
      <c r="E40" s="418">
        <f>VLOOKUP($E$38,'FS (2011)'!$A$13:$AH$244,'FS (2011)'!E245,FALSE)</f>
        <v>8794.5870496618245</v>
      </c>
      <c r="F40" s="419">
        <f>VLOOKUP($F$38,'FS (2011)'!$A$13:$AH$244,'FS (2011)'!E245,FALSE)</f>
        <v>9562</v>
      </c>
    </row>
    <row r="41" spans="2:13" ht="30">
      <c r="B41" s="120" t="s">
        <v>198</v>
      </c>
      <c r="C41" s="417">
        <f>VLOOKUP($C$38,'FS (2011)'!$A$13:$AH$244,'FS (2011)'!$F$245,FALSE)</f>
        <v>704.19142915514237</v>
      </c>
      <c r="D41" s="418">
        <f>VLOOKUP($D$38,'FS (2011)'!$A$13:$AH$244,'FS (2011)'!$F$245,FALSE)</f>
        <v>675.44300971103007</v>
      </c>
      <c r="E41" s="418">
        <f>VLOOKUP($E$38,'FS (2011)'!$A$13:$AH$244,'FS (2011)'!$F$245,FALSE)</f>
        <v>274.99793430519247</v>
      </c>
      <c r="F41" s="419">
        <f>VLOOKUP($F$38,'FS (2011)'!$A$13:$AH$244,'FS (2011)'!$F$245,FALSE)</f>
        <v>389</v>
      </c>
    </row>
    <row r="42" spans="2:13">
      <c r="B42" s="120" t="s">
        <v>13</v>
      </c>
      <c r="C42" s="417">
        <f>VLOOKUP($C$38,'FS (2011)'!$A$13:$AH$244,'FS (2011)'!$H$245,FALSE)</f>
        <v>23.771505252202672</v>
      </c>
      <c r="D42" s="418">
        <f>VLOOKUP($D$38,'FS (2011)'!$A$13:$AH$244,'FS (2011)'!$H$245,FALSE)</f>
        <v>27.146131858054765</v>
      </c>
      <c r="E42" s="418">
        <f>VLOOKUP($E$38,'FS (2011)'!$A$13:$AH$244,'FS (2011)'!$H$245,FALSE)</f>
        <v>242.67334402198807</v>
      </c>
      <c r="F42" s="419">
        <f>VLOOKUP($F$38,'FS (2011)'!$A$13:$AH$244,'FS (2011)'!$H$245,FALSE)</f>
        <v>29</v>
      </c>
    </row>
    <row r="43" spans="2:13">
      <c r="B43" s="124" t="s">
        <v>5</v>
      </c>
      <c r="C43" s="420">
        <f>SUM(C40:C42)</f>
        <v>8054.4762041173617</v>
      </c>
      <c r="D43" s="420">
        <f>SUM(D40:D42)</f>
        <v>8752.3544915587863</v>
      </c>
      <c r="E43" s="420">
        <f>SUM(E40:E42)</f>
        <v>9312.2583279890059</v>
      </c>
      <c r="F43" s="421">
        <f>SUM(F40:F42)</f>
        <v>9980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Centralines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109.87170914259889</v>
      </c>
      <c r="E46" s="422">
        <f>IF(ISERROR(E40/$C40),"",(E40/$C40))*100</f>
        <v>120.03782325790988</v>
      </c>
      <c r="F46" s="423">
        <f>IF(ISERROR(F40/$C40),"",(F40/$C40))*100</f>
        <v>130.51228664980584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95.917527783801148</v>
      </c>
      <c r="E47" s="422">
        <f t="shared" si="0"/>
        <v>39.051587809741278</v>
      </c>
      <c r="F47" s="423">
        <f t="shared" si="0"/>
        <v>55.240660975766907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114.19609978438112</v>
      </c>
      <c r="E48" s="422">
        <f t="shared" si="0"/>
        <v>1020.858130132512</v>
      </c>
      <c r="F48" s="423">
        <f t="shared" si="0"/>
        <v>121.99479878251654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108.66447761164999</v>
      </c>
      <c r="E49" s="424">
        <f t="shared" si="0"/>
        <v>115.61593941054392</v>
      </c>
      <c r="F49" s="416">
        <f t="shared" si="0"/>
        <v>123.90625718030344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Centralines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5515.9016781386326</v>
      </c>
      <c r="D54" s="426">
        <f>VLOOKUP($D$38,'MP (2011)'!$A$14:$AR$245,'MP (2011)'!$Z$246,FALSE)</f>
        <v>6244.4362354039376</v>
      </c>
      <c r="E54" s="426">
        <f>VLOOKUP($E$38,'MP (2011)'!$A$14:$AR$245,'MP (2011)'!$Z$246,FALSE)</f>
        <v>6721.2570396917345</v>
      </c>
      <c r="F54" s="427">
        <f>VLOOKUP($F$38,'MP (2011)'!$A$14:$AR$245,'MP (2011)'!$Z$246,FALSE)</f>
        <v>7603</v>
      </c>
    </row>
    <row r="55" spans="2:23">
      <c r="B55" s="111" t="s">
        <v>180</v>
      </c>
      <c r="C55" s="425">
        <f>VLOOKUP($C$38,'MP (2011)'!$A$14:$AR$245,'MP (2011)'!$AD$246,FALSE)</f>
        <v>653.96891210686886</v>
      </c>
      <c r="D55" s="426">
        <f>VLOOKUP($D$38,'MP (2011)'!$A$14:$AR$245,'MP (2011)'!$AD$246,FALSE)</f>
        <v>644.60269370306798</v>
      </c>
      <c r="E55" s="426">
        <f>VLOOKUP($E$38,'MP (2011)'!$A$14:$AR$245,'MP (2011)'!$AD$246,FALSE)</f>
        <v>604.16938374066979</v>
      </c>
      <c r="F55" s="427">
        <f>VLOOKUP($F$38,'MP (2011)'!$A$14:$AR$245,'MP (2011)'!$AD$246,FALSE)</f>
        <v>863</v>
      </c>
      <c r="J55" s="139"/>
    </row>
    <row r="56" spans="2:23">
      <c r="B56" s="111" t="s">
        <v>184</v>
      </c>
      <c r="C56" s="425">
        <f>VLOOKUP($C$38,'MP (2011)'!$A$14:$AR$245,'MP (2011)'!$AH$246,FALSE)</f>
        <v>170.05608919905333</v>
      </c>
      <c r="D56" s="426">
        <f>VLOOKUP($D$38,'MP (2011)'!$A$14:$AR$245,'MP (2011)'!$AH$246,FALSE)</f>
        <v>140.95062447937397</v>
      </c>
      <c r="E56" s="426">
        <f>VLOOKUP($E$38,'MP (2011)'!$A$14:$AR$245,'MP (2011)'!$AH$246,FALSE)</f>
        <v>257.76535259087598</v>
      </c>
      <c r="F56" s="427">
        <f>VLOOKUP($F$38,'MP (2011)'!$A$14:$AR$245,'MP (2011)'!$AH$246,FALSE)</f>
        <v>0</v>
      </c>
    </row>
    <row r="57" spans="2:23">
      <c r="B57" s="111" t="s">
        <v>181</v>
      </c>
      <c r="C57" s="425">
        <f>VLOOKUP($C$38,'MP (2011)'!$A$14:$AR$245,'MP (2011)'!$AL$246,FALSE)</f>
        <v>986.58657948447433</v>
      </c>
      <c r="D57" s="426">
        <f>VLOOKUP($D$38,'MP (2011)'!$A$14:$AR$245,'MP (2011)'!$AL$246,FALSE)</f>
        <v>1019.7757237367009</v>
      </c>
      <c r="E57" s="426">
        <f>VLOOKUP($E$38,'MP (2011)'!$A$14:$AR$245,'MP (2011)'!$AL$246,FALSE)</f>
        <v>1211.3952736385436</v>
      </c>
      <c r="F57" s="427">
        <f>VLOOKUP($F$38,'MP (2011)'!$A$14:$AR$245,'MP (2011)'!$AL$246,FALSE)</f>
        <v>1096</v>
      </c>
      <c r="W57" s="139"/>
    </row>
    <row r="58" spans="2:23">
      <c r="B58" s="147" t="s">
        <v>248</v>
      </c>
      <c r="C58" s="428">
        <f>SUM(C54:C57)</f>
        <v>7326.5132589290288</v>
      </c>
      <c r="D58" s="428">
        <f>SUM(D54:D57)</f>
        <v>8049.7652773230802</v>
      </c>
      <c r="E58" s="428">
        <f>SUM(E54:E57)</f>
        <v>8794.5870496618245</v>
      </c>
      <c r="F58" s="429">
        <f>SUM(F54:F57)</f>
        <v>9562</v>
      </c>
    </row>
    <row r="59" spans="2:23">
      <c r="B59" s="103" t="s">
        <v>302</v>
      </c>
    </row>
    <row r="60" spans="2:23">
      <c r="B60" s="137" t="str">
        <f>$B$2</f>
        <v>Centralines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113.20789600280099</v>
      </c>
      <c r="E61" s="422">
        <f t="shared" si="1"/>
        <v>121.85237213945146</v>
      </c>
      <c r="F61" s="423">
        <f t="shared" si="1"/>
        <v>137.83784490092052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98.567788432996608</v>
      </c>
      <c r="E62" s="422">
        <f t="shared" si="1"/>
        <v>92.385031238600973</v>
      </c>
      <c r="F62" s="423">
        <f t="shared" si="1"/>
        <v>131.96345942801821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82.884785333613692</v>
      </c>
      <c r="E63" s="422">
        <f t="shared" si="1"/>
        <v>151.57666732483634</v>
      </c>
      <c r="F63" s="423">
        <f t="shared" si="1"/>
        <v>0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103.36403767721724</v>
      </c>
      <c r="E64" s="422">
        <f t="shared" si="1"/>
        <v>122.7865145167026</v>
      </c>
      <c r="F64" s="423">
        <f t="shared" si="1"/>
        <v>111.09009820229846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109.8717083124446</v>
      </c>
      <c r="E65" s="424">
        <f t="shared" si="1"/>
        <v>120.03782343454591</v>
      </c>
      <c r="F65" s="416">
        <f t="shared" si="1"/>
        <v>130.51228684185509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Centralines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697.86205442037351</v>
      </c>
      <c r="D70" s="433">
        <f>(D54/D98)*1000</f>
        <v>790.43496650682755</v>
      </c>
      <c r="E70" s="433">
        <f>(E54/E98)*1000</f>
        <v>850.57669446870852</v>
      </c>
      <c r="F70" s="434">
        <f>(F54/F98)*1000</f>
        <v>928.1005859375</v>
      </c>
    </row>
    <row r="71" spans="2:40">
      <c r="B71" s="111" t="s">
        <v>180</v>
      </c>
      <c r="C71" s="433">
        <f>(C55/C99)*1000</f>
        <v>15208.579351322533</v>
      </c>
      <c r="D71" s="433">
        <f t="shared" ref="C71:F73" si="2">(D55/D99)*1000</f>
        <v>9479.4513779862937</v>
      </c>
      <c r="E71" s="433">
        <f t="shared" si="2"/>
        <v>8884.8438785392609</v>
      </c>
      <c r="F71" s="434">
        <f t="shared" si="2"/>
        <v>17979.166666666668</v>
      </c>
    </row>
    <row r="72" spans="2:40">
      <c r="B72" s="111" t="s">
        <v>184</v>
      </c>
      <c r="C72" s="433">
        <f>(C56/C100)*1000</f>
        <v>24293.727028436191</v>
      </c>
      <c r="D72" s="433">
        <f t="shared" si="2"/>
        <v>17618.828059921747</v>
      </c>
      <c r="E72" s="433">
        <f t="shared" si="2"/>
        <v>32220.669073859499</v>
      </c>
      <c r="F72" s="434" t="e">
        <f t="shared" si="2"/>
        <v>#DIV/0!</v>
      </c>
    </row>
    <row r="73" spans="2:40">
      <c r="B73" s="115" t="s">
        <v>181</v>
      </c>
      <c r="C73" s="435">
        <f t="shared" si="2"/>
        <v>246646.64487111859</v>
      </c>
      <c r="D73" s="435">
        <f t="shared" si="2"/>
        <v>203955.14474734018</v>
      </c>
      <c r="E73" s="435">
        <f t="shared" si="2"/>
        <v>242279.05472770872</v>
      </c>
      <c r="F73" s="436">
        <f t="shared" si="2"/>
        <v>219200</v>
      </c>
    </row>
    <row r="74" spans="2:40">
      <c r="B74" s="103" t="s">
        <v>303</v>
      </c>
    </row>
    <row r="75" spans="2:40">
      <c r="B75" s="137" t="str">
        <f>$B$2</f>
        <v>Centralines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113.2652164564733</v>
      </c>
      <c r="E76" s="422">
        <f t="shared" si="3"/>
        <v>121.88321303343766</v>
      </c>
      <c r="F76" s="423">
        <f t="shared" si="3"/>
        <v>132.99198316612254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62.329630920865483</v>
      </c>
      <c r="E77" s="422">
        <f t="shared" si="3"/>
        <v>58.419946224409436</v>
      </c>
      <c r="F77" s="423">
        <f t="shared" si="3"/>
        <v>118.21726573759965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72.524187166911986</v>
      </c>
      <c r="E78" s="422">
        <f t="shared" si="3"/>
        <v>132.6295839092318</v>
      </c>
      <c r="F78" s="423" t="str">
        <f t="shared" si="3"/>
        <v/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82.691230141773786</v>
      </c>
      <c r="E79" s="424">
        <f t="shared" si="3"/>
        <v>98.229211613362068</v>
      </c>
      <c r="F79" s="416">
        <f t="shared" si="3"/>
        <v>88.872078561838777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Centralines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9.1167743889485156</v>
      </c>
      <c r="D84" s="437">
        <f>(D54/VLOOKUP($D$38,'MP (2011)'!$A$14:$AR$245,'MP (2011)'!$AA$246,FALSE)*100)</f>
        <v>9.6855381540563013</v>
      </c>
      <c r="E84" s="437">
        <f>(E54/VLOOKUP($E$38,'MP (2011)'!$A$14:$AR$245,'MP (2011)'!$AA$246,FALSE)*100)</f>
        <v>10.907413121649656</v>
      </c>
      <c r="F84" s="438">
        <f>(F54/VLOOKUP($F$38,'MP (2011)'!$A$14:$AR$245,'MP (2011)'!$AA$246,FALSE)*100)</f>
        <v>11.502095278437542</v>
      </c>
    </row>
    <row r="85" spans="2:7">
      <c r="B85" s="111" t="s">
        <v>180</v>
      </c>
      <c r="C85" s="430">
        <f>(C55/VLOOKUP($C$38,'MP (2011)'!$A$14:$AR$245,'MP (2011)'!$AE$246,FALSE)*100)</f>
        <v>6.8085626649904958</v>
      </c>
      <c r="D85" s="437">
        <f>(D55/VLOOKUP($D$38,'MP (2011)'!$A$14:$AR$245,'MP (2011)'!$AE$246,FALSE)*100)</f>
        <v>7.6404682084844397</v>
      </c>
      <c r="E85" s="437">
        <f>(E55/VLOOKUP($E$38,'MP (2011)'!$A$14:$AR$245,'MP (2011)'!$AE$246,FALSE)*100)</f>
        <v>8.2933340252665708</v>
      </c>
      <c r="F85" s="438">
        <f>(F55/VLOOKUP($F$38,'MP (2011)'!$A$14:$AR$245,'MP (2011)'!$AE$246,FALSE)*100)</f>
        <v>8.4607843137254903</v>
      </c>
    </row>
    <row r="86" spans="2:7">
      <c r="B86" s="111" t="s">
        <v>184</v>
      </c>
      <c r="C86" s="430">
        <f>(C56/VLOOKUP($C$38,'MP (2011)'!$A$14:$AR$245,'MP (2011)'!$AI$246,FALSE)*100)</f>
        <v>5.2846045047598063</v>
      </c>
      <c r="D86" s="437">
        <f>(D56/VLOOKUP($D$38,'MP (2011)'!$A$14:$AR$245,'MP (2011)'!$AI$246,FALSE)*100)</f>
        <v>6.1520402457913157</v>
      </c>
      <c r="E86" s="437">
        <f>(E56/VLOOKUP($E$38,'MP (2011)'!$A$14:$AR$245,'MP (2011)'!$AI$246,FALSE)*100)</f>
        <v>5.8649682045705571</v>
      </c>
      <c r="F86" s="438" t="e">
        <f>(F56/VLOOKUP($F$38,'MP (2011)'!$A$14:$AR$245,'MP (2011)'!$AI$246,FALSE)*100)</f>
        <v>#DIV/0!</v>
      </c>
    </row>
    <row r="87" spans="2:7">
      <c r="B87" s="115" t="s">
        <v>181</v>
      </c>
      <c r="C87" s="431">
        <f>(C57/VLOOKUP($C$38,'MP (2011)'!$A$14:$AR$245,'MP (2011)'!$AM$246,FALSE)*100)</f>
        <v>3.069569664138819</v>
      </c>
      <c r="D87" s="431">
        <f>(D57/VLOOKUP($D$38,'MP (2011)'!$A$14:$AR$245,'MP (2011)'!$AM$246,FALSE)*100)</f>
        <v>2.9842528591968032</v>
      </c>
      <c r="E87" s="431">
        <f>(E57/VLOOKUP($E$38,'MP (2011)'!$A$14:$AR$245,'MP (2011)'!$AM$246,FALSE)*100)</f>
        <v>3.5084432160523158</v>
      </c>
      <c r="F87" s="432">
        <f>(F57/VLOOKUP($F$38,'MP (2011)'!$A$14:$AR$245,'MP (2011)'!$AM$246,FALSE)*100)</f>
        <v>3.323024680128555</v>
      </c>
    </row>
    <row r="88" spans="2:7">
      <c r="B88" s="103" t="s">
        <v>304</v>
      </c>
    </row>
    <row r="89" spans="2:7">
      <c r="B89" s="137" t="str">
        <f>$B$2</f>
        <v>Centralines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106.23865131287278</v>
      </c>
      <c r="E90" s="422">
        <f>IF(ISERROR(E84/$C84),"",(E84/$C84)*100)</f>
        <v>119.64114341659895</v>
      </c>
      <c r="F90" s="423">
        <f>IF(ISERROR(F84/$C84),"",(F84/$C84)*100)</f>
        <v>126.16408817114689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112.21851930322369</v>
      </c>
      <c r="E91" s="422">
        <f t="shared" si="4"/>
        <v>121.80741271444472</v>
      </c>
      <c r="F91" s="423">
        <f t="shared" si="4"/>
        <v>124.26682003281968</v>
      </c>
    </row>
    <row r="92" spans="2:7">
      <c r="B92" s="111" t="s">
        <v>184</v>
      </c>
      <c r="C92" s="422">
        <f t="shared" si="4"/>
        <v>100</v>
      </c>
      <c r="D92" s="422">
        <f t="shared" si="4"/>
        <v>116.41439279420467</v>
      </c>
      <c r="E92" s="422">
        <f t="shared" si="4"/>
        <v>110.98215957860273</v>
      </c>
      <c r="F92" s="423" t="str">
        <f t="shared" si="4"/>
        <v/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97.220561372535201</v>
      </c>
      <c r="E93" s="424">
        <f>IF(ISERROR(E87/$C87),"",(E87/$C87)*100)</f>
        <v>114.29755959086938</v>
      </c>
      <c r="F93" s="416">
        <f>IF(ISERROR(F87/$C87),"",(F87/$C87)*100)</f>
        <v>108.25702113722329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7904</v>
      </c>
      <c r="D98" s="150">
        <f>VLOOKUP($D$38,'MP (2011)'!$A$14:$AR$245,'MP (2011)'!$AB$246,FALSE)</f>
        <v>7900</v>
      </c>
      <c r="E98" s="150">
        <f>VLOOKUP($E$38,'MP (2011)'!$A$14:$AR$245,'MP (2011)'!$AB$246,FALSE)</f>
        <v>7902</v>
      </c>
      <c r="F98" s="151">
        <f>VLOOKUP($F$38,'MP (2011)'!$A$14:$AR$245,'MP (2011)'!$AB$246,FALSE)</f>
        <v>8192</v>
      </c>
    </row>
    <row r="99" spans="2:7">
      <c r="B99" s="155" t="s">
        <v>309</v>
      </c>
      <c r="C99" s="150">
        <f>VLOOKUP($C$38,'MP (2011)'!$A$14:$AR$245,'MP (2011)'!$AF$246,FALSE)</f>
        <v>43</v>
      </c>
      <c r="D99" s="150">
        <f>VLOOKUP($D$38,'MP (2011)'!$A$14:$AR$245,'MP (2011)'!$AF$246,FALSE)</f>
        <v>68</v>
      </c>
      <c r="E99" s="150">
        <f>VLOOKUP($E$38,'MP (2011)'!$A$14:$AR$245,'MP (2011)'!$AF$246,FALSE)</f>
        <v>68</v>
      </c>
      <c r="F99" s="151">
        <f>VLOOKUP($F$38,'MP (2011)'!$A$14:$AR$245,'MP (2011)'!$AF$246,FALSE)</f>
        <v>48</v>
      </c>
    </row>
    <row r="100" spans="2:7">
      <c r="B100" s="155" t="s">
        <v>310</v>
      </c>
      <c r="C100" s="150">
        <f>VLOOKUP($C$38,'MP (2011)'!$A$14:$AR$245,'MP (2011)'!$AJ$246,FALSE)</f>
        <v>7</v>
      </c>
      <c r="D100" s="150">
        <f>VLOOKUP($D$38,'MP (2011)'!$A$14:$AR$245,'MP (2011)'!$AJ$246,FALSE)</f>
        <v>8</v>
      </c>
      <c r="E100" s="150">
        <f>VLOOKUP($E$38,'MP (2011)'!$A$14:$AR$245,'MP (2011)'!$AJ$246,FALSE)</f>
        <v>8</v>
      </c>
      <c r="F100" s="151">
        <f>VLOOKUP($F$38,'MP (2011)'!$A$14:$AR$245,'MP (2011)'!$AJ$246,FALSE)</f>
        <v>0</v>
      </c>
    </row>
    <row r="101" spans="2:7">
      <c r="B101" s="111" t="s">
        <v>181</v>
      </c>
      <c r="C101" s="150">
        <f>VLOOKUP($C$38,'MP (2011)'!$A$14:$AR$245,'MP (2011)'!$AN$246,FALSE)</f>
        <v>4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7958</v>
      </c>
      <c r="D102" s="152">
        <f>SUM(D98:D101)</f>
        <v>7981</v>
      </c>
      <c r="E102" s="152">
        <f>SUM(E98:E101)</f>
        <v>7983</v>
      </c>
      <c r="F102" s="157">
        <f>SUM(F98:F101)</f>
        <v>8245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99.949392712550605</v>
      </c>
      <c r="E105" s="422">
        <f t="shared" si="5"/>
        <v>99.974696356275302</v>
      </c>
      <c r="F105" s="423">
        <f t="shared" si="5"/>
        <v>103.64372469635627</v>
      </c>
    </row>
    <row r="106" spans="2:7">
      <c r="B106" s="111" t="s">
        <v>180</v>
      </c>
      <c r="C106" s="422">
        <f t="shared" si="5"/>
        <v>100</v>
      </c>
      <c r="D106" s="422">
        <f t="shared" si="5"/>
        <v>158.13953488372093</v>
      </c>
      <c r="E106" s="422">
        <f t="shared" si="5"/>
        <v>158.13953488372093</v>
      </c>
      <c r="F106" s="423">
        <f t="shared" si="5"/>
        <v>111.62790697674419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114.28571428571428</v>
      </c>
      <c r="E107" s="422">
        <f t="shared" si="5"/>
        <v>114.28571428571428</v>
      </c>
      <c r="F107" s="423">
        <f t="shared" si="5"/>
        <v>0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125</v>
      </c>
      <c r="E108" s="424">
        <f t="shared" si="5"/>
        <v>125</v>
      </c>
      <c r="F108" s="416">
        <f t="shared" si="5"/>
        <v>125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Centralines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30">
      <c r="B113" s="155" t="s">
        <v>308</v>
      </c>
      <c r="C113" s="146">
        <f>VLOOKUP($C$38,'MP (2011)'!$A$14:$AR$245,'MP (2011)'!$AA$246,FALSE)</f>
        <v>60502.777000000002</v>
      </c>
      <c r="D113" s="150">
        <f>VLOOKUP($D$38,'MP (2011)'!$A$14:$AR$245,'MP (2011)'!$AA$246,FALSE)</f>
        <v>64471.752999999997</v>
      </c>
      <c r="E113" s="150">
        <f>VLOOKUP($E$38,'MP (2011)'!$A$14:$AR$245,'MP (2011)'!$AA$246,FALSE)</f>
        <v>61621</v>
      </c>
      <c r="F113" s="151">
        <f>VLOOKUP($F$38,'MP (2011)'!$A$14:$AR$245,'MP (2011)'!$AA$246,FALSE)</f>
        <v>66101</v>
      </c>
    </row>
    <row r="114" spans="2:30">
      <c r="B114" s="155" t="s">
        <v>309</v>
      </c>
      <c r="C114" s="150">
        <f>VLOOKUP($C$38,'MP (2011)'!$A$14:$AR$245,'MP (2011)'!$AE$246,FALSE)</f>
        <v>9605.0949999999993</v>
      </c>
      <c r="D114" s="150">
        <f>VLOOKUP($D$38,'MP (2011)'!$A$14:$AR$245,'MP (2011)'!$AE$246,FALSE)</f>
        <v>8436.6910000000007</v>
      </c>
      <c r="E114" s="150">
        <f>VLOOKUP($E$38,'MP (2011)'!$A$14:$AR$245,'MP (2011)'!$AE$246,FALSE)</f>
        <v>7285</v>
      </c>
      <c r="F114" s="151">
        <f>VLOOKUP($F$38,'MP (2011)'!$A$14:$AR$245,'MP (2011)'!$AE$246,FALSE)</f>
        <v>10200</v>
      </c>
    </row>
    <row r="115" spans="2:30">
      <c r="B115" s="155" t="s">
        <v>310</v>
      </c>
      <c r="C115" s="150">
        <f>VLOOKUP($C$38,'MP (2011)'!$A$14:$AR$245,'MP (2011)'!$AI$246,FALSE)</f>
        <v>3217.953</v>
      </c>
      <c r="D115" s="150">
        <f>VLOOKUP($D$38,'MP (2011)'!$A$14:$AR$245,'MP (2011)'!$AI$246,FALSE)</f>
        <v>2291.12</v>
      </c>
      <c r="E115" s="150">
        <f>VLOOKUP($E$38,'MP (2011)'!$A$14:$AR$245,'MP (2011)'!$AI$246,FALSE)</f>
        <v>4395</v>
      </c>
      <c r="F115" s="151">
        <f>VLOOKUP($F$38,'MP (2011)'!$A$14:$AR$245,'MP (2011)'!$AI$246,FALSE)</f>
        <v>0</v>
      </c>
    </row>
    <row r="116" spans="2:30">
      <c r="B116" s="155" t="s">
        <v>311</v>
      </c>
      <c r="C116" s="150">
        <f>VLOOKUP($C$38,'MP (2011)'!$A$14:$AR$245,'MP (2011)'!$AM$246,FALSE)</f>
        <v>32140.876</v>
      </c>
      <c r="D116" s="150">
        <f>VLOOKUP($D$38,'MP (2011)'!$A$14:$AR$245,'MP (2011)'!$AM$246,FALSE)</f>
        <v>34171.894</v>
      </c>
      <c r="E116" s="150">
        <f>VLOOKUP($E$38,'MP (2011)'!$A$14:$AR$245,'MP (2011)'!$AM$246,FALSE)</f>
        <v>34528</v>
      </c>
      <c r="F116" s="151">
        <f>VLOOKUP($F$38,'MP (2011)'!$A$14:$AR$245,'MP (2011)'!$AM$246,FALSE)</f>
        <v>32982</v>
      </c>
    </row>
    <row r="117" spans="2:30">
      <c r="B117" s="147" t="s">
        <v>254</v>
      </c>
      <c r="C117" s="158">
        <f>SUM(C113:C116)</f>
        <v>105466.701</v>
      </c>
      <c r="D117" s="158">
        <f>SUM(D113:D116)</f>
        <v>109371.458</v>
      </c>
      <c r="E117" s="158">
        <f>SUM(E113:E116)</f>
        <v>107829</v>
      </c>
      <c r="F117" s="159">
        <f>SUM(F113:F116)</f>
        <v>109283</v>
      </c>
    </row>
    <row r="118" spans="2:30">
      <c r="B118" s="103" t="s">
        <v>306</v>
      </c>
    </row>
    <row r="119" spans="2:30">
      <c r="B119" s="137" t="str">
        <f>$B$2</f>
        <v>Centralines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30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106.55998980013759</v>
      </c>
      <c r="E120" s="422">
        <f t="shared" si="6"/>
        <v>101.84821764462151</v>
      </c>
      <c r="F120" s="423">
        <f t="shared" si="6"/>
        <v>109.25283644418502</v>
      </c>
    </row>
    <row r="121" spans="2:30">
      <c r="B121" s="111" t="s">
        <v>180</v>
      </c>
      <c r="C121" s="422">
        <f t="shared" si="6"/>
        <v>100</v>
      </c>
      <c r="D121" s="422">
        <f t="shared" si="6"/>
        <v>87.835581011952527</v>
      </c>
      <c r="E121" s="422">
        <f t="shared" si="6"/>
        <v>75.845163426285751</v>
      </c>
      <c r="F121" s="423">
        <f t="shared" si="6"/>
        <v>106.19363993797042</v>
      </c>
    </row>
    <row r="122" spans="2:30">
      <c r="B122" s="111" t="s">
        <v>184</v>
      </c>
      <c r="C122" s="422">
        <f t="shared" si="6"/>
        <v>100</v>
      </c>
      <c r="D122" s="422">
        <f t="shared" si="6"/>
        <v>71.198056652785169</v>
      </c>
      <c r="E122" s="422">
        <f t="shared" si="6"/>
        <v>136.57750750244023</v>
      </c>
      <c r="F122" s="423">
        <f t="shared" si="6"/>
        <v>0</v>
      </c>
    </row>
    <row r="123" spans="2:30">
      <c r="B123" s="115" t="s">
        <v>181</v>
      </c>
      <c r="C123" s="424">
        <f t="shared" si="6"/>
        <v>100</v>
      </c>
      <c r="D123" s="424">
        <f t="shared" si="6"/>
        <v>106.31911214865457</v>
      </c>
      <c r="E123" s="424">
        <f t="shared" si="6"/>
        <v>107.42706577132498</v>
      </c>
      <c r="F123" s="416">
        <f t="shared" si="6"/>
        <v>102.61699152194856</v>
      </c>
    </row>
    <row r="126" spans="2:30">
      <c r="B126" s="517" t="s">
        <v>256</v>
      </c>
      <c r="C126" s="510"/>
      <c r="D126" s="510"/>
      <c r="E126" s="510"/>
      <c r="F126" s="511"/>
      <c r="Q126" s="559"/>
      <c r="R126" s="559"/>
      <c r="S126" s="559"/>
      <c r="T126" s="559"/>
      <c r="U126" s="559"/>
      <c r="V126" s="559"/>
      <c r="W126" s="559"/>
      <c r="X126" s="559"/>
      <c r="Y126" s="559"/>
      <c r="Z126" s="559"/>
      <c r="AA126" s="559"/>
      <c r="AB126" s="559"/>
      <c r="AC126" s="559"/>
      <c r="AD126" s="559"/>
    </row>
    <row r="127" spans="2:30">
      <c r="B127" s="137" t="str">
        <f>$B$2</f>
        <v>Centralines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  <c r="Q127" s="559"/>
      <c r="R127" s="559"/>
      <c r="S127" s="559"/>
      <c r="T127" s="559"/>
      <c r="U127" s="559"/>
      <c r="V127" s="559"/>
      <c r="W127" s="559"/>
      <c r="X127" s="559"/>
      <c r="Y127" s="559"/>
      <c r="Z127" s="559"/>
      <c r="AA127" s="559"/>
      <c r="AB127" s="559"/>
      <c r="AC127" s="559"/>
      <c r="AD127" s="559"/>
    </row>
    <row r="128" spans="2:30">
      <c r="B128" s="162" t="s">
        <v>259</v>
      </c>
      <c r="C128" s="439">
        <f>VLOOKUP($C$38,'FS (2011)'!$A$13:$AH$244,'FS (2011)'!$I$245,FALSE)</f>
        <v>8085.1741378346778</v>
      </c>
      <c r="D128" s="433">
        <f>VLOOKUP($D$38,'FS (2011)'!$A$13:$AH$244,'FS (2011)'!$I$245,FALSE)</f>
        <v>8754.4624671837446</v>
      </c>
      <c r="E128" s="433">
        <f>VLOOKUP($E$38,'FS (2011)'!$A$13:$AH$244,'FS (2011)'!$I$245,FALSE)</f>
        <v>9397.1120330899194</v>
      </c>
      <c r="F128" s="440">
        <f>VLOOKUP($F$38,'FS (2011)'!$A$13:$AH$244,'FS (2011)'!$I$245,FALSE)</f>
        <v>10121</v>
      </c>
      <c r="G128" s="121"/>
      <c r="Q128" s="559"/>
      <c r="R128" s="559"/>
      <c r="S128" s="559"/>
      <c r="T128" s="559"/>
      <c r="U128" s="559"/>
      <c r="V128" s="559"/>
      <c r="W128" s="559"/>
      <c r="X128" s="559"/>
      <c r="Y128" s="559"/>
      <c r="Z128" s="559"/>
      <c r="AA128" s="559"/>
      <c r="AB128" s="559"/>
      <c r="AC128" s="559"/>
      <c r="AD128" s="559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1282.5628304011861</v>
      </c>
      <c r="D129" s="433">
        <f>VLOOKUP($D$38,'FS (2011)'!$A$13:$AH$244,'FS (2011)'!$Y$245,FALSE)+VLOOKUP($D$38,'FS (2011)'!$A$13:$AH$244,'FS (2011)'!$Z$245,FALSE)</f>
        <v>1153.7033373052368</v>
      </c>
      <c r="E129" s="433">
        <f>VLOOKUP($E$38,'FS (2011)'!$A$13:$AH$244,'FS (2011)'!$Y$245,FALSE)+VLOOKUP($E$38,'FS (2011)'!$A$13:$AH$244,'FS (2011)'!$Z$245,FALSE)</f>
        <v>871.05422998571839</v>
      </c>
      <c r="F129" s="440">
        <f>VLOOKUP($F$38,'FS (2011)'!$A$13:$AH$244,'FS (2011)'!$Y$245,FALSE)+VLOOKUP($F$38,'FS (2011)'!$A$13:$AH$244,'FS (2011)'!$Z$245,FALSE)</f>
        <v>1935.6768999999999</v>
      </c>
      <c r="G129" s="121"/>
      <c r="Q129" s="559"/>
      <c r="R129" s="559"/>
      <c r="S129" s="559"/>
      <c r="T129" s="559"/>
      <c r="U129" s="559"/>
      <c r="V129" s="559"/>
      <c r="W129" s="559"/>
      <c r="X129" s="559"/>
      <c r="Y129" s="559"/>
      <c r="Z129" s="559"/>
      <c r="AA129" s="559"/>
      <c r="AB129" s="559"/>
      <c r="AC129" s="559"/>
      <c r="AD129" s="559"/>
    </row>
    <row r="130" spans="1:30">
      <c r="B130" s="162" t="s">
        <v>191</v>
      </c>
      <c r="C130" s="441">
        <f>VLOOKUP($C$38,'FS (2011)'!$A$13:$AH$244,'FS (2011)'!$J$245,FALSE)</f>
        <v>1648.6482827122122</v>
      </c>
      <c r="D130" s="433">
        <f>VLOOKUP($D$38,'FS (2011)'!$A$13:$AH$244,'FS (2011)'!$J$245,FALSE)</f>
        <v>2077.9435486306534</v>
      </c>
      <c r="E130" s="433">
        <f>VLOOKUP($E$38,'FS (2011)'!$A$13:$AH$244,'FS (2011)'!$J$245,FALSE)</f>
        <v>2299.392261863059</v>
      </c>
      <c r="F130" s="440">
        <f>VLOOKUP($F$38,'FS (2011)'!$A$13:$AH$244,'FS (2011)'!$J$245,FALSE)</f>
        <v>2259</v>
      </c>
      <c r="Q130" s="559"/>
      <c r="R130" s="559"/>
      <c r="S130" s="559"/>
      <c r="T130" s="559"/>
      <c r="U130" s="559"/>
      <c r="V130" s="559"/>
      <c r="W130" s="559"/>
      <c r="X130" s="559"/>
      <c r="Y130" s="559"/>
      <c r="Z130" s="559"/>
      <c r="AA130" s="559"/>
      <c r="AB130" s="559"/>
      <c r="AC130" s="559"/>
      <c r="AD130" s="559"/>
    </row>
    <row r="131" spans="1:30">
      <c r="B131" s="162" t="s">
        <v>182</v>
      </c>
      <c r="C131" s="441">
        <f>VLOOKUP($C$38,'FS (2011)'!$A$13:$AH$244,'FS (2011)'!$S$245,FALSE)</f>
        <v>2212.73982447036</v>
      </c>
      <c r="D131" s="433">
        <f>VLOOKUP($D$38,'FS (2011)'!$A$13:$AH$244,'FS (2011)'!$S$245,FALSE)</f>
        <v>2787.2756543345454</v>
      </c>
      <c r="E131" s="433">
        <f>VLOOKUP($E$38,'FS (2011)'!$A$13:$AH$244,'FS (2011)'!$S$245,FALSE)</f>
        <v>2670.5967839724067</v>
      </c>
      <c r="F131" s="440">
        <f>VLOOKUP($F$38,'FS (2011)'!$A$13:$AH$244,'FS (2011)'!$S$245,FALSE)</f>
        <v>3251</v>
      </c>
      <c r="I131" s="139"/>
      <c r="Q131" s="559"/>
      <c r="R131" s="559"/>
      <c r="S131" s="559"/>
      <c r="T131" s="559"/>
      <c r="U131" s="559"/>
      <c r="V131" s="559"/>
      <c r="W131" s="559"/>
      <c r="X131" s="559"/>
      <c r="Y131" s="559"/>
      <c r="Z131" s="559"/>
      <c r="AA131" s="559"/>
      <c r="AB131" s="559"/>
      <c r="AC131" s="559"/>
      <c r="AD131" s="559"/>
    </row>
    <row r="132" spans="1:30">
      <c r="B132" s="162" t="s">
        <v>143</v>
      </c>
      <c r="C132" s="441">
        <f>VLOOKUP($C$38,'FS (2011)'!$A$13:$AH$244,'FS (2011)'!$U$245,FALSE)</f>
        <v>1991.4423825953065</v>
      </c>
      <c r="D132" s="433">
        <f>VLOOKUP($D$38,'FS (2011)'!$A$13:$AH$244,'FS (2011)'!$U$245,FALSE)</f>
        <v>2003.4220603198567</v>
      </c>
      <c r="E132" s="433">
        <f>VLOOKUP($E$38,'FS (2011)'!$A$13:$AH$244,'FS (2011)'!$U$245,FALSE)</f>
        <v>2086.0032014497046</v>
      </c>
      <c r="F132" s="440">
        <f>VLOOKUP($F$38,'FS (2011)'!$A$13:$AH$244,'FS (2011)'!$U$245,FALSE)</f>
        <v>2228</v>
      </c>
      <c r="Q132" s="559"/>
      <c r="R132" s="559"/>
      <c r="S132" s="559"/>
      <c r="T132" s="559"/>
      <c r="U132" s="559"/>
      <c r="V132" s="559"/>
      <c r="W132" s="559"/>
      <c r="X132" s="559"/>
      <c r="Y132" s="559"/>
      <c r="Z132" s="559"/>
      <c r="AA132" s="559"/>
      <c r="AB132" s="559"/>
      <c r="AC132" s="559"/>
      <c r="AD132" s="559"/>
    </row>
    <row r="133" spans="1:30">
      <c r="B133" s="162" t="s">
        <v>196</v>
      </c>
      <c r="C133" s="441">
        <f>VLOOKUP($C$38,'FS (2011)'!$A$13:$AH$244,'FS (2011)'!$X$245,FALSE)</f>
        <v>1166.8038137492513</v>
      </c>
      <c r="D133" s="433">
        <f>VLOOKUP($D$38,'FS (2011)'!$A$13:$AH$244,'FS (2011)'!$X$245,FALSE)</f>
        <v>-0.29518013964445045</v>
      </c>
      <c r="E133" s="433">
        <f>VLOOKUP($E$38,'FS (2011)'!$A$13:$AH$244,'FS (2011)'!$X$245,FALSE)</f>
        <v>106.90959616825198</v>
      </c>
      <c r="F133" s="440">
        <f>VLOOKUP($F$38,'FS (2011)'!$A$13:$AH$244,'FS (2011)'!$X$245,FALSE)</f>
        <v>190.48240999999999</v>
      </c>
      <c r="Q133" s="559"/>
      <c r="R133" s="559"/>
      <c r="S133" s="559"/>
      <c r="T133" s="559"/>
      <c r="U133" s="559"/>
      <c r="V133" s="559"/>
      <c r="W133" s="559"/>
      <c r="X133" s="559"/>
      <c r="Y133" s="559"/>
      <c r="Z133" s="559"/>
      <c r="AA133" s="559"/>
      <c r="AB133" s="559"/>
      <c r="AC133" s="559"/>
      <c r="AD133" s="559"/>
    </row>
    <row r="134" spans="1:30">
      <c r="B134" s="164" t="s">
        <v>258</v>
      </c>
      <c r="C134" s="442">
        <f>VLOOKUP($C$38,'FS (2011)'!$A$13:$AH$244,'FS (2011)'!$AA$245,FALSE)</f>
        <v>2348.1026647087338</v>
      </c>
      <c r="D134" s="435">
        <f>VLOOKUP($D$38,'FS (2011)'!$A$13:$AH$244,'FS (2011)'!$AA$245,FALSE)</f>
        <v>3039.8197753037261</v>
      </c>
      <c r="E134" s="435">
        <f>VLOOKUP($E$38,'FS (2011)'!$A$13:$AH$244,'FS (2011)'!$AA$245,FALSE)</f>
        <v>3105.2644603756298</v>
      </c>
      <c r="F134" s="443">
        <f>VLOOKUP($F$38,'FS (2011)'!$A$13:$AH$244,'FS (2011)'!$AA$245,FALSE)</f>
        <v>4128.1944000000003</v>
      </c>
      <c r="Q134" s="559"/>
      <c r="R134" s="559"/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4</v>
      </c>
      <c r="B138" s="166" t="s">
        <v>204</v>
      </c>
      <c r="C138" s="167"/>
      <c r="D138" s="444">
        <f>VLOOKUP($D$6,'FS (2011)'!$A$13:$AH$244,'FS (2011)'!$L$245,FALSE)</f>
        <v>391</v>
      </c>
      <c r="E138" s="446">
        <f t="shared" ref="E138:E144" si="7">D138/$D$145</f>
        <v>0.12027068594278684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1409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1</v>
      </c>
      <c r="B139" s="162" t="s">
        <v>199</v>
      </c>
      <c r="C139" s="121"/>
      <c r="D139" s="441">
        <f>VLOOKUP($D$6,'FS (2011)'!$A$13:$AH$244,'FS (2011)'!K245,FALSE)</f>
        <v>1409</v>
      </c>
      <c r="E139" s="414">
        <f t="shared" si="7"/>
        <v>0.43340510612119348</v>
      </c>
      <c r="Q139" s="559"/>
      <c r="R139" s="559"/>
      <c r="S139" s="559"/>
      <c r="T139" s="559">
        <v>2</v>
      </c>
      <c r="U139" s="559" t="str">
        <f t="shared" ref="U139:U144" si="9">VLOOKUP(T139,$A$138:$E$144,2,FALSE)</f>
        <v>Refurbishment and renewal maintenance</v>
      </c>
      <c r="V139" s="559">
        <f t="shared" ref="V139:V144" si="10">VLOOKUP(T139,$A$138:$E$144,4,FALSE)</f>
        <v>621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3</v>
      </c>
      <c r="B140" s="162" t="s">
        <v>201</v>
      </c>
      <c r="C140" s="121"/>
      <c r="D140" s="441">
        <f>VLOOKUP($D$6,'FS (2011)'!$A$13:$AH$244,'FS (2011)'!M245,FALSE)</f>
        <v>526</v>
      </c>
      <c r="E140" s="414">
        <f t="shared" si="7"/>
        <v>0.16179637034758537</v>
      </c>
      <c r="Q140" s="559"/>
      <c r="R140" s="559"/>
      <c r="S140" s="559"/>
      <c r="T140" s="559">
        <v>3</v>
      </c>
      <c r="U140" s="559" t="str">
        <f t="shared" si="9"/>
        <v>Routine and preventative maintenance</v>
      </c>
      <c r="V140" s="559">
        <f t="shared" si="10"/>
        <v>526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2</v>
      </c>
      <c r="B141" s="162" t="s">
        <v>202</v>
      </c>
      <c r="C141" s="121"/>
      <c r="D141" s="441">
        <f>VLOOKUP($D$6,'FS (2011)'!$A$13:$AH$244,'FS (2011)'!N245,FALSE)</f>
        <v>621</v>
      </c>
      <c r="E141" s="414">
        <f t="shared" si="7"/>
        <v>0.1910181482620732</v>
      </c>
      <c r="Q141" s="559"/>
      <c r="R141" s="559"/>
      <c r="S141" s="559"/>
      <c r="T141" s="559">
        <v>4</v>
      </c>
      <c r="U141" s="559" t="str">
        <f t="shared" si="9"/>
        <v>System management and operations</v>
      </c>
      <c r="V141" s="559">
        <f t="shared" si="10"/>
        <v>391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5</v>
      </c>
      <c r="B142" s="162" t="s">
        <v>203</v>
      </c>
      <c r="C142" s="121"/>
      <c r="D142" s="441">
        <f>VLOOKUP($D$6,'FS (2011)'!$A$13:$AH$244,'FS (2011)'!O245,FALSE)</f>
        <v>233</v>
      </c>
      <c r="E142" s="414">
        <f t="shared" si="7"/>
        <v>7.167025530605968E-2</v>
      </c>
      <c r="Q142" s="559"/>
      <c r="R142" s="559"/>
      <c r="S142" s="559"/>
      <c r="T142" s="559">
        <v>5</v>
      </c>
      <c r="U142" s="559" t="str">
        <f t="shared" si="9"/>
        <v>Fault and emergency maintenance</v>
      </c>
      <c r="V142" s="559">
        <f t="shared" si="10"/>
        <v>233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8"/>
        <v>7</v>
      </c>
      <c r="B143" s="162" t="s">
        <v>13</v>
      </c>
      <c r="C143" s="121"/>
      <c r="D143" s="441">
        <f>VLOOKUP($D$6,'FS (2011)'!$A$13:$AH$244,'FS (2011)'!R245,FALSE)</f>
        <v>5</v>
      </c>
      <c r="E143" s="414">
        <f t="shared" si="7"/>
        <v>1.5379883112888342E-3</v>
      </c>
      <c r="Q143" s="559"/>
      <c r="R143" s="559"/>
      <c r="S143" s="559"/>
      <c r="T143" s="559">
        <v>6</v>
      </c>
      <c r="U143" s="559" t="str">
        <f t="shared" si="9"/>
        <v>Pass-through costs</v>
      </c>
      <c r="V143" s="559">
        <f t="shared" si="10"/>
        <v>66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6</v>
      </c>
      <c r="B144" s="162" t="s">
        <v>200</v>
      </c>
      <c r="C144" s="121"/>
      <c r="D144" s="441">
        <f>VLOOKUP($D$6,'FS (2011)'!$A$13:$AH$244,'FS (2011)'!P245,FALSE)</f>
        <v>66</v>
      </c>
      <c r="E144" s="414">
        <f t="shared" si="7"/>
        <v>2.030144570901261E-2</v>
      </c>
      <c r="Q144" s="559"/>
      <c r="R144" s="559"/>
      <c r="S144" s="559"/>
      <c r="T144" s="559">
        <v>7</v>
      </c>
      <c r="U144" s="559" t="str">
        <f t="shared" si="9"/>
        <v>Other</v>
      </c>
      <c r="V144" s="559">
        <f t="shared" si="10"/>
        <v>5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3251</v>
      </c>
      <c r="E145" s="447">
        <f>SUM(E138:E144)</f>
        <v>0.99999999999999989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0.82709638595135582</v>
      </c>
      <c r="D149" s="454">
        <f>(VLOOKUP(D$38,'FS (2011)'!$A$13:$AH$244,'FS (2011)'!$M$245,FALSE)+VLOOKUP(D$38,'FS (2011)'!$A$13:$AH$244,'FS (2011)'!$N$245,FALSE)+VLOOKUP(D$38,'FS (2011)'!$A$13:$AH$244,'FS (2011)'!$O$245,FALSE))/1000</f>
        <v>1.1778460020070007</v>
      </c>
      <c r="E149" s="454">
        <f>(VLOOKUP(E$38,'FS (2011)'!$A$13:$AH$244,'FS (2011)'!$M$245,FALSE)+VLOOKUP(E$38,'FS (2011)'!$A$13:$AH$244,'FS (2011)'!$N$245,FALSE)+VLOOKUP(E$38,'FS (2011)'!$A$13:$AH$244,'FS (2011)'!$O$245,FALSE))/1000</f>
        <v>1.074320142006413</v>
      </c>
      <c r="F149" s="455">
        <f>(VLOOKUP(F$38,'FS (2011)'!$A$13:$AH$244,'FS (2011)'!$M$245,FALSE)+VLOOKUP(F$38,'FS (2011)'!$A$13:$AH$244,'FS (2011)'!$N$245,FALSE)+VLOOKUP(F$38,'FS (2011)'!$A$13:$AH$244,'FS (2011)'!$O$245,FALSE))/1000</f>
        <v>1.38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1.3324379193578739</v>
      </c>
      <c r="D150" s="456">
        <f>(VLOOKUP(D$38,'FS (2011)'!$A$13:$AH$244,'FS (2011)'!$L$245,FALSE)+VLOOKUP(D$38,'FS (2011)'!$A$13:$AH$244,'FS (2011)'!$K$245,FALSE))/1000</f>
        <v>1.5394859119912139</v>
      </c>
      <c r="E150" s="456">
        <f>(VLOOKUP(E$38,'FS (2011)'!$A$13:$AH$244,'FS (2011)'!$L$245,FALSE)+VLOOKUP(E$38,'FS (2011)'!$A$13:$AH$244,'FS (2011)'!$K$245,FALSE))/1000</f>
        <v>1.5293330441109105</v>
      </c>
      <c r="F150" s="457">
        <f>(VLOOKUP(F$38,'FS (2011)'!$A$13:$AH$244,'FS (2011)'!$L$245,FALSE)+VLOOKUP(F$38,'FS (2011)'!$A$13:$AH$244,'FS (2011)'!$K$245,FALSE))/1000</f>
        <v>1.8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5.3205545035499402E-2</v>
      </c>
      <c r="D151" s="456">
        <f>(VLOOKUP(D$38,'FS (2011)'!$A$13:$AH$244,'FS (2011)'!$R$245,FALSE)+VLOOKUP(D$38,'FS (2011)'!$A$13:$AH$244,'FS (2011)'!$P$245,FALSE)+VLOOKUP(D$38,'FS (2011)'!$A$13:$AH$244,'FS (2011)'!$Q$245,FALSE))/1000</f>
        <v>6.9943699020166089E-2</v>
      </c>
      <c r="E151" s="456">
        <f>(VLOOKUP(E$38,'FS (2011)'!$A$13:$AH$244,'FS (2011)'!$R$245,FALSE)+VLOOKUP(E$38,'FS (2011)'!$A$13:$AH$244,'FS (2011)'!$P$245,FALSE)+VLOOKUP(E$38,'FS (2011)'!$A$13:$AH$244,'FS (2011)'!$Q$245,FALSE))/1000</f>
        <v>6.69435978550834E-2</v>
      </c>
      <c r="F151" s="457">
        <f>(VLOOKUP(F$38,'FS (2011)'!$A$13:$AH$244,'FS (2011)'!$R$245,FALSE)+VLOOKUP(F$38,'FS (2011)'!$A$13:$AH$244,'FS (2011)'!$P$245,FALSE)+VLOOKUP(F$38,'FS (2011)'!$A$13:$AH$244,'FS (2011)'!$Q$245,FALSE))/1000</f>
        <v>7.0999999999999994E-2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2.21273982447036</v>
      </c>
      <c r="D152" s="458">
        <f>VLOOKUP($D$38,'FS (2011)'!$A$13:$AH$244,'FS (2011)'!$S$245,FALSE)/1000</f>
        <v>2.7872756543345454</v>
      </c>
      <c r="E152" s="459">
        <f>VLOOKUP($E$38,'FS (2011)'!$A$13:$AH$244,'FS (2011)'!$S$245,FALSE)/1000</f>
        <v>2.6705967839724067</v>
      </c>
      <c r="F152" s="460">
        <f>VLOOKUP($F$38,'FS (2011)'!$A$13:$AH$244,'FS (2011)'!$S$245,FALSE)/1000</f>
        <v>3.2509999999999999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0.15531765370634587</v>
      </c>
      <c r="D154" s="464">
        <f>IF(ISERROR(D149/C149 - 1),"",(D149/C149 - 1))</f>
        <v>0.42407344780282186</v>
      </c>
      <c r="E154" s="464">
        <f t="shared" ref="D154:E157" si="11">IF(ISERROR(E149/D149 - 1),"",(E149/D149 - 1))</f>
        <v>-8.7894223713612774E-2</v>
      </c>
      <c r="F154" s="465">
        <f>IF(ISERROR(F149/E149 - 1),"",(F149/E149 - 1))</f>
        <v>0.28453330254303477</v>
      </c>
      <c r="Q154" s="559"/>
      <c r="R154" s="559" t="s">
        <v>423</v>
      </c>
      <c r="S154" s="559">
        <f t="shared" ref="S154:V157" si="12">LN(C149)</f>
        <v>-0.18983404183637409</v>
      </c>
      <c r="T154" s="559">
        <f t="shared" si="12"/>
        <v>0.16368734833650178</v>
      </c>
      <c r="U154" s="559">
        <f t="shared" si="12"/>
        <v>7.1688035473376086E-2</v>
      </c>
      <c r="V154" s="559">
        <f t="shared" si="12"/>
        <v>0.32208349916911322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9.3705237322860624E-2</v>
      </c>
      <c r="D155" s="467">
        <f t="shared" si="11"/>
        <v>0.15539034849227362</v>
      </c>
      <c r="E155" s="467">
        <f t="shared" si="11"/>
        <v>-6.5949729070085006E-3</v>
      </c>
      <c r="F155" s="468">
        <f>IF(ISERROR(F150/E150 - 1),"",(F150/E150 - 1))</f>
        <v>0.17698365763517776</v>
      </c>
      <c r="Q155" s="559"/>
      <c r="R155" s="559" t="s">
        <v>423</v>
      </c>
      <c r="S155" s="559">
        <f t="shared" si="12"/>
        <v>0.28701028637243881</v>
      </c>
      <c r="T155" s="559">
        <f t="shared" si="12"/>
        <v>0.43144853731178051</v>
      </c>
      <c r="U155" s="559">
        <f t="shared" si="12"/>
        <v>0.42483172148232962</v>
      </c>
      <c r="V155" s="559">
        <f t="shared" si="12"/>
        <v>0.58778666490211906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8.5641611422569985E-2</v>
      </c>
      <c r="D156" s="467">
        <f t="shared" si="11"/>
        <v>0.31459416445219723</v>
      </c>
      <c r="E156" s="467">
        <f t="shared" si="11"/>
        <v>-4.2893086970102967E-2</v>
      </c>
      <c r="F156" s="468">
        <f>IF(ISERROR(F151/E151 - 1),"",(F151/E151 - 1))</f>
        <v>6.0594325296015938E-2</v>
      </c>
      <c r="Q156" s="559"/>
      <c r="R156" s="559" t="s">
        <v>423</v>
      </c>
      <c r="S156" s="559">
        <f t="shared" si="12"/>
        <v>-2.9335926580755163</v>
      </c>
      <c r="T156" s="559">
        <f t="shared" si="12"/>
        <v>-2.6600646602672424</v>
      </c>
      <c r="U156" s="559">
        <f t="shared" si="12"/>
        <v>-2.7039048371816414</v>
      </c>
      <c r="V156" s="559">
        <f t="shared" si="12"/>
        <v>-2.6450754019408218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0.11755479218333598</v>
      </c>
      <c r="D157" s="470">
        <f t="shared" si="11"/>
        <v>0.2596490665149509</v>
      </c>
      <c r="E157" s="470">
        <f>IF(ISERROR(E152/D152 - 1),"",(E152/D152 - 1))</f>
        <v>-4.1861259822181252E-2</v>
      </c>
      <c r="F157" s="471">
        <f>IF(ISERROR(F152/E152 - 1),"",(F152/E152 - 1))</f>
        <v>0.21733090502875041</v>
      </c>
      <c r="N157" s="136"/>
      <c r="O157" s="136"/>
      <c r="Q157" s="559"/>
      <c r="R157" s="559" t="s">
        <v>423</v>
      </c>
      <c r="S157" s="559">
        <f t="shared" si="12"/>
        <v>0.79423148726644854</v>
      </c>
      <c r="T157" s="559">
        <f t="shared" si="12"/>
        <v>1.025064650797388</v>
      </c>
      <c r="U157" s="559">
        <f t="shared" si="12"/>
        <v>0.98230196203289932</v>
      </c>
      <c r="V157" s="559">
        <f t="shared" si="12"/>
        <v>1.1789626413217682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Centralines</v>
      </c>
      <c r="C162" s="456">
        <f>(C152/C102)*1000000</f>
        <v>278.05225238381001</v>
      </c>
      <c r="D162" s="456">
        <f>(D152/D102)*1000000</f>
        <v>349.23889917736443</v>
      </c>
      <c r="E162" s="456">
        <f>(E152/E102)*1000000</f>
        <v>334.53548590409702</v>
      </c>
      <c r="F162" s="457">
        <f>(F152/F102)*1000000</f>
        <v>394.29957550030321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Centralines</v>
      </c>
      <c r="C165" s="456">
        <f>C152/VLOOKUP(C$38,'MP (2011)'!$A$14:$AR$245,'MP (2011)'!$H$246,FALSE)*1000000</f>
        <v>1292.3372412512322</v>
      </c>
      <c r="D165" s="456">
        <f>D152/VLOOKUP(D$38,'MP (2011)'!$A$14:$AR$245,'MP (2011)'!$H$246,FALSE)*1000000</f>
        <v>1575.6159553549223</v>
      </c>
      <c r="E165" s="456">
        <f>E152/VLOOKUP(E$38,'MP (2011)'!$A$14:$AR$245,'MP (2011)'!$H$246,FALSE)*1000000</f>
        <v>1453.6985006150476</v>
      </c>
      <c r="F165" s="457">
        <f>F152/VLOOKUP(F$38,'MP (2011)'!$A$14:$AR$245,'MP (2011)'!$H$246,FALSE)*1000000</f>
        <v>1881.9102749638205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Centralines</v>
      </c>
      <c r="C168" s="456">
        <f>(C152/C117)*1000000</f>
        <v>20.980459268090314</v>
      </c>
      <c r="D168" s="456">
        <f>(D152/D117)*1000000</f>
        <v>25.484488415017246</v>
      </c>
      <c r="E168" s="456">
        <f>(E152/E117)*1000000</f>
        <v>24.766962356809454</v>
      </c>
      <c r="F168" s="457">
        <f>(F152/F117)*1000000</f>
        <v>29.74845126872432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0.10571175276326361</v>
      </c>
      <c r="D171" s="464">
        <f>IF(ISERROR(D162/C162 - 1),"",(D162/C162 - 1))</f>
        <v>0.25601895393133445</v>
      </c>
      <c r="E171" s="464">
        <f>IF(ISERROR(E162/D162 - 1),"",(E162/D162 - 1))</f>
        <v>-4.2101304602383816E-2</v>
      </c>
      <c r="F171" s="465">
        <f>IF(ISERROR(F162/E162 - 1),"",(F162/E162 - 1))</f>
        <v>0.17864798239472579</v>
      </c>
      <c r="H171" s="139"/>
      <c r="Q171" s="559"/>
      <c r="R171" s="559" t="s">
        <v>423</v>
      </c>
      <c r="S171" s="559">
        <f>LN(C162)</f>
        <v>5.6278090542438486</v>
      </c>
      <c r="T171" s="559">
        <f>LN(D162)</f>
        <v>5.8557562128856535</v>
      </c>
      <c r="U171" s="559">
        <f>LN(E162)</f>
        <v>5.8127429603513745</v>
      </c>
      <c r="V171" s="559">
        <f>LN(F162)</f>
        <v>5.9771109642923435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0.1103740752269653</v>
      </c>
      <c r="D172" s="467">
        <f>IF(ISERROR(D165/C165 - 1),"",(D165/C165 - 1))</f>
        <v>0.21919875483076035</v>
      </c>
      <c r="E172" s="467">
        <f>IF(ISERROR(E165/D165 - 1),"",(E165/D165 - 1))</f>
        <v>-7.7377646707323278E-2</v>
      </c>
      <c r="F172" s="468">
        <f>IF(ISERROR(F165/E165 - 1),"",(F165/E165 - 1))</f>
        <v>0.29456711564853388</v>
      </c>
      <c r="Q172" s="559"/>
      <c r="R172" s="559" t="s">
        <v>423</v>
      </c>
      <c r="S172" s="559">
        <f>LN(C165)</f>
        <v>7.1642076729223376</v>
      </c>
      <c r="T172" s="559">
        <f>LN(D165)</f>
        <v>7.3624015575718316</v>
      </c>
      <c r="U172" s="559">
        <f>LN(E165)</f>
        <v>7.2818662780050758</v>
      </c>
      <c r="V172" s="559">
        <f>LN(F165)</f>
        <v>7.5400426436442176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0.10727244762334376</v>
      </c>
      <c r="D173" s="470">
        <f>IF(ISERROR(D168/C168 - 1),"",(D168/C168 - 1))</f>
        <v>0.21467733805890599</v>
      </c>
      <c r="E173" s="470">
        <f>IF(ISERROR(E168/D168 - 1),"",(E168/D168 - 1))</f>
        <v>-2.8155403652716626E-2</v>
      </c>
      <c r="F173" s="471">
        <f>IF(ISERROR(F168/E168 - 1),"",(F168/E168 - 1))</f>
        <v>0.20113443223872984</v>
      </c>
      <c r="Q173" s="559"/>
      <c r="R173" s="559" t="s">
        <v>423</v>
      </c>
      <c r="S173" s="559">
        <f>LN(C168)</f>
        <v>3.0435914934859549</v>
      </c>
      <c r="T173" s="559">
        <f>LN(D168)</f>
        <v>3.2380699696261197</v>
      </c>
      <c r="U173" s="559">
        <f>LN(E168)</f>
        <v>3.2095106020210551</v>
      </c>
      <c r="V173" s="559">
        <f>LN(F168)</f>
        <v>3.3927770724424233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Centralines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1074.3201420064131</v>
      </c>
      <c r="X176" s="563">
        <f>D178</f>
        <v>1380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Centralines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1077.618112150036</v>
      </c>
      <c r="X177" s="563">
        <f t="shared" si="14"/>
        <v>1233.3827600980842</v>
      </c>
      <c r="Y177" s="563">
        <f t="shared" si="14"/>
        <v>1188.0741316590768</v>
      </c>
      <c r="Z177" s="563">
        <f t="shared" si="14"/>
        <v>1247.4783476597233</v>
      </c>
      <c r="AA177" s="563">
        <f t="shared" si="14"/>
        <v>1309.8524688097866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1074.3201420064131</v>
      </c>
      <c r="D178" s="461">
        <f>VLOOKUP(F38,'FS (2011)'!$A$14:$T$246,'FS (2011)'!$M$245,FALSE)+VLOOKUP(F38,'FS (2011)'!$A$14:$AO$245,'FS (2011)'!$N$245,FALSE)+VLOOKUP(F38,'FS (2011)'!$A$14:$AO$245,'FS (2011)'!$O$245,FALSE)</f>
        <v>1380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1304.5060000000001</v>
      </c>
      <c r="Y178" s="563">
        <f t="shared" si="14"/>
        <v>1331.2460000000001</v>
      </c>
      <c r="Z178" s="563">
        <f t="shared" si="14"/>
        <v>1358.6640000000002</v>
      </c>
      <c r="AA178" s="563">
        <f t="shared" si="14"/>
        <v>1386.779</v>
      </c>
      <c r="AB178" s="563">
        <f>H180</f>
        <v>1415.6120000000001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1077.618112150036</v>
      </c>
      <c r="D179" s="461">
        <f>VLOOKUP(D182,'AM (2011)'!$A$10:$N$444,'AM (2011)'!$N$445,FALSE)</f>
        <v>1233.3827600980842</v>
      </c>
      <c r="E179" s="461">
        <f>VLOOKUP(E182,'AM (2011)'!$A$10:$N$444,'AM (2011)'!$N$445,FALSE)</f>
        <v>1188.0741316590768</v>
      </c>
      <c r="F179" s="461">
        <f>VLOOKUP(F182,'AM (2011)'!$A$10:$N$444,'AM (2011)'!$N$445,FALSE)</f>
        <v>1247.4783476597233</v>
      </c>
      <c r="G179" s="461">
        <f>VLOOKUP(G182,'AM (2011)'!$A$10:$N$444,'AM (2011)'!$N$445,FALSE)</f>
        <v>1309.8524688097866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1232.7966386554622</v>
      </c>
      <c r="Z179" s="563">
        <f>F181</f>
        <v>1367.7101486748545</v>
      </c>
      <c r="AA179" s="563">
        <f>G181</f>
        <v>1397.0391725921138</v>
      </c>
      <c r="AB179" s="563">
        <f>H181</f>
        <v>1425.3905623787975</v>
      </c>
      <c r="AC179" s="563">
        <f>I181</f>
        <v>1455.6972204266322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1304.5060000000001</v>
      </c>
      <c r="E180" s="461">
        <f>VLOOKUP(E183,'AM (2011)'!$A$10:$N$444,'AM (2011)'!$N$445,FALSE)</f>
        <v>1331.2460000000001</v>
      </c>
      <c r="F180" s="461">
        <f>VLOOKUP(F183,'AM (2011)'!$A$10:$N$444,'AM (2011)'!$N$445,FALSE)</f>
        <v>1358.6640000000002</v>
      </c>
      <c r="G180" s="461">
        <f>VLOOKUP(G183,'AM (2011)'!$A$10:$N$444,'AM (2011)'!$N$445,FALSE)</f>
        <v>1386.779</v>
      </c>
      <c r="H180" s="461">
        <f>VLOOKUP(H183,'AM (2011)'!$A$10:$N$444,'AM (2011)'!$N$445,FALSE)</f>
        <v>1415.6120000000001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1232.7966386554622</v>
      </c>
      <c r="F181" s="493">
        <f>VLOOKUP(F184,'AM (2011)'!$A$10:$N$444,'AM (2011)'!$N$445,FALSE)</f>
        <v>1367.7101486748545</v>
      </c>
      <c r="G181" s="493">
        <f>VLOOKUP(G184,'AM (2011)'!$A$10:$N$444,'AM (2011)'!$N$445,FALSE)</f>
        <v>1397.0391725921138</v>
      </c>
      <c r="H181" s="493">
        <f>VLOOKUP(H184,'AM (2011)'!$A$10:$N$444,'AM (2011)'!$N$445,FALSE)</f>
        <v>1425.3905623787975</v>
      </c>
      <c r="I181" s="494">
        <f>VLOOKUP(I184,'AM (2011)'!$A$10:$N$444,'AM (2011)'!$N$445,FALSE)</f>
        <v>1455.6972204266322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78</v>
      </c>
      <c r="D182" s="136">
        <f>VLOOKUP($B$2,$B$257:$Y$286,11,FALSE)</f>
        <v>79</v>
      </c>
      <c r="E182" s="136">
        <f>VLOOKUP($B$2,$B$257:$Y$286,12,FALSE)</f>
        <v>80</v>
      </c>
      <c r="F182" s="136">
        <f>VLOOKUP($B$2,$B$257:$Y$286,13,FALSE)</f>
        <v>81</v>
      </c>
      <c r="G182" s="136">
        <f>VLOOKUP($B$2,$B$257:$Y$286,14,FALSE)</f>
        <v>82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83</v>
      </c>
      <c r="E183" s="136">
        <f>VLOOKUP($B$2,$B$257:$Y$286,16,FALSE)</f>
        <v>84</v>
      </c>
      <c r="F183" s="136">
        <f>VLOOKUP($B$2,$B$257:$Y$286,17,FALSE)</f>
        <v>85</v>
      </c>
      <c r="G183" s="136">
        <f>VLOOKUP($B$2,$B$257:$Y$286,18,FALSE)</f>
        <v>86</v>
      </c>
      <c r="H183" s="136">
        <f>VLOOKUP($B$2,$B$257:$Y$286,19,FALSE)</f>
        <v>87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88</v>
      </c>
      <c r="F184" s="136">
        <f>VLOOKUP($B$2,$B$257:$Y$286,21,FALSE)</f>
        <v>89</v>
      </c>
      <c r="G184" s="136">
        <f>VLOOKUP($B$2,$B$257:$Y$286,22,FALSE)</f>
        <v>90</v>
      </c>
      <c r="H184" s="136">
        <f>VLOOKUP($B$2,$B$257:$Y$286,23,FALSE)</f>
        <v>91</v>
      </c>
      <c r="I184" s="136">
        <f>VLOOKUP($B$2,$B$257:$Y$286,24,FALSE)</f>
        <v>92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2</v>
      </c>
      <c r="B186" s="483" t="s">
        <v>205</v>
      </c>
      <c r="C186" s="490"/>
      <c r="D186" s="484">
        <f>VLOOKUP($D$6,'FS (2011)'!$A$13:$AH$244,'FS (2011)'!AC245,FALSE)/1000</f>
        <v>0.98399999999999999</v>
      </c>
      <c r="E186" s="495">
        <f t="shared" ref="E186:E191" si="16">D186/$D$192</f>
        <v>0.17688297681107318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Reliability, safety and environment</v>
      </c>
      <c r="V186" s="559">
        <f t="shared" ref="V186:V191" si="18">VLOOKUP(T186,$A$186:$D$191,4,FALSE)</f>
        <v>3.3220000000000001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1</v>
      </c>
      <c r="B187" s="162" t="s">
        <v>206</v>
      </c>
      <c r="C187" s="121"/>
      <c r="D187" s="456">
        <f>VLOOKUP($D$6,'FS (2011)'!$A$13:$AH$244,'FS (2011)'!AD245,FALSE)/1000</f>
        <v>3.3220000000000001</v>
      </c>
      <c r="E187" s="468">
        <f t="shared" si="16"/>
        <v>0.5971598058601475</v>
      </c>
      <c r="Q187" s="559"/>
      <c r="R187" s="559"/>
      <c r="S187" s="559"/>
      <c r="T187" s="559">
        <v>2</v>
      </c>
      <c r="U187" s="559" t="str">
        <f t="shared" si="17"/>
        <v>System growth</v>
      </c>
      <c r="V187" s="559">
        <f t="shared" si="18"/>
        <v>0.98399999999999999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5</v>
      </c>
      <c r="B188" s="162" t="s">
        <v>209</v>
      </c>
      <c r="C188" s="121"/>
      <c r="D188" s="456">
        <f>VLOOKUP($D$6,'FS (2011)'!$A$13:$AH$244,'FS (2011)'!AB245,FALSE)/1000</f>
        <v>0.22700000000000001</v>
      </c>
      <c r="E188" s="468">
        <f t="shared" si="16"/>
        <v>4.0805320870034155E-2</v>
      </c>
      <c r="Q188" s="559"/>
      <c r="R188" s="559"/>
      <c r="S188" s="559"/>
      <c r="T188" s="559">
        <v>3</v>
      </c>
      <c r="U188" s="559" t="str">
        <f t="shared" si="17"/>
        <v>Asset replacement and renewal</v>
      </c>
      <c r="V188" s="559">
        <f t="shared" si="18"/>
        <v>0.57299999999999995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3</v>
      </c>
      <c r="B189" s="162" t="s">
        <v>208</v>
      </c>
      <c r="C189" s="121"/>
      <c r="D189" s="456">
        <f>VLOOKUP($D$6,'FS (2011)'!$A$13:$AH$244,'FS (2011)'!AE245,FALSE)/1000</f>
        <v>0.57299999999999995</v>
      </c>
      <c r="E189" s="468">
        <f t="shared" si="16"/>
        <v>0.10300197735035052</v>
      </c>
      <c r="Q189" s="559"/>
      <c r="R189" s="559"/>
      <c r="S189" s="559"/>
      <c r="T189" s="559">
        <v>4</v>
      </c>
      <c r="U189" s="559" t="str">
        <f t="shared" si="17"/>
        <v>Non-network capex</v>
      </c>
      <c r="V189" s="559">
        <f t="shared" si="18"/>
        <v>0.438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4</v>
      </c>
      <c r="B190" s="162" t="s">
        <v>312</v>
      </c>
      <c r="C190" s="121"/>
      <c r="D190" s="456">
        <f>VLOOKUP($D$6,'FS (2011)'!$A$13:$AH$244,'FS (2011)'!AH245,FALSE)/1000</f>
        <v>0.438</v>
      </c>
      <c r="E190" s="468">
        <f t="shared" si="16"/>
        <v>7.8734495775660621E-2</v>
      </c>
      <c r="Q190" s="559"/>
      <c r="R190" s="559"/>
      <c r="S190" s="559"/>
      <c r="T190" s="559">
        <v>5</v>
      </c>
      <c r="U190" s="559" t="str">
        <f t="shared" si="17"/>
        <v>Customer connection</v>
      </c>
      <c r="V190" s="559">
        <f t="shared" si="18"/>
        <v>0.22700000000000001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6</v>
      </c>
      <c r="B191" s="162" t="s">
        <v>207</v>
      </c>
      <c r="C191" s="121"/>
      <c r="D191" s="456">
        <f>VLOOKUP($D$6,'FS (2011)'!$A$13:$AH$244,'FS (2011)'!AF245,FALSE)/1000</f>
        <v>1.9E-2</v>
      </c>
      <c r="E191" s="468">
        <f t="shared" si="16"/>
        <v>3.4154233327341361E-3</v>
      </c>
      <c r="Q191" s="559"/>
      <c r="R191" s="559"/>
      <c r="S191" s="559"/>
      <c r="T191" s="559">
        <v>6</v>
      </c>
      <c r="U191" s="559" t="str">
        <f t="shared" si="17"/>
        <v>Asset relocations</v>
      </c>
      <c r="V191" s="559">
        <f t="shared" si="18"/>
        <v>1.9E-2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5.5629999999999997</v>
      </c>
      <c r="E192" s="496">
        <f>SUM(E186:E191)</f>
        <v>1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3.2786323048672692</v>
      </c>
      <c r="D196" s="484">
        <f>VLOOKUP($D$38,'FS (2011)'!$A$13:$AH$244,'FS (2011)'!$AG$245,FALSE)/1000</f>
        <v>4.5474431906925643</v>
      </c>
      <c r="E196" s="484">
        <f>VLOOKUP($E$38,'FS (2011)'!$A$13:$AH$244,'FS (2011)'!$AG$245,FALSE)/1000</f>
        <v>5.218003940017784</v>
      </c>
      <c r="F196" s="486">
        <f>VLOOKUP($F$38,'FS (2011)'!$A$13:$AH$244,'FS (2011)'!$AG$245,FALSE)/1000</f>
        <v>5.125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6.0528774200906722E-2</v>
      </c>
      <c r="D197" s="456">
        <f>VLOOKUP($D$38,'FS (2011)'!$A$13:$AH$244,'FS (2011)'!$AH$245,FALSE)/1000</f>
        <v>5.739313528725374E-2</v>
      </c>
      <c r="E197" s="456">
        <f>VLOOKUP($E$38,'FS (2011)'!$A$13:$AH$244,'FS (2011)'!$AH$245,FALSE)/1000</f>
        <v>7.6320958745385456E-2</v>
      </c>
      <c r="F197" s="457">
        <f>VLOOKUP($F$38,'FS (2011)'!$A$13:$AH$244,'FS (2011)'!$AH$245,FALSE)/1000</f>
        <v>0.438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3.3391610790681758</v>
      </c>
      <c r="D198" s="488">
        <f>SUM(D196:D197)</f>
        <v>4.604836325979818</v>
      </c>
      <c r="E198" s="488">
        <f>SUM(E196:E197)</f>
        <v>5.2943248987631693</v>
      </c>
      <c r="F198" s="489">
        <f>SUM(F196:F197)</f>
        <v>5.5629999999999997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0.15924187014247715</v>
      </c>
      <c r="D200" s="498">
        <f t="shared" ref="D200:F202" si="20">D196/C196 - 1</f>
        <v>0.38699395596806974</v>
      </c>
      <c r="E200" s="498">
        <f t="shared" si="20"/>
        <v>0.14745885131620406</v>
      </c>
      <c r="F200" s="495">
        <f t="shared" si="20"/>
        <v>-1.7823662282912545E-2</v>
      </c>
      <c r="Q200" s="559"/>
      <c r="R200" s="559" t="s">
        <v>423</v>
      </c>
      <c r="S200" s="559">
        <f t="shared" ref="S200:V202" si="21">LN(C196)</f>
        <v>1.1874263552122308</v>
      </c>
      <c r="T200" s="559">
        <f t="shared" si="21"/>
        <v>1.514565138906065</v>
      </c>
      <c r="U200" s="559">
        <f t="shared" si="21"/>
        <v>1.652114941796234</v>
      </c>
      <c r="V200" s="559">
        <f t="shared" si="21"/>
        <v>1.634130525024472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0.86308236998848398</v>
      </c>
      <c r="D201" s="467">
        <f t="shared" si="20"/>
        <v>-5.180410399928459E-2</v>
      </c>
      <c r="E201" s="467">
        <f t="shared" si="20"/>
        <v>0.32979246321703104</v>
      </c>
      <c r="F201" s="468">
        <f t="shared" si="20"/>
        <v>4.7389216173399094</v>
      </c>
      <c r="Q201" s="559"/>
      <c r="R201" s="559" t="s">
        <v>423</v>
      </c>
      <c r="S201" s="559">
        <f t="shared" si="21"/>
        <v>-2.8046364203837673</v>
      </c>
      <c r="T201" s="559">
        <f t="shared" si="21"/>
        <v>-2.8578305771073</v>
      </c>
      <c r="U201" s="559">
        <f t="shared" si="21"/>
        <v>-2.5728076897435272</v>
      </c>
      <c r="V201" s="559">
        <f t="shared" si="21"/>
        <v>-0.82553636860569091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0.18184669810860199</v>
      </c>
      <c r="D202" s="500">
        <f t="shared" si="20"/>
        <v>0.37903988964343127</v>
      </c>
      <c r="E202" s="500">
        <f t="shared" si="20"/>
        <v>0.14973139629162424</v>
      </c>
      <c r="F202" s="501">
        <f t="shared" si="20"/>
        <v>5.0747754694767E-2</v>
      </c>
      <c r="Q202" s="559"/>
      <c r="R202" s="559" t="s">
        <v>423</v>
      </c>
      <c r="S202" s="559">
        <f t="shared" si="21"/>
        <v>1.20571960150747</v>
      </c>
      <c r="T202" s="559">
        <f t="shared" si="21"/>
        <v>1.5271071264002218</v>
      </c>
      <c r="U202" s="559">
        <f t="shared" si="21"/>
        <v>1.6666354730519581</v>
      </c>
      <c r="V202" s="559">
        <f t="shared" si="21"/>
        <v>1.7161375310931561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Centralines</v>
      </c>
      <c r="C206" s="456">
        <f>(C198/C102)*1000000</f>
        <v>419.59802451221111</v>
      </c>
      <c r="D206" s="456">
        <f>(D198/D102)*1000000</f>
        <v>576.97485603054974</v>
      </c>
      <c r="E206" s="456">
        <f>(E198/E102)*1000000</f>
        <v>663.19991215873347</v>
      </c>
      <c r="F206" s="457">
        <f>(F198/F102)*1000000</f>
        <v>674.71194663432379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Centralines</v>
      </c>
      <c r="C209" s="456">
        <f>(C198/C117)*1000000000</f>
        <v>31660.809026994939</v>
      </c>
      <c r="D209" s="456">
        <f>(D198/D117)*1000000000</f>
        <v>42102.724149291476</v>
      </c>
      <c r="E209" s="456">
        <f>(E198/E117)*1000000000</f>
        <v>49099.267347032517</v>
      </c>
      <c r="F209" s="457">
        <f>(F198/F117)*1000000000</f>
        <v>50904.532269428913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Centralines</v>
      </c>
      <c r="C212" s="456">
        <f>(C198/VLOOKUP(C$38,'AV (2011)'!$A$11:$F$213,'AV (2011)'!$F$214,FALSE)*1000)</f>
        <v>8.2633598305317635E-2</v>
      </c>
      <c r="D212" s="456">
        <f>(D198/VLOOKUP(D$38,'AV (2011)'!$A$11:$F$213,'AV (2011)'!$F$214,FALSE)*1000)</f>
        <v>0.10603717733913956</v>
      </c>
      <c r="E212" s="456">
        <f>(E198/VLOOKUP(E$38,'AV (2011)'!$A$11:$F$213,'AV (2011)'!$F$214,FALSE)*1000)</f>
        <v>0.11965526411427631</v>
      </c>
      <c r="F212" s="457">
        <f>(F198/VLOOKUP(F$38,'AV (2011)'!$A$11:$F$213,'AV (2011)'!$F$214,FALSE)*1000)</f>
        <v>0.10936334217833692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0.16932233945336539</v>
      </c>
      <c r="D215" s="464">
        <f>D206/C206 - 1</f>
        <v>0.37506571128710986</v>
      </c>
      <c r="E215" s="464">
        <f>E206/D206 - 1</f>
        <v>0.14944335134704434</v>
      </c>
      <c r="F215" s="465">
        <f>F206/E206 - 1</f>
        <v>1.7358317250251609E-2</v>
      </c>
      <c r="K215" s="139"/>
      <c r="P215" s="139"/>
      <c r="Q215" s="559"/>
      <c r="R215" s="559" t="s">
        <v>423</v>
      </c>
      <c r="S215" s="559">
        <f>LN(C206)</f>
        <v>6.03929716848487</v>
      </c>
      <c r="T215" s="559">
        <f>LN(D206)</f>
        <v>6.3577986884884874</v>
      </c>
      <c r="U215" s="559">
        <f>LN(E206)</f>
        <v>6.4970764713704332</v>
      </c>
      <c r="V215" s="559">
        <f>LN(F206)</f>
        <v>6.514285854063731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0.17097281966251643</v>
      </c>
      <c r="D216" s="467">
        <f>D209/C209 - 1</f>
        <v>0.32980569490165124</v>
      </c>
      <c r="E216" s="467">
        <f>E209/D209 - 1</f>
        <v>0.16617792171670631</v>
      </c>
      <c r="F216" s="468">
        <f>F209/E209 - 1</f>
        <v>3.6767654996495702E-2</v>
      </c>
      <c r="Q216" s="559"/>
      <c r="R216" s="559" t="s">
        <v>423</v>
      </c>
      <c r="S216" s="559">
        <f>LN(C209)</f>
        <v>10.362834886709114</v>
      </c>
      <c r="T216" s="559">
        <f>LN(D209)</f>
        <v>10.647867724211091</v>
      </c>
      <c r="U216" s="559">
        <f>LN(E209)</f>
        <v>10.801599392022251</v>
      </c>
      <c r="V216" s="559">
        <f>LN(F209)</f>
        <v>10.837707241195949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0.10093555577397173</v>
      </c>
      <c r="D217" s="470">
        <f>D212/C212 - 1</f>
        <v>0.28322110514114995</v>
      </c>
      <c r="E217" s="470">
        <f>E212/D212 - 1</f>
        <v>0.12842747342832328</v>
      </c>
      <c r="F217" s="471">
        <f>F212/E212 - 1</f>
        <v>-8.6013114526328982E-2</v>
      </c>
      <c r="Q217" s="559"/>
      <c r="R217" s="559" t="s">
        <v>423</v>
      </c>
      <c r="S217" s="559">
        <f>LN(C212)</f>
        <v>-2.4933389220149977</v>
      </c>
      <c r="T217" s="559">
        <f>LN(D212)</f>
        <v>-2.2439655167467998</v>
      </c>
      <c r="U217" s="559">
        <f>LN(E212)</f>
        <v>-2.1231404696550853</v>
      </c>
      <c r="V217" s="559">
        <f>LN(F212)</f>
        <v>-2.2130795257830909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Centralines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5218.0039400177839</v>
      </c>
      <c r="X220" s="563">
        <f>D222</f>
        <v>5125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Centralines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6375.5488731103987</v>
      </c>
      <c r="X221" s="563">
        <f t="shared" si="23"/>
        <v>5094.1769286734389</v>
      </c>
      <c r="Y221" s="563">
        <f t="shared" si="23"/>
        <v>4839.4680822397668</v>
      </c>
      <c r="Z221" s="563">
        <f t="shared" si="23"/>
        <v>3311.2150036377348</v>
      </c>
      <c r="AA221" s="563">
        <f t="shared" si="23"/>
        <v>3311.2150036377348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5218.0039400177839</v>
      </c>
      <c r="D222" s="461">
        <f>VLOOKUP(D226,'FS (2011)'!$A$14:$AJ$245,'FS (2011)'!$AG$245,FALSE)</f>
        <v>5125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6059</v>
      </c>
      <c r="Y222" s="563">
        <f t="shared" si="23"/>
        <v>3378</v>
      </c>
      <c r="Z222" s="563">
        <f t="shared" si="23"/>
        <v>4129</v>
      </c>
      <c r="AA222" s="563">
        <f t="shared" si="23"/>
        <v>3484</v>
      </c>
      <c r="AB222" s="563">
        <f>H224</f>
        <v>3653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6375.5488731103987</v>
      </c>
      <c r="D223" s="461">
        <f>VLOOKUP(D227,'AM (2011)'!$A$10:$N$444,'AM (2011)'!$J$445,FALSE)</f>
        <v>5094.1769286734389</v>
      </c>
      <c r="E223" s="461">
        <f>VLOOKUP(E226,'AM (2011)'!$A$10:$N$444,'AM (2011)'!$J$445,FALSE)</f>
        <v>4839.4680822397668</v>
      </c>
      <c r="F223" s="461">
        <f>VLOOKUP(F226,'AM (2011)'!$A$10:$N$444,'AM (2011)'!$J$445,FALSE)</f>
        <v>3311.2150036377348</v>
      </c>
      <c r="G223" s="461">
        <f>VLOOKUP(G226,'AM (2011)'!$A$10:$N$444,'AM (2011)'!$J$445,FALSE)</f>
        <v>3311.2150036377348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3270.186166774402</v>
      </c>
      <c r="Z223" s="563">
        <f>F225</f>
        <v>4157.877957336781</v>
      </c>
      <c r="AA223" s="563">
        <f>G225</f>
        <v>3399.2338720103426</v>
      </c>
      <c r="AB223" s="563">
        <f>H225</f>
        <v>3678.8372333548805</v>
      </c>
      <c r="AC223" s="563">
        <f>I225</f>
        <v>2967.1195862960567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6059</v>
      </c>
      <c r="E224" s="461">
        <f>VLOOKUP(E227,'AM (2011)'!$A$10:$N$444,'AM (2011)'!$J$445,FALSE)</f>
        <v>3378</v>
      </c>
      <c r="F224" s="461">
        <f>VLOOKUP(F227,'AM (2011)'!$A$10:$N$444,'AM (2011)'!$J$445,FALSE)</f>
        <v>4129</v>
      </c>
      <c r="G224" s="461">
        <f>VLOOKUP(G227,'AM (2011)'!$A$10:$N$444,'AM (2011)'!$J$445,FALSE)</f>
        <v>3484</v>
      </c>
      <c r="H224" s="461">
        <f>VLOOKUP(H227,'AM (2011)'!$A$10:$N$444,'AM (2011)'!$J$445,FALSE)</f>
        <v>3653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3270.186166774402</v>
      </c>
      <c r="F225" s="493">
        <f>VLOOKUP(F228,'AM (2011)'!$A$10:$N$444,'AM (2011)'!$J$445,FALSE)</f>
        <v>4157.877957336781</v>
      </c>
      <c r="G225" s="493">
        <f>VLOOKUP(G228,'AM (2011)'!$A$10:$N$444,'AM (2011)'!$J$445,FALSE)</f>
        <v>3399.2338720103426</v>
      </c>
      <c r="H225" s="493">
        <f>VLOOKUP(H228,'AM (2011)'!$A$10:$N$444,'AM (2011)'!$J$445,FALSE)</f>
        <v>3678.8372333548805</v>
      </c>
      <c r="I225" s="494">
        <f>VLOOKUP(I228,'AM (2011)'!$A$10:$N$444,'AM (2011)'!$J$445,FALSE)</f>
        <v>2967.1195862960567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76</v>
      </c>
      <c r="D226" s="136">
        <f>VLOOKUP($B$2,$B$257:$Y$286,9,FALSE)</f>
        <v>77</v>
      </c>
      <c r="E226" s="136">
        <f>VLOOKUP($B$2,$B$257:$Y$286,12,FALSE)</f>
        <v>80</v>
      </c>
      <c r="F226" s="136">
        <f>VLOOKUP($B$2,$B$257:$Y$286,13,FALSE)</f>
        <v>81</v>
      </c>
      <c r="G226" s="136">
        <f>VLOOKUP($B$2,$B$257:$Y$286,14,FALSE)</f>
        <v>82</v>
      </c>
      <c r="H226" s="136"/>
      <c r="I226" s="136"/>
      <c r="Q226" s="559"/>
      <c r="R226" s="559"/>
      <c r="S226" s="559"/>
      <c r="T226" s="559"/>
      <c r="U226" s="559"/>
      <c r="V226" s="559"/>
      <c r="W226" s="559"/>
      <c r="X226" s="559"/>
      <c r="Y226" s="559"/>
      <c r="Z226" s="559"/>
      <c r="AA226" s="559"/>
      <c r="AB226" s="559"/>
      <c r="AC226" s="559"/>
      <c r="AD226" s="559"/>
    </row>
    <row r="227" spans="2:30">
      <c r="C227" s="136">
        <f>VLOOKUP($B$2,$B$257:$Y$286,10,FALSE)</f>
        <v>78</v>
      </c>
      <c r="D227" s="136">
        <f>VLOOKUP($B$2,$B$257:$Y$286,11,FALSE)</f>
        <v>79</v>
      </c>
      <c r="E227" s="136">
        <f>VLOOKUP($B$2,$B$257:$Y$286,16,FALSE)</f>
        <v>84</v>
      </c>
      <c r="F227" s="136">
        <f>VLOOKUP($B$2,$B$257:$Y$286,17,FALSE)</f>
        <v>85</v>
      </c>
      <c r="G227" s="136">
        <f>VLOOKUP($B$2,$B$257:$Y$286,18,FALSE)</f>
        <v>86</v>
      </c>
      <c r="H227" s="136">
        <f>VLOOKUP($B$2,$B$257:$Y$286,19,FALSE)</f>
        <v>87</v>
      </c>
      <c r="I227" s="136"/>
      <c r="Q227" s="559"/>
      <c r="R227" s="559"/>
      <c r="S227" s="559"/>
      <c r="T227" s="559"/>
      <c r="U227" s="559"/>
      <c r="V227" s="559"/>
      <c r="W227" s="559"/>
      <c r="X227" s="559"/>
      <c r="Y227" s="559"/>
      <c r="Z227" s="559"/>
      <c r="AA227" s="559"/>
      <c r="AB227" s="559"/>
      <c r="AC227" s="559"/>
      <c r="AD227" s="559"/>
    </row>
    <row r="228" spans="2:30">
      <c r="B228" s="517" t="s">
        <v>291</v>
      </c>
      <c r="C228" s="518"/>
      <c r="D228" s="518">
        <f>VLOOKUP($B$2,$B$257:$Y$286,15,FALSE)</f>
        <v>83</v>
      </c>
      <c r="E228" s="518">
        <f>VLOOKUP($B$2,$B$257:$Y$286,20,FALSE)</f>
        <v>88</v>
      </c>
      <c r="F228" s="519">
        <f>VLOOKUP($B$2,$B$257:$Y$286,21,FALSE)</f>
        <v>89</v>
      </c>
      <c r="G228" s="136">
        <f>VLOOKUP($B$2,$B$257:$Y$286,22,FALSE)</f>
        <v>90</v>
      </c>
      <c r="H228" s="136">
        <f>VLOOKUP($B$2,$B$257:$Y$286,23,FALSE)</f>
        <v>91</v>
      </c>
      <c r="I228" s="136">
        <f>VLOOKUP($B$2,$B$257:$Y$286,24,FALSE)</f>
        <v>92</v>
      </c>
    </row>
    <row r="229" spans="2:30">
      <c r="B229" s="474" t="str">
        <f>$B$2</f>
        <v>Centralines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157.09</v>
      </c>
      <c r="D230" s="456">
        <f>VLOOKUP(D$38,'MP (2011)'!$A$11:$AR$245,'MP (2011)'!$S$246,FALSE)+VLOOKUP(D$38,'MP (2011)'!$A$11:$AR$245,'MP (2011)'!$T$246,FALSE)</f>
        <v>198.76</v>
      </c>
      <c r="E230" s="456">
        <f>VLOOKUP(E$38,'MP (2011)'!$A$11:$AR$245,'MP (2011)'!$S$246,FALSE)+VLOOKUP(E$38,'MP (2011)'!$A$11:$AR$245,'MP (2011)'!$T$246,FALSE)</f>
        <v>133</v>
      </c>
      <c r="F230" s="457">
        <f>VLOOKUP(F$38,'MP (2011)'!$A$11:$AR$245,'MP (2011)'!$S$246,FALSE)+VLOOKUP(F$38,'MP (2011)'!$A$11:$AR$245,'MP (2011)'!$T$246,FALSE)</f>
        <v>191.45</v>
      </c>
    </row>
    <row r="231" spans="2:30">
      <c r="B231" s="199" t="s">
        <v>292</v>
      </c>
      <c r="C231" s="456">
        <f>IF(ISERROR(VLOOKUP(C$38,'Compliance data'!$A$7:$E$74,'Compliance data'!$D$75,FALSE)),"",(VLOOKUP(C$38,'Compliance data'!$A$7:$E$74,'Compliance data'!$D$75,FALSE)))</f>
        <v>313</v>
      </c>
      <c r="D231" s="456">
        <f>IF(ISERROR(VLOOKUP(D$38,'Compliance data'!$A$7:$E$74,'Compliance data'!$D$75,FALSE)),"",(VLOOKUP(D$38,'Compliance data'!$A$7:$E$74,'Compliance data'!$D$75,FALSE)))</f>
        <v>313</v>
      </c>
      <c r="E231" s="456">
        <f>IF(ISERROR(VLOOKUP(E$38,'Compliance data'!$A$7:$E$74,'Compliance data'!$D$75,FALSE)),"",(VLOOKUP(E$38,'Compliance data'!$A$7:$E$74,'Compliance data'!$D$75,FALSE)))</f>
        <v>313</v>
      </c>
      <c r="F231" s="457">
        <f>IF(ISERROR(VLOOKUP(F$38,'Compliance data'!$A$7:$E$74,'Compliance data'!$D$75,FALSE)),"",(VLOOKUP(F$38,'Compliance data'!$A$7:$E$74,'Compliance data'!$D$75,FALSE)))</f>
        <v>197.54900000000001</v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2.6799999999999997</v>
      </c>
      <c r="D237" s="456">
        <f>VLOOKUP(D$38,'MP (2011)'!$A$11:$AR$245,'MP (2011)'!$W$246,FALSE)+VLOOKUP(D$38,'MP (2011)'!$A$11:$AR$245,'MP (2011)'!$X$246,FALSE)</f>
        <v>4.93</v>
      </c>
      <c r="E237" s="456">
        <f>VLOOKUP(E$38,'MP (2011)'!$A$11:$AR$245,'MP (2011)'!$W$246,FALSE)+VLOOKUP(E$38,'MP (2011)'!$A$11:$AR$245,'MP (2011)'!$X$246,FALSE)</f>
        <v>2.34</v>
      </c>
      <c r="F237" s="457">
        <f>VLOOKUP(F$38,'MP (2011)'!$A$11:$AR$245,'MP (2011)'!$W$246,FALSE)+VLOOKUP(F$38,'MP (2011)'!$A$11:$AR$245,'MP (2011)'!$X$246,FALSE)</f>
        <v>4.72</v>
      </c>
    </row>
    <row r="238" spans="2:30">
      <c r="B238" s="199" t="s">
        <v>292</v>
      </c>
      <c r="C238" s="456">
        <f>IF(ISERROR(VLOOKUP(C$38,'Compliance data'!$A$7:$E$74,'Compliance data'!$E$75,FALSE)),"",(VLOOKUP(C$38,'Compliance data'!$A$7:$E$74,'Compliance data'!$E$75,FALSE)))</f>
        <v>5</v>
      </c>
      <c r="D238" s="456">
        <f>IF(ISERROR(VLOOKUP(D$38,'Compliance data'!$A$7:$E$74,'Compliance data'!$E$75,FALSE)),"",(VLOOKUP(D$38,'Compliance data'!$A$7:$E$74,'Compliance data'!$E$75,FALSE)))</f>
        <v>5</v>
      </c>
      <c r="E238" s="456">
        <f>IF(ISERROR(VLOOKUP(E$38,'Compliance data'!$A$7:$E$74,'Compliance data'!$E$75,FALSE)),"",(VLOOKUP(E$38,'Compliance data'!$A$7:$E$74,'Compliance data'!$E$75,FALSE)))</f>
        <v>5</v>
      </c>
      <c r="F238" s="457">
        <f>IF(ISERROR(VLOOKUP(F$38,'Compliance data'!$A$7:$E$74,'Compliance data'!$E$75,FALSE)),"",(VLOOKUP(F$38,'Compliance data'!$A$7:$E$74,'Compliance data'!$E$75,FALSE)))</f>
        <v>4.5259999999999998</v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S273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ref="T258:Y273" si="25">S258+1</f>
        <v>18</v>
      </c>
      <c r="U258" s="526">
        <f t="shared" si="25"/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si="24"/>
        <v>25</v>
      </c>
      <c r="E259" s="526">
        <f t="shared" si="24"/>
        <v>26</v>
      </c>
      <c r="F259" s="526">
        <f t="shared" si="24"/>
        <v>27</v>
      </c>
      <c r="G259" s="526">
        <f t="shared" si="24"/>
        <v>28</v>
      </c>
      <c r="H259" s="526">
        <f t="shared" si="24"/>
        <v>29</v>
      </c>
      <c r="I259" s="526">
        <f t="shared" si="24"/>
        <v>30</v>
      </c>
      <c r="J259" s="526">
        <f t="shared" si="24"/>
        <v>31</v>
      </c>
      <c r="K259" s="526">
        <f t="shared" si="24"/>
        <v>32</v>
      </c>
      <c r="L259" s="526">
        <f t="shared" si="24"/>
        <v>33</v>
      </c>
      <c r="M259" s="526">
        <f t="shared" si="24"/>
        <v>34</v>
      </c>
      <c r="N259" s="526">
        <f t="shared" si="24"/>
        <v>35</v>
      </c>
      <c r="O259" s="526">
        <f t="shared" si="24"/>
        <v>36</v>
      </c>
      <c r="P259" s="526">
        <f t="shared" si="24"/>
        <v>37</v>
      </c>
      <c r="Q259" s="526">
        <f t="shared" si="24"/>
        <v>38</v>
      </c>
      <c r="R259" s="526">
        <f t="shared" si="24"/>
        <v>39</v>
      </c>
      <c r="S259" s="526">
        <f t="shared" si="24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6">Y259+1</f>
        <v>47</v>
      </c>
      <c r="D260" s="526">
        <f t="shared" si="24"/>
        <v>48</v>
      </c>
      <c r="E260" s="526">
        <f t="shared" si="24"/>
        <v>49</v>
      </c>
      <c r="F260" s="526">
        <f t="shared" si="24"/>
        <v>50</v>
      </c>
      <c r="G260" s="526">
        <f t="shared" si="24"/>
        <v>51</v>
      </c>
      <c r="H260" s="526">
        <f t="shared" si="24"/>
        <v>52</v>
      </c>
      <c r="I260" s="526">
        <f t="shared" si="24"/>
        <v>53</v>
      </c>
      <c r="J260" s="526">
        <f t="shared" si="24"/>
        <v>54</v>
      </c>
      <c r="K260" s="526">
        <f t="shared" si="24"/>
        <v>55</v>
      </c>
      <c r="L260" s="526">
        <f t="shared" si="24"/>
        <v>56</v>
      </c>
      <c r="M260" s="526">
        <f t="shared" si="24"/>
        <v>57</v>
      </c>
      <c r="N260" s="526">
        <f t="shared" si="24"/>
        <v>58</v>
      </c>
      <c r="O260" s="526">
        <f t="shared" si="24"/>
        <v>59</v>
      </c>
      <c r="P260" s="526">
        <f t="shared" si="24"/>
        <v>60</v>
      </c>
      <c r="Q260" s="526">
        <f t="shared" si="24"/>
        <v>61</v>
      </c>
      <c r="R260" s="526">
        <f t="shared" si="24"/>
        <v>62</v>
      </c>
      <c r="S260" s="526">
        <f t="shared" si="24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6"/>
        <v>70</v>
      </c>
      <c r="D261" s="526">
        <f t="shared" si="24"/>
        <v>71</v>
      </c>
      <c r="E261" s="526">
        <f t="shared" si="24"/>
        <v>72</v>
      </c>
      <c r="F261" s="526">
        <f t="shared" si="24"/>
        <v>73</v>
      </c>
      <c r="G261" s="526">
        <f t="shared" si="24"/>
        <v>74</v>
      </c>
      <c r="H261" s="526">
        <f t="shared" si="24"/>
        <v>75</v>
      </c>
      <c r="I261" s="526">
        <f t="shared" si="24"/>
        <v>76</v>
      </c>
      <c r="J261" s="526">
        <f t="shared" si="24"/>
        <v>77</v>
      </c>
      <c r="K261" s="526">
        <f t="shared" si="24"/>
        <v>78</v>
      </c>
      <c r="L261" s="526">
        <f t="shared" si="24"/>
        <v>79</v>
      </c>
      <c r="M261" s="526">
        <f t="shared" si="24"/>
        <v>80</v>
      </c>
      <c r="N261" s="526">
        <f t="shared" si="24"/>
        <v>81</v>
      </c>
      <c r="O261" s="526">
        <f t="shared" si="24"/>
        <v>82</v>
      </c>
      <c r="P261" s="526">
        <f t="shared" si="24"/>
        <v>83</v>
      </c>
      <c r="Q261" s="526">
        <f t="shared" si="24"/>
        <v>84</v>
      </c>
      <c r="R261" s="526">
        <f t="shared" si="24"/>
        <v>85</v>
      </c>
      <c r="S261" s="526">
        <f t="shared" si="24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6"/>
        <v>93</v>
      </c>
      <c r="D262" s="526">
        <f t="shared" si="24"/>
        <v>94</v>
      </c>
      <c r="E262" s="526">
        <f t="shared" si="24"/>
        <v>95</v>
      </c>
      <c r="F262" s="526">
        <f t="shared" si="24"/>
        <v>96</v>
      </c>
      <c r="G262" s="526">
        <f t="shared" si="24"/>
        <v>97</v>
      </c>
      <c r="H262" s="526">
        <f t="shared" si="24"/>
        <v>98</v>
      </c>
      <c r="I262" s="526">
        <f t="shared" si="24"/>
        <v>99</v>
      </c>
      <c r="J262" s="526">
        <f t="shared" si="24"/>
        <v>100</v>
      </c>
      <c r="K262" s="526">
        <f t="shared" si="24"/>
        <v>101</v>
      </c>
      <c r="L262" s="526">
        <f t="shared" si="24"/>
        <v>102</v>
      </c>
      <c r="M262" s="526">
        <f t="shared" si="24"/>
        <v>103</v>
      </c>
      <c r="N262" s="526">
        <f t="shared" si="24"/>
        <v>104</v>
      </c>
      <c r="O262" s="526">
        <f t="shared" si="24"/>
        <v>105</v>
      </c>
      <c r="P262" s="526">
        <f t="shared" si="24"/>
        <v>106</v>
      </c>
      <c r="Q262" s="526">
        <f t="shared" si="24"/>
        <v>107</v>
      </c>
      <c r="R262" s="526">
        <f t="shared" si="24"/>
        <v>108</v>
      </c>
      <c r="S262" s="526">
        <f t="shared" si="24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6"/>
        <v>116</v>
      </c>
      <c r="D263" s="526">
        <f t="shared" si="24"/>
        <v>117</v>
      </c>
      <c r="E263" s="526">
        <f t="shared" si="24"/>
        <v>118</v>
      </c>
      <c r="F263" s="526">
        <f t="shared" si="24"/>
        <v>119</v>
      </c>
      <c r="G263" s="526">
        <f t="shared" si="24"/>
        <v>120</v>
      </c>
      <c r="H263" s="526">
        <f t="shared" si="24"/>
        <v>121</v>
      </c>
      <c r="I263" s="526">
        <f t="shared" si="24"/>
        <v>122</v>
      </c>
      <c r="J263" s="526">
        <f t="shared" si="24"/>
        <v>123</v>
      </c>
      <c r="K263" s="526">
        <f t="shared" si="24"/>
        <v>124</v>
      </c>
      <c r="L263" s="526">
        <f t="shared" si="24"/>
        <v>125</v>
      </c>
      <c r="M263" s="526">
        <f t="shared" si="24"/>
        <v>126</v>
      </c>
      <c r="N263" s="526">
        <f t="shared" si="24"/>
        <v>127</v>
      </c>
      <c r="O263" s="526">
        <f t="shared" si="24"/>
        <v>128</v>
      </c>
      <c r="P263" s="526">
        <f t="shared" si="24"/>
        <v>129</v>
      </c>
      <c r="Q263" s="526">
        <f t="shared" si="24"/>
        <v>130</v>
      </c>
      <c r="R263" s="526">
        <f t="shared" si="24"/>
        <v>131</v>
      </c>
      <c r="S263" s="526">
        <f t="shared" si="24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6"/>
        <v>139</v>
      </c>
      <c r="D264" s="526">
        <f t="shared" si="24"/>
        <v>140</v>
      </c>
      <c r="E264" s="526">
        <f t="shared" si="24"/>
        <v>141</v>
      </c>
      <c r="F264" s="526">
        <f t="shared" si="24"/>
        <v>142</v>
      </c>
      <c r="G264" s="526">
        <f t="shared" si="24"/>
        <v>143</v>
      </c>
      <c r="H264" s="526">
        <f t="shared" si="24"/>
        <v>144</v>
      </c>
      <c r="I264" s="526">
        <f t="shared" si="24"/>
        <v>145</v>
      </c>
      <c r="J264" s="526">
        <f t="shared" si="24"/>
        <v>146</v>
      </c>
      <c r="K264" s="526">
        <f t="shared" si="24"/>
        <v>147</v>
      </c>
      <c r="L264" s="526">
        <f t="shared" si="24"/>
        <v>148</v>
      </c>
      <c r="M264" s="526">
        <f t="shared" si="24"/>
        <v>149</v>
      </c>
      <c r="N264" s="526">
        <f t="shared" si="24"/>
        <v>150</v>
      </c>
      <c r="O264" s="526">
        <f t="shared" si="24"/>
        <v>151</v>
      </c>
      <c r="P264" s="526">
        <f t="shared" si="24"/>
        <v>152</v>
      </c>
      <c r="Q264" s="526">
        <f t="shared" si="24"/>
        <v>153</v>
      </c>
      <c r="R264" s="526">
        <f t="shared" si="24"/>
        <v>154</v>
      </c>
      <c r="S264" s="526">
        <f t="shared" si="24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6"/>
        <v>162</v>
      </c>
      <c r="D265" s="526">
        <f t="shared" si="24"/>
        <v>163</v>
      </c>
      <c r="E265" s="526">
        <f t="shared" si="24"/>
        <v>164</v>
      </c>
      <c r="F265" s="526">
        <f t="shared" si="24"/>
        <v>165</v>
      </c>
      <c r="G265" s="526">
        <f t="shared" si="24"/>
        <v>166</v>
      </c>
      <c r="H265" s="526">
        <f t="shared" si="24"/>
        <v>167</v>
      </c>
      <c r="I265" s="526">
        <f t="shared" si="24"/>
        <v>168</v>
      </c>
      <c r="J265" s="526">
        <f t="shared" si="24"/>
        <v>169</v>
      </c>
      <c r="K265" s="526">
        <f t="shared" si="24"/>
        <v>170</v>
      </c>
      <c r="L265" s="526">
        <f t="shared" si="24"/>
        <v>171</v>
      </c>
      <c r="M265" s="526">
        <f t="shared" si="24"/>
        <v>172</v>
      </c>
      <c r="N265" s="526">
        <f t="shared" si="24"/>
        <v>173</v>
      </c>
      <c r="O265" s="526">
        <f t="shared" si="24"/>
        <v>174</v>
      </c>
      <c r="P265" s="526">
        <f t="shared" si="24"/>
        <v>175</v>
      </c>
      <c r="Q265" s="526">
        <f t="shared" si="24"/>
        <v>176</v>
      </c>
      <c r="R265" s="526">
        <f t="shared" si="24"/>
        <v>177</v>
      </c>
      <c r="S265" s="526">
        <f t="shared" si="24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6"/>
        <v>185</v>
      </c>
      <c r="D266" s="526">
        <f t="shared" si="24"/>
        <v>186</v>
      </c>
      <c r="E266" s="526">
        <f t="shared" si="24"/>
        <v>187</v>
      </c>
      <c r="F266" s="526">
        <f t="shared" si="24"/>
        <v>188</v>
      </c>
      <c r="G266" s="526">
        <f t="shared" si="24"/>
        <v>189</v>
      </c>
      <c r="H266" s="526">
        <f t="shared" si="24"/>
        <v>190</v>
      </c>
      <c r="I266" s="526">
        <f t="shared" si="24"/>
        <v>191</v>
      </c>
      <c r="J266" s="526">
        <f t="shared" si="24"/>
        <v>192</v>
      </c>
      <c r="K266" s="526">
        <f t="shared" si="24"/>
        <v>193</v>
      </c>
      <c r="L266" s="526">
        <f t="shared" si="24"/>
        <v>194</v>
      </c>
      <c r="M266" s="526">
        <f t="shared" si="24"/>
        <v>195</v>
      </c>
      <c r="N266" s="526">
        <f t="shared" si="24"/>
        <v>196</v>
      </c>
      <c r="O266" s="526">
        <f t="shared" si="24"/>
        <v>197</v>
      </c>
      <c r="P266" s="526">
        <f t="shared" si="24"/>
        <v>198</v>
      </c>
      <c r="Q266" s="526">
        <f t="shared" si="24"/>
        <v>199</v>
      </c>
      <c r="R266" s="526">
        <f t="shared" si="24"/>
        <v>200</v>
      </c>
      <c r="S266" s="526">
        <f t="shared" si="24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6"/>
        <v>208</v>
      </c>
      <c r="D267" s="526">
        <f t="shared" si="24"/>
        <v>209</v>
      </c>
      <c r="E267" s="526">
        <f t="shared" si="24"/>
        <v>210</v>
      </c>
      <c r="F267" s="526">
        <f t="shared" si="24"/>
        <v>211</v>
      </c>
      <c r="G267" s="526">
        <f t="shared" si="24"/>
        <v>212</v>
      </c>
      <c r="H267" s="526">
        <f t="shared" si="24"/>
        <v>213</v>
      </c>
      <c r="I267" s="526">
        <f t="shared" si="24"/>
        <v>214</v>
      </c>
      <c r="J267" s="526">
        <f t="shared" si="24"/>
        <v>215</v>
      </c>
      <c r="K267" s="526">
        <f t="shared" si="24"/>
        <v>216</v>
      </c>
      <c r="L267" s="526">
        <f t="shared" si="24"/>
        <v>217</v>
      </c>
      <c r="M267" s="526">
        <f t="shared" si="24"/>
        <v>218</v>
      </c>
      <c r="N267" s="526">
        <f t="shared" si="24"/>
        <v>219</v>
      </c>
      <c r="O267" s="526">
        <f t="shared" si="24"/>
        <v>220</v>
      </c>
      <c r="P267" s="526">
        <f t="shared" si="24"/>
        <v>221</v>
      </c>
      <c r="Q267" s="526">
        <f t="shared" si="24"/>
        <v>222</v>
      </c>
      <c r="R267" s="526">
        <f t="shared" si="24"/>
        <v>223</v>
      </c>
      <c r="S267" s="526">
        <f t="shared" si="24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6"/>
        <v>231</v>
      </c>
      <c r="D268" s="526">
        <f t="shared" si="24"/>
        <v>232</v>
      </c>
      <c r="E268" s="526">
        <f t="shared" si="24"/>
        <v>233</v>
      </c>
      <c r="F268" s="526">
        <f t="shared" si="24"/>
        <v>234</v>
      </c>
      <c r="G268" s="526">
        <f t="shared" si="24"/>
        <v>235</v>
      </c>
      <c r="H268" s="526">
        <f t="shared" si="24"/>
        <v>236</v>
      </c>
      <c r="I268" s="526">
        <f t="shared" si="24"/>
        <v>237</v>
      </c>
      <c r="J268" s="526">
        <f t="shared" si="24"/>
        <v>238</v>
      </c>
      <c r="K268" s="526">
        <f t="shared" si="24"/>
        <v>239</v>
      </c>
      <c r="L268" s="526">
        <f t="shared" si="24"/>
        <v>240</v>
      </c>
      <c r="M268" s="526">
        <f t="shared" si="24"/>
        <v>241</v>
      </c>
      <c r="N268" s="526">
        <f t="shared" si="24"/>
        <v>242</v>
      </c>
      <c r="O268" s="526">
        <f t="shared" si="24"/>
        <v>243</v>
      </c>
      <c r="P268" s="526">
        <f t="shared" si="24"/>
        <v>244</v>
      </c>
      <c r="Q268" s="526">
        <f t="shared" si="24"/>
        <v>245</v>
      </c>
      <c r="R268" s="526">
        <f t="shared" si="24"/>
        <v>246</v>
      </c>
      <c r="S268" s="526">
        <f t="shared" si="24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6"/>
        <v>254</v>
      </c>
      <c r="D269" s="526">
        <f t="shared" si="24"/>
        <v>255</v>
      </c>
      <c r="E269" s="526">
        <f t="shared" si="24"/>
        <v>256</v>
      </c>
      <c r="F269" s="526">
        <f t="shared" si="24"/>
        <v>257</v>
      </c>
      <c r="G269" s="526">
        <f t="shared" si="24"/>
        <v>258</v>
      </c>
      <c r="H269" s="526">
        <f t="shared" si="24"/>
        <v>259</v>
      </c>
      <c r="I269" s="526">
        <f t="shared" si="24"/>
        <v>260</v>
      </c>
      <c r="J269" s="526">
        <f t="shared" si="24"/>
        <v>261</v>
      </c>
      <c r="K269" s="526">
        <f t="shared" si="24"/>
        <v>262</v>
      </c>
      <c r="L269" s="526">
        <f t="shared" si="24"/>
        <v>263</v>
      </c>
      <c r="M269" s="526">
        <f t="shared" si="24"/>
        <v>264</v>
      </c>
      <c r="N269" s="526">
        <f t="shared" si="24"/>
        <v>265</v>
      </c>
      <c r="O269" s="526">
        <f t="shared" si="24"/>
        <v>266</v>
      </c>
      <c r="P269" s="526">
        <f t="shared" si="24"/>
        <v>267</v>
      </c>
      <c r="Q269" s="526">
        <f t="shared" si="24"/>
        <v>268</v>
      </c>
      <c r="R269" s="526">
        <f t="shared" si="24"/>
        <v>269</v>
      </c>
      <c r="S269" s="526">
        <f t="shared" si="24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6"/>
        <v>277</v>
      </c>
      <c r="D270" s="526">
        <f t="shared" si="24"/>
        <v>278</v>
      </c>
      <c r="E270" s="526">
        <f t="shared" si="24"/>
        <v>279</v>
      </c>
      <c r="F270" s="526">
        <f t="shared" si="24"/>
        <v>280</v>
      </c>
      <c r="G270" s="526">
        <f t="shared" si="24"/>
        <v>281</v>
      </c>
      <c r="H270" s="526">
        <f t="shared" si="24"/>
        <v>282</v>
      </c>
      <c r="I270" s="526">
        <f t="shared" si="24"/>
        <v>283</v>
      </c>
      <c r="J270" s="526">
        <f t="shared" si="24"/>
        <v>284</v>
      </c>
      <c r="K270" s="526">
        <f t="shared" si="24"/>
        <v>285</v>
      </c>
      <c r="L270" s="526">
        <f t="shared" si="24"/>
        <v>286</v>
      </c>
      <c r="M270" s="526">
        <f t="shared" si="24"/>
        <v>287</v>
      </c>
      <c r="N270" s="526">
        <f t="shared" si="24"/>
        <v>288</v>
      </c>
      <c r="O270" s="526">
        <f t="shared" si="24"/>
        <v>289</v>
      </c>
      <c r="P270" s="526">
        <f t="shared" si="24"/>
        <v>290</v>
      </c>
      <c r="Q270" s="526">
        <f t="shared" si="24"/>
        <v>291</v>
      </c>
      <c r="R270" s="526">
        <f t="shared" si="24"/>
        <v>292</v>
      </c>
      <c r="S270" s="526">
        <f t="shared" si="24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6"/>
        <v>300</v>
      </c>
      <c r="D271" s="526">
        <f t="shared" si="24"/>
        <v>301</v>
      </c>
      <c r="E271" s="526">
        <f t="shared" si="24"/>
        <v>302</v>
      </c>
      <c r="F271" s="526">
        <f t="shared" si="24"/>
        <v>303</v>
      </c>
      <c r="G271" s="526">
        <f t="shared" si="24"/>
        <v>304</v>
      </c>
      <c r="H271" s="526">
        <f t="shared" si="24"/>
        <v>305</v>
      </c>
      <c r="I271" s="526">
        <f t="shared" si="24"/>
        <v>306</v>
      </c>
      <c r="J271" s="526">
        <f t="shared" si="24"/>
        <v>307</v>
      </c>
      <c r="K271" s="526">
        <f t="shared" si="24"/>
        <v>308</v>
      </c>
      <c r="L271" s="526">
        <f t="shared" si="24"/>
        <v>309</v>
      </c>
      <c r="M271" s="526">
        <f t="shared" si="24"/>
        <v>310</v>
      </c>
      <c r="N271" s="526">
        <f t="shared" si="24"/>
        <v>311</v>
      </c>
      <c r="O271" s="526">
        <f t="shared" si="24"/>
        <v>312</v>
      </c>
      <c r="P271" s="526">
        <f t="shared" si="24"/>
        <v>313</v>
      </c>
      <c r="Q271" s="526">
        <f t="shared" si="24"/>
        <v>314</v>
      </c>
      <c r="R271" s="526">
        <f t="shared" si="24"/>
        <v>315</v>
      </c>
      <c r="S271" s="526">
        <f t="shared" si="24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6"/>
        <v>323</v>
      </c>
      <c r="D272" s="526">
        <f t="shared" si="24"/>
        <v>324</v>
      </c>
      <c r="E272" s="526">
        <f t="shared" si="24"/>
        <v>325</v>
      </c>
      <c r="F272" s="526">
        <f t="shared" si="24"/>
        <v>326</v>
      </c>
      <c r="G272" s="526">
        <f t="shared" si="24"/>
        <v>327</v>
      </c>
      <c r="H272" s="526">
        <f t="shared" si="24"/>
        <v>328</v>
      </c>
      <c r="I272" s="526">
        <f t="shared" si="24"/>
        <v>329</v>
      </c>
      <c r="J272" s="526">
        <f t="shared" si="24"/>
        <v>330</v>
      </c>
      <c r="K272" s="526">
        <f t="shared" si="24"/>
        <v>331</v>
      </c>
      <c r="L272" s="526">
        <f t="shared" si="24"/>
        <v>332</v>
      </c>
      <c r="M272" s="526">
        <f t="shared" si="24"/>
        <v>333</v>
      </c>
      <c r="N272" s="526">
        <f t="shared" si="24"/>
        <v>334</v>
      </c>
      <c r="O272" s="526">
        <f t="shared" si="24"/>
        <v>335</v>
      </c>
      <c r="P272" s="526">
        <f t="shared" si="24"/>
        <v>336</v>
      </c>
      <c r="Q272" s="526">
        <f t="shared" si="24"/>
        <v>337</v>
      </c>
      <c r="R272" s="526">
        <f t="shared" si="24"/>
        <v>338</v>
      </c>
      <c r="S272" s="526">
        <f t="shared" si="24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6"/>
        <v>346</v>
      </c>
      <c r="D273" s="526">
        <f t="shared" si="24"/>
        <v>347</v>
      </c>
      <c r="E273" s="526">
        <f t="shared" si="24"/>
        <v>348</v>
      </c>
      <c r="F273" s="526">
        <f t="shared" si="24"/>
        <v>349</v>
      </c>
      <c r="G273" s="526">
        <f t="shared" si="24"/>
        <v>350</v>
      </c>
      <c r="H273" s="526">
        <f t="shared" si="24"/>
        <v>351</v>
      </c>
      <c r="I273" s="526">
        <f t="shared" si="24"/>
        <v>352</v>
      </c>
      <c r="J273" s="526">
        <f t="shared" si="24"/>
        <v>353</v>
      </c>
      <c r="K273" s="526">
        <f t="shared" si="24"/>
        <v>354</v>
      </c>
      <c r="L273" s="526">
        <f t="shared" si="24"/>
        <v>355</v>
      </c>
      <c r="M273" s="526">
        <f t="shared" si="24"/>
        <v>356</v>
      </c>
      <c r="N273" s="526">
        <f t="shared" si="24"/>
        <v>357</v>
      </c>
      <c r="O273" s="526">
        <f t="shared" si="24"/>
        <v>358</v>
      </c>
      <c r="P273" s="526">
        <f t="shared" si="24"/>
        <v>359</v>
      </c>
      <c r="Q273" s="526">
        <f t="shared" si="24"/>
        <v>360</v>
      </c>
      <c r="R273" s="526">
        <f t="shared" si="24"/>
        <v>361</v>
      </c>
      <c r="S273" s="526">
        <f t="shared" ref="D273:S286" si="27">R273+1</f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6"/>
        <v>369</v>
      </c>
      <c r="D274" s="526">
        <f t="shared" si="27"/>
        <v>370</v>
      </c>
      <c r="E274" s="526">
        <f t="shared" si="27"/>
        <v>371</v>
      </c>
      <c r="F274" s="526">
        <f t="shared" si="27"/>
        <v>372</v>
      </c>
      <c r="G274" s="526">
        <f t="shared" si="27"/>
        <v>373</v>
      </c>
      <c r="H274" s="526">
        <f t="shared" si="27"/>
        <v>374</v>
      </c>
      <c r="I274" s="526">
        <f t="shared" si="27"/>
        <v>375</v>
      </c>
      <c r="J274" s="526">
        <f t="shared" si="27"/>
        <v>376</v>
      </c>
      <c r="K274" s="526">
        <f t="shared" si="27"/>
        <v>377</v>
      </c>
      <c r="L274" s="526">
        <f t="shared" si="27"/>
        <v>378</v>
      </c>
      <c r="M274" s="526">
        <f t="shared" si="27"/>
        <v>379</v>
      </c>
      <c r="N274" s="526">
        <f t="shared" si="27"/>
        <v>380</v>
      </c>
      <c r="O274" s="526">
        <f t="shared" si="27"/>
        <v>381</v>
      </c>
      <c r="P274" s="526">
        <f t="shared" si="27"/>
        <v>382</v>
      </c>
      <c r="Q274" s="526">
        <f t="shared" si="27"/>
        <v>383</v>
      </c>
      <c r="R274" s="526">
        <f t="shared" si="27"/>
        <v>384</v>
      </c>
      <c r="S274" s="526">
        <f t="shared" si="27"/>
        <v>385</v>
      </c>
      <c r="T274" s="526">
        <f t="shared" ref="S274:Y286" si="28">S274+1</f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6"/>
        <v>392</v>
      </c>
      <c r="D275" s="526">
        <f t="shared" si="27"/>
        <v>393</v>
      </c>
      <c r="E275" s="526">
        <f t="shared" si="27"/>
        <v>394</v>
      </c>
      <c r="F275" s="526">
        <f t="shared" si="27"/>
        <v>395</v>
      </c>
      <c r="G275" s="526">
        <f t="shared" si="27"/>
        <v>396</v>
      </c>
      <c r="H275" s="526">
        <f t="shared" si="27"/>
        <v>397</v>
      </c>
      <c r="I275" s="526">
        <f t="shared" si="27"/>
        <v>398</v>
      </c>
      <c r="J275" s="526">
        <f t="shared" si="27"/>
        <v>399</v>
      </c>
      <c r="K275" s="526">
        <f t="shared" si="27"/>
        <v>400</v>
      </c>
      <c r="L275" s="526">
        <f t="shared" si="27"/>
        <v>401</v>
      </c>
      <c r="M275" s="526">
        <f t="shared" si="27"/>
        <v>402</v>
      </c>
      <c r="N275" s="526">
        <f t="shared" si="27"/>
        <v>403</v>
      </c>
      <c r="O275" s="526">
        <f t="shared" si="27"/>
        <v>404</v>
      </c>
      <c r="P275" s="526">
        <f t="shared" si="27"/>
        <v>405</v>
      </c>
      <c r="Q275" s="526">
        <f t="shared" si="27"/>
        <v>406</v>
      </c>
      <c r="R275" s="526">
        <f t="shared" si="27"/>
        <v>407</v>
      </c>
      <c r="S275" s="526">
        <f t="shared" si="27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6"/>
        <v>415</v>
      </c>
      <c r="D276" s="526">
        <f t="shared" si="27"/>
        <v>416</v>
      </c>
      <c r="E276" s="526">
        <f t="shared" si="27"/>
        <v>417</v>
      </c>
      <c r="F276" s="526">
        <f t="shared" si="27"/>
        <v>418</v>
      </c>
      <c r="G276" s="526">
        <f t="shared" si="27"/>
        <v>419</v>
      </c>
      <c r="H276" s="526">
        <f t="shared" si="27"/>
        <v>420</v>
      </c>
      <c r="I276" s="526">
        <f t="shared" si="27"/>
        <v>421</v>
      </c>
      <c r="J276" s="526">
        <f t="shared" si="27"/>
        <v>422</v>
      </c>
      <c r="K276" s="526">
        <f t="shared" si="27"/>
        <v>423</v>
      </c>
      <c r="L276" s="526">
        <f t="shared" si="27"/>
        <v>424</v>
      </c>
      <c r="M276" s="526">
        <f t="shared" si="27"/>
        <v>425</v>
      </c>
      <c r="N276" s="526">
        <f t="shared" si="27"/>
        <v>426</v>
      </c>
      <c r="O276" s="526">
        <f t="shared" si="27"/>
        <v>427</v>
      </c>
      <c r="P276" s="526">
        <f t="shared" si="27"/>
        <v>428</v>
      </c>
      <c r="Q276" s="526">
        <f t="shared" si="27"/>
        <v>429</v>
      </c>
      <c r="R276" s="526">
        <f t="shared" si="27"/>
        <v>430</v>
      </c>
      <c r="S276" s="526">
        <f t="shared" si="27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6"/>
        <v>438</v>
      </c>
      <c r="D277" s="526">
        <f t="shared" si="27"/>
        <v>439</v>
      </c>
      <c r="E277" s="526">
        <f t="shared" si="27"/>
        <v>440</v>
      </c>
      <c r="F277" s="526">
        <f t="shared" si="27"/>
        <v>441</v>
      </c>
      <c r="G277" s="526">
        <f t="shared" si="27"/>
        <v>442</v>
      </c>
      <c r="H277" s="526">
        <f t="shared" si="27"/>
        <v>443</v>
      </c>
      <c r="I277" s="526">
        <f t="shared" si="27"/>
        <v>444</v>
      </c>
      <c r="J277" s="526">
        <f t="shared" si="27"/>
        <v>445</v>
      </c>
      <c r="K277" s="526">
        <f t="shared" si="27"/>
        <v>446</v>
      </c>
      <c r="L277" s="526">
        <f t="shared" si="27"/>
        <v>447</v>
      </c>
      <c r="M277" s="526">
        <f t="shared" si="27"/>
        <v>448</v>
      </c>
      <c r="N277" s="526">
        <f t="shared" si="27"/>
        <v>449</v>
      </c>
      <c r="O277" s="526">
        <f t="shared" si="27"/>
        <v>450</v>
      </c>
      <c r="P277" s="526">
        <f t="shared" si="27"/>
        <v>451</v>
      </c>
      <c r="Q277" s="526">
        <f t="shared" si="27"/>
        <v>452</v>
      </c>
      <c r="R277" s="526">
        <f t="shared" si="27"/>
        <v>453</v>
      </c>
      <c r="S277" s="526">
        <f t="shared" si="27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6"/>
        <v>461</v>
      </c>
      <c r="D278" s="526">
        <f t="shared" si="27"/>
        <v>462</v>
      </c>
      <c r="E278" s="526">
        <f t="shared" si="27"/>
        <v>463</v>
      </c>
      <c r="F278" s="526">
        <f t="shared" si="27"/>
        <v>464</v>
      </c>
      <c r="G278" s="526">
        <f t="shared" si="27"/>
        <v>465</v>
      </c>
      <c r="H278" s="526">
        <f t="shared" si="27"/>
        <v>466</v>
      </c>
      <c r="I278" s="526">
        <f t="shared" si="27"/>
        <v>467</v>
      </c>
      <c r="J278" s="526">
        <f t="shared" si="27"/>
        <v>468</v>
      </c>
      <c r="K278" s="526">
        <f t="shared" si="27"/>
        <v>469</v>
      </c>
      <c r="L278" s="526">
        <f t="shared" si="27"/>
        <v>470</v>
      </c>
      <c r="M278" s="526">
        <f t="shared" si="27"/>
        <v>471</v>
      </c>
      <c r="N278" s="526">
        <f t="shared" si="27"/>
        <v>472</v>
      </c>
      <c r="O278" s="526">
        <f t="shared" si="27"/>
        <v>473</v>
      </c>
      <c r="P278" s="526">
        <f t="shared" si="27"/>
        <v>474</v>
      </c>
      <c r="Q278" s="526">
        <f t="shared" si="27"/>
        <v>475</v>
      </c>
      <c r="R278" s="526">
        <f t="shared" si="27"/>
        <v>476</v>
      </c>
      <c r="S278" s="526">
        <f t="shared" si="27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6"/>
        <v>484</v>
      </c>
      <c r="D279" s="526">
        <f t="shared" si="27"/>
        <v>485</v>
      </c>
      <c r="E279" s="526">
        <f t="shared" si="27"/>
        <v>486</v>
      </c>
      <c r="F279" s="526">
        <f t="shared" si="27"/>
        <v>487</v>
      </c>
      <c r="G279" s="526">
        <f t="shared" si="27"/>
        <v>488</v>
      </c>
      <c r="H279" s="526">
        <f t="shared" si="27"/>
        <v>489</v>
      </c>
      <c r="I279" s="526">
        <f t="shared" si="27"/>
        <v>490</v>
      </c>
      <c r="J279" s="526">
        <f t="shared" si="27"/>
        <v>491</v>
      </c>
      <c r="K279" s="526">
        <f t="shared" si="27"/>
        <v>492</v>
      </c>
      <c r="L279" s="526">
        <f t="shared" si="27"/>
        <v>493</v>
      </c>
      <c r="M279" s="526">
        <f t="shared" si="27"/>
        <v>494</v>
      </c>
      <c r="N279" s="526">
        <f t="shared" si="27"/>
        <v>495</v>
      </c>
      <c r="O279" s="526">
        <f t="shared" si="27"/>
        <v>496</v>
      </c>
      <c r="P279" s="526">
        <f t="shared" si="27"/>
        <v>497</v>
      </c>
      <c r="Q279" s="526">
        <f t="shared" si="27"/>
        <v>498</v>
      </c>
      <c r="R279" s="526">
        <f t="shared" si="27"/>
        <v>499</v>
      </c>
      <c r="S279" s="526">
        <f t="shared" si="27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6"/>
        <v>507</v>
      </c>
      <c r="D280" s="526">
        <f t="shared" si="27"/>
        <v>508</v>
      </c>
      <c r="E280" s="526">
        <f t="shared" si="27"/>
        <v>509</v>
      </c>
      <c r="F280" s="526">
        <f t="shared" si="27"/>
        <v>510</v>
      </c>
      <c r="G280" s="526">
        <f t="shared" si="27"/>
        <v>511</v>
      </c>
      <c r="H280" s="526">
        <f t="shared" si="27"/>
        <v>512</v>
      </c>
      <c r="I280" s="526">
        <f t="shared" si="27"/>
        <v>513</v>
      </c>
      <c r="J280" s="526">
        <f t="shared" si="27"/>
        <v>514</v>
      </c>
      <c r="K280" s="526">
        <f t="shared" si="27"/>
        <v>515</v>
      </c>
      <c r="L280" s="526">
        <f t="shared" si="27"/>
        <v>516</v>
      </c>
      <c r="M280" s="526">
        <f t="shared" si="27"/>
        <v>517</v>
      </c>
      <c r="N280" s="526">
        <f t="shared" si="27"/>
        <v>518</v>
      </c>
      <c r="O280" s="526">
        <f t="shared" si="27"/>
        <v>519</v>
      </c>
      <c r="P280" s="526">
        <f t="shared" si="27"/>
        <v>520</v>
      </c>
      <c r="Q280" s="526">
        <f t="shared" si="27"/>
        <v>521</v>
      </c>
      <c r="R280" s="526">
        <f t="shared" si="27"/>
        <v>522</v>
      </c>
      <c r="S280" s="526">
        <f t="shared" si="27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6"/>
        <v>530</v>
      </c>
      <c r="D281" s="526">
        <f t="shared" si="27"/>
        <v>531</v>
      </c>
      <c r="E281" s="526">
        <f t="shared" si="27"/>
        <v>532</v>
      </c>
      <c r="F281" s="526">
        <f t="shared" si="27"/>
        <v>533</v>
      </c>
      <c r="G281" s="526">
        <f t="shared" si="27"/>
        <v>534</v>
      </c>
      <c r="H281" s="526">
        <f t="shared" si="27"/>
        <v>535</v>
      </c>
      <c r="I281" s="526">
        <f t="shared" si="27"/>
        <v>536</v>
      </c>
      <c r="J281" s="526">
        <f t="shared" si="27"/>
        <v>537</v>
      </c>
      <c r="K281" s="526">
        <f t="shared" si="27"/>
        <v>538</v>
      </c>
      <c r="L281" s="526">
        <f t="shared" si="27"/>
        <v>539</v>
      </c>
      <c r="M281" s="526">
        <f t="shared" si="27"/>
        <v>540</v>
      </c>
      <c r="N281" s="526">
        <f t="shared" si="27"/>
        <v>541</v>
      </c>
      <c r="O281" s="526">
        <f t="shared" si="27"/>
        <v>542</v>
      </c>
      <c r="P281" s="526">
        <f t="shared" si="27"/>
        <v>543</v>
      </c>
      <c r="Q281" s="526">
        <f t="shared" si="27"/>
        <v>544</v>
      </c>
      <c r="R281" s="526">
        <f t="shared" si="27"/>
        <v>545</v>
      </c>
      <c r="S281" s="526">
        <f t="shared" si="27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6"/>
        <v>553</v>
      </c>
      <c r="D282" s="526">
        <f t="shared" si="27"/>
        <v>554</v>
      </c>
      <c r="E282" s="526">
        <f t="shared" si="27"/>
        <v>555</v>
      </c>
      <c r="F282" s="526">
        <f t="shared" si="27"/>
        <v>556</v>
      </c>
      <c r="G282" s="526">
        <f t="shared" si="27"/>
        <v>557</v>
      </c>
      <c r="H282" s="526">
        <f t="shared" si="27"/>
        <v>558</v>
      </c>
      <c r="I282" s="526">
        <f t="shared" si="27"/>
        <v>559</v>
      </c>
      <c r="J282" s="526">
        <f t="shared" si="27"/>
        <v>560</v>
      </c>
      <c r="K282" s="526">
        <f t="shared" si="27"/>
        <v>561</v>
      </c>
      <c r="L282" s="526">
        <f t="shared" si="27"/>
        <v>562</v>
      </c>
      <c r="M282" s="526">
        <f t="shared" si="27"/>
        <v>563</v>
      </c>
      <c r="N282" s="526">
        <f t="shared" si="27"/>
        <v>564</v>
      </c>
      <c r="O282" s="526">
        <f t="shared" si="27"/>
        <v>565</v>
      </c>
      <c r="P282" s="526">
        <f t="shared" si="27"/>
        <v>566</v>
      </c>
      <c r="Q282" s="526">
        <f t="shared" si="27"/>
        <v>567</v>
      </c>
      <c r="R282" s="526">
        <f t="shared" si="27"/>
        <v>568</v>
      </c>
      <c r="S282" s="526">
        <f t="shared" si="27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6"/>
        <v>576</v>
      </c>
      <c r="D283" s="526">
        <f t="shared" si="27"/>
        <v>577</v>
      </c>
      <c r="E283" s="526">
        <f t="shared" si="27"/>
        <v>578</v>
      </c>
      <c r="F283" s="526">
        <f t="shared" si="27"/>
        <v>579</v>
      </c>
      <c r="G283" s="526">
        <f t="shared" si="27"/>
        <v>580</v>
      </c>
      <c r="H283" s="526">
        <f t="shared" si="27"/>
        <v>581</v>
      </c>
      <c r="I283" s="526">
        <f t="shared" si="27"/>
        <v>582</v>
      </c>
      <c r="J283" s="526">
        <f t="shared" si="27"/>
        <v>583</v>
      </c>
      <c r="K283" s="526">
        <f t="shared" si="27"/>
        <v>584</v>
      </c>
      <c r="L283" s="526">
        <f t="shared" si="27"/>
        <v>585</v>
      </c>
      <c r="M283" s="526">
        <f t="shared" si="27"/>
        <v>586</v>
      </c>
      <c r="N283" s="526">
        <f t="shared" si="27"/>
        <v>587</v>
      </c>
      <c r="O283" s="526">
        <f t="shared" si="27"/>
        <v>588</v>
      </c>
      <c r="P283" s="526">
        <f t="shared" si="27"/>
        <v>589</v>
      </c>
      <c r="Q283" s="526">
        <f t="shared" si="27"/>
        <v>590</v>
      </c>
      <c r="R283" s="526">
        <f t="shared" si="27"/>
        <v>591</v>
      </c>
      <c r="S283" s="526">
        <f t="shared" si="27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6"/>
        <v>599</v>
      </c>
      <c r="D284" s="526">
        <f t="shared" si="27"/>
        <v>600</v>
      </c>
      <c r="E284" s="526">
        <f t="shared" si="27"/>
        <v>601</v>
      </c>
      <c r="F284" s="526">
        <f t="shared" si="27"/>
        <v>602</v>
      </c>
      <c r="G284" s="526">
        <f t="shared" si="27"/>
        <v>603</v>
      </c>
      <c r="H284" s="526">
        <f t="shared" si="27"/>
        <v>604</v>
      </c>
      <c r="I284" s="526">
        <f t="shared" si="27"/>
        <v>605</v>
      </c>
      <c r="J284" s="526">
        <f t="shared" si="27"/>
        <v>606</v>
      </c>
      <c r="K284" s="526">
        <f t="shared" si="27"/>
        <v>607</v>
      </c>
      <c r="L284" s="526">
        <f t="shared" si="27"/>
        <v>608</v>
      </c>
      <c r="M284" s="526">
        <f t="shared" si="27"/>
        <v>609</v>
      </c>
      <c r="N284" s="526">
        <f t="shared" si="27"/>
        <v>610</v>
      </c>
      <c r="O284" s="526">
        <f t="shared" si="27"/>
        <v>611</v>
      </c>
      <c r="P284" s="526">
        <f t="shared" si="27"/>
        <v>612</v>
      </c>
      <c r="Q284" s="526">
        <f t="shared" si="27"/>
        <v>613</v>
      </c>
      <c r="R284" s="526">
        <f t="shared" si="27"/>
        <v>614</v>
      </c>
      <c r="S284" s="526">
        <f t="shared" si="27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6"/>
        <v>622</v>
      </c>
      <c r="D285" s="526">
        <f t="shared" si="27"/>
        <v>623</v>
      </c>
      <c r="E285" s="526">
        <f t="shared" si="27"/>
        <v>624</v>
      </c>
      <c r="F285" s="526">
        <f t="shared" si="27"/>
        <v>625</v>
      </c>
      <c r="G285" s="526">
        <f t="shared" si="27"/>
        <v>626</v>
      </c>
      <c r="H285" s="526">
        <f t="shared" si="27"/>
        <v>627</v>
      </c>
      <c r="I285" s="526">
        <f t="shared" si="27"/>
        <v>628</v>
      </c>
      <c r="J285" s="526">
        <f t="shared" si="27"/>
        <v>629</v>
      </c>
      <c r="K285" s="526">
        <f t="shared" si="27"/>
        <v>630</v>
      </c>
      <c r="L285" s="526">
        <f t="shared" si="27"/>
        <v>631</v>
      </c>
      <c r="M285" s="526">
        <f t="shared" si="27"/>
        <v>632</v>
      </c>
      <c r="N285" s="526">
        <f t="shared" si="27"/>
        <v>633</v>
      </c>
      <c r="O285" s="526">
        <f t="shared" si="27"/>
        <v>634</v>
      </c>
      <c r="P285" s="526">
        <f t="shared" si="27"/>
        <v>635</v>
      </c>
      <c r="Q285" s="526">
        <f t="shared" si="27"/>
        <v>636</v>
      </c>
      <c r="R285" s="526">
        <f t="shared" si="27"/>
        <v>637</v>
      </c>
      <c r="S285" s="526">
        <f t="shared" si="27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6"/>
        <v>645</v>
      </c>
      <c r="D286" s="526">
        <f t="shared" si="27"/>
        <v>646</v>
      </c>
      <c r="E286" s="526">
        <f t="shared" si="27"/>
        <v>647</v>
      </c>
      <c r="F286" s="526">
        <f t="shared" si="27"/>
        <v>648</v>
      </c>
      <c r="G286" s="526">
        <f t="shared" si="27"/>
        <v>649</v>
      </c>
      <c r="H286" s="526">
        <f t="shared" si="27"/>
        <v>650</v>
      </c>
      <c r="I286" s="526">
        <f t="shared" si="27"/>
        <v>651</v>
      </c>
      <c r="J286" s="526">
        <f t="shared" si="27"/>
        <v>652</v>
      </c>
      <c r="K286" s="526">
        <f t="shared" si="27"/>
        <v>653</v>
      </c>
      <c r="L286" s="526">
        <f t="shared" si="27"/>
        <v>654</v>
      </c>
      <c r="M286" s="526">
        <f t="shared" si="27"/>
        <v>655</v>
      </c>
      <c r="N286" s="526">
        <f t="shared" si="27"/>
        <v>656</v>
      </c>
      <c r="O286" s="526">
        <f t="shared" si="27"/>
        <v>657</v>
      </c>
      <c r="P286" s="526">
        <f t="shared" si="27"/>
        <v>658</v>
      </c>
      <c r="Q286" s="526">
        <f t="shared" si="27"/>
        <v>659</v>
      </c>
      <c r="R286" s="526">
        <f t="shared" si="27"/>
        <v>660</v>
      </c>
      <c r="S286" s="526">
        <f t="shared" si="28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33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Counties</v>
      </c>
      <c r="C6" s="108"/>
      <c r="D6" s="109">
        <f>VLOOKUP($B$6,$B$258:$J$286,9,FALSE)</f>
        <v>100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30.914999999999999</v>
      </c>
      <c r="E7" s="407">
        <f>D7/('Industry calcs'!D4/1000)*100</f>
        <v>1.4997490935000861</v>
      </c>
    </row>
    <row r="8" spans="2:5">
      <c r="B8" s="111" t="s">
        <v>250</v>
      </c>
      <c r="C8" s="114"/>
      <c r="D8" s="406">
        <f>VLOOKUP(D6,'AV (2011)'!A8:F214,'AV (2011)'!F214,FALSE)/1000</f>
        <v>183.0907</v>
      </c>
      <c r="E8" s="407">
        <f>D8/('Industry calcs'!D5/1000)*100</f>
        <v>2.0399757619292522</v>
      </c>
    </row>
    <row r="9" spans="2:5">
      <c r="B9" s="111" t="s">
        <v>230</v>
      </c>
      <c r="C9" s="114"/>
      <c r="D9" s="406">
        <f>VLOOKUP($D$6,'FS (2011)'!$A$13:$AH$244,'FS (2011)'!S245,FALSE)/1000</f>
        <v>9.843</v>
      </c>
      <c r="E9" s="407">
        <f>D9/('Industry calcs'!D6/1000)*100</f>
        <v>2.1680260518953087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11.36336</v>
      </c>
      <c r="E10" s="407">
        <f>D10/('Industry calcs'!D7/1000)*100</f>
        <v>1.9418966344292934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485.46920999999998</v>
      </c>
      <c r="E11" s="407">
        <f>D11/'Industry calcs'!D8*100</f>
        <v>1.5687751619060397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98.867999999999995</v>
      </c>
      <c r="E12" s="407">
        <f>D12/'Industry calcs'!D9*100</f>
        <v>1.5810664272902544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3032.8179</v>
      </c>
      <c r="E13" s="407">
        <f>D13/'Industry calcs'!D10*100</f>
        <v>2.0276939971851338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36859</v>
      </c>
      <c r="E14" s="407">
        <f>D14/'Industry calcs'!D11*100</f>
        <v>1.8349907277185207</v>
      </c>
    </row>
    <row r="15" spans="2:5">
      <c r="B15" s="115" t="s">
        <v>195</v>
      </c>
      <c r="C15" s="116" t="s">
        <v>239</v>
      </c>
      <c r="D15" s="408">
        <f>D14/D13</f>
        <v>12.153383821692691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Counties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23.809810099512422</v>
      </c>
      <c r="D20" s="409">
        <f>VLOOKUP($B$2,'MED price allocation'!$B$16:$F$44,3,FALSE)</f>
        <v>24.421175097810416</v>
      </c>
      <c r="E20" s="409">
        <f>VLOOKUP($B$2,'MED price allocation'!$B$16:$F$44,4,FALSE)</f>
        <v>24.212622941984854</v>
      </c>
      <c r="F20" s="503">
        <f>VLOOKUP($B$2,'MED price allocation'!$B$16:$F$44,5,FALSE)</f>
        <v>25.225999999999999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5.0886259302557661</v>
      </c>
      <c r="D21" s="410">
        <f>VLOOKUP($B$2,'MED price allocation'!$B$47:$F$75,3,FALSE)</f>
        <v>5.1385681927380036</v>
      </c>
      <c r="E21" s="410">
        <f>VLOOKUP($B$2,'MED price allocation'!$B$47:$F$75,4,FALSE)</f>
        <v>5.2877556519630291</v>
      </c>
      <c r="F21" s="504">
        <f>VLOOKUP($B$2,'MED price allocation'!$B$47:$F$75,5,FALSE)</f>
        <v>7.6099999999999977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8.6032277380171625</v>
      </c>
      <c r="D22" s="409">
        <f>VLOOKUP($B$2,'MED price allocation'!$B$78:$F$106,3,FALSE)</f>
        <v>8.6680897796691578</v>
      </c>
      <c r="E22" s="409">
        <f>VLOOKUP($B$2,'MED price allocation'!$B$78:$F$106,4,FALSE)</f>
        <v>8.9657513944652525</v>
      </c>
      <c r="F22" s="503">
        <f>VLOOKUP($B$2,'MED price allocation'!$B$78:$F$106,5,FALSE)</f>
        <v>9.6499999999999986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3.5146018077613972</v>
      </c>
      <c r="D23" s="411">
        <f>VLOOKUP($B$2,'MED price allocation'!$B$109:$F$137,3,FALSE)</f>
        <v>3.5295215869311538</v>
      </c>
      <c r="E23" s="411">
        <f>VLOOKUP($B$2,'MED price allocation'!$B$109:$F$137,4,FALSE)</f>
        <v>3.6779957425022234</v>
      </c>
      <c r="F23" s="505">
        <f>VLOOKUP($B$2,'MED price allocation'!$B$109:$F$137,5,FALSE)</f>
        <v>2.0400000000000005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Counties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1904.7848079609937</v>
      </c>
      <c r="D26" s="412">
        <f>(D20*8000)/100</f>
        <v>1953.6940078248333</v>
      </c>
      <c r="E26" s="412">
        <f>(E20*8000)/100</f>
        <v>1937.0098353587882</v>
      </c>
      <c r="F26" s="506">
        <f>(F20*8000)/100</f>
        <v>2018.08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688.25821904137297</v>
      </c>
      <c r="D27" s="412">
        <f>(D22*8000)/100</f>
        <v>693.44718237353254</v>
      </c>
      <c r="E27" s="412">
        <f>(E22*8000)/100</f>
        <v>717.26011155722017</v>
      </c>
      <c r="F27" s="506">
        <f>(F22*8000)/100</f>
        <v>771.99999999999989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407.09007442046129</v>
      </c>
      <c r="D28" s="412">
        <f>(D21*8000)/100</f>
        <v>411.08545541904027</v>
      </c>
      <c r="E28" s="412">
        <f>(E21*8000)/100</f>
        <v>423.02045215704231</v>
      </c>
      <c r="F28" s="506">
        <f>(F21*8000)/100</f>
        <v>608.79999999999973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281.16814462091179</v>
      </c>
      <c r="D29" s="413">
        <f>(D23*8000)/100</f>
        <v>282.36172695449227</v>
      </c>
      <c r="E29" s="413">
        <f>(E23*8000)/100</f>
        <v>294.23965940017786</v>
      </c>
      <c r="F29" s="507">
        <f>(F23*8000)/100</f>
        <v>163.20000000000005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Counties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1953.3921627861537</v>
      </c>
      <c r="D32" s="122"/>
    </row>
    <row r="33" spans="2:13">
      <c r="B33" s="120" t="s">
        <v>241</v>
      </c>
      <c r="C33" s="412">
        <f>AVERAGE(C27:F27)</f>
        <v>717.74137824303148</v>
      </c>
      <c r="D33" s="414">
        <f>C33/$C$32</f>
        <v>0.36743332543082685</v>
      </c>
    </row>
    <row r="34" spans="2:13">
      <c r="B34" s="120" t="s">
        <v>222</v>
      </c>
      <c r="C34" s="412">
        <f>AVERAGE(C28:F28)</f>
        <v>462.4989954991359</v>
      </c>
      <c r="D34" s="414">
        <f>C34/$C$32</f>
        <v>0.23676709895235085</v>
      </c>
    </row>
    <row r="35" spans="2:13">
      <c r="B35" s="124" t="s">
        <v>223</v>
      </c>
      <c r="C35" s="413">
        <f>AVERAGE(C29:F29)</f>
        <v>255.24238274389549</v>
      </c>
      <c r="D35" s="415">
        <f>C35/$C$32</f>
        <v>0.13066622647847595</v>
      </c>
    </row>
    <row r="38" spans="2:13">
      <c r="B38" s="517" t="s">
        <v>227</v>
      </c>
      <c r="C38" s="518">
        <f>VLOOKUP($B$2,$B$258:$J$286,6,FALSE)</f>
        <v>97</v>
      </c>
      <c r="D38" s="518">
        <f>VLOOKUP($B$2,$B$258:$J$286,7,FALSE)</f>
        <v>98</v>
      </c>
      <c r="E38" s="518">
        <f>VLOOKUP($B$2,$B$258:$J$286,8,FALSE)</f>
        <v>99</v>
      </c>
      <c r="F38" s="519">
        <f>VLOOKUP($B$2,$B$258:$J$286,9,FALSE)</f>
        <v>100</v>
      </c>
    </row>
    <row r="39" spans="2:13">
      <c r="B39" s="137" t="str">
        <f>B2</f>
        <v>Counties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27066.746314618915</v>
      </c>
      <c r="D40" s="418">
        <f>VLOOKUP($D$38,'FS (2011)'!$A$13:$AH$244,'FS (2011)'!E245,FALSE)</f>
        <v>29475.657629212703</v>
      </c>
      <c r="E40" s="418">
        <f>VLOOKUP($E$38,'FS (2011)'!$A$13:$AH$244,'FS (2011)'!E245,FALSE)</f>
        <v>30190.877975263396</v>
      </c>
      <c r="F40" s="419">
        <f>VLOOKUP($F$38,'FS (2011)'!$A$13:$AH$244,'FS (2011)'!E245,FALSE)</f>
        <v>29866</v>
      </c>
    </row>
    <row r="41" spans="2:13" ht="30">
      <c r="B41" s="120" t="s">
        <v>198</v>
      </c>
      <c r="C41" s="417">
        <f>VLOOKUP($C$38,'FS (2011)'!$A$13:$AH$244,'FS (2011)'!$F$245,FALSE)</f>
        <v>1816.5963331527471</v>
      </c>
      <c r="D41" s="418">
        <f>VLOOKUP($D$38,'FS (2011)'!$A$13:$AH$244,'FS (2011)'!$F$245,FALSE)</f>
        <v>1023.5612602100347</v>
      </c>
      <c r="E41" s="418">
        <f>VLOOKUP($E$38,'FS (2011)'!$A$13:$AH$244,'FS (2011)'!$F$245,FALSE)</f>
        <v>939.08439540298014</v>
      </c>
      <c r="F41" s="419">
        <f>VLOOKUP($F$38,'FS (2011)'!$A$13:$AH$244,'FS (2011)'!$F$245,FALSE)</f>
        <v>764</v>
      </c>
    </row>
    <row r="42" spans="2:13">
      <c r="B42" s="120" t="s">
        <v>13</v>
      </c>
      <c r="C42" s="417">
        <f>VLOOKUP($C$38,'FS (2011)'!$A$13:$AH$244,'FS (2011)'!$H$245,FALSE)</f>
        <v>448.48906503949127</v>
      </c>
      <c r="D42" s="418">
        <f>VLOOKUP($D$38,'FS (2011)'!$A$13:$AH$244,'FS (2011)'!$H$245,FALSE)</f>
        <v>374.75214496533727</v>
      </c>
      <c r="E42" s="418">
        <f>VLOOKUP($E$38,'FS (2011)'!$A$13:$AH$244,'FS (2011)'!$H$245,FALSE)</f>
        <v>378.67666082832579</v>
      </c>
      <c r="F42" s="419">
        <f>VLOOKUP($F$38,'FS (2011)'!$A$13:$AH$244,'FS (2011)'!$H$245,FALSE)</f>
        <v>285</v>
      </c>
    </row>
    <row r="43" spans="2:13">
      <c r="B43" s="124" t="s">
        <v>5</v>
      </c>
      <c r="C43" s="420">
        <f>SUM(C40:C42)</f>
        <v>29331.831712811152</v>
      </c>
      <c r="D43" s="420">
        <f>SUM(D40:D42)</f>
        <v>30873.971034388072</v>
      </c>
      <c r="E43" s="420">
        <f>SUM(E40:E42)</f>
        <v>31508.639031494702</v>
      </c>
      <c r="F43" s="421">
        <f>SUM(F40:F42)</f>
        <v>30915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Counties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108.89989246063432</v>
      </c>
      <c r="E46" s="422">
        <f>IF(ISERROR(E40/$C40),"",(E40/$C40))*100</f>
        <v>111.54232438701771</v>
      </c>
      <c r="F46" s="423">
        <f>IF(ISERROR(F40/$C40),"",(F40/$C40))*100</f>
        <v>110.34203983309656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56.345003098933887</v>
      </c>
      <c r="E47" s="422">
        <f t="shared" si="0"/>
        <v>51.694720410074609</v>
      </c>
      <c r="F47" s="423">
        <f t="shared" si="0"/>
        <v>42.056674124958704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83.55881428956107</v>
      </c>
      <c r="E48" s="422">
        <f t="shared" si="0"/>
        <v>84.433867031960247</v>
      </c>
      <c r="F48" s="423">
        <f t="shared" si="0"/>
        <v>63.546699845380758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105.25756228481076</v>
      </c>
      <c r="E49" s="424">
        <f t="shared" si="0"/>
        <v>107.4213139499665</v>
      </c>
      <c r="F49" s="416">
        <f t="shared" si="0"/>
        <v>105.39744091910011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Counties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13282.17615693878</v>
      </c>
      <c r="D54" s="426">
        <f>VLOOKUP($D$38,'MP (2011)'!$A$14:$AR$245,'MP (2011)'!$Z$246,FALSE)</f>
        <v>14016.353078454247</v>
      </c>
      <c r="E54" s="426">
        <f>VLOOKUP($E$38,'MP (2011)'!$A$14:$AR$245,'MP (2011)'!$Z$246,FALSE)</f>
        <v>15692.36241410902</v>
      </c>
      <c r="F54" s="427">
        <f>VLOOKUP($F$38,'MP (2011)'!$A$14:$AR$245,'MP (2011)'!$Z$246,FALSE)</f>
        <v>15033.242</v>
      </c>
    </row>
    <row r="55" spans="2:23">
      <c r="B55" s="111" t="s">
        <v>180</v>
      </c>
      <c r="C55" s="425">
        <f>VLOOKUP($C$38,'MP (2011)'!$A$14:$AR$245,'MP (2011)'!$AD$246,FALSE)</f>
        <v>6268.065923412506</v>
      </c>
      <c r="D55" s="426">
        <f>VLOOKUP($D$38,'MP (2011)'!$A$14:$AR$245,'MP (2011)'!$AD$246,FALSE)</f>
        <v>6663.5291372091406</v>
      </c>
      <c r="E55" s="426">
        <f>VLOOKUP($E$38,'MP (2011)'!$A$14:$AR$245,'MP (2011)'!$AD$246,FALSE)</f>
        <v>6961.2240512785957</v>
      </c>
      <c r="F55" s="427">
        <f>VLOOKUP($F$38,'MP (2011)'!$A$14:$AR$245,'MP (2011)'!$AD$246,FALSE)</f>
        <v>6847.2689</v>
      </c>
      <c r="J55" s="139"/>
    </row>
    <row r="56" spans="2:23">
      <c r="B56" s="111" t="s">
        <v>184</v>
      </c>
      <c r="C56" s="425">
        <f>VLOOKUP($C$38,'MP (2011)'!$A$14:$AR$245,'MP (2011)'!$AH$246,FALSE)</f>
        <v>5976.9792706224516</v>
      </c>
      <c r="D56" s="426">
        <f>VLOOKUP($D$38,'MP (2011)'!$A$14:$AR$245,'MP (2011)'!$AH$246,FALSE)</f>
        <v>7096.4145789004024</v>
      </c>
      <c r="E56" s="426">
        <f>VLOOKUP($E$38,'MP (2011)'!$A$14:$AR$245,'MP (2011)'!$AH$246,FALSE)</f>
        <v>5993.7043474172078</v>
      </c>
      <c r="F56" s="427">
        <f>VLOOKUP($F$38,'MP (2011)'!$A$14:$AR$245,'MP (2011)'!$AH$246,FALSE)</f>
        <v>6334.9359000000004</v>
      </c>
    </row>
    <row r="57" spans="2:23">
      <c r="B57" s="111" t="s">
        <v>181</v>
      </c>
      <c r="C57" s="425">
        <f>VLOOKUP($C$38,'MP (2011)'!$A$14:$AR$245,'MP (2011)'!$AL$246,FALSE)</f>
        <v>1539.5249636451767</v>
      </c>
      <c r="D57" s="426">
        <f>VLOOKUP($D$38,'MP (2011)'!$A$14:$AR$245,'MP (2011)'!$AL$246,FALSE)</f>
        <v>1699.3608346489116</v>
      </c>
      <c r="E57" s="426">
        <f>VLOOKUP($E$38,'MP (2011)'!$A$14:$AR$245,'MP (2011)'!$AL$246,FALSE)</f>
        <v>1543.5873662256472</v>
      </c>
      <c r="F57" s="427">
        <f>VLOOKUP($F$38,'MP (2011)'!$A$14:$AR$245,'MP (2011)'!$AL$246,FALSE)</f>
        <v>1650.3175000000001</v>
      </c>
      <c r="W57" s="139"/>
    </row>
    <row r="58" spans="2:23">
      <c r="B58" s="147" t="s">
        <v>248</v>
      </c>
      <c r="C58" s="428">
        <f>SUM(C54:C57)</f>
        <v>27066.746314618915</v>
      </c>
      <c r="D58" s="428">
        <f>SUM(D54:D57)</f>
        <v>29475.657629212703</v>
      </c>
      <c r="E58" s="428">
        <f>SUM(E54:E57)</f>
        <v>30190.878179030471</v>
      </c>
      <c r="F58" s="429">
        <f>SUM(F54:F57)</f>
        <v>29865.764300000003</v>
      </c>
    </row>
    <row r="59" spans="2:23">
      <c r="B59" s="103" t="s">
        <v>302</v>
      </c>
    </row>
    <row r="60" spans="2:23">
      <c r="B60" s="137" t="str">
        <f>$B$2</f>
        <v>Counties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105.52753489217896</v>
      </c>
      <c r="E61" s="422">
        <f t="shared" si="1"/>
        <v>118.14601936227993</v>
      </c>
      <c r="F61" s="423">
        <f t="shared" si="1"/>
        <v>113.18357641376741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106.30917445075838</v>
      </c>
      <c r="E62" s="422">
        <f t="shared" si="1"/>
        <v>111.05856473648439</v>
      </c>
      <c r="F62" s="423">
        <f t="shared" si="1"/>
        <v>109.24053741081524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118.72911478512407</v>
      </c>
      <c r="E63" s="422">
        <f t="shared" si="1"/>
        <v>100.27982490882914</v>
      </c>
      <c r="F63" s="423">
        <f t="shared" si="1"/>
        <v>105.98892204858311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110.38215519580059</v>
      </c>
      <c r="E64" s="422">
        <f t="shared" si="1"/>
        <v>100.26387377122172</v>
      </c>
      <c r="F64" s="423">
        <f t="shared" si="1"/>
        <v>107.19654042455386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108.89989246063432</v>
      </c>
      <c r="E65" s="424">
        <f t="shared" si="1"/>
        <v>111.54232513984954</v>
      </c>
      <c r="F65" s="416">
        <f t="shared" si="1"/>
        <v>110.34116902285118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Counties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472.79308571312356</v>
      </c>
      <c r="D70" s="433">
        <f>(D54/D98)*1000</f>
        <v>492.37197732301422</v>
      </c>
      <c r="E70" s="433">
        <f>(E54/E98)*1000</f>
        <v>542.95074438132383</v>
      </c>
      <c r="F70" s="434">
        <f>(F54/F98)*1000</f>
        <v>514.44945588939834</v>
      </c>
    </row>
    <row r="71" spans="2:40">
      <c r="B71" s="111" t="s">
        <v>180</v>
      </c>
      <c r="C71" s="433">
        <f>(C55/C99)*1000</f>
        <v>896.46251765053</v>
      </c>
      <c r="D71" s="433">
        <f t="shared" ref="C71:F73" si="2">(D55/D99)*1000</f>
        <v>955.20773182470475</v>
      </c>
      <c r="E71" s="433">
        <f t="shared" si="2"/>
        <v>990.92157313574319</v>
      </c>
      <c r="F71" s="434">
        <f t="shared" si="2"/>
        <v>961.02019649122803</v>
      </c>
    </row>
    <row r="72" spans="2:40">
      <c r="B72" s="111" t="s">
        <v>184</v>
      </c>
      <c r="C72" s="433">
        <f>(C56/C100)*1000</f>
        <v>11428.258643637575</v>
      </c>
      <c r="D72" s="433">
        <f t="shared" si="2"/>
        <v>13594.663944253645</v>
      </c>
      <c r="E72" s="433">
        <f t="shared" si="2"/>
        <v>11638.260868771278</v>
      </c>
      <c r="F72" s="434">
        <f t="shared" si="2"/>
        <v>12494.942603550297</v>
      </c>
    </row>
    <row r="73" spans="2:40">
      <c r="B73" s="115" t="s">
        <v>181</v>
      </c>
      <c r="C73" s="435">
        <f t="shared" si="2"/>
        <v>307904.99272903538</v>
      </c>
      <c r="D73" s="435">
        <f t="shared" si="2"/>
        <v>339872.16692978231</v>
      </c>
      <c r="E73" s="435">
        <f t="shared" si="2"/>
        <v>308717.47324512945</v>
      </c>
      <c r="F73" s="436">
        <f t="shared" si="2"/>
        <v>330063.50000000006</v>
      </c>
    </row>
    <row r="74" spans="2:40">
      <c r="B74" s="103" t="s">
        <v>303</v>
      </c>
    </row>
    <row r="75" spans="2:40">
      <c r="B75" s="137" t="str">
        <f>$B$2</f>
        <v>Counties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104.14111208508039</v>
      </c>
      <c r="E76" s="422">
        <f t="shared" si="3"/>
        <v>114.83897730068959</v>
      </c>
      <c r="F76" s="423">
        <f t="shared" si="3"/>
        <v>108.81069783697103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106.55300283252618</v>
      </c>
      <c r="E77" s="422">
        <f t="shared" si="3"/>
        <v>110.53686614056923</v>
      </c>
      <c r="F77" s="423">
        <f t="shared" si="3"/>
        <v>107.20138071248002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118.95656519658984</v>
      </c>
      <c r="E78" s="422">
        <f t="shared" si="3"/>
        <v>101.83756976178185</v>
      </c>
      <c r="F78" s="423">
        <f t="shared" si="3"/>
        <v>109.33374010139833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110.38215519580056</v>
      </c>
      <c r="E79" s="424">
        <f t="shared" si="3"/>
        <v>100.26387377122172</v>
      </c>
      <c r="F79" s="416">
        <f t="shared" si="3"/>
        <v>107.19654042455386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Counties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6.3117714053930101</v>
      </c>
      <c r="D84" s="437">
        <f>(D54/VLOOKUP($D$38,'MP (2011)'!$A$14:$AR$245,'MP (2011)'!$AA$246,FALSE)*100)</f>
        <v>6.5491554056618524</v>
      </c>
      <c r="E84" s="437">
        <f>(E54/VLOOKUP($E$38,'MP (2011)'!$A$14:$AR$245,'MP (2011)'!$AA$246,FALSE)*100)</f>
        <v>6.8995941477865879</v>
      </c>
      <c r="F84" s="438">
        <f>(F54/VLOOKUP($F$38,'MP (2011)'!$A$14:$AR$245,'MP (2011)'!$AA$246,FALSE)*100)</f>
        <v>6.7566335113200218</v>
      </c>
    </row>
    <row r="85" spans="2:7">
      <c r="B85" s="111" t="s">
        <v>180</v>
      </c>
      <c r="C85" s="430">
        <f>(C55/VLOOKUP($C$38,'MP (2011)'!$A$14:$AR$245,'MP (2011)'!$AE$246,FALSE)*100)</f>
        <v>7.0396858942850953</v>
      </c>
      <c r="D85" s="437">
        <f>(D55/VLOOKUP($D$38,'MP (2011)'!$A$14:$AR$245,'MP (2011)'!$AE$246,FALSE)*100)</f>
        <v>7.3645262849377637</v>
      </c>
      <c r="E85" s="437">
        <f>(E55/VLOOKUP($E$38,'MP (2011)'!$A$14:$AR$245,'MP (2011)'!$AE$246,FALSE)*100)</f>
        <v>7.5935634695647378</v>
      </c>
      <c r="F85" s="438">
        <f>(F55/VLOOKUP($F$38,'MP (2011)'!$A$14:$AR$245,'MP (2011)'!$AE$246,FALSE)*100)</f>
        <v>7.3253404707968803</v>
      </c>
    </row>
    <row r="86" spans="2:7">
      <c r="B86" s="111" t="s">
        <v>184</v>
      </c>
      <c r="C86" s="430">
        <f>(C56/VLOOKUP($C$38,'MP (2011)'!$A$14:$AR$245,'MP (2011)'!$AI$246,FALSE)*100)</f>
        <v>5.3089064792709904</v>
      </c>
      <c r="D86" s="437">
        <f>(D56/VLOOKUP($D$38,'MP (2011)'!$A$14:$AR$245,'MP (2011)'!$AI$246,FALSE)*100)</f>
        <v>6.0252002514036072</v>
      </c>
      <c r="E86" s="437">
        <f>(E56/VLOOKUP($E$38,'MP (2011)'!$A$14:$AR$245,'MP (2011)'!$AI$246,FALSE)*100)</f>
        <v>5.4081289138275892</v>
      </c>
      <c r="F86" s="438">
        <f>(F56/VLOOKUP($F$38,'MP (2011)'!$A$14:$AR$245,'MP (2011)'!$AI$246,FALSE)*100)</f>
        <v>5.2823389983483251</v>
      </c>
    </row>
    <row r="87" spans="2:7">
      <c r="B87" s="115" t="s">
        <v>181</v>
      </c>
      <c r="C87" s="431">
        <f>(C57/VLOOKUP($C$38,'MP (2011)'!$A$14:$AR$245,'MP (2011)'!$AM$246,FALSE)*100)</f>
        <v>2.9151596516732816</v>
      </c>
      <c r="D87" s="431">
        <f>(D57/VLOOKUP($D$38,'MP (2011)'!$A$14:$AR$245,'MP (2011)'!$AM$246,FALSE)*100)</f>
        <v>3.3655136080450654</v>
      </c>
      <c r="E87" s="431">
        <f>(E57/VLOOKUP($E$38,'MP (2011)'!$A$14:$AR$245,'MP (2011)'!$AM$246,FALSE)*100)</f>
        <v>3.346067612678377</v>
      </c>
      <c r="F87" s="432">
        <f>(F57/VLOOKUP($F$38,'MP (2011)'!$A$14:$AR$245,'MP (2011)'!$AM$246,FALSE)*100)</f>
        <v>3.3290844233382098</v>
      </c>
    </row>
    <row r="88" spans="2:7">
      <c r="B88" s="103" t="s">
        <v>304</v>
      </c>
    </row>
    <row r="89" spans="2:7">
      <c r="B89" s="137" t="str">
        <f>$B$2</f>
        <v>Counties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103.76097271308041</v>
      </c>
      <c r="E90" s="422">
        <f>IF(ISERROR(E84/$C84),"",(E84/$C84)*100)</f>
        <v>109.31311837262231</v>
      </c>
      <c r="F90" s="423">
        <f>IF(ISERROR(F84/$C84),"",(F84/$C84)*100)</f>
        <v>107.04813399209776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104.61441597722958</v>
      </c>
      <c r="E91" s="422">
        <f t="shared" si="4"/>
        <v>107.86793024003086</v>
      </c>
      <c r="F91" s="423">
        <f t="shared" si="4"/>
        <v>104.05777446325671</v>
      </c>
    </row>
    <row r="92" spans="2:7">
      <c r="B92" s="111" t="s">
        <v>184</v>
      </c>
      <c r="C92" s="422">
        <f t="shared" si="4"/>
        <v>100</v>
      </c>
      <c r="D92" s="422">
        <f t="shared" si="4"/>
        <v>113.49230345136871</v>
      </c>
      <c r="E92" s="422">
        <f t="shared" si="4"/>
        <v>101.86898064495993</v>
      </c>
      <c r="F92" s="423">
        <f t="shared" si="4"/>
        <v>99.499567735344371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115.44868927207071</v>
      </c>
      <c r="E93" s="424">
        <f>IF(ISERROR(E87/$C87),"",(E87/$C87)*100)</f>
        <v>114.78162476479659</v>
      </c>
      <c r="F93" s="416">
        <f>IF(ISERROR(F87/$C87),"",(F87/$C87)*100)</f>
        <v>114.19904297273524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28093</v>
      </c>
      <c r="D98" s="150">
        <f>VLOOKUP($D$38,'MP (2011)'!$A$14:$AR$245,'MP (2011)'!$AB$246,FALSE)</f>
        <v>28467</v>
      </c>
      <c r="E98" s="150">
        <f>VLOOKUP($E$38,'MP (2011)'!$A$14:$AR$245,'MP (2011)'!$AB$246,FALSE)</f>
        <v>28902</v>
      </c>
      <c r="F98" s="151">
        <f>VLOOKUP($F$38,'MP (2011)'!$A$14:$AR$245,'MP (2011)'!$AB$246,FALSE)</f>
        <v>29222</v>
      </c>
    </row>
    <row r="99" spans="2:7">
      <c r="B99" s="155" t="s">
        <v>309</v>
      </c>
      <c r="C99" s="150">
        <f>VLOOKUP($C$38,'MP (2011)'!$A$14:$AR$245,'MP (2011)'!$AF$246,FALSE)</f>
        <v>6992</v>
      </c>
      <c r="D99" s="150">
        <f>VLOOKUP($D$38,'MP (2011)'!$A$14:$AR$245,'MP (2011)'!$AF$246,FALSE)</f>
        <v>6976</v>
      </c>
      <c r="E99" s="150">
        <f>VLOOKUP($E$38,'MP (2011)'!$A$14:$AR$245,'MP (2011)'!$AF$246,FALSE)</f>
        <v>7025</v>
      </c>
      <c r="F99" s="151">
        <f>VLOOKUP($F$38,'MP (2011)'!$A$14:$AR$245,'MP (2011)'!$AF$246,FALSE)</f>
        <v>7125</v>
      </c>
    </row>
    <row r="100" spans="2:7">
      <c r="B100" s="155" t="s">
        <v>310</v>
      </c>
      <c r="C100" s="150">
        <f>VLOOKUP($C$38,'MP (2011)'!$A$14:$AR$245,'MP (2011)'!$AJ$246,FALSE)</f>
        <v>523</v>
      </c>
      <c r="D100" s="150">
        <f>VLOOKUP($D$38,'MP (2011)'!$A$14:$AR$245,'MP (2011)'!$AJ$246,FALSE)</f>
        <v>522</v>
      </c>
      <c r="E100" s="150">
        <f>VLOOKUP($E$38,'MP (2011)'!$A$14:$AR$245,'MP (2011)'!$AJ$246,FALSE)</f>
        <v>515</v>
      </c>
      <c r="F100" s="151">
        <f>VLOOKUP($F$38,'MP (2011)'!$A$14:$AR$245,'MP (2011)'!$AJ$246,FALSE)</f>
        <v>507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35613</v>
      </c>
      <c r="D102" s="152">
        <f>SUM(D98:D101)</f>
        <v>35970</v>
      </c>
      <c r="E102" s="152">
        <f>SUM(E98:E101)</f>
        <v>36447</v>
      </c>
      <c r="F102" s="157">
        <f>SUM(F98:F101)</f>
        <v>36859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101.3312924927918</v>
      </c>
      <c r="E105" s="422">
        <f t="shared" si="5"/>
        <v>102.87972092692131</v>
      </c>
      <c r="F105" s="423">
        <f t="shared" si="5"/>
        <v>104.01879471754529</v>
      </c>
    </row>
    <row r="106" spans="2:7">
      <c r="B106" s="111" t="s">
        <v>180</v>
      </c>
      <c r="C106" s="422">
        <f t="shared" si="5"/>
        <v>100</v>
      </c>
      <c r="D106" s="422">
        <f t="shared" si="5"/>
        <v>99.77116704805492</v>
      </c>
      <c r="E106" s="422">
        <f t="shared" si="5"/>
        <v>100.47196796338673</v>
      </c>
      <c r="F106" s="423">
        <f t="shared" si="5"/>
        <v>101.90217391304348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99.808795411089875</v>
      </c>
      <c r="E107" s="422">
        <f t="shared" si="5"/>
        <v>98.470363288718929</v>
      </c>
      <c r="F107" s="423">
        <f t="shared" si="5"/>
        <v>96.940726577437857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Counties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30">
      <c r="B113" s="155" t="s">
        <v>308</v>
      </c>
      <c r="C113" s="146">
        <f>VLOOKUP($C$38,'MP (2011)'!$A$14:$AR$245,'MP (2011)'!$AA$246,FALSE)</f>
        <v>210435</v>
      </c>
      <c r="D113" s="150">
        <f>VLOOKUP($D$38,'MP (2011)'!$A$14:$AR$245,'MP (2011)'!$AA$246,FALSE)</f>
        <v>214017.72</v>
      </c>
      <c r="E113" s="150">
        <f>VLOOKUP($E$38,'MP (2011)'!$A$14:$AR$245,'MP (2011)'!$AA$246,FALSE)</f>
        <v>227438.92</v>
      </c>
      <c r="F113" s="151">
        <f>VLOOKUP($F$38,'MP (2011)'!$A$14:$AR$245,'MP (2011)'!$AA$246,FALSE)</f>
        <v>222496.04</v>
      </c>
    </row>
    <row r="114" spans="2:30">
      <c r="B114" s="155" t="s">
        <v>309</v>
      </c>
      <c r="C114" s="150">
        <f>VLOOKUP($C$38,'MP (2011)'!$A$14:$AR$245,'MP (2011)'!$AE$246,FALSE)</f>
        <v>89039</v>
      </c>
      <c r="D114" s="150">
        <f>VLOOKUP($D$38,'MP (2011)'!$A$14:$AR$245,'MP (2011)'!$AE$246,FALSE)</f>
        <v>90481.436000000002</v>
      </c>
      <c r="E114" s="150">
        <f>VLOOKUP($E$38,'MP (2011)'!$A$14:$AR$245,'MP (2011)'!$AE$246,FALSE)</f>
        <v>91672.691999999995</v>
      </c>
      <c r="F114" s="151">
        <f>VLOOKUP($F$38,'MP (2011)'!$A$14:$AR$245,'MP (2011)'!$AE$246,FALSE)</f>
        <v>93473.729000000007</v>
      </c>
    </row>
    <row r="115" spans="2:30">
      <c r="B115" s="155" t="s">
        <v>310</v>
      </c>
      <c r="C115" s="150">
        <f>VLOOKUP($C$38,'MP (2011)'!$A$14:$AR$245,'MP (2011)'!$AI$246,FALSE)</f>
        <v>112584</v>
      </c>
      <c r="D115" s="150">
        <f>VLOOKUP($D$38,'MP (2011)'!$A$14:$AR$245,'MP (2011)'!$AI$246,FALSE)</f>
        <v>117778.9</v>
      </c>
      <c r="E115" s="150">
        <f>VLOOKUP($E$38,'MP (2011)'!$A$14:$AR$245,'MP (2011)'!$AI$246,FALSE)</f>
        <v>110827.69</v>
      </c>
      <c r="F115" s="151">
        <f>VLOOKUP($F$38,'MP (2011)'!$A$14:$AR$245,'MP (2011)'!$AI$246,FALSE)</f>
        <v>119926.72</v>
      </c>
    </row>
    <row r="116" spans="2:30">
      <c r="B116" s="155" t="s">
        <v>311</v>
      </c>
      <c r="C116" s="150">
        <f>VLOOKUP($C$38,'MP (2011)'!$A$14:$AR$245,'MP (2011)'!$AM$246,FALSE)</f>
        <v>52811</v>
      </c>
      <c r="D116" s="150">
        <f>VLOOKUP($D$38,'MP (2011)'!$A$14:$AR$245,'MP (2011)'!$AM$246,FALSE)</f>
        <v>50493.358</v>
      </c>
      <c r="E116" s="150">
        <f>VLOOKUP($E$38,'MP (2011)'!$A$14:$AR$245,'MP (2011)'!$AM$246,FALSE)</f>
        <v>46131.385999999999</v>
      </c>
      <c r="F116" s="151">
        <f>VLOOKUP($F$38,'MP (2011)'!$A$14:$AR$245,'MP (2011)'!$AM$246,FALSE)</f>
        <v>49572.714</v>
      </c>
    </row>
    <row r="117" spans="2:30">
      <c r="B117" s="147" t="s">
        <v>254</v>
      </c>
      <c r="C117" s="158">
        <f>SUM(C113:C116)</f>
        <v>464869</v>
      </c>
      <c r="D117" s="158">
        <f>SUM(D113:D116)</f>
        <v>472771.41399999999</v>
      </c>
      <c r="E117" s="158">
        <f>SUM(E113:E116)</f>
        <v>476070.68800000002</v>
      </c>
      <c r="F117" s="159">
        <f>SUM(F113:F116)</f>
        <v>485469.20300000004</v>
      </c>
    </row>
    <row r="118" spans="2:30">
      <c r="B118" s="103" t="s">
        <v>306</v>
      </c>
    </row>
    <row r="119" spans="2:30">
      <c r="B119" s="137" t="str">
        <f>$B$2</f>
        <v>Counties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30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101.70253047259249</v>
      </c>
      <c r="E120" s="422">
        <f t="shared" si="6"/>
        <v>108.08036685912515</v>
      </c>
      <c r="F120" s="423">
        <f t="shared" si="6"/>
        <v>105.73148002946277</v>
      </c>
    </row>
    <row r="121" spans="2:30">
      <c r="B121" s="111" t="s">
        <v>180</v>
      </c>
      <c r="C121" s="422">
        <f t="shared" si="6"/>
        <v>100</v>
      </c>
      <c r="D121" s="422">
        <f t="shared" si="6"/>
        <v>101.62000471703412</v>
      </c>
      <c r="E121" s="422">
        <f t="shared" si="6"/>
        <v>102.95790833230383</v>
      </c>
      <c r="F121" s="423">
        <f t="shared" si="6"/>
        <v>104.98065903705118</v>
      </c>
      <c r="Q121" s="559"/>
      <c r="R121" s="559"/>
      <c r="S121" s="559"/>
      <c r="T121" s="559"/>
      <c r="U121" s="559"/>
      <c r="V121" s="559"/>
      <c r="W121" s="559"/>
      <c r="X121" s="559"/>
      <c r="Y121" s="559"/>
      <c r="Z121" s="559"/>
      <c r="AA121" s="559"/>
      <c r="AB121" s="559"/>
      <c r="AC121" s="559"/>
      <c r="AD121" s="559"/>
    </row>
    <row r="122" spans="2:30">
      <c r="B122" s="111" t="s">
        <v>184</v>
      </c>
      <c r="C122" s="422">
        <f t="shared" si="6"/>
        <v>100</v>
      </c>
      <c r="D122" s="422">
        <f t="shared" si="6"/>
        <v>104.61424358701059</v>
      </c>
      <c r="E122" s="422">
        <f t="shared" si="6"/>
        <v>98.440000355290266</v>
      </c>
      <c r="F122" s="423">
        <f t="shared" si="6"/>
        <v>106.52199246784623</v>
      </c>
      <c r="Q122" s="559"/>
      <c r="R122" s="559"/>
      <c r="S122" s="559"/>
      <c r="T122" s="559"/>
      <c r="U122" s="559"/>
      <c r="V122" s="559"/>
      <c r="W122" s="559"/>
      <c r="X122" s="559"/>
      <c r="Y122" s="559"/>
      <c r="Z122" s="559"/>
      <c r="AA122" s="559"/>
      <c r="AB122" s="559"/>
      <c r="AC122" s="559"/>
      <c r="AD122" s="559"/>
    </row>
    <row r="123" spans="2:30">
      <c r="B123" s="115" t="s">
        <v>181</v>
      </c>
      <c r="C123" s="424">
        <f t="shared" si="6"/>
        <v>100</v>
      </c>
      <c r="D123" s="424">
        <f t="shared" si="6"/>
        <v>95.61144079831854</v>
      </c>
      <c r="E123" s="424">
        <f t="shared" si="6"/>
        <v>87.351850940145042</v>
      </c>
      <c r="F123" s="416">
        <f t="shared" si="6"/>
        <v>93.868160042415411</v>
      </c>
      <c r="Q123" s="559"/>
      <c r="R123" s="559"/>
      <c r="S123" s="559"/>
      <c r="T123" s="559"/>
      <c r="U123" s="559"/>
      <c r="V123" s="559"/>
      <c r="W123" s="559"/>
      <c r="X123" s="559"/>
      <c r="Y123" s="559"/>
      <c r="Z123" s="559"/>
      <c r="AA123" s="559"/>
      <c r="AB123" s="559"/>
      <c r="AC123" s="559"/>
      <c r="AD123" s="559"/>
    </row>
    <row r="124" spans="2:30">
      <c r="Q124" s="559"/>
      <c r="R124" s="559"/>
      <c r="S124" s="559"/>
      <c r="T124" s="559"/>
      <c r="U124" s="559"/>
      <c r="V124" s="559"/>
      <c r="W124" s="559"/>
      <c r="X124" s="559"/>
      <c r="Y124" s="559"/>
      <c r="Z124" s="559"/>
      <c r="AA124" s="559"/>
      <c r="AB124" s="559"/>
      <c r="AC124" s="559"/>
      <c r="AD124" s="559"/>
    </row>
    <row r="125" spans="2:30">
      <c r="Q125" s="559"/>
      <c r="R125" s="559"/>
      <c r="S125" s="559"/>
      <c r="T125" s="559"/>
      <c r="U125" s="559"/>
      <c r="V125" s="559"/>
      <c r="W125" s="559"/>
      <c r="X125" s="559"/>
      <c r="Y125" s="559"/>
      <c r="Z125" s="559"/>
      <c r="AA125" s="559"/>
      <c r="AB125" s="559"/>
      <c r="AC125" s="559"/>
      <c r="AD125" s="559"/>
    </row>
    <row r="126" spans="2:30">
      <c r="B126" s="517" t="s">
        <v>256</v>
      </c>
      <c r="C126" s="510"/>
      <c r="D126" s="510"/>
      <c r="E126" s="510"/>
      <c r="F126" s="511"/>
      <c r="Q126" s="559"/>
      <c r="R126" s="559"/>
      <c r="S126" s="559"/>
      <c r="T126" s="559"/>
      <c r="U126" s="559"/>
      <c r="V126" s="559"/>
      <c r="W126" s="559"/>
      <c r="X126" s="559"/>
      <c r="Y126" s="559"/>
      <c r="Z126" s="559"/>
      <c r="AA126" s="559"/>
      <c r="AB126" s="559"/>
      <c r="AC126" s="559"/>
      <c r="AD126" s="559"/>
    </row>
    <row r="127" spans="2:30">
      <c r="B127" s="137" t="str">
        <f>$B$2</f>
        <v>Counties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  <c r="Q127" s="559"/>
      <c r="R127" s="559"/>
      <c r="S127" s="559"/>
      <c r="T127" s="559"/>
      <c r="U127" s="559"/>
      <c r="V127" s="559"/>
      <c r="W127" s="559"/>
      <c r="X127" s="559"/>
      <c r="Y127" s="559"/>
      <c r="Z127" s="559"/>
      <c r="AA127" s="559"/>
      <c r="AB127" s="559"/>
      <c r="AC127" s="559"/>
      <c r="AD127" s="559"/>
    </row>
    <row r="128" spans="2:30">
      <c r="B128" s="162" t="s">
        <v>259</v>
      </c>
      <c r="C128" s="439">
        <f>VLOOKUP($C$38,'FS (2011)'!$A$13:$AH$244,'FS (2011)'!$I$245,FALSE)</f>
        <v>29331.831712811152</v>
      </c>
      <c r="D128" s="433">
        <f>VLOOKUP($D$38,'FS (2011)'!$A$13:$AH$244,'FS (2011)'!$I$245,FALSE)</f>
        <v>30873.971034388076</v>
      </c>
      <c r="E128" s="433">
        <f>VLOOKUP($E$38,'FS (2011)'!$A$13:$AH$244,'FS (2011)'!$I$245,FALSE)</f>
        <v>31508.638644337254</v>
      </c>
      <c r="F128" s="440">
        <f>VLOOKUP($F$38,'FS (2011)'!$A$13:$AH$244,'FS (2011)'!$I$245,FALSE)</f>
        <v>30915</v>
      </c>
      <c r="G128" s="121"/>
      <c r="Q128" s="559"/>
      <c r="R128" s="559"/>
      <c r="S128" s="559"/>
      <c r="T128" s="559"/>
      <c r="U128" s="559"/>
      <c r="V128" s="559"/>
      <c r="W128" s="559"/>
      <c r="X128" s="559"/>
      <c r="Y128" s="559"/>
      <c r="Z128" s="559"/>
      <c r="AA128" s="559"/>
      <c r="AB128" s="559"/>
      <c r="AC128" s="559"/>
      <c r="AD128" s="559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12798.813078127227</v>
      </c>
      <c r="D129" s="433">
        <f>VLOOKUP($D$38,'FS (2011)'!$A$13:$AH$244,'FS (2011)'!$Y$245,FALSE)+VLOOKUP($D$38,'FS (2011)'!$A$13:$AH$244,'FS (2011)'!$Z$245,FALSE)</f>
        <v>6165.8595344086734</v>
      </c>
      <c r="E129" s="433">
        <f>VLOOKUP($E$38,'FS (2011)'!$A$13:$AH$244,'FS (2011)'!$Y$245,FALSE)+VLOOKUP($E$38,'FS (2011)'!$A$13:$AH$244,'FS (2011)'!$Z$245,FALSE)</f>
        <v>3028.8180829942603</v>
      </c>
      <c r="F129" s="440">
        <f>VLOOKUP($F$38,'FS (2011)'!$A$13:$AH$244,'FS (2011)'!$Y$245,FALSE)+VLOOKUP($F$38,'FS (2011)'!$A$13:$AH$244,'FS (2011)'!$Z$245,FALSE)</f>
        <v>6324.2286999999997</v>
      </c>
      <c r="G129" s="121"/>
      <c r="Q129" s="559"/>
      <c r="R129" s="559"/>
      <c r="S129" s="559"/>
      <c r="T129" s="559"/>
      <c r="U129" s="559"/>
      <c r="V129" s="559"/>
      <c r="W129" s="559"/>
      <c r="X129" s="559"/>
      <c r="Y129" s="559"/>
      <c r="Z129" s="559"/>
      <c r="AA129" s="559"/>
      <c r="AB129" s="559"/>
      <c r="AC129" s="559"/>
      <c r="AD129" s="559"/>
    </row>
    <row r="130" spans="1:30">
      <c r="B130" s="162" t="s">
        <v>191</v>
      </c>
      <c r="C130" s="441">
        <f>VLOOKUP($C$38,'FS (2011)'!$A$13:$AH$244,'FS (2011)'!$J$245,FALSE)</f>
        <v>7070.1713666562109</v>
      </c>
      <c r="D130" s="433">
        <f>VLOOKUP($D$38,'FS (2011)'!$A$13:$AH$244,'FS (2011)'!$J$245,FALSE)</f>
        <v>7723.4237078728784</v>
      </c>
      <c r="E130" s="433">
        <f>VLOOKUP($E$38,'FS (2011)'!$A$13:$AH$244,'FS (2011)'!$J$245,FALSE)</f>
        <v>8129.2406763493291</v>
      </c>
      <c r="F130" s="440">
        <f>VLOOKUP($F$38,'FS (2011)'!$A$13:$AH$244,'FS (2011)'!$J$245,FALSE)</f>
        <v>8022</v>
      </c>
      <c r="Q130" s="559"/>
      <c r="R130" s="559"/>
      <c r="S130" s="559"/>
      <c r="T130" s="559"/>
      <c r="U130" s="559"/>
      <c r="V130" s="559"/>
      <c r="W130" s="559"/>
      <c r="X130" s="559"/>
      <c r="Y130" s="559"/>
      <c r="Z130" s="559"/>
      <c r="AA130" s="559"/>
      <c r="AB130" s="559"/>
      <c r="AC130" s="559"/>
      <c r="AD130" s="559"/>
    </row>
    <row r="131" spans="1:30">
      <c r="B131" s="162" t="s">
        <v>182</v>
      </c>
      <c r="C131" s="441">
        <f>VLOOKUP($C$38,'FS (2011)'!$A$13:$AH$244,'FS (2011)'!$S$245,FALSE)</f>
        <v>9969.1788087023451</v>
      </c>
      <c r="D131" s="433">
        <f>VLOOKUP($D$38,'FS (2011)'!$A$13:$AH$244,'FS (2011)'!$S$245,FALSE)</f>
        <v>10147.374562427069</v>
      </c>
      <c r="E131" s="433">
        <f>VLOOKUP($E$38,'FS (2011)'!$A$13:$AH$244,'FS (2011)'!$S$245,FALSE)</f>
        <v>9782.8573738244704</v>
      </c>
      <c r="F131" s="440">
        <f>VLOOKUP($F$38,'FS (2011)'!$A$13:$AH$244,'FS (2011)'!$S$245,FALSE)</f>
        <v>9843</v>
      </c>
      <c r="I131" s="139"/>
      <c r="Q131" s="559"/>
      <c r="R131" s="559"/>
      <c r="S131" s="559"/>
      <c r="T131" s="559"/>
      <c r="U131" s="559"/>
      <c r="V131" s="559"/>
      <c r="W131" s="559"/>
      <c r="X131" s="559"/>
      <c r="Y131" s="559"/>
      <c r="Z131" s="559"/>
      <c r="AA131" s="559"/>
      <c r="AB131" s="559"/>
      <c r="AC131" s="559"/>
      <c r="AD131" s="559"/>
    </row>
    <row r="132" spans="1:30">
      <c r="B132" s="162" t="s">
        <v>143</v>
      </c>
      <c r="C132" s="441">
        <f>VLOOKUP($C$38,'FS (2011)'!$A$13:$AH$244,'FS (2011)'!$U$245,FALSE)</f>
        <v>6641.9521745886905</v>
      </c>
      <c r="D132" s="433">
        <f>VLOOKUP($D$38,'FS (2011)'!$A$13:$AH$244,'FS (2011)'!$U$245,FALSE)</f>
        <v>4857.8393885647592</v>
      </c>
      <c r="E132" s="433">
        <f>VLOOKUP($E$38,'FS (2011)'!$A$13:$AH$244,'FS (2011)'!$U$245,FALSE)</f>
        <v>7136.0942060305561</v>
      </c>
      <c r="F132" s="440">
        <f>VLOOKUP($F$38,'FS (2011)'!$A$13:$AH$244,'FS (2011)'!$U$245,FALSE)</f>
        <v>7141.1477999999997</v>
      </c>
      <c r="Q132" s="559"/>
      <c r="R132" s="559"/>
      <c r="S132" s="559"/>
      <c r="T132" s="559"/>
      <c r="U132" s="559"/>
      <c r="V132" s="559"/>
      <c r="W132" s="559"/>
      <c r="X132" s="559"/>
      <c r="Y132" s="559"/>
      <c r="Z132" s="559"/>
      <c r="AA132" s="559"/>
      <c r="AB132" s="559"/>
      <c r="AC132" s="559"/>
      <c r="AD132" s="559"/>
    </row>
    <row r="133" spans="1:30">
      <c r="B133" s="162" t="s">
        <v>196</v>
      </c>
      <c r="C133" s="441">
        <f>VLOOKUP($C$38,'FS (2011)'!$A$13:$AH$244,'FS (2011)'!$X$245,FALSE)</f>
        <v>-809.05896432950294</v>
      </c>
      <c r="D133" s="433">
        <f>VLOOKUP($D$38,'FS (2011)'!$A$13:$AH$244,'FS (2011)'!$X$245,FALSE)</f>
        <v>-361.62163951952766</v>
      </c>
      <c r="E133" s="433">
        <f>VLOOKUP($E$38,'FS (2011)'!$A$13:$AH$244,'FS (2011)'!$X$245,FALSE)</f>
        <v>260.31868651612729</v>
      </c>
      <c r="F133" s="440">
        <f>VLOOKUP($F$38,'FS (2011)'!$A$13:$AH$244,'FS (2011)'!$X$245,FALSE)</f>
        <v>-143.25961000000001</v>
      </c>
      <c r="Q133" s="559"/>
      <c r="R133" s="559"/>
      <c r="S133" s="559"/>
      <c r="T133" s="559"/>
      <c r="U133" s="559"/>
      <c r="V133" s="559"/>
      <c r="W133" s="559"/>
      <c r="X133" s="559"/>
      <c r="Y133" s="559"/>
      <c r="Z133" s="559"/>
      <c r="AA133" s="559"/>
      <c r="AB133" s="559"/>
      <c r="AC133" s="559"/>
      <c r="AD133" s="559"/>
    </row>
    <row r="134" spans="1:30">
      <c r="B134" s="164" t="s">
        <v>258</v>
      </c>
      <c r="C134" s="442">
        <f>VLOOKUP($C$38,'FS (2011)'!$A$13:$AH$244,'FS (2011)'!$AA$245,FALSE)</f>
        <v>19258.401836560119</v>
      </c>
      <c r="D134" s="435">
        <f>VLOOKUP($D$38,'FS (2011)'!$A$13:$AH$244,'FS (2011)'!$AA$245,FALSE)</f>
        <v>14672.815026975079</v>
      </c>
      <c r="E134" s="435">
        <f>VLOOKUP($E$38,'FS (2011)'!$A$13:$AH$244,'FS (2011)'!$AA$245,FALSE)</f>
        <v>9229.6297593705349</v>
      </c>
      <c r="F134" s="443">
        <f>VLOOKUP($F$38,'FS (2011)'!$A$13:$AH$244,'FS (2011)'!$AA$245,FALSE)</f>
        <v>12376.34</v>
      </c>
      <c r="Q134" s="559"/>
      <c r="R134" s="559"/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 t="shared" ref="A138:A143" si="7">RANK(D138,$D$138:$D$144)</f>
        <v>2</v>
      </c>
      <c r="B138" s="166" t="s">
        <v>204</v>
      </c>
      <c r="C138" s="167"/>
      <c r="D138" s="444">
        <f>VLOOKUP($D$6,'FS (2011)'!$A$13:$AH$244,'FS (2011)'!$L$245,FALSE)</f>
        <v>1831</v>
      </c>
      <c r="E138" s="446">
        <f t="shared" ref="E138:E144" si="8">D138/$D$145</f>
        <v>0.18602052219851672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4188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si="7"/>
        <v>1</v>
      </c>
      <c r="B139" s="162" t="s">
        <v>199</v>
      </c>
      <c r="C139" s="121"/>
      <c r="D139" s="441">
        <f>VLOOKUP($D$6,'FS (2011)'!$A$13:$AH$244,'FS (2011)'!K245,FALSE)</f>
        <v>4188</v>
      </c>
      <c r="E139" s="414">
        <f t="shared" si="8"/>
        <v>0.42548003657421518</v>
      </c>
      <c r="Q139" s="559"/>
      <c r="R139" s="559"/>
      <c r="S139" s="559"/>
      <c r="T139" s="559">
        <v>2</v>
      </c>
      <c r="U139" s="559" t="str">
        <f t="shared" ref="U139:U144" si="9">VLOOKUP(T139,$A$138:$E$144,2,FALSE)</f>
        <v>System management and operations</v>
      </c>
      <c r="V139" s="559">
        <f t="shared" ref="V139:V144" si="10">VLOOKUP(T139,$A$138:$E$144,4,FALSE)</f>
        <v>1831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7"/>
        <v>4</v>
      </c>
      <c r="B140" s="162" t="s">
        <v>201</v>
      </c>
      <c r="C140" s="121"/>
      <c r="D140" s="441">
        <f>VLOOKUP($D$6,'FS (2011)'!$A$13:$AH$244,'FS (2011)'!M245,FALSE)</f>
        <v>1342</v>
      </c>
      <c r="E140" s="414">
        <f t="shared" si="8"/>
        <v>0.13634054658132683</v>
      </c>
      <c r="Q140" s="559"/>
      <c r="R140" s="559"/>
      <c r="S140" s="559"/>
      <c r="T140" s="559">
        <v>3</v>
      </c>
      <c r="U140" s="559" t="str">
        <f t="shared" si="9"/>
        <v>Fault and emergency maintenance</v>
      </c>
      <c r="V140" s="559">
        <f t="shared" si="10"/>
        <v>1695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7"/>
        <v>5</v>
      </c>
      <c r="B141" s="162" t="s">
        <v>202</v>
      </c>
      <c r="C141" s="121"/>
      <c r="D141" s="441">
        <f>VLOOKUP($D$6,'FS (2011)'!$A$13:$AH$244,'FS (2011)'!N245,FALSE)</f>
        <v>787</v>
      </c>
      <c r="E141" s="414">
        <f t="shared" si="8"/>
        <v>7.9955298181448739E-2</v>
      </c>
      <c r="Q141" s="559"/>
      <c r="R141" s="559"/>
      <c r="S141" s="559"/>
      <c r="T141" s="559">
        <v>4</v>
      </c>
      <c r="U141" s="559" t="str">
        <f t="shared" si="9"/>
        <v>Routine and preventative maintenance</v>
      </c>
      <c r="V141" s="559">
        <f t="shared" si="10"/>
        <v>1342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7"/>
        <v>3</v>
      </c>
      <c r="B142" s="162" t="s">
        <v>203</v>
      </c>
      <c r="C142" s="121"/>
      <c r="D142" s="441">
        <f>VLOOKUP($D$6,'FS (2011)'!$A$13:$AH$244,'FS (2011)'!O245,FALSE)</f>
        <v>1695</v>
      </c>
      <c r="E142" s="414">
        <f t="shared" si="8"/>
        <v>0.17220359646449254</v>
      </c>
      <c r="Q142" s="559"/>
      <c r="R142" s="559"/>
      <c r="S142" s="559"/>
      <c r="T142" s="559">
        <v>5</v>
      </c>
      <c r="U142" s="559" t="str">
        <f t="shared" si="9"/>
        <v>Refurbishment and renewal maintenance</v>
      </c>
      <c r="V142" s="559">
        <f t="shared" si="10"/>
        <v>787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7"/>
        <v>6</v>
      </c>
      <c r="B143" s="162" t="s">
        <v>13</v>
      </c>
      <c r="C143" s="121"/>
      <c r="D143" s="441">
        <f>VLOOKUP($D$6,'FS (2011)'!$A$13:$AH$244,'FS (2011)'!R245,FALSE)</f>
        <v>0</v>
      </c>
      <c r="E143" s="414">
        <f t="shared" si="8"/>
        <v>0</v>
      </c>
      <c r="Q143" s="559"/>
      <c r="R143" s="559"/>
      <c r="S143" s="559"/>
      <c r="T143" s="559">
        <v>6</v>
      </c>
      <c r="U143" s="559" t="str">
        <f t="shared" si="9"/>
        <v>Other</v>
      </c>
      <c r="V143" s="559">
        <f t="shared" si="10"/>
        <v>0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v>7</v>
      </c>
      <c r="B144" s="162" t="s">
        <v>200</v>
      </c>
      <c r="C144" s="121"/>
      <c r="D144" s="441">
        <f>VLOOKUP($D$6,'FS (2011)'!$A$13:$AH$244,'FS (2011)'!P245,FALSE)</f>
        <v>0</v>
      </c>
      <c r="E144" s="414">
        <f t="shared" si="8"/>
        <v>0</v>
      </c>
      <c r="Q144" s="559"/>
      <c r="R144" s="559"/>
      <c r="S144" s="559"/>
      <c r="T144" s="559">
        <v>7</v>
      </c>
      <c r="U144" s="559" t="str">
        <f t="shared" si="9"/>
        <v>Pass-through costs</v>
      </c>
      <c r="V144" s="559">
        <f t="shared" si="10"/>
        <v>0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9843</v>
      </c>
      <c r="E145" s="447">
        <f>SUM(E138:E144)</f>
        <v>1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3.5387865175177167</v>
      </c>
      <c r="F149" s="455">
        <f>(VLOOKUP(F$38,'FS (2011)'!$A$13:$AH$244,'FS (2011)'!$M$245,FALSE)+VLOOKUP(F$38,'FS (2011)'!$A$13:$AH$244,'FS (2011)'!$N$245,FALSE)+VLOOKUP(F$38,'FS (2011)'!$A$13:$AH$244,'FS (2011)'!$O$245,FALSE))/1000</f>
        <v>3.8239999999999998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6.2424410864703175</v>
      </c>
      <c r="F150" s="457">
        <f>(VLOOKUP(F$38,'FS (2011)'!$A$13:$AH$244,'FS (2011)'!$L$245,FALSE)+VLOOKUP(F$38,'FS (2011)'!$A$13:$AH$244,'FS (2011)'!$K$245,FALSE))/1000</f>
        <v>6.0190000000000001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0</v>
      </c>
      <c r="F151" s="457">
        <f>(VLOOKUP(F$38,'FS (2011)'!$A$13:$AH$244,'FS (2011)'!$R$245,FALSE)+VLOOKUP(F$38,'FS (2011)'!$A$13:$AH$244,'FS (2011)'!$P$245,FALSE)+VLOOKUP(F$38,'FS (2011)'!$A$13:$AH$244,'FS (2011)'!$Q$245,FALSE))/1000</f>
        <v>0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9.9691788087023454</v>
      </c>
      <c r="D152" s="458">
        <f>VLOOKUP($D$38,'FS (2011)'!$A$13:$AH$244,'FS (2011)'!$S$245,FALSE)/1000</f>
        <v>10.147374562427069</v>
      </c>
      <c r="E152" s="459">
        <f>VLOOKUP($E$38,'FS (2011)'!$A$13:$AH$244,'FS (2011)'!$S$245,FALSE)/1000</f>
        <v>9.78285737382447</v>
      </c>
      <c r="F152" s="460">
        <f>VLOOKUP($F$38,'FS (2011)'!$A$13:$AH$244,'FS (2011)'!$S$245,FALSE)/1000</f>
        <v>9.843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8.0596408138896791E-2</v>
      </c>
      <c r="D154" s="464" t="str">
        <f t="shared" ref="D154:E157" si="11">IF(ISERROR(D149/C149 - 1),"",(D149/C149 - 1))</f>
        <v/>
      </c>
      <c r="E154" s="464" t="str">
        <f t="shared" si="11"/>
        <v/>
      </c>
      <c r="F154" s="465">
        <f>IF(ISERROR(F149/E149 - 1),"",(F149/E149 - 1))</f>
        <v>8.0596408138896791E-2</v>
      </c>
      <c r="Q154" s="559"/>
      <c r="R154" s="559" t="s">
        <v>423</v>
      </c>
      <c r="S154" s="559" t="e">
        <f t="shared" ref="S154:V157" si="12">LN(C149)</f>
        <v>#NUM!</v>
      </c>
      <c r="T154" s="559" t="e">
        <f t="shared" si="12"/>
        <v>#NUM!</v>
      </c>
      <c r="U154" s="559">
        <f t="shared" si="12"/>
        <v>1.2637838767175293</v>
      </c>
      <c r="V154" s="559">
        <f t="shared" si="12"/>
        <v>1.3412969951891549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-3.5793863870753562E-2</v>
      </c>
      <c r="D155" s="467" t="str">
        <f t="shared" si="11"/>
        <v/>
      </c>
      <c r="E155" s="467" t="str">
        <f t="shared" si="11"/>
        <v/>
      </c>
      <c r="F155" s="468">
        <f>IF(ISERROR(F150/E150 - 1),"",(F150/E150 - 1))</f>
        <v>-3.5793863870753562E-2</v>
      </c>
      <c r="Q155" s="559"/>
      <c r="R155" s="559" t="s">
        <v>423</v>
      </c>
      <c r="S155" s="559" t="e">
        <f t="shared" si="12"/>
        <v>#NUM!</v>
      </c>
      <c r="T155" s="559" t="e">
        <f t="shared" si="12"/>
        <v>#NUM!</v>
      </c>
      <c r="U155" s="559">
        <f t="shared" si="12"/>
        <v>1.8313713056375209</v>
      </c>
      <c r="V155" s="559">
        <f t="shared" si="12"/>
        <v>1.7949211325656338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 t="str">
        <f t="shared" si="13"/>
        <v/>
      </c>
      <c r="D156" s="467" t="str">
        <f t="shared" si="11"/>
        <v/>
      </c>
      <c r="E156" s="467" t="str">
        <f t="shared" si="11"/>
        <v/>
      </c>
      <c r="F156" s="468" t="str">
        <f>IF(ISERROR(F151/E151 - 1),"",(F151/E151 - 1))</f>
        <v/>
      </c>
      <c r="Q156" s="559"/>
      <c r="R156" s="559" t="s">
        <v>423</v>
      </c>
      <c r="S156" s="559" t="e">
        <f t="shared" si="12"/>
        <v>#NUM!</v>
      </c>
      <c r="T156" s="559" t="e">
        <f t="shared" si="12"/>
        <v>#NUM!</v>
      </c>
      <c r="U156" s="559" t="e">
        <f t="shared" si="12"/>
        <v>#NUM!</v>
      </c>
      <c r="V156" s="559" t="e">
        <f t="shared" si="12"/>
        <v>#NUM!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-7.4517387871613217E-3</v>
      </c>
      <c r="D157" s="470">
        <f t="shared" si="11"/>
        <v>1.7874667226268626E-2</v>
      </c>
      <c r="E157" s="470">
        <f t="shared" si="11"/>
        <v>-3.5922315310238595E-2</v>
      </c>
      <c r="F157" s="471">
        <f>IF(ISERROR(F152/E152 - 1),"",(F152/E152 - 1))</f>
        <v>6.147756619293121E-3</v>
      </c>
      <c r="N157" s="136"/>
      <c r="O157" s="136"/>
      <c r="Q157" s="559"/>
      <c r="R157" s="559" t="s">
        <v>423</v>
      </c>
      <c r="S157" s="559">
        <f t="shared" si="12"/>
        <v>2.299498214353012</v>
      </c>
      <c r="T157" s="559">
        <f t="shared" si="12"/>
        <v>2.3172150082282568</v>
      </c>
      <c r="U157" s="559">
        <f t="shared" si="12"/>
        <v>2.2806316063875669</v>
      </c>
      <c r="V157" s="559">
        <f t="shared" si="12"/>
        <v>2.2867605426470741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Counties</v>
      </c>
      <c r="C162" s="456">
        <f>(C152/C102)*1000000</f>
        <v>279.93089064954779</v>
      </c>
      <c r="D162" s="456">
        <f>(D152/D102)*1000000</f>
        <v>282.10660446002413</v>
      </c>
      <c r="E162" s="456">
        <f>(E152/E102)*1000000</f>
        <v>268.41324042649518</v>
      </c>
      <c r="F162" s="457">
        <f>(F152/F102)*1000000</f>
        <v>267.04468379500258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Counties</v>
      </c>
      <c r="C165" s="456">
        <f>C152/VLOOKUP(C$38,'MP (2011)'!$A$14:$AR$245,'MP (2011)'!$H$246,FALSE)*1000000</f>
        <v>3350.8941401654806</v>
      </c>
      <c r="D165" s="456">
        <f>D152/VLOOKUP(D$38,'MP (2011)'!$A$14:$AR$245,'MP (2011)'!$H$246,FALSE)*1000000</f>
        <v>3372.3325342195267</v>
      </c>
      <c r="E165" s="456">
        <f>E152/VLOOKUP(E$38,'MP (2011)'!$A$14:$AR$245,'MP (2011)'!$H$246,FALSE)*1000000</f>
        <v>3236.6861586934565</v>
      </c>
      <c r="F165" s="457">
        <f>F152/VLOOKUP(F$38,'MP (2011)'!$A$14:$AR$245,'MP (2011)'!$H$246,FALSE)*1000000</f>
        <v>3245.4965397032242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Counties</v>
      </c>
      <c r="C168" s="456">
        <f>(C152/C117)*1000000</f>
        <v>21.44513574512894</v>
      </c>
      <c r="D168" s="456">
        <f>(D152/D117)*1000000</f>
        <v>21.463595856129892</v>
      </c>
      <c r="E168" s="456">
        <f>(E152/E117)*1000000</f>
        <v>20.54916973553404</v>
      </c>
      <c r="F168" s="457">
        <f>(F152/F117)*1000000</f>
        <v>20.27523051755767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-1.8932246169366618E-2</v>
      </c>
      <c r="D171" s="464">
        <f>IF(ISERROR(D162/C162 - 1),"",(D162/C162 - 1))</f>
        <v>7.7723248242729248E-3</v>
      </c>
      <c r="E171" s="464">
        <f>IF(ISERROR(E162/D162 - 1),"",(E162/D162 - 1))</f>
        <v>-4.8539679032822414E-2</v>
      </c>
      <c r="F171" s="465">
        <f>IF(ISERROR(F162/E162 - 1),"",(F162/E162 - 1))</f>
        <v>-5.0986927072524946E-3</v>
      </c>
      <c r="H171" s="139"/>
      <c r="Q171" s="559"/>
      <c r="R171" s="559" t="s">
        <v>423</v>
      </c>
      <c r="S171" s="559">
        <f>LN(C162)</f>
        <v>5.6345427535956425</v>
      </c>
      <c r="T171" s="559">
        <f>LN(D162)</f>
        <v>5.6422850295028608</v>
      </c>
      <c r="U171" s="559">
        <f>LN(E162)</f>
        <v>5.5925277348289892</v>
      </c>
      <c r="V171" s="559">
        <f>LN(F162)</f>
        <v>5.5874159994354207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-1.3599797954354509E-2</v>
      </c>
      <c r="D172" s="467">
        <f>IF(ISERROR(D165/C165 - 1),"",(D165/C165 - 1))</f>
        <v>6.3978129888004887E-3</v>
      </c>
      <c r="E172" s="467">
        <f>IF(ISERROR(E165/D165 - 1),"",(E165/D165 - 1))</f>
        <v>-4.0223309578651389E-2</v>
      </c>
      <c r="F172" s="468">
        <f>IF(ISERROR(F165/E165 - 1),"",(F165/E165 - 1))</f>
        <v>2.7220374722163321E-3</v>
      </c>
      <c r="Q172" s="559"/>
      <c r="R172" s="559" t="s">
        <v>423</v>
      </c>
      <c r="S172" s="559">
        <f>LN(C165)</f>
        <v>8.1169824967177231</v>
      </c>
      <c r="T172" s="559">
        <f>LN(D165)</f>
        <v>8.1233599305760631</v>
      </c>
      <c r="U172" s="559">
        <f>LN(E165)</f>
        <v>8.082305294852512</v>
      </c>
      <c r="V172" s="559">
        <f>LN(F165)</f>
        <v>8.0850236342900015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-2.0960351332672045E-2</v>
      </c>
      <c r="D173" s="470">
        <f>IF(ISERROR(D168/C168 - 1),"",(D168/C168 - 1))</f>
        <v>8.6080644209229895E-4</v>
      </c>
      <c r="E173" s="470">
        <f>IF(ISERROR(E168/D168 - 1),"",(E168/D168 - 1))</f>
        <v>-4.2603584540318096E-2</v>
      </c>
      <c r="F173" s="471">
        <f>IF(ISERROR(F168/E168 - 1),"",(F168/E168 - 1))</f>
        <v>-1.333091416840404E-2</v>
      </c>
      <c r="Q173" s="559"/>
      <c r="R173" s="559" t="s">
        <v>423</v>
      </c>
      <c r="S173" s="559">
        <f>LN(C168)</f>
        <v>3.0654978478685555</v>
      </c>
      <c r="T173" s="559">
        <f>LN(D168)</f>
        <v>3.0663582840292607</v>
      </c>
      <c r="U173" s="559">
        <f>LN(E168)</f>
        <v>3.0228205379622604</v>
      </c>
      <c r="V173" s="559">
        <f>LN(F168)</f>
        <v>3.0093999694834612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Counties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3538.7865175177167</v>
      </c>
      <c r="X176" s="563">
        <f>D178</f>
        <v>3824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Counties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3403.0706549271104</v>
      </c>
      <c r="X177" s="563">
        <f t="shared" si="14"/>
        <v>3550.6413192853861</v>
      </c>
      <c r="Y177" s="563">
        <f t="shared" si="14"/>
        <v>3639.2799978443049</v>
      </c>
      <c r="Z177" s="563">
        <f t="shared" si="14"/>
        <v>3729.956347174691</v>
      </c>
      <c r="AA177" s="563">
        <f t="shared" si="14"/>
        <v>3820.632696505078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3538.7865175177167</v>
      </c>
      <c r="D178" s="461">
        <f>VLOOKUP(F38,'FS (2011)'!$A$14:$T$246,'FS (2011)'!$M$245,FALSE)+VLOOKUP(F38,'FS (2011)'!$A$14:$AO$245,'FS (2011)'!$N$245,FALSE)+VLOOKUP(F38,'FS (2011)'!$A$14:$AO$245,'FS (2011)'!$O$245,FALSE)</f>
        <v>3824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3485</v>
      </c>
      <c r="Y178" s="563">
        <f t="shared" si="14"/>
        <v>3572</v>
      </c>
      <c r="Z178" s="563">
        <f t="shared" si="14"/>
        <v>3661</v>
      </c>
      <c r="AA178" s="563">
        <f t="shared" si="14"/>
        <v>3750</v>
      </c>
      <c r="AB178" s="563">
        <f>H180</f>
        <v>3838.9999999999991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3403.0706549271104</v>
      </c>
      <c r="D179" s="461">
        <f>VLOOKUP(D182,'AM (2011)'!$A$10:$N$444,'AM (2011)'!$N$445,FALSE)</f>
        <v>3550.6413192853861</v>
      </c>
      <c r="E179" s="461">
        <f>VLOOKUP(E182,'AM (2011)'!$A$10:$N$444,'AM (2011)'!$N$445,FALSE)</f>
        <v>3639.2799978443049</v>
      </c>
      <c r="F179" s="461">
        <f>VLOOKUP(F182,'AM (2011)'!$A$10:$N$444,'AM (2011)'!$N$445,FALSE)</f>
        <v>3729.956347174691</v>
      </c>
      <c r="G179" s="461">
        <f>VLOOKUP(G182,'AM (2011)'!$A$10:$N$444,'AM (2011)'!$N$445,FALSE)</f>
        <v>3820.632696505078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3492.1716829993534</v>
      </c>
      <c r="Z179" s="563">
        <f>F181</f>
        <v>3579.1185520361992</v>
      </c>
      <c r="AA179" s="563">
        <f>G181</f>
        <v>3666.1279896574015</v>
      </c>
      <c r="AB179" s="563">
        <f>H181</f>
        <v>3753.1374272786038</v>
      </c>
      <c r="AC179" s="563">
        <f>I181</f>
        <v>3840.1468648998061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3485</v>
      </c>
      <c r="E180" s="461">
        <f>VLOOKUP(E183,'AM (2011)'!$A$10:$N$444,'AM (2011)'!$N$445,FALSE)</f>
        <v>3572</v>
      </c>
      <c r="F180" s="461">
        <f>VLOOKUP(F183,'AM (2011)'!$A$10:$N$444,'AM (2011)'!$N$445,FALSE)</f>
        <v>3661</v>
      </c>
      <c r="G180" s="461">
        <f>VLOOKUP(G183,'AM (2011)'!$A$10:$N$444,'AM (2011)'!$N$445,FALSE)</f>
        <v>3750</v>
      </c>
      <c r="H180" s="461">
        <f>VLOOKUP(H183,'AM (2011)'!$A$10:$N$444,'AM (2011)'!$N$445,FALSE)</f>
        <v>3838.9999999999991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3492.1716829993534</v>
      </c>
      <c r="F181" s="493">
        <f>VLOOKUP(F184,'AM (2011)'!$A$10:$N$444,'AM (2011)'!$N$445,FALSE)</f>
        <v>3579.1185520361992</v>
      </c>
      <c r="G181" s="493">
        <f>VLOOKUP(G184,'AM (2011)'!$A$10:$N$444,'AM (2011)'!$N$445,FALSE)</f>
        <v>3666.1279896574015</v>
      </c>
      <c r="H181" s="493">
        <f>VLOOKUP(H184,'AM (2011)'!$A$10:$N$444,'AM (2011)'!$N$445,FALSE)</f>
        <v>3753.1374272786038</v>
      </c>
      <c r="I181" s="494">
        <f>VLOOKUP(I184,'AM (2011)'!$A$10:$N$444,'AM (2011)'!$N$445,FALSE)</f>
        <v>3840.1468648998061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101</v>
      </c>
      <c r="D182" s="136">
        <f>VLOOKUP($B$2,$B$257:$Y$286,11,FALSE)</f>
        <v>102</v>
      </c>
      <c r="E182" s="136">
        <f>VLOOKUP($B$2,$B$257:$Y$286,12,FALSE)</f>
        <v>103</v>
      </c>
      <c r="F182" s="136">
        <f>VLOOKUP($B$2,$B$257:$Y$286,13,FALSE)</f>
        <v>104</v>
      </c>
      <c r="G182" s="136">
        <f>VLOOKUP($B$2,$B$257:$Y$286,14,FALSE)</f>
        <v>105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106</v>
      </c>
      <c r="E183" s="136">
        <f>VLOOKUP($B$2,$B$257:$Y$286,16,FALSE)</f>
        <v>107</v>
      </c>
      <c r="F183" s="136">
        <f>VLOOKUP($B$2,$B$257:$Y$286,17,FALSE)</f>
        <v>108</v>
      </c>
      <c r="G183" s="136">
        <f>VLOOKUP($B$2,$B$257:$Y$286,18,FALSE)</f>
        <v>109</v>
      </c>
      <c r="H183" s="136">
        <f>VLOOKUP($B$2,$B$257:$Y$286,19,FALSE)</f>
        <v>110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111</v>
      </c>
      <c r="F184" s="136">
        <f>VLOOKUP($B$2,$B$257:$Y$286,21,FALSE)</f>
        <v>112</v>
      </c>
      <c r="G184" s="136">
        <f>VLOOKUP($B$2,$B$257:$Y$286,22,FALSE)</f>
        <v>113</v>
      </c>
      <c r="H184" s="136">
        <f>VLOOKUP($B$2,$B$257:$Y$286,23,FALSE)</f>
        <v>114</v>
      </c>
      <c r="I184" s="136">
        <f>VLOOKUP($B$2,$B$257:$Y$286,24,FALSE)</f>
        <v>115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2</v>
      </c>
      <c r="B186" s="483" t="s">
        <v>205</v>
      </c>
      <c r="C186" s="490"/>
      <c r="D186" s="484">
        <f>VLOOKUP($D$6,'FS (2011)'!$A$13:$AH$244,'FS (2011)'!AC245,FALSE)/1000</f>
        <v>2.5856104999999996</v>
      </c>
      <c r="E186" s="495">
        <f t="shared" ref="E186:E191" si="16">D186/$D$192</f>
        <v>0.22753926175953698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Asset replacement and renewal</v>
      </c>
      <c r="V186" s="559">
        <f t="shared" ref="V186:V191" si="18">VLOOKUP(T186,$A$186:$D$191,4,FALSE)</f>
        <v>4.5941194999999997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4</v>
      </c>
      <c r="B187" s="162" t="s">
        <v>206</v>
      </c>
      <c r="C187" s="121"/>
      <c r="D187" s="456">
        <f>VLOOKUP($D$6,'FS (2011)'!$A$13:$AH$244,'FS (2011)'!AD245,FALSE)/1000</f>
        <v>1.4076402000000001</v>
      </c>
      <c r="E187" s="468">
        <f t="shared" si="16"/>
        <v>0.12387535242877729</v>
      </c>
      <c r="Q187" s="559"/>
      <c r="R187" s="559"/>
      <c r="S187" s="559"/>
      <c r="T187" s="559">
        <v>2</v>
      </c>
      <c r="U187" s="559" t="str">
        <f t="shared" si="17"/>
        <v>System growth</v>
      </c>
      <c r="V187" s="559">
        <f t="shared" si="18"/>
        <v>2.5856104999999996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3</v>
      </c>
      <c r="B188" s="162" t="s">
        <v>209</v>
      </c>
      <c r="C188" s="121"/>
      <c r="D188" s="456">
        <f>VLOOKUP($D$6,'FS (2011)'!$A$13:$AH$244,'FS (2011)'!AB245,FALSE)/1000</f>
        <v>1.9660478000000001</v>
      </c>
      <c r="E188" s="468">
        <f t="shared" si="16"/>
        <v>0.17301641720435537</v>
      </c>
      <c r="Q188" s="559"/>
      <c r="R188" s="559"/>
      <c r="S188" s="559"/>
      <c r="T188" s="559">
        <v>3</v>
      </c>
      <c r="U188" s="559" t="str">
        <f t="shared" si="17"/>
        <v>Customer connection</v>
      </c>
      <c r="V188" s="559">
        <f t="shared" si="18"/>
        <v>1.9660478000000001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1</v>
      </c>
      <c r="B189" s="162" t="s">
        <v>208</v>
      </c>
      <c r="C189" s="121"/>
      <c r="D189" s="456">
        <f>VLOOKUP($D$6,'FS (2011)'!$A$13:$AH$244,'FS (2011)'!AE245,FALSE)/1000</f>
        <v>4.5941194999999997</v>
      </c>
      <c r="E189" s="468">
        <f t="shared" si="16"/>
        <v>0.40429235550563136</v>
      </c>
      <c r="Q189" s="559"/>
      <c r="R189" s="559"/>
      <c r="S189" s="559"/>
      <c r="T189" s="559">
        <v>4</v>
      </c>
      <c r="U189" s="559" t="str">
        <f t="shared" si="17"/>
        <v>Reliability, safety and environment</v>
      </c>
      <c r="V189" s="559">
        <f t="shared" si="18"/>
        <v>1.4076402000000001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5</v>
      </c>
      <c r="B190" s="162" t="s">
        <v>312</v>
      </c>
      <c r="C190" s="121"/>
      <c r="D190" s="456">
        <f>VLOOKUP($D$6,'FS (2011)'!$A$13:$AH$244,'FS (2011)'!AH245,FALSE)/1000</f>
        <v>0.42399999999999999</v>
      </c>
      <c r="E190" s="468">
        <f t="shared" si="16"/>
        <v>3.7312908106632334E-2</v>
      </c>
      <c r="Q190" s="559"/>
      <c r="R190" s="559"/>
      <c r="S190" s="559"/>
      <c r="T190" s="559">
        <v>5</v>
      </c>
      <c r="U190" s="559" t="str">
        <f t="shared" si="17"/>
        <v>Non-network capex</v>
      </c>
      <c r="V190" s="559">
        <f t="shared" si="18"/>
        <v>0.42399999999999999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6</v>
      </c>
      <c r="B191" s="162" t="s">
        <v>207</v>
      </c>
      <c r="C191" s="121"/>
      <c r="D191" s="456">
        <f>VLOOKUP($D$6,'FS (2011)'!$A$13:$AH$244,'FS (2011)'!AF245,FALSE)/1000</f>
        <v>0.3859418</v>
      </c>
      <c r="E191" s="468">
        <f t="shared" si="16"/>
        <v>3.3963704995066686E-2</v>
      </c>
      <c r="Q191" s="559"/>
      <c r="R191" s="559"/>
      <c r="S191" s="559"/>
      <c r="T191" s="559">
        <v>6</v>
      </c>
      <c r="U191" s="559" t="str">
        <f t="shared" si="17"/>
        <v>Asset relocations</v>
      </c>
      <c r="V191" s="559">
        <f t="shared" si="18"/>
        <v>0.3859418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11.3633598</v>
      </c>
      <c r="E192" s="496">
        <f>SUM(E186:E191)</f>
        <v>1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10.401496393031278</v>
      </c>
      <c r="D196" s="484">
        <f>VLOOKUP($D$38,'FS (2011)'!$A$13:$AH$244,'FS (2011)'!$AG$245,FALSE)/1000</f>
        <v>11.068536096643555</v>
      </c>
      <c r="E196" s="484">
        <f>VLOOKUP($E$38,'FS (2011)'!$A$13:$AH$244,'FS (2011)'!$AG$245,FALSE)/1000</f>
        <v>11.07258478725984</v>
      </c>
      <c r="F196" s="486">
        <f>VLOOKUP($F$38,'FS (2011)'!$A$13:$AH$244,'FS (2011)'!$AG$245,FALSE)/1000</f>
        <v>10.939360000000001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1.1255350574548773</v>
      </c>
      <c r="D197" s="456">
        <f>VLOOKUP($D$38,'FS (2011)'!$A$13:$AH$244,'FS (2011)'!$AH$245,FALSE)/1000</f>
        <v>1.5280752282243113</v>
      </c>
      <c r="E197" s="456">
        <f>VLOOKUP($E$38,'FS (2011)'!$A$13:$AH$244,'FS (2011)'!$AH$245,FALSE)/1000</f>
        <v>1.7102863593004765</v>
      </c>
      <c r="F197" s="457">
        <f>VLOOKUP($F$38,'FS (2011)'!$A$13:$AH$244,'FS (2011)'!$AH$245,FALSE)/1000</f>
        <v>0.42399999999999999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11.527031450486156</v>
      </c>
      <c r="D198" s="488">
        <f>SUM(D196:D197)</f>
        <v>12.596611324867867</v>
      </c>
      <c r="E198" s="488">
        <f>SUM(E196:E197)</f>
        <v>12.782871146560318</v>
      </c>
      <c r="F198" s="489">
        <f>SUM(F196:F197)</f>
        <v>11.36336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1.5277380128779772E-2</v>
      </c>
      <c r="D200" s="498">
        <f t="shared" ref="D200:F202" si="20">D196/C196 - 1</f>
        <v>6.4129205876490625E-2</v>
      </c>
      <c r="E200" s="498">
        <f t="shared" si="20"/>
        <v>3.6578374781770506E-4</v>
      </c>
      <c r="F200" s="495">
        <f t="shared" si="20"/>
        <v>-1.2031950065817365E-2</v>
      </c>
      <c r="Q200" s="559"/>
      <c r="R200" s="559" t="s">
        <v>423</v>
      </c>
      <c r="S200" s="559">
        <f t="shared" ref="S200:V202" si="21">LN(C196)</f>
        <v>2.3419496797423403</v>
      </c>
      <c r="T200" s="559">
        <f t="shared" si="21"/>
        <v>2.4041064973837161</v>
      </c>
      <c r="U200" s="559">
        <f t="shared" si="21"/>
        <v>2.4044722142489676</v>
      </c>
      <c r="V200" s="559">
        <f t="shared" si="21"/>
        <v>2.3923672943685133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-0.24543881932111566</v>
      </c>
      <c r="D201" s="467">
        <f t="shared" si="20"/>
        <v>0.35764338756331626</v>
      </c>
      <c r="E201" s="467">
        <f t="shared" si="20"/>
        <v>0.11924225176263237</v>
      </c>
      <c r="F201" s="468">
        <f t="shared" si="20"/>
        <v>-0.75208829931063703</v>
      </c>
      <c r="Q201" s="559"/>
      <c r="R201" s="559" t="s">
        <v>423</v>
      </c>
      <c r="S201" s="559">
        <f t="shared" si="21"/>
        <v>0.11825852921795761</v>
      </c>
      <c r="T201" s="559">
        <f t="shared" si="21"/>
        <v>0.4240089226635117</v>
      </c>
      <c r="U201" s="559">
        <f t="shared" si="21"/>
        <v>0.53666081807366939</v>
      </c>
      <c r="V201" s="559">
        <f t="shared" si="21"/>
        <v>-0.85802182375017932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-2.8184041925768399E-3</v>
      </c>
      <c r="D202" s="500">
        <f t="shared" si="20"/>
        <v>9.2788839778571219E-2</v>
      </c>
      <c r="E202" s="500">
        <f t="shared" si="20"/>
        <v>1.4786502249596545E-2</v>
      </c>
      <c r="F202" s="501">
        <f t="shared" si="20"/>
        <v>-0.11104791171600659</v>
      </c>
      <c r="Q202" s="559"/>
      <c r="R202" s="559" t="s">
        <v>423</v>
      </c>
      <c r="S202" s="559">
        <f t="shared" si="21"/>
        <v>2.4446948380341831</v>
      </c>
      <c r="T202" s="559">
        <f t="shared" si="21"/>
        <v>2.5334278353151163</v>
      </c>
      <c r="U202" s="559">
        <f t="shared" si="21"/>
        <v>2.5481060830725224</v>
      </c>
      <c r="V202" s="559">
        <f t="shared" si="21"/>
        <v>2.4303941442081944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">
        <v>189</v>
      </c>
      <c r="C206" s="456">
        <f>(C198/C102)*1000000</f>
        <v>323.67482240996702</v>
      </c>
      <c r="D206" s="456">
        <f>(D198/D102)*1000000</f>
        <v>350.19770155317951</v>
      </c>
      <c r="E206" s="456">
        <f>(E198/E102)*1000000</f>
        <v>350.72491965210628</v>
      </c>
      <c r="F206" s="457">
        <f>(F198/F102)*1000000</f>
        <v>308.29268292682929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">
        <v>112</v>
      </c>
      <c r="C209" s="456">
        <f>(C198/C117)*1000000000</f>
        <v>24796.300571744203</v>
      </c>
      <c r="D209" s="456">
        <f>(D198/D117)*1000000000</f>
        <v>26644.189880879447</v>
      </c>
      <c r="E209" s="456">
        <f>(E198/E117)*1000000000</f>
        <v>26850.783862081247</v>
      </c>
      <c r="F209" s="457">
        <f>(F198/F117)*1000000000</f>
        <v>23406.963675098461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">
        <v>112</v>
      </c>
      <c r="C212" s="456">
        <f>(C198/VLOOKUP(C$38,'AV (2011)'!$A$11:$F$213,'AV (2011)'!$F$214,FALSE)*1000)</f>
        <v>6.6255808769822594E-2</v>
      </c>
      <c r="D212" s="456">
        <f>(D198/VLOOKUP(D$38,'AV (2011)'!$A$11:$F$213,'AV (2011)'!$F$214,FALSE)*1000)</f>
        <v>7.3393451203746518E-2</v>
      </c>
      <c r="E212" s="456">
        <f>(E198/VLOOKUP(E$38,'AV (2011)'!$A$11:$F$213,'AV (2011)'!$F$214,FALSE)*1000)</f>
        <v>7.2451351716087742E-2</v>
      </c>
      <c r="F212" s="457">
        <f>(F198/VLOOKUP(F$38,'AV (2011)'!$A$11:$F$213,'AV (2011)'!$F$214,FALSE)*1000)</f>
        <v>6.2064102655132125E-2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-1.4352503963279695E-2</v>
      </c>
      <c r="D215" s="464">
        <f>D206/C206 - 1</f>
        <v>8.1942978900034991E-2</v>
      </c>
      <c r="E215" s="464">
        <f>E206/D206 - 1</f>
        <v>1.5054870337196657E-3</v>
      </c>
      <c r="F215" s="465">
        <f>F206/E206 - 1</f>
        <v>-0.12098437934597495</v>
      </c>
      <c r="K215" s="139"/>
      <c r="P215" s="139"/>
      <c r="Q215" s="559"/>
      <c r="R215" s="559" t="s">
        <v>423</v>
      </c>
      <c r="S215" s="559">
        <f>LN(C206)</f>
        <v>5.7797393772768135</v>
      </c>
      <c r="T215" s="559">
        <f>LN(D206)</f>
        <v>5.8584978565897208</v>
      </c>
      <c r="U215" s="559">
        <f>LN(E206)</f>
        <v>5.8600022115139447</v>
      </c>
      <c r="V215" s="559">
        <f>LN(F206)</f>
        <v>5.731049600996541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-1.6390076565280132E-2</v>
      </c>
      <c r="D216" s="467">
        <f>D209/C209 - 1</f>
        <v>7.4522782291199796E-2</v>
      </c>
      <c r="E216" s="467">
        <f>E209/D209 - 1</f>
        <v>7.7538098221578977E-3</v>
      </c>
      <c r="F216" s="468">
        <f>F209/E209 - 1</f>
        <v>-0.12825771510701256</v>
      </c>
      <c r="Q216" s="559"/>
      <c r="R216" s="559" t="s">
        <v>423</v>
      </c>
      <c r="S216" s="559">
        <f>LN(C209)</f>
        <v>10.118449750531864</v>
      </c>
      <c r="T216" s="559">
        <f>LN(D209)</f>
        <v>10.190326390098257</v>
      </c>
      <c r="U216" s="559">
        <f>LN(E209)</f>
        <v>10.198050293629352</v>
      </c>
      <c r="V216" s="559">
        <f>LN(F209)</f>
        <v>10.060788850026718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-2.0681689872439235E-2</v>
      </c>
      <c r="D217" s="470">
        <f>D212/C212 - 1</f>
        <v>0.10772855341213328</v>
      </c>
      <c r="E217" s="470">
        <f>E212/D212 - 1</f>
        <v>-1.2836288145701591E-2</v>
      </c>
      <c r="F217" s="471">
        <f>F212/E212 - 1</f>
        <v>-0.14336860272337937</v>
      </c>
      <c r="Q217" s="559"/>
      <c r="R217" s="559" t="s">
        <v>423</v>
      </c>
      <c r="S217" s="559">
        <f>LN(C212)</f>
        <v>-2.7142321384149399</v>
      </c>
      <c r="T217" s="559">
        <f>LN(D212)</f>
        <v>-2.611920567999471</v>
      </c>
      <c r="U217" s="559">
        <f>LN(E212)</f>
        <v>-2.6248399531626054</v>
      </c>
      <c r="V217" s="559">
        <f>LN(F212)</f>
        <v>-2.7795875142653323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Counties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11072.584787259841</v>
      </c>
      <c r="X220" s="563">
        <f>D222</f>
        <v>10939.36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Counties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12501.517717118912</v>
      </c>
      <c r="X221" s="563">
        <f t="shared" si="23"/>
        <v>13677.253752256742</v>
      </c>
      <c r="Y221" s="563">
        <f t="shared" si="23"/>
        <v>15895.258387001157</v>
      </c>
      <c r="Z221" s="563">
        <f t="shared" si="23"/>
        <v>12884.34511330872</v>
      </c>
      <c r="AA221" s="563">
        <f t="shared" si="23"/>
        <v>11794.191250572605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11072.584787259841</v>
      </c>
      <c r="D222" s="461">
        <f>VLOOKUP(D226,'FS (2011)'!$A$14:$AJ$245,'FS (2011)'!$AG$245,FALSE)</f>
        <v>10939.36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11624</v>
      </c>
      <c r="Y222" s="563">
        <f t="shared" si="23"/>
        <v>13960.4</v>
      </c>
      <c r="Z222" s="563">
        <f t="shared" si="23"/>
        <v>14799.65</v>
      </c>
      <c r="AA222" s="563">
        <f t="shared" si="23"/>
        <v>12125.15</v>
      </c>
      <c r="AB222" s="563">
        <f>H224</f>
        <v>14201.4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12501.517717118912</v>
      </c>
      <c r="D223" s="461">
        <f>VLOOKUP(D227,'AM (2011)'!$A$10:$N$444,'AM (2011)'!$J$445,FALSE)</f>
        <v>13677.253752256742</v>
      </c>
      <c r="E223" s="461">
        <f>VLOOKUP(E226,'AM (2011)'!$A$10:$N$444,'AM (2011)'!$J$445,FALSE)</f>
        <v>15895.258387001157</v>
      </c>
      <c r="F223" s="461">
        <f>VLOOKUP(F226,'AM (2011)'!$A$10:$N$444,'AM (2011)'!$J$445,FALSE)</f>
        <v>12884.34511330872</v>
      </c>
      <c r="G223" s="461">
        <f>VLOOKUP(G226,'AM (2011)'!$A$10:$N$444,'AM (2011)'!$J$445,FALSE)</f>
        <v>11794.191250572605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12789.409696186167</v>
      </c>
      <c r="Z223" s="563">
        <f>F225</f>
        <v>13439.34086619263</v>
      </c>
      <c r="AA223" s="563">
        <f>G225</f>
        <v>12963.966270200386</v>
      </c>
      <c r="AB223" s="563">
        <f>H225</f>
        <v>14330.94319327731</v>
      </c>
      <c r="AC223" s="563">
        <f>I225</f>
        <v>11993.175578539107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11624</v>
      </c>
      <c r="E224" s="461">
        <f>VLOOKUP(E227,'AM (2011)'!$A$10:$N$444,'AM (2011)'!$J$445,FALSE)</f>
        <v>13960.4</v>
      </c>
      <c r="F224" s="461">
        <f>VLOOKUP(F227,'AM (2011)'!$A$10:$N$444,'AM (2011)'!$J$445,FALSE)</f>
        <v>14799.65</v>
      </c>
      <c r="G224" s="461">
        <f>VLOOKUP(G227,'AM (2011)'!$A$10:$N$444,'AM (2011)'!$J$445,FALSE)</f>
        <v>12125.15</v>
      </c>
      <c r="H224" s="461">
        <f>VLOOKUP(H227,'AM (2011)'!$A$10:$N$444,'AM (2011)'!$J$445,FALSE)</f>
        <v>14201.4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12789.409696186167</v>
      </c>
      <c r="F225" s="493">
        <f>VLOOKUP(F228,'AM (2011)'!$A$10:$N$444,'AM (2011)'!$J$445,FALSE)</f>
        <v>13439.34086619263</v>
      </c>
      <c r="G225" s="493">
        <f>VLOOKUP(G228,'AM (2011)'!$A$10:$N$444,'AM (2011)'!$J$445,FALSE)</f>
        <v>12963.966270200386</v>
      </c>
      <c r="H225" s="493">
        <f>VLOOKUP(H228,'AM (2011)'!$A$10:$N$444,'AM (2011)'!$J$445,FALSE)</f>
        <v>14330.94319327731</v>
      </c>
      <c r="I225" s="494">
        <f>VLOOKUP(I228,'AM (2011)'!$A$10:$N$444,'AM (2011)'!$J$445,FALSE)</f>
        <v>11993.175578539107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99</v>
      </c>
      <c r="D226" s="136">
        <f>VLOOKUP($B$2,$B$257:$Y$286,9,FALSE)</f>
        <v>100</v>
      </c>
      <c r="E226" s="136">
        <f>VLOOKUP($B$2,$B$257:$Y$286,12,FALSE)</f>
        <v>103</v>
      </c>
      <c r="F226" s="136">
        <f>VLOOKUP($B$2,$B$257:$Y$286,13,FALSE)</f>
        <v>104</v>
      </c>
      <c r="G226" s="136">
        <f>VLOOKUP($B$2,$B$257:$Y$286,14,FALSE)</f>
        <v>105</v>
      </c>
      <c r="H226" s="136"/>
      <c r="I226" s="136"/>
      <c r="Q226" s="559"/>
      <c r="R226" s="559"/>
      <c r="S226" s="559"/>
      <c r="T226" s="559"/>
      <c r="U226" s="559"/>
      <c r="V226" s="559"/>
      <c r="W226" s="559"/>
      <c r="X226" s="559"/>
      <c r="Y226" s="559"/>
      <c r="Z226" s="559"/>
      <c r="AA226" s="559"/>
      <c r="AB226" s="559"/>
      <c r="AC226" s="559"/>
      <c r="AD226" s="559"/>
    </row>
    <row r="227" spans="2:30">
      <c r="C227" s="136">
        <f>VLOOKUP($B$2,$B$257:$Y$286,10,FALSE)</f>
        <v>101</v>
      </c>
      <c r="D227" s="136">
        <f>VLOOKUP($B$2,$B$257:$Y$286,11,FALSE)</f>
        <v>102</v>
      </c>
      <c r="E227" s="136">
        <f>VLOOKUP($B$2,$B$257:$Y$286,16,FALSE)</f>
        <v>107</v>
      </c>
      <c r="F227" s="136">
        <f>VLOOKUP($B$2,$B$257:$Y$286,17,FALSE)</f>
        <v>108</v>
      </c>
      <c r="G227" s="136">
        <f>VLOOKUP($B$2,$B$257:$Y$286,18,FALSE)</f>
        <v>109</v>
      </c>
      <c r="H227" s="136">
        <f>VLOOKUP($B$2,$B$257:$Y$286,19,FALSE)</f>
        <v>110</v>
      </c>
      <c r="I227" s="136"/>
      <c r="Q227" s="559"/>
      <c r="R227" s="559"/>
      <c r="S227" s="559"/>
      <c r="T227" s="559"/>
      <c r="U227" s="559"/>
      <c r="V227" s="559"/>
      <c r="W227" s="559"/>
      <c r="X227" s="559"/>
      <c r="Y227" s="559"/>
      <c r="Z227" s="559"/>
      <c r="AA227" s="559"/>
      <c r="AB227" s="559"/>
      <c r="AC227" s="559"/>
      <c r="AD227" s="559"/>
    </row>
    <row r="228" spans="2:30">
      <c r="B228" s="517" t="s">
        <v>291</v>
      </c>
      <c r="C228" s="518"/>
      <c r="D228" s="518">
        <f>VLOOKUP($B$2,$B$257:$Y$286,15,FALSE)</f>
        <v>106</v>
      </c>
      <c r="E228" s="518">
        <f>VLOOKUP($B$2,$B$257:$Y$286,20,FALSE)</f>
        <v>111</v>
      </c>
      <c r="F228" s="519">
        <f>VLOOKUP($B$2,$B$257:$Y$286,21,FALSE)</f>
        <v>112</v>
      </c>
      <c r="G228" s="136">
        <f>VLOOKUP($B$2,$B$257:$Y$286,22,FALSE)</f>
        <v>113</v>
      </c>
      <c r="H228" s="136">
        <f>VLOOKUP($B$2,$B$257:$Y$286,23,FALSE)</f>
        <v>114</v>
      </c>
      <c r="I228" s="136">
        <f>VLOOKUP($B$2,$B$257:$Y$286,24,FALSE)</f>
        <v>115</v>
      </c>
      <c r="Q228" s="559"/>
      <c r="R228" s="559"/>
      <c r="S228" s="559"/>
      <c r="T228" s="559"/>
      <c r="U228" s="559"/>
      <c r="V228" s="559"/>
      <c r="W228" s="559"/>
      <c r="X228" s="559"/>
      <c r="Y228" s="559"/>
      <c r="Z228" s="559"/>
      <c r="AA228" s="559"/>
      <c r="AB228" s="559"/>
      <c r="AC228" s="559"/>
      <c r="AD228" s="559"/>
    </row>
    <row r="229" spans="2:30">
      <c r="B229" s="474" t="str">
        <f>$B$2</f>
        <v>Counties</v>
      </c>
      <c r="C229" s="475">
        <v>2008</v>
      </c>
      <c r="D229" s="475">
        <v>2009</v>
      </c>
      <c r="E229" s="475">
        <v>2010</v>
      </c>
      <c r="F229" s="476">
        <v>2011</v>
      </c>
      <c r="Q229" s="559"/>
      <c r="R229" s="559"/>
      <c r="S229" s="559"/>
      <c r="T229" s="559"/>
      <c r="U229" s="559"/>
      <c r="V229" s="559"/>
      <c r="W229" s="559"/>
      <c r="X229" s="559"/>
      <c r="Y229" s="559"/>
      <c r="Z229" s="559"/>
      <c r="AA229" s="559"/>
      <c r="AB229" s="559"/>
      <c r="AC229" s="559"/>
      <c r="AD229" s="559"/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167.78100000000001</v>
      </c>
      <c r="D230" s="456">
        <f>VLOOKUP(D$38,'MP (2011)'!$A$11:$AR$245,'MP (2011)'!$S$246,FALSE)+VLOOKUP(D$38,'MP (2011)'!$A$11:$AR$245,'MP (2011)'!$T$246,FALSE)</f>
        <v>171.67810499999999</v>
      </c>
      <c r="E230" s="456">
        <f>VLOOKUP(E$38,'MP (2011)'!$A$11:$AR$245,'MP (2011)'!$S$246,FALSE)+VLOOKUP(E$38,'MP (2011)'!$A$11:$AR$245,'MP (2011)'!$T$246,FALSE)</f>
        <v>78.294295000000005</v>
      </c>
      <c r="F230" s="457">
        <f>VLOOKUP(F$38,'MP (2011)'!$A$11:$AR$245,'MP (2011)'!$S$246,FALSE)+VLOOKUP(F$38,'MP (2011)'!$A$11:$AR$245,'MP (2011)'!$T$246,FALSE)</f>
        <v>138.17529999999999</v>
      </c>
      <c r="Q230" s="559"/>
      <c r="R230" s="559"/>
      <c r="S230" s="559"/>
      <c r="T230" s="559"/>
      <c r="U230" s="559"/>
      <c r="V230" s="559"/>
      <c r="W230" s="559"/>
      <c r="X230" s="559"/>
      <c r="Y230" s="559"/>
      <c r="Z230" s="559"/>
      <c r="AA230" s="559"/>
      <c r="AB230" s="559"/>
      <c r="AC230" s="559"/>
      <c r="AD230" s="559"/>
    </row>
    <row r="231" spans="2:30">
      <c r="B231" s="199" t="s">
        <v>292</v>
      </c>
      <c r="C231" s="456" t="str">
        <f>IF(ISERROR(VLOOKUP(C$38,'Compliance data'!$A$7:$E$74,'Compliance data'!$D$75,FALSE)),"",(VLOOKUP(C$38,'Compliance data'!$A$7:$E$74,'Compliance data'!$D$75,FALSE)))</f>
        <v/>
      </c>
      <c r="D231" s="456" t="str">
        <f>IF(ISERROR(VLOOKUP(D$38,'Compliance data'!$A$7:$E$74,'Compliance data'!$D$75,FALSE)),"",(VLOOKUP(D$38,'Compliance data'!$A$7:$E$74,'Compliance data'!$D$75,FALSE)))</f>
        <v/>
      </c>
      <c r="E231" s="456" t="str">
        <f>IF(ISERROR(VLOOKUP(E$38,'Compliance data'!$A$7:$E$74,'Compliance data'!$D$75,FALSE)),"",(VLOOKUP(E$38,'Compliance data'!$A$7:$E$74,'Compliance data'!$D$75,FALSE)))</f>
        <v/>
      </c>
      <c r="F231" s="457" t="str">
        <f>IF(ISERROR(VLOOKUP(F$38,'Compliance data'!$A$7:$E$74,'Compliance data'!$D$75,FALSE)),"",(VLOOKUP(F$38,'Compliance data'!$A$7:$E$74,'Compliance data'!$D$75,FALSE)))</f>
        <v/>
      </c>
      <c r="Q231" s="559"/>
      <c r="R231" s="559"/>
      <c r="S231" s="559"/>
      <c r="T231" s="559"/>
      <c r="U231" s="559"/>
      <c r="V231" s="559"/>
      <c r="W231" s="559"/>
      <c r="X231" s="559"/>
      <c r="Y231" s="559"/>
      <c r="Z231" s="559"/>
      <c r="AA231" s="559"/>
      <c r="AB231" s="559"/>
      <c r="AC231" s="559"/>
      <c r="AD231" s="559"/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  <c r="Q232" s="559"/>
      <c r="R232" s="559"/>
      <c r="S232" s="559"/>
      <c r="T232" s="559"/>
      <c r="U232" s="559"/>
      <c r="V232" s="559"/>
      <c r="W232" s="559"/>
      <c r="X232" s="559"/>
      <c r="Y232" s="559"/>
      <c r="Z232" s="559"/>
      <c r="AA232" s="559"/>
      <c r="AB232" s="559"/>
      <c r="AC232" s="559"/>
      <c r="AD232" s="559"/>
    </row>
    <row r="233" spans="2:30">
      <c r="Q233" s="559"/>
      <c r="R233" s="559"/>
      <c r="S233" s="559"/>
      <c r="T233" s="559"/>
      <c r="U233" s="559"/>
      <c r="V233" s="559"/>
      <c r="W233" s="559"/>
      <c r="X233" s="559"/>
      <c r="Y233" s="559"/>
      <c r="Z233" s="559"/>
      <c r="AA233" s="559"/>
      <c r="AB233" s="559"/>
      <c r="AC233" s="559"/>
      <c r="AD233" s="559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2.1968000000000001</v>
      </c>
      <c r="D237" s="456">
        <f>VLOOKUP(D$38,'MP (2011)'!$A$11:$AR$245,'MP (2011)'!$W$246,FALSE)+VLOOKUP(D$38,'MP (2011)'!$A$11:$AR$245,'MP (2011)'!$X$246,FALSE)</f>
        <v>3.6193340000000003</v>
      </c>
      <c r="E237" s="456">
        <f>VLOOKUP(E$38,'MP (2011)'!$A$11:$AR$245,'MP (2011)'!$W$246,FALSE)+VLOOKUP(E$38,'MP (2011)'!$A$11:$AR$245,'MP (2011)'!$X$246,FALSE)</f>
        <v>2.1146691</v>
      </c>
      <c r="F237" s="457">
        <f>VLOOKUP(F$38,'MP (2011)'!$A$11:$AR$245,'MP (2011)'!$W$246,FALSE)+VLOOKUP(F$38,'MP (2011)'!$A$11:$AR$245,'MP (2011)'!$X$246,FALSE)</f>
        <v>2.9518</v>
      </c>
    </row>
    <row r="238" spans="2:30">
      <c r="B238" s="199" t="s">
        <v>292</v>
      </c>
      <c r="C238" s="456" t="str">
        <f>IF(ISERROR(VLOOKUP(C$38,'Compliance data'!$A$7:$E$74,'Compliance data'!$E$75,FALSE)),"",(VLOOKUP(C$38,'Compliance data'!$A$7:$E$74,'Compliance data'!$E$75,FALSE)))</f>
        <v/>
      </c>
      <c r="D238" s="456" t="str">
        <f>IF(ISERROR(VLOOKUP(D$38,'Compliance data'!$A$7:$E$74,'Compliance data'!$E$75,FALSE)),"",(VLOOKUP(D$38,'Compliance data'!$A$7:$E$74,'Compliance data'!$E$75,FALSE)))</f>
        <v/>
      </c>
      <c r="E238" s="456" t="str">
        <f>IF(ISERROR(VLOOKUP(E$38,'Compliance data'!$A$7:$E$74,'Compliance data'!$E$75,FALSE)),"",(VLOOKUP(E$38,'Compliance data'!$A$7:$E$74,'Compliance data'!$E$75,FALSE)))</f>
        <v/>
      </c>
      <c r="F238" s="457" t="str">
        <f>IF(ISERROR(VLOOKUP(F$38,'Compliance data'!$A$7:$E$74,'Compliance data'!$E$75,FALSE)),"",(VLOOKUP(F$38,'Compliance data'!$A$7:$E$74,'Compliance data'!$E$75,FALSE)))</f>
        <v/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Y258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si="24"/>
        <v>18</v>
      </c>
      <c r="U258" s="526">
        <f t="shared" si="24"/>
        <v>19</v>
      </c>
      <c r="V258" s="526">
        <f t="shared" si="24"/>
        <v>20</v>
      </c>
      <c r="W258" s="526">
        <f t="shared" si="24"/>
        <v>21</v>
      </c>
      <c r="X258" s="526">
        <f t="shared" si="24"/>
        <v>22</v>
      </c>
      <c r="Y258" s="526">
        <f t="shared" si="24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ref="D259:S274" si="25">C259+1</f>
        <v>25</v>
      </c>
      <c r="E259" s="526">
        <f t="shared" si="25"/>
        <v>26</v>
      </c>
      <c r="F259" s="526">
        <f t="shared" si="25"/>
        <v>27</v>
      </c>
      <c r="G259" s="526">
        <f t="shared" si="25"/>
        <v>28</v>
      </c>
      <c r="H259" s="526">
        <f t="shared" si="25"/>
        <v>29</v>
      </c>
      <c r="I259" s="526">
        <f t="shared" si="25"/>
        <v>30</v>
      </c>
      <c r="J259" s="526">
        <f t="shared" si="25"/>
        <v>31</v>
      </c>
      <c r="K259" s="526">
        <f t="shared" si="25"/>
        <v>32</v>
      </c>
      <c r="L259" s="526">
        <f t="shared" si="25"/>
        <v>33</v>
      </c>
      <c r="M259" s="526">
        <f t="shared" si="25"/>
        <v>34</v>
      </c>
      <c r="N259" s="526">
        <f t="shared" si="25"/>
        <v>35</v>
      </c>
      <c r="O259" s="526">
        <f t="shared" si="25"/>
        <v>36</v>
      </c>
      <c r="P259" s="526">
        <f t="shared" si="25"/>
        <v>37</v>
      </c>
      <c r="Q259" s="526">
        <f t="shared" si="25"/>
        <v>38</v>
      </c>
      <c r="R259" s="526">
        <f t="shared" si="25"/>
        <v>39</v>
      </c>
      <c r="S259" s="526">
        <f t="shared" si="25"/>
        <v>40</v>
      </c>
      <c r="T259" s="526">
        <f t="shared" ref="T259:Y273" si="26">S259+1</f>
        <v>41</v>
      </c>
      <c r="U259" s="526">
        <f t="shared" si="26"/>
        <v>42</v>
      </c>
      <c r="V259" s="526">
        <f t="shared" si="26"/>
        <v>43</v>
      </c>
      <c r="W259" s="526">
        <f t="shared" si="26"/>
        <v>44</v>
      </c>
      <c r="X259" s="526">
        <f t="shared" si="26"/>
        <v>45</v>
      </c>
      <c r="Y259" s="526">
        <f t="shared" si="26"/>
        <v>46</v>
      </c>
    </row>
    <row r="260" spans="2:25" s="526" customFormat="1" ht="15.75">
      <c r="B260" s="530" t="s">
        <v>31</v>
      </c>
      <c r="C260" s="526">
        <f t="shared" ref="C260:C286" si="27">Y259+1</f>
        <v>47</v>
      </c>
      <c r="D260" s="526">
        <f t="shared" si="25"/>
        <v>48</v>
      </c>
      <c r="E260" s="526">
        <f t="shared" si="25"/>
        <v>49</v>
      </c>
      <c r="F260" s="526">
        <f t="shared" si="25"/>
        <v>50</v>
      </c>
      <c r="G260" s="526">
        <f t="shared" si="25"/>
        <v>51</v>
      </c>
      <c r="H260" s="526">
        <f t="shared" si="25"/>
        <v>52</v>
      </c>
      <c r="I260" s="526">
        <f t="shared" si="25"/>
        <v>53</v>
      </c>
      <c r="J260" s="526">
        <f t="shared" si="25"/>
        <v>54</v>
      </c>
      <c r="K260" s="526">
        <f t="shared" si="25"/>
        <v>55</v>
      </c>
      <c r="L260" s="526">
        <f t="shared" si="25"/>
        <v>56</v>
      </c>
      <c r="M260" s="526">
        <f t="shared" si="25"/>
        <v>57</v>
      </c>
      <c r="N260" s="526">
        <f t="shared" si="25"/>
        <v>58</v>
      </c>
      <c r="O260" s="526">
        <f t="shared" si="25"/>
        <v>59</v>
      </c>
      <c r="P260" s="526">
        <f t="shared" si="25"/>
        <v>60</v>
      </c>
      <c r="Q260" s="526">
        <f t="shared" si="25"/>
        <v>61</v>
      </c>
      <c r="R260" s="526">
        <f t="shared" si="25"/>
        <v>62</v>
      </c>
      <c r="S260" s="526">
        <f t="shared" si="25"/>
        <v>63</v>
      </c>
      <c r="T260" s="526">
        <f t="shared" si="26"/>
        <v>64</v>
      </c>
      <c r="U260" s="526">
        <f t="shared" si="26"/>
        <v>65</v>
      </c>
      <c r="V260" s="526">
        <f t="shared" si="26"/>
        <v>66</v>
      </c>
      <c r="W260" s="526">
        <f t="shared" si="26"/>
        <v>67</v>
      </c>
      <c r="X260" s="526">
        <f t="shared" si="26"/>
        <v>68</v>
      </c>
      <c r="Y260" s="526">
        <f t="shared" si="26"/>
        <v>69</v>
      </c>
    </row>
    <row r="261" spans="2:25" s="526" customFormat="1" ht="15.75">
      <c r="B261" s="530" t="s">
        <v>32</v>
      </c>
      <c r="C261" s="526">
        <f t="shared" si="27"/>
        <v>70</v>
      </c>
      <c r="D261" s="526">
        <f t="shared" si="25"/>
        <v>71</v>
      </c>
      <c r="E261" s="526">
        <f t="shared" si="25"/>
        <v>72</v>
      </c>
      <c r="F261" s="526">
        <f t="shared" si="25"/>
        <v>73</v>
      </c>
      <c r="G261" s="526">
        <f t="shared" si="25"/>
        <v>74</v>
      </c>
      <c r="H261" s="526">
        <f t="shared" si="25"/>
        <v>75</v>
      </c>
      <c r="I261" s="526">
        <f t="shared" si="25"/>
        <v>76</v>
      </c>
      <c r="J261" s="526">
        <f t="shared" si="25"/>
        <v>77</v>
      </c>
      <c r="K261" s="526">
        <f t="shared" si="25"/>
        <v>78</v>
      </c>
      <c r="L261" s="526">
        <f t="shared" si="25"/>
        <v>79</v>
      </c>
      <c r="M261" s="526">
        <f t="shared" si="25"/>
        <v>80</v>
      </c>
      <c r="N261" s="526">
        <f t="shared" si="25"/>
        <v>81</v>
      </c>
      <c r="O261" s="526">
        <f t="shared" si="25"/>
        <v>82</v>
      </c>
      <c r="P261" s="526">
        <f t="shared" si="25"/>
        <v>83</v>
      </c>
      <c r="Q261" s="526">
        <f t="shared" si="25"/>
        <v>84</v>
      </c>
      <c r="R261" s="526">
        <f t="shared" si="25"/>
        <v>85</v>
      </c>
      <c r="S261" s="526">
        <f t="shared" si="25"/>
        <v>86</v>
      </c>
      <c r="T261" s="526">
        <f t="shared" si="26"/>
        <v>87</v>
      </c>
      <c r="U261" s="526">
        <f t="shared" si="26"/>
        <v>88</v>
      </c>
      <c r="V261" s="526">
        <f t="shared" si="26"/>
        <v>89</v>
      </c>
      <c r="W261" s="526">
        <f t="shared" si="26"/>
        <v>90</v>
      </c>
      <c r="X261" s="526">
        <f t="shared" si="26"/>
        <v>91</v>
      </c>
      <c r="Y261" s="526">
        <f t="shared" si="26"/>
        <v>92</v>
      </c>
    </row>
    <row r="262" spans="2:25" s="526" customFormat="1" ht="15.75">
      <c r="B262" s="530" t="s">
        <v>33</v>
      </c>
      <c r="C262" s="526">
        <f t="shared" si="27"/>
        <v>93</v>
      </c>
      <c r="D262" s="526">
        <f t="shared" si="25"/>
        <v>94</v>
      </c>
      <c r="E262" s="526">
        <f t="shared" si="25"/>
        <v>95</v>
      </c>
      <c r="F262" s="526">
        <f t="shared" si="25"/>
        <v>96</v>
      </c>
      <c r="G262" s="526">
        <f t="shared" si="25"/>
        <v>97</v>
      </c>
      <c r="H262" s="526">
        <f t="shared" si="25"/>
        <v>98</v>
      </c>
      <c r="I262" s="526">
        <f t="shared" si="25"/>
        <v>99</v>
      </c>
      <c r="J262" s="526">
        <f t="shared" si="25"/>
        <v>100</v>
      </c>
      <c r="K262" s="526">
        <f t="shared" si="25"/>
        <v>101</v>
      </c>
      <c r="L262" s="526">
        <f t="shared" si="25"/>
        <v>102</v>
      </c>
      <c r="M262" s="526">
        <f t="shared" si="25"/>
        <v>103</v>
      </c>
      <c r="N262" s="526">
        <f t="shared" si="25"/>
        <v>104</v>
      </c>
      <c r="O262" s="526">
        <f t="shared" si="25"/>
        <v>105</v>
      </c>
      <c r="P262" s="526">
        <f t="shared" si="25"/>
        <v>106</v>
      </c>
      <c r="Q262" s="526">
        <f t="shared" si="25"/>
        <v>107</v>
      </c>
      <c r="R262" s="526">
        <f t="shared" si="25"/>
        <v>108</v>
      </c>
      <c r="S262" s="526">
        <f t="shared" si="25"/>
        <v>109</v>
      </c>
      <c r="T262" s="526">
        <f t="shared" si="26"/>
        <v>110</v>
      </c>
      <c r="U262" s="526">
        <f t="shared" si="26"/>
        <v>111</v>
      </c>
      <c r="V262" s="526">
        <f t="shared" si="26"/>
        <v>112</v>
      </c>
      <c r="W262" s="526">
        <f t="shared" si="26"/>
        <v>113</v>
      </c>
      <c r="X262" s="526">
        <f t="shared" si="26"/>
        <v>114</v>
      </c>
      <c r="Y262" s="526">
        <f t="shared" si="26"/>
        <v>115</v>
      </c>
    </row>
    <row r="263" spans="2:25" s="526" customFormat="1" ht="15.75">
      <c r="B263" s="530" t="s">
        <v>34</v>
      </c>
      <c r="C263" s="526">
        <f t="shared" si="27"/>
        <v>116</v>
      </c>
      <c r="D263" s="526">
        <f t="shared" si="25"/>
        <v>117</v>
      </c>
      <c r="E263" s="526">
        <f t="shared" si="25"/>
        <v>118</v>
      </c>
      <c r="F263" s="526">
        <f t="shared" si="25"/>
        <v>119</v>
      </c>
      <c r="G263" s="526">
        <f t="shared" si="25"/>
        <v>120</v>
      </c>
      <c r="H263" s="526">
        <f t="shared" si="25"/>
        <v>121</v>
      </c>
      <c r="I263" s="526">
        <f t="shared" si="25"/>
        <v>122</v>
      </c>
      <c r="J263" s="526">
        <f t="shared" si="25"/>
        <v>123</v>
      </c>
      <c r="K263" s="526">
        <f t="shared" si="25"/>
        <v>124</v>
      </c>
      <c r="L263" s="526">
        <f t="shared" si="25"/>
        <v>125</v>
      </c>
      <c r="M263" s="526">
        <f t="shared" si="25"/>
        <v>126</v>
      </c>
      <c r="N263" s="526">
        <f t="shared" si="25"/>
        <v>127</v>
      </c>
      <c r="O263" s="526">
        <f t="shared" si="25"/>
        <v>128</v>
      </c>
      <c r="P263" s="526">
        <f t="shared" si="25"/>
        <v>129</v>
      </c>
      <c r="Q263" s="526">
        <f t="shared" si="25"/>
        <v>130</v>
      </c>
      <c r="R263" s="526">
        <f t="shared" si="25"/>
        <v>131</v>
      </c>
      <c r="S263" s="526">
        <f t="shared" si="25"/>
        <v>132</v>
      </c>
      <c r="T263" s="526">
        <f t="shared" si="26"/>
        <v>133</v>
      </c>
      <c r="U263" s="526">
        <f t="shared" si="26"/>
        <v>134</v>
      </c>
      <c r="V263" s="526">
        <f t="shared" si="26"/>
        <v>135</v>
      </c>
      <c r="W263" s="526">
        <f t="shared" si="26"/>
        <v>136</v>
      </c>
      <c r="X263" s="526">
        <f t="shared" si="26"/>
        <v>137</v>
      </c>
      <c r="Y263" s="526">
        <f t="shared" si="26"/>
        <v>138</v>
      </c>
    </row>
    <row r="264" spans="2:25" s="526" customFormat="1" ht="15.75">
      <c r="B264" s="530" t="s">
        <v>35</v>
      </c>
      <c r="C264" s="526">
        <f t="shared" si="27"/>
        <v>139</v>
      </c>
      <c r="D264" s="526">
        <f t="shared" si="25"/>
        <v>140</v>
      </c>
      <c r="E264" s="526">
        <f t="shared" si="25"/>
        <v>141</v>
      </c>
      <c r="F264" s="526">
        <f t="shared" si="25"/>
        <v>142</v>
      </c>
      <c r="G264" s="526">
        <f t="shared" si="25"/>
        <v>143</v>
      </c>
      <c r="H264" s="526">
        <f t="shared" si="25"/>
        <v>144</v>
      </c>
      <c r="I264" s="526">
        <f t="shared" si="25"/>
        <v>145</v>
      </c>
      <c r="J264" s="526">
        <f t="shared" si="25"/>
        <v>146</v>
      </c>
      <c r="K264" s="526">
        <f t="shared" si="25"/>
        <v>147</v>
      </c>
      <c r="L264" s="526">
        <f t="shared" si="25"/>
        <v>148</v>
      </c>
      <c r="M264" s="526">
        <f t="shared" si="25"/>
        <v>149</v>
      </c>
      <c r="N264" s="526">
        <f t="shared" si="25"/>
        <v>150</v>
      </c>
      <c r="O264" s="526">
        <f t="shared" si="25"/>
        <v>151</v>
      </c>
      <c r="P264" s="526">
        <f t="shared" si="25"/>
        <v>152</v>
      </c>
      <c r="Q264" s="526">
        <f t="shared" si="25"/>
        <v>153</v>
      </c>
      <c r="R264" s="526">
        <f t="shared" si="25"/>
        <v>154</v>
      </c>
      <c r="S264" s="526">
        <f t="shared" si="25"/>
        <v>155</v>
      </c>
      <c r="T264" s="526">
        <f t="shared" si="26"/>
        <v>156</v>
      </c>
      <c r="U264" s="526">
        <f t="shared" si="26"/>
        <v>157</v>
      </c>
      <c r="V264" s="526">
        <f t="shared" si="26"/>
        <v>158</v>
      </c>
      <c r="W264" s="526">
        <f t="shared" si="26"/>
        <v>159</v>
      </c>
      <c r="X264" s="526">
        <f t="shared" si="26"/>
        <v>160</v>
      </c>
      <c r="Y264" s="526">
        <f t="shared" si="26"/>
        <v>161</v>
      </c>
    </row>
    <row r="265" spans="2:25" s="526" customFormat="1" ht="15.75">
      <c r="B265" s="530" t="s">
        <v>115</v>
      </c>
      <c r="C265" s="526">
        <f t="shared" si="27"/>
        <v>162</v>
      </c>
      <c r="D265" s="526">
        <f t="shared" si="25"/>
        <v>163</v>
      </c>
      <c r="E265" s="526">
        <f t="shared" si="25"/>
        <v>164</v>
      </c>
      <c r="F265" s="526">
        <f t="shared" si="25"/>
        <v>165</v>
      </c>
      <c r="G265" s="526">
        <f t="shared" si="25"/>
        <v>166</v>
      </c>
      <c r="H265" s="526">
        <f t="shared" si="25"/>
        <v>167</v>
      </c>
      <c r="I265" s="526">
        <f t="shared" si="25"/>
        <v>168</v>
      </c>
      <c r="J265" s="526">
        <f t="shared" si="25"/>
        <v>169</v>
      </c>
      <c r="K265" s="526">
        <f t="shared" si="25"/>
        <v>170</v>
      </c>
      <c r="L265" s="526">
        <f t="shared" si="25"/>
        <v>171</v>
      </c>
      <c r="M265" s="526">
        <f t="shared" si="25"/>
        <v>172</v>
      </c>
      <c r="N265" s="526">
        <f t="shared" si="25"/>
        <v>173</v>
      </c>
      <c r="O265" s="526">
        <f t="shared" si="25"/>
        <v>174</v>
      </c>
      <c r="P265" s="526">
        <f t="shared" si="25"/>
        <v>175</v>
      </c>
      <c r="Q265" s="526">
        <f t="shared" si="25"/>
        <v>176</v>
      </c>
      <c r="R265" s="526">
        <f t="shared" si="25"/>
        <v>177</v>
      </c>
      <c r="S265" s="526">
        <f t="shared" si="25"/>
        <v>178</v>
      </c>
      <c r="T265" s="526">
        <f t="shared" si="26"/>
        <v>179</v>
      </c>
      <c r="U265" s="526">
        <f t="shared" si="26"/>
        <v>180</v>
      </c>
      <c r="V265" s="526">
        <f t="shared" si="26"/>
        <v>181</v>
      </c>
      <c r="W265" s="526">
        <f t="shared" si="26"/>
        <v>182</v>
      </c>
      <c r="X265" s="526">
        <f t="shared" si="26"/>
        <v>183</v>
      </c>
      <c r="Y265" s="526">
        <f t="shared" si="26"/>
        <v>184</v>
      </c>
    </row>
    <row r="266" spans="2:25" s="526" customFormat="1" ht="15.75">
      <c r="B266" s="530" t="s">
        <v>116</v>
      </c>
      <c r="C266" s="526">
        <f t="shared" si="27"/>
        <v>185</v>
      </c>
      <c r="D266" s="526">
        <f t="shared" si="25"/>
        <v>186</v>
      </c>
      <c r="E266" s="526">
        <f t="shared" si="25"/>
        <v>187</v>
      </c>
      <c r="F266" s="526">
        <f t="shared" si="25"/>
        <v>188</v>
      </c>
      <c r="G266" s="526">
        <f t="shared" si="25"/>
        <v>189</v>
      </c>
      <c r="H266" s="526">
        <f t="shared" si="25"/>
        <v>190</v>
      </c>
      <c r="I266" s="526">
        <f t="shared" si="25"/>
        <v>191</v>
      </c>
      <c r="J266" s="526">
        <f t="shared" si="25"/>
        <v>192</v>
      </c>
      <c r="K266" s="526">
        <f t="shared" si="25"/>
        <v>193</v>
      </c>
      <c r="L266" s="526">
        <f t="shared" si="25"/>
        <v>194</v>
      </c>
      <c r="M266" s="526">
        <f t="shared" si="25"/>
        <v>195</v>
      </c>
      <c r="N266" s="526">
        <f t="shared" si="25"/>
        <v>196</v>
      </c>
      <c r="O266" s="526">
        <f t="shared" si="25"/>
        <v>197</v>
      </c>
      <c r="P266" s="526">
        <f t="shared" si="25"/>
        <v>198</v>
      </c>
      <c r="Q266" s="526">
        <f t="shared" si="25"/>
        <v>199</v>
      </c>
      <c r="R266" s="526">
        <f t="shared" si="25"/>
        <v>200</v>
      </c>
      <c r="S266" s="526">
        <f t="shared" si="25"/>
        <v>201</v>
      </c>
      <c r="T266" s="526">
        <f t="shared" si="26"/>
        <v>202</v>
      </c>
      <c r="U266" s="526">
        <f t="shared" si="26"/>
        <v>203</v>
      </c>
      <c r="V266" s="526">
        <f t="shared" si="26"/>
        <v>204</v>
      </c>
      <c r="W266" s="526">
        <f t="shared" si="26"/>
        <v>205</v>
      </c>
      <c r="X266" s="526">
        <f t="shared" si="26"/>
        <v>206</v>
      </c>
      <c r="Y266" s="526">
        <f t="shared" si="26"/>
        <v>207</v>
      </c>
    </row>
    <row r="267" spans="2:25" s="526" customFormat="1" ht="15.75">
      <c r="B267" s="530" t="s">
        <v>38</v>
      </c>
      <c r="C267" s="526">
        <f t="shared" si="27"/>
        <v>208</v>
      </c>
      <c r="D267" s="526">
        <f t="shared" si="25"/>
        <v>209</v>
      </c>
      <c r="E267" s="526">
        <f t="shared" si="25"/>
        <v>210</v>
      </c>
      <c r="F267" s="526">
        <f t="shared" si="25"/>
        <v>211</v>
      </c>
      <c r="G267" s="526">
        <f t="shared" si="25"/>
        <v>212</v>
      </c>
      <c r="H267" s="526">
        <f t="shared" si="25"/>
        <v>213</v>
      </c>
      <c r="I267" s="526">
        <f t="shared" si="25"/>
        <v>214</v>
      </c>
      <c r="J267" s="526">
        <f t="shared" si="25"/>
        <v>215</v>
      </c>
      <c r="K267" s="526">
        <f t="shared" si="25"/>
        <v>216</v>
      </c>
      <c r="L267" s="526">
        <f t="shared" si="25"/>
        <v>217</v>
      </c>
      <c r="M267" s="526">
        <f t="shared" si="25"/>
        <v>218</v>
      </c>
      <c r="N267" s="526">
        <f t="shared" si="25"/>
        <v>219</v>
      </c>
      <c r="O267" s="526">
        <f t="shared" si="25"/>
        <v>220</v>
      </c>
      <c r="P267" s="526">
        <f t="shared" si="25"/>
        <v>221</v>
      </c>
      <c r="Q267" s="526">
        <f t="shared" si="25"/>
        <v>222</v>
      </c>
      <c r="R267" s="526">
        <f t="shared" si="25"/>
        <v>223</v>
      </c>
      <c r="S267" s="526">
        <f t="shared" si="25"/>
        <v>224</v>
      </c>
      <c r="T267" s="526">
        <f t="shared" si="26"/>
        <v>225</v>
      </c>
      <c r="U267" s="526">
        <f t="shared" si="26"/>
        <v>226</v>
      </c>
      <c r="V267" s="526">
        <f t="shared" si="26"/>
        <v>227</v>
      </c>
      <c r="W267" s="526">
        <f t="shared" si="26"/>
        <v>228</v>
      </c>
      <c r="X267" s="526">
        <f t="shared" si="26"/>
        <v>229</v>
      </c>
      <c r="Y267" s="526">
        <f t="shared" si="26"/>
        <v>230</v>
      </c>
    </row>
    <row r="268" spans="2:25" s="526" customFormat="1" ht="15.75">
      <c r="B268" s="530" t="s">
        <v>39</v>
      </c>
      <c r="C268" s="526">
        <f t="shared" si="27"/>
        <v>231</v>
      </c>
      <c r="D268" s="526">
        <f t="shared" si="25"/>
        <v>232</v>
      </c>
      <c r="E268" s="526">
        <f t="shared" si="25"/>
        <v>233</v>
      </c>
      <c r="F268" s="526">
        <f t="shared" si="25"/>
        <v>234</v>
      </c>
      <c r="G268" s="526">
        <f t="shared" si="25"/>
        <v>235</v>
      </c>
      <c r="H268" s="526">
        <f t="shared" si="25"/>
        <v>236</v>
      </c>
      <c r="I268" s="526">
        <f t="shared" si="25"/>
        <v>237</v>
      </c>
      <c r="J268" s="526">
        <f t="shared" si="25"/>
        <v>238</v>
      </c>
      <c r="K268" s="526">
        <f t="shared" si="25"/>
        <v>239</v>
      </c>
      <c r="L268" s="526">
        <f t="shared" si="25"/>
        <v>240</v>
      </c>
      <c r="M268" s="526">
        <f t="shared" si="25"/>
        <v>241</v>
      </c>
      <c r="N268" s="526">
        <f t="shared" si="25"/>
        <v>242</v>
      </c>
      <c r="O268" s="526">
        <f t="shared" si="25"/>
        <v>243</v>
      </c>
      <c r="P268" s="526">
        <f t="shared" si="25"/>
        <v>244</v>
      </c>
      <c r="Q268" s="526">
        <f t="shared" si="25"/>
        <v>245</v>
      </c>
      <c r="R268" s="526">
        <f t="shared" si="25"/>
        <v>246</v>
      </c>
      <c r="S268" s="526">
        <f t="shared" si="25"/>
        <v>247</v>
      </c>
      <c r="T268" s="526">
        <f t="shared" si="26"/>
        <v>248</v>
      </c>
      <c r="U268" s="526">
        <f t="shared" si="26"/>
        <v>249</v>
      </c>
      <c r="V268" s="526">
        <f t="shared" si="26"/>
        <v>250</v>
      </c>
      <c r="W268" s="526">
        <f t="shared" si="26"/>
        <v>251</v>
      </c>
      <c r="X268" s="526">
        <f t="shared" si="26"/>
        <v>252</v>
      </c>
      <c r="Y268" s="526">
        <f t="shared" si="26"/>
        <v>253</v>
      </c>
    </row>
    <row r="269" spans="2:25" s="526" customFormat="1" ht="15.75">
      <c r="B269" s="530" t="s">
        <v>40</v>
      </c>
      <c r="C269" s="526">
        <f t="shared" si="27"/>
        <v>254</v>
      </c>
      <c r="D269" s="526">
        <f t="shared" si="25"/>
        <v>255</v>
      </c>
      <c r="E269" s="526">
        <f t="shared" si="25"/>
        <v>256</v>
      </c>
      <c r="F269" s="526">
        <f t="shared" si="25"/>
        <v>257</v>
      </c>
      <c r="G269" s="526">
        <f t="shared" si="25"/>
        <v>258</v>
      </c>
      <c r="H269" s="526">
        <f t="shared" si="25"/>
        <v>259</v>
      </c>
      <c r="I269" s="526">
        <f t="shared" si="25"/>
        <v>260</v>
      </c>
      <c r="J269" s="526">
        <f t="shared" si="25"/>
        <v>261</v>
      </c>
      <c r="K269" s="526">
        <f t="shared" si="25"/>
        <v>262</v>
      </c>
      <c r="L269" s="526">
        <f t="shared" si="25"/>
        <v>263</v>
      </c>
      <c r="M269" s="526">
        <f t="shared" si="25"/>
        <v>264</v>
      </c>
      <c r="N269" s="526">
        <f t="shared" si="25"/>
        <v>265</v>
      </c>
      <c r="O269" s="526">
        <f t="shared" si="25"/>
        <v>266</v>
      </c>
      <c r="P269" s="526">
        <f t="shared" si="25"/>
        <v>267</v>
      </c>
      <c r="Q269" s="526">
        <f t="shared" si="25"/>
        <v>268</v>
      </c>
      <c r="R269" s="526">
        <f t="shared" si="25"/>
        <v>269</v>
      </c>
      <c r="S269" s="526">
        <f t="shared" si="25"/>
        <v>270</v>
      </c>
      <c r="T269" s="526">
        <f t="shared" si="26"/>
        <v>271</v>
      </c>
      <c r="U269" s="526">
        <f t="shared" si="26"/>
        <v>272</v>
      </c>
      <c r="V269" s="526">
        <f t="shared" si="26"/>
        <v>273</v>
      </c>
      <c r="W269" s="526">
        <f t="shared" si="26"/>
        <v>274</v>
      </c>
      <c r="X269" s="526">
        <f t="shared" si="26"/>
        <v>275</v>
      </c>
      <c r="Y269" s="526">
        <f t="shared" si="26"/>
        <v>276</v>
      </c>
    </row>
    <row r="270" spans="2:25" s="526" customFormat="1" ht="15.75">
      <c r="B270" s="530" t="s">
        <v>41</v>
      </c>
      <c r="C270" s="526">
        <f t="shared" si="27"/>
        <v>277</v>
      </c>
      <c r="D270" s="526">
        <f t="shared" si="25"/>
        <v>278</v>
      </c>
      <c r="E270" s="526">
        <f t="shared" si="25"/>
        <v>279</v>
      </c>
      <c r="F270" s="526">
        <f t="shared" si="25"/>
        <v>280</v>
      </c>
      <c r="G270" s="526">
        <f t="shared" si="25"/>
        <v>281</v>
      </c>
      <c r="H270" s="526">
        <f t="shared" si="25"/>
        <v>282</v>
      </c>
      <c r="I270" s="526">
        <f t="shared" si="25"/>
        <v>283</v>
      </c>
      <c r="J270" s="526">
        <f t="shared" si="25"/>
        <v>284</v>
      </c>
      <c r="K270" s="526">
        <f t="shared" si="25"/>
        <v>285</v>
      </c>
      <c r="L270" s="526">
        <f t="shared" si="25"/>
        <v>286</v>
      </c>
      <c r="M270" s="526">
        <f t="shared" si="25"/>
        <v>287</v>
      </c>
      <c r="N270" s="526">
        <f t="shared" si="25"/>
        <v>288</v>
      </c>
      <c r="O270" s="526">
        <f t="shared" si="25"/>
        <v>289</v>
      </c>
      <c r="P270" s="526">
        <f t="shared" si="25"/>
        <v>290</v>
      </c>
      <c r="Q270" s="526">
        <f t="shared" si="25"/>
        <v>291</v>
      </c>
      <c r="R270" s="526">
        <f t="shared" si="25"/>
        <v>292</v>
      </c>
      <c r="S270" s="526">
        <f t="shared" si="25"/>
        <v>293</v>
      </c>
      <c r="T270" s="526">
        <f t="shared" si="26"/>
        <v>294</v>
      </c>
      <c r="U270" s="526">
        <f t="shared" si="26"/>
        <v>295</v>
      </c>
      <c r="V270" s="526">
        <f t="shared" si="26"/>
        <v>296</v>
      </c>
      <c r="W270" s="526">
        <f t="shared" si="26"/>
        <v>297</v>
      </c>
      <c r="X270" s="526">
        <f t="shared" si="26"/>
        <v>298</v>
      </c>
      <c r="Y270" s="526">
        <f t="shared" si="26"/>
        <v>299</v>
      </c>
    </row>
    <row r="271" spans="2:25" s="526" customFormat="1" ht="15.75">
      <c r="B271" s="530" t="s">
        <v>42</v>
      </c>
      <c r="C271" s="526">
        <f t="shared" si="27"/>
        <v>300</v>
      </c>
      <c r="D271" s="526">
        <f t="shared" si="25"/>
        <v>301</v>
      </c>
      <c r="E271" s="526">
        <f t="shared" si="25"/>
        <v>302</v>
      </c>
      <c r="F271" s="526">
        <f t="shared" si="25"/>
        <v>303</v>
      </c>
      <c r="G271" s="526">
        <f t="shared" si="25"/>
        <v>304</v>
      </c>
      <c r="H271" s="526">
        <f t="shared" si="25"/>
        <v>305</v>
      </c>
      <c r="I271" s="526">
        <f t="shared" si="25"/>
        <v>306</v>
      </c>
      <c r="J271" s="526">
        <f t="shared" si="25"/>
        <v>307</v>
      </c>
      <c r="K271" s="526">
        <f t="shared" si="25"/>
        <v>308</v>
      </c>
      <c r="L271" s="526">
        <f t="shared" si="25"/>
        <v>309</v>
      </c>
      <c r="M271" s="526">
        <f t="shared" si="25"/>
        <v>310</v>
      </c>
      <c r="N271" s="526">
        <f t="shared" si="25"/>
        <v>311</v>
      </c>
      <c r="O271" s="526">
        <f t="shared" si="25"/>
        <v>312</v>
      </c>
      <c r="P271" s="526">
        <f t="shared" si="25"/>
        <v>313</v>
      </c>
      <c r="Q271" s="526">
        <f t="shared" si="25"/>
        <v>314</v>
      </c>
      <c r="R271" s="526">
        <f t="shared" si="25"/>
        <v>315</v>
      </c>
      <c r="S271" s="526">
        <f t="shared" si="25"/>
        <v>316</v>
      </c>
      <c r="T271" s="526">
        <f t="shared" si="26"/>
        <v>317</v>
      </c>
      <c r="U271" s="526">
        <f t="shared" si="26"/>
        <v>318</v>
      </c>
      <c r="V271" s="526">
        <f t="shared" si="26"/>
        <v>319</v>
      </c>
      <c r="W271" s="526">
        <f t="shared" si="26"/>
        <v>320</v>
      </c>
      <c r="X271" s="526">
        <f t="shared" si="26"/>
        <v>321</v>
      </c>
      <c r="Y271" s="526">
        <f t="shared" si="26"/>
        <v>322</v>
      </c>
    </row>
    <row r="272" spans="2:25" s="526" customFormat="1" ht="15.75">
      <c r="B272" s="530" t="s">
        <v>43</v>
      </c>
      <c r="C272" s="526">
        <f t="shared" si="27"/>
        <v>323</v>
      </c>
      <c r="D272" s="526">
        <f t="shared" si="25"/>
        <v>324</v>
      </c>
      <c r="E272" s="526">
        <f t="shared" si="25"/>
        <v>325</v>
      </c>
      <c r="F272" s="526">
        <f t="shared" si="25"/>
        <v>326</v>
      </c>
      <c r="G272" s="526">
        <f t="shared" si="25"/>
        <v>327</v>
      </c>
      <c r="H272" s="526">
        <f t="shared" si="25"/>
        <v>328</v>
      </c>
      <c r="I272" s="526">
        <f t="shared" si="25"/>
        <v>329</v>
      </c>
      <c r="J272" s="526">
        <f t="shared" si="25"/>
        <v>330</v>
      </c>
      <c r="K272" s="526">
        <f t="shared" si="25"/>
        <v>331</v>
      </c>
      <c r="L272" s="526">
        <f t="shared" si="25"/>
        <v>332</v>
      </c>
      <c r="M272" s="526">
        <f t="shared" si="25"/>
        <v>333</v>
      </c>
      <c r="N272" s="526">
        <f t="shared" si="25"/>
        <v>334</v>
      </c>
      <c r="O272" s="526">
        <f t="shared" si="25"/>
        <v>335</v>
      </c>
      <c r="P272" s="526">
        <f t="shared" si="25"/>
        <v>336</v>
      </c>
      <c r="Q272" s="526">
        <f t="shared" si="25"/>
        <v>337</v>
      </c>
      <c r="R272" s="526">
        <f t="shared" si="25"/>
        <v>338</v>
      </c>
      <c r="S272" s="526">
        <f t="shared" si="25"/>
        <v>339</v>
      </c>
      <c r="T272" s="526">
        <f t="shared" si="26"/>
        <v>340</v>
      </c>
      <c r="U272" s="526">
        <f t="shared" si="26"/>
        <v>341</v>
      </c>
      <c r="V272" s="526">
        <f t="shared" si="26"/>
        <v>342</v>
      </c>
      <c r="W272" s="526">
        <f t="shared" si="26"/>
        <v>343</v>
      </c>
      <c r="X272" s="526">
        <f t="shared" si="26"/>
        <v>344</v>
      </c>
      <c r="Y272" s="526">
        <f t="shared" si="26"/>
        <v>345</v>
      </c>
    </row>
    <row r="273" spans="2:25" s="526" customFormat="1" ht="15.75">
      <c r="B273" s="530" t="s">
        <v>44</v>
      </c>
      <c r="C273" s="526">
        <f t="shared" si="27"/>
        <v>346</v>
      </c>
      <c r="D273" s="526">
        <f t="shared" si="25"/>
        <v>347</v>
      </c>
      <c r="E273" s="526">
        <f t="shared" si="25"/>
        <v>348</v>
      </c>
      <c r="F273" s="526">
        <f t="shared" si="25"/>
        <v>349</v>
      </c>
      <c r="G273" s="526">
        <f t="shared" si="25"/>
        <v>350</v>
      </c>
      <c r="H273" s="526">
        <f t="shared" si="25"/>
        <v>351</v>
      </c>
      <c r="I273" s="526">
        <f t="shared" si="25"/>
        <v>352</v>
      </c>
      <c r="J273" s="526">
        <f t="shared" si="25"/>
        <v>353</v>
      </c>
      <c r="K273" s="526">
        <f t="shared" si="25"/>
        <v>354</v>
      </c>
      <c r="L273" s="526">
        <f t="shared" si="25"/>
        <v>355</v>
      </c>
      <c r="M273" s="526">
        <f t="shared" si="25"/>
        <v>356</v>
      </c>
      <c r="N273" s="526">
        <f t="shared" si="25"/>
        <v>357</v>
      </c>
      <c r="O273" s="526">
        <f t="shared" si="25"/>
        <v>358</v>
      </c>
      <c r="P273" s="526">
        <f t="shared" si="25"/>
        <v>359</v>
      </c>
      <c r="Q273" s="526">
        <f t="shared" si="25"/>
        <v>360</v>
      </c>
      <c r="R273" s="526">
        <f t="shared" si="25"/>
        <v>361</v>
      </c>
      <c r="S273" s="526">
        <f t="shared" si="25"/>
        <v>362</v>
      </c>
      <c r="T273" s="526">
        <f t="shared" si="26"/>
        <v>363</v>
      </c>
      <c r="U273" s="526">
        <f t="shared" si="26"/>
        <v>364</v>
      </c>
      <c r="V273" s="526">
        <f t="shared" si="26"/>
        <v>365</v>
      </c>
      <c r="W273" s="526">
        <f t="shared" si="26"/>
        <v>366</v>
      </c>
      <c r="X273" s="526">
        <f t="shared" si="26"/>
        <v>367</v>
      </c>
      <c r="Y273" s="526">
        <f t="shared" si="26"/>
        <v>368</v>
      </c>
    </row>
    <row r="274" spans="2:25" s="526" customFormat="1" ht="15.75">
      <c r="B274" s="530" t="s">
        <v>45</v>
      </c>
      <c r="C274" s="526">
        <f t="shared" si="27"/>
        <v>369</v>
      </c>
      <c r="D274" s="526">
        <f t="shared" si="25"/>
        <v>370</v>
      </c>
      <c r="E274" s="526">
        <f t="shared" si="25"/>
        <v>371</v>
      </c>
      <c r="F274" s="526">
        <f t="shared" si="25"/>
        <v>372</v>
      </c>
      <c r="G274" s="526">
        <f t="shared" si="25"/>
        <v>373</v>
      </c>
      <c r="H274" s="526">
        <f t="shared" si="25"/>
        <v>374</v>
      </c>
      <c r="I274" s="526">
        <f t="shared" si="25"/>
        <v>375</v>
      </c>
      <c r="J274" s="526">
        <f t="shared" si="25"/>
        <v>376</v>
      </c>
      <c r="K274" s="526">
        <f t="shared" si="25"/>
        <v>377</v>
      </c>
      <c r="L274" s="526">
        <f t="shared" si="25"/>
        <v>378</v>
      </c>
      <c r="M274" s="526">
        <f t="shared" si="25"/>
        <v>379</v>
      </c>
      <c r="N274" s="526">
        <f t="shared" si="25"/>
        <v>380</v>
      </c>
      <c r="O274" s="526">
        <f t="shared" si="25"/>
        <v>381</v>
      </c>
      <c r="P274" s="526">
        <f t="shared" si="25"/>
        <v>382</v>
      </c>
      <c r="Q274" s="526">
        <f t="shared" si="25"/>
        <v>383</v>
      </c>
      <c r="R274" s="526">
        <f t="shared" si="25"/>
        <v>384</v>
      </c>
      <c r="S274" s="526">
        <f t="shared" ref="S274:Y286" si="28">R274+1</f>
        <v>385</v>
      </c>
      <c r="T274" s="526">
        <f t="shared" si="28"/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7"/>
        <v>392</v>
      </c>
      <c r="D275" s="526">
        <f t="shared" ref="D275:S286" si="29">C275+1</f>
        <v>393</v>
      </c>
      <c r="E275" s="526">
        <f t="shared" si="29"/>
        <v>394</v>
      </c>
      <c r="F275" s="526">
        <f t="shared" si="29"/>
        <v>395</v>
      </c>
      <c r="G275" s="526">
        <f t="shared" si="29"/>
        <v>396</v>
      </c>
      <c r="H275" s="526">
        <f t="shared" si="29"/>
        <v>397</v>
      </c>
      <c r="I275" s="526">
        <f t="shared" si="29"/>
        <v>398</v>
      </c>
      <c r="J275" s="526">
        <f t="shared" si="29"/>
        <v>399</v>
      </c>
      <c r="K275" s="526">
        <f t="shared" si="29"/>
        <v>400</v>
      </c>
      <c r="L275" s="526">
        <f t="shared" si="29"/>
        <v>401</v>
      </c>
      <c r="M275" s="526">
        <f t="shared" si="29"/>
        <v>402</v>
      </c>
      <c r="N275" s="526">
        <f t="shared" si="29"/>
        <v>403</v>
      </c>
      <c r="O275" s="526">
        <f t="shared" si="29"/>
        <v>404</v>
      </c>
      <c r="P275" s="526">
        <f t="shared" si="29"/>
        <v>405</v>
      </c>
      <c r="Q275" s="526">
        <f t="shared" si="29"/>
        <v>406</v>
      </c>
      <c r="R275" s="526">
        <f t="shared" si="29"/>
        <v>407</v>
      </c>
      <c r="S275" s="526">
        <f t="shared" si="29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7"/>
        <v>415</v>
      </c>
      <c r="D276" s="526">
        <f t="shared" si="29"/>
        <v>416</v>
      </c>
      <c r="E276" s="526">
        <f t="shared" si="29"/>
        <v>417</v>
      </c>
      <c r="F276" s="526">
        <f t="shared" si="29"/>
        <v>418</v>
      </c>
      <c r="G276" s="526">
        <f t="shared" si="29"/>
        <v>419</v>
      </c>
      <c r="H276" s="526">
        <f t="shared" si="29"/>
        <v>420</v>
      </c>
      <c r="I276" s="526">
        <f t="shared" si="29"/>
        <v>421</v>
      </c>
      <c r="J276" s="526">
        <f t="shared" si="29"/>
        <v>422</v>
      </c>
      <c r="K276" s="526">
        <f t="shared" si="29"/>
        <v>423</v>
      </c>
      <c r="L276" s="526">
        <f t="shared" si="29"/>
        <v>424</v>
      </c>
      <c r="M276" s="526">
        <f t="shared" si="29"/>
        <v>425</v>
      </c>
      <c r="N276" s="526">
        <f t="shared" si="29"/>
        <v>426</v>
      </c>
      <c r="O276" s="526">
        <f t="shared" si="29"/>
        <v>427</v>
      </c>
      <c r="P276" s="526">
        <f t="shared" si="29"/>
        <v>428</v>
      </c>
      <c r="Q276" s="526">
        <f t="shared" si="29"/>
        <v>429</v>
      </c>
      <c r="R276" s="526">
        <f t="shared" si="29"/>
        <v>430</v>
      </c>
      <c r="S276" s="526">
        <f t="shared" si="29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7"/>
        <v>438</v>
      </c>
      <c r="D277" s="526">
        <f t="shared" si="29"/>
        <v>439</v>
      </c>
      <c r="E277" s="526">
        <f t="shared" si="29"/>
        <v>440</v>
      </c>
      <c r="F277" s="526">
        <f t="shared" si="29"/>
        <v>441</v>
      </c>
      <c r="G277" s="526">
        <f t="shared" si="29"/>
        <v>442</v>
      </c>
      <c r="H277" s="526">
        <f t="shared" si="29"/>
        <v>443</v>
      </c>
      <c r="I277" s="526">
        <f t="shared" si="29"/>
        <v>444</v>
      </c>
      <c r="J277" s="526">
        <f t="shared" si="29"/>
        <v>445</v>
      </c>
      <c r="K277" s="526">
        <f t="shared" si="29"/>
        <v>446</v>
      </c>
      <c r="L277" s="526">
        <f t="shared" si="29"/>
        <v>447</v>
      </c>
      <c r="M277" s="526">
        <f t="shared" si="29"/>
        <v>448</v>
      </c>
      <c r="N277" s="526">
        <f t="shared" si="29"/>
        <v>449</v>
      </c>
      <c r="O277" s="526">
        <f t="shared" si="29"/>
        <v>450</v>
      </c>
      <c r="P277" s="526">
        <f t="shared" si="29"/>
        <v>451</v>
      </c>
      <c r="Q277" s="526">
        <f t="shared" si="29"/>
        <v>452</v>
      </c>
      <c r="R277" s="526">
        <f t="shared" si="29"/>
        <v>453</v>
      </c>
      <c r="S277" s="526">
        <f t="shared" si="29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7"/>
        <v>461</v>
      </c>
      <c r="D278" s="526">
        <f t="shared" si="29"/>
        <v>462</v>
      </c>
      <c r="E278" s="526">
        <f t="shared" si="29"/>
        <v>463</v>
      </c>
      <c r="F278" s="526">
        <f t="shared" si="29"/>
        <v>464</v>
      </c>
      <c r="G278" s="526">
        <f t="shared" si="29"/>
        <v>465</v>
      </c>
      <c r="H278" s="526">
        <f t="shared" si="29"/>
        <v>466</v>
      </c>
      <c r="I278" s="526">
        <f t="shared" si="29"/>
        <v>467</v>
      </c>
      <c r="J278" s="526">
        <f t="shared" si="29"/>
        <v>468</v>
      </c>
      <c r="K278" s="526">
        <f t="shared" si="29"/>
        <v>469</v>
      </c>
      <c r="L278" s="526">
        <f t="shared" si="29"/>
        <v>470</v>
      </c>
      <c r="M278" s="526">
        <f t="shared" si="29"/>
        <v>471</v>
      </c>
      <c r="N278" s="526">
        <f t="shared" si="29"/>
        <v>472</v>
      </c>
      <c r="O278" s="526">
        <f t="shared" si="29"/>
        <v>473</v>
      </c>
      <c r="P278" s="526">
        <f t="shared" si="29"/>
        <v>474</v>
      </c>
      <c r="Q278" s="526">
        <f t="shared" si="29"/>
        <v>475</v>
      </c>
      <c r="R278" s="526">
        <f t="shared" si="29"/>
        <v>476</v>
      </c>
      <c r="S278" s="526">
        <f t="shared" si="29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7"/>
        <v>484</v>
      </c>
      <c r="D279" s="526">
        <f t="shared" si="29"/>
        <v>485</v>
      </c>
      <c r="E279" s="526">
        <f t="shared" si="29"/>
        <v>486</v>
      </c>
      <c r="F279" s="526">
        <f t="shared" si="29"/>
        <v>487</v>
      </c>
      <c r="G279" s="526">
        <f t="shared" si="29"/>
        <v>488</v>
      </c>
      <c r="H279" s="526">
        <f t="shared" si="29"/>
        <v>489</v>
      </c>
      <c r="I279" s="526">
        <f t="shared" si="29"/>
        <v>490</v>
      </c>
      <c r="J279" s="526">
        <f t="shared" si="29"/>
        <v>491</v>
      </c>
      <c r="K279" s="526">
        <f t="shared" si="29"/>
        <v>492</v>
      </c>
      <c r="L279" s="526">
        <f t="shared" si="29"/>
        <v>493</v>
      </c>
      <c r="M279" s="526">
        <f t="shared" si="29"/>
        <v>494</v>
      </c>
      <c r="N279" s="526">
        <f t="shared" si="29"/>
        <v>495</v>
      </c>
      <c r="O279" s="526">
        <f t="shared" si="29"/>
        <v>496</v>
      </c>
      <c r="P279" s="526">
        <f t="shared" si="29"/>
        <v>497</v>
      </c>
      <c r="Q279" s="526">
        <f t="shared" si="29"/>
        <v>498</v>
      </c>
      <c r="R279" s="526">
        <f t="shared" si="29"/>
        <v>499</v>
      </c>
      <c r="S279" s="526">
        <f t="shared" si="29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7"/>
        <v>507</v>
      </c>
      <c r="D280" s="526">
        <f t="shared" si="29"/>
        <v>508</v>
      </c>
      <c r="E280" s="526">
        <f t="shared" si="29"/>
        <v>509</v>
      </c>
      <c r="F280" s="526">
        <f t="shared" si="29"/>
        <v>510</v>
      </c>
      <c r="G280" s="526">
        <f t="shared" si="29"/>
        <v>511</v>
      </c>
      <c r="H280" s="526">
        <f t="shared" si="29"/>
        <v>512</v>
      </c>
      <c r="I280" s="526">
        <f t="shared" si="29"/>
        <v>513</v>
      </c>
      <c r="J280" s="526">
        <f t="shared" si="29"/>
        <v>514</v>
      </c>
      <c r="K280" s="526">
        <f t="shared" si="29"/>
        <v>515</v>
      </c>
      <c r="L280" s="526">
        <f t="shared" si="29"/>
        <v>516</v>
      </c>
      <c r="M280" s="526">
        <f t="shared" si="29"/>
        <v>517</v>
      </c>
      <c r="N280" s="526">
        <f t="shared" si="29"/>
        <v>518</v>
      </c>
      <c r="O280" s="526">
        <f t="shared" si="29"/>
        <v>519</v>
      </c>
      <c r="P280" s="526">
        <f t="shared" si="29"/>
        <v>520</v>
      </c>
      <c r="Q280" s="526">
        <f t="shared" si="29"/>
        <v>521</v>
      </c>
      <c r="R280" s="526">
        <f t="shared" si="29"/>
        <v>522</v>
      </c>
      <c r="S280" s="526">
        <f t="shared" si="29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7"/>
        <v>530</v>
      </c>
      <c r="D281" s="526">
        <f t="shared" si="29"/>
        <v>531</v>
      </c>
      <c r="E281" s="526">
        <f t="shared" si="29"/>
        <v>532</v>
      </c>
      <c r="F281" s="526">
        <f t="shared" si="29"/>
        <v>533</v>
      </c>
      <c r="G281" s="526">
        <f t="shared" si="29"/>
        <v>534</v>
      </c>
      <c r="H281" s="526">
        <f t="shared" si="29"/>
        <v>535</v>
      </c>
      <c r="I281" s="526">
        <f t="shared" si="29"/>
        <v>536</v>
      </c>
      <c r="J281" s="526">
        <f t="shared" si="29"/>
        <v>537</v>
      </c>
      <c r="K281" s="526">
        <f t="shared" si="29"/>
        <v>538</v>
      </c>
      <c r="L281" s="526">
        <f t="shared" si="29"/>
        <v>539</v>
      </c>
      <c r="M281" s="526">
        <f t="shared" si="29"/>
        <v>540</v>
      </c>
      <c r="N281" s="526">
        <f t="shared" si="29"/>
        <v>541</v>
      </c>
      <c r="O281" s="526">
        <f t="shared" si="29"/>
        <v>542</v>
      </c>
      <c r="P281" s="526">
        <f t="shared" si="29"/>
        <v>543</v>
      </c>
      <c r="Q281" s="526">
        <f t="shared" si="29"/>
        <v>544</v>
      </c>
      <c r="R281" s="526">
        <f t="shared" si="29"/>
        <v>545</v>
      </c>
      <c r="S281" s="526">
        <f t="shared" si="29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7"/>
        <v>553</v>
      </c>
      <c r="D282" s="526">
        <f t="shared" si="29"/>
        <v>554</v>
      </c>
      <c r="E282" s="526">
        <f t="shared" si="29"/>
        <v>555</v>
      </c>
      <c r="F282" s="526">
        <f t="shared" si="29"/>
        <v>556</v>
      </c>
      <c r="G282" s="526">
        <f t="shared" si="29"/>
        <v>557</v>
      </c>
      <c r="H282" s="526">
        <f t="shared" si="29"/>
        <v>558</v>
      </c>
      <c r="I282" s="526">
        <f t="shared" si="29"/>
        <v>559</v>
      </c>
      <c r="J282" s="526">
        <f t="shared" si="29"/>
        <v>560</v>
      </c>
      <c r="K282" s="526">
        <f t="shared" si="29"/>
        <v>561</v>
      </c>
      <c r="L282" s="526">
        <f t="shared" si="29"/>
        <v>562</v>
      </c>
      <c r="M282" s="526">
        <f t="shared" si="29"/>
        <v>563</v>
      </c>
      <c r="N282" s="526">
        <f t="shared" si="29"/>
        <v>564</v>
      </c>
      <c r="O282" s="526">
        <f t="shared" si="29"/>
        <v>565</v>
      </c>
      <c r="P282" s="526">
        <f t="shared" si="29"/>
        <v>566</v>
      </c>
      <c r="Q282" s="526">
        <f t="shared" si="29"/>
        <v>567</v>
      </c>
      <c r="R282" s="526">
        <f t="shared" si="29"/>
        <v>568</v>
      </c>
      <c r="S282" s="526">
        <f t="shared" si="29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7"/>
        <v>576</v>
      </c>
      <c r="D283" s="526">
        <f t="shared" si="29"/>
        <v>577</v>
      </c>
      <c r="E283" s="526">
        <f t="shared" si="29"/>
        <v>578</v>
      </c>
      <c r="F283" s="526">
        <f t="shared" si="29"/>
        <v>579</v>
      </c>
      <c r="G283" s="526">
        <f t="shared" si="29"/>
        <v>580</v>
      </c>
      <c r="H283" s="526">
        <f t="shared" si="29"/>
        <v>581</v>
      </c>
      <c r="I283" s="526">
        <f t="shared" si="29"/>
        <v>582</v>
      </c>
      <c r="J283" s="526">
        <f t="shared" si="29"/>
        <v>583</v>
      </c>
      <c r="K283" s="526">
        <f t="shared" si="29"/>
        <v>584</v>
      </c>
      <c r="L283" s="526">
        <f t="shared" si="29"/>
        <v>585</v>
      </c>
      <c r="M283" s="526">
        <f t="shared" si="29"/>
        <v>586</v>
      </c>
      <c r="N283" s="526">
        <f t="shared" si="29"/>
        <v>587</v>
      </c>
      <c r="O283" s="526">
        <f t="shared" si="29"/>
        <v>588</v>
      </c>
      <c r="P283" s="526">
        <f t="shared" si="29"/>
        <v>589</v>
      </c>
      <c r="Q283" s="526">
        <f t="shared" si="29"/>
        <v>590</v>
      </c>
      <c r="R283" s="526">
        <f t="shared" si="29"/>
        <v>591</v>
      </c>
      <c r="S283" s="526">
        <f t="shared" si="29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7"/>
        <v>599</v>
      </c>
      <c r="D284" s="526">
        <f t="shared" si="29"/>
        <v>600</v>
      </c>
      <c r="E284" s="526">
        <f t="shared" si="29"/>
        <v>601</v>
      </c>
      <c r="F284" s="526">
        <f t="shared" si="29"/>
        <v>602</v>
      </c>
      <c r="G284" s="526">
        <f t="shared" si="29"/>
        <v>603</v>
      </c>
      <c r="H284" s="526">
        <f t="shared" si="29"/>
        <v>604</v>
      </c>
      <c r="I284" s="526">
        <f t="shared" si="29"/>
        <v>605</v>
      </c>
      <c r="J284" s="526">
        <f t="shared" si="29"/>
        <v>606</v>
      </c>
      <c r="K284" s="526">
        <f t="shared" si="29"/>
        <v>607</v>
      </c>
      <c r="L284" s="526">
        <f t="shared" si="29"/>
        <v>608</v>
      </c>
      <c r="M284" s="526">
        <f t="shared" si="29"/>
        <v>609</v>
      </c>
      <c r="N284" s="526">
        <f t="shared" si="29"/>
        <v>610</v>
      </c>
      <c r="O284" s="526">
        <f t="shared" si="29"/>
        <v>611</v>
      </c>
      <c r="P284" s="526">
        <f t="shared" si="29"/>
        <v>612</v>
      </c>
      <c r="Q284" s="526">
        <f t="shared" si="29"/>
        <v>613</v>
      </c>
      <c r="R284" s="526">
        <f t="shared" si="29"/>
        <v>614</v>
      </c>
      <c r="S284" s="526">
        <f t="shared" si="29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7"/>
        <v>622</v>
      </c>
      <c r="D285" s="526">
        <f t="shared" si="29"/>
        <v>623</v>
      </c>
      <c r="E285" s="526">
        <f t="shared" si="29"/>
        <v>624</v>
      </c>
      <c r="F285" s="526">
        <f t="shared" si="29"/>
        <v>625</v>
      </c>
      <c r="G285" s="526">
        <f t="shared" si="29"/>
        <v>626</v>
      </c>
      <c r="H285" s="526">
        <f t="shared" si="29"/>
        <v>627</v>
      </c>
      <c r="I285" s="526">
        <f t="shared" si="29"/>
        <v>628</v>
      </c>
      <c r="J285" s="526">
        <f t="shared" si="29"/>
        <v>629</v>
      </c>
      <c r="K285" s="526">
        <f t="shared" si="29"/>
        <v>630</v>
      </c>
      <c r="L285" s="526">
        <f t="shared" si="29"/>
        <v>631</v>
      </c>
      <c r="M285" s="526">
        <f t="shared" si="29"/>
        <v>632</v>
      </c>
      <c r="N285" s="526">
        <f t="shared" si="29"/>
        <v>633</v>
      </c>
      <c r="O285" s="526">
        <f t="shared" si="29"/>
        <v>634</v>
      </c>
      <c r="P285" s="526">
        <f t="shared" si="29"/>
        <v>635</v>
      </c>
      <c r="Q285" s="526">
        <f t="shared" si="29"/>
        <v>636</v>
      </c>
      <c r="R285" s="526">
        <f t="shared" si="29"/>
        <v>637</v>
      </c>
      <c r="S285" s="526">
        <f t="shared" si="29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7"/>
        <v>645</v>
      </c>
      <c r="D286" s="526">
        <f t="shared" si="29"/>
        <v>646</v>
      </c>
      <c r="E286" s="526">
        <f t="shared" si="29"/>
        <v>647</v>
      </c>
      <c r="F286" s="526">
        <f t="shared" si="29"/>
        <v>648</v>
      </c>
      <c r="G286" s="526">
        <f t="shared" si="29"/>
        <v>649</v>
      </c>
      <c r="H286" s="526">
        <f t="shared" si="29"/>
        <v>650</v>
      </c>
      <c r="I286" s="526">
        <f t="shared" si="29"/>
        <v>651</v>
      </c>
      <c r="J286" s="526">
        <f t="shared" si="29"/>
        <v>652</v>
      </c>
      <c r="K286" s="526">
        <f t="shared" si="29"/>
        <v>653</v>
      </c>
      <c r="L286" s="526">
        <f t="shared" si="29"/>
        <v>654</v>
      </c>
      <c r="M286" s="526">
        <f t="shared" si="29"/>
        <v>655</v>
      </c>
      <c r="N286" s="526">
        <f t="shared" si="29"/>
        <v>656</v>
      </c>
      <c r="O286" s="526">
        <f t="shared" si="29"/>
        <v>657</v>
      </c>
      <c r="P286" s="526">
        <f t="shared" si="29"/>
        <v>658</v>
      </c>
      <c r="Q286" s="526">
        <f t="shared" si="29"/>
        <v>659</v>
      </c>
      <c r="R286" s="526">
        <f t="shared" si="29"/>
        <v>660</v>
      </c>
      <c r="S286" s="526">
        <f t="shared" si="29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0000"/>
  </sheetPr>
  <dimension ref="A2:AN286"/>
  <sheetViews>
    <sheetView zoomScale="70" zoomScaleNormal="70" zoomScaleSheetLayoutView="8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34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Eastland</v>
      </c>
      <c r="C6" s="108"/>
      <c r="D6" s="109">
        <f>VLOOKUP($B$6,$B$258:$J$286,9,FALSE)</f>
        <v>123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30.968</v>
      </c>
      <c r="E7" s="407">
        <f>D7/('Industry calcs'!D4/1000)*100</f>
        <v>1.5023202305518573</v>
      </c>
    </row>
    <row r="8" spans="2:5">
      <c r="B8" s="111" t="s">
        <v>250</v>
      </c>
      <c r="C8" s="114"/>
      <c r="D8" s="406">
        <f>VLOOKUP(D6,'AV (2011)'!A8:F214,'AV (2011)'!F214,FALSE)/1000</f>
        <v>120.62757999999999</v>
      </c>
      <c r="E8" s="407">
        <f>D8/('Industry calcs'!D5/1000)*100</f>
        <v>1.344018780965837</v>
      </c>
    </row>
    <row r="9" spans="2:5">
      <c r="B9" s="111" t="s">
        <v>230</v>
      </c>
      <c r="C9" s="114"/>
      <c r="D9" s="406">
        <f>VLOOKUP($D$6,'FS (2011)'!$A$13:$AH$244,'FS (2011)'!S245,FALSE)/1000</f>
        <v>5.8239999999999998</v>
      </c>
      <c r="E9" s="407">
        <f>D9/('Industry calcs'!D6/1000)*100</f>
        <v>1.2827983060284751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5.1180000000000003</v>
      </c>
      <c r="E10" s="407">
        <f>D10/('Industry calcs'!D7/1000)*100</f>
        <v>0.87462044457001487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282.07</v>
      </c>
      <c r="E11" s="407">
        <f>D11/'Industry calcs'!D8*100</f>
        <v>0.91149840361417911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56.404000000000003</v>
      </c>
      <c r="E12" s="407">
        <f>D12/'Industry calcs'!D9*100</f>
        <v>0.90199529438119019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3653.6302000000001</v>
      </c>
      <c r="E13" s="407">
        <f>D13/'Industry calcs'!D10*100</f>
        <v>2.4427592650631347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25514</v>
      </c>
      <c r="E14" s="407">
        <f>D14/'Industry calcs'!D11*100</f>
        <v>1.2701905484958991</v>
      </c>
    </row>
    <row r="15" spans="2:5">
      <c r="B15" s="115" t="s">
        <v>195</v>
      </c>
      <c r="C15" s="116" t="s">
        <v>239</v>
      </c>
      <c r="D15" s="408">
        <f>D14/D13</f>
        <v>6.9831916760486594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Eastland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28.497471329776918</v>
      </c>
      <c r="D20" s="409">
        <f>VLOOKUP($B$2,'MED price allocation'!$B$16:$F$44,3,FALSE)</f>
        <v>29.418028154720037</v>
      </c>
      <c r="E20" s="409">
        <f>VLOOKUP($B$2,'MED price allocation'!$B$16:$F$44,4,FALSE)</f>
        <v>28.582934828863433</v>
      </c>
      <c r="F20" s="503">
        <f>VLOOKUP($B$2,'MED price allocation'!$B$16:$F$44,5,FALSE)</f>
        <v>29.863147159157744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8.6247897122979094</v>
      </c>
      <c r="D21" s="410">
        <f>VLOOKUP($B$2,'MED price allocation'!$B$47:$F$75,3,FALSE)</f>
        <v>9.1040895051135937</v>
      </c>
      <c r="E21" s="410">
        <f>VLOOKUP($B$2,'MED price allocation'!$B$47:$F$75,4,FALSE)</f>
        <v>9.3834739026164744</v>
      </c>
      <c r="F21" s="504">
        <f>VLOOKUP($B$2,'MED price allocation'!$B$47:$F$75,5,FALSE)</f>
        <v>10.25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11.481751304496592</v>
      </c>
      <c r="D22" s="409">
        <f>VLOOKUP($B$2,'MED price allocation'!$B$78:$F$106,3,FALSE)</f>
        <v>11.886182991282856</v>
      </c>
      <c r="E22" s="409">
        <f>VLOOKUP($B$2,'MED price allocation'!$B$78:$F$106,4,FALSE)</f>
        <v>12.175082859529519</v>
      </c>
      <c r="F22" s="503">
        <f>VLOOKUP($B$2,'MED price allocation'!$B$78:$F$106,5,FALSE)</f>
        <v>13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2.8569615921986822</v>
      </c>
      <c r="D23" s="411">
        <f>VLOOKUP($B$2,'MED price allocation'!$B$109:$F$137,3,FALSE)</f>
        <v>2.7820934861692628</v>
      </c>
      <c r="E23" s="411">
        <f>VLOOKUP($B$2,'MED price allocation'!$B$109:$F$137,4,FALSE)</f>
        <v>2.7916089569130444</v>
      </c>
      <c r="F23" s="505">
        <f>VLOOKUP($B$2,'MED price allocation'!$B$109:$F$137,5,FALSE)</f>
        <v>2.75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Eastland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2279.7977063821536</v>
      </c>
      <c r="D26" s="412">
        <f>(D20*8000)/100</f>
        <v>2353.4422523776029</v>
      </c>
      <c r="E26" s="412">
        <f>(E20*8000)/100</f>
        <v>2286.6347863090746</v>
      </c>
      <c r="F26" s="506">
        <f>(F20*8000)/100</f>
        <v>2389.0517727326196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918.54010435972737</v>
      </c>
      <c r="D27" s="412">
        <f>(D22*8000)/100</f>
        <v>950.89463930262855</v>
      </c>
      <c r="E27" s="412">
        <f>(E22*8000)/100</f>
        <v>974.00662876236152</v>
      </c>
      <c r="F27" s="506">
        <f>(F22*8000)/100</f>
        <v>1040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689.98317698383278</v>
      </c>
      <c r="D28" s="412">
        <f>(D21*8000)/100</f>
        <v>728.32716040908747</v>
      </c>
      <c r="E28" s="412">
        <f>(E21*8000)/100</f>
        <v>750.67791220931804</v>
      </c>
      <c r="F28" s="506">
        <f>(F21*8000)/100</f>
        <v>820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228.55692737589456</v>
      </c>
      <c r="D29" s="413">
        <f>(D23*8000)/100</f>
        <v>222.56747889354102</v>
      </c>
      <c r="E29" s="413">
        <f>(E23*8000)/100</f>
        <v>223.32871655304356</v>
      </c>
      <c r="F29" s="507">
        <f>(F23*8000)/100</f>
        <v>220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Eastland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2327.2316294503626</v>
      </c>
      <c r="D32" s="122"/>
    </row>
    <row r="33" spans="2:13">
      <c r="B33" s="120" t="s">
        <v>241</v>
      </c>
      <c r="C33" s="412">
        <f>AVERAGE(C27:F27)</f>
        <v>970.86034310617936</v>
      </c>
      <c r="D33" s="414">
        <f>C33/$C$32</f>
        <v>0.41717392064470771</v>
      </c>
    </row>
    <row r="34" spans="2:13">
      <c r="B34" s="120" t="s">
        <v>222</v>
      </c>
      <c r="C34" s="412">
        <f>AVERAGE(C28:F28)</f>
        <v>747.24706240055957</v>
      </c>
      <c r="D34" s="414">
        <f>C34/$C$32</f>
        <v>0.32108839229597519</v>
      </c>
    </row>
    <row r="35" spans="2:13">
      <c r="B35" s="124" t="s">
        <v>223</v>
      </c>
      <c r="C35" s="413">
        <f>AVERAGE(C29:F29)</f>
        <v>223.61328070561979</v>
      </c>
      <c r="D35" s="415">
        <f>C35/$C$32</f>
        <v>9.6085528348732518E-2</v>
      </c>
    </row>
    <row r="38" spans="2:13">
      <c r="B38" s="517" t="s">
        <v>227</v>
      </c>
      <c r="C38" s="518">
        <f>VLOOKUP($B$2,$B$258:$J$286,6,FALSE)</f>
        <v>120</v>
      </c>
      <c r="D38" s="518">
        <f>VLOOKUP($B$2,$B$258:$J$286,7,FALSE)</f>
        <v>121</v>
      </c>
      <c r="E38" s="518">
        <f>VLOOKUP($B$2,$B$258:$J$286,8,FALSE)</f>
        <v>122</v>
      </c>
      <c r="F38" s="519">
        <f>VLOOKUP($B$2,$B$258:$J$286,9,FALSE)</f>
        <v>123</v>
      </c>
    </row>
    <row r="39" spans="2:13">
      <c r="B39" s="137" t="str">
        <f>B2</f>
        <v>Eastland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26290.515240512101</v>
      </c>
      <c r="D40" s="418">
        <f>VLOOKUP($D$38,'FS (2011)'!$A$13:$AH$244,'FS (2011)'!E245,FALSE)</f>
        <v>27243.754272770944</v>
      </c>
      <c r="E40" s="418">
        <f>VLOOKUP($E$38,'FS (2011)'!$A$13:$AH$244,'FS (2011)'!E245,FALSE)</f>
        <v>28155.515884778095</v>
      </c>
      <c r="F40" s="419">
        <f>VLOOKUP($F$38,'FS (2011)'!$A$13:$AH$244,'FS (2011)'!E245,FALSE)</f>
        <v>29453</v>
      </c>
    </row>
    <row r="41" spans="2:13" ht="30">
      <c r="B41" s="120" t="s">
        <v>198</v>
      </c>
      <c r="C41" s="417">
        <f>VLOOKUP($C$38,'FS (2011)'!$A$13:$AH$244,'FS (2011)'!$F$245,FALSE)</f>
        <v>821.68371589062178</v>
      </c>
      <c r="D41" s="418">
        <f>VLOOKUP($D$38,'FS (2011)'!$A$13:$AH$244,'FS (2011)'!$F$245,FALSE)</f>
        <v>1231.6774243942614</v>
      </c>
      <c r="E41" s="418">
        <f>VLOOKUP($E$38,'FS (2011)'!$A$13:$AH$244,'FS (2011)'!$F$245,FALSE)</f>
        <v>199.69173560399878</v>
      </c>
      <c r="F41" s="419">
        <f>VLOOKUP($F$38,'FS (2011)'!$A$13:$AH$244,'FS (2011)'!$F$245,FALSE)</f>
        <v>1234</v>
      </c>
    </row>
    <row r="42" spans="2:13">
      <c r="B42" s="120" t="s">
        <v>13</v>
      </c>
      <c r="C42" s="417">
        <f>VLOOKUP($C$38,'FS (2011)'!$A$13:$AH$244,'FS (2011)'!$H$245,FALSE)</f>
        <v>461.42624960793813</v>
      </c>
      <c r="D42" s="418">
        <f>VLOOKUP($D$38,'FS (2011)'!$A$13:$AH$244,'FS (2011)'!$H$245,FALSE)</f>
        <v>551.22822431189491</v>
      </c>
      <c r="E42" s="418">
        <f>VLOOKUP($E$38,'FS (2011)'!$A$13:$AH$244,'FS (2011)'!$H$245,FALSE)</f>
        <v>528.77556519630286</v>
      </c>
      <c r="F42" s="419">
        <f>VLOOKUP($F$38,'FS (2011)'!$A$13:$AH$244,'FS (2011)'!$H$245,FALSE)</f>
        <v>281</v>
      </c>
    </row>
    <row r="43" spans="2:13">
      <c r="B43" s="124" t="s">
        <v>5</v>
      </c>
      <c r="C43" s="420">
        <f>SUM(C40:C42)</f>
        <v>27573.62520601066</v>
      </c>
      <c r="D43" s="420">
        <f>SUM(D40:D42)</f>
        <v>29026.659921477098</v>
      </c>
      <c r="E43" s="420">
        <f>SUM(E40:E42)</f>
        <v>28883.983185578396</v>
      </c>
      <c r="F43" s="421">
        <f>SUM(F40:F42)</f>
        <v>30968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Eastland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103.62579060751902</v>
      </c>
      <c r="E46" s="422">
        <f>IF(ISERROR(E40/$C40),"",(E40/$C40))*100</f>
        <v>107.09381549659453</v>
      </c>
      <c r="F46" s="423">
        <f>IF(ISERROR(F40/$C40),"",(F40/$C40))*100</f>
        <v>112.02899498376777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149.89677908600731</v>
      </c>
      <c r="E47" s="422">
        <f t="shared" si="0"/>
        <v>24.302749554620682</v>
      </c>
      <c r="F47" s="423">
        <f t="shared" si="0"/>
        <v>150.17943962324594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119.46182619221581</v>
      </c>
      <c r="E48" s="422">
        <f t="shared" si="0"/>
        <v>114.59590035148406</v>
      </c>
      <c r="F48" s="423">
        <f t="shared" si="0"/>
        <v>60.898139245168295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105.26965426058557</v>
      </c>
      <c r="E49" s="424">
        <f t="shared" si="0"/>
        <v>104.75221509604799</v>
      </c>
      <c r="F49" s="416">
        <f t="shared" si="0"/>
        <v>112.3102231521208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Eastland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20799.758489920445</v>
      </c>
      <c r="D54" s="426">
        <f>VLOOKUP($D$38,'MP (2011)'!$A$14:$AR$245,'MP (2011)'!$Z$246,FALSE)</f>
        <v>21437.691262269196</v>
      </c>
      <c r="E54" s="426">
        <f>VLOOKUP($E$38,'MP (2011)'!$A$14:$AR$245,'MP (2011)'!$Z$246,FALSE)</f>
        <v>22375.66274150521</v>
      </c>
      <c r="F54" s="427">
        <f>VLOOKUP($F$38,'MP (2011)'!$A$14:$AR$245,'MP (2011)'!$Z$246,FALSE)</f>
        <v>23259</v>
      </c>
    </row>
    <row r="55" spans="2:23">
      <c r="B55" s="111" t="s">
        <v>180</v>
      </c>
      <c r="C55" s="425">
        <f>VLOOKUP($C$38,'MP (2011)'!$A$14:$AR$245,'MP (2011)'!$AD$246,FALSE)</f>
        <v>1851.0954920019387</v>
      </c>
      <c r="D55" s="426">
        <f>VLOOKUP($D$38,'MP (2011)'!$A$14:$AR$245,'MP (2011)'!$AD$246,FALSE)</f>
        <v>2010.7892099663663</v>
      </c>
      <c r="E55" s="426">
        <f>VLOOKUP($E$38,'MP (2011)'!$A$14:$AR$245,'MP (2011)'!$AD$246,FALSE)</f>
        <v>2119.1776023281504</v>
      </c>
      <c r="F55" s="427">
        <f>VLOOKUP($F$38,'MP (2011)'!$A$14:$AR$245,'MP (2011)'!$AD$246,FALSE)</f>
        <v>2258</v>
      </c>
      <c r="J55" s="139"/>
    </row>
    <row r="56" spans="2:23">
      <c r="B56" s="111" t="s">
        <v>184</v>
      </c>
      <c r="C56" s="425">
        <f>VLOOKUP($C$38,'MP (2011)'!$A$14:$AR$245,'MP (2011)'!$AH$246,FALSE)</f>
        <v>2028.9817798180832</v>
      </c>
      <c r="D56" s="426">
        <f>VLOOKUP($D$38,'MP (2011)'!$A$14:$AR$245,'MP (2011)'!$AH$246,FALSE)</f>
        <v>2140.5510330153056</v>
      </c>
      <c r="E56" s="426">
        <f>VLOOKUP($E$38,'MP (2011)'!$A$14:$AR$245,'MP (2011)'!$AH$246,FALSE)</f>
        <v>2138.5354746571093</v>
      </c>
      <c r="F56" s="427">
        <f>VLOOKUP($F$38,'MP (2011)'!$A$14:$AR$245,'MP (2011)'!$AH$246,FALSE)</f>
        <v>2329</v>
      </c>
    </row>
    <row r="57" spans="2:23">
      <c r="B57" s="111" t="s">
        <v>181</v>
      </c>
      <c r="C57" s="425">
        <f>VLOOKUP($C$38,'MP (2011)'!$A$14:$AR$245,'MP (2011)'!$AL$246,FALSE)</f>
        <v>1610.6794787716346</v>
      </c>
      <c r="D57" s="426">
        <f>VLOOKUP($D$38,'MP (2011)'!$A$14:$AR$245,'MP (2011)'!$AL$246,FALSE)</f>
        <v>1654.7227675200763</v>
      </c>
      <c r="E57" s="426">
        <f>VLOOKUP($E$38,'MP (2011)'!$A$14:$AR$245,'MP (2011)'!$AL$246,FALSE)</f>
        <v>1522.1400662876233</v>
      </c>
      <c r="F57" s="427">
        <f>VLOOKUP($F$38,'MP (2011)'!$A$14:$AR$245,'MP (2011)'!$AL$246,FALSE)</f>
        <v>1607</v>
      </c>
      <c r="W57" s="139"/>
    </row>
    <row r="58" spans="2:23">
      <c r="B58" s="147" t="s">
        <v>248</v>
      </c>
      <c r="C58" s="428">
        <f>SUM(C54:C57)</f>
        <v>26290.515240512104</v>
      </c>
      <c r="D58" s="428">
        <f>SUM(D54:D57)</f>
        <v>27243.754272770944</v>
      </c>
      <c r="E58" s="428">
        <f>SUM(E54:E57)</f>
        <v>28155.515884778091</v>
      </c>
      <c r="F58" s="429">
        <f>SUM(F54:F57)</f>
        <v>29453</v>
      </c>
    </row>
    <row r="59" spans="2:23">
      <c r="B59" s="103" t="s">
        <v>302</v>
      </c>
    </row>
    <row r="60" spans="2:23">
      <c r="B60" s="137" t="str">
        <f>$B$2</f>
        <v>Eastland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103.0670200938049</v>
      </c>
      <c r="E61" s="422">
        <f t="shared" si="1"/>
        <v>107.57655071980017</v>
      </c>
      <c r="F61" s="423">
        <f t="shared" si="1"/>
        <v>111.82341377315174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108.62698432654712</v>
      </c>
      <c r="E62" s="422">
        <f t="shared" si="1"/>
        <v>114.48234904598486</v>
      </c>
      <c r="F62" s="423">
        <f t="shared" si="1"/>
        <v>121.98182156221442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105.4987804379015</v>
      </c>
      <c r="E63" s="422">
        <f t="shared" si="1"/>
        <v>105.39944202203968</v>
      </c>
      <c r="F63" s="423">
        <f t="shared" si="1"/>
        <v>114.7866394447769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102.73445395740876</v>
      </c>
      <c r="E64" s="422">
        <f t="shared" si="1"/>
        <v>94.502977553824991</v>
      </c>
      <c r="F64" s="423">
        <f t="shared" si="1"/>
        <v>99.771557356995643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103.62579060751899</v>
      </c>
      <c r="E65" s="424">
        <f t="shared" si="1"/>
        <v>107.09381549659449</v>
      </c>
      <c r="F65" s="416">
        <f t="shared" si="1"/>
        <v>112.02899498376775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Eastland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839.00441651891583</v>
      </c>
      <c r="D70" s="433">
        <f>(D54/D98)*1000</f>
        <v>861.57428109754835</v>
      </c>
      <c r="E70" s="433">
        <f>(E54/E98)*1000</f>
        <v>895.02650966020838</v>
      </c>
      <c r="F70" s="434">
        <f>(F54/F98)*1000</f>
        <v>927.94733692399757</v>
      </c>
    </row>
    <row r="71" spans="2:40">
      <c r="B71" s="111" t="s">
        <v>180</v>
      </c>
      <c r="C71" s="433">
        <f>(C55/C99)*1000</f>
        <v>6109.2260462110189</v>
      </c>
      <c r="D71" s="433">
        <f t="shared" ref="C71:F73" si="2">(D55/D99)*1000</f>
        <v>6383.4578094170365</v>
      </c>
      <c r="E71" s="433">
        <f t="shared" si="2"/>
        <v>6480.6654505448023</v>
      </c>
      <c r="F71" s="434">
        <f t="shared" si="2"/>
        <v>6720.2380952380945</v>
      </c>
    </row>
    <row r="72" spans="2:40">
      <c r="B72" s="111" t="s">
        <v>184</v>
      </c>
      <c r="C72" s="433">
        <f>(C56/C100)*1000</f>
        <v>20917.337936268897</v>
      </c>
      <c r="D72" s="433">
        <f t="shared" si="2"/>
        <v>21842.357479748018</v>
      </c>
      <c r="E72" s="433">
        <f t="shared" si="2"/>
        <v>21385.354746571091</v>
      </c>
      <c r="F72" s="434">
        <f t="shared" si="2"/>
        <v>21564.814814814814</v>
      </c>
    </row>
    <row r="73" spans="2:40">
      <c r="B73" s="115" t="s">
        <v>181</v>
      </c>
      <c r="C73" s="435">
        <f t="shared" si="2"/>
        <v>322135.89575432695</v>
      </c>
      <c r="D73" s="435">
        <f t="shared" si="2"/>
        <v>330944.55350401526</v>
      </c>
      <c r="E73" s="435">
        <f t="shared" si="2"/>
        <v>304428.01325752464</v>
      </c>
      <c r="F73" s="436">
        <f t="shared" si="2"/>
        <v>321400</v>
      </c>
    </row>
    <row r="74" spans="2:40">
      <c r="B74" s="103" t="s">
        <v>303</v>
      </c>
    </row>
    <row r="75" spans="2:40">
      <c r="B75" s="137" t="str">
        <f>$B$2</f>
        <v>Eastland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102.69007696911494</v>
      </c>
      <c r="E76" s="422">
        <f t="shared" si="3"/>
        <v>106.67721075578265</v>
      </c>
      <c r="F76" s="423">
        <f t="shared" si="3"/>
        <v>110.60100741472991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104.48881349505963</v>
      </c>
      <c r="E77" s="422">
        <f t="shared" si="3"/>
        <v>106.07997480407772</v>
      </c>
      <c r="F77" s="423">
        <f t="shared" si="3"/>
        <v>110.00146408735407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104.42226227016782</v>
      </c>
      <c r="E78" s="422">
        <f t="shared" si="3"/>
        <v>102.23745876137849</v>
      </c>
      <c r="F78" s="423">
        <f t="shared" si="3"/>
        <v>103.09540764947553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102.73445395740875</v>
      </c>
      <c r="E79" s="424">
        <f t="shared" si="3"/>
        <v>94.502977553824991</v>
      </c>
      <c r="F79" s="416">
        <f t="shared" si="3"/>
        <v>99.771557356995643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Eastland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12.530050476159763</v>
      </c>
      <c r="D84" s="437">
        <f>(D54/VLOOKUP($D$38,'MP (2011)'!$A$14:$AR$245,'MP (2011)'!$AA$246,FALSE)*100)</f>
        <v>13.040613392296475</v>
      </c>
      <c r="E84" s="437">
        <f>(E54/VLOOKUP($E$38,'MP (2011)'!$A$14:$AR$245,'MP (2011)'!$AA$246,FALSE)*100)</f>
        <v>13.19802211982282</v>
      </c>
      <c r="F84" s="438">
        <f>(F54/VLOOKUP($F$38,'MP (2011)'!$A$14:$AR$245,'MP (2011)'!$AA$246,FALSE)*100)</f>
        <v>13.894265232974911</v>
      </c>
    </row>
    <row r="85" spans="2:7">
      <c r="B85" s="111" t="s">
        <v>180</v>
      </c>
      <c r="C85" s="430">
        <f>(C55/VLOOKUP($C$38,'MP (2011)'!$A$14:$AR$245,'MP (2011)'!$AE$246,FALSE)*100)</f>
        <v>7.0215661798806615</v>
      </c>
      <c r="D85" s="437">
        <f>(D55/VLOOKUP($D$38,'MP (2011)'!$A$14:$AR$245,'MP (2011)'!$AE$246,FALSE)*100)</f>
        <v>7.6411289276284782</v>
      </c>
      <c r="E85" s="437">
        <f>(E55/VLOOKUP($E$38,'MP (2011)'!$A$14:$AR$245,'MP (2011)'!$AE$246,FALSE)*100)</f>
        <v>8.1135480007969321</v>
      </c>
      <c r="F85" s="438">
        <f>(F55/VLOOKUP($F$38,'MP (2011)'!$A$14:$AR$245,'MP (2011)'!$AE$246,FALSE)*100)</f>
        <v>8.6295192234197042</v>
      </c>
    </row>
    <row r="86" spans="2:7">
      <c r="B86" s="111" t="s">
        <v>184</v>
      </c>
      <c r="C86" s="430">
        <f>(C56/VLOOKUP($C$38,'MP (2011)'!$A$14:$AR$245,'MP (2011)'!$AI$246,FALSE)*100)</f>
        <v>4.6146783565731511</v>
      </c>
      <c r="D86" s="437">
        <f>(D56/VLOOKUP($D$38,'MP (2011)'!$A$14:$AR$245,'MP (2011)'!$AI$246,FALSE)*100)</f>
        <v>4.8868754303516777</v>
      </c>
      <c r="E86" s="437">
        <f>(E56/VLOOKUP($E$38,'MP (2011)'!$A$14:$AR$245,'MP (2011)'!$AI$246,FALSE)*100)</f>
        <v>4.9783166297858541</v>
      </c>
      <c r="F86" s="438">
        <f>(F56/VLOOKUP($F$38,'MP (2011)'!$A$14:$AR$245,'MP (2011)'!$AI$246,FALSE)*100)</f>
        <v>5.2643475509143105</v>
      </c>
    </row>
    <row r="87" spans="2:7">
      <c r="B87" s="115" t="s">
        <v>181</v>
      </c>
      <c r="C87" s="431">
        <f>(C57/VLOOKUP($C$38,'MP (2011)'!$A$14:$AR$245,'MP (2011)'!$AM$246,FALSE)*100)</f>
        <v>3.3989184577775693</v>
      </c>
      <c r="D87" s="431">
        <f>(D57/VLOOKUP($D$38,'MP (2011)'!$A$14:$AR$245,'MP (2011)'!$AM$246,FALSE)*100)</f>
        <v>3.5794494181242906</v>
      </c>
      <c r="E87" s="431">
        <f>(E57/VLOOKUP($E$38,'MP (2011)'!$A$14:$AR$245,'MP (2011)'!$AM$246,FALSE)*100)</f>
        <v>3.6934389650772186</v>
      </c>
      <c r="F87" s="432">
        <f>(F57/VLOOKUP($F$38,'MP (2011)'!$A$14:$AR$245,'MP (2011)'!$AM$246,FALSE)*100)</f>
        <v>3.6305718094119239</v>
      </c>
    </row>
    <row r="88" spans="2:7">
      <c r="B88" s="103" t="s">
        <v>304</v>
      </c>
    </row>
    <row r="89" spans="2:7">
      <c r="B89" s="137" t="str">
        <f>$B$2</f>
        <v>Eastland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104.07470757686197</v>
      </c>
      <c r="E90" s="422">
        <f>IF(ISERROR(E84/$C84),"",(E84/$C84)*100)</f>
        <v>105.33095732482458</v>
      </c>
      <c r="F90" s="423">
        <f>IF(ISERROR(F84/$C84),"",(F84/$C84)*100)</f>
        <v>110.8875439840467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108.82371157482058</v>
      </c>
      <c r="E91" s="422">
        <f t="shared" si="4"/>
        <v>115.55182694204601</v>
      </c>
      <c r="F91" s="423">
        <f t="shared" si="4"/>
        <v>122.90020491648164</v>
      </c>
    </row>
    <row r="92" spans="2:7">
      <c r="B92" s="111" t="s">
        <v>184</v>
      </c>
      <c r="C92" s="422">
        <f t="shared" si="4"/>
        <v>100</v>
      </c>
      <c r="D92" s="422">
        <f t="shared" si="4"/>
        <v>105.89850587074632</v>
      </c>
      <c r="E92" s="422">
        <f t="shared" si="4"/>
        <v>107.88003507752033</v>
      </c>
      <c r="F92" s="423">
        <f t="shared" si="4"/>
        <v>114.07832018055539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105.31142369519404</v>
      </c>
      <c r="E93" s="424">
        <f>IF(ISERROR(E87/$C87),"",(E87/$C87)*100)</f>
        <v>108.66512424344023</v>
      </c>
      <c r="F93" s="416">
        <f>IF(ISERROR(F87/$C87),"",(F87/$C87)*100)</f>
        <v>106.81550188720399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24791</v>
      </c>
      <c r="D98" s="150">
        <f>VLOOKUP($D$38,'MP (2011)'!$A$14:$AR$245,'MP (2011)'!$AB$246,FALSE)</f>
        <v>24882</v>
      </c>
      <c r="E98" s="150">
        <f>VLOOKUP($E$38,'MP (2011)'!$A$14:$AR$245,'MP (2011)'!$AB$246,FALSE)</f>
        <v>25000</v>
      </c>
      <c r="F98" s="151">
        <f>VLOOKUP($F$38,'MP (2011)'!$A$14:$AR$245,'MP (2011)'!$AB$246,FALSE)</f>
        <v>25065</v>
      </c>
    </row>
    <row r="99" spans="2:7">
      <c r="B99" s="155" t="s">
        <v>309</v>
      </c>
      <c r="C99" s="150">
        <f>VLOOKUP($C$38,'MP (2011)'!$A$14:$AR$245,'MP (2011)'!$AF$246,FALSE)</f>
        <v>303</v>
      </c>
      <c r="D99" s="150">
        <f>VLOOKUP($D$38,'MP (2011)'!$A$14:$AR$245,'MP (2011)'!$AF$246,FALSE)</f>
        <v>315</v>
      </c>
      <c r="E99" s="150">
        <f>VLOOKUP($E$38,'MP (2011)'!$A$14:$AR$245,'MP (2011)'!$AF$246,FALSE)</f>
        <v>327</v>
      </c>
      <c r="F99" s="151">
        <f>VLOOKUP($F$38,'MP (2011)'!$A$14:$AR$245,'MP (2011)'!$AF$246,FALSE)</f>
        <v>336</v>
      </c>
    </row>
    <row r="100" spans="2:7">
      <c r="B100" s="155" t="s">
        <v>310</v>
      </c>
      <c r="C100" s="150">
        <f>VLOOKUP($C$38,'MP (2011)'!$A$14:$AR$245,'MP (2011)'!$AJ$246,FALSE)</f>
        <v>97</v>
      </c>
      <c r="D100" s="150">
        <f>VLOOKUP($D$38,'MP (2011)'!$A$14:$AR$245,'MP (2011)'!$AJ$246,FALSE)</f>
        <v>98</v>
      </c>
      <c r="E100" s="150">
        <f>VLOOKUP($E$38,'MP (2011)'!$A$14:$AR$245,'MP (2011)'!$AJ$246,FALSE)</f>
        <v>100</v>
      </c>
      <c r="F100" s="151">
        <f>VLOOKUP($F$38,'MP (2011)'!$A$14:$AR$245,'MP (2011)'!$AJ$246,FALSE)</f>
        <v>108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25196</v>
      </c>
      <c r="D102" s="152">
        <f>SUM(D98:D101)</f>
        <v>25300</v>
      </c>
      <c r="E102" s="152">
        <f>SUM(E98:E101)</f>
        <v>25432</v>
      </c>
      <c r="F102" s="157">
        <f>SUM(F98:F101)</f>
        <v>25514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100.36706869428423</v>
      </c>
      <c r="E105" s="422">
        <f t="shared" si="5"/>
        <v>100.84304788027913</v>
      </c>
      <c r="F105" s="423">
        <f t="shared" si="5"/>
        <v>101.10523980476786</v>
      </c>
    </row>
    <row r="106" spans="2:7">
      <c r="B106" s="111" t="s">
        <v>180</v>
      </c>
      <c r="C106" s="422">
        <f t="shared" si="5"/>
        <v>100</v>
      </c>
      <c r="D106" s="422">
        <f t="shared" si="5"/>
        <v>103.96039603960396</v>
      </c>
      <c r="E106" s="422">
        <f t="shared" si="5"/>
        <v>107.92079207920793</v>
      </c>
      <c r="F106" s="423">
        <f t="shared" si="5"/>
        <v>110.8910891089109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101.03092783505154</v>
      </c>
      <c r="E107" s="422">
        <f t="shared" si="5"/>
        <v>103.09278350515463</v>
      </c>
      <c r="F107" s="423">
        <f t="shared" si="5"/>
        <v>111.34020618556701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Eastland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165999</v>
      </c>
      <c r="D113" s="150">
        <f>VLOOKUP($D$38,'MP (2011)'!$A$14:$AR$245,'MP (2011)'!$AA$246,FALSE)</f>
        <v>164391.74</v>
      </c>
      <c r="E113" s="150">
        <f>VLOOKUP($E$38,'MP (2011)'!$A$14:$AR$245,'MP (2011)'!$AA$246,FALSE)</f>
        <v>169538</v>
      </c>
      <c r="F113" s="151">
        <f>VLOOKUP($F$38,'MP (2011)'!$A$14:$AR$245,'MP (2011)'!$AA$246,FALSE)</f>
        <v>167400</v>
      </c>
    </row>
    <row r="114" spans="2:7">
      <c r="B114" s="155" t="s">
        <v>309</v>
      </c>
      <c r="C114" s="150">
        <f>VLOOKUP($C$38,'MP (2011)'!$A$14:$AR$245,'MP (2011)'!$AE$246,FALSE)</f>
        <v>26363</v>
      </c>
      <c r="D114" s="150">
        <f>VLOOKUP($D$38,'MP (2011)'!$A$14:$AR$245,'MP (2011)'!$AE$246,FALSE)</f>
        <v>26315.342000000001</v>
      </c>
      <c r="E114" s="150">
        <f>VLOOKUP($E$38,'MP (2011)'!$A$14:$AR$245,'MP (2011)'!$AE$246,FALSE)</f>
        <v>26119</v>
      </c>
      <c r="F114" s="151">
        <f>VLOOKUP($F$38,'MP (2011)'!$A$14:$AR$245,'MP (2011)'!$AE$246,FALSE)</f>
        <v>26166</v>
      </c>
    </row>
    <row r="115" spans="2:7">
      <c r="B115" s="155" t="s">
        <v>310</v>
      </c>
      <c r="C115" s="150">
        <f>VLOOKUP($C$38,'MP (2011)'!$A$14:$AR$245,'MP (2011)'!$AI$246,FALSE)</f>
        <v>43968</v>
      </c>
      <c r="D115" s="150">
        <f>VLOOKUP($D$38,'MP (2011)'!$A$14:$AR$245,'MP (2011)'!$AI$246,FALSE)</f>
        <v>43802.038</v>
      </c>
      <c r="E115" s="150">
        <f>VLOOKUP($E$38,'MP (2011)'!$A$14:$AR$245,'MP (2011)'!$AI$246,FALSE)</f>
        <v>42957</v>
      </c>
      <c r="F115" s="151">
        <f>VLOOKUP($F$38,'MP (2011)'!$A$14:$AR$245,'MP (2011)'!$AI$246,FALSE)</f>
        <v>44241</v>
      </c>
    </row>
    <row r="116" spans="2:7">
      <c r="B116" s="155" t="s">
        <v>311</v>
      </c>
      <c r="C116" s="150">
        <f>VLOOKUP($C$38,'MP (2011)'!$A$14:$AR$245,'MP (2011)'!$AM$246,FALSE)</f>
        <v>47388</v>
      </c>
      <c r="D116" s="150">
        <f>VLOOKUP($D$38,'MP (2011)'!$A$14:$AR$245,'MP (2011)'!$AM$246,FALSE)</f>
        <v>46228.415999999997</v>
      </c>
      <c r="E116" s="150">
        <f>VLOOKUP($E$38,'MP (2011)'!$A$14:$AR$245,'MP (2011)'!$AM$246,FALSE)</f>
        <v>41212</v>
      </c>
      <c r="F116" s="151">
        <f>VLOOKUP($F$38,'MP (2011)'!$A$14:$AR$245,'MP (2011)'!$AM$246,FALSE)</f>
        <v>44263</v>
      </c>
    </row>
    <row r="117" spans="2:7">
      <c r="B117" s="147" t="s">
        <v>254</v>
      </c>
      <c r="C117" s="158">
        <f>SUM(C113:C116)</f>
        <v>283718</v>
      </c>
      <c r="D117" s="158">
        <f>SUM(D113:D116)</f>
        <v>280737.53599999996</v>
      </c>
      <c r="E117" s="158">
        <f>SUM(E113:E116)</f>
        <v>279826</v>
      </c>
      <c r="F117" s="159">
        <f>SUM(F113:F116)</f>
        <v>282070</v>
      </c>
    </row>
    <row r="118" spans="2:7">
      <c r="B118" s="103" t="s">
        <v>306</v>
      </c>
    </row>
    <row r="119" spans="2:7">
      <c r="B119" s="137" t="str">
        <f>$B$2</f>
        <v>Eastland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99.031765251597889</v>
      </c>
      <c r="E120" s="422">
        <f t="shared" si="6"/>
        <v>102.13194055385877</v>
      </c>
      <c r="F120" s="423">
        <f t="shared" si="6"/>
        <v>100.84398098783727</v>
      </c>
    </row>
    <row r="121" spans="2:7">
      <c r="B121" s="111" t="s">
        <v>180</v>
      </c>
      <c r="C121" s="422">
        <f t="shared" si="6"/>
        <v>100</v>
      </c>
      <c r="D121" s="422">
        <f t="shared" si="6"/>
        <v>99.819223912301339</v>
      </c>
      <c r="E121" s="422">
        <f t="shared" si="6"/>
        <v>99.074460418010091</v>
      </c>
      <c r="F121" s="423">
        <f t="shared" si="6"/>
        <v>99.25274058339339</v>
      </c>
    </row>
    <row r="122" spans="2:7">
      <c r="B122" s="111" t="s">
        <v>184</v>
      </c>
      <c r="C122" s="422">
        <f t="shared" si="6"/>
        <v>100</v>
      </c>
      <c r="D122" s="422">
        <f t="shared" si="6"/>
        <v>99.62253911935953</v>
      </c>
      <c r="E122" s="422">
        <f t="shared" si="6"/>
        <v>97.700600436681214</v>
      </c>
      <c r="F122" s="423">
        <f t="shared" si="6"/>
        <v>100.62090611353712</v>
      </c>
    </row>
    <row r="123" spans="2:7">
      <c r="B123" s="115" t="s">
        <v>181</v>
      </c>
      <c r="C123" s="424">
        <f t="shared" si="6"/>
        <v>100</v>
      </c>
      <c r="D123" s="424">
        <f t="shared" si="6"/>
        <v>97.553000759685986</v>
      </c>
      <c r="E123" s="424">
        <f t="shared" si="6"/>
        <v>86.967164683042114</v>
      </c>
      <c r="F123" s="416">
        <f t="shared" si="6"/>
        <v>93.405503502996538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Eastland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27628.02606712098</v>
      </c>
      <c r="D128" s="433">
        <f>VLOOKUP($D$38,'FS (2011)'!$A$13:$AH$244,'FS (2011)'!$I$245,FALSE)</f>
        <v>29083.755123618634</v>
      </c>
      <c r="E128" s="433">
        <f>VLOOKUP($E$38,'FS (2011)'!$A$13:$AH$244,'FS (2011)'!$I$245,FALSE)</f>
        <v>28940.019131793804</v>
      </c>
      <c r="F128" s="440">
        <f>VLOOKUP($F$38,'FS (2011)'!$A$13:$AH$244,'FS (2011)'!$I$245,FALSE)</f>
        <v>31023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3784.0531755581533</v>
      </c>
      <c r="D129" s="433">
        <f>VLOOKUP($D$38,'FS (2011)'!$A$13:$AH$244,'FS (2011)'!$Y$245,FALSE)+VLOOKUP($D$38,'FS (2011)'!$A$13:$AH$244,'FS (2011)'!$Z$245,FALSE)</f>
        <v>3177.2168878303237</v>
      </c>
      <c r="E129" s="433">
        <f>VLOOKUP($E$38,'FS (2011)'!$A$13:$AH$244,'FS (2011)'!$Y$245,FALSE)+VLOOKUP($E$38,'FS (2011)'!$A$13:$AH$244,'FS (2011)'!$Z$245,FALSE)</f>
        <v>2586.8531000242515</v>
      </c>
      <c r="F129" s="440">
        <f>VLOOKUP($F$38,'FS (2011)'!$A$13:$AH$244,'FS (2011)'!$Y$245,FALSE)+VLOOKUP($F$38,'FS (2011)'!$A$13:$AH$244,'FS (2011)'!$Z$245,FALSE)</f>
        <v>5011.0231999999996</v>
      </c>
      <c r="G129" s="121"/>
    </row>
    <row r="130" spans="1:30">
      <c r="B130" s="162" t="s">
        <v>191</v>
      </c>
      <c r="C130" s="441">
        <f>VLOOKUP($C$38,'FS (2011)'!$A$13:$AH$244,'FS (2011)'!$J$245,FALSE)</f>
        <v>8714.3473724729829</v>
      </c>
      <c r="D130" s="433">
        <f>VLOOKUP($D$38,'FS (2011)'!$A$13:$AH$244,'FS (2011)'!$J$245,FALSE)</f>
        <v>8758.664985489735</v>
      </c>
      <c r="E130" s="433">
        <f>VLOOKUP($E$38,'FS (2011)'!$A$13:$AH$244,'FS (2011)'!$J$245,FALSE)</f>
        <v>8893.4140820780885</v>
      </c>
      <c r="F130" s="440">
        <f>VLOOKUP($F$38,'FS (2011)'!$A$13:$AH$244,'FS (2011)'!$J$245,FALSE)</f>
        <v>9172</v>
      </c>
    </row>
    <row r="131" spans="1:30">
      <c r="B131" s="162" t="s">
        <v>182</v>
      </c>
      <c r="C131" s="441">
        <f>VLOOKUP($C$38,'FS (2011)'!$A$13:$AH$244,'FS (2011)'!$S$245,FALSE)</f>
        <v>5290.3166376778527</v>
      </c>
      <c r="D131" s="433">
        <f>VLOOKUP($D$38,'FS (2011)'!$A$13:$AH$244,'FS (2011)'!$S$245,FALSE)</f>
        <v>6350.024572722903</v>
      </c>
      <c r="E131" s="433">
        <f>VLOOKUP($E$38,'FS (2011)'!$A$13:$AH$244,'FS (2011)'!$S$245,FALSE)</f>
        <v>5948.9798173048412</v>
      </c>
      <c r="F131" s="440">
        <f>VLOOKUP($F$38,'FS (2011)'!$A$13:$AH$244,'FS (2011)'!$S$245,FALSE)</f>
        <v>5824</v>
      </c>
      <c r="I131" s="139"/>
    </row>
    <row r="132" spans="1:30">
      <c r="B132" s="162" t="s">
        <v>143</v>
      </c>
      <c r="C132" s="441">
        <f>VLOOKUP($C$38,'FS (2011)'!$A$13:$AH$244,'FS (2011)'!$U$245,FALSE)</f>
        <v>4494.0868324256498</v>
      </c>
      <c r="D132" s="433">
        <f>VLOOKUP($D$38,'FS (2011)'!$A$13:$AH$244,'FS (2011)'!$U$245,FALSE)</f>
        <v>4287.4541667925032</v>
      </c>
      <c r="E132" s="433">
        <f>VLOOKUP($E$38,'FS (2011)'!$A$13:$AH$244,'FS (2011)'!$U$245,FALSE)</f>
        <v>4462.4989895179324</v>
      </c>
      <c r="F132" s="440">
        <f>VLOOKUP($F$38,'FS (2011)'!$A$13:$AH$244,'FS (2011)'!$U$245,FALSE)</f>
        <v>4854</v>
      </c>
    </row>
    <row r="133" spans="1:30">
      <c r="B133" s="162" t="s">
        <v>196</v>
      </c>
      <c r="C133" s="441">
        <f>VLOOKUP($C$38,'FS (2011)'!$A$13:$AH$244,'FS (2011)'!$X$245,FALSE)</f>
        <v>1019.3656318354195</v>
      </c>
      <c r="D133" s="433">
        <f>VLOOKUP($D$38,'FS (2011)'!$A$13:$AH$244,'FS (2011)'!$X$245,FALSE)</f>
        <v>1045.9023013796414</v>
      </c>
      <c r="E133" s="433">
        <f>VLOOKUP($E$38,'FS (2011)'!$A$13:$AH$244,'FS (2011)'!$X$245,FALSE)</f>
        <v>1706.2758156880707</v>
      </c>
      <c r="F133" s="440">
        <f>VLOOKUP($F$38,'FS (2011)'!$A$13:$AH$244,'FS (2011)'!$X$245,FALSE)</f>
        <v>1904.8026</v>
      </c>
      <c r="S133" s="559"/>
      <c r="T133" s="559"/>
      <c r="U133" s="559"/>
      <c r="V133" s="559"/>
      <c r="W133" s="559"/>
      <c r="X133" s="559"/>
      <c r="Y133" s="559"/>
      <c r="Z133" s="559"/>
      <c r="AA133" s="559"/>
      <c r="AB133" s="559"/>
      <c r="AC133" s="559"/>
      <c r="AD133" s="559"/>
    </row>
    <row r="134" spans="1:30">
      <c r="B134" s="164" t="s">
        <v>258</v>
      </c>
      <c r="C134" s="442">
        <f>VLOOKUP($C$38,'FS (2011)'!$A$13:$AH$244,'FS (2011)'!$AA$245,FALSE)</f>
        <v>11893.962347808731</v>
      </c>
      <c r="D134" s="435">
        <f>VLOOKUP($D$38,'FS (2011)'!$A$13:$AH$244,'FS (2011)'!$AA$245,FALSE)</f>
        <v>11818.925881254714</v>
      </c>
      <c r="E134" s="435">
        <f>VLOOKUP($E$38,'FS (2011)'!$A$13:$AH$244,'FS (2011)'!$AA$245,FALSE)</f>
        <v>10515.703629112661</v>
      </c>
      <c r="F134" s="443">
        <f>VLOOKUP($F$38,'FS (2011)'!$A$13:$AH$244,'FS (2011)'!$AA$245,FALSE)</f>
        <v>14279.221</v>
      </c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</row>
    <row r="135" spans="1:30"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2</v>
      </c>
      <c r="B138" s="166" t="s">
        <v>204</v>
      </c>
      <c r="C138" s="167"/>
      <c r="D138" s="444">
        <f>VLOOKUP($D$6,'FS (2011)'!$A$13:$AH$244,'FS (2011)'!$L$245,FALSE)</f>
        <v>1242</v>
      </c>
      <c r="E138" s="446">
        <f t="shared" ref="E138:E144" si="7">D138/$D$145</f>
        <v>0.2132554945054945</v>
      </c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2189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1</v>
      </c>
      <c r="B139" s="162" t="s">
        <v>199</v>
      </c>
      <c r="C139" s="121"/>
      <c r="D139" s="441">
        <f>VLOOKUP($D$6,'FS (2011)'!$A$13:$AH$244,'FS (2011)'!K245,FALSE)</f>
        <v>2189</v>
      </c>
      <c r="E139" s="414">
        <f t="shared" si="7"/>
        <v>0.37585851648351648</v>
      </c>
      <c r="S139" s="559"/>
      <c r="T139" s="559">
        <v>2</v>
      </c>
      <c r="U139" s="559" t="str">
        <f t="shared" ref="U139:U144" si="9">VLOOKUP(T139,$A$138:$E$144,2,FALSE)</f>
        <v>System management and operations</v>
      </c>
      <c r="V139" s="559">
        <f t="shared" ref="V139:V144" si="10">VLOOKUP(T139,$A$138:$E$144,4,FALSE)</f>
        <v>1242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3</v>
      </c>
      <c r="B140" s="162" t="s">
        <v>201</v>
      </c>
      <c r="C140" s="121"/>
      <c r="D140" s="441">
        <f>VLOOKUP($D$6,'FS (2011)'!$A$13:$AH$244,'FS (2011)'!M245,FALSE)</f>
        <v>1019</v>
      </c>
      <c r="E140" s="414">
        <f t="shared" si="7"/>
        <v>0.17496565934065933</v>
      </c>
      <c r="S140" s="559"/>
      <c r="T140" s="559">
        <v>3</v>
      </c>
      <c r="U140" s="559" t="str">
        <f t="shared" si="9"/>
        <v>Routine and preventative maintenance</v>
      </c>
      <c r="V140" s="559">
        <f t="shared" si="10"/>
        <v>1019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6</v>
      </c>
      <c r="B141" s="162" t="s">
        <v>202</v>
      </c>
      <c r="C141" s="121"/>
      <c r="D141" s="441">
        <f>VLOOKUP($D$6,'FS (2011)'!$A$13:$AH$244,'FS (2011)'!N245,FALSE)</f>
        <v>143</v>
      </c>
      <c r="E141" s="414">
        <f t="shared" si="7"/>
        <v>2.4553571428571428E-2</v>
      </c>
      <c r="S141" s="559"/>
      <c r="T141" s="559">
        <v>4</v>
      </c>
      <c r="U141" s="559" t="str">
        <f t="shared" si="9"/>
        <v>Fault and emergency maintenance</v>
      </c>
      <c r="V141" s="559">
        <f t="shared" si="10"/>
        <v>937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4</v>
      </c>
      <c r="B142" s="162" t="s">
        <v>203</v>
      </c>
      <c r="C142" s="121"/>
      <c r="D142" s="441">
        <f>VLOOKUP($D$6,'FS (2011)'!$A$13:$AH$244,'FS (2011)'!O245,FALSE)</f>
        <v>937</v>
      </c>
      <c r="E142" s="414">
        <f t="shared" si="7"/>
        <v>0.16088598901098902</v>
      </c>
      <c r="S142" s="559"/>
      <c r="T142" s="559">
        <v>5</v>
      </c>
      <c r="U142" s="559" t="str">
        <f t="shared" si="9"/>
        <v>Other</v>
      </c>
      <c r="V142" s="559">
        <f t="shared" si="10"/>
        <v>158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8"/>
        <v>5</v>
      </c>
      <c r="B143" s="162" t="s">
        <v>13</v>
      </c>
      <c r="C143" s="121"/>
      <c r="D143" s="441">
        <f>VLOOKUP($D$6,'FS (2011)'!$A$13:$AH$244,'FS (2011)'!R245,FALSE)</f>
        <v>158</v>
      </c>
      <c r="E143" s="414">
        <f t="shared" si="7"/>
        <v>2.712912087912088E-2</v>
      </c>
      <c r="S143" s="559"/>
      <c r="T143" s="559">
        <v>6</v>
      </c>
      <c r="U143" s="559" t="str">
        <f t="shared" si="9"/>
        <v>Refurbishment and renewal maintenance</v>
      </c>
      <c r="V143" s="559">
        <f t="shared" si="10"/>
        <v>143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7</v>
      </c>
      <c r="B144" s="162" t="s">
        <v>200</v>
      </c>
      <c r="C144" s="121"/>
      <c r="D144" s="441">
        <f>VLOOKUP($D$6,'FS (2011)'!$A$13:$AH$244,'FS (2011)'!P245,FALSE)</f>
        <v>136</v>
      </c>
      <c r="E144" s="414">
        <f t="shared" si="7"/>
        <v>2.3351648351648352E-2</v>
      </c>
      <c r="S144" s="559"/>
      <c r="T144" s="559">
        <v>7</v>
      </c>
      <c r="U144" s="559" t="str">
        <f t="shared" si="9"/>
        <v>Pass-through costs</v>
      </c>
      <c r="V144" s="559">
        <f t="shared" si="10"/>
        <v>136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5824</v>
      </c>
      <c r="E145" s="447">
        <f>SUM(E138:E144)</f>
        <v>1</v>
      </c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1.8361099198768212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2.1711382070006193</v>
      </c>
      <c r="F149" s="455">
        <f>(VLOOKUP(F$38,'FS (2011)'!$A$13:$AH$244,'FS (2011)'!$M$245,FALSE)+VLOOKUP(F$38,'FS (2011)'!$A$13:$AH$244,'FS (2011)'!$N$245,FALSE)+VLOOKUP(F$38,'FS (2011)'!$A$13:$AH$244,'FS (2011)'!$O$245,FALSE))/1000</f>
        <v>2.0990000000000002</v>
      </c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3.4542067178010321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3.5730556977715495</v>
      </c>
      <c r="F150" s="457">
        <f>(VLOOKUP(F$38,'FS (2011)'!$A$13:$AH$244,'FS (2011)'!$L$245,FALSE)+VLOOKUP(F$38,'FS (2011)'!$A$13:$AH$244,'FS (2011)'!$K$245,FALSE))/1000</f>
        <v>3.431</v>
      </c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0.20478591253267223</v>
      </c>
      <c r="F151" s="457">
        <f>(VLOOKUP(F$38,'FS (2011)'!$A$13:$AH$244,'FS (2011)'!$R$245,FALSE)+VLOOKUP(F$38,'FS (2011)'!$A$13:$AH$244,'FS (2011)'!$P$245,FALSE)+VLOOKUP(F$38,'FS (2011)'!$A$13:$AH$244,'FS (2011)'!$Q$245,FALSE))/1000</f>
        <v>0.29399999999999998</v>
      </c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5.2903166376778525</v>
      </c>
      <c r="D152" s="458">
        <f>VLOOKUP($D$38,'FS (2011)'!$A$13:$AH$244,'FS (2011)'!$S$245,FALSE)/1000</f>
        <v>6.3500245727229032</v>
      </c>
      <c r="E152" s="459">
        <f>VLOOKUP($E$38,'FS (2011)'!$A$13:$AH$244,'FS (2011)'!$S$245,FALSE)/1000</f>
        <v>5.9489798173048412</v>
      </c>
      <c r="F152" s="460">
        <f>VLOOKUP($F$38,'FS (2011)'!$A$13:$AH$244,'FS (2011)'!$S$245,FALSE)/1000</f>
        <v>5.8239999999999998</v>
      </c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-3.3225985691752169E-2</v>
      </c>
      <c r="D154" s="464">
        <f t="shared" ref="D154:E157" si="11">IF(ISERROR(D149/C149 - 1),"",(D149/C149 - 1))</f>
        <v>-1</v>
      </c>
      <c r="E154" s="464" t="str">
        <f t="shared" si="11"/>
        <v/>
      </c>
      <c r="F154" s="465">
        <f>IF(ISERROR(F149/E149 - 1),"",(F149/E149 - 1))</f>
        <v>-3.3225985691752169E-2</v>
      </c>
      <c r="R154" s="559" t="s">
        <v>423</v>
      </c>
      <c r="S154" s="559">
        <f t="shared" ref="S154:V157" si="12">LN(C149)</f>
        <v>0.60764915962016375</v>
      </c>
      <c r="T154" s="559" t="e">
        <f t="shared" si="12"/>
        <v>#NUM!</v>
      </c>
      <c r="U154" s="559">
        <f t="shared" si="12"/>
        <v>0.7752515493952985</v>
      </c>
      <c r="V154" s="559">
        <f t="shared" si="12"/>
        <v>0.74146104083849607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-3.9757482051048676E-2</v>
      </c>
      <c r="D155" s="467">
        <f t="shared" si="11"/>
        <v>-1</v>
      </c>
      <c r="E155" s="467" t="str">
        <f t="shared" si="11"/>
        <v/>
      </c>
      <c r="F155" s="468">
        <f>IF(ISERROR(F150/E150 - 1),"",(F150/E150 - 1))</f>
        <v>-3.9757482051048676E-2</v>
      </c>
      <c r="R155" s="559" t="s">
        <v>423</v>
      </c>
      <c r="S155" s="559">
        <f t="shared" si="12"/>
        <v>1.2395928267468874</v>
      </c>
      <c r="T155" s="559" t="e">
        <f t="shared" si="12"/>
        <v>#NUM!</v>
      </c>
      <c r="U155" s="559">
        <f t="shared" si="12"/>
        <v>1.2734211674368594</v>
      </c>
      <c r="V155" s="559">
        <f t="shared" si="12"/>
        <v>1.2328517638763126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0.43564562798280493</v>
      </c>
      <c r="D156" s="467" t="str">
        <f t="shared" si="11"/>
        <v/>
      </c>
      <c r="E156" s="467" t="str">
        <f t="shared" si="11"/>
        <v/>
      </c>
      <c r="F156" s="468">
        <f>IF(ISERROR(F151/E151 - 1),"",(F151/E151 - 1))</f>
        <v>0.43564562798280493</v>
      </c>
      <c r="R156" s="559" t="s">
        <v>423</v>
      </c>
      <c r="S156" s="559" t="e">
        <f t="shared" si="12"/>
        <v>#NUM!</v>
      </c>
      <c r="T156" s="559" t="e">
        <f t="shared" si="12"/>
        <v>#NUM!</v>
      </c>
      <c r="U156" s="559">
        <f t="shared" si="12"/>
        <v>-1.5857901746442429</v>
      </c>
      <c r="V156" s="559">
        <f t="shared" si="12"/>
        <v>-1.2241755116434554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2.2559573237722841E-2</v>
      </c>
      <c r="D157" s="470">
        <f t="shared" si="11"/>
        <v>0.20031087128089209</v>
      </c>
      <c r="E157" s="470">
        <f t="shared" si="11"/>
        <v>-6.3156409998913365E-2</v>
      </c>
      <c r="F157" s="471">
        <f>IF(ISERROR(F152/E152 - 1),"",(F152/E152 - 1))</f>
        <v>-2.1008613433397549E-2</v>
      </c>
      <c r="N157" s="136"/>
      <c r="O157" s="136"/>
      <c r="R157" s="559" t="s">
        <v>423</v>
      </c>
      <c r="S157" s="559">
        <f t="shared" si="12"/>
        <v>1.6658780999726495</v>
      </c>
      <c r="T157" s="559">
        <f t="shared" si="12"/>
        <v>1.8484586826172551</v>
      </c>
      <c r="U157" s="559">
        <f t="shared" si="12"/>
        <v>1.783219745580219</v>
      </c>
      <c r="V157" s="559">
        <f t="shared" si="12"/>
        <v>1.7619873108943849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Eastland</v>
      </c>
      <c r="C162" s="456">
        <f>(C152/C102)*1000000</f>
        <v>209.96652792815735</v>
      </c>
      <c r="D162" s="456">
        <f>(D152/D102)*1000000</f>
        <v>250.98911354635985</v>
      </c>
      <c r="E162" s="456">
        <f>(E152/E102)*1000000</f>
        <v>233.91710511579274</v>
      </c>
      <c r="F162" s="457">
        <f>(F152/F102)*1000000</f>
        <v>228.26683389511641</v>
      </c>
      <c r="G162" s="181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Eastland</v>
      </c>
      <c r="C165" s="456">
        <f>C152/VLOOKUP(C$38,'MP (2011)'!$A$14:$AR$245,'MP (2011)'!$H$246,FALSE)*1000000</f>
        <v>1448.2115077136198</v>
      </c>
      <c r="D165" s="456">
        <f>D152/VLOOKUP(D$38,'MP (2011)'!$A$14:$AR$245,'MP (2011)'!$H$246,FALSE)*1000000</f>
        <v>1732.9859840792158</v>
      </c>
      <c r="E165" s="456">
        <f>E152/VLOOKUP(E$38,'MP (2011)'!$A$14:$AR$245,'MP (2011)'!$H$246,FALSE)*1000000</f>
        <v>1624.6426039880869</v>
      </c>
      <c r="F165" s="457">
        <f>F152/VLOOKUP(F$38,'MP (2011)'!$A$14:$AR$245,'MP (2011)'!$H$246,FALSE)*1000000</f>
        <v>1594.0310543743587</v>
      </c>
      <c r="G165" s="181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Eastland</v>
      </c>
      <c r="C168" s="456">
        <f>(C152/C117)*1000000</f>
        <v>18.646390562734307</v>
      </c>
      <c r="D168" s="456">
        <f>(D152/D117)*1000000</f>
        <v>22.61907924105633</v>
      </c>
      <c r="E168" s="456">
        <f>(E152/E117)*1000000</f>
        <v>21.259567793217361</v>
      </c>
      <c r="F168" s="457">
        <f>(F152/F117)*1000000</f>
        <v>20.647357039032865</v>
      </c>
      <c r="G168" s="181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R170" s="136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1.8189312511941447E-2</v>
      </c>
      <c r="D171" s="464">
        <f>IF(ISERROR(D162/C162 - 1),"",(D162/C162 - 1))</f>
        <v>0.1953767870669314</v>
      </c>
      <c r="E171" s="464">
        <f>IF(ISERROR(E162/D162 - 1),"",(E162/D162 - 1))</f>
        <v>-6.8018919981618131E-2</v>
      </c>
      <c r="F171" s="465">
        <f>IF(ISERROR(F162/E162 - 1),"",(F162/E162 - 1))</f>
        <v>-2.4155015161799964E-2</v>
      </c>
      <c r="H171" s="139"/>
      <c r="R171" s="559" t="s">
        <v>423</v>
      </c>
      <c r="S171" s="559">
        <f>LN(C162)</f>
        <v>5.3469481271951036</v>
      </c>
      <c r="T171" s="559">
        <f>LN(D162)</f>
        <v>5.5254095658659175</v>
      </c>
      <c r="U171" s="559">
        <f>LN(E162)</f>
        <v>5.4549668009538541</v>
      </c>
      <c r="V171" s="559">
        <f>LN(F162)</f>
        <v>5.4305152687604235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2.257627862321554E-2</v>
      </c>
      <c r="D172" s="467">
        <f>IF(ISERROR(D165/C165 - 1),"",(D165/C165 - 1))</f>
        <v>0.19663873325740022</v>
      </c>
      <c r="E172" s="467">
        <f>IF(ISERROR(E165/D165 - 1),"",(E165/D165 - 1))</f>
        <v>-6.2518324491063204E-2</v>
      </c>
      <c r="F172" s="468">
        <f>IF(ISERROR(F165/E165 - 1),"",(F165/E165 - 1))</f>
        <v>-1.8842020724179287E-2</v>
      </c>
      <c r="R172" s="559" t="s">
        <v>423</v>
      </c>
      <c r="S172" s="559">
        <f>LN(C165)</f>
        <v>7.2780846311416409</v>
      </c>
      <c r="T172" s="559">
        <f>LN(D165)</f>
        <v>7.4576012020194362</v>
      </c>
      <c r="U172" s="559">
        <f>LN(E165)</f>
        <v>7.3930431345670362</v>
      </c>
      <c r="V172" s="559">
        <f>LN(F165)</f>
        <v>7.3740213412020186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2.4681412457580265E-2</v>
      </c>
      <c r="D173" s="470">
        <f>IF(ISERROR(D168/C168 - 1),"",(D168/C168 - 1))</f>
        <v>0.21305403128590616</v>
      </c>
      <c r="E173" s="470">
        <f>IF(ISERROR(E168/D168 - 1),"",(E168/D168 - 1))</f>
        <v>-6.0104632613483866E-2</v>
      </c>
      <c r="F173" s="471">
        <f>IF(ISERROR(F168/E168 - 1),"",(F168/E168 - 1))</f>
        <v>-2.879695204245003E-2</v>
      </c>
      <c r="R173" s="559" t="s">
        <v>423</v>
      </c>
      <c r="S173" s="559">
        <f>LN(C168)</f>
        <v>2.925652591849186</v>
      </c>
      <c r="T173" s="559">
        <f>LN(D168)</f>
        <v>3.1187937643358894</v>
      </c>
      <c r="U173" s="559">
        <f>LN(E168)</f>
        <v>3.0568070431312999</v>
      </c>
      <c r="V173" s="559">
        <f>LN(F168)</f>
        <v>3.0275873227912657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R175" s="559"/>
      <c r="S175" s="559"/>
      <c r="T175" s="559"/>
      <c r="U175" s="559"/>
      <c r="V175" s="560" t="str">
        <f>$B$2</f>
        <v>Eastland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S176" s="559"/>
      <c r="T176" s="559"/>
      <c r="U176" s="559"/>
      <c r="V176" s="562" t="s">
        <v>280</v>
      </c>
      <c r="W176" s="563">
        <f>C178</f>
        <v>2171.1382070006193</v>
      </c>
      <c r="X176" s="563">
        <f>D178</f>
        <v>2099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Eastland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S177" s="561"/>
      <c r="T177" s="561"/>
      <c r="U177" s="561"/>
      <c r="V177" s="565" t="s">
        <v>277</v>
      </c>
      <c r="W177" s="563">
        <f t="shared" ref="W177:AA178" si="14">C179</f>
        <v>2244.7113667106787</v>
      </c>
      <c r="X177" s="563">
        <f t="shared" si="14"/>
        <v>2244.7113667106787</v>
      </c>
      <c r="Y177" s="563">
        <f t="shared" si="14"/>
        <v>2244.7113667106787</v>
      </c>
      <c r="Z177" s="563">
        <f t="shared" si="14"/>
        <v>2244.7113667106787</v>
      </c>
      <c r="AA177" s="563">
        <f t="shared" si="14"/>
        <v>2244.7113667106787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2171.1382070006193</v>
      </c>
      <c r="D178" s="461">
        <f>VLOOKUP(F38,'FS (2011)'!$A$14:$T$246,'FS (2011)'!$M$245,FALSE)+VLOOKUP(F38,'FS (2011)'!$A$14:$AO$245,'FS (2011)'!$N$245,FALSE)+VLOOKUP(F38,'FS (2011)'!$A$14:$AO$245,'FS (2011)'!$O$245,FALSE)</f>
        <v>2099</v>
      </c>
      <c r="E178" s="461"/>
      <c r="F178" s="461"/>
      <c r="G178" s="461"/>
      <c r="H178" s="461"/>
      <c r="I178" s="462"/>
      <c r="S178" s="559"/>
      <c r="T178" s="559"/>
      <c r="U178" s="559"/>
      <c r="V178" s="565" t="s">
        <v>278</v>
      </c>
      <c r="W178" s="564"/>
      <c r="X178" s="563">
        <f t="shared" si="14"/>
        <v>2754</v>
      </c>
      <c r="Y178" s="563">
        <f t="shared" si="14"/>
        <v>2754</v>
      </c>
      <c r="Z178" s="563">
        <f t="shared" si="14"/>
        <v>2754</v>
      </c>
      <c r="AA178" s="563">
        <f t="shared" si="14"/>
        <v>2554</v>
      </c>
      <c r="AB178" s="563">
        <f>H180</f>
        <v>2554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2244.7113667106787</v>
      </c>
      <c r="D179" s="461">
        <f>VLOOKUP(D182,'AM (2011)'!$A$10:$N$444,'AM (2011)'!$N$445,FALSE)</f>
        <v>2244.7113667106787</v>
      </c>
      <c r="E179" s="461">
        <f>VLOOKUP(E182,'AM (2011)'!$A$10:$N$444,'AM (2011)'!$N$445,FALSE)</f>
        <v>2244.7113667106787</v>
      </c>
      <c r="F179" s="461">
        <f>VLOOKUP(F182,'AM (2011)'!$A$10:$N$444,'AM (2011)'!$N$445,FALSE)</f>
        <v>2244.7113667106787</v>
      </c>
      <c r="G179" s="461">
        <f>VLOOKUP(G182,'AM (2011)'!$A$10:$N$444,'AM (2011)'!$N$445,FALSE)</f>
        <v>2244.7113667106787</v>
      </c>
      <c r="H179" s="461"/>
      <c r="I179" s="462"/>
      <c r="S179" s="559"/>
      <c r="T179" s="559"/>
      <c r="U179" s="559"/>
      <c r="V179" s="565" t="s">
        <v>279</v>
      </c>
      <c r="W179" s="564"/>
      <c r="X179" s="564"/>
      <c r="Y179" s="563">
        <f>E181</f>
        <v>2692.4043956043956</v>
      </c>
      <c r="Z179" s="563">
        <f>F181</f>
        <v>2692.4043956043956</v>
      </c>
      <c r="AA179" s="563">
        <f>G181</f>
        <v>2496.8775694893343</v>
      </c>
      <c r="AB179" s="563">
        <f>H181</f>
        <v>2496.8775694893343</v>
      </c>
      <c r="AC179" s="563">
        <f>I181</f>
        <v>2496.8775694893343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2754</v>
      </c>
      <c r="E180" s="461">
        <f>VLOOKUP(E183,'AM (2011)'!$A$10:$N$444,'AM (2011)'!$N$445,FALSE)</f>
        <v>2754</v>
      </c>
      <c r="F180" s="461">
        <f>VLOOKUP(F183,'AM (2011)'!$A$10:$N$444,'AM (2011)'!$N$445,FALSE)</f>
        <v>2754</v>
      </c>
      <c r="G180" s="461">
        <f>VLOOKUP(G183,'AM (2011)'!$A$10:$N$444,'AM (2011)'!$N$445,FALSE)</f>
        <v>2554</v>
      </c>
      <c r="H180" s="461">
        <f>VLOOKUP(H183,'AM (2011)'!$A$10:$N$444,'AM (2011)'!$N$445,FALSE)</f>
        <v>2554</v>
      </c>
      <c r="I180" s="462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2692.4043956043956</v>
      </c>
      <c r="F181" s="493">
        <f>VLOOKUP(F184,'AM (2011)'!$A$10:$N$444,'AM (2011)'!$N$445,FALSE)</f>
        <v>2692.4043956043956</v>
      </c>
      <c r="G181" s="493">
        <f>VLOOKUP(G184,'AM (2011)'!$A$10:$N$444,'AM (2011)'!$N$445,FALSE)</f>
        <v>2496.8775694893343</v>
      </c>
      <c r="H181" s="493">
        <f>VLOOKUP(H184,'AM (2011)'!$A$10:$N$444,'AM (2011)'!$N$445,FALSE)</f>
        <v>2496.8775694893343</v>
      </c>
      <c r="I181" s="494">
        <f>VLOOKUP(I184,'AM (2011)'!$A$10:$N$444,'AM (2011)'!$N$445,FALSE)</f>
        <v>2496.8775694893343</v>
      </c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124</v>
      </c>
      <c r="D182" s="136">
        <f>VLOOKUP($B$2,$B$257:$Y$286,11,FALSE)</f>
        <v>125</v>
      </c>
      <c r="E182" s="136">
        <f>VLOOKUP($B$2,$B$257:$Y$286,12,FALSE)</f>
        <v>126</v>
      </c>
      <c r="F182" s="136">
        <f>VLOOKUP($B$2,$B$257:$Y$286,13,FALSE)</f>
        <v>127</v>
      </c>
      <c r="G182" s="136">
        <f>VLOOKUP($B$2,$B$257:$Y$286,14,FALSE)</f>
        <v>128</v>
      </c>
      <c r="H182" s="136"/>
      <c r="I182" s="136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129</v>
      </c>
      <c r="E183" s="136">
        <f>VLOOKUP($B$2,$B$257:$Y$286,16,FALSE)</f>
        <v>130</v>
      </c>
      <c r="F183" s="136">
        <f>VLOOKUP($B$2,$B$257:$Y$286,17,FALSE)</f>
        <v>131</v>
      </c>
      <c r="G183" s="136">
        <f>VLOOKUP($B$2,$B$257:$Y$286,18,FALSE)</f>
        <v>132</v>
      </c>
      <c r="H183" s="136">
        <f>VLOOKUP($B$2,$B$257:$Y$286,19,FALSE)</f>
        <v>133</v>
      </c>
      <c r="I183" s="136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134</v>
      </c>
      <c r="F184" s="136">
        <f>VLOOKUP($B$2,$B$257:$Y$286,21,FALSE)</f>
        <v>135</v>
      </c>
      <c r="G184" s="136">
        <f>VLOOKUP($B$2,$B$257:$Y$286,22,FALSE)</f>
        <v>136</v>
      </c>
      <c r="H184" s="136">
        <f>VLOOKUP($B$2,$B$257:$Y$286,23,FALSE)</f>
        <v>137</v>
      </c>
      <c r="I184" s="136">
        <f>VLOOKUP($B$2,$B$257:$Y$286,24,FALSE)</f>
        <v>138</v>
      </c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2</v>
      </c>
      <c r="B186" s="483" t="s">
        <v>205</v>
      </c>
      <c r="C186" s="490"/>
      <c r="D186" s="484">
        <f>VLOOKUP($D$6,'FS (2011)'!$A$13:$AH$244,'FS (2011)'!AC245,FALSE)/1000</f>
        <v>0.64300000000000002</v>
      </c>
      <c r="E186" s="495">
        <f t="shared" ref="E186:E191" si="16">D186/$D$192</f>
        <v>0.12563501367721766</v>
      </c>
      <c r="S186" s="559"/>
      <c r="T186" s="559">
        <v>1</v>
      </c>
      <c r="U186" s="559" t="str">
        <f t="shared" ref="U186:U191" si="17">VLOOKUP(T186,$A$186:$D$191,2,FALSE)</f>
        <v>Asset replacement and renewal</v>
      </c>
      <c r="V186" s="559">
        <f t="shared" ref="V186:V191" si="18">VLOOKUP(T186,$A$186:$D$191,4,FALSE)</f>
        <v>3.8010000000000002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4</v>
      </c>
      <c r="B187" s="162" t="s">
        <v>206</v>
      </c>
      <c r="C187" s="121"/>
      <c r="D187" s="456">
        <f>VLOOKUP($D$6,'FS (2011)'!$A$13:$AH$244,'FS (2011)'!AD245,FALSE)/1000</f>
        <v>8.4000000000000005E-2</v>
      </c>
      <c r="E187" s="468">
        <f t="shared" si="16"/>
        <v>1.6412661195779603E-2</v>
      </c>
      <c r="S187" s="559"/>
      <c r="T187" s="559">
        <v>2</v>
      </c>
      <c r="U187" s="559" t="str">
        <f t="shared" si="17"/>
        <v>System growth</v>
      </c>
      <c r="V187" s="559">
        <f t="shared" si="18"/>
        <v>0.64300000000000002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5</v>
      </c>
      <c r="B188" s="162" t="s">
        <v>209</v>
      </c>
      <c r="C188" s="121"/>
      <c r="D188" s="456">
        <f>VLOOKUP($D$6,'FS (2011)'!$A$13:$AH$244,'FS (2011)'!AB245,FALSE)/1000</f>
        <v>7.8E-2</v>
      </c>
      <c r="E188" s="468">
        <f t="shared" si="16"/>
        <v>1.5240328253223915E-2</v>
      </c>
      <c r="S188" s="559"/>
      <c r="T188" s="559">
        <v>3</v>
      </c>
      <c r="U188" s="559" t="str">
        <f t="shared" si="17"/>
        <v>Non-network capex</v>
      </c>
      <c r="V188" s="559">
        <f t="shared" si="18"/>
        <v>0.51200000000000001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1</v>
      </c>
      <c r="B189" s="162" t="s">
        <v>208</v>
      </c>
      <c r="C189" s="121"/>
      <c r="D189" s="456">
        <f>VLOOKUP($D$6,'FS (2011)'!$A$13:$AH$244,'FS (2011)'!AE245,FALSE)/1000</f>
        <v>3.8010000000000002</v>
      </c>
      <c r="E189" s="468">
        <f t="shared" si="16"/>
        <v>0.742672919109027</v>
      </c>
      <c r="S189" s="559"/>
      <c r="T189" s="559">
        <v>4</v>
      </c>
      <c r="U189" s="559" t="str">
        <f t="shared" si="17"/>
        <v>Reliability, safety and environment</v>
      </c>
      <c r="V189" s="559">
        <f t="shared" si="18"/>
        <v>8.4000000000000005E-2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3</v>
      </c>
      <c r="B190" s="162" t="s">
        <v>312</v>
      </c>
      <c r="C190" s="121"/>
      <c r="D190" s="456">
        <f>VLOOKUP($D$6,'FS (2011)'!$A$13:$AH$244,'FS (2011)'!AH245,FALSE)/1000</f>
        <v>0.51200000000000001</v>
      </c>
      <c r="E190" s="468">
        <f t="shared" si="16"/>
        <v>0.10003907776475185</v>
      </c>
      <c r="S190" s="559"/>
      <c r="T190" s="559">
        <v>5</v>
      </c>
      <c r="U190" s="559" t="str">
        <f t="shared" si="17"/>
        <v>Customer connection</v>
      </c>
      <c r="V190" s="559">
        <f t="shared" si="18"/>
        <v>7.8E-2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6</v>
      </c>
      <c r="B191" s="162" t="s">
        <v>207</v>
      </c>
      <c r="C191" s="121"/>
      <c r="D191" s="456">
        <f>VLOOKUP($D$6,'FS (2011)'!$A$13:$AH$244,'FS (2011)'!AF245,FALSE)/1000</f>
        <v>0</v>
      </c>
      <c r="E191" s="468">
        <f t="shared" si="16"/>
        <v>0</v>
      </c>
      <c r="S191" s="559"/>
      <c r="T191" s="559">
        <v>6</v>
      </c>
      <c r="U191" s="559" t="str">
        <f t="shared" si="17"/>
        <v>Asset relocations</v>
      </c>
      <c r="V191" s="559">
        <f t="shared" si="18"/>
        <v>0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5.1180000000000003</v>
      </c>
      <c r="E192" s="496">
        <f>SUM(E186:E191)</f>
        <v>1</v>
      </c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4.7208002110005411</v>
      </c>
      <c r="D196" s="484">
        <f>VLOOKUP($D$38,'FS (2011)'!$A$13:$AH$244,'FS (2011)'!$AG$245,FALSE)/1000</f>
        <v>3.8233023543139528</v>
      </c>
      <c r="E196" s="484">
        <f>VLOOKUP($E$38,'FS (2011)'!$A$13:$AH$244,'FS (2011)'!$AG$245,FALSE)/1000</f>
        <v>4.7589800867667265</v>
      </c>
      <c r="F196" s="486">
        <f>VLOOKUP($F$38,'FS (2011)'!$A$13:$AH$244,'FS (2011)'!$AG$245,FALSE)/1000</f>
        <v>4.6059999999999999</v>
      </c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2.0160445952496362E-2</v>
      </c>
      <c r="D197" s="456">
        <f>VLOOKUP($D$38,'FS (2011)'!$A$13:$AH$244,'FS (2011)'!$AH$245,FALSE)/1000</f>
        <v>0.36852357745898812</v>
      </c>
      <c r="E197" s="456">
        <f>VLOOKUP($E$38,'FS (2011)'!$A$13:$AH$244,'FS (2011)'!$AH$245,FALSE)/1000</f>
        <v>0.33519684190671223</v>
      </c>
      <c r="F197" s="457">
        <f>VLOOKUP($F$38,'FS (2011)'!$A$13:$AH$244,'FS (2011)'!$AH$245,FALSE)/1000</f>
        <v>0.51200000000000001</v>
      </c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4.7409606569530371</v>
      </c>
      <c r="D198" s="488">
        <f>SUM(D196:D197)</f>
        <v>4.1918259317729412</v>
      </c>
      <c r="E198" s="488">
        <f>SUM(E196:E197)</f>
        <v>5.0941769286734386</v>
      </c>
      <c r="F198" s="489">
        <f>SUM(F196:F197)</f>
        <v>5.1180000000000003</v>
      </c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1.4612055173389038E-2</v>
      </c>
      <c r="D200" s="498">
        <f t="shared" ref="D200:F202" si="20">D196/C196 - 1</f>
        <v>-0.19011561950772959</v>
      </c>
      <c r="E200" s="498">
        <f t="shared" si="20"/>
        <v>0.24473024776526464</v>
      </c>
      <c r="F200" s="495">
        <f t="shared" si="20"/>
        <v>-3.2145561439123838E-2</v>
      </c>
      <c r="R200" s="559" t="s">
        <v>423</v>
      </c>
      <c r="S200" s="559">
        <f t="shared" ref="S200:V202" si="21">LN(C196)</f>
        <v>1.5519783214567497</v>
      </c>
      <c r="T200" s="559">
        <f t="shared" si="21"/>
        <v>1.3411145398197555</v>
      </c>
      <c r="U200" s="559">
        <f t="shared" si="21"/>
        <v>1.5600333777987894</v>
      </c>
      <c r="V200" s="559">
        <f t="shared" si="21"/>
        <v>1.5273598013984935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1.614053139881134</v>
      </c>
      <c r="D201" s="467">
        <f t="shared" si="20"/>
        <v>17.279535002714351</v>
      </c>
      <c r="E201" s="467">
        <f t="shared" si="20"/>
        <v>-9.0433116334285857E-2</v>
      </c>
      <c r="F201" s="468">
        <f t="shared" si="20"/>
        <v>0.52746069171646148</v>
      </c>
      <c r="R201" s="559" t="s">
        <v>423</v>
      </c>
      <c r="S201" s="559">
        <f t="shared" si="21"/>
        <v>-3.9040327153640857</v>
      </c>
      <c r="T201" s="559">
        <f t="shared" si="21"/>
        <v>-0.99825058714989401</v>
      </c>
      <c r="U201" s="559">
        <f t="shared" si="21"/>
        <v>-1.0930373319379467</v>
      </c>
      <c r="V201" s="559">
        <f t="shared" si="21"/>
        <v>-0.66943065394262924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4.3367386681539832E-2</v>
      </c>
      <c r="D202" s="500">
        <f t="shared" si="20"/>
        <v>-0.11582773300907723</v>
      </c>
      <c r="E202" s="500">
        <f t="shared" si="20"/>
        <v>0.21526442452223837</v>
      </c>
      <c r="F202" s="501">
        <f t="shared" si="20"/>
        <v>4.6765300185138692E-3</v>
      </c>
      <c r="R202" s="559" t="s">
        <v>423</v>
      </c>
      <c r="S202" s="559">
        <f t="shared" si="21"/>
        <v>1.5562397854154026</v>
      </c>
      <c r="T202" s="559">
        <f t="shared" si="21"/>
        <v>1.433136422247473</v>
      </c>
      <c r="U202" s="559">
        <f t="shared" si="21"/>
        <v>1.6280981087129189</v>
      </c>
      <c r="V202" s="559">
        <f t="shared" si="21"/>
        <v>1.6327637377375972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">
        <v>189</v>
      </c>
      <c r="C206" s="456">
        <f>(C198/C102)*1000000</f>
        <v>188.16322658172078</v>
      </c>
      <c r="D206" s="456">
        <f>(D198/D102)*1000000</f>
        <v>165.68481943766565</v>
      </c>
      <c r="E206" s="456">
        <f>(E198/E102)*1000000</f>
        <v>200.30579304315188</v>
      </c>
      <c r="F206" s="457">
        <f>(F198/F102)*1000000</f>
        <v>200.59575135219879</v>
      </c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">
        <v>112</v>
      </c>
      <c r="C209" s="456">
        <f>(C198/C117)*1000000000</f>
        <v>16710.115878982077</v>
      </c>
      <c r="D209" s="456">
        <f>(D198/D117)*1000000000</f>
        <v>14931.47653676401</v>
      </c>
      <c r="E209" s="456">
        <f>(E198/E117)*1000000000</f>
        <v>18204.802015085941</v>
      </c>
      <c r="F209" s="457">
        <f>(F198/F117)*1000000000</f>
        <v>18144.432233133623</v>
      </c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">
        <v>112</v>
      </c>
      <c r="C212" s="456">
        <f>(C198/VLOOKUP(C$38,'AV (2011)'!$A$11:$F$213,'AV (2011)'!$F$214,FALSE)*1000)</f>
        <v>4.1683479795950454E-2</v>
      </c>
      <c r="D212" s="456">
        <f>(D198/VLOOKUP(D$38,'AV (2011)'!$A$11:$F$213,'AV (2011)'!$F$214,FALSE)*1000)</f>
        <v>3.6105301944670189E-2</v>
      </c>
      <c r="E212" s="456">
        <f>(E198/VLOOKUP(E$38,'AV (2011)'!$A$11:$F$213,'AV (2011)'!$F$214,FALSE)*1000)</f>
        <v>4.3398799554485293E-2</v>
      </c>
      <c r="F212" s="457">
        <f>(F198/VLOOKUP(F$38,'AV (2011)'!$A$11:$F$213,'AV (2011)'!$F$214,FALSE)*1000)</f>
        <v>4.2428108066165302E-2</v>
      </c>
      <c r="J212" s="135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3.8908196594317879E-2</v>
      </c>
      <c r="D215" s="464">
        <f>D206/C206 - 1</f>
        <v>-0.11946227513425733</v>
      </c>
      <c r="E215" s="464">
        <f>E206/D206 - 1</f>
        <v>0.20895682370291868</v>
      </c>
      <c r="F215" s="465">
        <f>F206/E206 - 1</f>
        <v>1.4475782484455468E-3</v>
      </c>
      <c r="K215" s="139"/>
      <c r="P215" s="139"/>
      <c r="R215" s="559" t="s">
        <v>423</v>
      </c>
      <c r="S215" s="559">
        <f>LN(C206)</f>
        <v>5.2373098126378572</v>
      </c>
      <c r="T215" s="559">
        <f>LN(D206)</f>
        <v>5.1100873054961351</v>
      </c>
      <c r="U215" s="559">
        <f>LN(E206)</f>
        <v>5.2998451640865545</v>
      </c>
      <c r="V215" s="559">
        <f>LN(F206)</f>
        <v>5.301291695603636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4.5532402686203177E-2</v>
      </c>
      <c r="D216" s="467">
        <f>D209/C209 - 1</f>
        <v>-0.10644087420454296</v>
      </c>
      <c r="E216" s="467">
        <f>E209/D209 - 1</f>
        <v>0.21922316056703495</v>
      </c>
      <c r="F216" s="468">
        <f>F209/E209 - 1</f>
        <v>-3.3161460312663982E-3</v>
      </c>
      <c r="R216" s="170" t="s">
        <v>423</v>
      </c>
      <c r="S216" s="559">
        <f>LN(C209)</f>
        <v>9.7237695562740765</v>
      </c>
      <c r="T216" s="559">
        <f>LN(D209)</f>
        <v>9.6112267829482434</v>
      </c>
      <c r="U216" s="559">
        <f>LN(E209)</f>
        <v>9.8094406852461375</v>
      </c>
      <c r="V216" s="559">
        <f>LN(F209)</f>
        <v>9.8061190286166156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2.3994403928241148E-2</v>
      </c>
      <c r="D217" s="470">
        <f>D212/C212 - 1</f>
        <v>-0.13382226912404238</v>
      </c>
      <c r="E217" s="470">
        <f>E212/D212 - 1</f>
        <v>0.20200627655716796</v>
      </c>
      <c r="F217" s="471">
        <f>F212/E212 - 1</f>
        <v>-2.236678199131592E-2</v>
      </c>
      <c r="R217" s="208" t="s">
        <v>423</v>
      </c>
      <c r="S217" s="559">
        <f>LN(C212)</f>
        <v>-3.1776503966354599</v>
      </c>
      <c r="T217" s="559">
        <f>LN(D212)</f>
        <v>-3.3213155561539782</v>
      </c>
      <c r="U217" s="559">
        <f>LN(E212)</f>
        <v>-3.1373234982932248</v>
      </c>
      <c r="V217" s="559">
        <f>LN(F212)</f>
        <v>-3.1599442102938564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S219" s="559"/>
      <c r="T219" s="559"/>
      <c r="U219" s="559"/>
      <c r="V219" s="560" t="str">
        <f>$B$2</f>
        <v>Eastland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S220" s="559"/>
      <c r="T220" s="559"/>
      <c r="U220" s="559"/>
      <c r="V220" s="562" t="s">
        <v>280</v>
      </c>
      <c r="W220" s="563">
        <f>C222</f>
        <v>4758.9800867667263</v>
      </c>
      <c r="X220" s="563">
        <f>D222</f>
        <v>4606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Eastland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S221" s="559"/>
      <c r="T221" s="559"/>
      <c r="U221" s="559"/>
      <c r="V221" s="565" t="s">
        <v>277</v>
      </c>
      <c r="W221" s="563">
        <f t="shared" ref="W221:AA222" si="23">C223</f>
        <v>5610.7264692409253</v>
      </c>
      <c r="X221" s="563">
        <f t="shared" si="23"/>
        <v>5899.0568834038413</v>
      </c>
      <c r="Y221" s="563">
        <f t="shared" si="23"/>
        <v>6489.9814071299606</v>
      </c>
      <c r="Z221" s="563">
        <f t="shared" si="23"/>
        <v>5557.7470291827212</v>
      </c>
      <c r="AA221" s="563">
        <f t="shared" si="23"/>
        <v>5843.0209371884339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4758.9800867667263</v>
      </c>
      <c r="D222" s="461">
        <f>VLOOKUP(D226,'FS (2011)'!$A$14:$AJ$245,'FS (2011)'!$AG$245,FALSE)</f>
        <v>4606</v>
      </c>
      <c r="E222" s="461"/>
      <c r="F222" s="461"/>
      <c r="G222" s="461"/>
      <c r="H222" s="461"/>
      <c r="I222" s="462"/>
      <c r="S222" s="559"/>
      <c r="T222" s="559"/>
      <c r="U222" s="559"/>
      <c r="V222" s="565" t="s">
        <v>278</v>
      </c>
      <c r="W222" s="563"/>
      <c r="X222" s="563">
        <f t="shared" si="23"/>
        <v>5277</v>
      </c>
      <c r="Y222" s="563">
        <f t="shared" si="23"/>
        <v>5630</v>
      </c>
      <c r="Z222" s="563">
        <f t="shared" si="23"/>
        <v>5575</v>
      </c>
      <c r="AA222" s="563">
        <f t="shared" si="23"/>
        <v>5545</v>
      </c>
      <c r="AB222" s="563">
        <f>H224</f>
        <v>5575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5610.7264692409253</v>
      </c>
      <c r="D223" s="461">
        <f>VLOOKUP(D227,'AM (2011)'!$A$10:$N$444,'AM (2011)'!$J$445,FALSE)</f>
        <v>5899.0568834038413</v>
      </c>
      <c r="E223" s="461">
        <f>VLOOKUP(E226,'AM (2011)'!$A$10:$N$444,'AM (2011)'!$J$445,FALSE)</f>
        <v>6489.9814071299606</v>
      </c>
      <c r="F223" s="461">
        <f>VLOOKUP(F226,'AM (2011)'!$A$10:$N$444,'AM (2011)'!$J$445,FALSE)</f>
        <v>5557.7470291827212</v>
      </c>
      <c r="G223" s="461">
        <f>VLOOKUP(G226,'AM (2011)'!$A$10:$N$444,'AM (2011)'!$J$445,FALSE)</f>
        <v>5843.0209371884339</v>
      </c>
      <c r="H223" s="461"/>
      <c r="I223" s="462"/>
      <c r="S223" s="559"/>
      <c r="T223" s="559"/>
      <c r="U223" s="559"/>
      <c r="V223" s="565" t="s">
        <v>279</v>
      </c>
      <c r="W223" s="563"/>
      <c r="X223" s="563"/>
      <c r="Y223" s="563">
        <f>E225</f>
        <v>5779.7729799612152</v>
      </c>
      <c r="Z223" s="563">
        <f>F225</f>
        <v>5723.0702003878469</v>
      </c>
      <c r="AA223" s="563">
        <f>G225</f>
        <v>5692.7635423400125</v>
      </c>
      <c r="AB223" s="563">
        <f>H225</f>
        <v>5723.0702003878469</v>
      </c>
      <c r="AC223" s="563">
        <f>I225</f>
        <v>5758.2650290885585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5277</v>
      </c>
      <c r="E224" s="461">
        <f>VLOOKUP(E227,'AM (2011)'!$A$10:$N$444,'AM (2011)'!$J$445,FALSE)</f>
        <v>5630</v>
      </c>
      <c r="F224" s="461">
        <f>VLOOKUP(F227,'AM (2011)'!$A$10:$N$444,'AM (2011)'!$J$445,FALSE)</f>
        <v>5575</v>
      </c>
      <c r="G224" s="461">
        <f>VLOOKUP(G227,'AM (2011)'!$A$10:$N$444,'AM (2011)'!$J$445,FALSE)</f>
        <v>5545</v>
      </c>
      <c r="H224" s="461">
        <f>VLOOKUP(H227,'AM (2011)'!$A$10:$N$444,'AM (2011)'!$J$445,FALSE)</f>
        <v>5575</v>
      </c>
      <c r="I224" s="462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5779.7729799612152</v>
      </c>
      <c r="F225" s="493">
        <f>VLOOKUP(F228,'AM (2011)'!$A$10:$N$444,'AM (2011)'!$J$445,FALSE)</f>
        <v>5723.0702003878469</v>
      </c>
      <c r="G225" s="493">
        <f>VLOOKUP(G228,'AM (2011)'!$A$10:$N$444,'AM (2011)'!$J$445,FALSE)</f>
        <v>5692.7635423400125</v>
      </c>
      <c r="H225" s="493">
        <f>VLOOKUP(H228,'AM (2011)'!$A$10:$N$444,'AM (2011)'!$J$445,FALSE)</f>
        <v>5723.0702003878469</v>
      </c>
      <c r="I225" s="494">
        <f>VLOOKUP(I228,'AM (2011)'!$A$10:$N$444,'AM (2011)'!$J$445,FALSE)</f>
        <v>5758.2650290885585</v>
      </c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122</v>
      </c>
      <c r="D226" s="136">
        <f>VLOOKUP($B$2,$B$257:$Y$286,9,FALSE)</f>
        <v>123</v>
      </c>
      <c r="E226" s="136">
        <f>VLOOKUP($B$2,$B$257:$Y$286,12,FALSE)</f>
        <v>126</v>
      </c>
      <c r="F226" s="136">
        <f>VLOOKUP($B$2,$B$257:$Y$286,13,FALSE)</f>
        <v>127</v>
      </c>
      <c r="G226" s="136">
        <f>VLOOKUP($B$2,$B$257:$Y$286,14,FALSE)</f>
        <v>128</v>
      </c>
      <c r="H226" s="136"/>
      <c r="I226" s="136"/>
      <c r="S226" s="559"/>
      <c r="T226" s="559"/>
      <c r="U226" s="559"/>
      <c r="V226" s="559"/>
      <c r="W226" s="559"/>
      <c r="X226" s="559"/>
      <c r="Y226" s="559"/>
      <c r="Z226" s="559"/>
      <c r="AA226" s="559"/>
      <c r="AB226" s="559"/>
      <c r="AC226" s="559"/>
      <c r="AD226" s="559"/>
    </row>
    <row r="227" spans="2:30">
      <c r="C227" s="136">
        <f>VLOOKUP($B$2,$B$257:$Y$286,10,FALSE)</f>
        <v>124</v>
      </c>
      <c r="D227" s="136">
        <f>VLOOKUP($B$2,$B$257:$Y$286,11,FALSE)</f>
        <v>125</v>
      </c>
      <c r="E227" s="136">
        <f>VLOOKUP($B$2,$B$257:$Y$286,16,FALSE)</f>
        <v>130</v>
      </c>
      <c r="F227" s="136">
        <f>VLOOKUP($B$2,$B$257:$Y$286,17,FALSE)</f>
        <v>131</v>
      </c>
      <c r="G227" s="136">
        <f>VLOOKUP($B$2,$B$257:$Y$286,18,FALSE)</f>
        <v>132</v>
      </c>
      <c r="H227" s="136">
        <f>VLOOKUP($B$2,$B$257:$Y$286,19,FALSE)</f>
        <v>133</v>
      </c>
      <c r="I227" s="136"/>
    </row>
    <row r="228" spans="2:30">
      <c r="B228" s="517" t="s">
        <v>291</v>
      </c>
      <c r="C228" s="518"/>
      <c r="D228" s="518">
        <f>VLOOKUP($B$2,$B$257:$Y$286,15,FALSE)</f>
        <v>129</v>
      </c>
      <c r="E228" s="518">
        <f>VLOOKUP($B$2,$B$257:$Y$286,20,FALSE)</f>
        <v>134</v>
      </c>
      <c r="F228" s="519">
        <f>VLOOKUP($B$2,$B$257:$Y$286,21,FALSE)</f>
        <v>135</v>
      </c>
      <c r="G228" s="136">
        <f>VLOOKUP($B$2,$B$257:$Y$286,22,FALSE)</f>
        <v>136</v>
      </c>
      <c r="H228" s="136">
        <f>VLOOKUP($B$2,$B$257:$Y$286,23,FALSE)</f>
        <v>137</v>
      </c>
      <c r="I228" s="136">
        <f>VLOOKUP($B$2,$B$257:$Y$286,24,FALSE)</f>
        <v>138</v>
      </c>
    </row>
    <row r="229" spans="2:30">
      <c r="B229" s="474" t="str">
        <f>$B$2</f>
        <v>Eastland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244.97</v>
      </c>
      <c r="D230" s="456">
        <f>VLOOKUP(D$38,'MP (2011)'!$A$11:$AR$245,'MP (2011)'!$S$246,FALSE)+VLOOKUP(D$38,'MP (2011)'!$A$11:$AR$245,'MP (2011)'!$T$246,FALSE)</f>
        <v>243.09</v>
      </c>
      <c r="E230" s="456">
        <f>VLOOKUP(E$38,'MP (2011)'!$A$11:$AR$245,'MP (2011)'!$S$246,FALSE)+VLOOKUP(E$38,'MP (2011)'!$A$11:$AR$245,'MP (2011)'!$T$246,FALSE)</f>
        <v>312.27</v>
      </c>
      <c r="F230" s="457">
        <f>VLOOKUP(F$38,'MP (2011)'!$A$11:$AR$245,'MP (2011)'!$S$246,FALSE)+VLOOKUP(F$38,'MP (2011)'!$A$11:$AR$245,'MP (2011)'!$T$246,FALSE)</f>
        <v>333.99</v>
      </c>
    </row>
    <row r="231" spans="2:30">
      <c r="B231" s="199" t="s">
        <v>292</v>
      </c>
      <c r="C231" s="456">
        <f>IF(ISERROR(VLOOKUP(C$38,'Compliance data'!$A$7:$E$74,'Compliance data'!$D$75,FALSE)),"",(VLOOKUP(C$38,'Compliance data'!$A$7:$E$74,'Compliance data'!$D$75,FALSE)))</f>
        <v>377.59</v>
      </c>
      <c r="D231" s="456">
        <f>IF(ISERROR(VLOOKUP(D$38,'Compliance data'!$A$7:$E$74,'Compliance data'!$D$75,FALSE)),"",(VLOOKUP(D$38,'Compliance data'!$A$7:$E$74,'Compliance data'!$D$75,FALSE)))</f>
        <v>377.59</v>
      </c>
      <c r="E231" s="456">
        <f>IF(ISERROR(VLOOKUP(E$38,'Compliance data'!$A$7:$E$74,'Compliance data'!$D$75,FALSE)),"",(VLOOKUP(E$38,'Compliance data'!$A$7:$E$74,'Compliance data'!$D$75,FALSE)))</f>
        <v>377.59</v>
      </c>
      <c r="F231" s="457">
        <f>IF(ISERROR(VLOOKUP(F$38,'Compliance data'!$A$7:$E$74,'Compliance data'!$D$75,FALSE)),"",(VLOOKUP(F$38,'Compliance data'!$A$7:$E$74,'Compliance data'!$D$75,FALSE)))</f>
        <v>302.38</v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3.91</v>
      </c>
      <c r="D237" s="456">
        <f>VLOOKUP(D$38,'MP (2011)'!$A$11:$AR$245,'MP (2011)'!$W$246,FALSE)+VLOOKUP(D$38,'MP (2011)'!$A$11:$AR$245,'MP (2011)'!$X$246,FALSE)</f>
        <v>3.4</v>
      </c>
      <c r="E237" s="456">
        <f>VLOOKUP(E$38,'MP (2011)'!$A$11:$AR$245,'MP (2011)'!$W$246,FALSE)+VLOOKUP(E$38,'MP (2011)'!$A$11:$AR$245,'MP (2011)'!$X$246,FALSE)</f>
        <v>3.46</v>
      </c>
      <c r="F237" s="457">
        <f>VLOOKUP(F$38,'MP (2011)'!$A$11:$AR$245,'MP (2011)'!$W$246,FALSE)+VLOOKUP(F$38,'MP (2011)'!$A$11:$AR$245,'MP (2011)'!$X$246,FALSE)</f>
        <v>3.48</v>
      </c>
    </row>
    <row r="238" spans="2:30">
      <c r="B238" s="199" t="s">
        <v>292</v>
      </c>
      <c r="C238" s="456">
        <f>IF(ISERROR(VLOOKUP(C$38,'Compliance data'!$A$7:$E$74,'Compliance data'!$E$75,FALSE)),"",(VLOOKUP(C$38,'Compliance data'!$A$7:$E$74,'Compliance data'!$E$75,FALSE)))</f>
        <v>4.08</v>
      </c>
      <c r="D238" s="456">
        <f>IF(ISERROR(VLOOKUP(D$38,'Compliance data'!$A$7:$E$74,'Compliance data'!$E$75,FALSE)),"",(VLOOKUP(D$38,'Compliance data'!$A$7:$E$74,'Compliance data'!$E$75,FALSE)))</f>
        <v>4.08</v>
      </c>
      <c r="E238" s="456">
        <f>IF(ISERROR(VLOOKUP(E$38,'Compliance data'!$A$7:$E$74,'Compliance data'!$E$75,FALSE)),"",(VLOOKUP(E$38,'Compliance data'!$A$7:$E$74,'Compliance data'!$E$75,FALSE)))</f>
        <v>4.08</v>
      </c>
      <c r="F238" s="457">
        <f>IF(ISERROR(VLOOKUP(F$38,'Compliance data'!$A$7:$E$74,'Compliance data'!$E$75,FALSE)),"",(VLOOKUP(F$38,'Compliance data'!$A$7:$E$74,'Compliance data'!$E$75,FALSE)))</f>
        <v>4.26</v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Y258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si="24"/>
        <v>18</v>
      </c>
      <c r="U258" s="526">
        <f t="shared" si="24"/>
        <v>19</v>
      </c>
      <c r="V258" s="526">
        <f t="shared" si="24"/>
        <v>20</v>
      </c>
      <c r="W258" s="526">
        <f t="shared" si="24"/>
        <v>21</v>
      </c>
      <c r="X258" s="526">
        <f t="shared" si="24"/>
        <v>22</v>
      </c>
      <c r="Y258" s="526">
        <f t="shared" si="24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ref="D259:S274" si="25">C259+1</f>
        <v>25</v>
      </c>
      <c r="E259" s="526">
        <f t="shared" si="25"/>
        <v>26</v>
      </c>
      <c r="F259" s="526">
        <f t="shared" si="25"/>
        <v>27</v>
      </c>
      <c r="G259" s="526">
        <f t="shared" si="25"/>
        <v>28</v>
      </c>
      <c r="H259" s="526">
        <f t="shared" si="25"/>
        <v>29</v>
      </c>
      <c r="I259" s="526">
        <f t="shared" si="25"/>
        <v>30</v>
      </c>
      <c r="J259" s="526">
        <f t="shared" si="25"/>
        <v>31</v>
      </c>
      <c r="K259" s="526">
        <f t="shared" si="25"/>
        <v>32</v>
      </c>
      <c r="L259" s="526">
        <f t="shared" si="25"/>
        <v>33</v>
      </c>
      <c r="M259" s="526">
        <f t="shared" si="25"/>
        <v>34</v>
      </c>
      <c r="N259" s="526">
        <f t="shared" si="25"/>
        <v>35</v>
      </c>
      <c r="O259" s="526">
        <f t="shared" si="25"/>
        <v>36</v>
      </c>
      <c r="P259" s="526">
        <f t="shared" si="25"/>
        <v>37</v>
      </c>
      <c r="Q259" s="526">
        <f t="shared" si="25"/>
        <v>38</v>
      </c>
      <c r="R259" s="526">
        <f t="shared" si="25"/>
        <v>39</v>
      </c>
      <c r="S259" s="526">
        <f t="shared" si="25"/>
        <v>40</v>
      </c>
      <c r="T259" s="526">
        <f t="shared" ref="T259:Y273" si="26">S259+1</f>
        <v>41</v>
      </c>
      <c r="U259" s="526">
        <f t="shared" si="26"/>
        <v>42</v>
      </c>
      <c r="V259" s="526">
        <f t="shared" si="26"/>
        <v>43</v>
      </c>
      <c r="W259" s="526">
        <f t="shared" si="26"/>
        <v>44</v>
      </c>
      <c r="X259" s="526">
        <f t="shared" si="26"/>
        <v>45</v>
      </c>
      <c r="Y259" s="526">
        <f t="shared" si="26"/>
        <v>46</v>
      </c>
    </row>
    <row r="260" spans="2:25" s="526" customFormat="1" ht="15.75">
      <c r="B260" s="530" t="s">
        <v>31</v>
      </c>
      <c r="C260" s="526">
        <f t="shared" ref="C260:C286" si="27">Y259+1</f>
        <v>47</v>
      </c>
      <c r="D260" s="526">
        <f t="shared" si="25"/>
        <v>48</v>
      </c>
      <c r="E260" s="526">
        <f t="shared" si="25"/>
        <v>49</v>
      </c>
      <c r="F260" s="526">
        <f t="shared" si="25"/>
        <v>50</v>
      </c>
      <c r="G260" s="526">
        <f t="shared" si="25"/>
        <v>51</v>
      </c>
      <c r="H260" s="526">
        <f t="shared" si="25"/>
        <v>52</v>
      </c>
      <c r="I260" s="526">
        <f t="shared" si="25"/>
        <v>53</v>
      </c>
      <c r="J260" s="526">
        <f t="shared" si="25"/>
        <v>54</v>
      </c>
      <c r="K260" s="526">
        <f t="shared" si="25"/>
        <v>55</v>
      </c>
      <c r="L260" s="526">
        <f t="shared" si="25"/>
        <v>56</v>
      </c>
      <c r="M260" s="526">
        <f t="shared" si="25"/>
        <v>57</v>
      </c>
      <c r="N260" s="526">
        <f t="shared" si="25"/>
        <v>58</v>
      </c>
      <c r="O260" s="526">
        <f t="shared" si="25"/>
        <v>59</v>
      </c>
      <c r="P260" s="526">
        <f t="shared" si="25"/>
        <v>60</v>
      </c>
      <c r="Q260" s="526">
        <f t="shared" si="25"/>
        <v>61</v>
      </c>
      <c r="R260" s="526">
        <f t="shared" si="25"/>
        <v>62</v>
      </c>
      <c r="S260" s="526">
        <f t="shared" si="25"/>
        <v>63</v>
      </c>
      <c r="T260" s="526">
        <f t="shared" si="26"/>
        <v>64</v>
      </c>
      <c r="U260" s="526">
        <f t="shared" si="26"/>
        <v>65</v>
      </c>
      <c r="V260" s="526">
        <f t="shared" si="26"/>
        <v>66</v>
      </c>
      <c r="W260" s="526">
        <f t="shared" si="26"/>
        <v>67</v>
      </c>
      <c r="X260" s="526">
        <f t="shared" si="26"/>
        <v>68</v>
      </c>
      <c r="Y260" s="526">
        <f t="shared" si="26"/>
        <v>69</v>
      </c>
    </row>
    <row r="261" spans="2:25" s="526" customFormat="1" ht="15.75">
      <c r="B261" s="530" t="s">
        <v>32</v>
      </c>
      <c r="C261" s="526">
        <f t="shared" si="27"/>
        <v>70</v>
      </c>
      <c r="D261" s="526">
        <f t="shared" si="25"/>
        <v>71</v>
      </c>
      <c r="E261" s="526">
        <f t="shared" si="25"/>
        <v>72</v>
      </c>
      <c r="F261" s="526">
        <f t="shared" si="25"/>
        <v>73</v>
      </c>
      <c r="G261" s="526">
        <f t="shared" si="25"/>
        <v>74</v>
      </c>
      <c r="H261" s="526">
        <f t="shared" si="25"/>
        <v>75</v>
      </c>
      <c r="I261" s="526">
        <f t="shared" si="25"/>
        <v>76</v>
      </c>
      <c r="J261" s="526">
        <f t="shared" si="25"/>
        <v>77</v>
      </c>
      <c r="K261" s="526">
        <f t="shared" si="25"/>
        <v>78</v>
      </c>
      <c r="L261" s="526">
        <f t="shared" si="25"/>
        <v>79</v>
      </c>
      <c r="M261" s="526">
        <f t="shared" si="25"/>
        <v>80</v>
      </c>
      <c r="N261" s="526">
        <f t="shared" si="25"/>
        <v>81</v>
      </c>
      <c r="O261" s="526">
        <f t="shared" si="25"/>
        <v>82</v>
      </c>
      <c r="P261" s="526">
        <f t="shared" si="25"/>
        <v>83</v>
      </c>
      <c r="Q261" s="526">
        <f t="shared" si="25"/>
        <v>84</v>
      </c>
      <c r="R261" s="526">
        <f t="shared" si="25"/>
        <v>85</v>
      </c>
      <c r="S261" s="526">
        <f t="shared" si="25"/>
        <v>86</v>
      </c>
      <c r="T261" s="526">
        <f t="shared" si="26"/>
        <v>87</v>
      </c>
      <c r="U261" s="526">
        <f t="shared" si="26"/>
        <v>88</v>
      </c>
      <c r="V261" s="526">
        <f t="shared" si="26"/>
        <v>89</v>
      </c>
      <c r="W261" s="526">
        <f t="shared" si="26"/>
        <v>90</v>
      </c>
      <c r="X261" s="526">
        <f t="shared" si="26"/>
        <v>91</v>
      </c>
      <c r="Y261" s="526">
        <f t="shared" si="26"/>
        <v>92</v>
      </c>
    </row>
    <row r="262" spans="2:25" s="526" customFormat="1" ht="15.75">
      <c r="B262" s="530" t="s">
        <v>33</v>
      </c>
      <c r="C262" s="526">
        <f t="shared" si="27"/>
        <v>93</v>
      </c>
      <c r="D262" s="526">
        <f t="shared" si="25"/>
        <v>94</v>
      </c>
      <c r="E262" s="526">
        <f t="shared" si="25"/>
        <v>95</v>
      </c>
      <c r="F262" s="526">
        <f t="shared" si="25"/>
        <v>96</v>
      </c>
      <c r="G262" s="526">
        <f t="shared" si="25"/>
        <v>97</v>
      </c>
      <c r="H262" s="526">
        <f t="shared" si="25"/>
        <v>98</v>
      </c>
      <c r="I262" s="526">
        <f t="shared" si="25"/>
        <v>99</v>
      </c>
      <c r="J262" s="526">
        <f t="shared" si="25"/>
        <v>100</v>
      </c>
      <c r="K262" s="526">
        <f t="shared" si="25"/>
        <v>101</v>
      </c>
      <c r="L262" s="526">
        <f t="shared" si="25"/>
        <v>102</v>
      </c>
      <c r="M262" s="526">
        <f t="shared" si="25"/>
        <v>103</v>
      </c>
      <c r="N262" s="526">
        <f t="shared" si="25"/>
        <v>104</v>
      </c>
      <c r="O262" s="526">
        <f t="shared" si="25"/>
        <v>105</v>
      </c>
      <c r="P262" s="526">
        <f t="shared" si="25"/>
        <v>106</v>
      </c>
      <c r="Q262" s="526">
        <f t="shared" si="25"/>
        <v>107</v>
      </c>
      <c r="R262" s="526">
        <f t="shared" si="25"/>
        <v>108</v>
      </c>
      <c r="S262" s="526">
        <f t="shared" si="25"/>
        <v>109</v>
      </c>
      <c r="T262" s="526">
        <f t="shared" si="26"/>
        <v>110</v>
      </c>
      <c r="U262" s="526">
        <f t="shared" si="26"/>
        <v>111</v>
      </c>
      <c r="V262" s="526">
        <f t="shared" si="26"/>
        <v>112</v>
      </c>
      <c r="W262" s="526">
        <f t="shared" si="26"/>
        <v>113</v>
      </c>
      <c r="X262" s="526">
        <f t="shared" si="26"/>
        <v>114</v>
      </c>
      <c r="Y262" s="526">
        <f t="shared" si="26"/>
        <v>115</v>
      </c>
    </row>
    <row r="263" spans="2:25" s="526" customFormat="1" ht="15.75">
      <c r="B263" s="530" t="s">
        <v>34</v>
      </c>
      <c r="C263" s="526">
        <f t="shared" si="27"/>
        <v>116</v>
      </c>
      <c r="D263" s="526">
        <f t="shared" si="25"/>
        <v>117</v>
      </c>
      <c r="E263" s="526">
        <f t="shared" si="25"/>
        <v>118</v>
      </c>
      <c r="F263" s="526">
        <f t="shared" si="25"/>
        <v>119</v>
      </c>
      <c r="G263" s="526">
        <f t="shared" si="25"/>
        <v>120</v>
      </c>
      <c r="H263" s="526">
        <f t="shared" si="25"/>
        <v>121</v>
      </c>
      <c r="I263" s="526">
        <f t="shared" si="25"/>
        <v>122</v>
      </c>
      <c r="J263" s="526">
        <f t="shared" si="25"/>
        <v>123</v>
      </c>
      <c r="K263" s="526">
        <f t="shared" si="25"/>
        <v>124</v>
      </c>
      <c r="L263" s="526">
        <f t="shared" si="25"/>
        <v>125</v>
      </c>
      <c r="M263" s="526">
        <f t="shared" si="25"/>
        <v>126</v>
      </c>
      <c r="N263" s="526">
        <f t="shared" si="25"/>
        <v>127</v>
      </c>
      <c r="O263" s="526">
        <f t="shared" si="25"/>
        <v>128</v>
      </c>
      <c r="P263" s="526">
        <f t="shared" si="25"/>
        <v>129</v>
      </c>
      <c r="Q263" s="526">
        <f t="shared" si="25"/>
        <v>130</v>
      </c>
      <c r="R263" s="526">
        <f t="shared" si="25"/>
        <v>131</v>
      </c>
      <c r="S263" s="526">
        <f t="shared" si="25"/>
        <v>132</v>
      </c>
      <c r="T263" s="526">
        <f t="shared" si="26"/>
        <v>133</v>
      </c>
      <c r="U263" s="526">
        <f t="shared" si="26"/>
        <v>134</v>
      </c>
      <c r="V263" s="526">
        <f t="shared" si="26"/>
        <v>135</v>
      </c>
      <c r="W263" s="526">
        <f t="shared" si="26"/>
        <v>136</v>
      </c>
      <c r="X263" s="526">
        <f t="shared" si="26"/>
        <v>137</v>
      </c>
      <c r="Y263" s="526">
        <f t="shared" si="26"/>
        <v>138</v>
      </c>
    </row>
    <row r="264" spans="2:25" s="526" customFormat="1" ht="15.75">
      <c r="B264" s="530" t="s">
        <v>35</v>
      </c>
      <c r="C264" s="526">
        <f t="shared" si="27"/>
        <v>139</v>
      </c>
      <c r="D264" s="526">
        <f t="shared" si="25"/>
        <v>140</v>
      </c>
      <c r="E264" s="526">
        <f t="shared" si="25"/>
        <v>141</v>
      </c>
      <c r="F264" s="526">
        <f t="shared" si="25"/>
        <v>142</v>
      </c>
      <c r="G264" s="526">
        <f t="shared" si="25"/>
        <v>143</v>
      </c>
      <c r="H264" s="526">
        <f t="shared" si="25"/>
        <v>144</v>
      </c>
      <c r="I264" s="526">
        <f t="shared" si="25"/>
        <v>145</v>
      </c>
      <c r="J264" s="526">
        <f t="shared" si="25"/>
        <v>146</v>
      </c>
      <c r="K264" s="526">
        <f t="shared" si="25"/>
        <v>147</v>
      </c>
      <c r="L264" s="526">
        <f t="shared" si="25"/>
        <v>148</v>
      </c>
      <c r="M264" s="526">
        <f t="shared" si="25"/>
        <v>149</v>
      </c>
      <c r="N264" s="526">
        <f t="shared" si="25"/>
        <v>150</v>
      </c>
      <c r="O264" s="526">
        <f t="shared" si="25"/>
        <v>151</v>
      </c>
      <c r="P264" s="526">
        <f t="shared" si="25"/>
        <v>152</v>
      </c>
      <c r="Q264" s="526">
        <f t="shared" si="25"/>
        <v>153</v>
      </c>
      <c r="R264" s="526">
        <f t="shared" si="25"/>
        <v>154</v>
      </c>
      <c r="S264" s="526">
        <f t="shared" si="25"/>
        <v>155</v>
      </c>
      <c r="T264" s="526">
        <f t="shared" si="26"/>
        <v>156</v>
      </c>
      <c r="U264" s="526">
        <f t="shared" si="26"/>
        <v>157</v>
      </c>
      <c r="V264" s="526">
        <f t="shared" si="26"/>
        <v>158</v>
      </c>
      <c r="W264" s="526">
        <f t="shared" si="26"/>
        <v>159</v>
      </c>
      <c r="X264" s="526">
        <f t="shared" si="26"/>
        <v>160</v>
      </c>
      <c r="Y264" s="526">
        <f t="shared" si="26"/>
        <v>161</v>
      </c>
    </row>
    <row r="265" spans="2:25" s="526" customFormat="1" ht="15.75">
      <c r="B265" s="530" t="s">
        <v>115</v>
      </c>
      <c r="C265" s="526">
        <f t="shared" si="27"/>
        <v>162</v>
      </c>
      <c r="D265" s="526">
        <f t="shared" si="25"/>
        <v>163</v>
      </c>
      <c r="E265" s="526">
        <f t="shared" si="25"/>
        <v>164</v>
      </c>
      <c r="F265" s="526">
        <f t="shared" si="25"/>
        <v>165</v>
      </c>
      <c r="G265" s="526">
        <f t="shared" si="25"/>
        <v>166</v>
      </c>
      <c r="H265" s="526">
        <f t="shared" si="25"/>
        <v>167</v>
      </c>
      <c r="I265" s="526">
        <f t="shared" si="25"/>
        <v>168</v>
      </c>
      <c r="J265" s="526">
        <f t="shared" si="25"/>
        <v>169</v>
      </c>
      <c r="K265" s="526">
        <f t="shared" si="25"/>
        <v>170</v>
      </c>
      <c r="L265" s="526">
        <f t="shared" si="25"/>
        <v>171</v>
      </c>
      <c r="M265" s="526">
        <f t="shared" si="25"/>
        <v>172</v>
      </c>
      <c r="N265" s="526">
        <f t="shared" si="25"/>
        <v>173</v>
      </c>
      <c r="O265" s="526">
        <f t="shared" si="25"/>
        <v>174</v>
      </c>
      <c r="P265" s="526">
        <f t="shared" si="25"/>
        <v>175</v>
      </c>
      <c r="Q265" s="526">
        <f t="shared" si="25"/>
        <v>176</v>
      </c>
      <c r="R265" s="526">
        <f t="shared" si="25"/>
        <v>177</v>
      </c>
      <c r="S265" s="526">
        <f t="shared" si="25"/>
        <v>178</v>
      </c>
      <c r="T265" s="526">
        <f t="shared" si="26"/>
        <v>179</v>
      </c>
      <c r="U265" s="526">
        <f t="shared" si="26"/>
        <v>180</v>
      </c>
      <c r="V265" s="526">
        <f t="shared" si="26"/>
        <v>181</v>
      </c>
      <c r="W265" s="526">
        <f t="shared" si="26"/>
        <v>182</v>
      </c>
      <c r="X265" s="526">
        <f t="shared" si="26"/>
        <v>183</v>
      </c>
      <c r="Y265" s="526">
        <f t="shared" si="26"/>
        <v>184</v>
      </c>
    </row>
    <row r="266" spans="2:25" s="526" customFormat="1" ht="15.75">
      <c r="B266" s="530" t="s">
        <v>116</v>
      </c>
      <c r="C266" s="526">
        <f t="shared" si="27"/>
        <v>185</v>
      </c>
      <c r="D266" s="526">
        <f t="shared" si="25"/>
        <v>186</v>
      </c>
      <c r="E266" s="526">
        <f t="shared" si="25"/>
        <v>187</v>
      </c>
      <c r="F266" s="526">
        <f t="shared" si="25"/>
        <v>188</v>
      </c>
      <c r="G266" s="526">
        <f t="shared" si="25"/>
        <v>189</v>
      </c>
      <c r="H266" s="526">
        <f t="shared" si="25"/>
        <v>190</v>
      </c>
      <c r="I266" s="526">
        <f t="shared" si="25"/>
        <v>191</v>
      </c>
      <c r="J266" s="526">
        <f t="shared" si="25"/>
        <v>192</v>
      </c>
      <c r="K266" s="526">
        <f t="shared" si="25"/>
        <v>193</v>
      </c>
      <c r="L266" s="526">
        <f t="shared" si="25"/>
        <v>194</v>
      </c>
      <c r="M266" s="526">
        <f t="shared" si="25"/>
        <v>195</v>
      </c>
      <c r="N266" s="526">
        <f t="shared" si="25"/>
        <v>196</v>
      </c>
      <c r="O266" s="526">
        <f t="shared" si="25"/>
        <v>197</v>
      </c>
      <c r="P266" s="526">
        <f t="shared" si="25"/>
        <v>198</v>
      </c>
      <c r="Q266" s="526">
        <f t="shared" si="25"/>
        <v>199</v>
      </c>
      <c r="R266" s="526">
        <f t="shared" si="25"/>
        <v>200</v>
      </c>
      <c r="S266" s="526">
        <f t="shared" si="25"/>
        <v>201</v>
      </c>
      <c r="T266" s="526">
        <f t="shared" si="26"/>
        <v>202</v>
      </c>
      <c r="U266" s="526">
        <f t="shared" si="26"/>
        <v>203</v>
      </c>
      <c r="V266" s="526">
        <f t="shared" si="26"/>
        <v>204</v>
      </c>
      <c r="W266" s="526">
        <f t="shared" si="26"/>
        <v>205</v>
      </c>
      <c r="X266" s="526">
        <f t="shared" si="26"/>
        <v>206</v>
      </c>
      <c r="Y266" s="526">
        <f t="shared" si="26"/>
        <v>207</v>
      </c>
    </row>
    <row r="267" spans="2:25" s="526" customFormat="1" ht="15.75">
      <c r="B267" s="530" t="s">
        <v>38</v>
      </c>
      <c r="C267" s="526">
        <f t="shared" si="27"/>
        <v>208</v>
      </c>
      <c r="D267" s="526">
        <f t="shared" si="25"/>
        <v>209</v>
      </c>
      <c r="E267" s="526">
        <f t="shared" si="25"/>
        <v>210</v>
      </c>
      <c r="F267" s="526">
        <f t="shared" si="25"/>
        <v>211</v>
      </c>
      <c r="G267" s="526">
        <f t="shared" si="25"/>
        <v>212</v>
      </c>
      <c r="H267" s="526">
        <f t="shared" si="25"/>
        <v>213</v>
      </c>
      <c r="I267" s="526">
        <f t="shared" si="25"/>
        <v>214</v>
      </c>
      <c r="J267" s="526">
        <f t="shared" si="25"/>
        <v>215</v>
      </c>
      <c r="K267" s="526">
        <f t="shared" si="25"/>
        <v>216</v>
      </c>
      <c r="L267" s="526">
        <f t="shared" si="25"/>
        <v>217</v>
      </c>
      <c r="M267" s="526">
        <f t="shared" si="25"/>
        <v>218</v>
      </c>
      <c r="N267" s="526">
        <f t="shared" si="25"/>
        <v>219</v>
      </c>
      <c r="O267" s="526">
        <f t="shared" si="25"/>
        <v>220</v>
      </c>
      <c r="P267" s="526">
        <f t="shared" si="25"/>
        <v>221</v>
      </c>
      <c r="Q267" s="526">
        <f t="shared" si="25"/>
        <v>222</v>
      </c>
      <c r="R267" s="526">
        <f t="shared" si="25"/>
        <v>223</v>
      </c>
      <c r="S267" s="526">
        <f t="shared" si="25"/>
        <v>224</v>
      </c>
      <c r="T267" s="526">
        <f t="shared" si="26"/>
        <v>225</v>
      </c>
      <c r="U267" s="526">
        <f t="shared" si="26"/>
        <v>226</v>
      </c>
      <c r="V267" s="526">
        <f t="shared" si="26"/>
        <v>227</v>
      </c>
      <c r="W267" s="526">
        <f t="shared" si="26"/>
        <v>228</v>
      </c>
      <c r="X267" s="526">
        <f t="shared" si="26"/>
        <v>229</v>
      </c>
      <c r="Y267" s="526">
        <f t="shared" si="26"/>
        <v>230</v>
      </c>
    </row>
    <row r="268" spans="2:25" s="526" customFormat="1" ht="15.75">
      <c r="B268" s="530" t="s">
        <v>39</v>
      </c>
      <c r="C268" s="526">
        <f t="shared" si="27"/>
        <v>231</v>
      </c>
      <c r="D268" s="526">
        <f t="shared" si="25"/>
        <v>232</v>
      </c>
      <c r="E268" s="526">
        <f t="shared" si="25"/>
        <v>233</v>
      </c>
      <c r="F268" s="526">
        <f t="shared" si="25"/>
        <v>234</v>
      </c>
      <c r="G268" s="526">
        <f t="shared" si="25"/>
        <v>235</v>
      </c>
      <c r="H268" s="526">
        <f t="shared" si="25"/>
        <v>236</v>
      </c>
      <c r="I268" s="526">
        <f t="shared" si="25"/>
        <v>237</v>
      </c>
      <c r="J268" s="526">
        <f t="shared" si="25"/>
        <v>238</v>
      </c>
      <c r="K268" s="526">
        <f t="shared" si="25"/>
        <v>239</v>
      </c>
      <c r="L268" s="526">
        <f t="shared" si="25"/>
        <v>240</v>
      </c>
      <c r="M268" s="526">
        <f t="shared" si="25"/>
        <v>241</v>
      </c>
      <c r="N268" s="526">
        <f t="shared" si="25"/>
        <v>242</v>
      </c>
      <c r="O268" s="526">
        <f t="shared" si="25"/>
        <v>243</v>
      </c>
      <c r="P268" s="526">
        <f t="shared" si="25"/>
        <v>244</v>
      </c>
      <c r="Q268" s="526">
        <f t="shared" si="25"/>
        <v>245</v>
      </c>
      <c r="R268" s="526">
        <f t="shared" si="25"/>
        <v>246</v>
      </c>
      <c r="S268" s="526">
        <f t="shared" si="25"/>
        <v>247</v>
      </c>
      <c r="T268" s="526">
        <f t="shared" si="26"/>
        <v>248</v>
      </c>
      <c r="U268" s="526">
        <f t="shared" si="26"/>
        <v>249</v>
      </c>
      <c r="V268" s="526">
        <f t="shared" si="26"/>
        <v>250</v>
      </c>
      <c r="W268" s="526">
        <f t="shared" si="26"/>
        <v>251</v>
      </c>
      <c r="X268" s="526">
        <f t="shared" si="26"/>
        <v>252</v>
      </c>
      <c r="Y268" s="526">
        <f t="shared" si="26"/>
        <v>253</v>
      </c>
    </row>
    <row r="269" spans="2:25" s="526" customFormat="1" ht="15.75">
      <c r="B269" s="530" t="s">
        <v>40</v>
      </c>
      <c r="C269" s="526">
        <f t="shared" si="27"/>
        <v>254</v>
      </c>
      <c r="D269" s="526">
        <f t="shared" si="25"/>
        <v>255</v>
      </c>
      <c r="E269" s="526">
        <f t="shared" si="25"/>
        <v>256</v>
      </c>
      <c r="F269" s="526">
        <f t="shared" si="25"/>
        <v>257</v>
      </c>
      <c r="G269" s="526">
        <f t="shared" si="25"/>
        <v>258</v>
      </c>
      <c r="H269" s="526">
        <f t="shared" si="25"/>
        <v>259</v>
      </c>
      <c r="I269" s="526">
        <f t="shared" si="25"/>
        <v>260</v>
      </c>
      <c r="J269" s="526">
        <f t="shared" si="25"/>
        <v>261</v>
      </c>
      <c r="K269" s="526">
        <f t="shared" si="25"/>
        <v>262</v>
      </c>
      <c r="L269" s="526">
        <f t="shared" si="25"/>
        <v>263</v>
      </c>
      <c r="M269" s="526">
        <f t="shared" si="25"/>
        <v>264</v>
      </c>
      <c r="N269" s="526">
        <f t="shared" si="25"/>
        <v>265</v>
      </c>
      <c r="O269" s="526">
        <f t="shared" si="25"/>
        <v>266</v>
      </c>
      <c r="P269" s="526">
        <f t="shared" si="25"/>
        <v>267</v>
      </c>
      <c r="Q269" s="526">
        <f t="shared" si="25"/>
        <v>268</v>
      </c>
      <c r="R269" s="526">
        <f t="shared" si="25"/>
        <v>269</v>
      </c>
      <c r="S269" s="526">
        <f t="shared" si="25"/>
        <v>270</v>
      </c>
      <c r="T269" s="526">
        <f t="shared" si="26"/>
        <v>271</v>
      </c>
      <c r="U269" s="526">
        <f t="shared" si="26"/>
        <v>272</v>
      </c>
      <c r="V269" s="526">
        <f t="shared" si="26"/>
        <v>273</v>
      </c>
      <c r="W269" s="526">
        <f t="shared" si="26"/>
        <v>274</v>
      </c>
      <c r="X269" s="526">
        <f t="shared" si="26"/>
        <v>275</v>
      </c>
      <c r="Y269" s="526">
        <f t="shared" si="26"/>
        <v>276</v>
      </c>
    </row>
    <row r="270" spans="2:25" s="526" customFormat="1" ht="15.75">
      <c r="B270" s="530" t="s">
        <v>41</v>
      </c>
      <c r="C270" s="526">
        <f t="shared" si="27"/>
        <v>277</v>
      </c>
      <c r="D270" s="526">
        <f t="shared" si="25"/>
        <v>278</v>
      </c>
      <c r="E270" s="526">
        <f t="shared" si="25"/>
        <v>279</v>
      </c>
      <c r="F270" s="526">
        <f t="shared" si="25"/>
        <v>280</v>
      </c>
      <c r="G270" s="526">
        <f t="shared" si="25"/>
        <v>281</v>
      </c>
      <c r="H270" s="526">
        <f t="shared" si="25"/>
        <v>282</v>
      </c>
      <c r="I270" s="526">
        <f t="shared" si="25"/>
        <v>283</v>
      </c>
      <c r="J270" s="526">
        <f t="shared" si="25"/>
        <v>284</v>
      </c>
      <c r="K270" s="526">
        <f t="shared" si="25"/>
        <v>285</v>
      </c>
      <c r="L270" s="526">
        <f t="shared" si="25"/>
        <v>286</v>
      </c>
      <c r="M270" s="526">
        <f t="shared" si="25"/>
        <v>287</v>
      </c>
      <c r="N270" s="526">
        <f t="shared" si="25"/>
        <v>288</v>
      </c>
      <c r="O270" s="526">
        <f t="shared" si="25"/>
        <v>289</v>
      </c>
      <c r="P270" s="526">
        <f t="shared" si="25"/>
        <v>290</v>
      </c>
      <c r="Q270" s="526">
        <f t="shared" si="25"/>
        <v>291</v>
      </c>
      <c r="R270" s="526">
        <f t="shared" si="25"/>
        <v>292</v>
      </c>
      <c r="S270" s="526">
        <f t="shared" si="25"/>
        <v>293</v>
      </c>
      <c r="T270" s="526">
        <f t="shared" si="26"/>
        <v>294</v>
      </c>
      <c r="U270" s="526">
        <f t="shared" si="26"/>
        <v>295</v>
      </c>
      <c r="V270" s="526">
        <f t="shared" si="26"/>
        <v>296</v>
      </c>
      <c r="W270" s="526">
        <f t="shared" si="26"/>
        <v>297</v>
      </c>
      <c r="X270" s="526">
        <f t="shared" si="26"/>
        <v>298</v>
      </c>
      <c r="Y270" s="526">
        <f t="shared" si="26"/>
        <v>299</v>
      </c>
    </row>
    <row r="271" spans="2:25" s="526" customFormat="1" ht="15.75">
      <c r="B271" s="530" t="s">
        <v>42</v>
      </c>
      <c r="C271" s="526">
        <f t="shared" si="27"/>
        <v>300</v>
      </c>
      <c r="D271" s="526">
        <f t="shared" si="25"/>
        <v>301</v>
      </c>
      <c r="E271" s="526">
        <f t="shared" si="25"/>
        <v>302</v>
      </c>
      <c r="F271" s="526">
        <f t="shared" si="25"/>
        <v>303</v>
      </c>
      <c r="G271" s="526">
        <f t="shared" si="25"/>
        <v>304</v>
      </c>
      <c r="H271" s="526">
        <f t="shared" si="25"/>
        <v>305</v>
      </c>
      <c r="I271" s="526">
        <f t="shared" si="25"/>
        <v>306</v>
      </c>
      <c r="J271" s="526">
        <f t="shared" si="25"/>
        <v>307</v>
      </c>
      <c r="K271" s="526">
        <f t="shared" si="25"/>
        <v>308</v>
      </c>
      <c r="L271" s="526">
        <f t="shared" si="25"/>
        <v>309</v>
      </c>
      <c r="M271" s="526">
        <f t="shared" si="25"/>
        <v>310</v>
      </c>
      <c r="N271" s="526">
        <f t="shared" si="25"/>
        <v>311</v>
      </c>
      <c r="O271" s="526">
        <f t="shared" si="25"/>
        <v>312</v>
      </c>
      <c r="P271" s="526">
        <f t="shared" si="25"/>
        <v>313</v>
      </c>
      <c r="Q271" s="526">
        <f t="shared" si="25"/>
        <v>314</v>
      </c>
      <c r="R271" s="526">
        <f t="shared" si="25"/>
        <v>315</v>
      </c>
      <c r="S271" s="526">
        <f t="shared" si="25"/>
        <v>316</v>
      </c>
      <c r="T271" s="526">
        <f t="shared" si="26"/>
        <v>317</v>
      </c>
      <c r="U271" s="526">
        <f t="shared" si="26"/>
        <v>318</v>
      </c>
      <c r="V271" s="526">
        <f t="shared" si="26"/>
        <v>319</v>
      </c>
      <c r="W271" s="526">
        <f t="shared" si="26"/>
        <v>320</v>
      </c>
      <c r="X271" s="526">
        <f t="shared" si="26"/>
        <v>321</v>
      </c>
      <c r="Y271" s="526">
        <f t="shared" si="26"/>
        <v>322</v>
      </c>
    </row>
    <row r="272" spans="2:25" s="526" customFormat="1" ht="15.75">
      <c r="B272" s="530" t="s">
        <v>43</v>
      </c>
      <c r="C272" s="526">
        <f t="shared" si="27"/>
        <v>323</v>
      </c>
      <c r="D272" s="526">
        <f t="shared" si="25"/>
        <v>324</v>
      </c>
      <c r="E272" s="526">
        <f t="shared" si="25"/>
        <v>325</v>
      </c>
      <c r="F272" s="526">
        <f t="shared" si="25"/>
        <v>326</v>
      </c>
      <c r="G272" s="526">
        <f t="shared" si="25"/>
        <v>327</v>
      </c>
      <c r="H272" s="526">
        <f t="shared" si="25"/>
        <v>328</v>
      </c>
      <c r="I272" s="526">
        <f t="shared" si="25"/>
        <v>329</v>
      </c>
      <c r="J272" s="526">
        <f t="shared" si="25"/>
        <v>330</v>
      </c>
      <c r="K272" s="526">
        <f t="shared" si="25"/>
        <v>331</v>
      </c>
      <c r="L272" s="526">
        <f t="shared" si="25"/>
        <v>332</v>
      </c>
      <c r="M272" s="526">
        <f t="shared" si="25"/>
        <v>333</v>
      </c>
      <c r="N272" s="526">
        <f t="shared" si="25"/>
        <v>334</v>
      </c>
      <c r="O272" s="526">
        <f t="shared" si="25"/>
        <v>335</v>
      </c>
      <c r="P272" s="526">
        <f t="shared" si="25"/>
        <v>336</v>
      </c>
      <c r="Q272" s="526">
        <f t="shared" si="25"/>
        <v>337</v>
      </c>
      <c r="R272" s="526">
        <f t="shared" si="25"/>
        <v>338</v>
      </c>
      <c r="S272" s="526">
        <f t="shared" si="25"/>
        <v>339</v>
      </c>
      <c r="T272" s="526">
        <f t="shared" si="26"/>
        <v>340</v>
      </c>
      <c r="U272" s="526">
        <f t="shared" si="26"/>
        <v>341</v>
      </c>
      <c r="V272" s="526">
        <f t="shared" si="26"/>
        <v>342</v>
      </c>
      <c r="W272" s="526">
        <f t="shared" si="26"/>
        <v>343</v>
      </c>
      <c r="X272" s="526">
        <f t="shared" si="26"/>
        <v>344</v>
      </c>
      <c r="Y272" s="526">
        <f t="shared" si="26"/>
        <v>345</v>
      </c>
    </row>
    <row r="273" spans="2:25" s="526" customFormat="1" ht="15.75">
      <c r="B273" s="530" t="s">
        <v>44</v>
      </c>
      <c r="C273" s="526">
        <f t="shared" si="27"/>
        <v>346</v>
      </c>
      <c r="D273" s="526">
        <f t="shared" si="25"/>
        <v>347</v>
      </c>
      <c r="E273" s="526">
        <f t="shared" si="25"/>
        <v>348</v>
      </c>
      <c r="F273" s="526">
        <f t="shared" si="25"/>
        <v>349</v>
      </c>
      <c r="G273" s="526">
        <f t="shared" si="25"/>
        <v>350</v>
      </c>
      <c r="H273" s="526">
        <f t="shared" si="25"/>
        <v>351</v>
      </c>
      <c r="I273" s="526">
        <f t="shared" si="25"/>
        <v>352</v>
      </c>
      <c r="J273" s="526">
        <f t="shared" si="25"/>
        <v>353</v>
      </c>
      <c r="K273" s="526">
        <f t="shared" si="25"/>
        <v>354</v>
      </c>
      <c r="L273" s="526">
        <f t="shared" si="25"/>
        <v>355</v>
      </c>
      <c r="M273" s="526">
        <f t="shared" si="25"/>
        <v>356</v>
      </c>
      <c r="N273" s="526">
        <f t="shared" si="25"/>
        <v>357</v>
      </c>
      <c r="O273" s="526">
        <f t="shared" si="25"/>
        <v>358</v>
      </c>
      <c r="P273" s="526">
        <f t="shared" si="25"/>
        <v>359</v>
      </c>
      <c r="Q273" s="526">
        <f t="shared" si="25"/>
        <v>360</v>
      </c>
      <c r="R273" s="526">
        <f t="shared" si="25"/>
        <v>361</v>
      </c>
      <c r="S273" s="526">
        <f t="shared" si="25"/>
        <v>362</v>
      </c>
      <c r="T273" s="526">
        <f t="shared" si="26"/>
        <v>363</v>
      </c>
      <c r="U273" s="526">
        <f t="shared" si="26"/>
        <v>364</v>
      </c>
      <c r="V273" s="526">
        <f t="shared" si="26"/>
        <v>365</v>
      </c>
      <c r="W273" s="526">
        <f t="shared" si="26"/>
        <v>366</v>
      </c>
      <c r="X273" s="526">
        <f t="shared" si="26"/>
        <v>367</v>
      </c>
      <c r="Y273" s="526">
        <f t="shared" si="26"/>
        <v>368</v>
      </c>
    </row>
    <row r="274" spans="2:25" s="526" customFormat="1" ht="15.75">
      <c r="B274" s="530" t="s">
        <v>45</v>
      </c>
      <c r="C274" s="526">
        <f t="shared" si="27"/>
        <v>369</v>
      </c>
      <c r="D274" s="526">
        <f t="shared" si="25"/>
        <v>370</v>
      </c>
      <c r="E274" s="526">
        <f t="shared" si="25"/>
        <v>371</v>
      </c>
      <c r="F274" s="526">
        <f t="shared" si="25"/>
        <v>372</v>
      </c>
      <c r="G274" s="526">
        <f t="shared" si="25"/>
        <v>373</v>
      </c>
      <c r="H274" s="526">
        <f t="shared" si="25"/>
        <v>374</v>
      </c>
      <c r="I274" s="526">
        <f t="shared" si="25"/>
        <v>375</v>
      </c>
      <c r="J274" s="526">
        <f t="shared" si="25"/>
        <v>376</v>
      </c>
      <c r="K274" s="526">
        <f t="shared" si="25"/>
        <v>377</v>
      </c>
      <c r="L274" s="526">
        <f t="shared" si="25"/>
        <v>378</v>
      </c>
      <c r="M274" s="526">
        <f t="shared" si="25"/>
        <v>379</v>
      </c>
      <c r="N274" s="526">
        <f t="shared" si="25"/>
        <v>380</v>
      </c>
      <c r="O274" s="526">
        <f t="shared" si="25"/>
        <v>381</v>
      </c>
      <c r="P274" s="526">
        <f t="shared" si="25"/>
        <v>382</v>
      </c>
      <c r="Q274" s="526">
        <f t="shared" si="25"/>
        <v>383</v>
      </c>
      <c r="R274" s="526">
        <f t="shared" si="25"/>
        <v>384</v>
      </c>
      <c r="S274" s="526">
        <f t="shared" ref="S274:Y286" si="28">R274+1</f>
        <v>385</v>
      </c>
      <c r="T274" s="526">
        <f t="shared" si="28"/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7"/>
        <v>392</v>
      </c>
      <c r="D275" s="526">
        <f t="shared" ref="D275:S286" si="29">C275+1</f>
        <v>393</v>
      </c>
      <c r="E275" s="526">
        <f t="shared" si="29"/>
        <v>394</v>
      </c>
      <c r="F275" s="526">
        <f t="shared" si="29"/>
        <v>395</v>
      </c>
      <c r="G275" s="526">
        <f t="shared" si="29"/>
        <v>396</v>
      </c>
      <c r="H275" s="526">
        <f t="shared" si="29"/>
        <v>397</v>
      </c>
      <c r="I275" s="526">
        <f t="shared" si="29"/>
        <v>398</v>
      </c>
      <c r="J275" s="526">
        <f t="shared" si="29"/>
        <v>399</v>
      </c>
      <c r="K275" s="526">
        <f t="shared" si="29"/>
        <v>400</v>
      </c>
      <c r="L275" s="526">
        <f t="shared" si="29"/>
        <v>401</v>
      </c>
      <c r="M275" s="526">
        <f t="shared" si="29"/>
        <v>402</v>
      </c>
      <c r="N275" s="526">
        <f t="shared" si="29"/>
        <v>403</v>
      </c>
      <c r="O275" s="526">
        <f t="shared" si="29"/>
        <v>404</v>
      </c>
      <c r="P275" s="526">
        <f t="shared" si="29"/>
        <v>405</v>
      </c>
      <c r="Q275" s="526">
        <f t="shared" si="29"/>
        <v>406</v>
      </c>
      <c r="R275" s="526">
        <f t="shared" si="29"/>
        <v>407</v>
      </c>
      <c r="S275" s="526">
        <f t="shared" si="29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7"/>
        <v>415</v>
      </c>
      <c r="D276" s="526">
        <f t="shared" si="29"/>
        <v>416</v>
      </c>
      <c r="E276" s="526">
        <f t="shared" si="29"/>
        <v>417</v>
      </c>
      <c r="F276" s="526">
        <f t="shared" si="29"/>
        <v>418</v>
      </c>
      <c r="G276" s="526">
        <f t="shared" si="29"/>
        <v>419</v>
      </c>
      <c r="H276" s="526">
        <f t="shared" si="29"/>
        <v>420</v>
      </c>
      <c r="I276" s="526">
        <f t="shared" si="29"/>
        <v>421</v>
      </c>
      <c r="J276" s="526">
        <f t="shared" si="29"/>
        <v>422</v>
      </c>
      <c r="K276" s="526">
        <f t="shared" si="29"/>
        <v>423</v>
      </c>
      <c r="L276" s="526">
        <f t="shared" si="29"/>
        <v>424</v>
      </c>
      <c r="M276" s="526">
        <f t="shared" si="29"/>
        <v>425</v>
      </c>
      <c r="N276" s="526">
        <f t="shared" si="29"/>
        <v>426</v>
      </c>
      <c r="O276" s="526">
        <f t="shared" si="29"/>
        <v>427</v>
      </c>
      <c r="P276" s="526">
        <f t="shared" si="29"/>
        <v>428</v>
      </c>
      <c r="Q276" s="526">
        <f t="shared" si="29"/>
        <v>429</v>
      </c>
      <c r="R276" s="526">
        <f t="shared" si="29"/>
        <v>430</v>
      </c>
      <c r="S276" s="526">
        <f t="shared" si="29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7"/>
        <v>438</v>
      </c>
      <c r="D277" s="526">
        <f t="shared" si="29"/>
        <v>439</v>
      </c>
      <c r="E277" s="526">
        <f t="shared" si="29"/>
        <v>440</v>
      </c>
      <c r="F277" s="526">
        <f t="shared" si="29"/>
        <v>441</v>
      </c>
      <c r="G277" s="526">
        <f t="shared" si="29"/>
        <v>442</v>
      </c>
      <c r="H277" s="526">
        <f t="shared" si="29"/>
        <v>443</v>
      </c>
      <c r="I277" s="526">
        <f t="shared" si="29"/>
        <v>444</v>
      </c>
      <c r="J277" s="526">
        <f t="shared" si="29"/>
        <v>445</v>
      </c>
      <c r="K277" s="526">
        <f t="shared" si="29"/>
        <v>446</v>
      </c>
      <c r="L277" s="526">
        <f t="shared" si="29"/>
        <v>447</v>
      </c>
      <c r="M277" s="526">
        <f t="shared" si="29"/>
        <v>448</v>
      </c>
      <c r="N277" s="526">
        <f t="shared" si="29"/>
        <v>449</v>
      </c>
      <c r="O277" s="526">
        <f t="shared" si="29"/>
        <v>450</v>
      </c>
      <c r="P277" s="526">
        <f t="shared" si="29"/>
        <v>451</v>
      </c>
      <c r="Q277" s="526">
        <f t="shared" si="29"/>
        <v>452</v>
      </c>
      <c r="R277" s="526">
        <f t="shared" si="29"/>
        <v>453</v>
      </c>
      <c r="S277" s="526">
        <f t="shared" si="29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7"/>
        <v>461</v>
      </c>
      <c r="D278" s="526">
        <f t="shared" si="29"/>
        <v>462</v>
      </c>
      <c r="E278" s="526">
        <f t="shared" si="29"/>
        <v>463</v>
      </c>
      <c r="F278" s="526">
        <f t="shared" si="29"/>
        <v>464</v>
      </c>
      <c r="G278" s="526">
        <f t="shared" si="29"/>
        <v>465</v>
      </c>
      <c r="H278" s="526">
        <f t="shared" si="29"/>
        <v>466</v>
      </c>
      <c r="I278" s="526">
        <f t="shared" si="29"/>
        <v>467</v>
      </c>
      <c r="J278" s="526">
        <f t="shared" si="29"/>
        <v>468</v>
      </c>
      <c r="K278" s="526">
        <f t="shared" si="29"/>
        <v>469</v>
      </c>
      <c r="L278" s="526">
        <f t="shared" si="29"/>
        <v>470</v>
      </c>
      <c r="M278" s="526">
        <f t="shared" si="29"/>
        <v>471</v>
      </c>
      <c r="N278" s="526">
        <f t="shared" si="29"/>
        <v>472</v>
      </c>
      <c r="O278" s="526">
        <f t="shared" si="29"/>
        <v>473</v>
      </c>
      <c r="P278" s="526">
        <f t="shared" si="29"/>
        <v>474</v>
      </c>
      <c r="Q278" s="526">
        <f t="shared" si="29"/>
        <v>475</v>
      </c>
      <c r="R278" s="526">
        <f t="shared" si="29"/>
        <v>476</v>
      </c>
      <c r="S278" s="526">
        <f t="shared" si="29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7"/>
        <v>484</v>
      </c>
      <c r="D279" s="526">
        <f t="shared" si="29"/>
        <v>485</v>
      </c>
      <c r="E279" s="526">
        <f t="shared" si="29"/>
        <v>486</v>
      </c>
      <c r="F279" s="526">
        <f t="shared" si="29"/>
        <v>487</v>
      </c>
      <c r="G279" s="526">
        <f t="shared" si="29"/>
        <v>488</v>
      </c>
      <c r="H279" s="526">
        <f t="shared" si="29"/>
        <v>489</v>
      </c>
      <c r="I279" s="526">
        <f t="shared" si="29"/>
        <v>490</v>
      </c>
      <c r="J279" s="526">
        <f t="shared" si="29"/>
        <v>491</v>
      </c>
      <c r="K279" s="526">
        <f t="shared" si="29"/>
        <v>492</v>
      </c>
      <c r="L279" s="526">
        <f t="shared" si="29"/>
        <v>493</v>
      </c>
      <c r="M279" s="526">
        <f t="shared" si="29"/>
        <v>494</v>
      </c>
      <c r="N279" s="526">
        <f t="shared" si="29"/>
        <v>495</v>
      </c>
      <c r="O279" s="526">
        <f t="shared" si="29"/>
        <v>496</v>
      </c>
      <c r="P279" s="526">
        <f t="shared" si="29"/>
        <v>497</v>
      </c>
      <c r="Q279" s="526">
        <f t="shared" si="29"/>
        <v>498</v>
      </c>
      <c r="R279" s="526">
        <f t="shared" si="29"/>
        <v>499</v>
      </c>
      <c r="S279" s="526">
        <f t="shared" si="29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7"/>
        <v>507</v>
      </c>
      <c r="D280" s="526">
        <f t="shared" si="29"/>
        <v>508</v>
      </c>
      <c r="E280" s="526">
        <f t="shared" si="29"/>
        <v>509</v>
      </c>
      <c r="F280" s="526">
        <f t="shared" si="29"/>
        <v>510</v>
      </c>
      <c r="G280" s="526">
        <f t="shared" si="29"/>
        <v>511</v>
      </c>
      <c r="H280" s="526">
        <f t="shared" si="29"/>
        <v>512</v>
      </c>
      <c r="I280" s="526">
        <f t="shared" si="29"/>
        <v>513</v>
      </c>
      <c r="J280" s="526">
        <f t="shared" si="29"/>
        <v>514</v>
      </c>
      <c r="K280" s="526">
        <f t="shared" si="29"/>
        <v>515</v>
      </c>
      <c r="L280" s="526">
        <f t="shared" si="29"/>
        <v>516</v>
      </c>
      <c r="M280" s="526">
        <f t="shared" si="29"/>
        <v>517</v>
      </c>
      <c r="N280" s="526">
        <f t="shared" si="29"/>
        <v>518</v>
      </c>
      <c r="O280" s="526">
        <f t="shared" si="29"/>
        <v>519</v>
      </c>
      <c r="P280" s="526">
        <f t="shared" si="29"/>
        <v>520</v>
      </c>
      <c r="Q280" s="526">
        <f t="shared" si="29"/>
        <v>521</v>
      </c>
      <c r="R280" s="526">
        <f t="shared" si="29"/>
        <v>522</v>
      </c>
      <c r="S280" s="526">
        <f t="shared" si="29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7"/>
        <v>530</v>
      </c>
      <c r="D281" s="526">
        <f t="shared" si="29"/>
        <v>531</v>
      </c>
      <c r="E281" s="526">
        <f t="shared" si="29"/>
        <v>532</v>
      </c>
      <c r="F281" s="526">
        <f t="shared" si="29"/>
        <v>533</v>
      </c>
      <c r="G281" s="526">
        <f t="shared" si="29"/>
        <v>534</v>
      </c>
      <c r="H281" s="526">
        <f t="shared" si="29"/>
        <v>535</v>
      </c>
      <c r="I281" s="526">
        <f t="shared" si="29"/>
        <v>536</v>
      </c>
      <c r="J281" s="526">
        <f t="shared" si="29"/>
        <v>537</v>
      </c>
      <c r="K281" s="526">
        <f t="shared" si="29"/>
        <v>538</v>
      </c>
      <c r="L281" s="526">
        <f t="shared" si="29"/>
        <v>539</v>
      </c>
      <c r="M281" s="526">
        <f t="shared" si="29"/>
        <v>540</v>
      </c>
      <c r="N281" s="526">
        <f t="shared" si="29"/>
        <v>541</v>
      </c>
      <c r="O281" s="526">
        <f t="shared" si="29"/>
        <v>542</v>
      </c>
      <c r="P281" s="526">
        <f t="shared" si="29"/>
        <v>543</v>
      </c>
      <c r="Q281" s="526">
        <f t="shared" si="29"/>
        <v>544</v>
      </c>
      <c r="R281" s="526">
        <f t="shared" si="29"/>
        <v>545</v>
      </c>
      <c r="S281" s="526">
        <f t="shared" si="29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7"/>
        <v>553</v>
      </c>
      <c r="D282" s="526">
        <f t="shared" si="29"/>
        <v>554</v>
      </c>
      <c r="E282" s="526">
        <f t="shared" si="29"/>
        <v>555</v>
      </c>
      <c r="F282" s="526">
        <f t="shared" si="29"/>
        <v>556</v>
      </c>
      <c r="G282" s="526">
        <f t="shared" si="29"/>
        <v>557</v>
      </c>
      <c r="H282" s="526">
        <f t="shared" si="29"/>
        <v>558</v>
      </c>
      <c r="I282" s="526">
        <f t="shared" si="29"/>
        <v>559</v>
      </c>
      <c r="J282" s="526">
        <f t="shared" si="29"/>
        <v>560</v>
      </c>
      <c r="K282" s="526">
        <f t="shared" si="29"/>
        <v>561</v>
      </c>
      <c r="L282" s="526">
        <f t="shared" si="29"/>
        <v>562</v>
      </c>
      <c r="M282" s="526">
        <f t="shared" si="29"/>
        <v>563</v>
      </c>
      <c r="N282" s="526">
        <f t="shared" si="29"/>
        <v>564</v>
      </c>
      <c r="O282" s="526">
        <f t="shared" si="29"/>
        <v>565</v>
      </c>
      <c r="P282" s="526">
        <f t="shared" si="29"/>
        <v>566</v>
      </c>
      <c r="Q282" s="526">
        <f t="shared" si="29"/>
        <v>567</v>
      </c>
      <c r="R282" s="526">
        <f t="shared" si="29"/>
        <v>568</v>
      </c>
      <c r="S282" s="526">
        <f t="shared" si="29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7"/>
        <v>576</v>
      </c>
      <c r="D283" s="526">
        <f t="shared" si="29"/>
        <v>577</v>
      </c>
      <c r="E283" s="526">
        <f t="shared" si="29"/>
        <v>578</v>
      </c>
      <c r="F283" s="526">
        <f t="shared" si="29"/>
        <v>579</v>
      </c>
      <c r="G283" s="526">
        <f t="shared" si="29"/>
        <v>580</v>
      </c>
      <c r="H283" s="526">
        <f t="shared" si="29"/>
        <v>581</v>
      </c>
      <c r="I283" s="526">
        <f t="shared" si="29"/>
        <v>582</v>
      </c>
      <c r="J283" s="526">
        <f t="shared" si="29"/>
        <v>583</v>
      </c>
      <c r="K283" s="526">
        <f t="shared" si="29"/>
        <v>584</v>
      </c>
      <c r="L283" s="526">
        <f t="shared" si="29"/>
        <v>585</v>
      </c>
      <c r="M283" s="526">
        <f t="shared" si="29"/>
        <v>586</v>
      </c>
      <c r="N283" s="526">
        <f t="shared" si="29"/>
        <v>587</v>
      </c>
      <c r="O283" s="526">
        <f t="shared" si="29"/>
        <v>588</v>
      </c>
      <c r="P283" s="526">
        <f t="shared" si="29"/>
        <v>589</v>
      </c>
      <c r="Q283" s="526">
        <f t="shared" si="29"/>
        <v>590</v>
      </c>
      <c r="R283" s="526">
        <f t="shared" si="29"/>
        <v>591</v>
      </c>
      <c r="S283" s="526">
        <f t="shared" si="29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7"/>
        <v>599</v>
      </c>
      <c r="D284" s="526">
        <f t="shared" si="29"/>
        <v>600</v>
      </c>
      <c r="E284" s="526">
        <f t="shared" si="29"/>
        <v>601</v>
      </c>
      <c r="F284" s="526">
        <f t="shared" si="29"/>
        <v>602</v>
      </c>
      <c r="G284" s="526">
        <f t="shared" si="29"/>
        <v>603</v>
      </c>
      <c r="H284" s="526">
        <f t="shared" si="29"/>
        <v>604</v>
      </c>
      <c r="I284" s="526">
        <f t="shared" si="29"/>
        <v>605</v>
      </c>
      <c r="J284" s="526">
        <f t="shared" si="29"/>
        <v>606</v>
      </c>
      <c r="K284" s="526">
        <f t="shared" si="29"/>
        <v>607</v>
      </c>
      <c r="L284" s="526">
        <f t="shared" si="29"/>
        <v>608</v>
      </c>
      <c r="M284" s="526">
        <f t="shared" si="29"/>
        <v>609</v>
      </c>
      <c r="N284" s="526">
        <f t="shared" si="29"/>
        <v>610</v>
      </c>
      <c r="O284" s="526">
        <f t="shared" si="29"/>
        <v>611</v>
      </c>
      <c r="P284" s="526">
        <f t="shared" si="29"/>
        <v>612</v>
      </c>
      <c r="Q284" s="526">
        <f t="shared" si="29"/>
        <v>613</v>
      </c>
      <c r="R284" s="526">
        <f t="shared" si="29"/>
        <v>614</v>
      </c>
      <c r="S284" s="526">
        <f t="shared" si="29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7"/>
        <v>622</v>
      </c>
      <c r="D285" s="526">
        <f t="shared" si="29"/>
        <v>623</v>
      </c>
      <c r="E285" s="526">
        <f t="shared" si="29"/>
        <v>624</v>
      </c>
      <c r="F285" s="526">
        <f t="shared" si="29"/>
        <v>625</v>
      </c>
      <c r="G285" s="526">
        <f t="shared" si="29"/>
        <v>626</v>
      </c>
      <c r="H285" s="526">
        <f t="shared" si="29"/>
        <v>627</v>
      </c>
      <c r="I285" s="526">
        <f t="shared" si="29"/>
        <v>628</v>
      </c>
      <c r="J285" s="526">
        <f t="shared" si="29"/>
        <v>629</v>
      </c>
      <c r="K285" s="526">
        <f t="shared" si="29"/>
        <v>630</v>
      </c>
      <c r="L285" s="526">
        <f t="shared" si="29"/>
        <v>631</v>
      </c>
      <c r="M285" s="526">
        <f t="shared" si="29"/>
        <v>632</v>
      </c>
      <c r="N285" s="526">
        <f t="shared" si="29"/>
        <v>633</v>
      </c>
      <c r="O285" s="526">
        <f t="shared" si="29"/>
        <v>634</v>
      </c>
      <c r="P285" s="526">
        <f t="shared" si="29"/>
        <v>635</v>
      </c>
      <c r="Q285" s="526">
        <f t="shared" si="29"/>
        <v>636</v>
      </c>
      <c r="R285" s="526">
        <f t="shared" si="29"/>
        <v>637</v>
      </c>
      <c r="S285" s="526">
        <f t="shared" si="29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7"/>
        <v>645</v>
      </c>
      <c r="D286" s="526">
        <f t="shared" si="29"/>
        <v>646</v>
      </c>
      <c r="E286" s="526">
        <f t="shared" si="29"/>
        <v>647</v>
      </c>
      <c r="F286" s="526">
        <f t="shared" si="29"/>
        <v>648</v>
      </c>
      <c r="G286" s="526">
        <f t="shared" si="29"/>
        <v>649</v>
      </c>
      <c r="H286" s="526">
        <f t="shared" si="29"/>
        <v>650</v>
      </c>
      <c r="I286" s="526">
        <f t="shared" si="29"/>
        <v>651</v>
      </c>
      <c r="J286" s="526">
        <f t="shared" si="29"/>
        <v>652</v>
      </c>
      <c r="K286" s="526">
        <f t="shared" si="29"/>
        <v>653</v>
      </c>
      <c r="L286" s="526">
        <f t="shared" si="29"/>
        <v>654</v>
      </c>
      <c r="M286" s="526">
        <f t="shared" si="29"/>
        <v>655</v>
      </c>
      <c r="N286" s="526">
        <f t="shared" si="29"/>
        <v>656</v>
      </c>
      <c r="O286" s="526">
        <f t="shared" si="29"/>
        <v>657</v>
      </c>
      <c r="P286" s="526">
        <f t="shared" si="29"/>
        <v>658</v>
      </c>
      <c r="Q286" s="526">
        <f t="shared" si="29"/>
        <v>659</v>
      </c>
      <c r="R286" s="526">
        <f t="shared" si="29"/>
        <v>660</v>
      </c>
      <c r="S286" s="526">
        <f t="shared" si="29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35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Electra</v>
      </c>
      <c r="C6" s="108"/>
      <c r="D6" s="109">
        <f>VLOOKUP($B$6,$B$258:$J$286,9,FALSE)</f>
        <v>146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22.716382000000003</v>
      </c>
      <c r="E7" s="407">
        <f>D7/('Industry calcs'!D4/1000)*100</f>
        <v>1.1020175743846572</v>
      </c>
    </row>
    <row r="8" spans="2:5">
      <c r="B8" s="111" t="s">
        <v>250</v>
      </c>
      <c r="C8" s="114"/>
      <c r="D8" s="406">
        <f>VLOOKUP(D6,'AV (2011)'!A8:F214,'AV (2011)'!F214,FALSE)/1000</f>
        <v>133.39529000000002</v>
      </c>
      <c r="E8" s="407">
        <f>D8/('Industry calcs'!D5/1000)*100</f>
        <v>1.4862751540931547</v>
      </c>
    </row>
    <row r="9" spans="2:5">
      <c r="B9" s="111" t="s">
        <v>230</v>
      </c>
      <c r="C9" s="114"/>
      <c r="D9" s="406">
        <f>VLOOKUP($D$6,'FS (2011)'!$A$13:$AH$244,'FS (2011)'!S245,FALSE)/1000</f>
        <v>7.7779999999999996</v>
      </c>
      <c r="E9" s="407">
        <f>D9/('Industry calcs'!D6/1000)*100</f>
        <v>1.7131877102145396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5.8890000000000002</v>
      </c>
      <c r="E10" s="407">
        <f>D10/('Industry calcs'!D7/1000)*100</f>
        <v>1.0063774517531883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410.69148000000001</v>
      </c>
      <c r="E11" s="407">
        <f>D11/'Industry calcs'!D8*100</f>
        <v>1.3271337908956804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94.33</v>
      </c>
      <c r="E12" s="407">
        <f>D12/'Industry calcs'!D9*100</f>
        <v>1.5084961371352681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2580.46</v>
      </c>
      <c r="E13" s="407">
        <f>D13/'Industry calcs'!D10*100</f>
        <v>1.7252546722229349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42483</v>
      </c>
      <c r="E14" s="407">
        <f>D14/'Industry calcs'!D11*100</f>
        <v>2.1149762903406475</v>
      </c>
    </row>
    <row r="15" spans="2:5">
      <c r="B15" s="115" t="s">
        <v>195</v>
      </c>
      <c r="C15" s="116" t="s">
        <v>239</v>
      </c>
      <c r="D15" s="408">
        <f>D14/D13</f>
        <v>16.463343744913697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Electra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22.41798465969034</v>
      </c>
      <c r="D20" s="409">
        <f>VLOOKUP($B$2,'MED price allocation'!$B$16:$F$44,3,FALSE)</f>
        <v>22.692747614798538</v>
      </c>
      <c r="E20" s="409">
        <f>VLOOKUP($B$2,'MED price allocation'!$B$16:$F$44,4,FALSE)</f>
        <v>22.851022222906565</v>
      </c>
      <c r="F20" s="503">
        <f>VLOOKUP($B$2,'MED price allocation'!$B$16:$F$44,5,FALSE)</f>
        <v>23.851000000000003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5.6815802229762467</v>
      </c>
      <c r="D21" s="410">
        <f>VLOOKUP($B$2,'MED price allocation'!$B$47:$F$75,3,FALSE)</f>
        <v>5.6264726474020161</v>
      </c>
      <c r="E21" s="410">
        <f>VLOOKUP($B$2,'MED price allocation'!$B$47:$F$75,4,FALSE)</f>
        <v>5.8379267602597604</v>
      </c>
      <c r="F21" s="504">
        <f>VLOOKUP($B$2,'MED price allocation'!$B$47:$F$75,5,FALSE)</f>
        <v>6.1700000000000008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7.7838727153488616</v>
      </c>
      <c r="D22" s="409">
        <f>VLOOKUP($B$2,'MED price allocation'!$B$78:$F$106,3,FALSE)</f>
        <v>7.4327572242432538</v>
      </c>
      <c r="E22" s="409">
        <f>VLOOKUP($B$2,'MED price allocation'!$B$78:$F$106,4,FALSE)</f>
        <v>7.7431489315836268</v>
      </c>
      <c r="F22" s="503">
        <f>VLOOKUP($B$2,'MED price allocation'!$B$78:$F$106,5,FALSE)</f>
        <v>8.1000000000000014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2.102292492372615</v>
      </c>
      <c r="D23" s="411">
        <f>VLOOKUP($B$2,'MED price allocation'!$B$109:$F$137,3,FALSE)</f>
        <v>1.8062845768412379</v>
      </c>
      <c r="E23" s="411">
        <f>VLOOKUP($B$2,'MED price allocation'!$B$109:$F$137,4,FALSE)</f>
        <v>1.9052221713238664</v>
      </c>
      <c r="F23" s="505">
        <f>VLOOKUP($B$2,'MED price allocation'!$B$109:$F$137,5,FALSE)</f>
        <v>1.9300000000000004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Electra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1793.4387727752273</v>
      </c>
      <c r="D26" s="412">
        <f>(D20*8000)/100</f>
        <v>1815.4198091838832</v>
      </c>
      <c r="E26" s="412">
        <f>(E20*8000)/100</f>
        <v>1828.0817778325252</v>
      </c>
      <c r="F26" s="506">
        <f>(F20*8000)/100</f>
        <v>1908.0800000000004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622.70981722790896</v>
      </c>
      <c r="D27" s="412">
        <f>(D22*8000)/100</f>
        <v>594.6205779394603</v>
      </c>
      <c r="E27" s="412">
        <f>(E22*8000)/100</f>
        <v>619.45191452669019</v>
      </c>
      <c r="F27" s="506">
        <f>(F22*8000)/100</f>
        <v>648.00000000000011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454.52641783809975</v>
      </c>
      <c r="D28" s="412">
        <f>(D21*8000)/100</f>
        <v>450.11781179216132</v>
      </c>
      <c r="E28" s="412">
        <f>(E21*8000)/100</f>
        <v>467.03414082078081</v>
      </c>
      <c r="F28" s="506">
        <f>(F21*8000)/100</f>
        <v>493.60000000000008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168.18339938980921</v>
      </c>
      <c r="D29" s="413">
        <f>(D23*8000)/100</f>
        <v>144.50276614729901</v>
      </c>
      <c r="E29" s="413">
        <f>(E23*8000)/100</f>
        <v>152.41777370590933</v>
      </c>
      <c r="F29" s="507">
        <f>(F23*8000)/100</f>
        <v>154.40000000000003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Electra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1836.2550899479093</v>
      </c>
      <c r="D32" s="122"/>
    </row>
    <row r="33" spans="2:13">
      <c r="B33" s="120" t="s">
        <v>241</v>
      </c>
      <c r="C33" s="412">
        <f>AVERAGE(C27:F27)</f>
        <v>621.19557742351492</v>
      </c>
      <c r="D33" s="414">
        <f>C33/$C$32</f>
        <v>0.33829481580423393</v>
      </c>
    </row>
    <row r="34" spans="2:13">
      <c r="B34" s="120" t="s">
        <v>222</v>
      </c>
      <c r="C34" s="412">
        <f>AVERAGE(C28:F28)</f>
        <v>466.31959261276052</v>
      </c>
      <c r="D34" s="414">
        <f>C34/$C$32</f>
        <v>0.25395142274376981</v>
      </c>
    </row>
    <row r="35" spans="2:13">
      <c r="B35" s="124" t="s">
        <v>223</v>
      </c>
      <c r="C35" s="413">
        <f>AVERAGE(C29:F29)</f>
        <v>154.8759848107544</v>
      </c>
      <c r="D35" s="415">
        <f>C35/$C$32</f>
        <v>8.4343393060464122E-2</v>
      </c>
    </row>
    <row r="38" spans="2:13">
      <c r="B38" s="517" t="s">
        <v>227</v>
      </c>
      <c r="C38" s="518">
        <f>VLOOKUP($B$2,$B$258:$J$286,6,FALSE)</f>
        <v>143</v>
      </c>
      <c r="D38" s="518">
        <f>VLOOKUP($B$2,$B$258:$J$286,7,FALSE)</f>
        <v>144</v>
      </c>
      <c r="E38" s="518">
        <f>VLOOKUP($B$2,$B$258:$J$286,8,FALSE)</f>
        <v>145</v>
      </c>
      <c r="F38" s="519">
        <f>VLOOKUP($B$2,$B$258:$J$286,9,FALSE)</f>
        <v>146</v>
      </c>
    </row>
    <row r="39" spans="2:13">
      <c r="B39" s="137" t="str">
        <f>B2</f>
        <v>Electra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19924.342334122208</v>
      </c>
      <c r="D40" s="418">
        <f>VLOOKUP($D$38,'FS (2011)'!$A$13:$AH$244,'FS (2011)'!E245,FALSE)</f>
        <v>19164.264122451776</v>
      </c>
      <c r="E40" s="418">
        <f>VLOOKUP($E$38,'FS (2011)'!$A$13:$AH$244,'FS (2011)'!E245,FALSE)</f>
        <v>20732.281264315159</v>
      </c>
      <c r="F40" s="419">
        <f>VLOOKUP($F$38,'FS (2011)'!$A$13:$AH$244,'FS (2011)'!E245,FALSE)</f>
        <v>28435.382000000001</v>
      </c>
    </row>
    <row r="41" spans="2:13" ht="30">
      <c r="B41" s="120" t="s">
        <v>198</v>
      </c>
      <c r="C41" s="417">
        <f>VLOOKUP($C$38,'FS (2011)'!$A$13:$AH$244,'FS (2011)'!$F$245,FALSE)</f>
        <v>946.57067092469561</v>
      </c>
      <c r="D41" s="418">
        <f>VLOOKUP($D$38,'FS (2011)'!$A$13:$AH$244,'FS (2011)'!$F$245,FALSE)</f>
        <v>903.1422884206188</v>
      </c>
      <c r="E41" s="418">
        <f>VLOOKUP($E$38,'FS (2011)'!$A$13:$AH$244,'FS (2011)'!$F$245,FALSE)</f>
        <v>1478.3301447010317</v>
      </c>
      <c r="F41" s="419">
        <f>VLOOKUP($F$38,'FS (2011)'!$A$13:$AH$244,'FS (2011)'!$F$245,FALSE)</f>
        <v>696</v>
      </c>
    </row>
    <row r="42" spans="2:13">
      <c r="B42" s="120" t="s">
        <v>13</v>
      </c>
      <c r="C42" s="417">
        <f>VLOOKUP($C$38,'FS (2011)'!$A$13:$AH$244,'FS (2011)'!$H$245,FALSE)</f>
        <v>576.78281200992274</v>
      </c>
      <c r="D42" s="418">
        <f>VLOOKUP($D$38,'FS (2011)'!$A$13:$AH$244,'FS (2011)'!$H$245,FALSE)</f>
        <v>634.27579106321627</v>
      </c>
      <c r="E42" s="418">
        <f>VLOOKUP($E$38,'FS (2011)'!$A$13:$AH$244,'FS (2011)'!$H$245,FALSE)</f>
        <v>669.37484842768981</v>
      </c>
      <c r="F42" s="419">
        <f>VLOOKUP($F$38,'FS (2011)'!$A$13:$AH$244,'FS (2011)'!$H$245,FALSE)</f>
        <v>640</v>
      </c>
    </row>
    <row r="43" spans="2:13">
      <c r="B43" s="124" t="s">
        <v>5</v>
      </c>
      <c r="C43" s="420">
        <f>SUM(C40:C42)</f>
        <v>21447.695817056825</v>
      </c>
      <c r="D43" s="420">
        <f>SUM(D40:D42)</f>
        <v>20701.682201935611</v>
      </c>
      <c r="E43" s="420">
        <f>SUM(E40:E42)</f>
        <v>22879.986257443881</v>
      </c>
      <c r="F43" s="421">
        <f>SUM(F40:F42)</f>
        <v>29771.382000000001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Electra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96.185177914912998</v>
      </c>
      <c r="E46" s="422">
        <f>IF(ISERROR(E40/$C40),"",(E40/$C40))*100</f>
        <v>104.05503437274959</v>
      </c>
      <c r="F46" s="423">
        <f>IF(ISERROR(F40/$C40),"",(F40/$C40))*100</f>
        <v>142.71679096429637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95.412029567570272</v>
      </c>
      <c r="E47" s="422">
        <f t="shared" si="0"/>
        <v>156.17747201662877</v>
      </c>
      <c r="F47" s="423">
        <f t="shared" si="0"/>
        <v>73.528582849507103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109.96787315019792</v>
      </c>
      <c r="E48" s="422">
        <f t="shared" si="0"/>
        <v>116.05318925768788</v>
      </c>
      <c r="F48" s="423">
        <f t="shared" si="0"/>
        <v>110.96031065311803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96.521707406312956</v>
      </c>
      <c r="E49" s="424">
        <f t="shared" si="0"/>
        <v>106.67806207531156</v>
      </c>
      <c r="F49" s="416">
        <f t="shared" si="0"/>
        <v>138.80923272104388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Electra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16446.395882638077</v>
      </c>
      <c r="D54" s="426">
        <f>VLOOKUP($D$38,'MP (2011)'!$A$14:$AR$245,'MP (2011)'!$Z$246,FALSE)</f>
        <v>16094.618436406063</v>
      </c>
      <c r="E54" s="426">
        <f>VLOOKUP($E$38,'MP (2011)'!$A$14:$AR$245,'MP (2011)'!$Z$246,FALSE)</f>
        <v>17531.100482336769</v>
      </c>
      <c r="F54" s="427">
        <f>VLOOKUP($F$38,'MP (2011)'!$A$14:$AR$245,'MP (2011)'!$Z$246,FALSE)</f>
        <v>23678</v>
      </c>
    </row>
    <row r="55" spans="2:23">
      <c r="B55" s="111" t="s">
        <v>180</v>
      </c>
      <c r="C55" s="425">
        <f>VLOOKUP($C$38,'MP (2011)'!$A$14:$AR$245,'MP (2011)'!$AD$246,FALSE)</f>
        <v>0</v>
      </c>
      <c r="D55" s="426">
        <f>VLOOKUP($D$38,'MP (2011)'!$A$14:$AR$245,'MP (2011)'!$AD$246,FALSE)</f>
        <v>0</v>
      </c>
      <c r="E55" s="426">
        <f>VLOOKUP($E$38,'MP (2011)'!$A$14:$AR$245,'MP (2011)'!$AD$246,FALSE)</f>
        <v>0</v>
      </c>
      <c r="F55" s="427">
        <f>VLOOKUP($F$38,'MP (2011)'!$A$14:$AR$245,'MP (2011)'!$AD$246,FALSE)</f>
        <v>0</v>
      </c>
      <c r="J55" s="139"/>
    </row>
    <row r="56" spans="2:23">
      <c r="B56" s="111" t="s">
        <v>184</v>
      </c>
      <c r="C56" s="425">
        <f>VLOOKUP($C$38,'MP (2011)'!$A$14:$AR$245,'MP (2011)'!$AH$246,FALSE)</f>
        <v>2978.7867468848904</v>
      </c>
      <c r="D56" s="426">
        <f>VLOOKUP($D$38,'MP (2011)'!$A$14:$AR$245,'MP (2011)'!$AH$246,FALSE)</f>
        <v>2663.7507035486296</v>
      </c>
      <c r="E56" s="426">
        <f>VLOOKUP($E$38,'MP (2011)'!$A$14:$AR$245,'MP (2011)'!$AH$246,FALSE)</f>
        <v>2723.3469860688201</v>
      </c>
      <c r="F56" s="427">
        <f>VLOOKUP($F$38,'MP (2011)'!$A$14:$AR$245,'MP (2011)'!$AH$246,FALSE)</f>
        <v>4077</v>
      </c>
    </row>
    <row r="57" spans="2:23">
      <c r="B57" s="111" t="s">
        <v>181</v>
      </c>
      <c r="C57" s="425">
        <f>VLOOKUP($C$38,'MP (2011)'!$A$14:$AR$245,'MP (2011)'!$AL$246,FALSE)</f>
        <v>499.15970459924148</v>
      </c>
      <c r="D57" s="426">
        <f>VLOOKUP($D$38,'MP (2011)'!$A$14:$AR$245,'MP (2011)'!$AL$246,FALSE)</f>
        <v>405.89498249708271</v>
      </c>
      <c r="E57" s="426">
        <f>VLOOKUP($E$38,'MP (2011)'!$A$14:$AR$245,'MP (2011)'!$AL$246,FALSE)</f>
        <v>477.83379590956855</v>
      </c>
      <c r="F57" s="427">
        <f>VLOOKUP($F$38,'MP (2011)'!$A$14:$AR$245,'MP (2011)'!$AL$246,FALSE)</f>
        <v>680.38199999999995</v>
      </c>
      <c r="W57" s="139"/>
    </row>
    <row r="58" spans="2:23">
      <c r="B58" s="147" t="s">
        <v>248</v>
      </c>
      <c r="C58" s="428">
        <f>SUM(C54:C57)</f>
        <v>19924.342334122208</v>
      </c>
      <c r="D58" s="428">
        <f>SUM(D54:D57)</f>
        <v>19164.264122451776</v>
      </c>
      <c r="E58" s="428">
        <f>SUM(E54:E57)</f>
        <v>20732.281264315159</v>
      </c>
      <c r="F58" s="429">
        <f>SUM(F54:F57)</f>
        <v>28435.382000000001</v>
      </c>
    </row>
    <row r="59" spans="2:23">
      <c r="B59" s="103" t="s">
        <v>302</v>
      </c>
    </row>
    <row r="60" spans="2:23">
      <c r="B60" s="137" t="str">
        <f>$B$2</f>
        <v>Electra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97.8610666510626</v>
      </c>
      <c r="E61" s="422">
        <f t="shared" si="1"/>
        <v>106.59539395402599</v>
      </c>
      <c r="F61" s="423">
        <f t="shared" si="1"/>
        <v>143.97075303894448</v>
      </c>
      <c r="G61" s="141"/>
    </row>
    <row r="62" spans="2:23">
      <c r="B62" s="111" t="s">
        <v>180</v>
      </c>
      <c r="C62" s="422" t="str">
        <f t="shared" si="1"/>
        <v/>
      </c>
      <c r="D62" s="422" t="str">
        <f t="shared" si="1"/>
        <v/>
      </c>
      <c r="E62" s="422" t="str">
        <f t="shared" si="1"/>
        <v/>
      </c>
      <c r="F62" s="423" t="str">
        <f t="shared" si="1"/>
        <v/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89.424014872306174</v>
      </c>
      <c r="E63" s="422">
        <f t="shared" si="1"/>
        <v>91.424704669335583</v>
      </c>
      <c r="F63" s="423">
        <f t="shared" si="1"/>
        <v>136.86780378835718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81.315654840961599</v>
      </c>
      <c r="E64" s="422">
        <f t="shared" si="1"/>
        <v>95.727638170073277</v>
      </c>
      <c r="F64" s="423">
        <f t="shared" si="1"/>
        <v>136.3054737253392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96.185177914912998</v>
      </c>
      <c r="E65" s="424">
        <f t="shared" si="1"/>
        <v>104.05503437274959</v>
      </c>
      <c r="F65" s="416">
        <f t="shared" si="1"/>
        <v>142.71679096429637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Electra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401.71948907274248</v>
      </c>
      <c r="D70" s="433">
        <f>(D54/D98)*1000</f>
        <v>389.17251272865036</v>
      </c>
      <c r="E70" s="433">
        <f>(E54/E98)*1000</f>
        <v>419.41435159541538</v>
      </c>
      <c r="F70" s="434">
        <f>(F54/F98)*1000</f>
        <v>562.7168591663102</v>
      </c>
    </row>
    <row r="71" spans="2:40">
      <c r="B71" s="111" t="s">
        <v>180</v>
      </c>
      <c r="C71" s="433" t="e">
        <f>(C55/C99)*1000</f>
        <v>#DIV/0!</v>
      </c>
      <c r="D71" s="433" t="e">
        <f t="shared" ref="C71:F73" si="2">(D55/D99)*1000</f>
        <v>#DIV/0!</v>
      </c>
      <c r="E71" s="433" t="e">
        <f t="shared" si="2"/>
        <v>#DIV/0!</v>
      </c>
      <c r="F71" s="434" t="e">
        <f t="shared" si="2"/>
        <v>#DIV/0!</v>
      </c>
    </row>
    <row r="72" spans="2:40">
      <c r="B72" s="111" t="s">
        <v>184</v>
      </c>
      <c r="C72" s="433">
        <f>(C56/C100)*1000</f>
        <v>5253.5921461814642</v>
      </c>
      <c r="D72" s="433">
        <f t="shared" si="2"/>
        <v>6659.3767588715746</v>
      </c>
      <c r="E72" s="433">
        <f t="shared" si="2"/>
        <v>6808.3674651720503</v>
      </c>
      <c r="F72" s="434">
        <f t="shared" si="2"/>
        <v>10192.5</v>
      </c>
    </row>
    <row r="73" spans="2:40">
      <c r="B73" s="115" t="s">
        <v>181</v>
      </c>
      <c r="C73" s="435">
        <f t="shared" si="2"/>
        <v>99831.94091984829</v>
      </c>
      <c r="D73" s="435">
        <f t="shared" si="2"/>
        <v>81178.996499416535</v>
      </c>
      <c r="E73" s="435">
        <f t="shared" si="2"/>
        <v>95566.759181913716</v>
      </c>
      <c r="F73" s="436">
        <f t="shared" si="2"/>
        <v>136076.39999999997</v>
      </c>
    </row>
    <row r="74" spans="2:40">
      <c r="B74" s="103" t="s">
        <v>303</v>
      </c>
    </row>
    <row r="75" spans="2:40">
      <c r="B75" s="137" t="str">
        <f>$B$2</f>
        <v>Electra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96.876682191084797</v>
      </c>
      <c r="E76" s="422">
        <f t="shared" si="3"/>
        <v>104.40478069996469</v>
      </c>
      <c r="F76" s="423">
        <f t="shared" si="3"/>
        <v>140.07706234646105</v>
      </c>
      <c r="AN76" s="139"/>
    </row>
    <row r="77" spans="2:40">
      <c r="B77" s="111" t="s">
        <v>180</v>
      </c>
      <c r="C77" s="422" t="str">
        <f t="shared" si="3"/>
        <v/>
      </c>
      <c r="D77" s="422" t="str">
        <f t="shared" si="3"/>
        <v/>
      </c>
      <c r="E77" s="422" t="str">
        <f t="shared" si="3"/>
        <v/>
      </c>
      <c r="F77" s="423" t="str">
        <f t="shared" si="3"/>
        <v/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126.75854108149403</v>
      </c>
      <c r="E78" s="422">
        <f t="shared" si="3"/>
        <v>129.59451886878321</v>
      </c>
      <c r="F78" s="423">
        <f t="shared" si="3"/>
        <v>194.01011186999634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81.315654840961599</v>
      </c>
      <c r="E79" s="424">
        <f t="shared" si="3"/>
        <v>95.727638170073305</v>
      </c>
      <c r="F79" s="416">
        <f t="shared" si="3"/>
        <v>136.3054737253392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Electra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5.5099757047741509</v>
      </c>
      <c r="D84" s="437">
        <f>(D54/VLOOKUP($D$38,'MP (2011)'!$A$14:$AR$245,'MP (2011)'!$AA$246,FALSE)*100)</f>
        <v>5.298988719061688</v>
      </c>
      <c r="E84" s="437">
        <f>(E54/VLOOKUP($E$38,'MP (2011)'!$A$14:$AR$245,'MP (2011)'!$AA$246,FALSE)*100)</f>
        <v>5.6244226689905457</v>
      </c>
      <c r="F84" s="438">
        <f>(F54/VLOOKUP($F$38,'MP (2011)'!$A$14:$AR$245,'MP (2011)'!$AA$246,FALSE)*100)</f>
        <v>7.8671822409940066</v>
      </c>
    </row>
    <row r="85" spans="2:7">
      <c r="B85" s="111" t="s">
        <v>180</v>
      </c>
      <c r="C85" s="430" t="e">
        <f>(C55/VLOOKUP($C$38,'MP (2011)'!$A$14:$AR$245,'MP (2011)'!$AE$246,FALSE)*100)</f>
        <v>#DIV/0!</v>
      </c>
      <c r="D85" s="437" t="e">
        <f>(D55/VLOOKUP($D$38,'MP (2011)'!$A$14:$AR$245,'MP (2011)'!$AE$246,FALSE)*100)</f>
        <v>#DIV/0!</v>
      </c>
      <c r="E85" s="437" t="e">
        <f>(E55/VLOOKUP($E$38,'MP (2011)'!$A$14:$AR$245,'MP (2011)'!$AE$246,FALSE)*100)</f>
        <v>#DIV/0!</v>
      </c>
      <c r="F85" s="438" t="e">
        <f>(F55/VLOOKUP($F$38,'MP (2011)'!$A$14:$AR$245,'MP (2011)'!$AE$246,FALSE)*100)</f>
        <v>#DIV/0!</v>
      </c>
    </row>
    <row r="86" spans="2:7">
      <c r="B86" s="111" t="s">
        <v>184</v>
      </c>
      <c r="C86" s="430">
        <f>(C56/VLOOKUP($C$38,'MP (2011)'!$A$14:$AR$245,'MP (2011)'!$AI$246,FALSE)*100)</f>
        <v>3.3358568658001366</v>
      </c>
      <c r="D86" s="437">
        <f>(D56/VLOOKUP($D$38,'MP (2011)'!$A$14:$AR$245,'MP (2011)'!$AI$246,FALSE)*100)</f>
        <v>3.1393644119606714</v>
      </c>
      <c r="E86" s="437">
        <f>(E56/VLOOKUP($E$38,'MP (2011)'!$A$14:$AR$245,'MP (2011)'!$AI$246,FALSE)*100)</f>
        <v>3.0806744110008033</v>
      </c>
      <c r="F86" s="438">
        <f>(F56/VLOOKUP($F$38,'MP (2011)'!$A$14:$AR$245,'MP (2011)'!$AI$246,FALSE)*100)</f>
        <v>4.339579862463312</v>
      </c>
    </row>
    <row r="87" spans="2:7">
      <c r="B87" s="115" t="s">
        <v>181</v>
      </c>
      <c r="C87" s="431">
        <f>(C57/VLOOKUP($C$38,'MP (2011)'!$A$14:$AR$245,'MP (2011)'!$AM$246,FALSE)*100)</f>
        <v>3.4219490272108142</v>
      </c>
      <c r="D87" s="431">
        <f>(D57/VLOOKUP($D$38,'MP (2011)'!$A$14:$AR$245,'MP (2011)'!$AM$246,FALSE)*100)</f>
        <v>3.1611758761455042</v>
      </c>
      <c r="E87" s="431">
        <f>(E57/VLOOKUP($E$38,'MP (2011)'!$A$14:$AR$245,'MP (2011)'!$AM$246,FALSE)*100)</f>
        <v>2.9898247773092761</v>
      </c>
      <c r="F87" s="432">
        <f>(F57/VLOOKUP($F$38,'MP (2011)'!$A$14:$AR$245,'MP (2011)'!$AM$246,FALSE)*100)</f>
        <v>4.3142738711873641</v>
      </c>
    </row>
    <row r="88" spans="2:7">
      <c r="B88" s="103" t="s">
        <v>304</v>
      </c>
    </row>
    <row r="89" spans="2:7">
      <c r="B89" s="137" t="str">
        <f>$B$2</f>
        <v>Electra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96.170818221037663</v>
      </c>
      <c r="E90" s="422">
        <f>IF(ISERROR(E84/$C84),"",(E84/$C84)*100)</f>
        <v>102.07708654898843</v>
      </c>
      <c r="F90" s="423">
        <f>IF(ISERROR(F84/$C84),"",(F84/$C84)*100)</f>
        <v>142.78070653156311</v>
      </c>
    </row>
    <row r="91" spans="2:7">
      <c r="B91" s="111" t="s">
        <v>180</v>
      </c>
      <c r="C91" s="422" t="str">
        <f t="shared" ref="C91:F92" si="4">IF(ISERROR(C85/$C85),"",(C85/$C85)*100)</f>
        <v/>
      </c>
      <c r="D91" s="422" t="str">
        <f t="shared" si="4"/>
        <v/>
      </c>
      <c r="E91" s="422" t="str">
        <f t="shared" si="4"/>
        <v/>
      </c>
      <c r="F91" s="423" t="str">
        <f t="shared" si="4"/>
        <v/>
      </c>
    </row>
    <row r="92" spans="2:7">
      <c r="B92" s="111" t="s">
        <v>184</v>
      </c>
      <c r="C92" s="422">
        <f t="shared" si="4"/>
        <v>100</v>
      </c>
      <c r="D92" s="422">
        <f t="shared" si="4"/>
        <v>94.109685704625264</v>
      </c>
      <c r="E92" s="422">
        <f t="shared" si="4"/>
        <v>92.350317622572049</v>
      </c>
      <c r="F92" s="423">
        <f t="shared" si="4"/>
        <v>130.08891079690923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92.379396975475615</v>
      </c>
      <c r="E93" s="424">
        <f>IF(ISERROR(E87/$C87),"",(E87/$C87)*100)</f>
        <v>87.371984606861403</v>
      </c>
      <c r="F93" s="416">
        <f>IF(ISERROR(F87/$C87),"",(F87/$C87)*100)</f>
        <v>126.07650893923082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40940</v>
      </c>
      <c r="D98" s="150">
        <f>VLOOKUP($D$38,'MP (2011)'!$A$14:$AR$245,'MP (2011)'!$AB$246,FALSE)</f>
        <v>41356</v>
      </c>
      <c r="E98" s="150">
        <f>VLOOKUP($E$38,'MP (2011)'!$A$14:$AR$245,'MP (2011)'!$AB$246,FALSE)</f>
        <v>41799</v>
      </c>
      <c r="F98" s="151">
        <f>VLOOKUP($F$38,'MP (2011)'!$A$14:$AR$245,'MP (2011)'!$AB$246,FALSE)</f>
        <v>42078</v>
      </c>
    </row>
    <row r="99" spans="2:7">
      <c r="B99" s="155" t="s">
        <v>309</v>
      </c>
      <c r="C99" s="150">
        <f>VLOOKUP($C$38,'MP (2011)'!$A$14:$AR$245,'MP (2011)'!$AF$246,FALSE)</f>
        <v>0</v>
      </c>
      <c r="D99" s="150">
        <f>VLOOKUP($D$38,'MP (2011)'!$A$14:$AR$245,'MP (2011)'!$AF$246,FALSE)</f>
        <v>0</v>
      </c>
      <c r="E99" s="150">
        <f>VLOOKUP($E$38,'MP (2011)'!$A$14:$AR$245,'MP (2011)'!$AF$246,FALSE)</f>
        <v>0</v>
      </c>
      <c r="F99" s="151">
        <f>VLOOKUP($F$38,'MP (2011)'!$A$14:$AR$245,'MP (2011)'!$AF$246,FALSE)</f>
        <v>0</v>
      </c>
    </row>
    <row r="100" spans="2:7">
      <c r="B100" s="155" t="s">
        <v>310</v>
      </c>
      <c r="C100" s="150">
        <f>VLOOKUP($C$38,'MP (2011)'!$A$14:$AR$245,'MP (2011)'!$AJ$246,FALSE)</f>
        <v>567</v>
      </c>
      <c r="D100" s="150">
        <f>VLOOKUP($D$38,'MP (2011)'!$A$14:$AR$245,'MP (2011)'!$AJ$246,FALSE)</f>
        <v>400</v>
      </c>
      <c r="E100" s="150">
        <f>VLOOKUP($E$38,'MP (2011)'!$A$14:$AR$245,'MP (2011)'!$AJ$246,FALSE)</f>
        <v>400</v>
      </c>
      <c r="F100" s="151">
        <f>VLOOKUP($F$38,'MP (2011)'!$A$14:$AR$245,'MP (2011)'!$AJ$246,FALSE)</f>
        <v>400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41512</v>
      </c>
      <c r="D102" s="152">
        <f>SUM(D98:D101)</f>
        <v>41761</v>
      </c>
      <c r="E102" s="152">
        <f>SUM(E98:E101)</f>
        <v>42204</v>
      </c>
      <c r="F102" s="157">
        <f>SUM(F98:F101)</f>
        <v>42483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101.01612115290671</v>
      </c>
      <c r="E105" s="422">
        <f t="shared" si="5"/>
        <v>102.0981924767953</v>
      </c>
      <c r="F105" s="423">
        <f t="shared" si="5"/>
        <v>102.77967757694186</v>
      </c>
    </row>
    <row r="106" spans="2:7">
      <c r="B106" s="111" t="s">
        <v>180</v>
      </c>
      <c r="C106" s="422" t="str">
        <f t="shared" si="5"/>
        <v/>
      </c>
      <c r="D106" s="422" t="str">
        <f t="shared" si="5"/>
        <v/>
      </c>
      <c r="E106" s="422" t="str">
        <f t="shared" si="5"/>
        <v/>
      </c>
      <c r="F106" s="423" t="str">
        <f t="shared" si="5"/>
        <v/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70.546737213403873</v>
      </c>
      <c r="E107" s="422">
        <f t="shared" si="5"/>
        <v>70.546737213403873</v>
      </c>
      <c r="F107" s="423">
        <f t="shared" si="5"/>
        <v>70.546737213403873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Electra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298484</v>
      </c>
      <c r="D113" s="150">
        <f>VLOOKUP($D$38,'MP (2011)'!$A$14:$AR$245,'MP (2011)'!$AA$246,FALSE)</f>
        <v>303730</v>
      </c>
      <c r="E113" s="150">
        <f>VLOOKUP($E$38,'MP (2011)'!$A$14:$AR$245,'MP (2011)'!$AA$246,FALSE)</f>
        <v>311696</v>
      </c>
      <c r="F113" s="151">
        <f>VLOOKUP($F$38,'MP (2011)'!$A$14:$AR$245,'MP (2011)'!$AA$246,FALSE)</f>
        <v>300971.8</v>
      </c>
    </row>
    <row r="114" spans="2:7">
      <c r="B114" s="155" t="s">
        <v>309</v>
      </c>
      <c r="C114" s="150">
        <f>VLOOKUP($C$38,'MP (2011)'!$A$14:$AR$245,'MP (2011)'!$AE$246,FALSE)</f>
        <v>0</v>
      </c>
      <c r="D114" s="150">
        <f>VLOOKUP($D$38,'MP (2011)'!$A$14:$AR$245,'MP (2011)'!$AE$246,FALSE)</f>
        <v>0</v>
      </c>
      <c r="E114" s="150">
        <f>VLOOKUP($E$38,'MP (2011)'!$A$14:$AR$245,'MP (2011)'!$AE$246,FALSE)</f>
        <v>0</v>
      </c>
      <c r="F114" s="151">
        <f>VLOOKUP($F$38,'MP (2011)'!$A$14:$AR$245,'MP (2011)'!$AE$246,FALSE)</f>
        <v>0</v>
      </c>
    </row>
    <row r="115" spans="2:7">
      <c r="B115" s="155" t="s">
        <v>310</v>
      </c>
      <c r="C115" s="150">
        <f>VLOOKUP($C$38,'MP (2011)'!$A$14:$AR$245,'MP (2011)'!$AI$246,FALSE)</f>
        <v>89296</v>
      </c>
      <c r="D115" s="150">
        <f>VLOOKUP($D$38,'MP (2011)'!$A$14:$AR$245,'MP (2011)'!$AI$246,FALSE)</f>
        <v>84850</v>
      </c>
      <c r="E115" s="150">
        <f>VLOOKUP($E$38,'MP (2011)'!$A$14:$AR$245,'MP (2011)'!$AI$246,FALSE)</f>
        <v>88401</v>
      </c>
      <c r="F115" s="151">
        <f>VLOOKUP($F$38,'MP (2011)'!$A$14:$AR$245,'MP (2011)'!$AI$246,FALSE)</f>
        <v>93949.187000000005</v>
      </c>
    </row>
    <row r="116" spans="2:7">
      <c r="B116" s="155" t="s">
        <v>311</v>
      </c>
      <c r="C116" s="150">
        <f>VLOOKUP($C$38,'MP (2011)'!$A$14:$AR$245,'MP (2011)'!$AM$246,FALSE)</f>
        <v>14587</v>
      </c>
      <c r="D116" s="150">
        <f>VLOOKUP($D$38,'MP (2011)'!$A$14:$AR$245,'MP (2011)'!$AM$246,FALSE)</f>
        <v>12840</v>
      </c>
      <c r="E116" s="150">
        <f>VLOOKUP($E$38,'MP (2011)'!$A$14:$AR$245,'MP (2011)'!$AM$246,FALSE)</f>
        <v>15982</v>
      </c>
      <c r="F116" s="151">
        <f>VLOOKUP($F$38,'MP (2011)'!$A$14:$AR$245,'MP (2011)'!$AM$246,FALSE)</f>
        <v>15770.486999999999</v>
      </c>
    </row>
    <row r="117" spans="2:7">
      <c r="B117" s="147" t="s">
        <v>254</v>
      </c>
      <c r="C117" s="158">
        <f>SUM(C113:C116)</f>
        <v>402367</v>
      </c>
      <c r="D117" s="158">
        <f>SUM(D113:D116)</f>
        <v>401420</v>
      </c>
      <c r="E117" s="158">
        <f>SUM(E113:E116)</f>
        <v>416079</v>
      </c>
      <c r="F117" s="159">
        <f>SUM(F113:F116)</f>
        <v>410691.47399999999</v>
      </c>
    </row>
    <row r="118" spans="2:7">
      <c r="B118" s="103" t="s">
        <v>306</v>
      </c>
    </row>
    <row r="119" spans="2:7">
      <c r="B119" s="137" t="str">
        <f>$B$2</f>
        <v>Electra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101.75754814328405</v>
      </c>
      <c r="E120" s="422">
        <f t="shared" si="6"/>
        <v>104.42636791251792</v>
      </c>
      <c r="F120" s="423">
        <f t="shared" si="6"/>
        <v>100.833478511411</v>
      </c>
    </row>
    <row r="121" spans="2:7">
      <c r="B121" s="111" t="s">
        <v>180</v>
      </c>
      <c r="C121" s="422" t="str">
        <f t="shared" si="6"/>
        <v/>
      </c>
      <c r="D121" s="422" t="str">
        <f t="shared" si="6"/>
        <v/>
      </c>
      <c r="E121" s="422" t="str">
        <f t="shared" si="6"/>
        <v/>
      </c>
      <c r="F121" s="423" t="str">
        <f t="shared" si="6"/>
        <v/>
      </c>
    </row>
    <row r="122" spans="2:7">
      <c r="B122" s="111" t="s">
        <v>184</v>
      </c>
      <c r="C122" s="422">
        <f t="shared" si="6"/>
        <v>100</v>
      </c>
      <c r="D122" s="422">
        <f t="shared" si="6"/>
        <v>95.021053574628198</v>
      </c>
      <c r="E122" s="422">
        <f t="shared" si="6"/>
        <v>98.997715463178636</v>
      </c>
      <c r="F122" s="423">
        <f t="shared" si="6"/>
        <v>105.2109691363555</v>
      </c>
    </row>
    <row r="123" spans="2:7">
      <c r="B123" s="115" t="s">
        <v>181</v>
      </c>
      <c r="C123" s="424">
        <f t="shared" si="6"/>
        <v>100</v>
      </c>
      <c r="D123" s="424">
        <f t="shared" si="6"/>
        <v>88.023582642078566</v>
      </c>
      <c r="E123" s="424">
        <f t="shared" si="6"/>
        <v>109.56330979639407</v>
      </c>
      <c r="F123" s="416">
        <f t="shared" si="6"/>
        <v>108.11329951326523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Electra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22162.475264463515</v>
      </c>
      <c r="D128" s="433">
        <f>VLOOKUP($D$38,'FS (2011)'!$A$13:$AH$244,'FS (2011)'!$I$245,FALSE)</f>
        <v>22520.423913789546</v>
      </c>
      <c r="E128" s="433">
        <f>VLOOKUP($E$38,'FS (2011)'!$A$13:$AH$244,'FS (2011)'!$I$245,FALSE)</f>
        <v>23407.742987254449</v>
      </c>
      <c r="F128" s="440">
        <f>VLOOKUP($F$38,'FS (2011)'!$A$13:$AH$244,'FS (2011)'!$I$245,FALSE)</f>
        <v>30430.382000000001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4008.2732352370899</v>
      </c>
      <c r="D129" s="433">
        <f>VLOOKUP($D$38,'FS (2011)'!$A$13:$AH$244,'FS (2011)'!$Y$245,FALSE)+VLOOKUP($D$38,'FS (2011)'!$A$13:$AH$244,'FS (2011)'!$Z$245,FALSE)</f>
        <v>3660.3230617063614</v>
      </c>
      <c r="E129" s="433">
        <f>VLOOKUP($E$38,'FS (2011)'!$A$13:$AH$244,'FS (2011)'!$Y$245,FALSE)+VLOOKUP($E$38,'FS (2011)'!$A$13:$AH$244,'FS (2011)'!$Z$245,FALSE)</f>
        <v>2538.8267281937965</v>
      </c>
      <c r="F129" s="440">
        <f>VLOOKUP($F$38,'FS (2011)'!$A$13:$AH$244,'FS (2011)'!$Y$245,FALSE)+VLOOKUP($F$38,'FS (2011)'!$A$13:$AH$244,'FS (2011)'!$Z$245,FALSE)</f>
        <v>4145.6764999999996</v>
      </c>
      <c r="G129" s="121"/>
    </row>
    <row r="130" spans="1:30">
      <c r="B130" s="162" t="s">
        <v>191</v>
      </c>
      <c r="C130" s="441">
        <f>VLOOKUP($C$38,'FS (2011)'!$A$13:$AH$244,'FS (2011)'!$J$245,FALSE)</f>
        <v>6839.4582418522423</v>
      </c>
      <c r="D130" s="433">
        <f>VLOOKUP($D$38,'FS (2011)'!$A$13:$AH$244,'FS (2011)'!$J$245,FALSE)</f>
        <v>6437.2245178117901</v>
      </c>
      <c r="E130" s="433">
        <f>VLOOKUP($E$38,'FS (2011)'!$A$13:$AH$244,'FS (2011)'!$J$245,FALSE)</f>
        <v>6847.5926275228358</v>
      </c>
      <c r="F130" s="440">
        <f>VLOOKUP($F$38,'FS (2011)'!$A$13:$AH$244,'FS (2011)'!$J$245,FALSE)</f>
        <v>6955</v>
      </c>
    </row>
    <row r="131" spans="1:30">
      <c r="B131" s="162" t="s">
        <v>182</v>
      </c>
      <c r="C131" s="441">
        <f>VLOOKUP($C$38,'FS (2011)'!$A$13:$AH$244,'FS (2011)'!$S$245,FALSE)</f>
        <v>7122.998203644036</v>
      </c>
      <c r="D131" s="433">
        <f>VLOOKUP($D$38,'FS (2011)'!$A$13:$AH$244,'FS (2011)'!$S$245,FALSE)</f>
        <v>8282.9566888599056</v>
      </c>
      <c r="E131" s="433">
        <f>VLOOKUP($E$38,'FS (2011)'!$A$13:$AH$244,'FS (2011)'!$S$245,FALSE)</f>
        <v>8413.5426153970511</v>
      </c>
      <c r="F131" s="440">
        <f>VLOOKUP($F$38,'FS (2011)'!$A$13:$AH$244,'FS (2011)'!$S$245,FALSE)</f>
        <v>7778</v>
      </c>
      <c r="I131" s="139"/>
    </row>
    <row r="132" spans="1:30">
      <c r="B132" s="162" t="s">
        <v>143</v>
      </c>
      <c r="C132" s="441">
        <f>VLOOKUP($C$38,'FS (2011)'!$A$13:$AH$244,'FS (2011)'!$U$245,FALSE)</f>
        <v>5749.5004419605939</v>
      </c>
      <c r="D132" s="433">
        <f>VLOOKUP($D$38,'FS (2011)'!$A$13:$AH$244,'FS (2011)'!$U$245,FALSE)</f>
        <v>5852.7772667993668</v>
      </c>
      <c r="E132" s="433">
        <f>VLOOKUP($E$38,'FS (2011)'!$A$13:$AH$244,'FS (2011)'!$U$245,FALSE)</f>
        <v>6513.414621001858</v>
      </c>
      <c r="F132" s="440">
        <f>VLOOKUP($F$38,'FS (2011)'!$A$13:$AH$244,'FS (2011)'!$U$245,FALSE)</f>
        <v>6573</v>
      </c>
    </row>
    <row r="133" spans="1:30">
      <c r="B133" s="162" t="s">
        <v>196</v>
      </c>
      <c r="C133" s="441">
        <f>VLOOKUP($C$38,'FS (2011)'!$A$13:$AH$244,'FS (2011)'!$X$245,FALSE)</f>
        <v>119.21518550939521</v>
      </c>
      <c r="D133" s="433">
        <f>VLOOKUP($D$38,'FS (2011)'!$A$13:$AH$244,'FS (2011)'!$X$245,FALSE)</f>
        <v>57.188664911249894</v>
      </c>
      <c r="E133" s="433">
        <f>VLOOKUP($E$38,'FS (2011)'!$A$13:$AH$244,'FS (2011)'!$X$245,FALSE)</f>
        <v>527.07827713885354</v>
      </c>
      <c r="F133" s="440">
        <f>VLOOKUP($F$38,'FS (2011)'!$A$13:$AH$244,'FS (2011)'!$X$245,FALSE)</f>
        <v>338.62488999999999</v>
      </c>
    </row>
    <row r="134" spans="1:30">
      <c r="B134" s="164" t="s">
        <v>258</v>
      </c>
      <c r="C134" s="442">
        <f>VLOOKUP($C$38,'FS (2011)'!$A$13:$AH$244,'FS (2011)'!$AA$245,FALSE)</f>
        <v>6339.5764267343384</v>
      </c>
      <c r="D134" s="435">
        <f>VLOOKUP($D$38,'FS (2011)'!$A$13:$AH$244,'FS (2011)'!$AA$245,FALSE)</f>
        <v>5550.5998713707168</v>
      </c>
      <c r="E134" s="435">
        <f>VLOOKUP($E$38,'FS (2011)'!$A$13:$AH$244,'FS (2011)'!$AA$245,FALSE)</f>
        <v>3644.9415641992937</v>
      </c>
      <c r="F134" s="443">
        <f>VLOOKUP($F$38,'FS (2011)'!$A$13:$AH$244,'FS (2011)'!$AA$245,FALSE)</f>
        <v>12931.433999999999</v>
      </c>
    </row>
    <row r="135" spans="1:30">
      <c r="P135" s="559"/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P136" s="559"/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P137" s="559"/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4</v>
      </c>
      <c r="B138" s="166" t="s">
        <v>204</v>
      </c>
      <c r="C138" s="167"/>
      <c r="D138" s="444">
        <f>VLOOKUP($D$6,'FS (2011)'!$A$13:$AH$244,'FS (2011)'!$L$245,FALSE)</f>
        <v>1247</v>
      </c>
      <c r="E138" s="446">
        <f t="shared" ref="E138:E144" si="7">D138/$D$145</f>
        <v>0.16032399074312162</v>
      </c>
      <c r="P138" s="559"/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2290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1</v>
      </c>
      <c r="B139" s="162" t="s">
        <v>199</v>
      </c>
      <c r="C139" s="121"/>
      <c r="D139" s="441">
        <f>VLOOKUP($D$6,'FS (2011)'!$A$13:$AH$244,'FS (2011)'!K245,FALSE)</f>
        <v>2290</v>
      </c>
      <c r="E139" s="414">
        <f t="shared" si="7"/>
        <v>0.29442015942401645</v>
      </c>
      <c r="P139" s="559"/>
      <c r="Q139" s="559"/>
      <c r="R139" s="559"/>
      <c r="S139" s="559"/>
      <c r="T139" s="559">
        <v>2</v>
      </c>
      <c r="U139" s="559" t="str">
        <f t="shared" ref="U139:U144" si="9">VLOOKUP(T139,$A$138:$E$144,2,FALSE)</f>
        <v>Routine and preventative maintenance</v>
      </c>
      <c r="V139" s="559">
        <f t="shared" ref="V139:V144" si="10">VLOOKUP(T139,$A$138:$E$144,4,FALSE)</f>
        <v>1838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2</v>
      </c>
      <c r="B140" s="162" t="s">
        <v>201</v>
      </c>
      <c r="C140" s="121"/>
      <c r="D140" s="441">
        <f>VLOOKUP($D$6,'FS (2011)'!$A$13:$AH$244,'FS (2011)'!M245,FALSE)</f>
        <v>1838</v>
      </c>
      <c r="E140" s="414">
        <f t="shared" si="7"/>
        <v>0.23630753407045513</v>
      </c>
      <c r="P140" s="559"/>
      <c r="Q140" s="559"/>
      <c r="R140" s="559"/>
      <c r="S140" s="559"/>
      <c r="T140" s="559">
        <v>3</v>
      </c>
      <c r="U140" s="559" t="str">
        <f t="shared" si="9"/>
        <v>Fault and emergency maintenance</v>
      </c>
      <c r="V140" s="559">
        <f t="shared" si="10"/>
        <v>1445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5</v>
      </c>
      <c r="B141" s="162" t="s">
        <v>202</v>
      </c>
      <c r="C141" s="121"/>
      <c r="D141" s="441">
        <f>VLOOKUP($D$6,'FS (2011)'!$A$13:$AH$244,'FS (2011)'!N245,FALSE)</f>
        <v>619</v>
      </c>
      <c r="E141" s="414">
        <f t="shared" si="7"/>
        <v>7.9583440473129333E-2</v>
      </c>
      <c r="P141" s="559"/>
      <c r="Q141" s="559"/>
      <c r="R141" s="559"/>
      <c r="S141" s="559"/>
      <c r="T141" s="559">
        <v>4</v>
      </c>
      <c r="U141" s="559" t="str">
        <f t="shared" si="9"/>
        <v>System management and operations</v>
      </c>
      <c r="V141" s="559">
        <f t="shared" si="10"/>
        <v>1247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3</v>
      </c>
      <c r="B142" s="162" t="s">
        <v>203</v>
      </c>
      <c r="C142" s="121"/>
      <c r="D142" s="441">
        <f>VLOOKUP($D$6,'FS (2011)'!$A$13:$AH$244,'FS (2011)'!O245,FALSE)</f>
        <v>1445</v>
      </c>
      <c r="E142" s="414">
        <f t="shared" si="7"/>
        <v>0.18578040627410644</v>
      </c>
      <c r="P142" s="559"/>
      <c r="Q142" s="559"/>
      <c r="R142" s="559"/>
      <c r="S142" s="559"/>
      <c r="T142" s="559">
        <v>5</v>
      </c>
      <c r="U142" s="559" t="str">
        <f t="shared" si="9"/>
        <v>Refurbishment and renewal maintenance</v>
      </c>
      <c r="V142" s="559">
        <f t="shared" si="10"/>
        <v>619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f t="shared" si="8"/>
        <v>6</v>
      </c>
      <c r="B143" s="162" t="s">
        <v>13</v>
      </c>
      <c r="C143" s="121"/>
      <c r="D143" s="441">
        <f>VLOOKUP($D$6,'FS (2011)'!$A$13:$AH$244,'FS (2011)'!R245,FALSE)</f>
        <v>219</v>
      </c>
      <c r="E143" s="414">
        <f t="shared" si="7"/>
        <v>2.8156338390331704E-2</v>
      </c>
      <c r="P143" s="559"/>
      <c r="Q143" s="559"/>
      <c r="R143" s="559"/>
      <c r="S143" s="559"/>
      <c r="T143" s="559">
        <v>6</v>
      </c>
      <c r="U143" s="559" t="str">
        <f t="shared" si="9"/>
        <v>Other</v>
      </c>
      <c r="V143" s="559">
        <f t="shared" si="10"/>
        <v>219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7</v>
      </c>
      <c r="B144" s="162" t="s">
        <v>200</v>
      </c>
      <c r="C144" s="121"/>
      <c r="D144" s="441">
        <f>VLOOKUP($D$6,'FS (2011)'!$A$13:$AH$244,'FS (2011)'!P245,FALSE)</f>
        <v>120</v>
      </c>
      <c r="E144" s="414">
        <f t="shared" si="7"/>
        <v>1.542813062483929E-2</v>
      </c>
      <c r="P144" s="559"/>
      <c r="Q144" s="559"/>
      <c r="R144" s="559"/>
      <c r="S144" s="559"/>
      <c r="T144" s="559">
        <v>7</v>
      </c>
      <c r="U144" s="559" t="str">
        <f t="shared" si="9"/>
        <v>Pass-through costs</v>
      </c>
      <c r="V144" s="559">
        <f t="shared" si="10"/>
        <v>120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7778</v>
      </c>
      <c r="E145" s="447">
        <f>SUM(E138:E144)</f>
        <v>1</v>
      </c>
      <c r="P145" s="559"/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P146" s="559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P147" s="559"/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P148" s="559"/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0</v>
      </c>
      <c r="D149" s="454">
        <f>(VLOOKUP(D$38,'FS (2011)'!$A$13:$AH$244,'FS (2011)'!$M$245,FALSE)+VLOOKUP(D$38,'FS (2011)'!$A$13:$AH$244,'FS (2011)'!$N$245,FALSE)+VLOOKUP(D$38,'FS (2011)'!$A$13:$AH$244,'FS (2011)'!$O$245,FALSE))/1000</f>
        <v>0</v>
      </c>
      <c r="E149" s="454">
        <f>(VLOOKUP(E$38,'FS (2011)'!$A$13:$AH$244,'FS (2011)'!$M$245,FALSE)+VLOOKUP(E$38,'FS (2011)'!$A$13:$AH$244,'FS (2011)'!$N$245,FALSE)+VLOOKUP(E$38,'FS (2011)'!$A$13:$AH$244,'FS (2011)'!$O$245,FALSE))/1000</f>
        <v>4.5847592358060947</v>
      </c>
      <c r="F149" s="455">
        <f>(VLOOKUP(F$38,'FS (2011)'!$A$13:$AH$244,'FS (2011)'!$M$245,FALSE)+VLOOKUP(F$38,'FS (2011)'!$A$13:$AH$244,'FS (2011)'!$N$245,FALSE)+VLOOKUP(F$38,'FS (2011)'!$A$13:$AH$244,'FS (2011)'!$O$245,FALSE))/1000</f>
        <v>3.9020000000000001</v>
      </c>
      <c r="P149" s="559"/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0</v>
      </c>
      <c r="D150" s="456">
        <f>(VLOOKUP(D$38,'FS (2011)'!$A$13:$AH$244,'FS (2011)'!$L$245,FALSE)+VLOOKUP(D$38,'FS (2011)'!$A$13:$AH$244,'FS (2011)'!$K$245,FALSE))/1000</f>
        <v>0</v>
      </c>
      <c r="E150" s="456">
        <f>(VLOOKUP(E$38,'FS (2011)'!$A$13:$AH$244,'FS (2011)'!$L$245,FALSE)+VLOOKUP(E$38,'FS (2011)'!$A$13:$AH$244,'FS (2011)'!$K$245,FALSE))/1000</f>
        <v>3.4701533238123461</v>
      </c>
      <c r="F150" s="457">
        <f>(VLOOKUP(F$38,'FS (2011)'!$A$13:$AH$244,'FS (2011)'!$L$245,FALSE)+VLOOKUP(F$38,'FS (2011)'!$A$13:$AH$244,'FS (2011)'!$K$245,FALSE))/1000</f>
        <v>3.5369999999999999</v>
      </c>
      <c r="P150" s="559"/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</v>
      </c>
      <c r="D151" s="456">
        <f>(VLOOKUP(D$38,'FS (2011)'!$A$13:$AH$244,'FS (2011)'!$R$245,FALSE)+VLOOKUP(D$38,'FS (2011)'!$A$13:$AH$244,'FS (2011)'!$P$245,FALSE)+VLOOKUP(D$38,'FS (2011)'!$A$13:$AH$244,'FS (2011)'!$Q$245,FALSE))/1000</f>
        <v>0</v>
      </c>
      <c r="E151" s="456">
        <f>(VLOOKUP(E$38,'FS (2011)'!$A$13:$AH$244,'FS (2011)'!$R$245,FALSE)+VLOOKUP(E$38,'FS (2011)'!$A$13:$AH$244,'FS (2011)'!$P$245,FALSE)+VLOOKUP(E$38,'FS (2011)'!$A$13:$AH$244,'FS (2011)'!$Q$245,FALSE))/1000</f>
        <v>0.35863005577861007</v>
      </c>
      <c r="F151" s="457">
        <f>(VLOOKUP(F$38,'FS (2011)'!$A$13:$AH$244,'FS (2011)'!$R$245,FALSE)+VLOOKUP(F$38,'FS (2011)'!$A$13:$AH$244,'FS (2011)'!$P$245,FALSE)+VLOOKUP(F$38,'FS (2011)'!$A$13:$AH$244,'FS (2011)'!$Q$245,FALSE))/1000</f>
        <v>0.33900000000000002</v>
      </c>
      <c r="P151" s="559"/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7.1229982036440358</v>
      </c>
      <c r="D152" s="458">
        <f>VLOOKUP($D$38,'FS (2011)'!$A$13:$AH$244,'FS (2011)'!$S$245,FALSE)/1000</f>
        <v>8.2829566888599064</v>
      </c>
      <c r="E152" s="459">
        <f>VLOOKUP($E$38,'FS (2011)'!$A$13:$AH$244,'FS (2011)'!$S$245,FALSE)/1000</f>
        <v>8.4135426153970503</v>
      </c>
      <c r="F152" s="460">
        <f>VLOOKUP($F$38,'FS (2011)'!$A$13:$AH$244,'FS (2011)'!$S$245,FALSE)/1000</f>
        <v>7.7779999999999996</v>
      </c>
      <c r="P152" s="559"/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P153" s="559"/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-0.14891932175497358</v>
      </c>
      <c r="D154" s="464" t="str">
        <f t="shared" ref="D154:E157" si="11">IF(ISERROR(D149/C149 - 1),"",(D149/C149 - 1))</f>
        <v/>
      </c>
      <c r="E154" s="464" t="str">
        <f t="shared" si="11"/>
        <v/>
      </c>
      <c r="F154" s="465">
        <f>IF(ISERROR(F149/E149 - 1),"",(F149/E149 - 1))</f>
        <v>-0.14891932175497358</v>
      </c>
      <c r="P154" s="559"/>
      <c r="Q154" s="559"/>
      <c r="R154" s="559" t="s">
        <v>423</v>
      </c>
      <c r="S154" s="559" t="e">
        <f t="shared" ref="S154:V157" si="12">LN(C149)</f>
        <v>#NUM!</v>
      </c>
      <c r="T154" s="559" t="e">
        <f t="shared" si="12"/>
        <v>#NUM!</v>
      </c>
      <c r="U154" s="559">
        <f t="shared" si="12"/>
        <v>1.5227375930550926</v>
      </c>
      <c r="V154" s="559">
        <f t="shared" si="12"/>
        <v>1.3614892422009195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1.9263320651842442E-2</v>
      </c>
      <c r="D155" s="467" t="str">
        <f t="shared" si="11"/>
        <v/>
      </c>
      <c r="E155" s="467" t="str">
        <f t="shared" si="11"/>
        <v/>
      </c>
      <c r="F155" s="468">
        <f>IF(ISERROR(F150/E150 - 1),"",(F150/E150 - 1))</f>
        <v>1.9263320651842442E-2</v>
      </c>
      <c r="P155" s="559"/>
      <c r="Q155" s="559"/>
      <c r="R155" s="559" t="s">
        <v>423</v>
      </c>
      <c r="S155" s="559" t="e">
        <f t="shared" si="12"/>
        <v>#NUM!</v>
      </c>
      <c r="T155" s="559" t="e">
        <f t="shared" si="12"/>
        <v>#NUM!</v>
      </c>
      <c r="U155" s="559">
        <f t="shared" si="12"/>
        <v>1.2441987785193149</v>
      </c>
      <c r="V155" s="559">
        <f t="shared" si="12"/>
        <v>1.2632789102233435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-5.4736225986391052E-2</v>
      </c>
      <c r="D156" s="467" t="str">
        <f t="shared" si="11"/>
        <v/>
      </c>
      <c r="E156" s="467" t="str">
        <f t="shared" si="11"/>
        <v/>
      </c>
      <c r="F156" s="468">
        <f>IF(ISERROR(F151/E151 - 1),"",(F151/E151 - 1))</f>
        <v>-5.4736225986391052E-2</v>
      </c>
      <c r="P156" s="559"/>
      <c r="Q156" s="559"/>
      <c r="R156" s="559" t="s">
        <v>423</v>
      </c>
      <c r="S156" s="559" t="e">
        <f t="shared" si="12"/>
        <v>#NUM!</v>
      </c>
      <c r="T156" s="559" t="e">
        <f t="shared" si="12"/>
        <v>#NUM!</v>
      </c>
      <c r="U156" s="559">
        <f t="shared" si="12"/>
        <v>-1.0254639071052216</v>
      </c>
      <c r="V156" s="559">
        <f t="shared" si="12"/>
        <v>-1.0817551716016867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2.8349833377627087E-2</v>
      </c>
      <c r="D157" s="470">
        <f t="shared" si="11"/>
        <v>0.1628469433871893</v>
      </c>
      <c r="E157" s="470">
        <f t="shared" si="11"/>
        <v>1.5765617453098013E-2</v>
      </c>
      <c r="F157" s="471">
        <f>IF(ISERROR(F152/E152 - 1),"",(F152/E152 - 1))</f>
        <v>-7.5538051502108905E-2</v>
      </c>
      <c r="N157" s="136"/>
      <c r="O157" s="136"/>
      <c r="P157" s="559"/>
      <c r="Q157" s="559"/>
      <c r="R157" s="559" t="s">
        <v>423</v>
      </c>
      <c r="S157" s="559">
        <f t="shared" si="12"/>
        <v>1.9633287328052591</v>
      </c>
      <c r="T157" s="559">
        <f t="shared" si="12"/>
        <v>2.1141999926829711</v>
      </c>
      <c r="U157" s="559">
        <f t="shared" si="12"/>
        <v>2.129842623742717</v>
      </c>
      <c r="V157" s="559">
        <f t="shared" si="12"/>
        <v>2.0512992357335555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P158" s="559"/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P159" s="559"/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P160" s="559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P161" s="559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Electra</v>
      </c>
      <c r="C162" s="456">
        <f>(C152/C102)*1000000</f>
        <v>171.58889486519649</v>
      </c>
      <c r="D162" s="456">
        <f>(D152/D102)*1000000</f>
        <v>198.34191443834933</v>
      </c>
      <c r="E162" s="456">
        <f>(E152/E102)*1000000</f>
        <v>199.35415163010734</v>
      </c>
      <c r="F162" s="457">
        <f>(F152/F102)*1000000</f>
        <v>183.08499870536451</v>
      </c>
      <c r="G162" s="181"/>
      <c r="P162" s="559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P163" s="559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P164" s="559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Electra</v>
      </c>
      <c r="C165" s="456">
        <f>C152/VLOOKUP(C$38,'MP (2011)'!$A$14:$AR$245,'MP (2011)'!$H$246,FALSE)*1000000</f>
        <v>2784.5966394230004</v>
      </c>
      <c r="D165" s="456">
        <f>D152/VLOOKUP(D$38,'MP (2011)'!$A$14:$AR$245,'MP (2011)'!$H$246,FALSE)*1000000</f>
        <v>3234.2665712065236</v>
      </c>
      <c r="E165" s="456">
        <f>E152/VLOOKUP(E$38,'MP (2011)'!$A$14:$AR$245,'MP (2011)'!$H$246,FALSE)*1000000</f>
        <v>3265.2394983494592</v>
      </c>
      <c r="F165" s="457">
        <f>F152/VLOOKUP(F$38,'MP (2011)'!$A$14:$AR$245,'MP (2011)'!$H$246,FALSE)*1000000</f>
        <v>3014.1912682234947</v>
      </c>
      <c r="G165" s="181"/>
      <c r="P165" s="559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P166" s="559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P167" s="559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Electra</v>
      </c>
      <c r="C168" s="456">
        <f>(C152/C117)*1000000</f>
        <v>17.702739547835773</v>
      </c>
      <c r="D168" s="456">
        <f>(D152/D117)*1000000</f>
        <v>20.634140523292078</v>
      </c>
      <c r="E168" s="456">
        <f>(E152/E117)*1000000</f>
        <v>20.221022006390733</v>
      </c>
      <c r="F168" s="457">
        <f>(F152/F117)*1000000</f>
        <v>18.93879102053139</v>
      </c>
      <c r="G168" s="181"/>
      <c r="P168" s="559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P169" s="559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P170" s="559"/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2.0164375198729934E-2</v>
      </c>
      <c r="D171" s="464">
        <f>IF(ISERROR(D162/C162 - 1),"",(D162/C162 - 1))</f>
        <v>0.15591346744304468</v>
      </c>
      <c r="E171" s="464">
        <f>IF(ISERROR(E162/D162 - 1),"",(E162/D162 - 1))</f>
        <v>5.1034961249838418E-3</v>
      </c>
      <c r="F171" s="465">
        <f>IF(ISERROR(F162/E162 - 1),"",(F162/E162 - 1))</f>
        <v>-8.1609300793140771E-2</v>
      </c>
      <c r="H171" s="139"/>
      <c r="P171" s="559"/>
      <c r="Q171" s="559"/>
      <c r="R171" s="559" t="s">
        <v>423</v>
      </c>
      <c r="S171" s="559">
        <f>LN(C162)</f>
        <v>5.1451014697219577</v>
      </c>
      <c r="T171" s="559">
        <f>LN(D162)</f>
        <v>5.2899923820172816</v>
      </c>
      <c r="U171" s="559">
        <f>LN(E162)</f>
        <v>5.2950828994450081</v>
      </c>
      <c r="V171" s="559">
        <f>LN(F162)</f>
        <v>5.2099505188066608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2.5029765133121051E-2</v>
      </c>
      <c r="D172" s="467">
        <f>IF(ISERROR(D165/C165 - 1),"",(D165/C165 - 1))</f>
        <v>0.16148476422664215</v>
      </c>
      <c r="E172" s="467">
        <f>IF(ISERROR(E165/D165 - 1),"",(E165/D165 - 1))</f>
        <v>9.5764917520020365E-3</v>
      </c>
      <c r="F172" s="468">
        <f>IF(ISERROR(F165/E165 - 1),"",(F165/E165 - 1))</f>
        <v>-7.6885089211026103E-2</v>
      </c>
      <c r="P172" s="559"/>
      <c r="Q172" s="559"/>
      <c r="R172" s="559" t="s">
        <v>423</v>
      </c>
      <c r="S172" s="559">
        <f>LN(C165)</f>
        <v>7.931858308630745</v>
      </c>
      <c r="T172" s="559">
        <f>LN(D165)</f>
        <v>8.0815574644477195</v>
      </c>
      <c r="U172" s="559">
        <f>LN(E165)</f>
        <v>8.0910883922667018</v>
      </c>
      <c r="V172" s="559">
        <f>LN(F165)</f>
        <v>8.0110868371011108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1.8392526101171924E-2</v>
      </c>
      <c r="D173" s="470">
        <f>IF(ISERROR(D168/C168 - 1),"",(D168/C168 - 1))</f>
        <v>0.16559024480562279</v>
      </c>
      <c r="E173" s="470">
        <f>IF(ISERROR(E168/D168 - 1),"",(E168/D168 - 1))</f>
        <v>-2.0021115802473677E-2</v>
      </c>
      <c r="F173" s="471">
        <f>IF(ISERROR(F168/E168 - 1),"",(F168/E168 - 1))</f>
        <v>-6.3410790288151664E-2</v>
      </c>
      <c r="P173" s="559"/>
      <c r="Q173" s="559"/>
      <c r="R173" s="559" t="s">
        <v>423</v>
      </c>
      <c r="S173" s="559">
        <f>LN(C168)</f>
        <v>2.8737194043169891</v>
      </c>
      <c r="T173" s="559">
        <f>LN(D168)</f>
        <v>3.0269470109337613</v>
      </c>
      <c r="U173" s="559">
        <f>LN(E168)</f>
        <v>3.0067227566468895</v>
      </c>
      <c r="V173" s="559">
        <f>LN(F168)</f>
        <v>2.9412122536472625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P174" s="559"/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P175" s="559"/>
      <c r="Q175" s="559"/>
      <c r="R175" s="559"/>
      <c r="S175" s="559"/>
      <c r="T175" s="559"/>
      <c r="U175" s="559"/>
      <c r="V175" s="560" t="str">
        <f>$B$2</f>
        <v>Electra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P176" s="559"/>
      <c r="Q176" s="559"/>
      <c r="R176" s="559"/>
      <c r="S176" s="559"/>
      <c r="T176" s="559"/>
      <c r="U176" s="559"/>
      <c r="V176" s="562" t="s">
        <v>280</v>
      </c>
      <c r="W176" s="563">
        <f>C178</f>
        <v>4584.7592358060947</v>
      </c>
      <c r="X176" s="563">
        <f>D178</f>
        <v>3902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Electra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P177" s="561"/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4823.1667160680117</v>
      </c>
      <c r="X177" s="563">
        <f t="shared" si="14"/>
        <v>4458.4236479749934</v>
      </c>
      <c r="Y177" s="563">
        <f t="shared" si="14"/>
        <v>4458.4236479749934</v>
      </c>
      <c r="Z177" s="563">
        <f t="shared" si="14"/>
        <v>4458.4236479749934</v>
      </c>
      <c r="AA177" s="563">
        <f t="shared" si="14"/>
        <v>4545.0246557624414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4584.7592358060947</v>
      </c>
      <c r="D178" s="461">
        <f>VLOOKUP(F38,'FS (2011)'!$A$14:$T$246,'FS (2011)'!$M$245,FALSE)+VLOOKUP(F38,'FS (2011)'!$A$14:$AO$245,'FS (2011)'!$N$245,FALSE)+VLOOKUP(F38,'FS (2011)'!$A$14:$AO$245,'FS (2011)'!$O$245,FALSE)</f>
        <v>3902</v>
      </c>
      <c r="E178" s="461"/>
      <c r="F178" s="461"/>
      <c r="G178" s="461"/>
      <c r="H178" s="461"/>
      <c r="I178" s="462"/>
      <c r="P178" s="559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4958</v>
      </c>
      <c r="Y178" s="563">
        <f t="shared" si="14"/>
        <v>4508</v>
      </c>
      <c r="Z178" s="563">
        <f t="shared" si="14"/>
        <v>4508</v>
      </c>
      <c r="AA178" s="563">
        <f t="shared" si="14"/>
        <v>4508</v>
      </c>
      <c r="AB178" s="563">
        <f>H180</f>
        <v>4508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4823.1667160680117</v>
      </c>
      <c r="D179" s="461">
        <f>VLOOKUP(D182,'AM (2011)'!$A$10:$N$444,'AM (2011)'!$N$445,FALSE)</f>
        <v>4458.4236479749934</v>
      </c>
      <c r="E179" s="461">
        <f>VLOOKUP(E182,'AM (2011)'!$A$10:$N$444,'AM (2011)'!$N$445,FALSE)</f>
        <v>4458.4236479749934</v>
      </c>
      <c r="F179" s="461">
        <f>VLOOKUP(F182,'AM (2011)'!$A$10:$N$444,'AM (2011)'!$N$445,FALSE)</f>
        <v>4458.4236479749934</v>
      </c>
      <c r="G179" s="461">
        <f>VLOOKUP(G182,'AM (2011)'!$A$10:$N$444,'AM (2011)'!$N$445,FALSE)</f>
        <v>4545.0246557624414</v>
      </c>
      <c r="H179" s="461"/>
      <c r="I179" s="462"/>
      <c r="P179" s="559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4665.2700711053649</v>
      </c>
      <c r="Z179" s="563">
        <f>F181</f>
        <v>4383.7114414996768</v>
      </c>
      <c r="AA179" s="563">
        <f>G181</f>
        <v>4407.1746606334837</v>
      </c>
      <c r="AB179" s="563">
        <f>H181</f>
        <v>4407.1746606334837</v>
      </c>
      <c r="AC179" s="563">
        <f>I181</f>
        <v>4407.1746606334837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4958</v>
      </c>
      <c r="E180" s="461">
        <f>VLOOKUP(E183,'AM (2011)'!$A$10:$N$444,'AM (2011)'!$N$445,FALSE)</f>
        <v>4508</v>
      </c>
      <c r="F180" s="461">
        <f>VLOOKUP(F183,'AM (2011)'!$A$10:$N$444,'AM (2011)'!$N$445,FALSE)</f>
        <v>4508</v>
      </c>
      <c r="G180" s="461">
        <f>VLOOKUP(G183,'AM (2011)'!$A$10:$N$444,'AM (2011)'!$N$445,FALSE)</f>
        <v>4508</v>
      </c>
      <c r="H180" s="461">
        <f>VLOOKUP(H183,'AM (2011)'!$A$10:$N$444,'AM (2011)'!$N$445,FALSE)</f>
        <v>4508</v>
      </c>
      <c r="I180" s="462"/>
      <c r="P180" s="559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4665.2700711053649</v>
      </c>
      <c r="F181" s="493">
        <f>VLOOKUP(F184,'AM (2011)'!$A$10:$N$444,'AM (2011)'!$N$445,FALSE)</f>
        <v>4383.7114414996768</v>
      </c>
      <c r="G181" s="493">
        <f>VLOOKUP(G184,'AM (2011)'!$A$10:$N$444,'AM (2011)'!$N$445,FALSE)</f>
        <v>4407.1746606334837</v>
      </c>
      <c r="H181" s="493">
        <f>VLOOKUP(H184,'AM (2011)'!$A$10:$N$444,'AM (2011)'!$N$445,FALSE)</f>
        <v>4407.1746606334837</v>
      </c>
      <c r="I181" s="494">
        <f>VLOOKUP(I184,'AM (2011)'!$A$10:$N$444,'AM (2011)'!$N$445,FALSE)</f>
        <v>4407.1746606334837</v>
      </c>
      <c r="P181" s="559"/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147</v>
      </c>
      <c r="D182" s="136">
        <f>VLOOKUP($B$2,$B$257:$Y$286,11,FALSE)</f>
        <v>148</v>
      </c>
      <c r="E182" s="136">
        <f>VLOOKUP($B$2,$B$257:$Y$286,12,FALSE)</f>
        <v>149</v>
      </c>
      <c r="F182" s="136">
        <f>VLOOKUP($B$2,$B$257:$Y$286,13,FALSE)</f>
        <v>150</v>
      </c>
      <c r="G182" s="136">
        <f>VLOOKUP($B$2,$B$257:$Y$286,14,FALSE)</f>
        <v>151</v>
      </c>
      <c r="H182" s="136"/>
      <c r="I182" s="136"/>
      <c r="P182" s="559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152</v>
      </c>
      <c r="E183" s="136">
        <f>VLOOKUP($B$2,$B$257:$Y$286,16,FALSE)</f>
        <v>153</v>
      </c>
      <c r="F183" s="136">
        <f>VLOOKUP($B$2,$B$257:$Y$286,17,FALSE)</f>
        <v>154</v>
      </c>
      <c r="G183" s="136">
        <f>VLOOKUP($B$2,$B$257:$Y$286,18,FALSE)</f>
        <v>155</v>
      </c>
      <c r="H183" s="136">
        <f>VLOOKUP($B$2,$B$257:$Y$286,19,FALSE)</f>
        <v>156</v>
      </c>
      <c r="I183" s="136"/>
      <c r="P183" s="559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157</v>
      </c>
      <c r="F184" s="136">
        <f>VLOOKUP($B$2,$B$257:$Y$286,21,FALSE)</f>
        <v>158</v>
      </c>
      <c r="G184" s="136">
        <f>VLOOKUP($B$2,$B$257:$Y$286,22,FALSE)</f>
        <v>159</v>
      </c>
      <c r="H184" s="136">
        <f>VLOOKUP($B$2,$B$257:$Y$286,23,FALSE)</f>
        <v>160</v>
      </c>
      <c r="I184" s="136">
        <f>VLOOKUP($B$2,$B$257:$Y$286,24,FALSE)</f>
        <v>161</v>
      </c>
      <c r="P184" s="559"/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P185" s="559"/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1</v>
      </c>
      <c r="B186" s="483" t="s">
        <v>205</v>
      </c>
      <c r="C186" s="490"/>
      <c r="D186" s="484">
        <f>VLOOKUP($D$6,'FS (2011)'!$A$13:$AH$244,'FS (2011)'!AC245,FALSE)/1000</f>
        <v>2.5289999999999999</v>
      </c>
      <c r="E186" s="495">
        <f t="shared" ref="E186:E191" si="16">D186/$D$192</f>
        <v>0.42944472745797252</v>
      </c>
      <c r="P186" s="559"/>
      <c r="Q186" s="559"/>
      <c r="R186" s="559"/>
      <c r="S186" s="559"/>
      <c r="T186" s="559">
        <v>1</v>
      </c>
      <c r="U186" s="559" t="str">
        <f t="shared" ref="U186:U191" si="17">VLOOKUP(T186,$A$186:$D$191,2,FALSE)</f>
        <v>System growth</v>
      </c>
      <c r="V186" s="559">
        <f t="shared" ref="V186:V191" si="18">VLOOKUP(T186,$A$186:$D$191,4,FALSE)</f>
        <v>2.5289999999999999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3</v>
      </c>
      <c r="B187" s="162" t="s">
        <v>206</v>
      </c>
      <c r="C187" s="121"/>
      <c r="D187" s="456">
        <f>VLOOKUP($D$6,'FS (2011)'!$A$13:$AH$244,'FS (2011)'!AD245,FALSE)/1000</f>
        <v>0.873</v>
      </c>
      <c r="E187" s="468">
        <f t="shared" si="16"/>
        <v>0.14824248599083037</v>
      </c>
      <c r="P187" s="559"/>
      <c r="Q187" s="559"/>
      <c r="R187" s="559"/>
      <c r="S187" s="559"/>
      <c r="T187" s="559">
        <v>2</v>
      </c>
      <c r="U187" s="559" t="str">
        <f t="shared" si="17"/>
        <v>Asset replacement and renewal</v>
      </c>
      <c r="V187" s="559">
        <f t="shared" si="18"/>
        <v>2.1110000000000002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6</v>
      </c>
      <c r="B188" s="162" t="s">
        <v>209</v>
      </c>
      <c r="C188" s="121"/>
      <c r="D188" s="456">
        <f>VLOOKUP($D$6,'FS (2011)'!$A$13:$AH$244,'FS (2011)'!AB245,FALSE)/1000</f>
        <v>0</v>
      </c>
      <c r="E188" s="468">
        <f t="shared" si="16"/>
        <v>0</v>
      </c>
      <c r="P188" s="559"/>
      <c r="Q188" s="559"/>
      <c r="R188" s="559"/>
      <c r="S188" s="559"/>
      <c r="T188" s="559">
        <v>3</v>
      </c>
      <c r="U188" s="559" t="str">
        <f t="shared" si="17"/>
        <v>Reliability, safety and environment</v>
      </c>
      <c r="V188" s="559">
        <f t="shared" si="18"/>
        <v>0.873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2</v>
      </c>
      <c r="B189" s="162" t="s">
        <v>208</v>
      </c>
      <c r="C189" s="121"/>
      <c r="D189" s="456">
        <f>VLOOKUP($D$6,'FS (2011)'!$A$13:$AH$244,'FS (2011)'!AE245,FALSE)/1000</f>
        <v>2.1110000000000002</v>
      </c>
      <c r="E189" s="468">
        <f t="shared" si="16"/>
        <v>0.35846493462387508</v>
      </c>
      <c r="P189" s="559"/>
      <c r="Q189" s="559"/>
      <c r="R189" s="559"/>
      <c r="S189" s="559"/>
      <c r="T189" s="559">
        <v>4</v>
      </c>
      <c r="U189" s="559" t="str">
        <f t="shared" si="17"/>
        <v>Asset relocations</v>
      </c>
      <c r="V189" s="559">
        <f t="shared" si="18"/>
        <v>0.217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5</v>
      </c>
      <c r="B190" s="162" t="s">
        <v>312</v>
      </c>
      <c r="C190" s="121"/>
      <c r="D190" s="456">
        <f>VLOOKUP($D$6,'FS (2011)'!$A$13:$AH$244,'FS (2011)'!AH245,FALSE)/1000</f>
        <v>0.159</v>
      </c>
      <c r="E190" s="468">
        <f t="shared" si="16"/>
        <v>2.6999490575649519E-2</v>
      </c>
      <c r="P190" s="559"/>
      <c r="Q190" s="559"/>
      <c r="R190" s="559"/>
      <c r="S190" s="559"/>
      <c r="T190" s="559">
        <v>5</v>
      </c>
      <c r="U190" s="559" t="str">
        <f t="shared" si="17"/>
        <v>Non-network capex</v>
      </c>
      <c r="V190" s="559">
        <f t="shared" si="18"/>
        <v>0.159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4</v>
      </c>
      <c r="B191" s="162" t="s">
        <v>207</v>
      </c>
      <c r="C191" s="121"/>
      <c r="D191" s="456">
        <f>VLOOKUP($D$6,'FS (2011)'!$A$13:$AH$244,'FS (2011)'!AF245,FALSE)/1000</f>
        <v>0.217</v>
      </c>
      <c r="E191" s="468">
        <f t="shared" si="16"/>
        <v>3.6848361351672611E-2</v>
      </c>
      <c r="P191" s="559"/>
      <c r="Q191" s="559"/>
      <c r="R191" s="559"/>
      <c r="S191" s="559"/>
      <c r="T191" s="559">
        <v>6</v>
      </c>
      <c r="U191" s="559" t="str">
        <f t="shared" si="17"/>
        <v>Customer connection</v>
      </c>
      <c r="V191" s="559">
        <f t="shared" si="18"/>
        <v>0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5.8889999999999993</v>
      </c>
      <c r="E192" s="496">
        <f>SUM(E186:E191)</f>
        <v>1.0000000000000002</v>
      </c>
      <c r="P192" s="559"/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P193" s="559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P194" s="559"/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P195" s="559"/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8.3940765874939398</v>
      </c>
      <c r="D196" s="484">
        <f>VLOOKUP($D$38,'FS (2011)'!$A$13:$AH$244,'FS (2011)'!$AG$245,FALSE)/1000</f>
        <v>7.5874333173175899</v>
      </c>
      <c r="E196" s="484">
        <f>VLOOKUP($E$38,'FS (2011)'!$A$13:$AH$244,'FS (2011)'!$AG$245,FALSE)/1000</f>
        <v>6.1099558082509224</v>
      </c>
      <c r="F196" s="486">
        <f>VLOOKUP($F$38,'FS (2011)'!$A$13:$AH$244,'FS (2011)'!$AG$245,FALSE)/1000</f>
        <v>5.73</v>
      </c>
      <c r="P196" s="559"/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0.9886165207721479</v>
      </c>
      <c r="D197" s="456">
        <f>VLOOKUP($D$38,'FS (2011)'!$A$13:$AH$244,'FS (2011)'!$AH$245,FALSE)/1000</f>
        <v>0.62389484521930105</v>
      </c>
      <c r="E197" s="456">
        <f>VLOOKUP($E$38,'FS (2011)'!$A$13:$AH$244,'FS (2011)'!$AH$245,FALSE)/1000</f>
        <v>0.26082185874808006</v>
      </c>
      <c r="F197" s="457">
        <f>VLOOKUP($F$38,'FS (2011)'!$A$13:$AH$244,'FS (2011)'!$AH$245,FALSE)/1000</f>
        <v>0.159</v>
      </c>
      <c r="P197" s="559"/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9.3826931082660874</v>
      </c>
      <c r="D198" s="488">
        <f>SUM(D196:D197)</f>
        <v>8.2113281625368906</v>
      </c>
      <c r="E198" s="488">
        <f>SUM(E196:E197)</f>
        <v>6.3707776669990022</v>
      </c>
      <c r="F198" s="489">
        <f>SUM(F196:F197)</f>
        <v>5.8890000000000002</v>
      </c>
      <c r="P198" s="559"/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P199" s="559"/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-0.12733245108811531</v>
      </c>
      <c r="D200" s="498">
        <f t="shared" ref="D200:F202" si="20">D196/C196 - 1</f>
        <v>-9.6096725085656365E-2</v>
      </c>
      <c r="E200" s="498">
        <f t="shared" si="20"/>
        <v>-0.19472691848170398</v>
      </c>
      <c r="F200" s="495">
        <f t="shared" si="20"/>
        <v>-6.2186343105432473E-2</v>
      </c>
      <c r="P200" s="559"/>
      <c r="Q200" s="559"/>
      <c r="R200" s="559" t="s">
        <v>423</v>
      </c>
      <c r="S200" s="559">
        <f t="shared" ref="S200:V202" si="21">LN(C196)</f>
        <v>2.1275262889457744</v>
      </c>
      <c r="T200" s="559">
        <f t="shared" si="21"/>
        <v>2.0264933678550818</v>
      </c>
      <c r="U200" s="559">
        <f t="shared" si="21"/>
        <v>1.8099195404651911</v>
      </c>
      <c r="V200" s="559">
        <f t="shared" si="21"/>
        <v>1.7457155307266483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-0.47029504310768233</v>
      </c>
      <c r="D201" s="467">
        <f t="shared" si="20"/>
        <v>-0.36892128331821228</v>
      </c>
      <c r="E201" s="467">
        <f t="shared" si="20"/>
        <v>-0.58194580265140616</v>
      </c>
      <c r="F201" s="468">
        <f t="shared" si="20"/>
        <v>-0.39038851742263947</v>
      </c>
      <c r="P201" s="559"/>
      <c r="Q201" s="559"/>
      <c r="R201" s="559" t="s">
        <v>423</v>
      </c>
      <c r="S201" s="559">
        <f t="shared" si="21"/>
        <v>-1.1448766968161595E-2</v>
      </c>
      <c r="T201" s="559">
        <f t="shared" si="21"/>
        <v>-0.47177344209010219</v>
      </c>
      <c r="U201" s="559">
        <f t="shared" si="21"/>
        <v>-1.3439176382237561</v>
      </c>
      <c r="V201" s="559">
        <f t="shared" si="21"/>
        <v>-1.8388510767619055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-0.15220252876691132</v>
      </c>
      <c r="D202" s="500">
        <f t="shared" si="20"/>
        <v>-0.12484314814658415</v>
      </c>
      <c r="E202" s="500">
        <f t="shared" si="20"/>
        <v>-0.22414772118536919</v>
      </c>
      <c r="F202" s="501">
        <f t="shared" si="20"/>
        <v>-7.5623054543974777E-2</v>
      </c>
      <c r="P202" s="559"/>
      <c r="Q202" s="559"/>
      <c r="R202" s="559" t="s">
        <v>423</v>
      </c>
      <c r="S202" s="559">
        <f t="shared" si="21"/>
        <v>2.2388668335648871</v>
      </c>
      <c r="T202" s="559">
        <f t="shared" si="21"/>
        <v>2.1055146841363896</v>
      </c>
      <c r="U202" s="559">
        <f t="shared" si="21"/>
        <v>1.8517215448639792</v>
      </c>
      <c r="V202" s="559">
        <f t="shared" si="21"/>
        <v>1.7730862039624338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P203" s="559"/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P204" s="559"/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P205" s="559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">
        <v>189</v>
      </c>
      <c r="C206" s="456">
        <f>(C198/C102)*1000000</f>
        <v>226.02363432901541</v>
      </c>
      <c r="D206" s="456">
        <f>(D198/D102)*1000000</f>
        <v>196.62671302260222</v>
      </c>
      <c r="E206" s="456">
        <f>(E198/E102)*1000000</f>
        <v>150.95198718128617</v>
      </c>
      <c r="F206" s="457">
        <f>(F198/F102)*1000000</f>
        <v>138.62015394393052</v>
      </c>
      <c r="P206" s="559"/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P207" s="559"/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P208" s="559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">
        <v>112</v>
      </c>
      <c r="C209" s="456">
        <f>(C198/C117)*1000000000</f>
        <v>23318.744102439035</v>
      </c>
      <c r="D209" s="456">
        <f>(D198/D117)*1000000000</f>
        <v>20455.702661892508</v>
      </c>
      <c r="E209" s="456">
        <f>(E198/E117)*1000000000</f>
        <v>15311.461686360048</v>
      </c>
      <c r="F209" s="457">
        <f>(F198/F117)*1000000000</f>
        <v>14339.231205953889</v>
      </c>
      <c r="P209" s="559"/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P210" s="559"/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P211" s="559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">
        <v>112</v>
      </c>
      <c r="C212" s="456">
        <f>(C198/VLOOKUP(C$38,'AV (2011)'!$A$11:$F$213,'AV (2011)'!$F$214,FALSE)*1000)</f>
        <v>7.1107751406712813E-2</v>
      </c>
      <c r="D212" s="456">
        <f>(D198/VLOOKUP(D$38,'AV (2011)'!$A$11:$F$213,'AV (2011)'!$F$214,FALSE)*1000)</f>
        <v>6.1030315169497619E-2</v>
      </c>
      <c r="E212" s="456">
        <f>(E198/VLOOKUP(E$38,'AV (2011)'!$A$11:$F$213,'AV (2011)'!$F$214,FALSE)*1000)</f>
        <v>4.717443397657696E-2</v>
      </c>
      <c r="F212" s="457">
        <f>(F198/VLOOKUP(F$38,'AV (2011)'!$A$11:$F$213,'AV (2011)'!$F$214,FALSE)*1000)</f>
        <v>4.4146985999280783E-2</v>
      </c>
      <c r="J212" s="135"/>
      <c r="P212" s="559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P213" s="559"/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P214" s="559"/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-0.15895082639842828</v>
      </c>
      <c r="D215" s="464">
        <f>D206/C206 - 1</f>
        <v>-0.13006127166162207</v>
      </c>
      <c r="E215" s="464">
        <f>E206/D206 - 1</f>
        <v>-0.23229155967259518</v>
      </c>
      <c r="F215" s="465">
        <f>F206/E206 - 1</f>
        <v>-8.1693745591740363E-2</v>
      </c>
      <c r="K215" s="139"/>
      <c r="P215" s="559"/>
      <c r="Q215" s="559"/>
      <c r="R215" s="559" t="s">
        <v>423</v>
      </c>
      <c r="S215" s="559">
        <f>LN(C206)</f>
        <v>5.420639570481586</v>
      </c>
      <c r="T215" s="559">
        <f>LN(D206)</f>
        <v>5.2813070734706997</v>
      </c>
      <c r="U215" s="559">
        <f>LN(E206)</f>
        <v>5.0169618205662703</v>
      </c>
      <c r="V215" s="559">
        <f>LN(F206)</f>
        <v>4.931737487035539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-0.16041158336610561</v>
      </c>
      <c r="D216" s="467">
        <f>D209/C209 - 1</f>
        <v>-0.12277854364579888</v>
      </c>
      <c r="E216" s="467">
        <f>E209/D209 - 1</f>
        <v>-0.25148199798170756</v>
      </c>
      <c r="F216" s="468">
        <f>F209/E209 - 1</f>
        <v>-6.3496908415494602E-2</v>
      </c>
      <c r="P216" s="559"/>
      <c r="Q216" s="559"/>
      <c r="R216" s="559" t="s">
        <v>423</v>
      </c>
      <c r="S216" s="559">
        <f>LN(C209)</f>
        <v>10.057012784058754</v>
      </c>
      <c r="T216" s="559">
        <f>LN(D209)</f>
        <v>9.9260169813693171</v>
      </c>
      <c r="U216" s="559">
        <f>LN(E209)</f>
        <v>9.6363569567502889</v>
      </c>
      <c r="V216" s="559">
        <f>LN(F209)</f>
        <v>9.5707545008582784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-0.15528278984778432</v>
      </c>
      <c r="D217" s="470">
        <f>D212/C212 - 1</f>
        <v>-0.1417206427970924</v>
      </c>
      <c r="E217" s="470">
        <f>E212/D212 - 1</f>
        <v>-0.22703276485528778</v>
      </c>
      <c r="F217" s="471">
        <f>F212/E212 - 1</f>
        <v>-6.4175607889632835E-2</v>
      </c>
      <c r="P217" s="559"/>
      <c r="Q217" s="559"/>
      <c r="R217" s="559" t="s">
        <v>423</v>
      </c>
      <c r="S217" s="559">
        <f>LN(C212)</f>
        <v>-2.64355892692386</v>
      </c>
      <c r="T217" s="559">
        <f>LN(D212)</f>
        <v>-2.7963845682657493</v>
      </c>
      <c r="U217" s="559">
        <f>LN(E212)</f>
        <v>-3.0539031861762513</v>
      </c>
      <c r="V217" s="559">
        <f>LN(F212)</f>
        <v>-3.1202306215494438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P218" s="559"/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P219" s="559"/>
      <c r="Q219" s="559"/>
      <c r="R219" s="559"/>
      <c r="S219" s="559"/>
      <c r="T219" s="559"/>
      <c r="U219" s="559"/>
      <c r="V219" s="560" t="str">
        <f>$B$2</f>
        <v>Electra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P220" s="559"/>
      <c r="Q220" s="559"/>
      <c r="R220" s="559"/>
      <c r="S220" s="559"/>
      <c r="T220" s="559"/>
      <c r="U220" s="559"/>
      <c r="V220" s="562" t="s">
        <v>280</v>
      </c>
      <c r="W220" s="563">
        <f>C222</f>
        <v>6109.955808250922</v>
      </c>
      <c r="X220" s="563">
        <f>D222</f>
        <v>5730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Electra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P221" s="559"/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6042.7126727924324</v>
      </c>
      <c r="X221" s="563">
        <f t="shared" si="23"/>
        <v>7456.8561881921787</v>
      </c>
      <c r="Y221" s="563">
        <f t="shared" si="23"/>
        <v>6813.9710597935909</v>
      </c>
      <c r="Z221" s="563">
        <f t="shared" si="23"/>
        <v>5642.3103661987006</v>
      </c>
      <c r="AA221" s="563">
        <f t="shared" si="23"/>
        <v>4916.899571555603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6109.955808250922</v>
      </c>
      <c r="D222" s="461">
        <f>VLOOKUP(D226,'FS (2011)'!$A$14:$AJ$245,'FS (2011)'!$AG$245,FALSE)</f>
        <v>5730</v>
      </c>
      <c r="E222" s="461"/>
      <c r="F222" s="461"/>
      <c r="G222" s="461"/>
      <c r="H222" s="461"/>
      <c r="I222" s="462"/>
      <c r="P222" s="559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7458</v>
      </c>
      <c r="Y222" s="563">
        <f t="shared" si="23"/>
        <v>7086</v>
      </c>
      <c r="Z222" s="563">
        <f t="shared" si="23"/>
        <v>6941</v>
      </c>
      <c r="AA222" s="563">
        <f t="shared" si="23"/>
        <v>5246</v>
      </c>
      <c r="AB222" s="563">
        <f>H224</f>
        <v>4017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6042.7126727924324</v>
      </c>
      <c r="D223" s="461">
        <f>VLOOKUP(D227,'AM (2011)'!$A$10:$N$444,'AM (2011)'!$J$445,FALSE)</f>
        <v>7456.8561881921787</v>
      </c>
      <c r="E223" s="461">
        <f>VLOOKUP(E226,'AM (2011)'!$A$10:$N$444,'AM (2011)'!$J$445,FALSE)</f>
        <v>6813.9710597935909</v>
      </c>
      <c r="F223" s="461">
        <f>VLOOKUP(F226,'AM (2011)'!$A$10:$N$444,'AM (2011)'!$J$445,FALSE)</f>
        <v>5642.3103661987006</v>
      </c>
      <c r="G223" s="461">
        <f>VLOOKUP(G226,'AM (2011)'!$A$10:$N$444,'AM (2011)'!$J$445,FALSE)</f>
        <v>4916.899571555603</v>
      </c>
      <c r="H223" s="461"/>
      <c r="I223" s="462"/>
      <c r="P223" s="559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7801.5203619909498</v>
      </c>
      <c r="Z223" s="563">
        <f>F225</f>
        <v>7773.1689722042656</v>
      </c>
      <c r="AA223" s="563">
        <f>G225</f>
        <v>5456.1760827407888</v>
      </c>
      <c r="AB223" s="563">
        <f>H225</f>
        <v>3399.2338720103426</v>
      </c>
      <c r="AC223" s="563">
        <f>I225</f>
        <v>4785.5190691661282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7458</v>
      </c>
      <c r="E224" s="461">
        <f>VLOOKUP(E227,'AM (2011)'!$A$10:$N$444,'AM (2011)'!$J$445,FALSE)</f>
        <v>7086</v>
      </c>
      <c r="F224" s="461">
        <f>VLOOKUP(F227,'AM (2011)'!$A$10:$N$444,'AM (2011)'!$J$445,FALSE)</f>
        <v>6941</v>
      </c>
      <c r="G224" s="461">
        <f>VLOOKUP(G227,'AM (2011)'!$A$10:$N$444,'AM (2011)'!$J$445,FALSE)</f>
        <v>5246</v>
      </c>
      <c r="H224" s="461">
        <f>VLOOKUP(H227,'AM (2011)'!$A$10:$N$444,'AM (2011)'!$J$445,FALSE)</f>
        <v>4017</v>
      </c>
      <c r="I224" s="462"/>
      <c r="P224" s="559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7801.5203619909498</v>
      </c>
      <c r="F225" s="493">
        <f>VLOOKUP(F228,'AM (2011)'!$A$10:$N$444,'AM (2011)'!$J$445,FALSE)</f>
        <v>7773.1689722042656</v>
      </c>
      <c r="G225" s="493">
        <f>VLOOKUP(G228,'AM (2011)'!$A$10:$N$444,'AM (2011)'!$J$445,FALSE)</f>
        <v>5456.1760827407888</v>
      </c>
      <c r="H225" s="493">
        <f>VLOOKUP(H228,'AM (2011)'!$A$10:$N$444,'AM (2011)'!$J$445,FALSE)</f>
        <v>3399.2338720103426</v>
      </c>
      <c r="I225" s="494">
        <f>VLOOKUP(I228,'AM (2011)'!$A$10:$N$444,'AM (2011)'!$J$445,FALSE)</f>
        <v>4785.5190691661282</v>
      </c>
      <c r="P225" s="559"/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145</v>
      </c>
      <c r="D226" s="136">
        <f>VLOOKUP($B$2,$B$257:$Y$286,9,FALSE)</f>
        <v>146</v>
      </c>
      <c r="E226" s="136">
        <f>VLOOKUP($B$2,$B$257:$Y$286,12,FALSE)</f>
        <v>149</v>
      </c>
      <c r="F226" s="136">
        <f>VLOOKUP($B$2,$B$257:$Y$286,13,FALSE)</f>
        <v>150</v>
      </c>
      <c r="G226" s="136">
        <f>VLOOKUP($B$2,$B$257:$Y$286,14,FALSE)</f>
        <v>151</v>
      </c>
      <c r="H226" s="136"/>
      <c r="I226" s="136"/>
    </row>
    <row r="227" spans="2:30">
      <c r="C227" s="136">
        <f>VLOOKUP($B$2,$B$257:$Y$286,10,FALSE)</f>
        <v>147</v>
      </c>
      <c r="D227" s="136">
        <f>VLOOKUP($B$2,$B$257:$Y$286,11,FALSE)</f>
        <v>148</v>
      </c>
      <c r="E227" s="136">
        <f>VLOOKUP($B$2,$B$257:$Y$286,16,FALSE)</f>
        <v>153</v>
      </c>
      <c r="F227" s="136">
        <f>VLOOKUP($B$2,$B$257:$Y$286,17,FALSE)</f>
        <v>154</v>
      </c>
      <c r="G227" s="136">
        <f>VLOOKUP($B$2,$B$257:$Y$286,18,FALSE)</f>
        <v>155</v>
      </c>
      <c r="H227" s="136">
        <f>VLOOKUP($B$2,$B$257:$Y$286,19,FALSE)</f>
        <v>156</v>
      </c>
      <c r="I227" s="136"/>
    </row>
    <row r="228" spans="2:30">
      <c r="B228" s="517" t="s">
        <v>291</v>
      </c>
      <c r="C228" s="518"/>
      <c r="D228" s="518">
        <f>VLOOKUP($B$2,$B$257:$Y$286,15,FALSE)</f>
        <v>152</v>
      </c>
      <c r="E228" s="518">
        <f>VLOOKUP($B$2,$B$257:$Y$286,20,FALSE)</f>
        <v>157</v>
      </c>
      <c r="F228" s="519">
        <f>VLOOKUP($B$2,$B$257:$Y$286,21,FALSE)</f>
        <v>158</v>
      </c>
      <c r="G228" s="136">
        <f>VLOOKUP($B$2,$B$257:$Y$286,22,FALSE)</f>
        <v>159</v>
      </c>
      <c r="H228" s="136">
        <f>VLOOKUP($B$2,$B$257:$Y$286,23,FALSE)</f>
        <v>160</v>
      </c>
      <c r="I228" s="136">
        <f>VLOOKUP($B$2,$B$257:$Y$286,24,FALSE)</f>
        <v>161</v>
      </c>
    </row>
    <row r="229" spans="2:30">
      <c r="B229" s="474" t="str">
        <f>$B$2</f>
        <v>Electra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103.97</v>
      </c>
      <c r="D230" s="456">
        <f>VLOOKUP(D$38,'MP (2011)'!$A$11:$AR$245,'MP (2011)'!$S$246,FALSE)+VLOOKUP(D$38,'MP (2011)'!$A$11:$AR$245,'MP (2011)'!$T$246,FALSE)</f>
        <v>683.12</v>
      </c>
      <c r="E230" s="456">
        <f>VLOOKUP(E$38,'MP (2011)'!$A$11:$AR$245,'MP (2011)'!$S$246,FALSE)+VLOOKUP(E$38,'MP (2011)'!$A$11:$AR$245,'MP (2011)'!$T$246,FALSE)</f>
        <v>163.29</v>
      </c>
      <c r="F230" s="457">
        <f>VLOOKUP(F$38,'MP (2011)'!$A$11:$AR$245,'MP (2011)'!$S$246,FALSE)+VLOOKUP(F$38,'MP (2011)'!$A$11:$AR$245,'MP (2011)'!$T$246,FALSE)</f>
        <v>74.712999999999994</v>
      </c>
    </row>
    <row r="231" spans="2:30">
      <c r="B231" s="199" t="s">
        <v>292</v>
      </c>
      <c r="C231" s="456" t="str">
        <f>IF(ISERROR(VLOOKUP(C$38,'Compliance data'!$A$7:$E$74,'Compliance data'!$D$75,FALSE)),"",(VLOOKUP(C$38,'Compliance data'!$A$7:$E$74,'Compliance data'!$D$75,FALSE)))</f>
        <v/>
      </c>
      <c r="D231" s="456" t="str">
        <f>IF(ISERROR(VLOOKUP(D$38,'Compliance data'!$A$7:$E$74,'Compliance data'!$D$75,FALSE)),"",(VLOOKUP(D$38,'Compliance data'!$A$7:$E$74,'Compliance data'!$D$75,FALSE)))</f>
        <v/>
      </c>
      <c r="E231" s="456" t="str">
        <f>IF(ISERROR(VLOOKUP(E$38,'Compliance data'!$A$7:$E$74,'Compliance data'!$D$75,FALSE)),"",(VLOOKUP(E$38,'Compliance data'!$A$7:$E$74,'Compliance data'!$D$75,FALSE)))</f>
        <v/>
      </c>
      <c r="F231" s="457" t="str">
        <f>IF(ISERROR(VLOOKUP(F$38,'Compliance data'!$A$7:$E$74,'Compliance data'!$D$75,FALSE)),"",(VLOOKUP(F$38,'Compliance data'!$A$7:$E$74,'Compliance data'!$D$75,FALSE)))</f>
        <v/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1.6099999999999999</v>
      </c>
      <c r="D237" s="456">
        <f>VLOOKUP(D$38,'MP (2011)'!$A$11:$AR$245,'MP (2011)'!$W$246,FALSE)+VLOOKUP(D$38,'MP (2011)'!$A$11:$AR$245,'MP (2011)'!$X$246,FALSE)</f>
        <v>2.94</v>
      </c>
      <c r="E237" s="456">
        <f>VLOOKUP(E$38,'MP (2011)'!$A$11:$AR$245,'MP (2011)'!$W$246,FALSE)+VLOOKUP(E$38,'MP (2011)'!$A$11:$AR$245,'MP (2011)'!$X$246,FALSE)</f>
        <v>3.15</v>
      </c>
      <c r="F237" s="457">
        <f>VLOOKUP(F$38,'MP (2011)'!$A$11:$AR$245,'MP (2011)'!$W$246,FALSE)+VLOOKUP(F$38,'MP (2011)'!$A$11:$AR$245,'MP (2011)'!$X$246,FALSE)</f>
        <v>1.617</v>
      </c>
    </row>
    <row r="238" spans="2:30">
      <c r="B238" s="199" t="s">
        <v>292</v>
      </c>
      <c r="C238" s="456" t="str">
        <f>IF(ISERROR(VLOOKUP(C$38,'Compliance data'!$A$7:$E$74,'Compliance data'!$E$75,FALSE)),"",(VLOOKUP(C$38,'Compliance data'!$A$7:$E$74,'Compliance data'!$E$75,FALSE)))</f>
        <v/>
      </c>
      <c r="D238" s="456" t="str">
        <f>IF(ISERROR(VLOOKUP(D$38,'Compliance data'!$A$7:$E$74,'Compliance data'!$E$75,FALSE)),"",(VLOOKUP(D$38,'Compliance data'!$A$7:$E$74,'Compliance data'!$E$75,FALSE)))</f>
        <v/>
      </c>
      <c r="E238" s="456" t="str">
        <f>IF(ISERROR(VLOOKUP(E$38,'Compliance data'!$A$7:$E$74,'Compliance data'!$E$75,FALSE)),"",(VLOOKUP(E$38,'Compliance data'!$A$7:$E$74,'Compliance data'!$E$75,FALSE)))</f>
        <v/>
      </c>
      <c r="F238" s="457" t="str">
        <f>IF(ISERROR(VLOOKUP(F$38,'Compliance data'!$A$7:$E$74,'Compliance data'!$E$75,FALSE)),"",(VLOOKUP(F$38,'Compliance data'!$A$7:$E$74,'Compliance data'!$E$75,FALSE)))</f>
        <v/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T258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si="24"/>
        <v>18</v>
      </c>
      <c r="U258" s="526">
        <f t="shared" ref="T258:Y273" si="25">T258+1</f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ref="D259:S274" si="26">C259+1</f>
        <v>25</v>
      </c>
      <c r="E259" s="526">
        <f t="shared" si="26"/>
        <v>26</v>
      </c>
      <c r="F259" s="526">
        <f t="shared" si="26"/>
        <v>27</v>
      </c>
      <c r="G259" s="526">
        <f t="shared" si="26"/>
        <v>28</v>
      </c>
      <c r="H259" s="526">
        <f t="shared" si="26"/>
        <v>29</v>
      </c>
      <c r="I259" s="526">
        <f t="shared" si="26"/>
        <v>30</v>
      </c>
      <c r="J259" s="526">
        <f t="shared" si="26"/>
        <v>31</v>
      </c>
      <c r="K259" s="526">
        <f t="shared" si="26"/>
        <v>32</v>
      </c>
      <c r="L259" s="526">
        <f t="shared" si="26"/>
        <v>33</v>
      </c>
      <c r="M259" s="526">
        <f t="shared" si="26"/>
        <v>34</v>
      </c>
      <c r="N259" s="526">
        <f t="shared" si="26"/>
        <v>35</v>
      </c>
      <c r="O259" s="526">
        <f t="shared" si="26"/>
        <v>36</v>
      </c>
      <c r="P259" s="526">
        <f t="shared" si="26"/>
        <v>37</v>
      </c>
      <c r="Q259" s="526">
        <f t="shared" si="26"/>
        <v>38</v>
      </c>
      <c r="R259" s="526">
        <f t="shared" si="26"/>
        <v>39</v>
      </c>
      <c r="S259" s="526">
        <f t="shared" si="26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7">Y259+1</f>
        <v>47</v>
      </c>
      <c r="D260" s="526">
        <f t="shared" si="26"/>
        <v>48</v>
      </c>
      <c r="E260" s="526">
        <f t="shared" si="26"/>
        <v>49</v>
      </c>
      <c r="F260" s="526">
        <f t="shared" si="26"/>
        <v>50</v>
      </c>
      <c r="G260" s="526">
        <f t="shared" si="26"/>
        <v>51</v>
      </c>
      <c r="H260" s="526">
        <f t="shared" si="26"/>
        <v>52</v>
      </c>
      <c r="I260" s="526">
        <f t="shared" si="26"/>
        <v>53</v>
      </c>
      <c r="J260" s="526">
        <f t="shared" si="26"/>
        <v>54</v>
      </c>
      <c r="K260" s="526">
        <f t="shared" si="26"/>
        <v>55</v>
      </c>
      <c r="L260" s="526">
        <f t="shared" si="26"/>
        <v>56</v>
      </c>
      <c r="M260" s="526">
        <f t="shared" si="26"/>
        <v>57</v>
      </c>
      <c r="N260" s="526">
        <f t="shared" si="26"/>
        <v>58</v>
      </c>
      <c r="O260" s="526">
        <f t="shared" si="26"/>
        <v>59</v>
      </c>
      <c r="P260" s="526">
        <f t="shared" si="26"/>
        <v>60</v>
      </c>
      <c r="Q260" s="526">
        <f t="shared" si="26"/>
        <v>61</v>
      </c>
      <c r="R260" s="526">
        <f t="shared" si="26"/>
        <v>62</v>
      </c>
      <c r="S260" s="526">
        <f t="shared" si="26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7"/>
        <v>70</v>
      </c>
      <c r="D261" s="526">
        <f t="shared" si="26"/>
        <v>71</v>
      </c>
      <c r="E261" s="526">
        <f t="shared" si="26"/>
        <v>72</v>
      </c>
      <c r="F261" s="526">
        <f t="shared" si="26"/>
        <v>73</v>
      </c>
      <c r="G261" s="526">
        <f t="shared" si="26"/>
        <v>74</v>
      </c>
      <c r="H261" s="526">
        <f t="shared" si="26"/>
        <v>75</v>
      </c>
      <c r="I261" s="526">
        <f t="shared" si="26"/>
        <v>76</v>
      </c>
      <c r="J261" s="526">
        <f t="shared" si="26"/>
        <v>77</v>
      </c>
      <c r="K261" s="526">
        <f t="shared" si="26"/>
        <v>78</v>
      </c>
      <c r="L261" s="526">
        <f t="shared" si="26"/>
        <v>79</v>
      </c>
      <c r="M261" s="526">
        <f t="shared" si="26"/>
        <v>80</v>
      </c>
      <c r="N261" s="526">
        <f t="shared" si="26"/>
        <v>81</v>
      </c>
      <c r="O261" s="526">
        <f t="shared" si="26"/>
        <v>82</v>
      </c>
      <c r="P261" s="526">
        <f t="shared" si="26"/>
        <v>83</v>
      </c>
      <c r="Q261" s="526">
        <f t="shared" si="26"/>
        <v>84</v>
      </c>
      <c r="R261" s="526">
        <f t="shared" si="26"/>
        <v>85</v>
      </c>
      <c r="S261" s="526">
        <f t="shared" si="26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7"/>
        <v>93</v>
      </c>
      <c r="D262" s="526">
        <f t="shared" si="26"/>
        <v>94</v>
      </c>
      <c r="E262" s="526">
        <f t="shared" si="26"/>
        <v>95</v>
      </c>
      <c r="F262" s="526">
        <f t="shared" si="26"/>
        <v>96</v>
      </c>
      <c r="G262" s="526">
        <f t="shared" si="26"/>
        <v>97</v>
      </c>
      <c r="H262" s="526">
        <f t="shared" si="26"/>
        <v>98</v>
      </c>
      <c r="I262" s="526">
        <f t="shared" si="26"/>
        <v>99</v>
      </c>
      <c r="J262" s="526">
        <f t="shared" si="26"/>
        <v>100</v>
      </c>
      <c r="K262" s="526">
        <f t="shared" si="26"/>
        <v>101</v>
      </c>
      <c r="L262" s="526">
        <f t="shared" si="26"/>
        <v>102</v>
      </c>
      <c r="M262" s="526">
        <f t="shared" si="26"/>
        <v>103</v>
      </c>
      <c r="N262" s="526">
        <f t="shared" si="26"/>
        <v>104</v>
      </c>
      <c r="O262" s="526">
        <f t="shared" si="26"/>
        <v>105</v>
      </c>
      <c r="P262" s="526">
        <f t="shared" si="26"/>
        <v>106</v>
      </c>
      <c r="Q262" s="526">
        <f t="shared" si="26"/>
        <v>107</v>
      </c>
      <c r="R262" s="526">
        <f t="shared" si="26"/>
        <v>108</v>
      </c>
      <c r="S262" s="526">
        <f t="shared" si="26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7"/>
        <v>116</v>
      </c>
      <c r="D263" s="526">
        <f t="shared" si="26"/>
        <v>117</v>
      </c>
      <c r="E263" s="526">
        <f t="shared" si="26"/>
        <v>118</v>
      </c>
      <c r="F263" s="526">
        <f t="shared" si="26"/>
        <v>119</v>
      </c>
      <c r="G263" s="526">
        <f t="shared" si="26"/>
        <v>120</v>
      </c>
      <c r="H263" s="526">
        <f t="shared" si="26"/>
        <v>121</v>
      </c>
      <c r="I263" s="526">
        <f t="shared" si="26"/>
        <v>122</v>
      </c>
      <c r="J263" s="526">
        <f t="shared" si="26"/>
        <v>123</v>
      </c>
      <c r="K263" s="526">
        <f t="shared" si="26"/>
        <v>124</v>
      </c>
      <c r="L263" s="526">
        <f t="shared" si="26"/>
        <v>125</v>
      </c>
      <c r="M263" s="526">
        <f t="shared" si="26"/>
        <v>126</v>
      </c>
      <c r="N263" s="526">
        <f t="shared" si="26"/>
        <v>127</v>
      </c>
      <c r="O263" s="526">
        <f t="shared" si="26"/>
        <v>128</v>
      </c>
      <c r="P263" s="526">
        <f t="shared" si="26"/>
        <v>129</v>
      </c>
      <c r="Q263" s="526">
        <f t="shared" si="26"/>
        <v>130</v>
      </c>
      <c r="R263" s="526">
        <f t="shared" si="26"/>
        <v>131</v>
      </c>
      <c r="S263" s="526">
        <f t="shared" si="26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7"/>
        <v>139</v>
      </c>
      <c r="D264" s="526">
        <f t="shared" si="26"/>
        <v>140</v>
      </c>
      <c r="E264" s="526">
        <f t="shared" si="26"/>
        <v>141</v>
      </c>
      <c r="F264" s="526">
        <f t="shared" si="26"/>
        <v>142</v>
      </c>
      <c r="G264" s="526">
        <f t="shared" si="26"/>
        <v>143</v>
      </c>
      <c r="H264" s="526">
        <f t="shared" si="26"/>
        <v>144</v>
      </c>
      <c r="I264" s="526">
        <f t="shared" si="26"/>
        <v>145</v>
      </c>
      <c r="J264" s="526">
        <f t="shared" si="26"/>
        <v>146</v>
      </c>
      <c r="K264" s="526">
        <f t="shared" si="26"/>
        <v>147</v>
      </c>
      <c r="L264" s="526">
        <f t="shared" si="26"/>
        <v>148</v>
      </c>
      <c r="M264" s="526">
        <f t="shared" si="26"/>
        <v>149</v>
      </c>
      <c r="N264" s="526">
        <f t="shared" si="26"/>
        <v>150</v>
      </c>
      <c r="O264" s="526">
        <f t="shared" si="26"/>
        <v>151</v>
      </c>
      <c r="P264" s="526">
        <f t="shared" si="26"/>
        <v>152</v>
      </c>
      <c r="Q264" s="526">
        <f t="shared" si="26"/>
        <v>153</v>
      </c>
      <c r="R264" s="526">
        <f t="shared" si="26"/>
        <v>154</v>
      </c>
      <c r="S264" s="526">
        <f t="shared" si="26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7"/>
        <v>162</v>
      </c>
      <c r="D265" s="526">
        <f t="shared" si="26"/>
        <v>163</v>
      </c>
      <c r="E265" s="526">
        <f t="shared" si="26"/>
        <v>164</v>
      </c>
      <c r="F265" s="526">
        <f t="shared" si="26"/>
        <v>165</v>
      </c>
      <c r="G265" s="526">
        <f t="shared" si="26"/>
        <v>166</v>
      </c>
      <c r="H265" s="526">
        <f t="shared" si="26"/>
        <v>167</v>
      </c>
      <c r="I265" s="526">
        <f t="shared" si="26"/>
        <v>168</v>
      </c>
      <c r="J265" s="526">
        <f t="shared" si="26"/>
        <v>169</v>
      </c>
      <c r="K265" s="526">
        <f t="shared" si="26"/>
        <v>170</v>
      </c>
      <c r="L265" s="526">
        <f t="shared" si="26"/>
        <v>171</v>
      </c>
      <c r="M265" s="526">
        <f t="shared" si="26"/>
        <v>172</v>
      </c>
      <c r="N265" s="526">
        <f t="shared" si="26"/>
        <v>173</v>
      </c>
      <c r="O265" s="526">
        <f t="shared" si="26"/>
        <v>174</v>
      </c>
      <c r="P265" s="526">
        <f t="shared" si="26"/>
        <v>175</v>
      </c>
      <c r="Q265" s="526">
        <f t="shared" si="26"/>
        <v>176</v>
      </c>
      <c r="R265" s="526">
        <f t="shared" si="26"/>
        <v>177</v>
      </c>
      <c r="S265" s="526">
        <f t="shared" si="26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7"/>
        <v>185</v>
      </c>
      <c r="D266" s="526">
        <f t="shared" si="26"/>
        <v>186</v>
      </c>
      <c r="E266" s="526">
        <f t="shared" si="26"/>
        <v>187</v>
      </c>
      <c r="F266" s="526">
        <f t="shared" si="26"/>
        <v>188</v>
      </c>
      <c r="G266" s="526">
        <f t="shared" si="26"/>
        <v>189</v>
      </c>
      <c r="H266" s="526">
        <f t="shared" si="26"/>
        <v>190</v>
      </c>
      <c r="I266" s="526">
        <f t="shared" si="26"/>
        <v>191</v>
      </c>
      <c r="J266" s="526">
        <f t="shared" si="26"/>
        <v>192</v>
      </c>
      <c r="K266" s="526">
        <f t="shared" si="26"/>
        <v>193</v>
      </c>
      <c r="L266" s="526">
        <f t="shared" si="26"/>
        <v>194</v>
      </c>
      <c r="M266" s="526">
        <f t="shared" si="26"/>
        <v>195</v>
      </c>
      <c r="N266" s="526">
        <f t="shared" si="26"/>
        <v>196</v>
      </c>
      <c r="O266" s="526">
        <f t="shared" si="26"/>
        <v>197</v>
      </c>
      <c r="P266" s="526">
        <f t="shared" si="26"/>
        <v>198</v>
      </c>
      <c r="Q266" s="526">
        <f t="shared" si="26"/>
        <v>199</v>
      </c>
      <c r="R266" s="526">
        <f t="shared" si="26"/>
        <v>200</v>
      </c>
      <c r="S266" s="526">
        <f t="shared" si="26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7"/>
        <v>208</v>
      </c>
      <c r="D267" s="526">
        <f t="shared" si="26"/>
        <v>209</v>
      </c>
      <c r="E267" s="526">
        <f t="shared" si="26"/>
        <v>210</v>
      </c>
      <c r="F267" s="526">
        <f t="shared" si="26"/>
        <v>211</v>
      </c>
      <c r="G267" s="526">
        <f t="shared" si="26"/>
        <v>212</v>
      </c>
      <c r="H267" s="526">
        <f t="shared" si="26"/>
        <v>213</v>
      </c>
      <c r="I267" s="526">
        <f t="shared" si="26"/>
        <v>214</v>
      </c>
      <c r="J267" s="526">
        <f t="shared" si="26"/>
        <v>215</v>
      </c>
      <c r="K267" s="526">
        <f t="shared" si="26"/>
        <v>216</v>
      </c>
      <c r="L267" s="526">
        <f t="shared" si="26"/>
        <v>217</v>
      </c>
      <c r="M267" s="526">
        <f t="shared" si="26"/>
        <v>218</v>
      </c>
      <c r="N267" s="526">
        <f t="shared" si="26"/>
        <v>219</v>
      </c>
      <c r="O267" s="526">
        <f t="shared" si="26"/>
        <v>220</v>
      </c>
      <c r="P267" s="526">
        <f t="shared" si="26"/>
        <v>221</v>
      </c>
      <c r="Q267" s="526">
        <f t="shared" si="26"/>
        <v>222</v>
      </c>
      <c r="R267" s="526">
        <f t="shared" si="26"/>
        <v>223</v>
      </c>
      <c r="S267" s="526">
        <f t="shared" si="26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7"/>
        <v>231</v>
      </c>
      <c r="D268" s="526">
        <f t="shared" si="26"/>
        <v>232</v>
      </c>
      <c r="E268" s="526">
        <f t="shared" si="26"/>
        <v>233</v>
      </c>
      <c r="F268" s="526">
        <f t="shared" si="26"/>
        <v>234</v>
      </c>
      <c r="G268" s="526">
        <f t="shared" si="26"/>
        <v>235</v>
      </c>
      <c r="H268" s="526">
        <f t="shared" si="26"/>
        <v>236</v>
      </c>
      <c r="I268" s="526">
        <f t="shared" si="26"/>
        <v>237</v>
      </c>
      <c r="J268" s="526">
        <f t="shared" si="26"/>
        <v>238</v>
      </c>
      <c r="K268" s="526">
        <f t="shared" si="26"/>
        <v>239</v>
      </c>
      <c r="L268" s="526">
        <f t="shared" si="26"/>
        <v>240</v>
      </c>
      <c r="M268" s="526">
        <f t="shared" si="26"/>
        <v>241</v>
      </c>
      <c r="N268" s="526">
        <f t="shared" si="26"/>
        <v>242</v>
      </c>
      <c r="O268" s="526">
        <f t="shared" si="26"/>
        <v>243</v>
      </c>
      <c r="P268" s="526">
        <f t="shared" si="26"/>
        <v>244</v>
      </c>
      <c r="Q268" s="526">
        <f t="shared" si="26"/>
        <v>245</v>
      </c>
      <c r="R268" s="526">
        <f t="shared" si="26"/>
        <v>246</v>
      </c>
      <c r="S268" s="526">
        <f t="shared" si="26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7"/>
        <v>254</v>
      </c>
      <c r="D269" s="526">
        <f t="shared" si="26"/>
        <v>255</v>
      </c>
      <c r="E269" s="526">
        <f t="shared" si="26"/>
        <v>256</v>
      </c>
      <c r="F269" s="526">
        <f t="shared" si="26"/>
        <v>257</v>
      </c>
      <c r="G269" s="526">
        <f t="shared" si="26"/>
        <v>258</v>
      </c>
      <c r="H269" s="526">
        <f t="shared" si="26"/>
        <v>259</v>
      </c>
      <c r="I269" s="526">
        <f t="shared" si="26"/>
        <v>260</v>
      </c>
      <c r="J269" s="526">
        <f t="shared" si="26"/>
        <v>261</v>
      </c>
      <c r="K269" s="526">
        <f t="shared" si="26"/>
        <v>262</v>
      </c>
      <c r="L269" s="526">
        <f t="shared" si="26"/>
        <v>263</v>
      </c>
      <c r="M269" s="526">
        <f t="shared" si="26"/>
        <v>264</v>
      </c>
      <c r="N269" s="526">
        <f t="shared" si="26"/>
        <v>265</v>
      </c>
      <c r="O269" s="526">
        <f t="shared" si="26"/>
        <v>266</v>
      </c>
      <c r="P269" s="526">
        <f t="shared" si="26"/>
        <v>267</v>
      </c>
      <c r="Q269" s="526">
        <f t="shared" si="26"/>
        <v>268</v>
      </c>
      <c r="R269" s="526">
        <f t="shared" si="26"/>
        <v>269</v>
      </c>
      <c r="S269" s="526">
        <f t="shared" si="26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7"/>
        <v>277</v>
      </c>
      <c r="D270" s="526">
        <f t="shared" si="26"/>
        <v>278</v>
      </c>
      <c r="E270" s="526">
        <f t="shared" si="26"/>
        <v>279</v>
      </c>
      <c r="F270" s="526">
        <f t="shared" si="26"/>
        <v>280</v>
      </c>
      <c r="G270" s="526">
        <f t="shared" si="26"/>
        <v>281</v>
      </c>
      <c r="H270" s="526">
        <f t="shared" si="26"/>
        <v>282</v>
      </c>
      <c r="I270" s="526">
        <f t="shared" si="26"/>
        <v>283</v>
      </c>
      <c r="J270" s="526">
        <f t="shared" si="26"/>
        <v>284</v>
      </c>
      <c r="K270" s="526">
        <f t="shared" si="26"/>
        <v>285</v>
      </c>
      <c r="L270" s="526">
        <f t="shared" si="26"/>
        <v>286</v>
      </c>
      <c r="M270" s="526">
        <f t="shared" si="26"/>
        <v>287</v>
      </c>
      <c r="N270" s="526">
        <f t="shared" si="26"/>
        <v>288</v>
      </c>
      <c r="O270" s="526">
        <f t="shared" si="26"/>
        <v>289</v>
      </c>
      <c r="P270" s="526">
        <f t="shared" si="26"/>
        <v>290</v>
      </c>
      <c r="Q270" s="526">
        <f t="shared" si="26"/>
        <v>291</v>
      </c>
      <c r="R270" s="526">
        <f t="shared" si="26"/>
        <v>292</v>
      </c>
      <c r="S270" s="526">
        <f t="shared" si="26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7"/>
        <v>300</v>
      </c>
      <c r="D271" s="526">
        <f t="shared" si="26"/>
        <v>301</v>
      </c>
      <c r="E271" s="526">
        <f t="shared" si="26"/>
        <v>302</v>
      </c>
      <c r="F271" s="526">
        <f t="shared" si="26"/>
        <v>303</v>
      </c>
      <c r="G271" s="526">
        <f t="shared" si="26"/>
        <v>304</v>
      </c>
      <c r="H271" s="526">
        <f t="shared" si="26"/>
        <v>305</v>
      </c>
      <c r="I271" s="526">
        <f t="shared" si="26"/>
        <v>306</v>
      </c>
      <c r="J271" s="526">
        <f t="shared" si="26"/>
        <v>307</v>
      </c>
      <c r="K271" s="526">
        <f t="shared" si="26"/>
        <v>308</v>
      </c>
      <c r="L271" s="526">
        <f t="shared" si="26"/>
        <v>309</v>
      </c>
      <c r="M271" s="526">
        <f t="shared" si="26"/>
        <v>310</v>
      </c>
      <c r="N271" s="526">
        <f t="shared" si="26"/>
        <v>311</v>
      </c>
      <c r="O271" s="526">
        <f t="shared" si="26"/>
        <v>312</v>
      </c>
      <c r="P271" s="526">
        <f t="shared" si="26"/>
        <v>313</v>
      </c>
      <c r="Q271" s="526">
        <f t="shared" si="26"/>
        <v>314</v>
      </c>
      <c r="R271" s="526">
        <f t="shared" si="26"/>
        <v>315</v>
      </c>
      <c r="S271" s="526">
        <f t="shared" si="26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7"/>
        <v>323</v>
      </c>
      <c r="D272" s="526">
        <f t="shared" si="26"/>
        <v>324</v>
      </c>
      <c r="E272" s="526">
        <f t="shared" si="26"/>
        <v>325</v>
      </c>
      <c r="F272" s="526">
        <f t="shared" si="26"/>
        <v>326</v>
      </c>
      <c r="G272" s="526">
        <f t="shared" si="26"/>
        <v>327</v>
      </c>
      <c r="H272" s="526">
        <f t="shared" si="26"/>
        <v>328</v>
      </c>
      <c r="I272" s="526">
        <f t="shared" si="26"/>
        <v>329</v>
      </c>
      <c r="J272" s="526">
        <f t="shared" si="26"/>
        <v>330</v>
      </c>
      <c r="K272" s="526">
        <f t="shared" si="26"/>
        <v>331</v>
      </c>
      <c r="L272" s="526">
        <f t="shared" si="26"/>
        <v>332</v>
      </c>
      <c r="M272" s="526">
        <f t="shared" si="26"/>
        <v>333</v>
      </c>
      <c r="N272" s="526">
        <f t="shared" si="26"/>
        <v>334</v>
      </c>
      <c r="O272" s="526">
        <f t="shared" si="26"/>
        <v>335</v>
      </c>
      <c r="P272" s="526">
        <f t="shared" si="26"/>
        <v>336</v>
      </c>
      <c r="Q272" s="526">
        <f t="shared" si="26"/>
        <v>337</v>
      </c>
      <c r="R272" s="526">
        <f t="shared" si="26"/>
        <v>338</v>
      </c>
      <c r="S272" s="526">
        <f t="shared" si="26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7"/>
        <v>346</v>
      </c>
      <c r="D273" s="526">
        <f t="shared" si="26"/>
        <v>347</v>
      </c>
      <c r="E273" s="526">
        <f t="shared" si="26"/>
        <v>348</v>
      </c>
      <c r="F273" s="526">
        <f t="shared" si="26"/>
        <v>349</v>
      </c>
      <c r="G273" s="526">
        <f t="shared" si="26"/>
        <v>350</v>
      </c>
      <c r="H273" s="526">
        <f t="shared" si="26"/>
        <v>351</v>
      </c>
      <c r="I273" s="526">
        <f t="shared" si="26"/>
        <v>352</v>
      </c>
      <c r="J273" s="526">
        <f t="shared" si="26"/>
        <v>353</v>
      </c>
      <c r="K273" s="526">
        <f t="shared" si="26"/>
        <v>354</v>
      </c>
      <c r="L273" s="526">
        <f t="shared" si="26"/>
        <v>355</v>
      </c>
      <c r="M273" s="526">
        <f t="shared" si="26"/>
        <v>356</v>
      </c>
      <c r="N273" s="526">
        <f t="shared" si="26"/>
        <v>357</v>
      </c>
      <c r="O273" s="526">
        <f t="shared" si="26"/>
        <v>358</v>
      </c>
      <c r="P273" s="526">
        <f t="shared" si="26"/>
        <v>359</v>
      </c>
      <c r="Q273" s="526">
        <f t="shared" si="26"/>
        <v>360</v>
      </c>
      <c r="R273" s="526">
        <f t="shared" si="26"/>
        <v>361</v>
      </c>
      <c r="S273" s="526">
        <f t="shared" si="26"/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7"/>
        <v>369</v>
      </c>
      <c r="D274" s="526">
        <f t="shared" si="26"/>
        <v>370</v>
      </c>
      <c r="E274" s="526">
        <f t="shared" si="26"/>
        <v>371</v>
      </c>
      <c r="F274" s="526">
        <f t="shared" si="26"/>
        <v>372</v>
      </c>
      <c r="G274" s="526">
        <f t="shared" si="26"/>
        <v>373</v>
      </c>
      <c r="H274" s="526">
        <f t="shared" si="26"/>
        <v>374</v>
      </c>
      <c r="I274" s="526">
        <f t="shared" si="26"/>
        <v>375</v>
      </c>
      <c r="J274" s="526">
        <f t="shared" si="26"/>
        <v>376</v>
      </c>
      <c r="K274" s="526">
        <f t="shared" si="26"/>
        <v>377</v>
      </c>
      <c r="L274" s="526">
        <f t="shared" si="26"/>
        <v>378</v>
      </c>
      <c r="M274" s="526">
        <f t="shared" si="26"/>
        <v>379</v>
      </c>
      <c r="N274" s="526">
        <f t="shared" si="26"/>
        <v>380</v>
      </c>
      <c r="O274" s="526">
        <f t="shared" si="26"/>
        <v>381</v>
      </c>
      <c r="P274" s="526">
        <f t="shared" si="26"/>
        <v>382</v>
      </c>
      <c r="Q274" s="526">
        <f t="shared" si="26"/>
        <v>383</v>
      </c>
      <c r="R274" s="526">
        <f t="shared" si="26"/>
        <v>384</v>
      </c>
      <c r="S274" s="526">
        <f t="shared" ref="S274:Y286" si="28">R274+1</f>
        <v>385</v>
      </c>
      <c r="T274" s="526">
        <f t="shared" si="28"/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7"/>
        <v>392</v>
      </c>
      <c r="D275" s="526">
        <f t="shared" ref="D275:S286" si="29">C275+1</f>
        <v>393</v>
      </c>
      <c r="E275" s="526">
        <f t="shared" si="29"/>
        <v>394</v>
      </c>
      <c r="F275" s="526">
        <f t="shared" si="29"/>
        <v>395</v>
      </c>
      <c r="G275" s="526">
        <f t="shared" si="29"/>
        <v>396</v>
      </c>
      <c r="H275" s="526">
        <f t="shared" si="29"/>
        <v>397</v>
      </c>
      <c r="I275" s="526">
        <f t="shared" si="29"/>
        <v>398</v>
      </c>
      <c r="J275" s="526">
        <f t="shared" si="29"/>
        <v>399</v>
      </c>
      <c r="K275" s="526">
        <f t="shared" si="29"/>
        <v>400</v>
      </c>
      <c r="L275" s="526">
        <f t="shared" si="29"/>
        <v>401</v>
      </c>
      <c r="M275" s="526">
        <f t="shared" si="29"/>
        <v>402</v>
      </c>
      <c r="N275" s="526">
        <f t="shared" si="29"/>
        <v>403</v>
      </c>
      <c r="O275" s="526">
        <f t="shared" si="29"/>
        <v>404</v>
      </c>
      <c r="P275" s="526">
        <f t="shared" si="29"/>
        <v>405</v>
      </c>
      <c r="Q275" s="526">
        <f t="shared" si="29"/>
        <v>406</v>
      </c>
      <c r="R275" s="526">
        <f t="shared" si="29"/>
        <v>407</v>
      </c>
      <c r="S275" s="526">
        <f t="shared" si="29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7"/>
        <v>415</v>
      </c>
      <c r="D276" s="526">
        <f t="shared" si="29"/>
        <v>416</v>
      </c>
      <c r="E276" s="526">
        <f t="shared" si="29"/>
        <v>417</v>
      </c>
      <c r="F276" s="526">
        <f t="shared" si="29"/>
        <v>418</v>
      </c>
      <c r="G276" s="526">
        <f t="shared" si="29"/>
        <v>419</v>
      </c>
      <c r="H276" s="526">
        <f t="shared" si="29"/>
        <v>420</v>
      </c>
      <c r="I276" s="526">
        <f t="shared" si="29"/>
        <v>421</v>
      </c>
      <c r="J276" s="526">
        <f t="shared" si="29"/>
        <v>422</v>
      </c>
      <c r="K276" s="526">
        <f t="shared" si="29"/>
        <v>423</v>
      </c>
      <c r="L276" s="526">
        <f t="shared" si="29"/>
        <v>424</v>
      </c>
      <c r="M276" s="526">
        <f t="shared" si="29"/>
        <v>425</v>
      </c>
      <c r="N276" s="526">
        <f t="shared" si="29"/>
        <v>426</v>
      </c>
      <c r="O276" s="526">
        <f t="shared" si="29"/>
        <v>427</v>
      </c>
      <c r="P276" s="526">
        <f t="shared" si="29"/>
        <v>428</v>
      </c>
      <c r="Q276" s="526">
        <f t="shared" si="29"/>
        <v>429</v>
      </c>
      <c r="R276" s="526">
        <f t="shared" si="29"/>
        <v>430</v>
      </c>
      <c r="S276" s="526">
        <f t="shared" si="29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7"/>
        <v>438</v>
      </c>
      <c r="D277" s="526">
        <f t="shared" si="29"/>
        <v>439</v>
      </c>
      <c r="E277" s="526">
        <f t="shared" si="29"/>
        <v>440</v>
      </c>
      <c r="F277" s="526">
        <f t="shared" si="29"/>
        <v>441</v>
      </c>
      <c r="G277" s="526">
        <f t="shared" si="29"/>
        <v>442</v>
      </c>
      <c r="H277" s="526">
        <f t="shared" si="29"/>
        <v>443</v>
      </c>
      <c r="I277" s="526">
        <f t="shared" si="29"/>
        <v>444</v>
      </c>
      <c r="J277" s="526">
        <f t="shared" si="29"/>
        <v>445</v>
      </c>
      <c r="K277" s="526">
        <f t="shared" si="29"/>
        <v>446</v>
      </c>
      <c r="L277" s="526">
        <f t="shared" si="29"/>
        <v>447</v>
      </c>
      <c r="M277" s="526">
        <f t="shared" si="29"/>
        <v>448</v>
      </c>
      <c r="N277" s="526">
        <f t="shared" si="29"/>
        <v>449</v>
      </c>
      <c r="O277" s="526">
        <f t="shared" si="29"/>
        <v>450</v>
      </c>
      <c r="P277" s="526">
        <f t="shared" si="29"/>
        <v>451</v>
      </c>
      <c r="Q277" s="526">
        <f t="shared" si="29"/>
        <v>452</v>
      </c>
      <c r="R277" s="526">
        <f t="shared" si="29"/>
        <v>453</v>
      </c>
      <c r="S277" s="526">
        <f t="shared" si="29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7"/>
        <v>461</v>
      </c>
      <c r="D278" s="526">
        <f t="shared" si="29"/>
        <v>462</v>
      </c>
      <c r="E278" s="526">
        <f t="shared" si="29"/>
        <v>463</v>
      </c>
      <c r="F278" s="526">
        <f t="shared" si="29"/>
        <v>464</v>
      </c>
      <c r="G278" s="526">
        <f t="shared" si="29"/>
        <v>465</v>
      </c>
      <c r="H278" s="526">
        <f t="shared" si="29"/>
        <v>466</v>
      </c>
      <c r="I278" s="526">
        <f t="shared" si="29"/>
        <v>467</v>
      </c>
      <c r="J278" s="526">
        <f t="shared" si="29"/>
        <v>468</v>
      </c>
      <c r="K278" s="526">
        <f t="shared" si="29"/>
        <v>469</v>
      </c>
      <c r="L278" s="526">
        <f t="shared" si="29"/>
        <v>470</v>
      </c>
      <c r="M278" s="526">
        <f t="shared" si="29"/>
        <v>471</v>
      </c>
      <c r="N278" s="526">
        <f t="shared" si="29"/>
        <v>472</v>
      </c>
      <c r="O278" s="526">
        <f t="shared" si="29"/>
        <v>473</v>
      </c>
      <c r="P278" s="526">
        <f t="shared" si="29"/>
        <v>474</v>
      </c>
      <c r="Q278" s="526">
        <f t="shared" si="29"/>
        <v>475</v>
      </c>
      <c r="R278" s="526">
        <f t="shared" si="29"/>
        <v>476</v>
      </c>
      <c r="S278" s="526">
        <f t="shared" si="29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7"/>
        <v>484</v>
      </c>
      <c r="D279" s="526">
        <f t="shared" si="29"/>
        <v>485</v>
      </c>
      <c r="E279" s="526">
        <f t="shared" si="29"/>
        <v>486</v>
      </c>
      <c r="F279" s="526">
        <f t="shared" si="29"/>
        <v>487</v>
      </c>
      <c r="G279" s="526">
        <f t="shared" si="29"/>
        <v>488</v>
      </c>
      <c r="H279" s="526">
        <f t="shared" si="29"/>
        <v>489</v>
      </c>
      <c r="I279" s="526">
        <f t="shared" si="29"/>
        <v>490</v>
      </c>
      <c r="J279" s="526">
        <f t="shared" si="29"/>
        <v>491</v>
      </c>
      <c r="K279" s="526">
        <f t="shared" si="29"/>
        <v>492</v>
      </c>
      <c r="L279" s="526">
        <f t="shared" si="29"/>
        <v>493</v>
      </c>
      <c r="M279" s="526">
        <f t="shared" si="29"/>
        <v>494</v>
      </c>
      <c r="N279" s="526">
        <f t="shared" si="29"/>
        <v>495</v>
      </c>
      <c r="O279" s="526">
        <f t="shared" si="29"/>
        <v>496</v>
      </c>
      <c r="P279" s="526">
        <f t="shared" si="29"/>
        <v>497</v>
      </c>
      <c r="Q279" s="526">
        <f t="shared" si="29"/>
        <v>498</v>
      </c>
      <c r="R279" s="526">
        <f t="shared" si="29"/>
        <v>499</v>
      </c>
      <c r="S279" s="526">
        <f t="shared" si="29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7"/>
        <v>507</v>
      </c>
      <c r="D280" s="526">
        <f t="shared" si="29"/>
        <v>508</v>
      </c>
      <c r="E280" s="526">
        <f t="shared" si="29"/>
        <v>509</v>
      </c>
      <c r="F280" s="526">
        <f t="shared" si="29"/>
        <v>510</v>
      </c>
      <c r="G280" s="526">
        <f t="shared" si="29"/>
        <v>511</v>
      </c>
      <c r="H280" s="526">
        <f t="shared" si="29"/>
        <v>512</v>
      </c>
      <c r="I280" s="526">
        <f t="shared" si="29"/>
        <v>513</v>
      </c>
      <c r="J280" s="526">
        <f t="shared" si="29"/>
        <v>514</v>
      </c>
      <c r="K280" s="526">
        <f t="shared" si="29"/>
        <v>515</v>
      </c>
      <c r="L280" s="526">
        <f t="shared" si="29"/>
        <v>516</v>
      </c>
      <c r="M280" s="526">
        <f t="shared" si="29"/>
        <v>517</v>
      </c>
      <c r="N280" s="526">
        <f t="shared" si="29"/>
        <v>518</v>
      </c>
      <c r="O280" s="526">
        <f t="shared" si="29"/>
        <v>519</v>
      </c>
      <c r="P280" s="526">
        <f t="shared" si="29"/>
        <v>520</v>
      </c>
      <c r="Q280" s="526">
        <f t="shared" si="29"/>
        <v>521</v>
      </c>
      <c r="R280" s="526">
        <f t="shared" si="29"/>
        <v>522</v>
      </c>
      <c r="S280" s="526">
        <f t="shared" si="29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7"/>
        <v>530</v>
      </c>
      <c r="D281" s="526">
        <f t="shared" si="29"/>
        <v>531</v>
      </c>
      <c r="E281" s="526">
        <f t="shared" si="29"/>
        <v>532</v>
      </c>
      <c r="F281" s="526">
        <f t="shared" si="29"/>
        <v>533</v>
      </c>
      <c r="G281" s="526">
        <f t="shared" si="29"/>
        <v>534</v>
      </c>
      <c r="H281" s="526">
        <f t="shared" si="29"/>
        <v>535</v>
      </c>
      <c r="I281" s="526">
        <f t="shared" si="29"/>
        <v>536</v>
      </c>
      <c r="J281" s="526">
        <f t="shared" si="29"/>
        <v>537</v>
      </c>
      <c r="K281" s="526">
        <f t="shared" si="29"/>
        <v>538</v>
      </c>
      <c r="L281" s="526">
        <f t="shared" si="29"/>
        <v>539</v>
      </c>
      <c r="M281" s="526">
        <f t="shared" si="29"/>
        <v>540</v>
      </c>
      <c r="N281" s="526">
        <f t="shared" si="29"/>
        <v>541</v>
      </c>
      <c r="O281" s="526">
        <f t="shared" si="29"/>
        <v>542</v>
      </c>
      <c r="P281" s="526">
        <f t="shared" si="29"/>
        <v>543</v>
      </c>
      <c r="Q281" s="526">
        <f t="shared" si="29"/>
        <v>544</v>
      </c>
      <c r="R281" s="526">
        <f t="shared" si="29"/>
        <v>545</v>
      </c>
      <c r="S281" s="526">
        <f t="shared" si="29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7"/>
        <v>553</v>
      </c>
      <c r="D282" s="526">
        <f t="shared" si="29"/>
        <v>554</v>
      </c>
      <c r="E282" s="526">
        <f t="shared" si="29"/>
        <v>555</v>
      </c>
      <c r="F282" s="526">
        <f t="shared" si="29"/>
        <v>556</v>
      </c>
      <c r="G282" s="526">
        <f t="shared" si="29"/>
        <v>557</v>
      </c>
      <c r="H282" s="526">
        <f t="shared" si="29"/>
        <v>558</v>
      </c>
      <c r="I282" s="526">
        <f t="shared" si="29"/>
        <v>559</v>
      </c>
      <c r="J282" s="526">
        <f t="shared" si="29"/>
        <v>560</v>
      </c>
      <c r="K282" s="526">
        <f t="shared" si="29"/>
        <v>561</v>
      </c>
      <c r="L282" s="526">
        <f t="shared" si="29"/>
        <v>562</v>
      </c>
      <c r="M282" s="526">
        <f t="shared" si="29"/>
        <v>563</v>
      </c>
      <c r="N282" s="526">
        <f t="shared" si="29"/>
        <v>564</v>
      </c>
      <c r="O282" s="526">
        <f t="shared" si="29"/>
        <v>565</v>
      </c>
      <c r="P282" s="526">
        <f t="shared" si="29"/>
        <v>566</v>
      </c>
      <c r="Q282" s="526">
        <f t="shared" si="29"/>
        <v>567</v>
      </c>
      <c r="R282" s="526">
        <f t="shared" si="29"/>
        <v>568</v>
      </c>
      <c r="S282" s="526">
        <f t="shared" si="29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7"/>
        <v>576</v>
      </c>
      <c r="D283" s="526">
        <f t="shared" si="29"/>
        <v>577</v>
      </c>
      <c r="E283" s="526">
        <f t="shared" si="29"/>
        <v>578</v>
      </c>
      <c r="F283" s="526">
        <f t="shared" si="29"/>
        <v>579</v>
      </c>
      <c r="G283" s="526">
        <f t="shared" si="29"/>
        <v>580</v>
      </c>
      <c r="H283" s="526">
        <f t="shared" si="29"/>
        <v>581</v>
      </c>
      <c r="I283" s="526">
        <f t="shared" si="29"/>
        <v>582</v>
      </c>
      <c r="J283" s="526">
        <f t="shared" si="29"/>
        <v>583</v>
      </c>
      <c r="K283" s="526">
        <f t="shared" si="29"/>
        <v>584</v>
      </c>
      <c r="L283" s="526">
        <f t="shared" si="29"/>
        <v>585</v>
      </c>
      <c r="M283" s="526">
        <f t="shared" si="29"/>
        <v>586</v>
      </c>
      <c r="N283" s="526">
        <f t="shared" si="29"/>
        <v>587</v>
      </c>
      <c r="O283" s="526">
        <f t="shared" si="29"/>
        <v>588</v>
      </c>
      <c r="P283" s="526">
        <f t="shared" si="29"/>
        <v>589</v>
      </c>
      <c r="Q283" s="526">
        <f t="shared" si="29"/>
        <v>590</v>
      </c>
      <c r="R283" s="526">
        <f t="shared" si="29"/>
        <v>591</v>
      </c>
      <c r="S283" s="526">
        <f t="shared" si="29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7"/>
        <v>599</v>
      </c>
      <c r="D284" s="526">
        <f t="shared" si="29"/>
        <v>600</v>
      </c>
      <c r="E284" s="526">
        <f t="shared" si="29"/>
        <v>601</v>
      </c>
      <c r="F284" s="526">
        <f t="shared" si="29"/>
        <v>602</v>
      </c>
      <c r="G284" s="526">
        <f t="shared" si="29"/>
        <v>603</v>
      </c>
      <c r="H284" s="526">
        <f t="shared" si="29"/>
        <v>604</v>
      </c>
      <c r="I284" s="526">
        <f t="shared" si="29"/>
        <v>605</v>
      </c>
      <c r="J284" s="526">
        <f t="shared" si="29"/>
        <v>606</v>
      </c>
      <c r="K284" s="526">
        <f t="shared" si="29"/>
        <v>607</v>
      </c>
      <c r="L284" s="526">
        <f t="shared" si="29"/>
        <v>608</v>
      </c>
      <c r="M284" s="526">
        <f t="shared" si="29"/>
        <v>609</v>
      </c>
      <c r="N284" s="526">
        <f t="shared" si="29"/>
        <v>610</v>
      </c>
      <c r="O284" s="526">
        <f t="shared" si="29"/>
        <v>611</v>
      </c>
      <c r="P284" s="526">
        <f t="shared" si="29"/>
        <v>612</v>
      </c>
      <c r="Q284" s="526">
        <f t="shared" si="29"/>
        <v>613</v>
      </c>
      <c r="R284" s="526">
        <f t="shared" si="29"/>
        <v>614</v>
      </c>
      <c r="S284" s="526">
        <f t="shared" si="29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7"/>
        <v>622</v>
      </c>
      <c r="D285" s="526">
        <f t="shared" si="29"/>
        <v>623</v>
      </c>
      <c r="E285" s="526">
        <f t="shared" si="29"/>
        <v>624</v>
      </c>
      <c r="F285" s="526">
        <f t="shared" si="29"/>
        <v>625</v>
      </c>
      <c r="G285" s="526">
        <f t="shared" si="29"/>
        <v>626</v>
      </c>
      <c r="H285" s="526">
        <f t="shared" si="29"/>
        <v>627</v>
      </c>
      <c r="I285" s="526">
        <f t="shared" si="29"/>
        <v>628</v>
      </c>
      <c r="J285" s="526">
        <f t="shared" si="29"/>
        <v>629</v>
      </c>
      <c r="K285" s="526">
        <f t="shared" si="29"/>
        <v>630</v>
      </c>
      <c r="L285" s="526">
        <f t="shared" si="29"/>
        <v>631</v>
      </c>
      <c r="M285" s="526">
        <f t="shared" si="29"/>
        <v>632</v>
      </c>
      <c r="N285" s="526">
        <f t="shared" si="29"/>
        <v>633</v>
      </c>
      <c r="O285" s="526">
        <f t="shared" si="29"/>
        <v>634</v>
      </c>
      <c r="P285" s="526">
        <f t="shared" si="29"/>
        <v>635</v>
      </c>
      <c r="Q285" s="526">
        <f t="shared" si="29"/>
        <v>636</v>
      </c>
      <c r="R285" s="526">
        <f t="shared" si="29"/>
        <v>637</v>
      </c>
      <c r="S285" s="526">
        <f t="shared" si="29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7"/>
        <v>645</v>
      </c>
      <c r="D286" s="526">
        <f t="shared" si="29"/>
        <v>646</v>
      </c>
      <c r="E286" s="526">
        <f t="shared" si="29"/>
        <v>647</v>
      </c>
      <c r="F286" s="526">
        <f t="shared" si="29"/>
        <v>648</v>
      </c>
      <c r="G286" s="526">
        <f t="shared" si="29"/>
        <v>649</v>
      </c>
      <c r="H286" s="526">
        <f t="shared" si="29"/>
        <v>650</v>
      </c>
      <c r="I286" s="526">
        <f t="shared" si="29"/>
        <v>651</v>
      </c>
      <c r="J286" s="526">
        <f t="shared" si="29"/>
        <v>652</v>
      </c>
      <c r="K286" s="526">
        <f t="shared" si="29"/>
        <v>653</v>
      </c>
      <c r="L286" s="526">
        <f t="shared" si="29"/>
        <v>654</v>
      </c>
      <c r="M286" s="526">
        <f t="shared" si="29"/>
        <v>655</v>
      </c>
      <c r="N286" s="526">
        <f t="shared" si="29"/>
        <v>656</v>
      </c>
      <c r="O286" s="526">
        <f t="shared" si="29"/>
        <v>657</v>
      </c>
      <c r="P286" s="526">
        <f t="shared" si="29"/>
        <v>658</v>
      </c>
      <c r="Q286" s="526">
        <f t="shared" si="29"/>
        <v>659</v>
      </c>
      <c r="R286" s="526">
        <f t="shared" si="29"/>
        <v>660</v>
      </c>
      <c r="S286" s="526">
        <f t="shared" si="29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0000"/>
  </sheetPr>
  <dimension ref="A2:AN286"/>
  <sheetViews>
    <sheetView zoomScale="70" zoomScaleNormal="70" workbookViewId="0"/>
  </sheetViews>
  <sheetFormatPr defaultColWidth="8.85546875" defaultRowHeight="15"/>
  <cols>
    <col min="1" max="1" width="3.140625" style="102" customWidth="1"/>
    <col min="2" max="2" width="34.42578125" style="102" customWidth="1"/>
    <col min="3" max="3" width="15.7109375" style="102" customWidth="1"/>
    <col min="4" max="10" width="12" style="102" customWidth="1"/>
    <col min="11" max="11" width="8.42578125" style="102" customWidth="1"/>
    <col min="12" max="26" width="8.5703125" style="102" customWidth="1"/>
    <col min="27" max="31" width="8.42578125" style="102" customWidth="1"/>
    <col min="32" max="32" width="5.140625" style="102" customWidth="1"/>
    <col min="33" max="45" width="8.42578125" style="102" customWidth="1"/>
    <col min="46" max="16384" width="8.85546875" style="102"/>
  </cols>
  <sheetData>
    <row r="2" spans="2:5" ht="18.75">
      <c r="B2" s="515" t="s">
        <v>115</v>
      </c>
    </row>
    <row r="5" spans="2:5">
      <c r="B5" s="509" t="s">
        <v>300</v>
      </c>
      <c r="C5" s="510"/>
      <c r="D5" s="510"/>
      <c r="E5" s="511"/>
    </row>
    <row r="6" spans="2:5" ht="30">
      <c r="B6" s="107" t="str">
        <f>B2</f>
        <v>Electricity Ashburton</v>
      </c>
      <c r="C6" s="108"/>
      <c r="D6" s="109">
        <f>VLOOKUP($B$6,$B$258:$J$286,9,FALSE)</f>
        <v>169</v>
      </c>
      <c r="E6" s="110" t="s">
        <v>228</v>
      </c>
    </row>
    <row r="7" spans="2:5">
      <c r="B7" s="111" t="s">
        <v>249</v>
      </c>
      <c r="C7" s="112" t="s">
        <v>319</v>
      </c>
      <c r="D7" s="406">
        <f>(VLOOKUP($D$6,'FS (2011)'!$A$13:$AH$244,'FS (2011)'!D245,FALSE)+VLOOKUP($D$6,'FS (2011)'!$A$13:$AH$244,'FS (2011)'!F245,FALSE)+VLOOKUP($D$6,'FS (2011)'!$A$13:$AH$244,'FS (2011)'!H245,FALSE))/1000</f>
        <v>27.105</v>
      </c>
      <c r="E7" s="407">
        <f>D7/('Industry calcs'!D4/1000)*100</f>
        <v>1.3149182978916329</v>
      </c>
    </row>
    <row r="8" spans="2:5">
      <c r="B8" s="111" t="s">
        <v>250</v>
      </c>
      <c r="C8" s="114"/>
      <c r="D8" s="406">
        <f>VLOOKUP(D6,'AV (2011)'!A8:F214,'AV (2011)'!F214,FALSE)/1000</f>
        <v>184.12598</v>
      </c>
      <c r="E8" s="407">
        <f>D8/('Industry calcs'!D5/1000)*100</f>
        <v>2.0515107339775871</v>
      </c>
    </row>
    <row r="9" spans="2:5">
      <c r="B9" s="111" t="s">
        <v>230</v>
      </c>
      <c r="C9" s="114"/>
      <c r="D9" s="406">
        <f>VLOOKUP($D$6,'FS (2011)'!$A$13:$AH$244,'FS (2011)'!S245,FALSE)/1000</f>
        <v>6.3860000000000001</v>
      </c>
      <c r="E9" s="407">
        <f>D9/('Industry calcs'!D6/1000)*100</f>
        <v>1.4065848183890526</v>
      </c>
    </row>
    <row r="10" spans="2:5">
      <c r="B10" s="111" t="s">
        <v>231</v>
      </c>
      <c r="C10" s="114"/>
      <c r="D10" s="406">
        <f>(VLOOKUP($D$6,'FS (2011)'!$A$13:$AH$244,'FS (2011)'!AG245,FALSE)+VLOOKUP($D$6,'FS (2011)'!$A$13:$AH$244,'FS (2011)'!AH245,FALSE))/1000</f>
        <v>16.382999999999999</v>
      </c>
      <c r="E10" s="407">
        <f>D10/('Industry calcs'!D7/1000)*100</f>
        <v>2.7997082343475093</v>
      </c>
    </row>
    <row r="11" spans="2:5">
      <c r="B11" s="111" t="s">
        <v>232</v>
      </c>
      <c r="C11" s="112" t="s">
        <v>524</v>
      </c>
      <c r="D11" s="406">
        <f>VLOOKUP($D$6,'MP (2011)'!$A$14:$AR$245,'MP (2011)'!M246,FALSE)</f>
        <v>543.05700000000002</v>
      </c>
      <c r="E11" s="407">
        <f>D11/'Industry calcs'!D8*100</f>
        <v>1.7548679000656053</v>
      </c>
    </row>
    <row r="12" spans="2:5">
      <c r="B12" s="111" t="s">
        <v>234</v>
      </c>
      <c r="C12" s="114" t="s">
        <v>235</v>
      </c>
      <c r="D12" s="406">
        <f>VLOOKUP($D$6,'MP (2011)'!$A$8:$CS$239,'MP (2011)'!$L$246,FALSE)</f>
        <v>149.0985</v>
      </c>
      <c r="E12" s="407">
        <f>D12/'Industry calcs'!D9*100</f>
        <v>2.3843370221844884</v>
      </c>
    </row>
    <row r="13" spans="2:5">
      <c r="B13" s="111" t="s">
        <v>236</v>
      </c>
      <c r="C13" s="114" t="s">
        <v>237</v>
      </c>
      <c r="D13" s="113">
        <f>VLOOKUP($D$6,'MP (2011)'!$A$14:$AR$245,'MP (2011)'!$H$246,FALSE)</f>
        <v>2960.5</v>
      </c>
      <c r="E13" s="407">
        <f>D13/'Industry calcs'!D10*100</f>
        <v>1.9793433950210424</v>
      </c>
    </row>
    <row r="14" spans="2:5">
      <c r="B14" s="111" t="s">
        <v>238</v>
      </c>
      <c r="C14" s="114" t="s">
        <v>193</v>
      </c>
      <c r="D14" s="113">
        <f>VLOOKUP($D$6,'MP (2011)'!$A$14:$AR$245,'MP (2011)'!O246,FALSE)</f>
        <v>17804</v>
      </c>
      <c r="E14" s="407">
        <f>D14/'Industry calcs'!D11*100</f>
        <v>0.88635543330802635</v>
      </c>
    </row>
    <row r="15" spans="2:5">
      <c r="B15" s="115" t="s">
        <v>195</v>
      </c>
      <c r="C15" s="116" t="s">
        <v>239</v>
      </c>
      <c r="D15" s="408">
        <f>D14/D13</f>
        <v>6.0138490119912174</v>
      </c>
      <c r="E15" s="117"/>
    </row>
    <row r="18" spans="2:12">
      <c r="B18" s="509" t="s">
        <v>294</v>
      </c>
      <c r="C18" s="510"/>
      <c r="D18" s="513"/>
      <c r="E18" s="513"/>
      <c r="F18" s="514"/>
      <c r="G18" s="103"/>
    </row>
    <row r="19" spans="2:12" s="119" customFormat="1" ht="21" customHeight="1">
      <c r="B19" s="104" t="str">
        <f>B2</f>
        <v>Electricity Ashburton</v>
      </c>
      <c r="C19" s="105">
        <v>2008</v>
      </c>
      <c r="D19" s="105">
        <v>2009</v>
      </c>
      <c r="E19" s="106">
        <v>2010</v>
      </c>
      <c r="F19" s="502">
        <v>2011</v>
      </c>
      <c r="G19" s="118"/>
      <c r="H19" s="118"/>
      <c r="I19" s="118"/>
      <c r="J19" s="118"/>
      <c r="K19" s="118"/>
      <c r="L19" s="118"/>
    </row>
    <row r="20" spans="2:12">
      <c r="B20" s="120" t="s">
        <v>240</v>
      </c>
      <c r="C20" s="409">
        <f>VLOOKUP($B$2,'MED price allocation'!$B$16:$F$44,2,FALSE)</f>
        <v>22.049813948846623</v>
      </c>
      <c r="D20" s="409">
        <f>VLOOKUP($B$2,'MED price allocation'!$B$16:$F$44,3,FALSE)</f>
        <v>22.443604914544572</v>
      </c>
      <c r="E20" s="409">
        <f>VLOOKUP($B$2,'MED price allocation'!$B$16:$F$44,4,FALSE)</f>
        <v>22.807648945056716</v>
      </c>
      <c r="F20" s="503">
        <f>VLOOKUP($B$2,'MED price allocation'!$B$16:$F$44,5,FALSE)</f>
        <v>23.37</v>
      </c>
      <c r="G20" s="121"/>
      <c r="H20" s="121"/>
      <c r="I20" s="121"/>
      <c r="J20" s="121"/>
      <c r="K20" s="121"/>
      <c r="L20" s="121"/>
    </row>
    <row r="21" spans="2:12">
      <c r="B21" s="120" t="s">
        <v>222</v>
      </c>
      <c r="C21" s="410">
        <f>VLOOKUP($B$2,'MED price allocation'!$B$47:$F$75,2,FALSE)</f>
        <v>5.2934646859228422</v>
      </c>
      <c r="D21" s="410">
        <f>VLOOKUP($B$2,'MED price allocation'!$B$47:$F$75,3,FALSE)</f>
        <v>5.0970444093623435</v>
      </c>
      <c r="E21" s="410">
        <f>VLOOKUP($B$2,'MED price allocation'!$B$47:$F$75,4,FALSE)</f>
        <v>5.4202042521085385</v>
      </c>
      <c r="F21" s="504">
        <f>VLOOKUP($B$2,'MED price allocation'!$B$47:$F$75,5,FALSE)</f>
        <v>5.4300000000000006</v>
      </c>
      <c r="G21" s="123"/>
      <c r="H21" s="123"/>
      <c r="I21" s="123"/>
      <c r="J21" s="123"/>
      <c r="K21" s="123"/>
      <c r="L21" s="123"/>
    </row>
    <row r="22" spans="2:12">
      <c r="B22" s="120" t="s">
        <v>241</v>
      </c>
      <c r="C22" s="409">
        <f>VLOOKUP($B$2,'MED price allocation'!$B$78:$F$106,2,FALSE)</f>
        <v>6.899831769838328</v>
      </c>
      <c r="D22" s="409">
        <f>VLOOKUP($B$2,'MED price allocation'!$B$78:$F$106,3,FALSE)</f>
        <v>6.6438053401057022</v>
      </c>
      <c r="E22" s="409">
        <f>VLOOKUP($B$2,'MED price allocation'!$B$78:$F$106,4,FALSE)</f>
        <v>6.5205464687020012</v>
      </c>
      <c r="F22" s="503">
        <f>VLOOKUP($B$2,'MED price allocation'!$B$78:$F$106,5,FALSE)</f>
        <v>6.53</v>
      </c>
      <c r="G22" s="121"/>
      <c r="H22" s="121"/>
      <c r="I22" s="121"/>
      <c r="J22" s="121"/>
      <c r="K22" s="121"/>
      <c r="L22" s="121"/>
    </row>
    <row r="23" spans="2:12">
      <c r="B23" s="124" t="s">
        <v>223</v>
      </c>
      <c r="C23" s="411">
        <f>VLOOKUP($B$2,'MED price allocation'!$B$109:$F$137,2,FALSE)</f>
        <v>1.6063670839154855</v>
      </c>
      <c r="D23" s="411">
        <f>VLOOKUP($B$2,'MED price allocation'!$B$109:$F$137,3,FALSE)</f>
        <v>1.5467609307433587</v>
      </c>
      <c r="E23" s="411">
        <f>VLOOKUP($B$2,'MED price allocation'!$B$109:$F$137,4,FALSE)</f>
        <v>1.1003422165934629</v>
      </c>
      <c r="F23" s="505">
        <f>VLOOKUP($B$2,'MED price allocation'!$B$109:$F$137,5,FALSE)</f>
        <v>1.0999999999999999</v>
      </c>
      <c r="G23" s="123"/>
      <c r="H23" s="123"/>
      <c r="I23" s="123"/>
      <c r="J23" s="123"/>
      <c r="K23" s="123"/>
      <c r="L23" s="123"/>
    </row>
    <row r="24" spans="2:12">
      <c r="B24" s="512" t="s">
        <v>245</v>
      </c>
      <c r="C24" s="508"/>
      <c r="D24" s="508"/>
      <c r="E24" s="508"/>
      <c r="F24" s="508"/>
      <c r="G24" s="121"/>
      <c r="H24" s="121"/>
      <c r="I24" s="121"/>
      <c r="J24" s="121"/>
    </row>
    <row r="25" spans="2:12">
      <c r="B25" s="125" t="str">
        <f>B2</f>
        <v>Electricity Ashburton</v>
      </c>
      <c r="C25" s="126">
        <v>2008</v>
      </c>
      <c r="D25" s="126">
        <v>2009</v>
      </c>
      <c r="E25" s="126">
        <v>2010</v>
      </c>
      <c r="F25" s="476">
        <v>2011</v>
      </c>
      <c r="G25" s="128"/>
      <c r="H25" s="128"/>
      <c r="I25" s="128"/>
      <c r="J25" s="128"/>
      <c r="K25" s="128"/>
      <c r="L25" s="128"/>
    </row>
    <row r="26" spans="2:12">
      <c r="B26" s="120" t="s">
        <v>242</v>
      </c>
      <c r="C26" s="412">
        <f>(C20*8000)/100</f>
        <v>1763.9851159077298</v>
      </c>
      <c r="D26" s="412">
        <f>(D20*8000)/100</f>
        <v>1795.4883931635659</v>
      </c>
      <c r="E26" s="412">
        <f>(E20*8000)/100</f>
        <v>1824.6119156045374</v>
      </c>
      <c r="F26" s="506">
        <f>(F20*8000)/100</f>
        <v>1869.6</v>
      </c>
      <c r="G26" s="121"/>
      <c r="H26" s="121"/>
      <c r="I26" s="121"/>
      <c r="J26" s="121"/>
      <c r="K26" s="121"/>
      <c r="L26" s="121"/>
    </row>
    <row r="27" spans="2:12">
      <c r="B27" s="120" t="s">
        <v>241</v>
      </c>
      <c r="C27" s="412">
        <f>(C22*8000)/100</f>
        <v>551.9865415870662</v>
      </c>
      <c r="D27" s="412">
        <f>(D22*8000)/100</f>
        <v>531.50442720845615</v>
      </c>
      <c r="E27" s="412">
        <f>(E22*8000)/100</f>
        <v>521.64371749616009</v>
      </c>
      <c r="F27" s="506">
        <f>(F22*8000)/100</f>
        <v>522.4</v>
      </c>
      <c r="G27" s="121"/>
      <c r="H27" s="121"/>
      <c r="I27" s="121"/>
      <c r="J27" s="121"/>
      <c r="K27" s="121"/>
      <c r="L27" s="121"/>
    </row>
    <row r="28" spans="2:12">
      <c r="B28" s="120" t="s">
        <v>222</v>
      </c>
      <c r="C28" s="412">
        <f>(C21*8000)/100</f>
        <v>423.47717487382738</v>
      </c>
      <c r="D28" s="412">
        <f>(D21*8000)/100</f>
        <v>407.76355274898748</v>
      </c>
      <c r="E28" s="412">
        <f>(E21*8000)/100</f>
        <v>433.61634016868311</v>
      </c>
      <c r="F28" s="506">
        <f>(F21*8000)/100</f>
        <v>434.40000000000009</v>
      </c>
      <c r="G28" s="121"/>
      <c r="H28" s="121"/>
      <c r="I28" s="121"/>
      <c r="J28" s="121"/>
      <c r="K28" s="121"/>
      <c r="L28" s="121"/>
    </row>
    <row r="29" spans="2:12">
      <c r="B29" s="124" t="s">
        <v>223</v>
      </c>
      <c r="C29" s="413">
        <f>(C23*8000)/100</f>
        <v>128.50936671323885</v>
      </c>
      <c r="D29" s="413">
        <f>(D23*8000)/100</f>
        <v>123.7408744594687</v>
      </c>
      <c r="E29" s="413">
        <f>(E23*8000)/100</f>
        <v>88.027377327477026</v>
      </c>
      <c r="F29" s="507">
        <f>(F23*8000)/100</f>
        <v>87.999999999999986</v>
      </c>
      <c r="G29" s="121"/>
      <c r="H29" s="121"/>
      <c r="I29" s="121"/>
      <c r="J29" s="121"/>
      <c r="K29" s="121"/>
      <c r="L29" s="121"/>
    </row>
    <row r="30" spans="2:12">
      <c r="B30" s="103" t="s">
        <v>243</v>
      </c>
    </row>
    <row r="31" spans="2:12">
      <c r="B31" s="125" t="str">
        <f>B2</f>
        <v>Electricity Ashburton</v>
      </c>
      <c r="C31" s="516" t="s">
        <v>166</v>
      </c>
      <c r="D31" s="160" t="s">
        <v>165</v>
      </c>
    </row>
    <row r="32" spans="2:12">
      <c r="B32" s="120" t="s">
        <v>242</v>
      </c>
      <c r="C32" s="412">
        <f>AVERAGE(C26:F26)</f>
        <v>1813.4213561689585</v>
      </c>
      <c r="D32" s="122"/>
    </row>
    <row r="33" spans="2:13">
      <c r="B33" s="120" t="s">
        <v>241</v>
      </c>
      <c r="C33" s="412">
        <f>AVERAGE(C27:F27)</f>
        <v>531.88367157292066</v>
      </c>
      <c r="D33" s="414">
        <f>C33/$C$32</f>
        <v>0.29330396367261291</v>
      </c>
    </row>
    <row r="34" spans="2:13">
      <c r="B34" s="120" t="s">
        <v>222</v>
      </c>
      <c r="C34" s="412">
        <f>AVERAGE(C28:F28)</f>
        <v>424.8142669478745</v>
      </c>
      <c r="D34" s="414">
        <f>C34/$C$32</f>
        <v>0.23426120217605625</v>
      </c>
    </row>
    <row r="35" spans="2:13">
      <c r="B35" s="124" t="s">
        <v>223</v>
      </c>
      <c r="C35" s="413">
        <f>AVERAGE(C29:F29)</f>
        <v>107.06940462504615</v>
      </c>
      <c r="D35" s="415">
        <f>C35/$C$32</f>
        <v>5.9042761496556663E-2</v>
      </c>
    </row>
    <row r="38" spans="2:13">
      <c r="B38" s="517" t="s">
        <v>227</v>
      </c>
      <c r="C38" s="518">
        <f>VLOOKUP($B$2,$B$258:$J$286,6,FALSE)</f>
        <v>166</v>
      </c>
      <c r="D38" s="518">
        <f>VLOOKUP($B$2,$B$258:$J$286,7,FALSE)</f>
        <v>167</v>
      </c>
      <c r="E38" s="518">
        <f>VLOOKUP($B$2,$B$258:$J$286,8,FALSE)</f>
        <v>168</v>
      </c>
      <c r="F38" s="519">
        <f>VLOOKUP($B$2,$B$258:$J$286,9,FALSE)</f>
        <v>169</v>
      </c>
    </row>
    <row r="39" spans="2:13">
      <c r="B39" s="137" t="str">
        <f>B2</f>
        <v>Electricity Ashburton</v>
      </c>
      <c r="C39" s="126">
        <v>2008</v>
      </c>
      <c r="D39" s="126">
        <v>2009</v>
      </c>
      <c r="E39" s="126">
        <v>2010</v>
      </c>
      <c r="F39" s="127">
        <v>2011</v>
      </c>
    </row>
    <row r="40" spans="2:13">
      <c r="B40" s="120" t="s">
        <v>197</v>
      </c>
      <c r="C40" s="417">
        <f>VLOOKUP($C$38,'FS (2011)'!$A$13:$AH$244,'FS (2011)'!E245,FALSE)</f>
        <v>26664.615494283025</v>
      </c>
      <c r="D40" s="418">
        <f>VLOOKUP($D$38,'FS (2011)'!$A$13:$AH$244,'FS (2011)'!E245,FALSE)</f>
        <v>27844.81103713363</v>
      </c>
      <c r="E40" s="418">
        <f>VLOOKUP($E$38,'FS (2011)'!$A$13:$AH$244,'FS (2011)'!E245,FALSE)</f>
        <v>28354.7786906847</v>
      </c>
      <c r="F40" s="419">
        <f>VLOOKUP($F$38,'FS (2011)'!$A$13:$AH$244,'FS (2011)'!E245,FALSE)</f>
        <v>28836</v>
      </c>
    </row>
    <row r="41" spans="2:13" ht="30">
      <c r="B41" s="120" t="s">
        <v>198</v>
      </c>
      <c r="C41" s="417">
        <f>VLOOKUP($C$38,'FS (2011)'!$A$13:$AH$244,'FS (2011)'!$F$245,FALSE)</f>
        <v>728.79473068917332</v>
      </c>
      <c r="D41" s="418">
        <f>VLOOKUP($D$38,'FS (2011)'!$A$13:$AH$244,'FS (2011)'!$F$245,FALSE)</f>
        <v>1053.6660031573886</v>
      </c>
      <c r="E41" s="418">
        <f>VLOOKUP($E$38,'FS (2011)'!$A$13:$AH$244,'FS (2011)'!$F$245,FALSE)</f>
        <v>438.09921586591571</v>
      </c>
      <c r="F41" s="419">
        <f>VLOOKUP($F$38,'FS (2011)'!$A$13:$AH$244,'FS (2011)'!$F$245,FALSE)</f>
        <v>795</v>
      </c>
    </row>
    <row r="42" spans="2:13">
      <c r="B42" s="120" t="s">
        <v>13</v>
      </c>
      <c r="C42" s="417">
        <f>VLOOKUP($C$38,'FS (2011)'!$A$13:$AH$244,'FS (2011)'!$H$245,FALSE)</f>
        <v>541.20555444669378</v>
      </c>
      <c r="D42" s="418">
        <f>VLOOKUP($D$38,'FS (2011)'!$A$13:$AH$244,'FS (2011)'!$H$245,FALSE)</f>
        <v>520.08538678014952</v>
      </c>
      <c r="E42" s="418">
        <f>VLOOKUP($E$38,'FS (2011)'!$A$13:$AH$244,'FS (2011)'!$H$245,FALSE)</f>
        <v>416.70367276548728</v>
      </c>
      <c r="F42" s="419">
        <f>VLOOKUP($F$38,'FS (2011)'!$A$13:$AH$244,'FS (2011)'!$H$245,FALSE)</f>
        <v>659</v>
      </c>
    </row>
    <row r="43" spans="2:13">
      <c r="B43" s="124" t="s">
        <v>5</v>
      </c>
      <c r="C43" s="420">
        <f>SUM(C40:C42)</f>
        <v>27934.615779418891</v>
      </c>
      <c r="D43" s="420">
        <f>SUM(D40:D42)</f>
        <v>29418.562427071167</v>
      </c>
      <c r="E43" s="420">
        <f>SUM(E40:E42)</f>
        <v>29209.581579316105</v>
      </c>
      <c r="F43" s="421">
        <f>SUM(F40:F42)</f>
        <v>30290</v>
      </c>
    </row>
    <row r="44" spans="2:13">
      <c r="B44" s="103" t="s">
        <v>301</v>
      </c>
      <c r="M44" s="139" t="s">
        <v>307</v>
      </c>
    </row>
    <row r="45" spans="2:13">
      <c r="B45" s="137" t="str">
        <f>$B$2</f>
        <v>Electricity Ashburton</v>
      </c>
      <c r="C45" s="140">
        <v>2008</v>
      </c>
      <c r="D45" s="126">
        <v>2009</v>
      </c>
      <c r="E45" s="126">
        <v>2010</v>
      </c>
      <c r="F45" s="127">
        <v>2011</v>
      </c>
    </row>
    <row r="46" spans="2:13">
      <c r="B46" s="120" t="s">
        <v>197</v>
      </c>
      <c r="C46" s="422">
        <f>IF(ISERROR(C40/$C40),"",(C40/$C40))*100</f>
        <v>100</v>
      </c>
      <c r="D46" s="422">
        <f>IF(ISERROR(D40/$C40),"",(D40/$C40))*100</f>
        <v>104.42607373469774</v>
      </c>
      <c r="E46" s="422">
        <f>IF(ISERROR(E40/$C40),"",(E40/$C40))*100</f>
        <v>106.33859954501894</v>
      </c>
      <c r="F46" s="423">
        <f>IF(ISERROR(F40/$C40),"",(F40/$C40))*100</f>
        <v>108.14331827204681</v>
      </c>
    </row>
    <row r="47" spans="2:13" ht="30">
      <c r="B47" s="120" t="s">
        <v>198</v>
      </c>
      <c r="C47" s="422">
        <f t="shared" ref="C47:F49" si="0">IF(ISERROR(C41/$C41),"",(C41/$C41)*100)</f>
        <v>100</v>
      </c>
      <c r="D47" s="422">
        <f t="shared" si="0"/>
        <v>144.57651225894648</v>
      </c>
      <c r="E47" s="422">
        <f t="shared" si="0"/>
        <v>60.112840751693419</v>
      </c>
      <c r="F47" s="423">
        <f t="shared" si="0"/>
        <v>109.08421349976291</v>
      </c>
      <c r="G47" s="141"/>
    </row>
    <row r="48" spans="2:13">
      <c r="B48" s="120" t="s">
        <v>13</v>
      </c>
      <c r="C48" s="422">
        <f t="shared" si="0"/>
        <v>100</v>
      </c>
      <c r="D48" s="422">
        <f t="shared" si="0"/>
        <v>96.097570046534969</v>
      </c>
      <c r="E48" s="422">
        <f t="shared" si="0"/>
        <v>76.995453823733925</v>
      </c>
      <c r="F48" s="423">
        <f t="shared" si="0"/>
        <v>121.76519523598282</v>
      </c>
      <c r="G48" s="141"/>
      <c r="H48" s="141"/>
    </row>
    <row r="49" spans="2:23">
      <c r="B49" s="124" t="s">
        <v>5</v>
      </c>
      <c r="C49" s="424">
        <f t="shared" si="0"/>
        <v>100</v>
      </c>
      <c r="D49" s="424">
        <f t="shared" si="0"/>
        <v>105.31221427697454</v>
      </c>
      <c r="E49" s="424">
        <f t="shared" si="0"/>
        <v>104.56410716354495</v>
      </c>
      <c r="F49" s="416">
        <f t="shared" si="0"/>
        <v>108.43177596992926</v>
      </c>
    </row>
    <row r="52" spans="2:23">
      <c r="B52" s="517" t="s">
        <v>247</v>
      </c>
      <c r="C52" s="510"/>
      <c r="D52" s="510"/>
      <c r="E52" s="510"/>
      <c r="F52" s="511"/>
    </row>
    <row r="53" spans="2:23">
      <c r="B53" s="107" t="str">
        <f>$B$2</f>
        <v>Electricity Ashburton</v>
      </c>
      <c r="C53" s="144">
        <v>2008</v>
      </c>
      <c r="D53" s="144">
        <v>2009</v>
      </c>
      <c r="E53" s="144">
        <v>2010</v>
      </c>
      <c r="F53" s="145">
        <v>2011</v>
      </c>
    </row>
    <row r="54" spans="2:23">
      <c r="B54" s="111" t="s">
        <v>185</v>
      </c>
      <c r="C54" s="425">
        <f>VLOOKUP($C$38,'MP (2011)'!$A$14:$AR$245,'MP (2011)'!$Z$246,FALSE)</f>
        <v>7224.3394827635366</v>
      </c>
      <c r="D54" s="426">
        <f>VLOOKUP($D$38,'MP (2011)'!$A$14:$AR$245,'MP (2011)'!$Z$246,FALSE)</f>
        <v>7373.5858329329376</v>
      </c>
      <c r="E54" s="426">
        <f>VLOOKUP($E$38,'MP (2011)'!$A$14:$AR$245,'MP (2011)'!$Z$246,FALSE)</f>
        <v>7526.5360722427304</v>
      </c>
      <c r="F54" s="427">
        <f>VLOOKUP($F$38,'MP (2011)'!$A$14:$AR$245,'MP (2011)'!$Z$246,FALSE)</f>
        <v>7655.8152</v>
      </c>
    </row>
    <row r="55" spans="2:23">
      <c r="B55" s="111" t="s">
        <v>180</v>
      </c>
      <c r="C55" s="425">
        <f>VLOOKUP($C$38,'MP (2011)'!$A$14:$AR$245,'MP (2011)'!$AD$246,FALSE)</f>
        <v>4948.4730974309259</v>
      </c>
      <c r="D55" s="426">
        <f>VLOOKUP($D$38,'MP (2011)'!$A$14:$AR$245,'MP (2011)'!$AD$246,FALSE)</f>
        <v>4971.43496465097</v>
      </c>
      <c r="E55" s="426">
        <f>VLOOKUP($E$38,'MP (2011)'!$A$14:$AR$245,'MP (2011)'!$AD$246,FALSE)</f>
        <v>4978.4418136132135</v>
      </c>
      <c r="F55" s="427">
        <f>VLOOKUP($F$38,'MP (2011)'!$A$14:$AR$245,'MP (2011)'!$AD$246,FALSE)</f>
        <v>5040.7983999999997</v>
      </c>
      <c r="J55" s="139"/>
    </row>
    <row r="56" spans="2:23">
      <c r="B56" s="111" t="s">
        <v>184</v>
      </c>
      <c r="C56" s="425">
        <f>VLOOKUP($C$38,'MP (2011)'!$A$14:$AR$245,'MP (2011)'!$AH$246,FALSE)</f>
        <v>12878.967237888854</v>
      </c>
      <c r="D56" s="426">
        <f>VLOOKUP($D$38,'MP (2011)'!$A$14:$AR$245,'MP (2011)'!$AH$246,FALSE)</f>
        <v>13810.810350744729</v>
      </c>
      <c r="E56" s="426">
        <f>VLOOKUP($E$38,'MP (2011)'!$A$14:$AR$245,'MP (2011)'!$AH$246,FALSE)</f>
        <v>14423.697384602945</v>
      </c>
      <c r="F56" s="427">
        <f>VLOOKUP($F$38,'MP (2011)'!$A$14:$AR$245,'MP (2011)'!$AH$246,FALSE)</f>
        <v>14724.16</v>
      </c>
    </row>
    <row r="57" spans="2:23">
      <c r="B57" s="111" t="s">
        <v>181</v>
      </c>
      <c r="C57" s="425">
        <f>VLOOKUP($C$38,'MP (2011)'!$A$14:$AR$245,'MP (2011)'!$AL$246,FALSE)</f>
        <v>1611.7575774856718</v>
      </c>
      <c r="D57" s="426">
        <f>VLOOKUP($D$38,'MP (2011)'!$A$14:$AR$245,'MP (2011)'!$AL$246,FALSE)</f>
        <v>1688.9798888049963</v>
      </c>
      <c r="E57" s="426">
        <f>VLOOKUP($E$38,'MP (2011)'!$A$14:$AR$245,'MP (2011)'!$AL$246,FALSE)</f>
        <v>1426.103623992886</v>
      </c>
      <c r="F57" s="427">
        <f>VLOOKUP($F$38,'MP (2011)'!$A$14:$AR$245,'MP (2011)'!$AL$246,FALSE)</f>
        <v>1415.2262000000001</v>
      </c>
      <c r="W57" s="139"/>
    </row>
    <row r="58" spans="2:23">
      <c r="B58" s="147" t="s">
        <v>248</v>
      </c>
      <c r="C58" s="428">
        <f>SUM(C54:C57)</f>
        <v>26663.537395568987</v>
      </c>
      <c r="D58" s="428">
        <f>SUM(D54:D57)</f>
        <v>27844.811037133633</v>
      </c>
      <c r="E58" s="428">
        <f>SUM(E54:E57)</f>
        <v>28354.778894451774</v>
      </c>
      <c r="F58" s="429">
        <f>SUM(F54:F57)</f>
        <v>28835.999800000001</v>
      </c>
    </row>
    <row r="59" spans="2:23">
      <c r="B59" s="103" t="s">
        <v>302</v>
      </c>
    </row>
    <row r="60" spans="2:23">
      <c r="B60" s="137" t="str">
        <f>$B$2</f>
        <v>Electricity Ashburton</v>
      </c>
      <c r="C60" s="144">
        <v>2008</v>
      </c>
      <c r="D60" s="126">
        <v>2009</v>
      </c>
      <c r="E60" s="126">
        <v>2010</v>
      </c>
      <c r="F60" s="127">
        <v>2011</v>
      </c>
    </row>
    <row r="61" spans="2:23">
      <c r="B61" s="111" t="s">
        <v>185</v>
      </c>
      <c r="C61" s="422">
        <f t="shared" ref="C61:F65" si="1">IF(ISERROR(C54/$C54),"",(C54/$C54)*100)</f>
        <v>100</v>
      </c>
      <c r="D61" s="422">
        <f t="shared" si="1"/>
        <v>102.06588229312155</v>
      </c>
      <c r="E61" s="422">
        <f t="shared" si="1"/>
        <v>104.18303417496094</v>
      </c>
      <c r="F61" s="423">
        <f t="shared" si="1"/>
        <v>105.97252826041628</v>
      </c>
      <c r="G61" s="141"/>
    </row>
    <row r="62" spans="2:23">
      <c r="B62" s="111" t="s">
        <v>180</v>
      </c>
      <c r="C62" s="422">
        <f t="shared" si="1"/>
        <v>100</v>
      </c>
      <c r="D62" s="422">
        <f t="shared" si="1"/>
        <v>100.46401923922686</v>
      </c>
      <c r="E62" s="422">
        <f t="shared" si="1"/>
        <v>100.60561542100423</v>
      </c>
      <c r="F62" s="423">
        <f t="shared" si="1"/>
        <v>101.86573314134021</v>
      </c>
      <c r="G62" s="141"/>
    </row>
    <row r="63" spans="2:23">
      <c r="B63" s="111" t="s">
        <v>184</v>
      </c>
      <c r="C63" s="422">
        <f t="shared" si="1"/>
        <v>100</v>
      </c>
      <c r="D63" s="422">
        <f t="shared" si="1"/>
        <v>107.23538693471065</v>
      </c>
      <c r="E63" s="422">
        <f t="shared" si="1"/>
        <v>111.99420821701933</v>
      </c>
      <c r="F63" s="423">
        <f t="shared" si="1"/>
        <v>114.32717956361238</v>
      </c>
      <c r="G63" s="141"/>
    </row>
    <row r="64" spans="2:23">
      <c r="B64" s="111" t="s">
        <v>181</v>
      </c>
      <c r="C64" s="422">
        <f t="shared" si="1"/>
        <v>100</v>
      </c>
      <c r="D64" s="422">
        <f t="shared" si="1"/>
        <v>104.79118649094801</v>
      </c>
      <c r="E64" s="422">
        <f t="shared" si="1"/>
        <v>88.481273109172875</v>
      </c>
      <c r="F64" s="423">
        <f t="shared" si="1"/>
        <v>87.806393453272364</v>
      </c>
      <c r="G64" s="141"/>
    </row>
    <row r="65" spans="2:40">
      <c r="B65" s="115" t="s">
        <v>248</v>
      </c>
      <c r="C65" s="424">
        <f t="shared" si="1"/>
        <v>100</v>
      </c>
      <c r="D65" s="424">
        <f t="shared" si="1"/>
        <v>104.43029604076821</v>
      </c>
      <c r="E65" s="424">
        <f t="shared" si="1"/>
        <v>106.34289994531574</v>
      </c>
      <c r="F65" s="416">
        <f t="shared" si="1"/>
        <v>108.14769012903757</v>
      </c>
      <c r="G65" s="141"/>
    </row>
    <row r="68" spans="2:40">
      <c r="B68" s="517" t="s">
        <v>251</v>
      </c>
      <c r="C68" s="510"/>
      <c r="D68" s="510"/>
      <c r="E68" s="510"/>
      <c r="F68" s="511"/>
    </row>
    <row r="69" spans="2:40">
      <c r="B69" s="137" t="str">
        <f>$B$2</f>
        <v>Electricity Ashburton</v>
      </c>
      <c r="C69" s="144">
        <v>2008</v>
      </c>
      <c r="D69" s="144">
        <v>2009</v>
      </c>
      <c r="E69" s="144">
        <v>2010</v>
      </c>
      <c r="F69" s="145">
        <v>2011</v>
      </c>
    </row>
    <row r="70" spans="2:40">
      <c r="B70" s="111" t="s">
        <v>185</v>
      </c>
      <c r="C70" s="426">
        <f>(C54/C98)*1000</f>
        <v>527.51657413388364</v>
      </c>
      <c r="D70" s="433">
        <f>(D54/D98)*1000</f>
        <v>528.95163794353925</v>
      </c>
      <c r="E70" s="433">
        <f>(E54/E98)*1000</f>
        <v>535.88722479478326</v>
      </c>
      <c r="F70" s="434">
        <f>(F54/F98)*1000</f>
        <v>535.43268670256214</v>
      </c>
    </row>
    <row r="71" spans="2:40">
      <c r="B71" s="111" t="s">
        <v>180</v>
      </c>
      <c r="C71" s="433">
        <f>(C55/C99)*1000</f>
        <v>2755.2745531352593</v>
      </c>
      <c r="D71" s="433">
        <f t="shared" ref="C71:F73" si="2">(D55/D99)*1000</f>
        <v>2624.8336666583791</v>
      </c>
      <c r="E71" s="433">
        <f t="shared" si="2"/>
        <v>2547.8207848583488</v>
      </c>
      <c r="F71" s="434">
        <f t="shared" si="2"/>
        <v>2528.8078654738802</v>
      </c>
    </row>
    <row r="72" spans="2:40">
      <c r="B72" s="111" t="s">
        <v>184</v>
      </c>
      <c r="C72" s="433">
        <f>(C56/C100)*1000</f>
        <v>10419.876406058944</v>
      </c>
      <c r="D72" s="433">
        <f t="shared" si="2"/>
        <v>10015.09089974237</v>
      </c>
      <c r="E72" s="433">
        <f t="shared" si="2"/>
        <v>9961.1169783169516</v>
      </c>
      <c r="F72" s="434">
        <f t="shared" si="2"/>
        <v>9768.7030582064144</v>
      </c>
    </row>
    <row r="73" spans="2:40">
      <c r="B73" s="115" t="s">
        <v>181</v>
      </c>
      <c r="C73" s="435">
        <f t="shared" si="2"/>
        <v>322351.51549713436</v>
      </c>
      <c r="D73" s="435">
        <f t="shared" si="2"/>
        <v>337795.97776099929</v>
      </c>
      <c r="E73" s="435">
        <f t="shared" si="2"/>
        <v>285220.7247985772</v>
      </c>
      <c r="F73" s="436">
        <f t="shared" si="2"/>
        <v>283045.24000000005</v>
      </c>
    </row>
    <row r="74" spans="2:40">
      <c r="B74" s="103" t="s">
        <v>303</v>
      </c>
    </row>
    <row r="75" spans="2:40">
      <c r="B75" s="137" t="str">
        <f>$B$2</f>
        <v>Electricity Ashburton</v>
      </c>
      <c r="C75" s="140">
        <v>2008</v>
      </c>
      <c r="D75" s="144">
        <v>2009</v>
      </c>
      <c r="E75" s="144">
        <v>2010</v>
      </c>
      <c r="F75" s="145">
        <v>2011</v>
      </c>
      <c r="AN75" s="139"/>
    </row>
    <row r="76" spans="2:40">
      <c r="B76" s="111" t="s">
        <v>185</v>
      </c>
      <c r="C76" s="422">
        <f t="shared" ref="C76:F79" si="3">IF(ISERROR(C70/$C70),"",(C70/$C70)*100)</f>
        <v>100</v>
      </c>
      <c r="D76" s="422">
        <f t="shared" si="3"/>
        <v>100.27204146372306</v>
      </c>
      <c r="E76" s="422">
        <f t="shared" si="3"/>
        <v>101.58680334824422</v>
      </c>
      <c r="F76" s="423">
        <f t="shared" si="3"/>
        <v>101.50063769686777</v>
      </c>
      <c r="AN76" s="139"/>
    </row>
    <row r="77" spans="2:40">
      <c r="B77" s="111" t="s">
        <v>180</v>
      </c>
      <c r="C77" s="422">
        <f t="shared" si="3"/>
        <v>100</v>
      </c>
      <c r="D77" s="422">
        <f t="shared" si="3"/>
        <v>95.265775371516057</v>
      </c>
      <c r="E77" s="422">
        <f t="shared" si="3"/>
        <v>92.470668012345755</v>
      </c>
      <c r="F77" s="423">
        <f t="shared" si="3"/>
        <v>91.780612665126966</v>
      </c>
      <c r="I77" s="139" t="s">
        <v>190</v>
      </c>
      <c r="AN77" s="139"/>
    </row>
    <row r="78" spans="2:40">
      <c r="B78" s="111" t="s">
        <v>184</v>
      </c>
      <c r="C78" s="422">
        <f t="shared" si="3"/>
        <v>100</v>
      </c>
      <c r="D78" s="422">
        <f t="shared" si="3"/>
        <v>96.115256164831294</v>
      </c>
      <c r="E78" s="422">
        <f t="shared" si="3"/>
        <v>95.597266129997166</v>
      </c>
      <c r="F78" s="423">
        <f t="shared" si="3"/>
        <v>93.750661500419668</v>
      </c>
      <c r="G78" s="141"/>
      <c r="AN78" s="139"/>
    </row>
    <row r="79" spans="2:40">
      <c r="B79" s="115" t="s">
        <v>181</v>
      </c>
      <c r="C79" s="424">
        <f t="shared" si="3"/>
        <v>100</v>
      </c>
      <c r="D79" s="424">
        <f t="shared" si="3"/>
        <v>104.79118649094804</v>
      </c>
      <c r="E79" s="424">
        <f t="shared" si="3"/>
        <v>88.481273109172889</v>
      </c>
      <c r="F79" s="416">
        <f t="shared" si="3"/>
        <v>87.806393453272364</v>
      </c>
      <c r="G79" s="141"/>
      <c r="AN79" s="139"/>
    </row>
    <row r="82" spans="2:7">
      <c r="B82" s="517" t="s">
        <v>252</v>
      </c>
      <c r="C82" s="510"/>
      <c r="D82" s="510"/>
      <c r="E82" s="510"/>
      <c r="F82" s="511"/>
    </row>
    <row r="83" spans="2:7">
      <c r="B83" s="137" t="str">
        <f>$B$2</f>
        <v>Electricity Ashburton</v>
      </c>
      <c r="C83" s="144">
        <v>2008</v>
      </c>
      <c r="D83" s="144">
        <v>2009</v>
      </c>
      <c r="E83" s="144">
        <v>2010</v>
      </c>
      <c r="F83" s="145">
        <v>2011</v>
      </c>
    </row>
    <row r="84" spans="2:7">
      <c r="B84" s="111" t="s">
        <v>185</v>
      </c>
      <c r="C84" s="430">
        <f>(C54/VLOOKUP($C$38,'MP (2011)'!$A$14:$AR$245,'MP (2011)'!$AA$246,FALSE)*100)</f>
        <v>6.3739505799974259</v>
      </c>
      <c r="D84" s="437">
        <f>(D54/VLOOKUP($D$38,'MP (2011)'!$A$14:$AR$245,'MP (2011)'!$AA$246,FALSE)*100)</f>
        <v>6.2224363522533404</v>
      </c>
      <c r="E84" s="437">
        <f>(E54/VLOOKUP($E$38,'MP (2011)'!$A$14:$AR$245,'MP (2011)'!$AA$246,FALSE)*100)</f>
        <v>6.2272414484683081</v>
      </c>
      <c r="F84" s="438">
        <f>(F54/VLOOKUP($F$38,'MP (2011)'!$A$14:$AR$245,'MP (2011)'!$AA$246,FALSE)*100)</f>
        <v>6.3275022648062453</v>
      </c>
    </row>
    <row r="85" spans="2:7">
      <c r="B85" s="111" t="s">
        <v>180</v>
      </c>
      <c r="C85" s="430">
        <f>(C55/VLOOKUP($C$38,'MP (2011)'!$A$14:$AR$245,'MP (2011)'!$AE$246,FALSE)*100)</f>
        <v>6.5993091571049076</v>
      </c>
      <c r="D85" s="437">
        <f>(D55/VLOOKUP($D$38,'MP (2011)'!$A$14:$AR$245,'MP (2011)'!$AE$246,FALSE)*100)</f>
        <v>6.1942760510418138</v>
      </c>
      <c r="E85" s="437">
        <f>(E55/VLOOKUP($E$38,'MP (2011)'!$A$14:$AR$245,'MP (2011)'!$AE$246,FALSE)*100)</f>
        <v>6.315471615544066</v>
      </c>
      <c r="F85" s="438">
        <f>(F55/VLOOKUP($F$38,'MP (2011)'!$A$14:$AR$245,'MP (2011)'!$AE$246,FALSE)*100)</f>
        <v>5.9715450245136923</v>
      </c>
    </row>
    <row r="86" spans="2:7">
      <c r="B86" s="111" t="s">
        <v>184</v>
      </c>
      <c r="C86" s="430">
        <f>(C56/VLOOKUP($C$38,'MP (2011)'!$A$14:$AR$245,'MP (2011)'!$AI$246,FALSE)*100)</f>
        <v>6.0924854981488119</v>
      </c>
      <c r="D86" s="437">
        <f>(D56/VLOOKUP($D$38,'MP (2011)'!$A$14:$AR$245,'MP (2011)'!$AI$246,FALSE)*100)</f>
        <v>5.6409593229190405</v>
      </c>
      <c r="E86" s="437">
        <f>(E56/VLOOKUP($E$38,'MP (2011)'!$A$14:$AR$245,'MP (2011)'!$AI$246,FALSE)*100)</f>
        <v>5.8109191752845692</v>
      </c>
      <c r="F86" s="438">
        <f>(F56/VLOOKUP($F$38,'MP (2011)'!$A$14:$AR$245,'MP (2011)'!$AI$246,FALSE)*100)</f>
        <v>5.659126793617955</v>
      </c>
    </row>
    <row r="87" spans="2:7">
      <c r="B87" s="115" t="s">
        <v>181</v>
      </c>
      <c r="C87" s="431">
        <f>(C57/VLOOKUP($C$38,'MP (2011)'!$A$14:$AR$245,'MP (2011)'!$AM$246,FALSE)*100)</f>
        <v>2.0657646361388466</v>
      </c>
      <c r="D87" s="431">
        <f>(D57/VLOOKUP($D$38,'MP (2011)'!$A$14:$AR$245,'MP (2011)'!$AM$246,FALSE)*100)</f>
        <v>2.0767863693182185</v>
      </c>
      <c r="E87" s="431">
        <f>(E57/VLOOKUP($E$38,'MP (2011)'!$A$14:$AR$245,'MP (2011)'!$AM$246,FALSE)*100)</f>
        <v>1.7620448376355191</v>
      </c>
      <c r="F87" s="432">
        <f>(F57/VLOOKUP($F$38,'MP (2011)'!$A$14:$AR$245,'MP (2011)'!$AM$246,FALSE)*100)</f>
        <v>1.8268913112736935</v>
      </c>
    </row>
    <row r="88" spans="2:7">
      <c r="B88" s="103" t="s">
        <v>304</v>
      </c>
    </row>
    <row r="89" spans="2:7">
      <c r="B89" s="137" t="str">
        <f>$B$2</f>
        <v>Electricity Ashburton</v>
      </c>
      <c r="C89" s="140">
        <v>2008</v>
      </c>
      <c r="D89" s="144">
        <v>2009</v>
      </c>
      <c r="E89" s="144">
        <v>2010</v>
      </c>
      <c r="F89" s="145">
        <v>2011</v>
      </c>
    </row>
    <row r="90" spans="2:7">
      <c r="B90" s="111" t="s">
        <v>185</v>
      </c>
      <c r="C90" s="422">
        <f>IF(ISERROR(C84/$C84),"",(C84/$C84)*100)</f>
        <v>100</v>
      </c>
      <c r="D90" s="422">
        <f>IF(ISERROR(D84/$C84),"",(D84/$C84)*100)</f>
        <v>97.622914927838252</v>
      </c>
      <c r="E90" s="422">
        <f>IF(ISERROR(E84/$C84),"",(E84/$C84)*100)</f>
        <v>97.698301395848333</v>
      </c>
      <c r="F90" s="423">
        <f>IF(ISERROR(F84/$C84),"",(F84/$C84)*100)</f>
        <v>99.271279019060117</v>
      </c>
    </row>
    <row r="91" spans="2:7">
      <c r="B91" s="111" t="s">
        <v>180</v>
      </c>
      <c r="C91" s="422">
        <f t="shared" ref="C91:F92" si="4">IF(ISERROR(C85/$C85),"",(C85/$C85)*100)</f>
        <v>100</v>
      </c>
      <c r="D91" s="422">
        <f t="shared" si="4"/>
        <v>93.862492324260501</v>
      </c>
      <c r="E91" s="422">
        <f t="shared" si="4"/>
        <v>95.698980987195327</v>
      </c>
      <c r="F91" s="423">
        <f t="shared" si="4"/>
        <v>90.487426522284437</v>
      </c>
    </row>
    <row r="92" spans="2:7">
      <c r="B92" s="111" t="s">
        <v>184</v>
      </c>
      <c r="C92" s="422">
        <f t="shared" si="4"/>
        <v>100</v>
      </c>
      <c r="D92" s="422">
        <f t="shared" si="4"/>
        <v>92.58880180565113</v>
      </c>
      <c r="E92" s="422">
        <f t="shared" si="4"/>
        <v>95.3784654399293</v>
      </c>
      <c r="F92" s="423">
        <f t="shared" si="4"/>
        <v>92.886996535937058</v>
      </c>
      <c r="G92" s="141"/>
    </row>
    <row r="93" spans="2:7">
      <c r="B93" s="115" t="s">
        <v>181</v>
      </c>
      <c r="C93" s="424">
        <f>IF(ISERROR(C87/$C87),"",(C87/$C87)*100)</f>
        <v>100</v>
      </c>
      <c r="D93" s="424">
        <f>IF(ISERROR(D87/$C87),"",(D87/$C87)*100)</f>
        <v>100.53354254335444</v>
      </c>
      <c r="E93" s="424">
        <f>IF(ISERROR(E87/$C87),"",(E87/$C87)*100)</f>
        <v>85.297463554656687</v>
      </c>
      <c r="F93" s="416">
        <f>IF(ISERROR(F87/$C87),"",(F87/$C87)*100)</f>
        <v>88.436566262861632</v>
      </c>
      <c r="G93" s="141"/>
    </row>
    <row r="96" spans="2:7">
      <c r="B96" s="517" t="s">
        <v>253</v>
      </c>
      <c r="C96" s="510"/>
      <c r="D96" s="510"/>
      <c r="E96" s="510"/>
      <c r="F96" s="511"/>
    </row>
    <row r="97" spans="2:7">
      <c r="B97" s="154"/>
      <c r="C97" s="144">
        <v>2008</v>
      </c>
      <c r="D97" s="144">
        <v>2009</v>
      </c>
      <c r="E97" s="144">
        <v>2010</v>
      </c>
      <c r="F97" s="145">
        <v>2011</v>
      </c>
    </row>
    <row r="98" spans="2:7">
      <c r="B98" s="155" t="s">
        <v>308</v>
      </c>
      <c r="C98" s="150">
        <f>VLOOKUP($C$38,'MP (2011)'!$A$14:$AR$245,'MP (2011)'!$AB$246,FALSE)</f>
        <v>13695</v>
      </c>
      <c r="D98" s="150">
        <f>VLOOKUP($D$38,'MP (2011)'!$A$14:$AR$245,'MP (2011)'!$AB$246,FALSE)</f>
        <v>13940</v>
      </c>
      <c r="E98" s="150">
        <f>VLOOKUP($E$38,'MP (2011)'!$A$14:$AR$245,'MP (2011)'!$AB$246,FALSE)</f>
        <v>14045</v>
      </c>
      <c r="F98" s="151">
        <f>VLOOKUP($F$38,'MP (2011)'!$A$14:$AR$245,'MP (2011)'!$AB$246,FALSE)</f>
        <v>14298.370999999999</v>
      </c>
    </row>
    <row r="99" spans="2:7">
      <c r="B99" s="155" t="s">
        <v>309</v>
      </c>
      <c r="C99" s="150">
        <f>VLOOKUP($C$38,'MP (2011)'!$A$14:$AR$245,'MP (2011)'!$AF$246,FALSE)</f>
        <v>1796</v>
      </c>
      <c r="D99" s="150">
        <f>VLOOKUP($D$38,'MP (2011)'!$A$14:$AR$245,'MP (2011)'!$AF$246,FALSE)</f>
        <v>1894</v>
      </c>
      <c r="E99" s="150">
        <f>VLOOKUP($E$38,'MP (2011)'!$A$14:$AR$245,'MP (2011)'!$AF$246,FALSE)</f>
        <v>1954</v>
      </c>
      <c r="F99" s="151">
        <f>VLOOKUP($F$38,'MP (2011)'!$A$14:$AR$245,'MP (2011)'!$AF$246,FALSE)</f>
        <v>1993.3497</v>
      </c>
    </row>
    <row r="100" spans="2:7">
      <c r="B100" s="155" t="s">
        <v>310</v>
      </c>
      <c r="C100" s="150">
        <f>VLOOKUP($C$38,'MP (2011)'!$A$14:$AR$245,'MP (2011)'!$AJ$246,FALSE)</f>
        <v>1236</v>
      </c>
      <c r="D100" s="150">
        <f>VLOOKUP($D$38,'MP (2011)'!$A$14:$AR$245,'MP (2011)'!$AJ$246,FALSE)</f>
        <v>1379</v>
      </c>
      <c r="E100" s="150">
        <f>VLOOKUP($E$38,'MP (2011)'!$A$14:$AR$245,'MP (2011)'!$AJ$246,FALSE)</f>
        <v>1448</v>
      </c>
      <c r="F100" s="151">
        <f>VLOOKUP($F$38,'MP (2011)'!$A$14:$AR$245,'MP (2011)'!$AJ$246,FALSE)</f>
        <v>1507.2789</v>
      </c>
    </row>
    <row r="101" spans="2:7">
      <c r="B101" s="111" t="s">
        <v>181</v>
      </c>
      <c r="C101" s="150">
        <f>VLOOKUP($C$38,'MP (2011)'!$A$14:$AR$245,'MP (2011)'!$AN$246,FALSE)</f>
        <v>5</v>
      </c>
      <c r="D101" s="150">
        <f>VLOOKUP($D$38,'MP (2011)'!$A$14:$AR$245,'MP (2011)'!$AN$246,FALSE)</f>
        <v>5</v>
      </c>
      <c r="E101" s="150">
        <f>VLOOKUP($E$38,'MP (2011)'!$A$14:$AR$245,'MP (2011)'!$AN$246,FALSE)</f>
        <v>5</v>
      </c>
      <c r="F101" s="151">
        <f>VLOOKUP($F$38,'MP (2011)'!$A$14:$AR$245,'MP (2011)'!$AN$246,FALSE)</f>
        <v>5</v>
      </c>
    </row>
    <row r="102" spans="2:7">
      <c r="B102" s="156" t="s">
        <v>254</v>
      </c>
      <c r="C102" s="152">
        <f>SUM(C98:C101)</f>
        <v>16732</v>
      </c>
      <c r="D102" s="152">
        <f>SUM(D98:D101)</f>
        <v>17218</v>
      </c>
      <c r="E102" s="152">
        <f>SUM(E98:E101)</f>
        <v>17452</v>
      </c>
      <c r="F102" s="157">
        <f>SUM(F98:F101)</f>
        <v>17803.999599999999</v>
      </c>
    </row>
    <row r="103" spans="2:7">
      <c r="B103" s="103" t="s">
        <v>305</v>
      </c>
    </row>
    <row r="104" spans="2:7">
      <c r="B104" s="137"/>
      <c r="C104" s="140">
        <v>2008</v>
      </c>
      <c r="D104" s="144">
        <v>2009</v>
      </c>
      <c r="E104" s="144">
        <v>2010</v>
      </c>
      <c r="F104" s="145">
        <v>2011</v>
      </c>
    </row>
    <row r="105" spans="2:7">
      <c r="B105" s="111" t="s">
        <v>185</v>
      </c>
      <c r="C105" s="422">
        <f t="shared" ref="C105:F108" si="5">IF(ISERROR(C98/$C98),"",(C98/$C98)*100)</f>
        <v>100</v>
      </c>
      <c r="D105" s="422">
        <f t="shared" si="5"/>
        <v>101.78897407813071</v>
      </c>
      <c r="E105" s="422">
        <f t="shared" si="5"/>
        <v>102.55567725447243</v>
      </c>
      <c r="F105" s="423">
        <f t="shared" si="5"/>
        <v>104.40577583059509</v>
      </c>
    </row>
    <row r="106" spans="2:7">
      <c r="B106" s="111" t="s">
        <v>180</v>
      </c>
      <c r="C106" s="422">
        <f t="shared" si="5"/>
        <v>100</v>
      </c>
      <c r="D106" s="422">
        <f t="shared" si="5"/>
        <v>105.456570155902</v>
      </c>
      <c r="E106" s="422">
        <f t="shared" si="5"/>
        <v>108.79732739420935</v>
      </c>
      <c r="F106" s="423">
        <f t="shared" si="5"/>
        <v>110.98829064587974</v>
      </c>
      <c r="G106" s="141"/>
    </row>
    <row r="107" spans="2:7">
      <c r="B107" s="111" t="s">
        <v>184</v>
      </c>
      <c r="C107" s="422">
        <f t="shared" si="5"/>
        <v>100</v>
      </c>
      <c r="D107" s="422">
        <f t="shared" si="5"/>
        <v>111.56957928802589</v>
      </c>
      <c r="E107" s="422">
        <f t="shared" si="5"/>
        <v>117.15210355987055</v>
      </c>
      <c r="F107" s="423">
        <f t="shared" si="5"/>
        <v>121.94813106796116</v>
      </c>
      <c r="G107" s="141"/>
    </row>
    <row r="108" spans="2:7">
      <c r="B108" s="115" t="s">
        <v>181</v>
      </c>
      <c r="C108" s="424">
        <f t="shared" si="5"/>
        <v>100</v>
      </c>
      <c r="D108" s="424">
        <f t="shared" si="5"/>
        <v>100</v>
      </c>
      <c r="E108" s="424">
        <f t="shared" si="5"/>
        <v>100</v>
      </c>
      <c r="F108" s="416">
        <f t="shared" si="5"/>
        <v>100</v>
      </c>
    </row>
    <row r="111" spans="2:7">
      <c r="B111" s="517" t="s">
        <v>255</v>
      </c>
      <c r="C111" s="510"/>
      <c r="D111" s="510"/>
      <c r="E111" s="510"/>
      <c r="F111" s="511"/>
    </row>
    <row r="112" spans="2:7">
      <c r="B112" s="137" t="str">
        <f>$B$2</f>
        <v>Electricity Ashburton</v>
      </c>
      <c r="C112" s="144">
        <v>2008</v>
      </c>
      <c r="D112" s="144">
        <v>2009</v>
      </c>
      <c r="E112" s="144">
        <v>2010</v>
      </c>
      <c r="F112" s="145">
        <v>2011</v>
      </c>
    </row>
    <row r="113" spans="2:7">
      <c r="B113" s="155" t="s">
        <v>308</v>
      </c>
      <c r="C113" s="146">
        <f>VLOOKUP($C$38,'MP (2011)'!$A$14:$AR$245,'MP (2011)'!$AA$246,FALSE)</f>
        <v>113341.63</v>
      </c>
      <c r="D113" s="150">
        <f>VLOOKUP($D$38,'MP (2011)'!$A$14:$AR$245,'MP (2011)'!$AA$246,FALSE)</f>
        <v>118499.98</v>
      </c>
      <c r="E113" s="150">
        <f>VLOOKUP($E$38,'MP (2011)'!$A$14:$AR$245,'MP (2011)'!$AA$246,FALSE)</f>
        <v>120864.69</v>
      </c>
      <c r="F113" s="151">
        <f>VLOOKUP($F$38,'MP (2011)'!$A$14:$AR$245,'MP (2011)'!$AA$246,FALSE)</f>
        <v>120992.69</v>
      </c>
    </row>
    <row r="114" spans="2:7">
      <c r="B114" s="155" t="s">
        <v>309</v>
      </c>
      <c r="C114" s="150">
        <f>VLOOKUP($C$38,'MP (2011)'!$A$14:$AR$245,'MP (2011)'!$AE$246,FALSE)</f>
        <v>74984.714000000007</v>
      </c>
      <c r="D114" s="150">
        <f>VLOOKUP($D$38,'MP (2011)'!$A$14:$AR$245,'MP (2011)'!$AE$246,FALSE)</f>
        <v>80258.531000000003</v>
      </c>
      <c r="E114" s="150">
        <f>VLOOKUP($E$38,'MP (2011)'!$A$14:$AR$245,'MP (2011)'!$AE$246,FALSE)</f>
        <v>78829.296000000002</v>
      </c>
      <c r="F114" s="151">
        <f>VLOOKUP($F$38,'MP (2011)'!$A$14:$AR$245,'MP (2011)'!$AE$246,FALSE)</f>
        <v>84413.638000000006</v>
      </c>
    </row>
    <row r="115" spans="2:7">
      <c r="B115" s="155" t="s">
        <v>310</v>
      </c>
      <c r="C115" s="150">
        <f>VLOOKUP($C$38,'MP (2011)'!$A$14:$AR$245,'MP (2011)'!$AI$246,FALSE)</f>
        <v>211391.02</v>
      </c>
      <c r="D115" s="150">
        <f>VLOOKUP($D$38,'MP (2011)'!$A$14:$AR$245,'MP (2011)'!$AI$246,FALSE)</f>
        <v>244830.88</v>
      </c>
      <c r="E115" s="150">
        <f>VLOOKUP($E$38,'MP (2011)'!$A$14:$AR$245,'MP (2011)'!$AI$246,FALSE)</f>
        <v>248217.14</v>
      </c>
      <c r="F115" s="151">
        <f>VLOOKUP($F$38,'MP (2011)'!$A$14:$AR$245,'MP (2011)'!$AI$246,FALSE)</f>
        <v>260184.31</v>
      </c>
    </row>
    <row r="116" spans="2:7">
      <c r="B116" s="155" t="s">
        <v>311</v>
      </c>
      <c r="C116" s="150">
        <f>VLOOKUP($C$38,'MP (2011)'!$A$14:$AR$245,'MP (2011)'!$AM$246,FALSE)</f>
        <v>78022.323999999993</v>
      </c>
      <c r="D116" s="150">
        <f>VLOOKUP($D$38,'MP (2011)'!$A$14:$AR$245,'MP (2011)'!$AM$246,FALSE)</f>
        <v>81326.607000000004</v>
      </c>
      <c r="E116" s="150">
        <f>VLOOKUP($E$38,'MP (2011)'!$A$14:$AR$245,'MP (2011)'!$AM$246,FALSE)</f>
        <v>80934.581999999995</v>
      </c>
      <c r="F116" s="151">
        <f>VLOOKUP($F$38,'MP (2011)'!$A$14:$AR$245,'MP (2011)'!$AM$246,FALSE)</f>
        <v>77466.36</v>
      </c>
    </row>
    <row r="117" spans="2:7">
      <c r="B117" s="147" t="s">
        <v>254</v>
      </c>
      <c r="C117" s="158">
        <f>SUM(C113:C116)</f>
        <v>477739.68799999997</v>
      </c>
      <c r="D117" s="158">
        <f>SUM(D113:D116)</f>
        <v>524915.99800000002</v>
      </c>
      <c r="E117" s="158">
        <f>SUM(E113:E116)</f>
        <v>528845.7080000001</v>
      </c>
      <c r="F117" s="159">
        <f>SUM(F113:F116)</f>
        <v>543056.99800000002</v>
      </c>
    </row>
    <row r="118" spans="2:7">
      <c r="B118" s="103" t="s">
        <v>306</v>
      </c>
    </row>
    <row r="119" spans="2:7">
      <c r="B119" s="137" t="str">
        <f>$B$2</f>
        <v>Electricity Ashburton</v>
      </c>
      <c r="C119" s="144">
        <v>2008</v>
      </c>
      <c r="D119" s="144">
        <v>2009</v>
      </c>
      <c r="E119" s="144">
        <v>2010</v>
      </c>
      <c r="F119" s="145">
        <v>2011</v>
      </c>
    </row>
    <row r="120" spans="2:7">
      <c r="B120" s="111" t="s">
        <v>185</v>
      </c>
      <c r="C120" s="422">
        <f t="shared" ref="C120:F123" si="6">IF(ISERROR(C113/$C113),"",(C113/$C113)*100)</f>
        <v>100</v>
      </c>
      <c r="D120" s="422">
        <f t="shared" si="6"/>
        <v>104.55115212301077</v>
      </c>
      <c r="E120" s="422">
        <f t="shared" si="6"/>
        <v>106.63750821300171</v>
      </c>
      <c r="F120" s="423">
        <f t="shared" si="6"/>
        <v>106.75044112211903</v>
      </c>
    </row>
    <row r="121" spans="2:7">
      <c r="B121" s="111" t="s">
        <v>180</v>
      </c>
      <c r="C121" s="422">
        <f t="shared" si="6"/>
        <v>100</v>
      </c>
      <c r="D121" s="422">
        <f t="shared" si="6"/>
        <v>107.03318945778734</v>
      </c>
      <c r="E121" s="422">
        <f t="shared" si="6"/>
        <v>105.12715431574493</v>
      </c>
      <c r="F121" s="423">
        <f t="shared" si="6"/>
        <v>112.57446150958181</v>
      </c>
    </row>
    <row r="122" spans="2:7">
      <c r="B122" s="111" t="s">
        <v>184</v>
      </c>
      <c r="C122" s="422">
        <f t="shared" si="6"/>
        <v>100</v>
      </c>
      <c r="D122" s="422">
        <f t="shared" si="6"/>
        <v>115.81895957548245</v>
      </c>
      <c r="E122" s="422">
        <f t="shared" si="6"/>
        <v>117.42085354429909</v>
      </c>
      <c r="F122" s="423">
        <f t="shared" si="6"/>
        <v>123.0820069840242</v>
      </c>
    </row>
    <row r="123" spans="2:7">
      <c r="B123" s="115" t="s">
        <v>181</v>
      </c>
      <c r="C123" s="424">
        <f t="shared" si="6"/>
        <v>100</v>
      </c>
      <c r="D123" s="424">
        <f t="shared" si="6"/>
        <v>104.23504816390756</v>
      </c>
      <c r="E123" s="424">
        <f t="shared" si="6"/>
        <v>103.73259581450047</v>
      </c>
      <c r="F123" s="416">
        <f t="shared" si="6"/>
        <v>99.287429582333402</v>
      </c>
    </row>
    <row r="126" spans="2:7">
      <c r="B126" s="517" t="s">
        <v>256</v>
      </c>
      <c r="C126" s="510"/>
      <c r="D126" s="510"/>
      <c r="E126" s="510"/>
      <c r="F126" s="511"/>
    </row>
    <row r="127" spans="2:7">
      <c r="B127" s="137" t="str">
        <f>$B$2</f>
        <v>Electricity Ashburton</v>
      </c>
      <c r="C127" s="126">
        <v>2008</v>
      </c>
      <c r="D127" s="126">
        <v>2009</v>
      </c>
      <c r="E127" s="126">
        <v>2010</v>
      </c>
      <c r="F127" s="160">
        <v>2011</v>
      </c>
      <c r="G127" s="161"/>
    </row>
    <row r="128" spans="2:7">
      <c r="B128" s="162" t="s">
        <v>259</v>
      </c>
      <c r="C128" s="439">
        <f>VLOOKUP($C$38,'FS (2011)'!$A$13:$AH$244,'FS (2011)'!$I$245,FALSE)</f>
        <v>27934.615779418891</v>
      </c>
      <c r="D128" s="433">
        <f>VLOOKUP($D$38,'FS (2011)'!$A$13:$AH$244,'FS (2011)'!$I$245,FALSE)</f>
        <v>29418.562427071171</v>
      </c>
      <c r="E128" s="433">
        <f>VLOOKUP($E$38,'FS (2011)'!$A$13:$AH$244,'FS (2011)'!$I$245,FALSE)</f>
        <v>29209.581579316102</v>
      </c>
      <c r="F128" s="440">
        <f>VLOOKUP($F$38,'FS (2011)'!$A$13:$AH$244,'FS (2011)'!$I$245,FALSE)</f>
        <v>30290</v>
      </c>
      <c r="G128" s="121"/>
    </row>
    <row r="129" spans="1:30">
      <c r="B129" s="162" t="s">
        <v>257</v>
      </c>
      <c r="C129" s="441">
        <f>VLOOKUP($C$38,'FS (2011)'!$A$13:$AH$244,'FS (2011)'!$Y$245,FALSE)+VLOOKUP($C$38,'FS (2011)'!$A$13:$AH$244,'FS (2011)'!$Z$245,FALSE)</f>
        <v>4737.1657494796264</v>
      </c>
      <c r="D129" s="433">
        <f>VLOOKUP($D$38,'FS (2011)'!$A$13:$AH$244,'FS (2011)'!$Y$245,FALSE)+VLOOKUP($D$38,'FS (2011)'!$A$13:$AH$244,'FS (2011)'!$Z$245,FALSE)</f>
        <v>4309.1306198091825</v>
      </c>
      <c r="E129" s="433">
        <f>VLOOKUP($E$38,'FS (2011)'!$A$13:$AH$244,'FS (2011)'!$Y$245,FALSE)+VLOOKUP($E$38,'FS (2011)'!$A$13:$AH$244,'FS (2011)'!$Z$245,FALSE)</f>
        <v>3153.2610822128204</v>
      </c>
      <c r="F129" s="440">
        <f>VLOOKUP($F$38,'FS (2011)'!$A$13:$AH$244,'FS (2011)'!$Y$245,FALSE)+VLOOKUP($F$38,'FS (2011)'!$A$13:$AH$244,'FS (2011)'!$Z$245,FALSE)</f>
        <v>7248.7066000000004</v>
      </c>
      <c r="G129" s="121"/>
    </row>
    <row r="130" spans="1:30">
      <c r="B130" s="162" t="s">
        <v>191</v>
      </c>
      <c r="C130" s="441">
        <f>VLOOKUP($C$38,'FS (2011)'!$A$13:$AH$244,'FS (2011)'!$J$245,FALSE)</f>
        <v>7435.6468307148352</v>
      </c>
      <c r="D130" s="433">
        <f>VLOOKUP($D$38,'FS (2011)'!$A$13:$AH$244,'FS (2011)'!$J$245,FALSE)</f>
        <v>3911.5403939872322</v>
      </c>
      <c r="E130" s="433">
        <f>VLOOKUP($E$38,'FS (2011)'!$A$13:$AH$244,'FS (2011)'!$J$245,FALSE)</f>
        <v>4906.7112176982555</v>
      </c>
      <c r="F130" s="440">
        <f>VLOOKUP($F$38,'FS (2011)'!$A$13:$AH$244,'FS (2011)'!$J$245,FALSE)</f>
        <v>4555</v>
      </c>
    </row>
    <row r="131" spans="1:30">
      <c r="B131" s="162" t="s">
        <v>182</v>
      </c>
      <c r="C131" s="441">
        <f>VLOOKUP($C$38,'FS (2011)'!$A$13:$AH$244,'FS (2011)'!$S$245,FALSE)</f>
        <v>5662.1744461235776</v>
      </c>
      <c r="D131" s="433">
        <f>VLOOKUP($D$38,'FS (2011)'!$A$13:$AH$244,'FS (2011)'!$S$245,FALSE)</f>
        <v>6196.3865742329581</v>
      </c>
      <c r="E131" s="433">
        <f>VLOOKUP($E$38,'FS (2011)'!$A$13:$AH$244,'FS (2011)'!$S$245,FALSE)</f>
        <v>6315.760556169329</v>
      </c>
      <c r="F131" s="440">
        <f>VLOOKUP($F$38,'FS (2011)'!$A$13:$AH$244,'FS (2011)'!$S$245,FALSE)</f>
        <v>6386</v>
      </c>
      <c r="I131" s="139"/>
    </row>
    <row r="132" spans="1:30">
      <c r="B132" s="162" t="s">
        <v>143</v>
      </c>
      <c r="C132" s="441">
        <f>VLOOKUP($C$38,'FS (2011)'!$A$13:$AH$244,'FS (2011)'!$U$245,FALSE)</f>
        <v>6537.5906019218155</v>
      </c>
      <c r="D132" s="433">
        <f>VLOOKUP($D$38,'FS (2011)'!$A$13:$AH$244,'FS (2011)'!$U$245,FALSE)</f>
        <v>7423.4143729837306</v>
      </c>
      <c r="E132" s="433">
        <f>VLOOKUP($E$38,'FS (2011)'!$A$13:$AH$244,'FS (2011)'!$U$245,FALSE)</f>
        <v>6746.7279243351022</v>
      </c>
      <c r="F132" s="440">
        <f>VLOOKUP($F$38,'FS (2011)'!$A$13:$AH$244,'FS (2011)'!$U$245,FALSE)</f>
        <v>7791</v>
      </c>
    </row>
    <row r="133" spans="1:30">
      <c r="B133" s="162" t="s">
        <v>196</v>
      </c>
      <c r="C133" s="441">
        <f>VLOOKUP($C$38,'FS (2011)'!$A$13:$AH$244,'FS (2011)'!$X$245,FALSE)</f>
        <v>-184.35488010036781</v>
      </c>
      <c r="D133" s="433">
        <f>VLOOKUP($D$38,'FS (2011)'!$A$13:$AH$244,'FS (2011)'!$X$245,FALSE)</f>
        <v>631.16150731004166</v>
      </c>
      <c r="E133" s="433">
        <f>VLOOKUP($E$38,'FS (2011)'!$A$13:$AH$244,'FS (2011)'!$X$245,FALSE)</f>
        <v>916.68896725499167</v>
      </c>
      <c r="F133" s="440">
        <f>VLOOKUP($F$38,'FS (2011)'!$A$13:$AH$244,'FS (2011)'!$X$245,FALSE)</f>
        <v>922.37915999999996</v>
      </c>
    </row>
    <row r="134" spans="1:30">
      <c r="B134" s="164" t="s">
        <v>258</v>
      </c>
      <c r="C134" s="442">
        <f>VLOOKUP($C$38,'FS (2011)'!$A$13:$AH$244,'FS (2011)'!$AA$245,FALSE)</f>
        <v>13220.724530238658</v>
      </c>
      <c r="D134" s="435">
        <f>VLOOKUP($D$38,'FS (2011)'!$A$13:$AH$244,'FS (2011)'!$AA$245,FALSE)</f>
        <v>15565.19019836639</v>
      </c>
      <c r="E134" s="435">
        <f>VLOOKUP($E$38,'FS (2011)'!$A$13:$AH$244,'FS (2011)'!$AA$245,FALSE)</f>
        <v>13476.953771927459</v>
      </c>
      <c r="F134" s="443">
        <f>VLOOKUP($F$38,'FS (2011)'!$A$13:$AH$244,'FS (2011)'!$AA$245,FALSE)</f>
        <v>17884.327000000001</v>
      </c>
      <c r="Q134" s="559"/>
      <c r="R134" s="559"/>
      <c r="S134" s="559"/>
      <c r="T134" s="559"/>
      <c r="U134" s="559"/>
      <c r="V134" s="559"/>
      <c r="W134" s="559"/>
      <c r="X134" s="559"/>
      <c r="Y134" s="559"/>
      <c r="Z134" s="559"/>
      <c r="AA134" s="559"/>
      <c r="AB134" s="559"/>
      <c r="AC134" s="559"/>
      <c r="AD134" s="559"/>
    </row>
    <row r="135" spans="1:30">
      <c r="Q135" s="559"/>
      <c r="R135" s="559"/>
      <c r="S135" s="559"/>
      <c r="T135" s="559"/>
      <c r="U135" s="559"/>
      <c r="V135" s="559"/>
      <c r="W135" s="559"/>
      <c r="X135" s="559"/>
      <c r="Y135" s="559"/>
      <c r="Z135" s="559"/>
      <c r="AA135" s="559"/>
      <c r="AB135" s="559"/>
      <c r="AC135" s="559"/>
      <c r="AD135" s="559"/>
    </row>
    <row r="136" spans="1:30">
      <c r="Q136" s="559"/>
      <c r="R136" s="559"/>
      <c r="S136" s="559"/>
      <c r="T136" s="559"/>
      <c r="U136" s="559"/>
      <c r="V136" s="559"/>
      <c r="W136" s="559"/>
      <c r="X136" s="559"/>
      <c r="Y136" s="559"/>
      <c r="Z136" s="559"/>
      <c r="AA136" s="559"/>
      <c r="AB136" s="559"/>
      <c r="AC136" s="559"/>
      <c r="AD136" s="559"/>
    </row>
    <row r="137" spans="1:30">
      <c r="B137" s="517" t="s">
        <v>260</v>
      </c>
      <c r="C137" s="510"/>
      <c r="D137" s="520" t="s">
        <v>166</v>
      </c>
      <c r="E137" s="521" t="s">
        <v>165</v>
      </c>
      <c r="Q137" s="559"/>
      <c r="R137" s="559"/>
      <c r="S137" s="559"/>
      <c r="T137" s="559" t="s">
        <v>321</v>
      </c>
      <c r="U137" s="559"/>
      <c r="V137" s="559"/>
      <c r="W137" s="559"/>
      <c r="X137" s="559"/>
      <c r="Y137" s="559"/>
      <c r="Z137" s="559"/>
      <c r="AA137" s="559"/>
      <c r="AB137" s="559"/>
      <c r="AC137" s="559"/>
      <c r="AD137" s="559"/>
    </row>
    <row r="138" spans="1:30">
      <c r="A138" s="136">
        <f>RANK(D138,$D$138:$D$144)</f>
        <v>3</v>
      </c>
      <c r="B138" s="166" t="s">
        <v>204</v>
      </c>
      <c r="C138" s="167"/>
      <c r="D138" s="444">
        <f>VLOOKUP($D$6,'FS (2011)'!$A$13:$AH$244,'FS (2011)'!$L$245,FALSE)</f>
        <v>1277</v>
      </c>
      <c r="E138" s="446">
        <f t="shared" ref="E138:E144" si="7">D138/$D$145</f>
        <v>0.19996868149076105</v>
      </c>
      <c r="Q138" s="559"/>
      <c r="R138" s="559"/>
      <c r="S138" s="559"/>
      <c r="T138" s="559">
        <v>1</v>
      </c>
      <c r="U138" s="559" t="str">
        <f>VLOOKUP(T138,$A$138:$E$144,2,FALSE)</f>
        <v>General management, admin and overheads</v>
      </c>
      <c r="V138" s="559">
        <f>VLOOKUP(T138,$A$138:$E$144,4,FALSE)</f>
        <v>3029</v>
      </c>
      <c r="W138" s="559"/>
      <c r="X138" s="559"/>
      <c r="Y138" s="559"/>
      <c r="Z138" s="559"/>
      <c r="AA138" s="559"/>
      <c r="AB138" s="559"/>
      <c r="AC138" s="559"/>
      <c r="AD138" s="559"/>
    </row>
    <row r="139" spans="1:30">
      <c r="A139" s="136">
        <f t="shared" ref="A139:A144" si="8">RANK(D139,$D$138:$D$144)</f>
        <v>1</v>
      </c>
      <c r="B139" s="162" t="s">
        <v>199</v>
      </c>
      <c r="C139" s="121"/>
      <c r="D139" s="441">
        <f>VLOOKUP($D$6,'FS (2011)'!$A$13:$AH$244,'FS (2011)'!K245,FALSE)</f>
        <v>3029</v>
      </c>
      <c r="E139" s="414">
        <f t="shared" si="7"/>
        <v>0.4743188224240526</v>
      </c>
      <c r="Q139" s="559"/>
      <c r="R139" s="559"/>
      <c r="S139" s="559"/>
      <c r="T139" s="559">
        <v>2</v>
      </c>
      <c r="U139" s="559" t="str">
        <f t="shared" ref="U139:U144" si="9">VLOOKUP(T139,$A$138:$E$144,2,FALSE)</f>
        <v>Routine and preventative maintenance</v>
      </c>
      <c r="V139" s="559">
        <f t="shared" ref="V139:V144" si="10">VLOOKUP(T139,$A$138:$E$144,4,FALSE)</f>
        <v>1322</v>
      </c>
      <c r="W139" s="559"/>
      <c r="X139" s="559"/>
      <c r="Y139" s="559"/>
      <c r="Z139" s="559"/>
      <c r="AA139" s="559"/>
      <c r="AB139" s="559"/>
      <c r="AC139" s="559"/>
      <c r="AD139" s="559"/>
    </row>
    <row r="140" spans="1:30">
      <c r="A140" s="136">
        <f t="shared" si="8"/>
        <v>2</v>
      </c>
      <c r="B140" s="162" t="s">
        <v>201</v>
      </c>
      <c r="C140" s="121"/>
      <c r="D140" s="441">
        <f>VLOOKUP($D$6,'FS (2011)'!$A$13:$AH$244,'FS (2011)'!M245,FALSE)</f>
        <v>1322</v>
      </c>
      <c r="E140" s="414">
        <f t="shared" si="7"/>
        <v>0.2070153460695271</v>
      </c>
      <c r="Q140" s="559"/>
      <c r="R140" s="559"/>
      <c r="S140" s="559"/>
      <c r="T140" s="559">
        <v>3</v>
      </c>
      <c r="U140" s="559" t="str">
        <f t="shared" si="9"/>
        <v>System management and operations</v>
      </c>
      <c r="V140" s="559">
        <f t="shared" si="10"/>
        <v>1277</v>
      </c>
      <c r="W140" s="559"/>
      <c r="X140" s="559"/>
      <c r="Y140" s="559"/>
      <c r="Z140" s="559"/>
      <c r="AA140" s="559"/>
      <c r="AB140" s="559"/>
      <c r="AC140" s="559"/>
      <c r="AD140" s="559"/>
    </row>
    <row r="141" spans="1:30">
      <c r="A141" s="136">
        <f t="shared" si="8"/>
        <v>6</v>
      </c>
      <c r="B141" s="162" t="s">
        <v>202</v>
      </c>
      <c r="C141" s="121"/>
      <c r="D141" s="441">
        <f>VLOOKUP($D$6,'FS (2011)'!$A$13:$AH$244,'FS (2011)'!N245,FALSE)</f>
        <v>0</v>
      </c>
      <c r="E141" s="414">
        <f t="shared" si="7"/>
        <v>0</v>
      </c>
      <c r="Q141" s="559"/>
      <c r="R141" s="559"/>
      <c r="S141" s="559"/>
      <c r="T141" s="559">
        <v>4</v>
      </c>
      <c r="U141" s="559" t="str">
        <f t="shared" si="9"/>
        <v>Fault and emergency maintenance</v>
      </c>
      <c r="V141" s="559">
        <f t="shared" si="10"/>
        <v>471</v>
      </c>
      <c r="W141" s="559"/>
      <c r="X141" s="559"/>
      <c r="Y141" s="559"/>
      <c r="Z141" s="559"/>
      <c r="AA141" s="559"/>
      <c r="AB141" s="559"/>
      <c r="AC141" s="559"/>
      <c r="AD141" s="559"/>
    </row>
    <row r="142" spans="1:30">
      <c r="A142" s="136">
        <f t="shared" si="8"/>
        <v>4</v>
      </c>
      <c r="B142" s="162" t="s">
        <v>203</v>
      </c>
      <c r="C142" s="121"/>
      <c r="D142" s="441">
        <f>VLOOKUP($D$6,'FS (2011)'!$A$13:$AH$244,'FS (2011)'!O245,FALSE)</f>
        <v>471</v>
      </c>
      <c r="E142" s="414">
        <f t="shared" si="7"/>
        <v>7.375508925775133E-2</v>
      </c>
      <c r="Q142" s="559"/>
      <c r="R142" s="559"/>
      <c r="S142" s="559"/>
      <c r="T142" s="559">
        <v>5</v>
      </c>
      <c r="U142" s="559" t="str">
        <f t="shared" si="9"/>
        <v>Pass-through costs</v>
      </c>
      <c r="V142" s="559">
        <f t="shared" si="10"/>
        <v>287</v>
      </c>
      <c r="W142" s="559"/>
      <c r="X142" s="559"/>
      <c r="Y142" s="559"/>
      <c r="Z142" s="559"/>
      <c r="AA142" s="559"/>
      <c r="AB142" s="559"/>
      <c r="AC142" s="559"/>
      <c r="AD142" s="559"/>
    </row>
    <row r="143" spans="1:30">
      <c r="A143" s="136">
        <v>7</v>
      </c>
      <c r="B143" s="162" t="s">
        <v>13</v>
      </c>
      <c r="C143" s="121"/>
      <c r="D143" s="441">
        <f>VLOOKUP($D$6,'FS (2011)'!$A$13:$AH$244,'FS (2011)'!R245,FALSE)</f>
        <v>0</v>
      </c>
      <c r="E143" s="414">
        <f t="shared" si="7"/>
        <v>0</v>
      </c>
      <c r="Q143" s="559"/>
      <c r="R143" s="559"/>
      <c r="S143" s="559"/>
      <c r="T143" s="559">
        <v>6</v>
      </c>
      <c r="U143" s="559" t="str">
        <f t="shared" si="9"/>
        <v>Refurbishment and renewal maintenance</v>
      </c>
      <c r="V143" s="559">
        <f t="shared" si="10"/>
        <v>0</v>
      </c>
      <c r="W143" s="559"/>
      <c r="X143" s="559"/>
      <c r="Y143" s="559"/>
      <c r="Z143" s="559"/>
      <c r="AA143" s="559"/>
      <c r="AB143" s="559"/>
      <c r="AC143" s="559"/>
      <c r="AD143" s="559"/>
    </row>
    <row r="144" spans="1:30">
      <c r="A144" s="136">
        <f t="shared" si="8"/>
        <v>5</v>
      </c>
      <c r="B144" s="162" t="s">
        <v>200</v>
      </c>
      <c r="C144" s="121"/>
      <c r="D144" s="441">
        <f>VLOOKUP($D$6,'FS (2011)'!$A$13:$AH$244,'FS (2011)'!P245,FALSE)</f>
        <v>287</v>
      </c>
      <c r="E144" s="414">
        <f t="shared" si="7"/>
        <v>4.4942060757907923E-2</v>
      </c>
      <c r="Q144" s="559"/>
      <c r="R144" s="559"/>
      <c r="S144" s="559"/>
      <c r="T144" s="559">
        <v>7</v>
      </c>
      <c r="U144" s="559" t="str">
        <f t="shared" si="9"/>
        <v>Other</v>
      </c>
      <c r="V144" s="559">
        <f t="shared" si="10"/>
        <v>0</v>
      </c>
      <c r="W144" s="559"/>
      <c r="X144" s="559"/>
      <c r="Y144" s="559"/>
      <c r="Z144" s="559"/>
      <c r="AA144" s="559"/>
      <c r="AB144" s="559"/>
      <c r="AC144" s="559"/>
      <c r="AD144" s="559"/>
    </row>
    <row r="145" spans="2:30">
      <c r="B145" s="172" t="s">
        <v>263</v>
      </c>
      <c r="C145" s="173"/>
      <c r="D145" s="445">
        <f>SUM(D138:D144)</f>
        <v>6386</v>
      </c>
      <c r="E145" s="447">
        <f>SUM(E138:E144)</f>
        <v>1</v>
      </c>
      <c r="Q145" s="559"/>
      <c r="R145" s="559"/>
      <c r="S145" s="559"/>
      <c r="T145" s="559"/>
      <c r="U145" s="559"/>
      <c r="V145" s="559"/>
      <c r="W145" s="559"/>
      <c r="X145" s="559"/>
      <c r="Y145" s="559"/>
      <c r="Z145" s="559"/>
      <c r="AA145" s="559"/>
      <c r="AB145" s="559"/>
      <c r="AC145" s="559"/>
      <c r="AD145" s="559"/>
    </row>
    <row r="146" spans="2:30">
      <c r="D146" s="174"/>
      <c r="Q146" s="559"/>
      <c r="R146" s="559"/>
      <c r="S146" s="559"/>
      <c r="T146" s="559"/>
      <c r="U146" s="559"/>
      <c r="V146" s="559"/>
      <c r="W146" s="559"/>
      <c r="X146" s="559"/>
      <c r="Y146" s="559"/>
      <c r="Z146" s="559"/>
      <c r="AA146" s="559"/>
      <c r="AB146" s="559"/>
      <c r="AC146" s="559"/>
      <c r="AD146" s="559"/>
    </row>
    <row r="147" spans="2:30">
      <c r="Q147" s="559"/>
      <c r="R147" s="559"/>
      <c r="S147" s="559"/>
      <c r="T147" s="559"/>
      <c r="U147" s="559"/>
      <c r="V147" s="559"/>
      <c r="W147" s="559"/>
      <c r="X147" s="559"/>
      <c r="Y147" s="559"/>
      <c r="Z147" s="559"/>
      <c r="AA147" s="559"/>
      <c r="AB147" s="559"/>
      <c r="AC147" s="559"/>
      <c r="AD147" s="559"/>
    </row>
    <row r="148" spans="2:30">
      <c r="B148" s="517" t="s">
        <v>264</v>
      </c>
      <c r="C148" s="522">
        <v>2008</v>
      </c>
      <c r="D148" s="522">
        <v>2009</v>
      </c>
      <c r="E148" s="522">
        <v>2010</v>
      </c>
      <c r="F148" s="523">
        <v>2011</v>
      </c>
      <c r="Q148" s="559"/>
      <c r="R148" s="559"/>
      <c r="S148" s="559"/>
      <c r="T148" s="559"/>
      <c r="U148" s="559"/>
      <c r="V148" s="559"/>
      <c r="W148" s="559"/>
      <c r="X148" s="559"/>
      <c r="Y148" s="559"/>
      <c r="Z148" s="559"/>
      <c r="AA148" s="559"/>
      <c r="AB148" s="559"/>
      <c r="AC148" s="559"/>
      <c r="AD148" s="559"/>
    </row>
    <row r="149" spans="2:30">
      <c r="B149" s="175" t="s">
        <v>320</v>
      </c>
      <c r="C149" s="454">
        <f>(VLOOKUP(C$38,'FS (2011)'!$A$13:$AH$244,'FS (2011)'!$M$245,FALSE)+VLOOKUP(C$38,'FS (2011)'!$A$13:$AH$244,'FS (2011)'!$N$245,FALSE)+VLOOKUP(C$38,'FS (2011)'!$A$13:$AH$244,'FS (2011)'!$O$245,FALSE))/1000</f>
        <v>2.0289817798180834</v>
      </c>
      <c r="D149" s="454">
        <f>(VLOOKUP(D$38,'FS (2011)'!$A$13:$AH$244,'FS (2011)'!$M$245,FALSE)+VLOOKUP(D$38,'FS (2011)'!$A$13:$AH$244,'FS (2011)'!$N$245,FALSE)+VLOOKUP(D$38,'FS (2011)'!$A$13:$AH$244,'FS (2011)'!$O$245,FALSE))/1000</f>
        <v>1.8716845356579033</v>
      </c>
      <c r="E149" s="454">
        <f>(VLOOKUP(E$38,'FS (2011)'!$A$13:$AH$244,'FS (2011)'!$M$245,FALSE)+VLOOKUP(E$38,'FS (2011)'!$A$13:$AH$244,'FS (2011)'!$N$245,FALSE)+VLOOKUP(E$38,'FS (2011)'!$A$13:$AH$244,'FS (2011)'!$O$245,FALSE))/1000</f>
        <v>2.1589121823718034</v>
      </c>
      <c r="F149" s="455">
        <f>(VLOOKUP(F$38,'FS (2011)'!$A$13:$AH$244,'FS (2011)'!$M$245,FALSE)+VLOOKUP(F$38,'FS (2011)'!$A$13:$AH$244,'FS (2011)'!$N$245,FALSE)+VLOOKUP(F$38,'FS (2011)'!$A$13:$AH$244,'FS (2011)'!$O$245,FALSE))/1000</f>
        <v>1.7929999999999999</v>
      </c>
      <c r="Q149" s="559"/>
      <c r="R149" s="559"/>
      <c r="S149" s="559"/>
      <c r="T149" s="559"/>
      <c r="U149" s="559"/>
      <c r="V149" s="559"/>
      <c r="W149" s="559"/>
      <c r="X149" s="559"/>
      <c r="Y149" s="559"/>
      <c r="Z149" s="559"/>
      <c r="AA149" s="559"/>
      <c r="AB149" s="559"/>
      <c r="AC149" s="559"/>
      <c r="AD149" s="559"/>
    </row>
    <row r="150" spans="2:30">
      <c r="B150" s="177" t="s">
        <v>266</v>
      </c>
      <c r="C150" s="456">
        <f>(VLOOKUP(C$38,'FS (2011)'!$A$13:$AH$244,'FS (2011)'!$L$245,FALSE)+VLOOKUP(C$38,'FS (2011)'!$A$13:$AH$244,'FS (2011)'!$K$245,FALSE))/1000</f>
        <v>3.367980382652334</v>
      </c>
      <c r="D150" s="456">
        <f>(VLOOKUP(D$38,'FS (2011)'!$A$13:$AH$244,'FS (2011)'!$L$245,FALSE)+VLOOKUP(D$38,'FS (2011)'!$A$13:$AH$244,'FS (2011)'!$K$245,FALSE))/1000</f>
        <v>3.9727879744663315</v>
      </c>
      <c r="E150" s="456">
        <f>(VLOOKUP(E$38,'FS (2011)'!$A$13:$AH$244,'FS (2011)'!$L$245,FALSE)+VLOOKUP(E$38,'FS (2011)'!$A$13:$AH$244,'FS (2011)'!$K$245,FALSE))/1000</f>
        <v>3.8644426180916702</v>
      </c>
      <c r="F150" s="457">
        <f>(VLOOKUP(F$38,'FS (2011)'!$A$13:$AH$244,'FS (2011)'!$L$245,FALSE)+VLOOKUP(F$38,'FS (2011)'!$A$13:$AH$244,'FS (2011)'!$K$245,FALSE))/1000</f>
        <v>4.306</v>
      </c>
      <c r="Q150" s="559"/>
      <c r="R150" s="559"/>
      <c r="S150" s="559"/>
      <c r="T150" s="559"/>
      <c r="U150" s="559"/>
      <c r="V150" s="559"/>
      <c r="W150" s="559"/>
      <c r="X150" s="559"/>
      <c r="Y150" s="559"/>
      <c r="Z150" s="559"/>
      <c r="AA150" s="559"/>
      <c r="AB150" s="559"/>
      <c r="AC150" s="559"/>
      <c r="AD150" s="559"/>
    </row>
    <row r="151" spans="2:30">
      <c r="B151" s="179" t="s">
        <v>267</v>
      </c>
      <c r="C151" s="456">
        <f>(VLOOKUP(C$38,'FS (2011)'!$A$13:$AH$244,'FS (2011)'!$R$245,FALSE)+VLOOKUP(C$38,'FS (2011)'!$A$13:$AH$244,'FS (2011)'!$P$245,FALSE)+VLOOKUP(C$38,'FS (2011)'!$A$13:$AH$244,'FS (2011)'!$Q$245,FALSE))/1000</f>
        <v>0.26521228365316074</v>
      </c>
      <c r="D151" s="456">
        <f>(VLOOKUP(D$38,'FS (2011)'!$A$13:$AH$244,'FS (2011)'!$R$245,FALSE)+VLOOKUP(D$38,'FS (2011)'!$A$13:$AH$244,'FS (2011)'!$P$245,FALSE)+VLOOKUP(D$38,'FS (2011)'!$A$13:$AH$244,'FS (2011)'!$Q$245,FALSE))/1000</f>
        <v>0.35191406410872389</v>
      </c>
      <c r="E151" s="456">
        <f>(VLOOKUP(E$38,'FS (2011)'!$A$13:$AH$244,'FS (2011)'!$R$245,FALSE)+VLOOKUP(E$38,'FS (2011)'!$A$13:$AH$244,'FS (2011)'!$P$245,FALSE)+VLOOKUP(E$38,'FS (2011)'!$A$13:$AH$244,'FS (2011)'!$Q$245,FALSE))/1000</f>
        <v>0.29240575570585536</v>
      </c>
      <c r="F151" s="457">
        <f>(VLOOKUP(F$38,'FS (2011)'!$A$13:$AH$244,'FS (2011)'!$R$245,FALSE)+VLOOKUP(F$38,'FS (2011)'!$A$13:$AH$244,'FS (2011)'!$P$245,FALSE)+VLOOKUP(F$38,'FS (2011)'!$A$13:$AH$244,'FS (2011)'!$Q$245,FALSE))/1000</f>
        <v>0.28699999999999998</v>
      </c>
      <c r="Q151" s="559"/>
      <c r="R151" s="559"/>
      <c r="S151" s="559"/>
      <c r="T151" s="559"/>
      <c r="U151" s="559"/>
      <c r="V151" s="559"/>
      <c r="W151" s="559"/>
      <c r="X151" s="559"/>
      <c r="Y151" s="559"/>
      <c r="Z151" s="559"/>
      <c r="AA151" s="559"/>
      <c r="AB151" s="559"/>
      <c r="AC151" s="559"/>
      <c r="AD151" s="559"/>
    </row>
    <row r="152" spans="2:30">
      <c r="B152" s="180" t="s">
        <v>268</v>
      </c>
      <c r="C152" s="458">
        <f>VLOOKUP($C$38,'FS (2011)'!$A$13:$AH$244,'FS (2011)'!$S$245,FALSE)/1000</f>
        <v>5.6621744461235775</v>
      </c>
      <c r="D152" s="458">
        <f>VLOOKUP($D$38,'FS (2011)'!$A$13:$AH$244,'FS (2011)'!$S$245,FALSE)/1000</f>
        <v>6.1963865742329585</v>
      </c>
      <c r="E152" s="459">
        <f>VLOOKUP($E$38,'FS (2011)'!$A$13:$AH$244,'FS (2011)'!$S$245,FALSE)/1000</f>
        <v>6.3157605561693293</v>
      </c>
      <c r="F152" s="460">
        <f>VLOOKUP($F$38,'FS (2011)'!$A$13:$AH$244,'FS (2011)'!$S$245,FALSE)/1000</f>
        <v>6.3860000000000001</v>
      </c>
      <c r="Q152" s="559"/>
      <c r="R152" s="559"/>
      <c r="S152" s="559"/>
      <c r="T152" s="559"/>
      <c r="U152" s="559"/>
      <c r="V152" s="559"/>
      <c r="W152" s="559"/>
      <c r="X152" s="559"/>
      <c r="Y152" s="559"/>
      <c r="Z152" s="559"/>
      <c r="AA152" s="559"/>
      <c r="AB152" s="559"/>
      <c r="AC152" s="559"/>
      <c r="AD152" s="559"/>
    </row>
    <row r="153" spans="2:30">
      <c r="B153" s="103" t="s">
        <v>269</v>
      </c>
      <c r="C153" s="103" t="s">
        <v>246</v>
      </c>
      <c r="D153" s="181">
        <v>2009</v>
      </c>
      <c r="E153" s="181">
        <v>2010</v>
      </c>
      <c r="F153" s="181">
        <v>2011</v>
      </c>
      <c r="Q153" s="559"/>
      <c r="R153" s="559"/>
      <c r="S153" s="559"/>
      <c r="T153" s="559"/>
      <c r="U153" s="559"/>
      <c r="V153" s="559"/>
      <c r="W153" s="559"/>
      <c r="X153" s="559"/>
      <c r="Y153" s="559"/>
      <c r="Z153" s="559"/>
      <c r="AA153" s="559"/>
      <c r="AB153" s="559"/>
      <c r="AC153" s="559"/>
      <c r="AD153" s="559"/>
    </row>
    <row r="154" spans="2:30">
      <c r="B154" s="175" t="s">
        <v>265</v>
      </c>
      <c r="C154" s="463">
        <f>IFERROR(EXP(SLOPE(S154:V154,$C$148:$F$148))-1,(IFERROR(EXP(SLOPE(T154:V154,$D$148:$F$148))-1,F154)))</f>
        <v>-2.2558272773959165E-2</v>
      </c>
      <c r="D154" s="464">
        <f t="shared" ref="D154:E157" si="11">IF(ISERROR(D149/C149 - 1),"",(D149/C149 - 1))</f>
        <v>-7.7525212756855422E-2</v>
      </c>
      <c r="E154" s="464">
        <f t="shared" si="11"/>
        <v>0.15345943252821637</v>
      </c>
      <c r="F154" s="465">
        <f>IF(ISERROR(F149/E149 - 1),"",(F149/E149 - 1))</f>
        <v>-0.16948914613553601</v>
      </c>
      <c r="Q154" s="559"/>
      <c r="R154" s="559" t="s">
        <v>423</v>
      </c>
      <c r="S154" s="559">
        <f t="shared" ref="S154:V157" si="12">LN(C149)</f>
        <v>0.70753408092069858</v>
      </c>
      <c r="T154" s="559">
        <f t="shared" si="12"/>
        <v>0.62683884657800759</v>
      </c>
      <c r="U154" s="559">
        <f t="shared" si="12"/>
        <v>0.76960447556498057</v>
      </c>
      <c r="V154" s="559">
        <f t="shared" si="12"/>
        <v>0.58389019462299574</v>
      </c>
      <c r="W154" s="559"/>
      <c r="X154" s="559"/>
      <c r="Y154" s="559"/>
      <c r="Z154" s="559"/>
      <c r="AA154" s="559"/>
      <c r="AB154" s="559"/>
      <c r="AC154" s="559"/>
      <c r="AD154" s="559"/>
    </row>
    <row r="155" spans="2:30">
      <c r="B155" s="177" t="s">
        <v>266</v>
      </c>
      <c r="C155" s="466">
        <f t="shared" ref="C155:C157" si="13">IFERROR(EXP(SLOPE(S155:V155,$C$148:$F$148))-1,(IFERROR(EXP(SLOPE(T155:V155,$D$148:$F$148))-1,F155)))</f>
        <v>7.3520863507758216E-2</v>
      </c>
      <c r="D155" s="467">
        <f t="shared" si="11"/>
        <v>0.17957574661931441</v>
      </c>
      <c r="E155" s="467">
        <f t="shared" si="11"/>
        <v>-2.727186979798879E-2</v>
      </c>
      <c r="F155" s="468">
        <f>IF(ISERROR(F150/E150 - 1),"",(F150/E150 - 1))</f>
        <v>0.11426159618495735</v>
      </c>
      <c r="Q155" s="559"/>
      <c r="R155" s="559" t="s">
        <v>423</v>
      </c>
      <c r="S155" s="559">
        <f t="shared" si="12"/>
        <v>1.2143132717349503</v>
      </c>
      <c r="T155" s="559">
        <f t="shared" si="12"/>
        <v>1.3794681088003926</v>
      </c>
      <c r="U155" s="559">
        <f t="shared" si="12"/>
        <v>1.3518174589855803</v>
      </c>
      <c r="V155" s="559">
        <f t="shared" si="12"/>
        <v>1.4600093989421714</v>
      </c>
      <c r="W155" s="559"/>
      <c r="X155" s="559"/>
      <c r="Y155" s="559"/>
      <c r="Z155" s="559"/>
      <c r="AA155" s="559"/>
      <c r="AB155" s="559"/>
      <c r="AC155" s="559"/>
      <c r="AD155" s="559"/>
    </row>
    <row r="156" spans="2:30">
      <c r="B156" s="179" t="s">
        <v>267</v>
      </c>
      <c r="C156" s="466">
        <f t="shared" si="13"/>
        <v>5.1743733193421182E-3</v>
      </c>
      <c r="D156" s="467">
        <f t="shared" si="11"/>
        <v>0.32691464837635498</v>
      </c>
      <c r="E156" s="467">
        <f t="shared" si="11"/>
        <v>-0.16909897748355807</v>
      </c>
      <c r="F156" s="468">
        <f>IF(ISERROR(F151/E151 - 1),"",(F151/E151 - 1))</f>
        <v>-1.8487172705633381E-2</v>
      </c>
      <c r="Q156" s="559"/>
      <c r="R156" s="559" t="s">
        <v>423</v>
      </c>
      <c r="S156" s="559">
        <f t="shared" si="12"/>
        <v>-1.3272247032922635</v>
      </c>
      <c r="T156" s="559">
        <f t="shared" si="12"/>
        <v>-1.0443682692448595</v>
      </c>
      <c r="U156" s="559">
        <f t="shared" si="12"/>
        <v>-1.2296128669436974</v>
      </c>
      <c r="V156" s="559">
        <f t="shared" si="12"/>
        <v>-1.2482730632225161</v>
      </c>
      <c r="W156" s="559"/>
      <c r="X156" s="559"/>
      <c r="Y156" s="559"/>
      <c r="Z156" s="559"/>
      <c r="AA156" s="559"/>
      <c r="AB156" s="559"/>
      <c r="AC156" s="559"/>
      <c r="AD156" s="559"/>
    </row>
    <row r="157" spans="2:30">
      <c r="B157" s="180" t="s">
        <v>268</v>
      </c>
      <c r="C157" s="469">
        <f t="shared" si="13"/>
        <v>3.8729380587488427E-2</v>
      </c>
      <c r="D157" s="470">
        <f t="shared" si="11"/>
        <v>9.434752199750962E-2</v>
      </c>
      <c r="E157" s="470">
        <f t="shared" si="11"/>
        <v>1.9265095956533029E-2</v>
      </c>
      <c r="F157" s="471">
        <f>IF(ISERROR(F152/E152 - 1),"",(F152/E152 - 1))</f>
        <v>1.1121296193228769E-2</v>
      </c>
      <c r="N157" s="136"/>
      <c r="O157" s="136"/>
      <c r="Q157" s="559"/>
      <c r="R157" s="559" t="s">
        <v>423</v>
      </c>
      <c r="S157" s="559">
        <f t="shared" si="12"/>
        <v>1.7338079961980604</v>
      </c>
      <c r="T157" s="559">
        <f t="shared" si="12"/>
        <v>1.82396631154334</v>
      </c>
      <c r="U157" s="559">
        <f t="shared" si="12"/>
        <v>1.8430481849986009</v>
      </c>
      <c r="V157" s="559">
        <f t="shared" si="12"/>
        <v>1.8541080942925903</v>
      </c>
      <c r="W157" s="559"/>
      <c r="X157" s="559"/>
      <c r="Y157" s="559"/>
      <c r="Z157" s="559"/>
      <c r="AA157" s="559"/>
      <c r="AB157" s="559"/>
      <c r="AC157" s="559"/>
      <c r="AD157" s="559"/>
    </row>
    <row r="158" spans="2:30">
      <c r="Q158" s="559"/>
      <c r="R158" s="559"/>
      <c r="S158" s="559"/>
      <c r="T158" s="559"/>
      <c r="U158" s="559"/>
      <c r="V158" s="559"/>
      <c r="W158" s="559"/>
      <c r="X158" s="559"/>
      <c r="Y158" s="559"/>
      <c r="Z158" s="559"/>
      <c r="AA158" s="559"/>
      <c r="AB158" s="559"/>
      <c r="AC158" s="559"/>
      <c r="AD158" s="559"/>
    </row>
    <row r="159" spans="2:30">
      <c r="Q159" s="559"/>
      <c r="R159" s="559"/>
      <c r="S159" s="559"/>
      <c r="T159" s="559"/>
      <c r="U159" s="559"/>
      <c r="V159" s="559"/>
      <c r="W159" s="559"/>
      <c r="X159" s="559"/>
      <c r="Y159" s="559"/>
      <c r="Z159" s="559"/>
      <c r="AA159" s="559"/>
      <c r="AB159" s="559"/>
      <c r="AC159" s="559"/>
      <c r="AD159" s="559"/>
    </row>
    <row r="160" spans="2:30">
      <c r="B160" s="517" t="s">
        <v>270</v>
      </c>
      <c r="C160" s="524">
        <v>2008</v>
      </c>
      <c r="D160" s="524">
        <v>2009</v>
      </c>
      <c r="E160" s="524">
        <v>2010</v>
      </c>
      <c r="F160" s="525">
        <v>2011</v>
      </c>
      <c r="G160" s="182"/>
      <c r="Q160" s="559"/>
      <c r="R160" s="559"/>
      <c r="S160" s="559"/>
      <c r="T160" s="559"/>
      <c r="U160" s="559"/>
      <c r="V160" s="559"/>
      <c r="W160" s="559"/>
      <c r="X160" s="559"/>
      <c r="Y160" s="559"/>
      <c r="Z160" s="559"/>
      <c r="AA160" s="559"/>
      <c r="AB160" s="559"/>
      <c r="AC160" s="559"/>
      <c r="AD160" s="559"/>
    </row>
    <row r="161" spans="2:30">
      <c r="B161" s="183" t="s">
        <v>271</v>
      </c>
      <c r="C161" s="184"/>
      <c r="D161" s="184"/>
      <c r="E161" s="184"/>
      <c r="F161" s="185"/>
      <c r="G161" s="186"/>
      <c r="Q161" s="559"/>
      <c r="R161" s="559"/>
      <c r="S161" s="559"/>
      <c r="T161" s="559"/>
      <c r="U161" s="559"/>
      <c r="V161" s="559"/>
      <c r="W161" s="559"/>
      <c r="X161" s="559"/>
      <c r="Y161" s="559"/>
      <c r="Z161" s="559"/>
      <c r="AA161" s="559"/>
      <c r="AB161" s="559"/>
      <c r="AC161" s="559"/>
      <c r="AD161" s="559"/>
    </row>
    <row r="162" spans="2:30">
      <c r="B162" s="177" t="str">
        <f>$B$2</f>
        <v>Electricity Ashburton</v>
      </c>
      <c r="C162" s="456">
        <f>(C152/C102)*1000000</f>
        <v>338.40392338773472</v>
      </c>
      <c r="D162" s="456">
        <f>(D152/D102)*1000000</f>
        <v>359.87841643820178</v>
      </c>
      <c r="E162" s="456">
        <f>(E152/E102)*1000000</f>
        <v>361.89322462579241</v>
      </c>
      <c r="F162" s="457">
        <f>(F152/F102)*1000000</f>
        <v>358.68344998165469</v>
      </c>
      <c r="G162" s="181"/>
      <c r="Q162" s="559"/>
      <c r="R162" s="559"/>
      <c r="S162" s="559"/>
      <c r="T162" s="559"/>
      <c r="U162" s="559"/>
      <c r="V162" s="559"/>
      <c r="W162" s="559"/>
      <c r="X162" s="559"/>
      <c r="Y162" s="559"/>
      <c r="Z162" s="559"/>
      <c r="AA162" s="559"/>
      <c r="AB162" s="559"/>
      <c r="AC162" s="559"/>
      <c r="AD162" s="559"/>
    </row>
    <row r="163" spans="2:30">
      <c r="B163" s="177" t="s">
        <v>272</v>
      </c>
      <c r="C163" s="456">
        <f>'Industry calcs'!C16</f>
        <v>219.92281235057766</v>
      </c>
      <c r="D163" s="456">
        <f>'Industry calcs'!D16</f>
        <v>218.64666413393144</v>
      </c>
      <c r="E163" s="456">
        <f>'Industry calcs'!E16</f>
        <v>224.81562001127224</v>
      </c>
      <c r="F163" s="457">
        <f>'Industry calcs'!F16</f>
        <v>226.0233534656883</v>
      </c>
      <c r="G163" s="181"/>
      <c r="Q163" s="559"/>
      <c r="R163" s="559"/>
      <c r="S163" s="559"/>
      <c r="T163" s="559"/>
      <c r="U163" s="559"/>
      <c r="V163" s="559"/>
      <c r="W163" s="559"/>
      <c r="X163" s="559"/>
      <c r="Y163" s="559"/>
      <c r="Z163" s="559"/>
      <c r="AA163" s="559"/>
      <c r="AB163" s="559"/>
      <c r="AC163" s="559"/>
      <c r="AD163" s="559"/>
    </row>
    <row r="164" spans="2:30">
      <c r="B164" s="187" t="s">
        <v>273</v>
      </c>
      <c r="C164" s="456"/>
      <c r="D164" s="456"/>
      <c r="E164" s="456"/>
      <c r="F164" s="457"/>
      <c r="G164" s="186"/>
      <c r="Q164" s="559"/>
      <c r="R164" s="559"/>
      <c r="S164" s="559"/>
      <c r="T164" s="559"/>
      <c r="U164" s="559"/>
      <c r="V164" s="559"/>
      <c r="W164" s="559"/>
      <c r="X164" s="559"/>
      <c r="Y164" s="559"/>
      <c r="Z164" s="559"/>
      <c r="AA164" s="559"/>
      <c r="AB164" s="559"/>
      <c r="AC164" s="559"/>
      <c r="AD164" s="559"/>
    </row>
    <row r="165" spans="2:30">
      <c r="B165" s="177" t="str">
        <f>$B$2</f>
        <v>Electricity Ashburton</v>
      </c>
      <c r="C165" s="456">
        <f>C152/VLOOKUP(C$38,'MP (2011)'!$A$14:$AR$245,'MP (2011)'!$H$246,FALSE)*1000000</f>
        <v>1984.7083480400916</v>
      </c>
      <c r="D165" s="456">
        <f>D152/VLOOKUP(D$38,'MP (2011)'!$A$14:$AR$245,'MP (2011)'!$H$246,FALSE)*1000000</f>
        <v>2145.9347443231027</v>
      </c>
      <c r="E165" s="456">
        <f>E152/VLOOKUP(E$38,'MP (2011)'!$A$14:$AR$245,'MP (2011)'!$H$246,FALSE)*1000000</f>
        <v>2153.0512566200755</v>
      </c>
      <c r="F165" s="457">
        <f>F152/VLOOKUP(F$38,'MP (2011)'!$A$14:$AR$245,'MP (2011)'!$H$246,FALSE)*1000000</f>
        <v>2157.0680628272248</v>
      </c>
      <c r="G165" s="181"/>
      <c r="Q165" s="559"/>
      <c r="R165" s="559"/>
      <c r="S165" s="559"/>
      <c r="T165" s="559"/>
      <c r="U165" s="559"/>
      <c r="V165" s="559"/>
      <c r="W165" s="559"/>
      <c r="X165" s="559"/>
      <c r="Y165" s="559"/>
      <c r="Z165" s="559"/>
      <c r="AA165" s="559"/>
      <c r="AB165" s="559"/>
      <c r="AC165" s="559"/>
      <c r="AD165" s="559"/>
    </row>
    <row r="166" spans="2:30">
      <c r="B166" s="177" t="s">
        <v>272</v>
      </c>
      <c r="C166" s="456">
        <f>'Industry calcs'!C17</f>
        <v>2958.0578571355086</v>
      </c>
      <c r="D166" s="456">
        <f>'Industry calcs'!D17</f>
        <v>2939.6496747811011</v>
      </c>
      <c r="E166" s="456">
        <f>'Industry calcs'!E17</f>
        <v>3017.8575351243162</v>
      </c>
      <c r="F166" s="457">
        <f>'Industry calcs'!F17</f>
        <v>3035.4219432410823</v>
      </c>
      <c r="G166" s="181"/>
      <c r="Q166" s="559"/>
      <c r="R166" s="559"/>
      <c r="S166" s="559"/>
      <c r="T166" s="559"/>
      <c r="U166" s="559"/>
      <c r="V166" s="559"/>
      <c r="W166" s="559"/>
      <c r="X166" s="559"/>
      <c r="Y166" s="559"/>
      <c r="Z166" s="559"/>
      <c r="AA166" s="559"/>
      <c r="AB166" s="559"/>
      <c r="AC166" s="559"/>
      <c r="AD166" s="559"/>
    </row>
    <row r="167" spans="2:30">
      <c r="B167" s="188" t="s">
        <v>274</v>
      </c>
      <c r="C167" s="456"/>
      <c r="D167" s="456"/>
      <c r="E167" s="456"/>
      <c r="F167" s="457"/>
      <c r="G167" s="191"/>
      <c r="Q167" s="559"/>
      <c r="R167" s="559"/>
      <c r="S167" s="559"/>
      <c r="T167" s="559"/>
      <c r="U167" s="559"/>
      <c r="V167" s="559"/>
      <c r="W167" s="559"/>
      <c r="X167" s="559"/>
      <c r="Y167" s="559"/>
      <c r="Z167" s="559"/>
      <c r="AA167" s="559"/>
      <c r="AB167" s="559"/>
      <c r="AC167" s="559"/>
      <c r="AD167" s="559"/>
    </row>
    <row r="168" spans="2:30">
      <c r="B168" s="177" t="str">
        <f>$B$2</f>
        <v>Electricity Ashburton</v>
      </c>
      <c r="C168" s="456">
        <f>(C152/C117)*1000000</f>
        <v>11.85200766933891</v>
      </c>
      <c r="D168" s="456">
        <f>(D152/D117)*1000000</f>
        <v>11.804529863524865</v>
      </c>
      <c r="E168" s="456">
        <f>(E152/E117)*1000000</f>
        <v>11.942539119877528</v>
      </c>
      <c r="F168" s="457">
        <f>(F152/F117)*1000000</f>
        <v>11.759354954486748</v>
      </c>
      <c r="G168" s="181"/>
      <c r="Q168" s="559"/>
      <c r="R168" s="559"/>
      <c r="S168" s="559"/>
      <c r="T168" s="559"/>
      <c r="U168" s="559"/>
      <c r="V168" s="559"/>
      <c r="W168" s="559"/>
      <c r="X168" s="559"/>
      <c r="Y168" s="559"/>
      <c r="Z168" s="559"/>
      <c r="AA168" s="559"/>
      <c r="AB168" s="559"/>
      <c r="AC168" s="559"/>
      <c r="AD168" s="559"/>
    </row>
    <row r="169" spans="2:30">
      <c r="B169" s="192" t="s">
        <v>272</v>
      </c>
      <c r="C169" s="472">
        <f>'Industry calcs'!C18</f>
        <v>14.04416610225651</v>
      </c>
      <c r="D169" s="472">
        <f>'Industry calcs'!D18</f>
        <v>14.476892649765206</v>
      </c>
      <c r="E169" s="472">
        <f>'Industry calcs'!E18</f>
        <v>14.463353009176652</v>
      </c>
      <c r="F169" s="473">
        <f>'Industry calcs'!F18</f>
        <v>14.671077200122745</v>
      </c>
      <c r="G169" s="181"/>
      <c r="Q169" s="559"/>
      <c r="R169" s="559"/>
      <c r="S169" s="559"/>
      <c r="T169" s="559"/>
      <c r="U169" s="559"/>
      <c r="V169" s="559"/>
      <c r="W169" s="559"/>
      <c r="X169" s="559"/>
      <c r="Y169" s="559"/>
      <c r="Z169" s="559"/>
      <c r="AA169" s="559"/>
      <c r="AB169" s="559"/>
      <c r="AC169" s="559"/>
      <c r="AD169" s="559"/>
    </row>
    <row r="170" spans="2:30">
      <c r="B170" s="103" t="s">
        <v>275</v>
      </c>
      <c r="C170" s="103" t="s">
        <v>246</v>
      </c>
      <c r="D170" s="181">
        <v>2009</v>
      </c>
      <c r="E170" s="181">
        <v>2010</v>
      </c>
      <c r="F170" s="181">
        <v>2011</v>
      </c>
      <c r="Q170" s="559"/>
      <c r="R170" s="559"/>
      <c r="S170" s="559"/>
      <c r="T170" s="559"/>
      <c r="U170" s="559"/>
      <c r="V170" s="559"/>
      <c r="W170" s="559"/>
      <c r="X170" s="559"/>
      <c r="Y170" s="559"/>
      <c r="Z170" s="559"/>
      <c r="AA170" s="559"/>
      <c r="AB170" s="559"/>
      <c r="AC170" s="559"/>
      <c r="AD170" s="559"/>
    </row>
    <row r="171" spans="2:30">
      <c r="B171" s="175" t="s">
        <v>271</v>
      </c>
      <c r="C171" s="463">
        <f>IFERROR(EXP(SLOPE(S171:V171,$C$148:$F$148))-1,(IFERROR(EXP(SLOPE(T171:V171,$D$148:$F$148))-1,F171)))</f>
        <v>1.8181612546385839E-2</v>
      </c>
      <c r="D171" s="464">
        <f>IF(ISERROR(D162/C162 - 1),"",(D162/C162 - 1))</f>
        <v>6.3458168083536437E-2</v>
      </c>
      <c r="E171" s="464">
        <f>IF(ISERROR(E162/D162 - 1),"",(E162/D162 - 1))</f>
        <v>5.5985802303224474E-3</v>
      </c>
      <c r="F171" s="465">
        <f>IF(ISERROR(F162/E162 - 1),"",(F162/E162 - 1))</f>
        <v>-8.8693968986479632E-3</v>
      </c>
      <c r="H171" s="139"/>
      <c r="Q171" s="559"/>
      <c r="R171" s="559" t="s">
        <v>423</v>
      </c>
      <c r="S171" s="559">
        <f>LN(C162)</f>
        <v>5.8242402216002453</v>
      </c>
      <c r="T171" s="559">
        <f>LN(D162)</f>
        <v>5.8857662422897139</v>
      </c>
      <c r="U171" s="559">
        <f>LN(E162)</f>
        <v>5.8913492087193751</v>
      </c>
      <c r="V171" s="559">
        <f>LN(F162)</f>
        <v>5.8824402445879809</v>
      </c>
      <c r="W171" s="559"/>
      <c r="X171" s="559"/>
      <c r="Y171" s="559"/>
      <c r="Z171" s="559"/>
      <c r="AA171" s="559"/>
      <c r="AB171" s="559"/>
      <c r="AC171" s="559"/>
      <c r="AD171" s="559"/>
    </row>
    <row r="172" spans="2:30">
      <c r="B172" s="177" t="s">
        <v>273</v>
      </c>
      <c r="C172" s="466">
        <f>IFERROR(EXP(SLOPE(S172:V172,$C$148:$F$148))-1,(IFERROR(EXP(SLOPE(T172:V172,$D$148:$F$148))-1,F172)))</f>
        <v>2.5637594603111769E-2</v>
      </c>
      <c r="D172" s="467">
        <f>IF(ISERROR(D165/C165 - 1),"",(D165/C165 - 1))</f>
        <v>8.1234301474180315E-2</v>
      </c>
      <c r="E172" s="467">
        <f>IF(ISERROR(E165/D165 - 1),"",(E165/D165 - 1))</f>
        <v>3.316276189571532E-3</v>
      </c>
      <c r="F172" s="468">
        <f>IF(ISERROR(F165/E165 - 1),"",(F165/E165 - 1))</f>
        <v>1.8656342689467031E-3</v>
      </c>
      <c r="Q172" s="559"/>
      <c r="R172" s="559" t="s">
        <v>423</v>
      </c>
      <c r="S172" s="559">
        <f>LN(C165)</f>
        <v>7.5932272543868233</v>
      </c>
      <c r="T172" s="559">
        <f>LN(D165)</f>
        <v>7.6713305146775657</v>
      </c>
      <c r="U172" s="559">
        <f>LN(E165)</f>
        <v>7.6746413041502199</v>
      </c>
      <c r="V172" s="559">
        <f>LN(F165)</f>
        <v>7.6765052002850336</v>
      </c>
      <c r="W172" s="559"/>
      <c r="X172" s="559"/>
      <c r="Y172" s="559"/>
      <c r="Z172" s="559"/>
      <c r="AA172" s="559"/>
      <c r="AB172" s="559"/>
      <c r="AC172" s="559"/>
      <c r="AD172" s="559"/>
    </row>
    <row r="173" spans="2:30">
      <c r="B173" s="194" t="s">
        <v>274</v>
      </c>
      <c r="C173" s="469">
        <f>IFERROR(EXP(SLOPE(S173:V173,$C$148:$F$148))-1,(IFERROR(EXP(SLOPE(T173:V173,$D$148:$F$148))-1,F173)))</f>
        <v>-1.1914059638886698E-3</v>
      </c>
      <c r="D173" s="470">
        <f>IF(ISERROR(D168/C168 - 1),"",(D168/C168 - 1))</f>
        <v>-4.0058871997585843E-3</v>
      </c>
      <c r="E173" s="470">
        <f>IF(ISERROR(E168/D168 - 1),"",(E168/D168 - 1))</f>
        <v>1.1691211589806905E-2</v>
      </c>
      <c r="F173" s="471">
        <f>IF(ISERROR(F168/E168 - 1),"",(F168/E168 - 1))</f>
        <v>-1.5338795506717906E-2</v>
      </c>
      <c r="Q173" s="559"/>
      <c r="R173" s="559" t="s">
        <v>423</v>
      </c>
      <c r="S173" s="559">
        <f>LN(C168)</f>
        <v>2.4724972768034914</v>
      </c>
      <c r="T173" s="559">
        <f>LN(D168)</f>
        <v>2.4684833445453522</v>
      </c>
      <c r="U173" s="559">
        <f>LN(E168)</f>
        <v>2.4801067419624032</v>
      </c>
      <c r="V173" s="559">
        <f>LN(F168)</f>
        <v>2.4646490901571703</v>
      </c>
      <c r="W173" s="559"/>
      <c r="X173" s="559"/>
      <c r="Y173" s="559"/>
      <c r="Z173" s="559"/>
      <c r="AA173" s="559"/>
      <c r="AB173" s="559"/>
      <c r="AC173" s="559"/>
      <c r="AD173" s="559"/>
    </row>
    <row r="174" spans="2:30">
      <c r="Q174" s="559"/>
      <c r="R174" s="559"/>
      <c r="S174" s="559"/>
      <c r="T174" s="559"/>
      <c r="U174" s="559"/>
      <c r="V174" s="559"/>
      <c r="W174" s="559"/>
      <c r="X174" s="559"/>
      <c r="Y174" s="559"/>
      <c r="Z174" s="559"/>
      <c r="AA174" s="559"/>
      <c r="AB174" s="559"/>
      <c r="AC174" s="559"/>
      <c r="AD174" s="559"/>
    </row>
    <row r="175" spans="2:30">
      <c r="Q175" s="559"/>
      <c r="R175" s="559"/>
      <c r="S175" s="559"/>
      <c r="T175" s="559"/>
      <c r="U175" s="559"/>
      <c r="V175" s="560" t="str">
        <f>$B$2</f>
        <v>Electricity Ashburton</v>
      </c>
      <c r="W175" s="561">
        <v>2010</v>
      </c>
      <c r="X175" s="561">
        <v>2011</v>
      </c>
      <c r="Y175" s="561">
        <v>2012</v>
      </c>
      <c r="Z175" s="561">
        <v>2013</v>
      </c>
      <c r="AA175" s="561">
        <v>2014</v>
      </c>
      <c r="AB175" s="561">
        <v>2015</v>
      </c>
      <c r="AC175" s="561">
        <v>2016</v>
      </c>
      <c r="AD175" s="559"/>
    </row>
    <row r="176" spans="2:30">
      <c r="B176" s="517" t="s">
        <v>276</v>
      </c>
      <c r="C176" s="510"/>
      <c r="D176" s="510"/>
      <c r="E176" s="510"/>
      <c r="F176" s="510"/>
      <c r="G176" s="510"/>
      <c r="H176" s="510"/>
      <c r="I176" s="511"/>
      <c r="Q176" s="559"/>
      <c r="R176" s="559"/>
      <c r="S176" s="559"/>
      <c r="T176" s="559"/>
      <c r="U176" s="559"/>
      <c r="V176" s="562" t="s">
        <v>280</v>
      </c>
      <c r="W176" s="563">
        <f>C178</f>
        <v>2158.9121823718033</v>
      </c>
      <c r="X176" s="563">
        <f>D178</f>
        <v>1793</v>
      </c>
      <c r="Y176" s="564"/>
      <c r="Z176" s="564"/>
      <c r="AA176" s="564"/>
      <c r="AB176" s="564"/>
      <c r="AC176" s="564"/>
      <c r="AD176" s="559"/>
    </row>
    <row r="177" spans="1:30" s="103" customFormat="1">
      <c r="B177" s="478" t="str">
        <f>$B$2</f>
        <v>Electricity Ashburton</v>
      </c>
      <c r="C177" s="475">
        <v>2010</v>
      </c>
      <c r="D177" s="475">
        <v>2011</v>
      </c>
      <c r="E177" s="475">
        <v>2012</v>
      </c>
      <c r="F177" s="475">
        <v>2013</v>
      </c>
      <c r="G177" s="475">
        <v>2014</v>
      </c>
      <c r="H177" s="475">
        <v>2015</v>
      </c>
      <c r="I177" s="476">
        <v>2016</v>
      </c>
      <c r="Q177" s="561"/>
      <c r="R177" s="561"/>
      <c r="S177" s="561"/>
      <c r="T177" s="561"/>
      <c r="U177" s="561"/>
      <c r="V177" s="565" t="s">
        <v>277</v>
      </c>
      <c r="W177" s="563">
        <f t="shared" ref="W177:AA178" si="14">C179</f>
        <v>1822.6965050793563</v>
      </c>
      <c r="X177" s="563">
        <f t="shared" si="14"/>
        <v>1819.6399989221522</v>
      </c>
      <c r="Y177" s="563">
        <f t="shared" si="14"/>
        <v>1820.658834307887</v>
      </c>
      <c r="Z177" s="563">
        <f t="shared" si="14"/>
        <v>1819.6399989221522</v>
      </c>
      <c r="AA177" s="563">
        <f t="shared" si="14"/>
        <v>1815.5646573792135</v>
      </c>
      <c r="AB177" s="564"/>
      <c r="AC177" s="564"/>
      <c r="AD177" s="561"/>
    </row>
    <row r="178" spans="1:30">
      <c r="B178" s="177" t="s">
        <v>280</v>
      </c>
      <c r="C178" s="461">
        <f>VLOOKUP(E38,'FS (2011)'!$A$14:$T$246,'FS (2011)'!$M$245,FALSE)+VLOOKUP(E38,'FS (2011)'!$A$14:$AO$245,'FS (2011)'!$N$245,FALSE)+VLOOKUP(E38,'FS (2011)'!$A$14:$AO$245,'FS (2011)'!$O$245,FALSE)</f>
        <v>2158.9121823718033</v>
      </c>
      <c r="D178" s="461">
        <f>VLOOKUP(F38,'FS (2011)'!$A$14:$T$246,'FS (2011)'!$M$245,FALSE)+VLOOKUP(F38,'FS (2011)'!$A$14:$AO$245,'FS (2011)'!$N$245,FALSE)+VLOOKUP(F38,'FS (2011)'!$A$14:$AO$245,'FS (2011)'!$O$245,FALSE)</f>
        <v>1793</v>
      </c>
      <c r="E178" s="461"/>
      <c r="F178" s="461"/>
      <c r="G178" s="461"/>
      <c r="H178" s="461"/>
      <c r="I178" s="462"/>
      <c r="Q178" s="559"/>
      <c r="R178" s="559"/>
      <c r="S178" s="559"/>
      <c r="T178" s="559"/>
      <c r="U178" s="559"/>
      <c r="V178" s="565" t="s">
        <v>278</v>
      </c>
      <c r="W178" s="564"/>
      <c r="X178" s="563">
        <f t="shared" si="14"/>
        <v>1788.5</v>
      </c>
      <c r="Y178" s="563">
        <f t="shared" si="14"/>
        <v>1786</v>
      </c>
      <c r="Z178" s="563">
        <f t="shared" si="14"/>
        <v>1786.5</v>
      </c>
      <c r="AA178" s="563">
        <f t="shared" si="14"/>
        <v>1785.6999999999998</v>
      </c>
      <c r="AB178" s="563">
        <f>H180</f>
        <v>1781.8999999999999</v>
      </c>
      <c r="AC178" s="564"/>
      <c r="AD178" s="559"/>
    </row>
    <row r="179" spans="1:30">
      <c r="B179" s="199" t="s">
        <v>277</v>
      </c>
      <c r="C179" s="461">
        <f>VLOOKUP(C182,'AM (2011)'!$A$10:$N$444,'AM (2011)'!$N$445,FALSE)</f>
        <v>1822.6965050793563</v>
      </c>
      <c r="D179" s="461">
        <f>VLOOKUP(D182,'AM (2011)'!$A$10:$N$444,'AM (2011)'!$N$445,FALSE)</f>
        <v>1819.6399989221522</v>
      </c>
      <c r="E179" s="461">
        <f>VLOOKUP(E182,'AM (2011)'!$A$10:$N$444,'AM (2011)'!$N$445,FALSE)</f>
        <v>1820.658834307887</v>
      </c>
      <c r="F179" s="461">
        <f>VLOOKUP(F182,'AM (2011)'!$A$10:$N$444,'AM (2011)'!$N$445,FALSE)</f>
        <v>1819.6399989221522</v>
      </c>
      <c r="G179" s="461">
        <f>VLOOKUP(G182,'AM (2011)'!$A$10:$N$444,'AM (2011)'!$N$445,FALSE)</f>
        <v>1815.5646573792135</v>
      </c>
      <c r="H179" s="461"/>
      <c r="I179" s="462"/>
      <c r="Q179" s="559"/>
      <c r="R179" s="559"/>
      <c r="S179" s="559"/>
      <c r="T179" s="559"/>
      <c r="U179" s="559"/>
      <c r="V179" s="565" t="s">
        <v>279</v>
      </c>
      <c r="W179" s="564"/>
      <c r="X179" s="564"/>
      <c r="Y179" s="563">
        <f>E181</f>
        <v>1889.7667744020684</v>
      </c>
      <c r="Z179" s="563">
        <f>F181</f>
        <v>1778.3164835164835</v>
      </c>
      <c r="AA179" s="563">
        <f>G181</f>
        <v>1778.3164835164835</v>
      </c>
      <c r="AB179" s="563">
        <f>H181</f>
        <v>1782.2270200387848</v>
      </c>
      <c r="AC179" s="563">
        <f>I181</f>
        <v>1781.2493859082094</v>
      </c>
      <c r="AD179" s="559"/>
    </row>
    <row r="180" spans="1:30">
      <c r="B180" s="199" t="s">
        <v>278</v>
      </c>
      <c r="C180" s="461"/>
      <c r="D180" s="461">
        <f>VLOOKUP(D183,'AM (2011)'!$A$10:$N$444,'AM (2011)'!$N$445,FALSE)</f>
        <v>1788.5</v>
      </c>
      <c r="E180" s="461">
        <f>VLOOKUP(E183,'AM (2011)'!$A$10:$N$444,'AM (2011)'!$N$445,FALSE)</f>
        <v>1786</v>
      </c>
      <c r="F180" s="461">
        <f>VLOOKUP(F183,'AM (2011)'!$A$10:$N$444,'AM (2011)'!$N$445,FALSE)</f>
        <v>1786.5</v>
      </c>
      <c r="G180" s="461">
        <f>VLOOKUP(G183,'AM (2011)'!$A$10:$N$444,'AM (2011)'!$N$445,FALSE)</f>
        <v>1785.6999999999998</v>
      </c>
      <c r="H180" s="461">
        <f>VLOOKUP(H183,'AM (2011)'!$A$10:$N$444,'AM (2011)'!$N$445,FALSE)</f>
        <v>1781.8999999999999</v>
      </c>
      <c r="I180" s="462"/>
      <c r="Q180" s="559"/>
      <c r="R180" s="559"/>
      <c r="S180" s="559"/>
      <c r="T180" s="559"/>
      <c r="U180" s="559"/>
      <c r="V180" s="559"/>
      <c r="W180" s="559"/>
      <c r="X180" s="559"/>
      <c r="Y180" s="559"/>
      <c r="Z180" s="559"/>
      <c r="AA180" s="559"/>
      <c r="AB180" s="559"/>
      <c r="AC180" s="559"/>
      <c r="AD180" s="559"/>
    </row>
    <row r="181" spans="1:30">
      <c r="B181" s="477" t="s">
        <v>279</v>
      </c>
      <c r="C181" s="493"/>
      <c r="D181" s="493"/>
      <c r="E181" s="493">
        <f>VLOOKUP(E184,'AM (2011)'!$A$10:$N$444,'AM (2011)'!$N$445,FALSE)</f>
        <v>1889.7667744020684</v>
      </c>
      <c r="F181" s="493">
        <f>VLOOKUP(F184,'AM (2011)'!$A$10:$N$444,'AM (2011)'!$N$445,FALSE)</f>
        <v>1778.3164835164835</v>
      </c>
      <c r="G181" s="493">
        <f>VLOOKUP(G184,'AM (2011)'!$A$10:$N$444,'AM (2011)'!$N$445,FALSE)</f>
        <v>1778.3164835164835</v>
      </c>
      <c r="H181" s="493">
        <f>VLOOKUP(H184,'AM (2011)'!$A$10:$N$444,'AM (2011)'!$N$445,FALSE)</f>
        <v>1782.2270200387848</v>
      </c>
      <c r="I181" s="494">
        <f>VLOOKUP(I184,'AM (2011)'!$A$10:$N$444,'AM (2011)'!$N$445,FALSE)</f>
        <v>1781.2493859082094</v>
      </c>
      <c r="Q181" s="559"/>
      <c r="R181" s="559"/>
      <c r="S181" s="559"/>
      <c r="T181" s="559"/>
      <c r="U181" s="559"/>
      <c r="V181" s="559"/>
      <c r="W181" s="559"/>
      <c r="X181" s="559"/>
      <c r="Y181" s="559"/>
      <c r="Z181" s="559"/>
      <c r="AA181" s="559"/>
      <c r="AB181" s="559"/>
      <c r="AC181" s="559"/>
      <c r="AD181" s="559"/>
    </row>
    <row r="182" spans="1:30">
      <c r="C182" s="136">
        <f>VLOOKUP($B$2,$B$257:$Y$286,10,FALSE)</f>
        <v>170</v>
      </c>
      <c r="D182" s="136">
        <f>VLOOKUP($B$2,$B$257:$Y$286,11,FALSE)</f>
        <v>171</v>
      </c>
      <c r="E182" s="136">
        <f>VLOOKUP($B$2,$B$257:$Y$286,12,FALSE)</f>
        <v>172</v>
      </c>
      <c r="F182" s="136">
        <f>VLOOKUP($B$2,$B$257:$Y$286,13,FALSE)</f>
        <v>173</v>
      </c>
      <c r="G182" s="136">
        <f>VLOOKUP($B$2,$B$257:$Y$286,14,FALSE)</f>
        <v>174</v>
      </c>
      <c r="H182" s="136"/>
      <c r="I182" s="136"/>
      <c r="Q182" s="559"/>
      <c r="R182" s="559"/>
      <c r="S182" s="559"/>
      <c r="T182" s="559"/>
      <c r="U182" s="559"/>
      <c r="V182" s="559"/>
      <c r="W182" s="559"/>
      <c r="X182" s="559"/>
      <c r="Y182" s="559"/>
      <c r="Z182" s="559"/>
      <c r="AA182" s="559"/>
      <c r="AB182" s="559"/>
      <c r="AC182" s="559"/>
      <c r="AD182" s="559"/>
    </row>
    <row r="183" spans="1:30">
      <c r="C183" s="136"/>
      <c r="D183" s="136">
        <f>VLOOKUP($B$2,$B$257:$Y$286,15,FALSE)</f>
        <v>175</v>
      </c>
      <c r="E183" s="136">
        <f>VLOOKUP($B$2,$B$257:$Y$286,16,FALSE)</f>
        <v>176</v>
      </c>
      <c r="F183" s="136">
        <f>VLOOKUP($B$2,$B$257:$Y$286,17,FALSE)</f>
        <v>177</v>
      </c>
      <c r="G183" s="136">
        <f>VLOOKUP($B$2,$B$257:$Y$286,18,FALSE)</f>
        <v>178</v>
      </c>
      <c r="H183" s="136">
        <f>VLOOKUP($B$2,$B$257:$Y$286,19,FALSE)</f>
        <v>179</v>
      </c>
      <c r="I183" s="136"/>
      <c r="Q183" s="559"/>
      <c r="R183" s="559"/>
      <c r="S183" s="559"/>
      <c r="T183" s="559"/>
      <c r="U183" s="559"/>
      <c r="V183" s="559"/>
      <c r="W183" s="559"/>
      <c r="X183" s="559"/>
      <c r="Y183" s="559"/>
      <c r="Z183" s="559"/>
      <c r="AA183" s="559"/>
      <c r="AB183" s="559"/>
      <c r="AC183" s="559"/>
      <c r="AD183" s="559"/>
    </row>
    <row r="184" spans="1:30">
      <c r="C184" s="136"/>
      <c r="E184" s="136">
        <f>VLOOKUP($B$2,$B$257:$Y$286,20,FALSE)</f>
        <v>180</v>
      </c>
      <c r="F184" s="136">
        <f>VLOOKUP($B$2,$B$257:$Y$286,21,FALSE)</f>
        <v>181</v>
      </c>
      <c r="G184" s="136">
        <f>VLOOKUP($B$2,$B$257:$Y$286,22,FALSE)</f>
        <v>182</v>
      </c>
      <c r="H184" s="136">
        <f>VLOOKUP($B$2,$B$257:$Y$286,23,FALSE)</f>
        <v>183</v>
      </c>
      <c r="I184" s="136">
        <f>VLOOKUP($B$2,$B$257:$Y$286,24,FALSE)</f>
        <v>184</v>
      </c>
      <c r="Q184" s="559"/>
      <c r="R184" s="559"/>
      <c r="S184" s="559"/>
      <c r="T184" s="559"/>
      <c r="U184" s="559"/>
      <c r="V184" s="559"/>
      <c r="W184" s="559"/>
      <c r="X184" s="559"/>
      <c r="Y184" s="559"/>
      <c r="Z184" s="559"/>
      <c r="AA184" s="559"/>
      <c r="AB184" s="559"/>
      <c r="AC184" s="559"/>
      <c r="AD184" s="559"/>
    </row>
    <row r="185" spans="1:30">
      <c r="B185" s="517" t="s">
        <v>261</v>
      </c>
      <c r="C185" s="510"/>
      <c r="D185" s="520" t="s">
        <v>166</v>
      </c>
      <c r="E185" s="521" t="s">
        <v>165</v>
      </c>
      <c r="Q185" s="559"/>
      <c r="R185" s="559"/>
      <c r="S185" s="559"/>
      <c r="T185" s="559" t="s">
        <v>321</v>
      </c>
      <c r="U185" s="559"/>
      <c r="V185" s="559"/>
      <c r="W185" s="559"/>
      <c r="X185" s="559"/>
      <c r="Y185" s="559"/>
      <c r="Z185" s="559"/>
      <c r="AA185" s="559"/>
      <c r="AB185" s="559"/>
      <c r="AC185" s="559"/>
      <c r="AD185" s="559"/>
    </row>
    <row r="186" spans="1:30">
      <c r="A186" s="102">
        <f t="shared" ref="A186:A191" si="15">RANK(D186,$D$186:$D$191)</f>
        <v>1</v>
      </c>
      <c r="B186" s="483" t="s">
        <v>205</v>
      </c>
      <c r="C186" s="490"/>
      <c r="D186" s="484">
        <f>VLOOKUP($D$6,'FS (2011)'!$A$13:$AH$244,'FS (2011)'!AC245,FALSE)/1000</f>
        <v>5.3109999999999999</v>
      </c>
      <c r="E186" s="495">
        <f t="shared" ref="E186:E191" si="16">D186/$D$192</f>
        <v>0.32417750106818044</v>
      </c>
      <c r="Q186" s="559"/>
      <c r="R186" s="559"/>
      <c r="S186" s="559"/>
      <c r="T186" s="559">
        <v>1</v>
      </c>
      <c r="U186" s="559" t="str">
        <f t="shared" ref="U186:U191" si="17">VLOOKUP(T186,$A$186:$D$191,2,FALSE)</f>
        <v>System growth</v>
      </c>
      <c r="V186" s="559">
        <f t="shared" ref="V186:V191" si="18">VLOOKUP(T186,$A$186:$D$191,4,FALSE)</f>
        <v>5.3109999999999999</v>
      </c>
      <c r="W186" s="559"/>
      <c r="X186" s="559"/>
      <c r="Y186" s="559"/>
      <c r="Z186" s="559"/>
      <c r="AA186" s="559"/>
      <c r="AB186" s="559"/>
      <c r="AC186" s="559"/>
      <c r="AD186" s="559"/>
    </row>
    <row r="187" spans="1:30">
      <c r="A187" s="102">
        <f t="shared" si="15"/>
        <v>5</v>
      </c>
      <c r="B187" s="162" t="s">
        <v>206</v>
      </c>
      <c r="C187" s="121"/>
      <c r="D187" s="456">
        <f>VLOOKUP($D$6,'FS (2011)'!$A$13:$AH$244,'FS (2011)'!AD245,FALSE)/1000</f>
        <v>0.90800000000000003</v>
      </c>
      <c r="E187" s="468">
        <f t="shared" si="16"/>
        <v>5.5423304645058909E-2</v>
      </c>
      <c r="Q187" s="559"/>
      <c r="R187" s="559"/>
      <c r="S187" s="559"/>
      <c r="T187" s="559">
        <v>2</v>
      </c>
      <c r="U187" s="559" t="str">
        <f t="shared" si="17"/>
        <v>Non-network capex</v>
      </c>
      <c r="V187" s="559">
        <f t="shared" si="18"/>
        <v>3.5569999999999999</v>
      </c>
      <c r="W187" s="559"/>
      <c r="X187" s="559"/>
      <c r="Y187" s="559"/>
      <c r="Z187" s="559"/>
      <c r="AA187" s="559"/>
      <c r="AB187" s="559"/>
      <c r="AC187" s="559"/>
      <c r="AD187" s="559"/>
    </row>
    <row r="188" spans="1:30">
      <c r="A188" s="102">
        <f t="shared" si="15"/>
        <v>4</v>
      </c>
      <c r="B188" s="162" t="s">
        <v>209</v>
      </c>
      <c r="C188" s="121"/>
      <c r="D188" s="456">
        <f>VLOOKUP($D$6,'FS (2011)'!$A$13:$AH$244,'FS (2011)'!AB245,FALSE)/1000</f>
        <v>3.2650000000000001</v>
      </c>
      <c r="E188" s="468">
        <f t="shared" si="16"/>
        <v>0.19929194897149485</v>
      </c>
      <c r="Q188" s="559"/>
      <c r="R188" s="559"/>
      <c r="S188" s="559"/>
      <c r="T188" s="559">
        <v>3</v>
      </c>
      <c r="U188" s="559" t="str">
        <f t="shared" si="17"/>
        <v>Asset replacement and renewal</v>
      </c>
      <c r="V188" s="559">
        <f t="shared" si="18"/>
        <v>3.3420000000000001</v>
      </c>
      <c r="W188" s="559"/>
      <c r="X188" s="559"/>
      <c r="Y188" s="559"/>
      <c r="Z188" s="559"/>
      <c r="AA188" s="559"/>
      <c r="AB188" s="559"/>
      <c r="AC188" s="559"/>
      <c r="AD188" s="559"/>
    </row>
    <row r="189" spans="1:30">
      <c r="A189" s="102">
        <f t="shared" si="15"/>
        <v>3</v>
      </c>
      <c r="B189" s="162" t="s">
        <v>208</v>
      </c>
      <c r="C189" s="121"/>
      <c r="D189" s="456">
        <f>VLOOKUP($D$6,'FS (2011)'!$A$13:$AH$244,'FS (2011)'!AE245,FALSE)/1000</f>
        <v>3.3420000000000001</v>
      </c>
      <c r="E189" s="468">
        <f t="shared" si="16"/>
        <v>0.20399194286760669</v>
      </c>
      <c r="Q189" s="559"/>
      <c r="R189" s="559"/>
      <c r="S189" s="559"/>
      <c r="T189" s="559">
        <v>4</v>
      </c>
      <c r="U189" s="559" t="str">
        <f t="shared" si="17"/>
        <v>Customer connection</v>
      </c>
      <c r="V189" s="559">
        <f t="shared" si="18"/>
        <v>3.2650000000000001</v>
      </c>
      <c r="W189" s="559"/>
      <c r="X189" s="559"/>
      <c r="Y189" s="559"/>
      <c r="Z189" s="559"/>
      <c r="AA189" s="559"/>
      <c r="AB189" s="559"/>
      <c r="AC189" s="559"/>
      <c r="AD189" s="559"/>
    </row>
    <row r="190" spans="1:30">
      <c r="A190" s="102">
        <f t="shared" si="15"/>
        <v>2</v>
      </c>
      <c r="B190" s="162" t="s">
        <v>312</v>
      </c>
      <c r="C190" s="121"/>
      <c r="D190" s="456">
        <f>VLOOKUP($D$6,'FS (2011)'!$A$13:$AH$244,'FS (2011)'!AH245,FALSE)/1000</f>
        <v>3.5569999999999999</v>
      </c>
      <c r="E190" s="468">
        <f t="shared" si="16"/>
        <v>0.21711530244765917</v>
      </c>
      <c r="Q190" s="559"/>
      <c r="R190" s="559"/>
      <c r="S190" s="559"/>
      <c r="T190" s="559">
        <v>5</v>
      </c>
      <c r="U190" s="559" t="str">
        <f t="shared" si="17"/>
        <v>Reliability, safety and environment</v>
      </c>
      <c r="V190" s="559">
        <f t="shared" si="18"/>
        <v>0.90800000000000003</v>
      </c>
      <c r="W190" s="559"/>
      <c r="X190" s="559"/>
      <c r="Y190" s="559"/>
      <c r="Z190" s="559"/>
      <c r="AA190" s="559"/>
      <c r="AB190" s="559"/>
      <c r="AC190" s="559"/>
      <c r="AD190" s="559"/>
    </row>
    <row r="191" spans="1:30">
      <c r="A191" s="102">
        <f t="shared" si="15"/>
        <v>6</v>
      </c>
      <c r="B191" s="162" t="s">
        <v>207</v>
      </c>
      <c r="C191" s="121"/>
      <c r="D191" s="456">
        <f>VLOOKUP($D$6,'FS (2011)'!$A$13:$AH$244,'FS (2011)'!AF245,FALSE)/1000</f>
        <v>0</v>
      </c>
      <c r="E191" s="468">
        <f t="shared" si="16"/>
        <v>0</v>
      </c>
      <c r="Q191" s="559"/>
      <c r="R191" s="559"/>
      <c r="S191" s="559"/>
      <c r="T191" s="559">
        <v>6</v>
      </c>
      <c r="U191" s="559" t="str">
        <f t="shared" si="17"/>
        <v>Asset relocations</v>
      </c>
      <c r="V191" s="559">
        <f t="shared" si="18"/>
        <v>0</v>
      </c>
      <c r="W191" s="559"/>
      <c r="X191" s="559"/>
      <c r="Y191" s="559"/>
      <c r="Z191" s="559"/>
      <c r="AA191" s="559"/>
      <c r="AB191" s="559"/>
      <c r="AC191" s="559"/>
      <c r="AD191" s="559"/>
    </row>
    <row r="192" spans="1:30">
      <c r="B192" s="491" t="s">
        <v>262</v>
      </c>
      <c r="C192" s="492"/>
      <c r="D192" s="488">
        <f>SUM(D186:D191)</f>
        <v>16.382999999999999</v>
      </c>
      <c r="E192" s="496">
        <f>SUM(E186:E191)</f>
        <v>1</v>
      </c>
      <c r="Q192" s="559"/>
      <c r="R192" s="559"/>
      <c r="S192" s="559"/>
      <c r="T192" s="559"/>
      <c r="U192" s="559"/>
      <c r="V192" s="559"/>
      <c r="W192" s="559"/>
      <c r="X192" s="559"/>
      <c r="Y192" s="559"/>
      <c r="Z192" s="559"/>
      <c r="AA192" s="559"/>
      <c r="AB192" s="559"/>
      <c r="AC192" s="559"/>
      <c r="AD192" s="559"/>
    </row>
    <row r="193" spans="2:30">
      <c r="D193" s="174"/>
      <c r="Q193" s="559"/>
      <c r="R193" s="559"/>
      <c r="S193" s="559"/>
      <c r="T193" s="559"/>
      <c r="U193" s="559"/>
      <c r="V193" s="559"/>
      <c r="W193" s="559"/>
      <c r="X193" s="559"/>
      <c r="Y193" s="559"/>
      <c r="Z193" s="559"/>
      <c r="AA193" s="559"/>
      <c r="AB193" s="559"/>
      <c r="AC193" s="559"/>
      <c r="AD193" s="559"/>
    </row>
    <row r="194" spans="2:30">
      <c r="Q194" s="559"/>
      <c r="R194" s="559"/>
      <c r="S194" s="559"/>
      <c r="T194" s="559"/>
      <c r="U194" s="559"/>
      <c r="V194" s="559"/>
      <c r="W194" s="559"/>
      <c r="X194" s="559"/>
      <c r="Y194" s="559"/>
      <c r="Z194" s="559"/>
      <c r="AA194" s="559"/>
      <c r="AB194" s="559"/>
      <c r="AC194" s="559"/>
      <c r="AD194" s="559"/>
    </row>
    <row r="195" spans="2:30">
      <c r="B195" s="517" t="s">
        <v>281</v>
      </c>
      <c r="C195" s="522">
        <v>2008</v>
      </c>
      <c r="D195" s="522">
        <v>2009</v>
      </c>
      <c r="E195" s="522">
        <v>2010</v>
      </c>
      <c r="F195" s="523">
        <v>2011</v>
      </c>
      <c r="Q195" s="559"/>
      <c r="R195" s="559"/>
      <c r="S195" s="559"/>
      <c r="T195" s="559"/>
      <c r="U195" s="559"/>
      <c r="V195" s="559"/>
      <c r="W195" s="559"/>
      <c r="X195" s="559"/>
      <c r="Y195" s="559"/>
      <c r="Z195" s="559"/>
      <c r="AA195" s="559"/>
      <c r="AB195" s="559"/>
      <c r="AC195" s="559"/>
      <c r="AD195" s="559"/>
    </row>
    <row r="196" spans="2:30">
      <c r="B196" s="483" t="s">
        <v>282</v>
      </c>
      <c r="C196" s="484">
        <f>VLOOKUP($C$38,'FS (2011)'!$A$13:$AH$244,'FS (2011)'!$AG$245,FALSE)/1000</f>
        <v>10.802549114653131</v>
      </c>
      <c r="D196" s="484">
        <f>VLOOKUP($D$38,'FS (2011)'!$A$13:$AH$244,'FS (2011)'!$AG$245,FALSE)/1000</f>
        <v>16.457951540943093</v>
      </c>
      <c r="E196" s="484">
        <f>VLOOKUP($E$38,'FS (2011)'!$A$13:$AH$244,'FS (2011)'!$AG$245,FALSE)/1000</f>
        <v>13.466966128641101</v>
      </c>
      <c r="F196" s="486">
        <f>VLOOKUP($F$38,'FS (2011)'!$A$13:$AH$244,'FS (2011)'!$AG$245,FALSE)/1000</f>
        <v>12.826000000000001</v>
      </c>
      <c r="Q196" s="559"/>
      <c r="R196" s="559"/>
      <c r="S196" s="559"/>
      <c r="T196" s="559"/>
      <c r="U196" s="559"/>
      <c r="V196" s="559"/>
      <c r="W196" s="559"/>
      <c r="X196" s="559"/>
      <c r="Y196" s="559"/>
      <c r="Z196" s="559"/>
      <c r="AA196" s="559"/>
      <c r="AB196" s="559"/>
      <c r="AC196" s="559"/>
      <c r="AD196" s="559"/>
    </row>
    <row r="197" spans="2:30">
      <c r="B197" s="162" t="s">
        <v>283</v>
      </c>
      <c r="C197" s="456">
        <f>VLOOKUP($C$38,'FS (2011)'!$A$13:$AH$244,'FS (2011)'!$AH$245,FALSE)/1000</f>
        <v>0.57354851586781097</v>
      </c>
      <c r="D197" s="456">
        <f>VLOOKUP($D$38,'FS (2011)'!$A$13:$AH$244,'FS (2011)'!$AH$245,FALSE)/1000</f>
        <v>0.75158047909945758</v>
      </c>
      <c r="E197" s="456">
        <f>VLOOKUP($E$38,'FS (2011)'!$A$13:$AH$244,'FS (2011)'!$AH$245,FALSE)/1000</f>
        <v>0.46357010050928288</v>
      </c>
      <c r="F197" s="457">
        <f>VLOOKUP($F$38,'FS (2011)'!$A$13:$AH$244,'FS (2011)'!$AH$245,FALSE)/1000</f>
        <v>3.5569999999999999</v>
      </c>
      <c r="Q197" s="559"/>
      <c r="R197" s="559"/>
      <c r="S197" s="559"/>
      <c r="T197" s="559"/>
      <c r="U197" s="559"/>
      <c r="V197" s="559"/>
      <c r="W197" s="559"/>
      <c r="X197" s="559"/>
      <c r="Y197" s="559"/>
      <c r="Z197" s="559"/>
      <c r="AA197" s="559"/>
      <c r="AB197" s="559"/>
      <c r="AC197" s="559"/>
      <c r="AD197" s="559"/>
    </row>
    <row r="198" spans="2:30">
      <c r="B198" s="487" t="s">
        <v>284</v>
      </c>
      <c r="C198" s="488">
        <f>SUM(C196:C197)</f>
        <v>11.376097630520942</v>
      </c>
      <c r="D198" s="488">
        <f>SUM(D196:D197)</f>
        <v>17.209532020042552</v>
      </c>
      <c r="E198" s="488">
        <f>SUM(E196:E197)</f>
        <v>13.930536229150384</v>
      </c>
      <c r="F198" s="489">
        <f>SUM(F196:F197)</f>
        <v>16.382999999999999</v>
      </c>
      <c r="Q198" s="559"/>
      <c r="R198" s="559"/>
      <c r="S198" s="559"/>
      <c r="T198" s="559"/>
      <c r="U198" s="559"/>
      <c r="V198" s="559"/>
      <c r="W198" s="559"/>
      <c r="X198" s="559"/>
      <c r="Y198" s="559"/>
      <c r="Z198" s="559"/>
      <c r="AA198" s="559"/>
      <c r="AB198" s="559"/>
      <c r="AC198" s="559"/>
      <c r="AD198" s="559"/>
    </row>
    <row r="199" spans="2:30">
      <c r="B199" s="103" t="s">
        <v>285</v>
      </c>
      <c r="C199" s="103" t="s">
        <v>246</v>
      </c>
      <c r="D199" s="181">
        <v>2009</v>
      </c>
      <c r="E199" s="181">
        <v>2010</v>
      </c>
      <c r="F199" s="181">
        <v>2011</v>
      </c>
      <c r="Q199" s="559"/>
      <c r="R199" s="559"/>
      <c r="S199" s="559"/>
      <c r="T199" s="559"/>
      <c r="U199" s="559"/>
      <c r="V199" s="559"/>
      <c r="W199" s="559"/>
      <c r="X199" s="559"/>
      <c r="Y199" s="559"/>
      <c r="Z199" s="559"/>
      <c r="AA199" s="559"/>
      <c r="AB199" s="559"/>
      <c r="AC199" s="559"/>
      <c r="AD199" s="559"/>
    </row>
    <row r="200" spans="2:30">
      <c r="B200" s="483" t="s">
        <v>282</v>
      </c>
      <c r="C200" s="497">
        <f t="shared" ref="C200:C202" si="19">IFERROR(EXP(SLOPE(S200:V200,$C$148:$F$148))-1,(IFERROR(EXP(SLOPE(T200:V200,$D$148:$F$148))-1,F200)))</f>
        <v>3.1950568579854011E-2</v>
      </c>
      <c r="D200" s="498">
        <f t="shared" ref="D200:F202" si="20">D196/C196 - 1</f>
        <v>0.52352480569782234</v>
      </c>
      <c r="E200" s="498">
        <f t="shared" si="20"/>
        <v>-0.18173497502779734</v>
      </c>
      <c r="F200" s="495">
        <f t="shared" si="20"/>
        <v>-4.7595436308250139E-2</v>
      </c>
      <c r="Q200" s="559"/>
      <c r="R200" s="559" t="s">
        <v>423</v>
      </c>
      <c r="S200" s="559">
        <f t="shared" ref="S200:V202" si="21">LN(C196)</f>
        <v>2.3797821354142292</v>
      </c>
      <c r="T200" s="559">
        <f t="shared" si="21"/>
        <v>2.8008087367717915</v>
      </c>
      <c r="U200" s="559">
        <f t="shared" si="21"/>
        <v>2.6002397333270793</v>
      </c>
      <c r="V200" s="559">
        <f t="shared" si="21"/>
        <v>2.551474360726671</v>
      </c>
      <c r="W200" s="559"/>
      <c r="X200" s="559"/>
      <c r="Y200" s="559"/>
      <c r="Z200" s="559"/>
      <c r="AA200" s="559"/>
      <c r="AB200" s="559"/>
      <c r="AC200" s="559"/>
      <c r="AD200" s="559"/>
    </row>
    <row r="201" spans="2:30">
      <c r="B201" s="162" t="s">
        <v>283</v>
      </c>
      <c r="C201" s="466">
        <f t="shared" si="19"/>
        <v>0.64728257319463789</v>
      </c>
      <c r="D201" s="467">
        <f t="shared" si="20"/>
        <v>0.31040436563988716</v>
      </c>
      <c r="E201" s="467">
        <f t="shared" si="20"/>
        <v>-0.38320630537832523</v>
      </c>
      <c r="F201" s="468">
        <f t="shared" si="20"/>
        <v>6.6730574212880498</v>
      </c>
      <c r="Q201" s="559"/>
      <c r="R201" s="559" t="s">
        <v>423</v>
      </c>
      <c r="S201" s="559">
        <f t="shared" si="21"/>
        <v>-0.55591274988298212</v>
      </c>
      <c r="T201" s="559">
        <f t="shared" si="21"/>
        <v>-0.28557698423959332</v>
      </c>
      <c r="U201" s="559">
        <f t="shared" si="21"/>
        <v>-0.76879766375236824</v>
      </c>
      <c r="V201" s="559">
        <f t="shared" si="21"/>
        <v>1.2689174929663181</v>
      </c>
      <c r="W201" s="559"/>
      <c r="X201" s="559"/>
      <c r="Y201" s="559"/>
      <c r="Z201" s="559"/>
      <c r="AA201" s="559"/>
      <c r="AB201" s="559"/>
      <c r="AC201" s="559"/>
      <c r="AD201" s="559"/>
    </row>
    <row r="202" spans="2:30">
      <c r="B202" s="485" t="s">
        <v>284</v>
      </c>
      <c r="C202" s="499">
        <f t="shared" si="19"/>
        <v>9.2294919222364769E-2</v>
      </c>
      <c r="D202" s="500">
        <f t="shared" si="20"/>
        <v>0.51277991618769914</v>
      </c>
      <c r="E202" s="500">
        <f t="shared" si="20"/>
        <v>-0.19053369882884597</v>
      </c>
      <c r="F202" s="501">
        <f t="shared" si="20"/>
        <v>0.17604948801021059</v>
      </c>
      <c r="Q202" s="559"/>
      <c r="R202" s="559" t="s">
        <v>423</v>
      </c>
      <c r="S202" s="559">
        <f t="shared" si="21"/>
        <v>2.4315144551725241</v>
      </c>
      <c r="T202" s="559">
        <f t="shared" si="21"/>
        <v>2.8454634175261617</v>
      </c>
      <c r="U202" s="559">
        <f t="shared" si="21"/>
        <v>2.6340832816057631</v>
      </c>
      <c r="V202" s="559">
        <f t="shared" si="21"/>
        <v>2.7962442118381263</v>
      </c>
      <c r="W202" s="559"/>
      <c r="X202" s="559"/>
      <c r="Y202" s="559"/>
      <c r="Z202" s="559"/>
      <c r="AA202" s="559"/>
      <c r="AB202" s="559"/>
      <c r="AC202" s="559"/>
      <c r="AD202" s="559"/>
    </row>
    <row r="203" spans="2:30">
      <c r="Q203" s="559"/>
      <c r="R203" s="559"/>
      <c r="S203" s="559"/>
      <c r="T203" s="559"/>
      <c r="U203" s="559"/>
      <c r="V203" s="559"/>
      <c r="W203" s="559"/>
      <c r="X203" s="559"/>
      <c r="Y203" s="559"/>
      <c r="Z203" s="559"/>
      <c r="AA203" s="559"/>
      <c r="AB203" s="559"/>
      <c r="AC203" s="559"/>
      <c r="AD203" s="559"/>
    </row>
    <row r="204" spans="2:30">
      <c r="B204" s="517" t="s">
        <v>286</v>
      </c>
      <c r="C204" s="522">
        <v>2008</v>
      </c>
      <c r="D204" s="522">
        <v>2009</v>
      </c>
      <c r="E204" s="522">
        <v>2010</v>
      </c>
      <c r="F204" s="523">
        <v>2011</v>
      </c>
      <c r="Q204" s="559"/>
      <c r="R204" s="559"/>
      <c r="S204" s="559"/>
      <c r="T204" s="559"/>
      <c r="U204" s="559"/>
      <c r="V204" s="559"/>
      <c r="W204" s="559"/>
      <c r="X204" s="559"/>
      <c r="Y204" s="559"/>
      <c r="Z204" s="559"/>
      <c r="AA204" s="559"/>
      <c r="AB204" s="559"/>
      <c r="AC204" s="559"/>
      <c r="AD204" s="559"/>
    </row>
    <row r="205" spans="2:30">
      <c r="B205" s="479" t="s">
        <v>287</v>
      </c>
      <c r="C205" s="480"/>
      <c r="D205" s="480"/>
      <c r="E205" s="480"/>
      <c r="F205" s="481"/>
      <c r="Q205" s="559"/>
      <c r="R205" s="559"/>
      <c r="S205" s="559"/>
      <c r="T205" s="559"/>
      <c r="U205" s="559"/>
      <c r="V205" s="559"/>
      <c r="W205" s="559"/>
      <c r="X205" s="559"/>
      <c r="Y205" s="559"/>
      <c r="Z205" s="559"/>
      <c r="AA205" s="559"/>
      <c r="AB205" s="559"/>
      <c r="AC205" s="559"/>
      <c r="AD205" s="559"/>
    </row>
    <row r="206" spans="2:30">
      <c r="B206" s="177" t="str">
        <f>B2</f>
        <v>Electricity Ashburton</v>
      </c>
      <c r="C206" s="456">
        <f>(C198/C102)*1000000</f>
        <v>679.90064729386449</v>
      </c>
      <c r="D206" s="456">
        <f>(D198/D102)*1000000</f>
        <v>999.50819026847205</v>
      </c>
      <c r="E206" s="456">
        <f>(E198/E102)*1000000</f>
        <v>798.22004521833514</v>
      </c>
      <c r="F206" s="457">
        <f>(F198/F102)*1000000</f>
        <v>920.18649562315204</v>
      </c>
      <c r="Q206" s="559"/>
      <c r="R206" s="559"/>
      <c r="S206" s="559"/>
      <c r="T206" s="559"/>
      <c r="U206" s="559"/>
      <c r="V206" s="559"/>
      <c r="W206" s="559"/>
      <c r="X206" s="559"/>
      <c r="Y206" s="559"/>
      <c r="Z206" s="559"/>
      <c r="AA206" s="559"/>
      <c r="AB206" s="559"/>
      <c r="AC206" s="559"/>
      <c r="AD206" s="559"/>
    </row>
    <row r="207" spans="2:30">
      <c r="B207" s="177" t="s">
        <v>272</v>
      </c>
      <c r="C207" s="456">
        <f>'Industry calcs'!C22</f>
        <v>278.20789662228765</v>
      </c>
      <c r="D207" s="456">
        <f>'Industry calcs'!D22</f>
        <v>291.79923762758693</v>
      </c>
      <c r="E207" s="456">
        <f>'Industry calcs'!E22</f>
        <v>270.96257169694115</v>
      </c>
      <c r="F207" s="457">
        <f>'Industry calcs'!F22</f>
        <v>291.32045679684501</v>
      </c>
      <c r="Q207" s="559"/>
      <c r="R207" s="559"/>
      <c r="S207" s="559"/>
      <c r="T207" s="559"/>
      <c r="U207" s="559"/>
      <c r="V207" s="559"/>
      <c r="W207" s="559"/>
      <c r="X207" s="559"/>
      <c r="Y207" s="559"/>
      <c r="Z207" s="559"/>
      <c r="AA207" s="559"/>
      <c r="AB207" s="559"/>
      <c r="AC207" s="559"/>
      <c r="AD207" s="559"/>
    </row>
    <row r="208" spans="2:30">
      <c r="B208" s="187" t="s">
        <v>362</v>
      </c>
      <c r="C208" s="456"/>
      <c r="D208" s="456"/>
      <c r="E208" s="456"/>
      <c r="F208" s="457"/>
      <c r="Q208" s="559"/>
      <c r="R208" s="559"/>
      <c r="S208" s="559"/>
      <c r="T208" s="559"/>
      <c r="U208" s="559"/>
      <c r="V208" s="559"/>
      <c r="W208" s="559"/>
      <c r="X208" s="559"/>
      <c r="Y208" s="559"/>
      <c r="Z208" s="559"/>
      <c r="AA208" s="559"/>
      <c r="AB208" s="559"/>
      <c r="AC208" s="559"/>
      <c r="AD208" s="559"/>
    </row>
    <row r="209" spans="2:30">
      <c r="B209" s="177" t="str">
        <f>B2</f>
        <v>Electricity Ashburton</v>
      </c>
      <c r="C209" s="456">
        <f>(C198/C117)*1000000000</f>
        <v>23812.335286912446</v>
      </c>
      <c r="D209" s="456">
        <f>(D198/D117)*1000000000</f>
        <v>32785.30676453597</v>
      </c>
      <c r="E209" s="456">
        <f>(E198/E117)*1000000000</f>
        <v>26341.39980417574</v>
      </c>
      <c r="F209" s="457">
        <f>(F198/F117)*1000000000</f>
        <v>30168.104011800246</v>
      </c>
      <c r="Q209" s="559"/>
      <c r="R209" s="559"/>
      <c r="S209" s="559"/>
      <c r="T209" s="559"/>
      <c r="U209" s="559"/>
      <c r="V209" s="559"/>
      <c r="W209" s="559"/>
      <c r="X209" s="559"/>
      <c r="Y209" s="559"/>
      <c r="Z209" s="559"/>
      <c r="AA209" s="559"/>
      <c r="AB209" s="559"/>
      <c r="AC209" s="559"/>
      <c r="AD209" s="559"/>
    </row>
    <row r="210" spans="2:30">
      <c r="B210" s="177" t="s">
        <v>272</v>
      </c>
      <c r="C210" s="456">
        <f>'Industry calcs'!C23</f>
        <v>17766.223837181449</v>
      </c>
      <c r="D210" s="456">
        <f>'Industry calcs'!D23</f>
        <v>19320.423913855331</v>
      </c>
      <c r="E210" s="456">
        <f>'Industry calcs'!E23</f>
        <v>17432.184323005218</v>
      </c>
      <c r="F210" s="457">
        <f>'Industry calcs'!F23</f>
        <v>18909.483671077171</v>
      </c>
      <c r="Q210" s="559"/>
      <c r="R210" s="559"/>
      <c r="S210" s="559"/>
      <c r="T210" s="559"/>
      <c r="U210" s="559"/>
      <c r="V210" s="559"/>
      <c r="W210" s="559"/>
      <c r="X210" s="559"/>
      <c r="Y210" s="559"/>
      <c r="Z210" s="559"/>
      <c r="AA210" s="559"/>
      <c r="AB210" s="559"/>
      <c r="AC210" s="559"/>
      <c r="AD210" s="559"/>
    </row>
    <row r="211" spans="2:30">
      <c r="B211" s="188" t="s">
        <v>289</v>
      </c>
      <c r="C211" s="456"/>
      <c r="D211" s="456"/>
      <c r="E211" s="456"/>
      <c r="F211" s="457"/>
      <c r="I211" s="135"/>
      <c r="J211" s="135"/>
      <c r="Q211" s="559"/>
      <c r="R211" s="559"/>
      <c r="S211" s="559"/>
      <c r="T211" s="559"/>
      <c r="U211" s="559"/>
      <c r="V211" s="559"/>
      <c r="W211" s="559"/>
      <c r="X211" s="559"/>
      <c r="Y211" s="559"/>
      <c r="Z211" s="559"/>
      <c r="AA211" s="559"/>
      <c r="AB211" s="559"/>
      <c r="AC211" s="559"/>
      <c r="AD211" s="559"/>
    </row>
    <row r="212" spans="2:30">
      <c r="B212" s="177" t="str">
        <f>B2</f>
        <v>Electricity Ashburton</v>
      </c>
      <c r="C212" s="456">
        <f>(C198/VLOOKUP(C$38,'AV (2011)'!$A$11:$F$213,'AV (2011)'!$F$214,FALSE)*1000)</f>
        <v>7.3715236755009447E-2</v>
      </c>
      <c r="D212" s="456">
        <f>(D198/VLOOKUP(D$38,'AV (2011)'!$A$11:$F$213,'AV (2011)'!$F$214,FALSE)*1000)</f>
        <v>0.10715026697079126</v>
      </c>
      <c r="E212" s="456">
        <f>(E198/VLOOKUP(E$38,'AV (2011)'!$A$11:$F$213,'AV (2011)'!$F$214,FALSE)*1000)</f>
        <v>8.2458735804393626E-2</v>
      </c>
      <c r="F212" s="457">
        <f>(F198/VLOOKUP(F$38,'AV (2011)'!$A$11:$F$213,'AV (2011)'!$F$214,FALSE)*1000)</f>
        <v>8.8977123163173383E-2</v>
      </c>
      <c r="J212" s="135"/>
      <c r="Q212" s="559"/>
      <c r="R212" s="559"/>
      <c r="S212" s="559"/>
      <c r="T212" s="559"/>
      <c r="U212" s="559"/>
      <c r="V212" s="559"/>
      <c r="W212" s="559"/>
      <c r="X212" s="559"/>
      <c r="Y212" s="559"/>
      <c r="Z212" s="559"/>
      <c r="AA212" s="559"/>
      <c r="AB212" s="559"/>
      <c r="AC212" s="559"/>
      <c r="AD212" s="559"/>
    </row>
    <row r="213" spans="2:30">
      <c r="B213" s="482" t="s">
        <v>272</v>
      </c>
      <c r="C213" s="472">
        <f>'Industry calcs'!C24</f>
        <v>6.7200573422985591E-2</v>
      </c>
      <c r="D213" s="472">
        <f>'Industry calcs'!D24</f>
        <v>6.9687031761162824E-2</v>
      </c>
      <c r="E213" s="472">
        <f>'Industry calcs'!E24</f>
        <v>6.3393701017924006E-2</v>
      </c>
      <c r="F213" s="473">
        <f>'Industry calcs'!F24</f>
        <v>6.5198766431544805E-2</v>
      </c>
      <c r="Q213" s="559"/>
      <c r="R213" s="559"/>
      <c r="S213" s="559"/>
      <c r="T213" s="559"/>
      <c r="U213" s="559"/>
      <c r="V213" s="559"/>
      <c r="W213" s="559"/>
      <c r="X213" s="559"/>
      <c r="Y213" s="559"/>
      <c r="Z213" s="559"/>
      <c r="AA213" s="559"/>
      <c r="AB213" s="559"/>
      <c r="AC213" s="559"/>
      <c r="AD213" s="559"/>
    </row>
    <row r="214" spans="2:30">
      <c r="B214" s="103" t="s">
        <v>275</v>
      </c>
      <c r="C214" s="103" t="s">
        <v>246</v>
      </c>
      <c r="D214" s="181">
        <v>2009</v>
      </c>
      <c r="E214" s="181">
        <v>2010</v>
      </c>
      <c r="F214" s="181">
        <v>2011</v>
      </c>
      <c r="Q214" s="559"/>
      <c r="R214" s="559"/>
      <c r="S214" s="559"/>
      <c r="T214" s="559"/>
      <c r="U214" s="559"/>
      <c r="V214" s="559"/>
      <c r="W214" s="559"/>
      <c r="X214" s="559"/>
      <c r="Y214" s="559"/>
      <c r="Z214" s="559"/>
      <c r="AA214" s="559"/>
      <c r="AB214" s="559"/>
      <c r="AC214" s="559"/>
      <c r="AD214" s="559"/>
    </row>
    <row r="215" spans="2:30">
      <c r="B215" s="175" t="s">
        <v>287</v>
      </c>
      <c r="C215" s="463">
        <f t="shared" ref="C215:C216" si="22">IFERROR(EXP(SLOPE(S215:V215,$C$195:$F$195))-1,(IFERROR(EXP(SLOPE(T215:V215,$D$195:$F$195))-1,F215)))</f>
        <v>7.0687537114850096E-2</v>
      </c>
      <c r="D215" s="464">
        <f>D206/C206 - 1</f>
        <v>0.47007977451809624</v>
      </c>
      <c r="E215" s="464">
        <f>E206/D206 - 1</f>
        <v>-0.20138718922960508</v>
      </c>
      <c r="F215" s="465">
        <f>F206/E206 - 1</f>
        <v>0.15279802998614955</v>
      </c>
      <c r="K215" s="139"/>
      <c r="P215" s="139"/>
      <c r="Q215" s="559"/>
      <c r="R215" s="559" t="s">
        <v>423</v>
      </c>
      <c r="S215" s="559">
        <f>LN(C206)</f>
        <v>6.5219466805747093</v>
      </c>
      <c r="T215" s="559">
        <f>LN(D206)</f>
        <v>6.9072633482725356</v>
      </c>
      <c r="U215" s="559">
        <f>LN(E206)</f>
        <v>6.6823843053265373</v>
      </c>
      <c r="V215" s="559">
        <f>LN(F206)</f>
        <v>6.8245763621335174</v>
      </c>
      <c r="W215" s="559"/>
      <c r="X215" s="559"/>
      <c r="Y215" s="559"/>
      <c r="Z215" s="559"/>
      <c r="AA215" s="559"/>
      <c r="AB215" s="559"/>
      <c r="AC215" s="559"/>
      <c r="AD215" s="559"/>
    </row>
    <row r="216" spans="2:30">
      <c r="B216" s="177" t="s">
        <v>288</v>
      </c>
      <c r="C216" s="466">
        <f t="shared" si="22"/>
        <v>5.0315484408681943E-2</v>
      </c>
      <c r="D216" s="467">
        <f>D209/C209 - 1</f>
        <v>0.37682030634581132</v>
      </c>
      <c r="E216" s="467">
        <f>E209/D209 - 1</f>
        <v>-0.1965486248654118</v>
      </c>
      <c r="F216" s="468">
        <f>F209/E209 - 1</f>
        <v>0.14527338091644926</v>
      </c>
      <c r="Q216" s="559"/>
      <c r="R216" s="559" t="s">
        <v>423</v>
      </c>
      <c r="S216" s="559">
        <f>LN(C209)</f>
        <v>10.077959014760092</v>
      </c>
      <c r="T216" s="559">
        <f>LN(D209)</f>
        <v>10.397735729510311</v>
      </c>
      <c r="U216" s="559">
        <f>LN(E209)</f>
        <v>10.178897117551703</v>
      </c>
      <c r="V216" s="559">
        <f>LN(F209)</f>
        <v>10.314540486684843</v>
      </c>
      <c r="W216" s="559"/>
      <c r="X216" s="559"/>
      <c r="Y216" s="559"/>
      <c r="Z216" s="559"/>
      <c r="AA216" s="559"/>
      <c r="AB216" s="559"/>
      <c r="AC216" s="559"/>
      <c r="AD216" s="559"/>
    </row>
    <row r="217" spans="2:30">
      <c r="B217" s="192" t="s">
        <v>289</v>
      </c>
      <c r="C217" s="469">
        <f>IFERROR(EXP(SLOPE(S217:V217,$C$195:$F$195))-1,(IFERROR(EXP(SLOPE(T217:V217,$D$195:$F$195))-1,F217)))</f>
        <v>3.0719921420675478E-2</v>
      </c>
      <c r="D217" s="470">
        <f>D212/C212 - 1</f>
        <v>0.45357013946658298</v>
      </c>
      <c r="E217" s="470">
        <f>E212/D212 - 1</f>
        <v>-0.23043835413987768</v>
      </c>
      <c r="F217" s="471">
        <f>F212/E212 - 1</f>
        <v>7.9050294613326244E-2</v>
      </c>
      <c r="Q217" s="559"/>
      <c r="R217" s="559" t="s">
        <v>423</v>
      </c>
      <c r="S217" s="559">
        <f>LN(C212)</f>
        <v>-2.6075457609238697</v>
      </c>
      <c r="T217" s="559">
        <f>LN(D212)</f>
        <v>-2.2335230655043739</v>
      </c>
      <c r="U217" s="559">
        <f>LN(E212)</f>
        <v>-2.4954572828372319</v>
      </c>
      <c r="V217" s="559">
        <f>LN(F212)</f>
        <v>-2.419375985401651</v>
      </c>
      <c r="W217" s="559"/>
      <c r="X217" s="559"/>
      <c r="Y217" s="559"/>
      <c r="Z217" s="559"/>
      <c r="AA217" s="559"/>
      <c r="AB217" s="559"/>
      <c r="AC217" s="559"/>
      <c r="AD217" s="559"/>
    </row>
    <row r="218" spans="2:30">
      <c r="Q218" s="559"/>
      <c r="R218" s="559"/>
      <c r="S218" s="559"/>
      <c r="T218" s="559"/>
      <c r="U218" s="559"/>
      <c r="V218" s="559"/>
      <c r="W218" s="559"/>
      <c r="X218" s="559"/>
      <c r="Y218" s="559"/>
      <c r="Z218" s="559"/>
      <c r="AA218" s="559"/>
      <c r="AB218" s="559"/>
      <c r="AC218" s="559"/>
      <c r="AD218" s="559"/>
    </row>
    <row r="219" spans="2:30">
      <c r="Q219" s="559"/>
      <c r="R219" s="559"/>
      <c r="S219" s="559"/>
      <c r="T219" s="559"/>
      <c r="U219" s="559"/>
      <c r="V219" s="560" t="str">
        <f>$B$2</f>
        <v>Electricity Ashburton</v>
      </c>
      <c r="W219" s="561">
        <v>2010</v>
      </c>
      <c r="X219" s="561">
        <v>2011</v>
      </c>
      <c r="Y219" s="561">
        <v>2012</v>
      </c>
      <c r="Z219" s="561">
        <v>2013</v>
      </c>
      <c r="AA219" s="561">
        <v>2014</v>
      </c>
      <c r="AB219" s="561">
        <v>2015</v>
      </c>
      <c r="AC219" s="561">
        <v>2016</v>
      </c>
      <c r="AD219" s="559"/>
    </row>
    <row r="220" spans="2:30">
      <c r="B220" s="517" t="s">
        <v>290</v>
      </c>
      <c r="C220" s="510"/>
      <c r="D220" s="510"/>
      <c r="E220" s="510"/>
      <c r="F220" s="510"/>
      <c r="G220" s="510"/>
      <c r="H220" s="510"/>
      <c r="I220" s="511"/>
      <c r="Q220" s="559"/>
      <c r="R220" s="559"/>
      <c r="S220" s="559"/>
      <c r="T220" s="559"/>
      <c r="U220" s="559"/>
      <c r="V220" s="562" t="s">
        <v>280</v>
      </c>
      <c r="W220" s="563">
        <f>C222</f>
        <v>13466.966128641101</v>
      </c>
      <c r="X220" s="563">
        <f>D222</f>
        <v>12826</v>
      </c>
      <c r="Y220" s="563"/>
      <c r="Z220" s="563"/>
      <c r="AA220" s="563"/>
      <c r="AB220" s="563"/>
      <c r="AC220" s="563"/>
      <c r="AD220" s="559"/>
    </row>
    <row r="221" spans="2:30">
      <c r="B221" s="478" t="str">
        <f>$B$2</f>
        <v>Electricity Ashburton</v>
      </c>
      <c r="C221" s="475">
        <v>2010</v>
      </c>
      <c r="D221" s="475">
        <v>2011</v>
      </c>
      <c r="E221" s="475">
        <v>2012</v>
      </c>
      <c r="F221" s="475">
        <v>2013</v>
      </c>
      <c r="G221" s="475">
        <v>2014</v>
      </c>
      <c r="H221" s="475">
        <v>2015</v>
      </c>
      <c r="I221" s="476">
        <v>2016</v>
      </c>
      <c r="Q221" s="559"/>
      <c r="R221" s="559"/>
      <c r="S221" s="559"/>
      <c r="T221" s="559"/>
      <c r="U221" s="559"/>
      <c r="V221" s="565" t="s">
        <v>277</v>
      </c>
      <c r="W221" s="563">
        <f t="shared" ref="W221:AA222" si="23">C223</f>
        <v>13776.692085904448</v>
      </c>
      <c r="X221" s="563">
        <f t="shared" si="23"/>
        <v>8449.2018538977645</v>
      </c>
      <c r="Y221" s="563">
        <f t="shared" si="23"/>
        <v>10080.357306459</v>
      </c>
      <c r="Z221" s="563">
        <f t="shared" si="23"/>
        <v>6392.1732100994304</v>
      </c>
      <c r="AA221" s="563">
        <f t="shared" si="23"/>
        <v>8876.0938805205988</v>
      </c>
      <c r="AB221" s="563"/>
      <c r="AC221" s="563"/>
      <c r="AD221" s="559"/>
    </row>
    <row r="222" spans="2:30">
      <c r="B222" s="177" t="s">
        <v>280</v>
      </c>
      <c r="C222" s="461">
        <f>VLOOKUP(C226,'FS (2011)'!$A$14:$AJ$245,'FS (2011)'!$AG$245,FALSE)</f>
        <v>13466.966128641101</v>
      </c>
      <c r="D222" s="461">
        <f>VLOOKUP(D226,'FS (2011)'!$A$14:$AJ$245,'FS (2011)'!$AG$245,FALSE)</f>
        <v>12826</v>
      </c>
      <c r="E222" s="461"/>
      <c r="F222" s="461"/>
      <c r="G222" s="461"/>
      <c r="H222" s="461"/>
      <c r="I222" s="462"/>
      <c r="Q222" s="559"/>
      <c r="R222" s="559"/>
      <c r="S222" s="559"/>
      <c r="T222" s="559"/>
      <c r="U222" s="559"/>
      <c r="V222" s="565" t="s">
        <v>278</v>
      </c>
      <c r="W222" s="563"/>
      <c r="X222" s="563">
        <f t="shared" si="23"/>
        <v>12760</v>
      </c>
      <c r="Y222" s="563">
        <f t="shared" si="23"/>
        <v>16249.1</v>
      </c>
      <c r="Z222" s="563">
        <f t="shared" si="23"/>
        <v>9693.2000000000007</v>
      </c>
      <c r="AA222" s="563">
        <f t="shared" si="23"/>
        <v>11021.2</v>
      </c>
      <c r="AB222" s="563">
        <f>H224</f>
        <v>12214.2</v>
      </c>
      <c r="AC222" s="563"/>
      <c r="AD222" s="559"/>
    </row>
    <row r="223" spans="2:30">
      <c r="B223" s="199" t="s">
        <v>277</v>
      </c>
      <c r="C223" s="461">
        <f>VLOOKUP(C227,'AM (2011)'!$A$10:$N$444,'AM (2011)'!$J$445,FALSE)</f>
        <v>13776.692085904448</v>
      </c>
      <c r="D223" s="461">
        <f>VLOOKUP(D227,'AM (2011)'!$A$10:$N$444,'AM (2011)'!$J$445,FALSE)</f>
        <v>8449.2018538977645</v>
      </c>
      <c r="E223" s="461">
        <f>VLOOKUP(E226,'AM (2011)'!$A$10:$N$444,'AM (2011)'!$J$445,FALSE)</f>
        <v>10080.357306459</v>
      </c>
      <c r="F223" s="461">
        <f>VLOOKUP(F226,'AM (2011)'!$A$10:$N$444,'AM (2011)'!$J$445,FALSE)</f>
        <v>6392.1732100994304</v>
      </c>
      <c r="G223" s="461">
        <f>VLOOKUP(G226,'AM (2011)'!$A$10:$N$444,'AM (2011)'!$J$445,FALSE)</f>
        <v>8876.0938805205988</v>
      </c>
      <c r="H223" s="461"/>
      <c r="I223" s="462"/>
      <c r="Q223" s="559"/>
      <c r="R223" s="559"/>
      <c r="S223" s="559"/>
      <c r="T223" s="559"/>
      <c r="U223" s="559"/>
      <c r="V223" s="565" t="s">
        <v>279</v>
      </c>
      <c r="W223" s="563"/>
      <c r="X223" s="563"/>
      <c r="Y223" s="563">
        <f>E225</f>
        <v>12519.582676147382</v>
      </c>
      <c r="Z223" s="563">
        <f>F225</f>
        <v>13988.966774402068</v>
      </c>
      <c r="AA223" s="563">
        <f>G225</f>
        <v>13414.117905623787</v>
      </c>
      <c r="AB223" s="563">
        <f>H225</f>
        <v>11730.631932773109</v>
      </c>
      <c r="AC223" s="563">
        <f>I225</f>
        <v>9378.4442146089204</v>
      </c>
      <c r="AD223" s="559"/>
    </row>
    <row r="224" spans="2:30">
      <c r="B224" s="199" t="s">
        <v>278</v>
      </c>
      <c r="C224" s="461"/>
      <c r="D224" s="461">
        <f>VLOOKUP(D228,'AM (2011)'!$A$10:$N$444,'AM (2011)'!$J$445,FALSE)</f>
        <v>12760</v>
      </c>
      <c r="E224" s="461">
        <f>VLOOKUP(E227,'AM (2011)'!$A$10:$N$444,'AM (2011)'!$J$445,FALSE)</f>
        <v>16249.1</v>
      </c>
      <c r="F224" s="461">
        <f>VLOOKUP(F227,'AM (2011)'!$A$10:$N$444,'AM (2011)'!$J$445,FALSE)</f>
        <v>9693.2000000000007</v>
      </c>
      <c r="G224" s="461">
        <f>VLOOKUP(G227,'AM (2011)'!$A$10:$N$444,'AM (2011)'!$J$445,FALSE)</f>
        <v>11021.2</v>
      </c>
      <c r="H224" s="461">
        <f>VLOOKUP(H227,'AM (2011)'!$A$10:$N$444,'AM (2011)'!$J$445,FALSE)</f>
        <v>12214.2</v>
      </c>
      <c r="I224" s="462"/>
      <c r="Q224" s="559"/>
      <c r="R224" s="559"/>
      <c r="S224" s="559"/>
      <c r="T224" s="559"/>
      <c r="U224" s="559"/>
      <c r="V224" s="559"/>
      <c r="W224" s="559"/>
      <c r="X224" s="559"/>
      <c r="Y224" s="559"/>
      <c r="Z224" s="559"/>
      <c r="AA224" s="559"/>
      <c r="AB224" s="559"/>
      <c r="AC224" s="559"/>
      <c r="AD224" s="559"/>
    </row>
    <row r="225" spans="2:30">
      <c r="B225" s="477" t="s">
        <v>279</v>
      </c>
      <c r="C225" s="493"/>
      <c r="D225" s="493"/>
      <c r="E225" s="493">
        <f>VLOOKUP(E228,'AM (2011)'!$A$10:$N$444,'AM (2011)'!$J$445,FALSE)</f>
        <v>12519.582676147382</v>
      </c>
      <c r="F225" s="493">
        <f>VLOOKUP(F228,'AM (2011)'!$A$10:$N$444,'AM (2011)'!$J$445,FALSE)</f>
        <v>13988.966774402068</v>
      </c>
      <c r="G225" s="493">
        <f>VLOOKUP(G228,'AM (2011)'!$A$10:$N$444,'AM (2011)'!$J$445,FALSE)</f>
        <v>13414.117905623787</v>
      </c>
      <c r="H225" s="493">
        <f>VLOOKUP(H228,'AM (2011)'!$A$10:$N$444,'AM (2011)'!$J$445,FALSE)</f>
        <v>11730.631932773109</v>
      </c>
      <c r="I225" s="494">
        <f>VLOOKUP(I228,'AM (2011)'!$A$10:$N$444,'AM (2011)'!$J$445,FALSE)</f>
        <v>9378.4442146089204</v>
      </c>
      <c r="Q225" s="559"/>
      <c r="R225" s="559"/>
      <c r="S225" s="559"/>
      <c r="T225" s="559"/>
      <c r="U225" s="559"/>
      <c r="V225" s="559"/>
      <c r="W225" s="559"/>
      <c r="X225" s="559"/>
      <c r="Y225" s="559"/>
      <c r="Z225" s="559"/>
      <c r="AA225" s="559"/>
      <c r="AB225" s="559"/>
      <c r="AC225" s="559"/>
      <c r="AD225" s="559"/>
    </row>
    <row r="226" spans="2:30">
      <c r="C226" s="136">
        <f>VLOOKUP($B$2,$B$257:$Y$286,8,FALSE)</f>
        <v>168</v>
      </c>
      <c r="D226" s="136">
        <f>VLOOKUP($B$2,$B$257:$Y$286,9,FALSE)</f>
        <v>169</v>
      </c>
      <c r="E226" s="136">
        <f>VLOOKUP($B$2,$B$257:$Y$286,12,FALSE)</f>
        <v>172</v>
      </c>
      <c r="F226" s="136">
        <f>VLOOKUP($B$2,$B$257:$Y$286,13,FALSE)</f>
        <v>173</v>
      </c>
      <c r="G226" s="136">
        <f>VLOOKUP($B$2,$B$257:$Y$286,14,FALSE)</f>
        <v>174</v>
      </c>
      <c r="H226" s="136"/>
      <c r="I226" s="136"/>
    </row>
    <row r="227" spans="2:30">
      <c r="C227" s="136">
        <f>VLOOKUP($B$2,$B$257:$Y$286,10,FALSE)</f>
        <v>170</v>
      </c>
      <c r="D227" s="136">
        <f>VLOOKUP($B$2,$B$257:$Y$286,11,FALSE)</f>
        <v>171</v>
      </c>
      <c r="E227" s="136">
        <f>VLOOKUP($B$2,$B$257:$Y$286,16,FALSE)</f>
        <v>176</v>
      </c>
      <c r="F227" s="136">
        <f>VLOOKUP($B$2,$B$257:$Y$286,17,FALSE)</f>
        <v>177</v>
      </c>
      <c r="G227" s="136">
        <f>VLOOKUP($B$2,$B$257:$Y$286,18,FALSE)</f>
        <v>178</v>
      </c>
      <c r="H227" s="136">
        <f>VLOOKUP($B$2,$B$257:$Y$286,19,FALSE)</f>
        <v>179</v>
      </c>
      <c r="I227" s="136"/>
    </row>
    <row r="228" spans="2:30">
      <c r="B228" s="517" t="s">
        <v>291</v>
      </c>
      <c r="C228" s="518"/>
      <c r="D228" s="518">
        <f>VLOOKUP($B$2,$B$257:$Y$286,15,FALSE)</f>
        <v>175</v>
      </c>
      <c r="E228" s="518">
        <f>VLOOKUP($B$2,$B$257:$Y$286,20,FALSE)</f>
        <v>180</v>
      </c>
      <c r="F228" s="519">
        <f>VLOOKUP($B$2,$B$257:$Y$286,21,FALSE)</f>
        <v>181</v>
      </c>
      <c r="G228" s="136">
        <f>VLOOKUP($B$2,$B$257:$Y$286,22,FALSE)</f>
        <v>182</v>
      </c>
      <c r="H228" s="136">
        <f>VLOOKUP($B$2,$B$257:$Y$286,23,FALSE)</f>
        <v>183</v>
      </c>
      <c r="I228" s="136">
        <f>VLOOKUP($B$2,$B$257:$Y$286,24,FALSE)</f>
        <v>184</v>
      </c>
    </row>
    <row r="229" spans="2:30">
      <c r="B229" s="474" t="str">
        <f>$B$2</f>
        <v>Electricity Ashburton</v>
      </c>
      <c r="C229" s="475">
        <v>2008</v>
      </c>
      <c r="D229" s="475">
        <v>2009</v>
      </c>
      <c r="E229" s="475">
        <v>2010</v>
      </c>
      <c r="F229" s="476">
        <v>2011</v>
      </c>
    </row>
    <row r="230" spans="2:30">
      <c r="B230" s="199" t="s">
        <v>280</v>
      </c>
      <c r="C230" s="456">
        <f>VLOOKUP(C$38,'MP (2011)'!$A$11:$AR$245,'MP (2011)'!$S$246,FALSE)+VLOOKUP(C$38,'MP (2011)'!$A$11:$AR$245,'MP (2011)'!$T$246,FALSE)</f>
        <v>199.26999999999998</v>
      </c>
      <c r="D230" s="456">
        <f>VLOOKUP(D$38,'MP (2011)'!$A$11:$AR$245,'MP (2011)'!$S$246,FALSE)+VLOOKUP(D$38,'MP (2011)'!$A$11:$AR$245,'MP (2011)'!$T$246,FALSE)</f>
        <v>337.32</v>
      </c>
      <c r="E230" s="456">
        <f>VLOOKUP(E$38,'MP (2011)'!$A$11:$AR$245,'MP (2011)'!$S$246,FALSE)+VLOOKUP(E$38,'MP (2011)'!$A$11:$AR$245,'MP (2011)'!$T$246,FALSE)</f>
        <v>186.06482299999999</v>
      </c>
      <c r="F230" s="457">
        <f>VLOOKUP(F$38,'MP (2011)'!$A$11:$AR$245,'MP (2011)'!$S$246,FALSE)+VLOOKUP(F$38,'MP (2011)'!$A$11:$AR$245,'MP (2011)'!$T$246,FALSE)</f>
        <v>262.67931599999997</v>
      </c>
    </row>
    <row r="231" spans="2:30">
      <c r="B231" s="199" t="s">
        <v>292</v>
      </c>
      <c r="C231" s="456">
        <f>IF(ISERROR(VLOOKUP(C$38,'Compliance data'!$A$7:$E$74,'Compliance data'!$D$75,FALSE)),"",(VLOOKUP(C$38,'Compliance data'!$A$7:$E$74,'Compliance data'!$D$75,FALSE)))</f>
        <v>198.6</v>
      </c>
      <c r="D231" s="456">
        <f>IF(ISERROR(VLOOKUP(D$38,'Compliance data'!$A$7:$E$74,'Compliance data'!$D$75,FALSE)),"",(VLOOKUP(D$38,'Compliance data'!$A$7:$E$74,'Compliance data'!$D$75,FALSE)))</f>
        <v>198.6</v>
      </c>
      <c r="E231" s="456">
        <f>IF(ISERROR(VLOOKUP(E$38,'Compliance data'!$A$7:$E$74,'Compliance data'!$D$75,FALSE)),"",(VLOOKUP(E$38,'Compliance data'!$A$7:$E$74,'Compliance data'!$D$75,FALSE)))</f>
        <v>198.6</v>
      </c>
      <c r="F231" s="457">
        <f>IF(ISERROR(VLOOKUP(F$38,'Compliance data'!$A$7:$E$74,'Compliance data'!$D$75,FALSE)),"",(VLOOKUP(F$38,'Compliance data'!$A$7:$E$74,'Compliance data'!$D$75,FALSE)))</f>
        <v>222.07300000000001</v>
      </c>
    </row>
    <row r="232" spans="2:30">
      <c r="B232" s="477" t="s">
        <v>272</v>
      </c>
      <c r="C232" s="472">
        <f>'Industry calcs'!C28</f>
        <v>214.39787611785715</v>
      </c>
      <c r="D232" s="472">
        <f>'Industry calcs'!D28</f>
        <v>223.36605543103448</v>
      </c>
      <c r="E232" s="472">
        <f>'Industry calcs'!E28</f>
        <v>170.65483759655174</v>
      </c>
      <c r="F232" s="473">
        <f>'Industry calcs'!F28</f>
        <v>189.82731620689657</v>
      </c>
      <c r="G232" s="456"/>
    </row>
    <row r="235" spans="2:30">
      <c r="B235" s="517" t="s">
        <v>293</v>
      </c>
      <c r="C235" s="510"/>
      <c r="D235" s="510"/>
      <c r="E235" s="510"/>
      <c r="F235" s="511"/>
      <c r="G235" s="456"/>
    </row>
    <row r="236" spans="2:30">
      <c r="B236" s="474"/>
      <c r="C236" s="475">
        <v>2008</v>
      </c>
      <c r="D236" s="475">
        <v>2009</v>
      </c>
      <c r="E236" s="475">
        <v>2010</v>
      </c>
      <c r="F236" s="476">
        <v>2011</v>
      </c>
    </row>
    <row r="237" spans="2:30">
      <c r="B237" s="199" t="s">
        <v>280</v>
      </c>
      <c r="C237" s="456">
        <f>VLOOKUP(C$38,'MP (2011)'!$A$11:$AR$245,'MP (2011)'!$W$246,FALSE)+VLOOKUP(C$38,'MP (2011)'!$A$11:$AR$245,'MP (2011)'!$X$246,FALSE)</f>
        <v>1.44</v>
      </c>
      <c r="D237" s="456">
        <f>VLOOKUP(D$38,'MP (2011)'!$A$11:$AR$245,'MP (2011)'!$W$246,FALSE)+VLOOKUP(D$38,'MP (2011)'!$A$11:$AR$245,'MP (2011)'!$X$246,FALSE)</f>
        <v>2.34</v>
      </c>
      <c r="E237" s="456">
        <f>VLOOKUP(E$38,'MP (2011)'!$A$11:$AR$245,'MP (2011)'!$W$246,FALSE)+VLOOKUP(E$38,'MP (2011)'!$A$11:$AR$245,'MP (2011)'!$X$246,FALSE)</f>
        <v>1.47053061</v>
      </c>
      <c r="F237" s="457">
        <f>VLOOKUP(F$38,'MP (2011)'!$A$11:$AR$245,'MP (2011)'!$W$246,FALSE)+VLOOKUP(F$38,'MP (2011)'!$A$11:$AR$245,'MP (2011)'!$X$246,FALSE)</f>
        <v>2.13319722</v>
      </c>
    </row>
    <row r="238" spans="2:30">
      <c r="B238" s="199" t="s">
        <v>292</v>
      </c>
      <c r="C238" s="456">
        <f>IF(ISERROR(VLOOKUP(C$38,'Compliance data'!$A$7:$E$74,'Compliance data'!$E$75,FALSE)),"",(VLOOKUP(C$38,'Compliance data'!$A$7:$E$74,'Compliance data'!$E$75,FALSE)))</f>
        <v>1.64</v>
      </c>
      <c r="D238" s="456">
        <f>IF(ISERROR(VLOOKUP(D$38,'Compliance data'!$A$7:$E$74,'Compliance data'!$E$75,FALSE)),"",(VLOOKUP(D$38,'Compliance data'!$A$7:$E$74,'Compliance data'!$E$75,FALSE)))</f>
        <v>1.64</v>
      </c>
      <c r="E238" s="456">
        <f>IF(ISERROR(VLOOKUP(E$38,'Compliance data'!$A$7:$E$74,'Compliance data'!$E$75,FALSE)),"",(VLOOKUP(E$38,'Compliance data'!$A$7:$E$74,'Compliance data'!$E$75,FALSE)))</f>
        <v>1.64</v>
      </c>
      <c r="F238" s="457">
        <f>IF(ISERROR(VLOOKUP(F$38,'Compliance data'!$A$7:$E$74,'Compliance data'!$E$75,FALSE)),"",(VLOOKUP(F$38,'Compliance data'!$A$7:$E$74,'Compliance data'!$E$75,FALSE)))</f>
        <v>1.9970000000000001</v>
      </c>
    </row>
    <row r="239" spans="2:30">
      <c r="B239" s="477" t="s">
        <v>272</v>
      </c>
      <c r="C239" s="472">
        <f>'Industry calcs'!C29</f>
        <v>2.2133361724999996</v>
      </c>
      <c r="D239" s="472">
        <f>'Industry calcs'!D29</f>
        <v>2.5370004117241378</v>
      </c>
      <c r="E239" s="472">
        <f>'Industry calcs'!E29</f>
        <v>1.984406743103448</v>
      </c>
      <c r="F239" s="473">
        <f>'Industry calcs'!F29</f>
        <v>2.1560858624137933</v>
      </c>
    </row>
    <row r="254" spans="2:25" s="526" customFormat="1">
      <c r="B254" s="527" t="s">
        <v>347</v>
      </c>
    </row>
    <row r="255" spans="2:25" s="526" customFormat="1">
      <c r="C255" s="528" t="s">
        <v>299</v>
      </c>
      <c r="D255" s="528"/>
      <c r="E255" s="528"/>
      <c r="F255" s="528"/>
      <c r="G255" s="528"/>
      <c r="H255" s="528"/>
      <c r="I255" s="528"/>
      <c r="J255" s="528"/>
      <c r="K255" s="528" t="s">
        <v>296</v>
      </c>
      <c r="L255" s="528"/>
      <c r="M255" s="528"/>
      <c r="N255" s="528"/>
      <c r="O255" s="528"/>
      <c r="P255" s="528" t="s">
        <v>297</v>
      </c>
      <c r="Q255" s="528"/>
      <c r="R255" s="528"/>
      <c r="S255" s="528"/>
      <c r="T255" s="528"/>
      <c r="U255" s="528" t="s">
        <v>298</v>
      </c>
      <c r="V255" s="528"/>
      <c r="W255" s="528"/>
      <c r="X255" s="528"/>
      <c r="Y255" s="528"/>
    </row>
    <row r="256" spans="2:25" s="526" customFormat="1">
      <c r="B256" s="529">
        <v>1</v>
      </c>
      <c r="C256" s="529">
        <v>2</v>
      </c>
      <c r="D256" s="529">
        <v>3</v>
      </c>
      <c r="E256" s="529">
        <v>4</v>
      </c>
      <c r="F256" s="529">
        <v>5</v>
      </c>
      <c r="G256" s="529">
        <v>6</v>
      </c>
      <c r="H256" s="529">
        <v>7</v>
      </c>
      <c r="I256" s="529">
        <v>8</v>
      </c>
      <c r="J256" s="529">
        <v>9</v>
      </c>
      <c r="K256" s="529">
        <v>10</v>
      </c>
      <c r="L256" s="529">
        <v>11</v>
      </c>
      <c r="M256" s="529">
        <v>12</v>
      </c>
      <c r="N256" s="529">
        <v>13</v>
      </c>
      <c r="O256" s="529">
        <v>14</v>
      </c>
      <c r="P256" s="529">
        <v>15</v>
      </c>
      <c r="Q256" s="529">
        <v>16</v>
      </c>
      <c r="R256" s="529">
        <v>17</v>
      </c>
      <c r="S256" s="529">
        <v>18</v>
      </c>
      <c r="T256" s="529">
        <v>19</v>
      </c>
      <c r="U256" s="529">
        <v>20</v>
      </c>
      <c r="V256" s="529">
        <v>21</v>
      </c>
      <c r="W256" s="529">
        <v>22</v>
      </c>
      <c r="X256" s="529">
        <v>23</v>
      </c>
      <c r="Y256" s="529">
        <v>24</v>
      </c>
    </row>
    <row r="257" spans="2:25" s="526" customFormat="1">
      <c r="B257" s="527"/>
      <c r="C257" s="527">
        <v>2004</v>
      </c>
      <c r="D257" s="527">
        <v>2005</v>
      </c>
      <c r="E257" s="527">
        <v>2006</v>
      </c>
      <c r="F257" s="527">
        <v>2007</v>
      </c>
      <c r="G257" s="527">
        <v>2008</v>
      </c>
      <c r="H257" s="527">
        <v>2009</v>
      </c>
      <c r="I257" s="527">
        <v>2010</v>
      </c>
      <c r="J257" s="527">
        <v>2011</v>
      </c>
      <c r="K257" s="527">
        <v>2010</v>
      </c>
      <c r="L257" s="527">
        <v>2011</v>
      </c>
      <c r="M257" s="527">
        <v>2012</v>
      </c>
      <c r="N257" s="527">
        <v>2013</v>
      </c>
      <c r="O257" s="527">
        <v>2014</v>
      </c>
      <c r="P257" s="527">
        <v>2011</v>
      </c>
      <c r="Q257" s="527">
        <v>2012</v>
      </c>
      <c r="R257" s="527">
        <v>2013</v>
      </c>
      <c r="S257" s="527">
        <v>2014</v>
      </c>
      <c r="T257" s="527">
        <v>2015</v>
      </c>
      <c r="U257" s="527">
        <v>2012</v>
      </c>
      <c r="V257" s="527">
        <v>2013</v>
      </c>
      <c r="W257" s="527">
        <v>2014</v>
      </c>
      <c r="X257" s="527">
        <v>2015</v>
      </c>
      <c r="Y257" s="527">
        <v>2016</v>
      </c>
    </row>
    <row r="258" spans="2:25" s="526" customFormat="1" ht="15.75">
      <c r="B258" s="530" t="s">
        <v>112</v>
      </c>
      <c r="C258" s="526">
        <v>1</v>
      </c>
      <c r="D258" s="526">
        <f t="shared" ref="D258:T258" si="24">C258+1</f>
        <v>2</v>
      </c>
      <c r="E258" s="526">
        <f t="shared" si="24"/>
        <v>3</v>
      </c>
      <c r="F258" s="526">
        <f t="shared" si="24"/>
        <v>4</v>
      </c>
      <c r="G258" s="526">
        <f t="shared" si="24"/>
        <v>5</v>
      </c>
      <c r="H258" s="526">
        <f t="shared" si="24"/>
        <v>6</v>
      </c>
      <c r="I258" s="526">
        <f t="shared" si="24"/>
        <v>7</v>
      </c>
      <c r="J258" s="526">
        <f t="shared" si="24"/>
        <v>8</v>
      </c>
      <c r="K258" s="526">
        <f t="shared" si="24"/>
        <v>9</v>
      </c>
      <c r="L258" s="526">
        <f t="shared" si="24"/>
        <v>10</v>
      </c>
      <c r="M258" s="526">
        <f t="shared" si="24"/>
        <v>11</v>
      </c>
      <c r="N258" s="526">
        <f t="shared" si="24"/>
        <v>12</v>
      </c>
      <c r="O258" s="526">
        <f t="shared" si="24"/>
        <v>13</v>
      </c>
      <c r="P258" s="526">
        <f t="shared" si="24"/>
        <v>14</v>
      </c>
      <c r="Q258" s="526">
        <f t="shared" si="24"/>
        <v>15</v>
      </c>
      <c r="R258" s="526">
        <f t="shared" si="24"/>
        <v>16</v>
      </c>
      <c r="S258" s="526">
        <f t="shared" si="24"/>
        <v>17</v>
      </c>
      <c r="T258" s="526">
        <f t="shared" si="24"/>
        <v>18</v>
      </c>
      <c r="U258" s="526">
        <f t="shared" ref="T258:Y273" si="25">T258+1</f>
        <v>19</v>
      </c>
      <c r="V258" s="526">
        <f t="shared" si="25"/>
        <v>20</v>
      </c>
      <c r="W258" s="526">
        <f t="shared" si="25"/>
        <v>21</v>
      </c>
      <c r="X258" s="526">
        <f t="shared" si="25"/>
        <v>22</v>
      </c>
      <c r="Y258" s="526">
        <f t="shared" si="25"/>
        <v>23</v>
      </c>
    </row>
    <row r="259" spans="2:25" s="526" customFormat="1" ht="15.75">
      <c r="B259" s="530" t="s">
        <v>174</v>
      </c>
      <c r="C259" s="526">
        <f>Y258+1</f>
        <v>24</v>
      </c>
      <c r="D259" s="526">
        <f t="shared" ref="D259:S274" si="26">C259+1</f>
        <v>25</v>
      </c>
      <c r="E259" s="526">
        <f t="shared" si="26"/>
        <v>26</v>
      </c>
      <c r="F259" s="526">
        <f t="shared" si="26"/>
        <v>27</v>
      </c>
      <c r="G259" s="526">
        <f t="shared" si="26"/>
        <v>28</v>
      </c>
      <c r="H259" s="526">
        <f t="shared" si="26"/>
        <v>29</v>
      </c>
      <c r="I259" s="526">
        <f t="shared" si="26"/>
        <v>30</v>
      </c>
      <c r="J259" s="526">
        <f t="shared" si="26"/>
        <v>31</v>
      </c>
      <c r="K259" s="526">
        <f t="shared" si="26"/>
        <v>32</v>
      </c>
      <c r="L259" s="526">
        <f t="shared" si="26"/>
        <v>33</v>
      </c>
      <c r="M259" s="526">
        <f t="shared" si="26"/>
        <v>34</v>
      </c>
      <c r="N259" s="526">
        <f t="shared" si="26"/>
        <v>35</v>
      </c>
      <c r="O259" s="526">
        <f t="shared" si="26"/>
        <v>36</v>
      </c>
      <c r="P259" s="526">
        <f t="shared" si="26"/>
        <v>37</v>
      </c>
      <c r="Q259" s="526">
        <f t="shared" si="26"/>
        <v>38</v>
      </c>
      <c r="R259" s="526">
        <f t="shared" si="26"/>
        <v>39</v>
      </c>
      <c r="S259" s="526">
        <f t="shared" si="26"/>
        <v>40</v>
      </c>
      <c r="T259" s="526">
        <f t="shared" si="25"/>
        <v>41</v>
      </c>
      <c r="U259" s="526">
        <f t="shared" si="25"/>
        <v>42</v>
      </c>
      <c r="V259" s="526">
        <f t="shared" si="25"/>
        <v>43</v>
      </c>
      <c r="W259" s="526">
        <f t="shared" si="25"/>
        <v>44</v>
      </c>
      <c r="X259" s="526">
        <f t="shared" si="25"/>
        <v>45</v>
      </c>
      <c r="Y259" s="526">
        <f t="shared" si="25"/>
        <v>46</v>
      </c>
    </row>
    <row r="260" spans="2:25" s="526" customFormat="1" ht="15.75">
      <c r="B260" s="530" t="s">
        <v>31</v>
      </c>
      <c r="C260" s="526">
        <f t="shared" ref="C260:C286" si="27">Y259+1</f>
        <v>47</v>
      </c>
      <c r="D260" s="526">
        <f t="shared" si="26"/>
        <v>48</v>
      </c>
      <c r="E260" s="526">
        <f t="shared" si="26"/>
        <v>49</v>
      </c>
      <c r="F260" s="526">
        <f t="shared" si="26"/>
        <v>50</v>
      </c>
      <c r="G260" s="526">
        <f t="shared" si="26"/>
        <v>51</v>
      </c>
      <c r="H260" s="526">
        <f t="shared" si="26"/>
        <v>52</v>
      </c>
      <c r="I260" s="526">
        <f t="shared" si="26"/>
        <v>53</v>
      </c>
      <c r="J260" s="526">
        <f t="shared" si="26"/>
        <v>54</v>
      </c>
      <c r="K260" s="526">
        <f t="shared" si="26"/>
        <v>55</v>
      </c>
      <c r="L260" s="526">
        <f t="shared" si="26"/>
        <v>56</v>
      </c>
      <c r="M260" s="526">
        <f t="shared" si="26"/>
        <v>57</v>
      </c>
      <c r="N260" s="526">
        <f t="shared" si="26"/>
        <v>58</v>
      </c>
      <c r="O260" s="526">
        <f t="shared" si="26"/>
        <v>59</v>
      </c>
      <c r="P260" s="526">
        <f t="shared" si="26"/>
        <v>60</v>
      </c>
      <c r="Q260" s="526">
        <f t="shared" si="26"/>
        <v>61</v>
      </c>
      <c r="R260" s="526">
        <f t="shared" si="26"/>
        <v>62</v>
      </c>
      <c r="S260" s="526">
        <f t="shared" si="26"/>
        <v>63</v>
      </c>
      <c r="T260" s="526">
        <f t="shared" si="25"/>
        <v>64</v>
      </c>
      <c r="U260" s="526">
        <f t="shared" si="25"/>
        <v>65</v>
      </c>
      <c r="V260" s="526">
        <f t="shared" si="25"/>
        <v>66</v>
      </c>
      <c r="W260" s="526">
        <f t="shared" si="25"/>
        <v>67</v>
      </c>
      <c r="X260" s="526">
        <f t="shared" si="25"/>
        <v>68</v>
      </c>
      <c r="Y260" s="526">
        <f t="shared" si="25"/>
        <v>69</v>
      </c>
    </row>
    <row r="261" spans="2:25" s="526" customFormat="1" ht="15.75">
      <c r="B261" s="530" t="s">
        <v>32</v>
      </c>
      <c r="C261" s="526">
        <f t="shared" si="27"/>
        <v>70</v>
      </c>
      <c r="D261" s="526">
        <f t="shared" si="26"/>
        <v>71</v>
      </c>
      <c r="E261" s="526">
        <f t="shared" si="26"/>
        <v>72</v>
      </c>
      <c r="F261" s="526">
        <f t="shared" si="26"/>
        <v>73</v>
      </c>
      <c r="G261" s="526">
        <f t="shared" si="26"/>
        <v>74</v>
      </c>
      <c r="H261" s="526">
        <f t="shared" si="26"/>
        <v>75</v>
      </c>
      <c r="I261" s="526">
        <f t="shared" si="26"/>
        <v>76</v>
      </c>
      <c r="J261" s="526">
        <f t="shared" si="26"/>
        <v>77</v>
      </c>
      <c r="K261" s="526">
        <f t="shared" si="26"/>
        <v>78</v>
      </c>
      <c r="L261" s="526">
        <f t="shared" si="26"/>
        <v>79</v>
      </c>
      <c r="M261" s="526">
        <f t="shared" si="26"/>
        <v>80</v>
      </c>
      <c r="N261" s="526">
        <f t="shared" si="26"/>
        <v>81</v>
      </c>
      <c r="O261" s="526">
        <f t="shared" si="26"/>
        <v>82</v>
      </c>
      <c r="P261" s="526">
        <f t="shared" si="26"/>
        <v>83</v>
      </c>
      <c r="Q261" s="526">
        <f t="shared" si="26"/>
        <v>84</v>
      </c>
      <c r="R261" s="526">
        <f t="shared" si="26"/>
        <v>85</v>
      </c>
      <c r="S261" s="526">
        <f t="shared" si="26"/>
        <v>86</v>
      </c>
      <c r="T261" s="526">
        <f t="shared" si="25"/>
        <v>87</v>
      </c>
      <c r="U261" s="526">
        <f t="shared" si="25"/>
        <v>88</v>
      </c>
      <c r="V261" s="526">
        <f t="shared" si="25"/>
        <v>89</v>
      </c>
      <c r="W261" s="526">
        <f t="shared" si="25"/>
        <v>90</v>
      </c>
      <c r="X261" s="526">
        <f t="shared" si="25"/>
        <v>91</v>
      </c>
      <c r="Y261" s="526">
        <f t="shared" si="25"/>
        <v>92</v>
      </c>
    </row>
    <row r="262" spans="2:25" s="526" customFormat="1" ht="15.75">
      <c r="B262" s="530" t="s">
        <v>33</v>
      </c>
      <c r="C262" s="526">
        <f t="shared" si="27"/>
        <v>93</v>
      </c>
      <c r="D262" s="526">
        <f t="shared" si="26"/>
        <v>94</v>
      </c>
      <c r="E262" s="526">
        <f t="shared" si="26"/>
        <v>95</v>
      </c>
      <c r="F262" s="526">
        <f t="shared" si="26"/>
        <v>96</v>
      </c>
      <c r="G262" s="526">
        <f t="shared" si="26"/>
        <v>97</v>
      </c>
      <c r="H262" s="526">
        <f t="shared" si="26"/>
        <v>98</v>
      </c>
      <c r="I262" s="526">
        <f t="shared" si="26"/>
        <v>99</v>
      </c>
      <c r="J262" s="526">
        <f t="shared" si="26"/>
        <v>100</v>
      </c>
      <c r="K262" s="526">
        <f t="shared" si="26"/>
        <v>101</v>
      </c>
      <c r="L262" s="526">
        <f t="shared" si="26"/>
        <v>102</v>
      </c>
      <c r="M262" s="526">
        <f t="shared" si="26"/>
        <v>103</v>
      </c>
      <c r="N262" s="526">
        <f t="shared" si="26"/>
        <v>104</v>
      </c>
      <c r="O262" s="526">
        <f t="shared" si="26"/>
        <v>105</v>
      </c>
      <c r="P262" s="526">
        <f t="shared" si="26"/>
        <v>106</v>
      </c>
      <c r="Q262" s="526">
        <f t="shared" si="26"/>
        <v>107</v>
      </c>
      <c r="R262" s="526">
        <f t="shared" si="26"/>
        <v>108</v>
      </c>
      <c r="S262" s="526">
        <f t="shared" si="26"/>
        <v>109</v>
      </c>
      <c r="T262" s="526">
        <f t="shared" si="25"/>
        <v>110</v>
      </c>
      <c r="U262" s="526">
        <f t="shared" si="25"/>
        <v>111</v>
      </c>
      <c r="V262" s="526">
        <f t="shared" si="25"/>
        <v>112</v>
      </c>
      <c r="W262" s="526">
        <f t="shared" si="25"/>
        <v>113</v>
      </c>
      <c r="X262" s="526">
        <f t="shared" si="25"/>
        <v>114</v>
      </c>
      <c r="Y262" s="526">
        <f t="shared" si="25"/>
        <v>115</v>
      </c>
    </row>
    <row r="263" spans="2:25" s="526" customFormat="1" ht="15.75">
      <c r="B263" s="530" t="s">
        <v>34</v>
      </c>
      <c r="C263" s="526">
        <f t="shared" si="27"/>
        <v>116</v>
      </c>
      <c r="D263" s="526">
        <f t="shared" si="26"/>
        <v>117</v>
      </c>
      <c r="E263" s="526">
        <f t="shared" si="26"/>
        <v>118</v>
      </c>
      <c r="F263" s="526">
        <f t="shared" si="26"/>
        <v>119</v>
      </c>
      <c r="G263" s="526">
        <f t="shared" si="26"/>
        <v>120</v>
      </c>
      <c r="H263" s="526">
        <f t="shared" si="26"/>
        <v>121</v>
      </c>
      <c r="I263" s="526">
        <f t="shared" si="26"/>
        <v>122</v>
      </c>
      <c r="J263" s="526">
        <f t="shared" si="26"/>
        <v>123</v>
      </c>
      <c r="K263" s="526">
        <f t="shared" si="26"/>
        <v>124</v>
      </c>
      <c r="L263" s="526">
        <f t="shared" si="26"/>
        <v>125</v>
      </c>
      <c r="M263" s="526">
        <f t="shared" si="26"/>
        <v>126</v>
      </c>
      <c r="N263" s="526">
        <f t="shared" si="26"/>
        <v>127</v>
      </c>
      <c r="O263" s="526">
        <f t="shared" si="26"/>
        <v>128</v>
      </c>
      <c r="P263" s="526">
        <f t="shared" si="26"/>
        <v>129</v>
      </c>
      <c r="Q263" s="526">
        <f t="shared" si="26"/>
        <v>130</v>
      </c>
      <c r="R263" s="526">
        <f t="shared" si="26"/>
        <v>131</v>
      </c>
      <c r="S263" s="526">
        <f t="shared" si="26"/>
        <v>132</v>
      </c>
      <c r="T263" s="526">
        <f t="shared" si="25"/>
        <v>133</v>
      </c>
      <c r="U263" s="526">
        <f t="shared" si="25"/>
        <v>134</v>
      </c>
      <c r="V263" s="526">
        <f t="shared" si="25"/>
        <v>135</v>
      </c>
      <c r="W263" s="526">
        <f t="shared" si="25"/>
        <v>136</v>
      </c>
      <c r="X263" s="526">
        <f t="shared" si="25"/>
        <v>137</v>
      </c>
      <c r="Y263" s="526">
        <f t="shared" si="25"/>
        <v>138</v>
      </c>
    </row>
    <row r="264" spans="2:25" s="526" customFormat="1" ht="15.75">
      <c r="B264" s="530" t="s">
        <v>35</v>
      </c>
      <c r="C264" s="526">
        <f t="shared" si="27"/>
        <v>139</v>
      </c>
      <c r="D264" s="526">
        <f t="shared" si="26"/>
        <v>140</v>
      </c>
      <c r="E264" s="526">
        <f t="shared" si="26"/>
        <v>141</v>
      </c>
      <c r="F264" s="526">
        <f t="shared" si="26"/>
        <v>142</v>
      </c>
      <c r="G264" s="526">
        <f t="shared" si="26"/>
        <v>143</v>
      </c>
      <c r="H264" s="526">
        <f t="shared" si="26"/>
        <v>144</v>
      </c>
      <c r="I264" s="526">
        <f t="shared" si="26"/>
        <v>145</v>
      </c>
      <c r="J264" s="526">
        <f t="shared" si="26"/>
        <v>146</v>
      </c>
      <c r="K264" s="526">
        <f t="shared" si="26"/>
        <v>147</v>
      </c>
      <c r="L264" s="526">
        <f t="shared" si="26"/>
        <v>148</v>
      </c>
      <c r="M264" s="526">
        <f t="shared" si="26"/>
        <v>149</v>
      </c>
      <c r="N264" s="526">
        <f t="shared" si="26"/>
        <v>150</v>
      </c>
      <c r="O264" s="526">
        <f t="shared" si="26"/>
        <v>151</v>
      </c>
      <c r="P264" s="526">
        <f t="shared" si="26"/>
        <v>152</v>
      </c>
      <c r="Q264" s="526">
        <f t="shared" si="26"/>
        <v>153</v>
      </c>
      <c r="R264" s="526">
        <f t="shared" si="26"/>
        <v>154</v>
      </c>
      <c r="S264" s="526">
        <f t="shared" si="26"/>
        <v>155</v>
      </c>
      <c r="T264" s="526">
        <f t="shared" si="25"/>
        <v>156</v>
      </c>
      <c r="U264" s="526">
        <f t="shared" si="25"/>
        <v>157</v>
      </c>
      <c r="V264" s="526">
        <f t="shared" si="25"/>
        <v>158</v>
      </c>
      <c r="W264" s="526">
        <f t="shared" si="25"/>
        <v>159</v>
      </c>
      <c r="X264" s="526">
        <f t="shared" si="25"/>
        <v>160</v>
      </c>
      <c r="Y264" s="526">
        <f t="shared" si="25"/>
        <v>161</v>
      </c>
    </row>
    <row r="265" spans="2:25" s="526" customFormat="1" ht="15.75">
      <c r="B265" s="530" t="s">
        <v>115</v>
      </c>
      <c r="C265" s="526">
        <f t="shared" si="27"/>
        <v>162</v>
      </c>
      <c r="D265" s="526">
        <f t="shared" si="26"/>
        <v>163</v>
      </c>
      <c r="E265" s="526">
        <f t="shared" si="26"/>
        <v>164</v>
      </c>
      <c r="F265" s="526">
        <f t="shared" si="26"/>
        <v>165</v>
      </c>
      <c r="G265" s="526">
        <f t="shared" si="26"/>
        <v>166</v>
      </c>
      <c r="H265" s="526">
        <f t="shared" si="26"/>
        <v>167</v>
      </c>
      <c r="I265" s="526">
        <f t="shared" si="26"/>
        <v>168</v>
      </c>
      <c r="J265" s="526">
        <f t="shared" si="26"/>
        <v>169</v>
      </c>
      <c r="K265" s="526">
        <f t="shared" si="26"/>
        <v>170</v>
      </c>
      <c r="L265" s="526">
        <f t="shared" si="26"/>
        <v>171</v>
      </c>
      <c r="M265" s="526">
        <f t="shared" si="26"/>
        <v>172</v>
      </c>
      <c r="N265" s="526">
        <f t="shared" si="26"/>
        <v>173</v>
      </c>
      <c r="O265" s="526">
        <f t="shared" si="26"/>
        <v>174</v>
      </c>
      <c r="P265" s="526">
        <f t="shared" si="26"/>
        <v>175</v>
      </c>
      <c r="Q265" s="526">
        <f t="shared" si="26"/>
        <v>176</v>
      </c>
      <c r="R265" s="526">
        <f t="shared" si="26"/>
        <v>177</v>
      </c>
      <c r="S265" s="526">
        <f t="shared" si="26"/>
        <v>178</v>
      </c>
      <c r="T265" s="526">
        <f t="shared" si="25"/>
        <v>179</v>
      </c>
      <c r="U265" s="526">
        <f t="shared" si="25"/>
        <v>180</v>
      </c>
      <c r="V265" s="526">
        <f t="shared" si="25"/>
        <v>181</v>
      </c>
      <c r="W265" s="526">
        <f t="shared" si="25"/>
        <v>182</v>
      </c>
      <c r="X265" s="526">
        <f t="shared" si="25"/>
        <v>183</v>
      </c>
      <c r="Y265" s="526">
        <f t="shared" si="25"/>
        <v>184</v>
      </c>
    </row>
    <row r="266" spans="2:25" s="526" customFormat="1" ht="15.75">
      <c r="B266" s="530" t="s">
        <v>116</v>
      </c>
      <c r="C266" s="526">
        <f t="shared" si="27"/>
        <v>185</v>
      </c>
      <c r="D266" s="526">
        <f t="shared" si="26"/>
        <v>186</v>
      </c>
      <c r="E266" s="526">
        <f t="shared" si="26"/>
        <v>187</v>
      </c>
      <c r="F266" s="526">
        <f t="shared" si="26"/>
        <v>188</v>
      </c>
      <c r="G266" s="526">
        <f t="shared" si="26"/>
        <v>189</v>
      </c>
      <c r="H266" s="526">
        <f t="shared" si="26"/>
        <v>190</v>
      </c>
      <c r="I266" s="526">
        <f t="shared" si="26"/>
        <v>191</v>
      </c>
      <c r="J266" s="526">
        <f t="shared" si="26"/>
        <v>192</v>
      </c>
      <c r="K266" s="526">
        <f t="shared" si="26"/>
        <v>193</v>
      </c>
      <c r="L266" s="526">
        <f t="shared" si="26"/>
        <v>194</v>
      </c>
      <c r="M266" s="526">
        <f t="shared" si="26"/>
        <v>195</v>
      </c>
      <c r="N266" s="526">
        <f t="shared" si="26"/>
        <v>196</v>
      </c>
      <c r="O266" s="526">
        <f t="shared" si="26"/>
        <v>197</v>
      </c>
      <c r="P266" s="526">
        <f t="shared" si="26"/>
        <v>198</v>
      </c>
      <c r="Q266" s="526">
        <f t="shared" si="26"/>
        <v>199</v>
      </c>
      <c r="R266" s="526">
        <f t="shared" si="26"/>
        <v>200</v>
      </c>
      <c r="S266" s="526">
        <f t="shared" si="26"/>
        <v>201</v>
      </c>
      <c r="T266" s="526">
        <f t="shared" si="25"/>
        <v>202</v>
      </c>
      <c r="U266" s="526">
        <f t="shared" si="25"/>
        <v>203</v>
      </c>
      <c r="V266" s="526">
        <f t="shared" si="25"/>
        <v>204</v>
      </c>
      <c r="W266" s="526">
        <f t="shared" si="25"/>
        <v>205</v>
      </c>
      <c r="X266" s="526">
        <f t="shared" si="25"/>
        <v>206</v>
      </c>
      <c r="Y266" s="526">
        <f t="shared" si="25"/>
        <v>207</v>
      </c>
    </row>
    <row r="267" spans="2:25" s="526" customFormat="1" ht="15.75">
      <c r="B267" s="530" t="s">
        <v>38</v>
      </c>
      <c r="C267" s="526">
        <f t="shared" si="27"/>
        <v>208</v>
      </c>
      <c r="D267" s="526">
        <f t="shared" si="26"/>
        <v>209</v>
      </c>
      <c r="E267" s="526">
        <f t="shared" si="26"/>
        <v>210</v>
      </c>
      <c r="F267" s="526">
        <f t="shared" si="26"/>
        <v>211</v>
      </c>
      <c r="G267" s="526">
        <f t="shared" si="26"/>
        <v>212</v>
      </c>
      <c r="H267" s="526">
        <f t="shared" si="26"/>
        <v>213</v>
      </c>
      <c r="I267" s="526">
        <f t="shared" si="26"/>
        <v>214</v>
      </c>
      <c r="J267" s="526">
        <f t="shared" si="26"/>
        <v>215</v>
      </c>
      <c r="K267" s="526">
        <f t="shared" si="26"/>
        <v>216</v>
      </c>
      <c r="L267" s="526">
        <f t="shared" si="26"/>
        <v>217</v>
      </c>
      <c r="M267" s="526">
        <f t="shared" si="26"/>
        <v>218</v>
      </c>
      <c r="N267" s="526">
        <f t="shared" si="26"/>
        <v>219</v>
      </c>
      <c r="O267" s="526">
        <f t="shared" si="26"/>
        <v>220</v>
      </c>
      <c r="P267" s="526">
        <f t="shared" si="26"/>
        <v>221</v>
      </c>
      <c r="Q267" s="526">
        <f t="shared" si="26"/>
        <v>222</v>
      </c>
      <c r="R267" s="526">
        <f t="shared" si="26"/>
        <v>223</v>
      </c>
      <c r="S267" s="526">
        <f t="shared" si="26"/>
        <v>224</v>
      </c>
      <c r="T267" s="526">
        <f t="shared" si="25"/>
        <v>225</v>
      </c>
      <c r="U267" s="526">
        <f t="shared" si="25"/>
        <v>226</v>
      </c>
      <c r="V267" s="526">
        <f t="shared" si="25"/>
        <v>227</v>
      </c>
      <c r="W267" s="526">
        <f t="shared" si="25"/>
        <v>228</v>
      </c>
      <c r="X267" s="526">
        <f t="shared" si="25"/>
        <v>229</v>
      </c>
      <c r="Y267" s="526">
        <f t="shared" si="25"/>
        <v>230</v>
      </c>
    </row>
    <row r="268" spans="2:25" s="526" customFormat="1" ht="15.75">
      <c r="B268" s="530" t="s">
        <v>39</v>
      </c>
      <c r="C268" s="526">
        <f t="shared" si="27"/>
        <v>231</v>
      </c>
      <c r="D268" s="526">
        <f t="shared" si="26"/>
        <v>232</v>
      </c>
      <c r="E268" s="526">
        <f t="shared" si="26"/>
        <v>233</v>
      </c>
      <c r="F268" s="526">
        <f t="shared" si="26"/>
        <v>234</v>
      </c>
      <c r="G268" s="526">
        <f t="shared" si="26"/>
        <v>235</v>
      </c>
      <c r="H268" s="526">
        <f t="shared" si="26"/>
        <v>236</v>
      </c>
      <c r="I268" s="526">
        <f t="shared" si="26"/>
        <v>237</v>
      </c>
      <c r="J268" s="526">
        <f t="shared" si="26"/>
        <v>238</v>
      </c>
      <c r="K268" s="526">
        <f t="shared" si="26"/>
        <v>239</v>
      </c>
      <c r="L268" s="526">
        <f t="shared" si="26"/>
        <v>240</v>
      </c>
      <c r="M268" s="526">
        <f t="shared" si="26"/>
        <v>241</v>
      </c>
      <c r="N268" s="526">
        <f t="shared" si="26"/>
        <v>242</v>
      </c>
      <c r="O268" s="526">
        <f t="shared" si="26"/>
        <v>243</v>
      </c>
      <c r="P268" s="526">
        <f t="shared" si="26"/>
        <v>244</v>
      </c>
      <c r="Q268" s="526">
        <f t="shared" si="26"/>
        <v>245</v>
      </c>
      <c r="R268" s="526">
        <f t="shared" si="26"/>
        <v>246</v>
      </c>
      <c r="S268" s="526">
        <f t="shared" si="26"/>
        <v>247</v>
      </c>
      <c r="T268" s="526">
        <f t="shared" si="25"/>
        <v>248</v>
      </c>
      <c r="U268" s="526">
        <f t="shared" si="25"/>
        <v>249</v>
      </c>
      <c r="V268" s="526">
        <f t="shared" si="25"/>
        <v>250</v>
      </c>
      <c r="W268" s="526">
        <f t="shared" si="25"/>
        <v>251</v>
      </c>
      <c r="X268" s="526">
        <f t="shared" si="25"/>
        <v>252</v>
      </c>
      <c r="Y268" s="526">
        <f t="shared" si="25"/>
        <v>253</v>
      </c>
    </row>
    <row r="269" spans="2:25" s="526" customFormat="1" ht="15.75">
      <c r="B269" s="530" t="s">
        <v>40</v>
      </c>
      <c r="C269" s="526">
        <f t="shared" si="27"/>
        <v>254</v>
      </c>
      <c r="D269" s="526">
        <f t="shared" si="26"/>
        <v>255</v>
      </c>
      <c r="E269" s="526">
        <f t="shared" si="26"/>
        <v>256</v>
      </c>
      <c r="F269" s="526">
        <f t="shared" si="26"/>
        <v>257</v>
      </c>
      <c r="G269" s="526">
        <f t="shared" si="26"/>
        <v>258</v>
      </c>
      <c r="H269" s="526">
        <f t="shared" si="26"/>
        <v>259</v>
      </c>
      <c r="I269" s="526">
        <f t="shared" si="26"/>
        <v>260</v>
      </c>
      <c r="J269" s="526">
        <f t="shared" si="26"/>
        <v>261</v>
      </c>
      <c r="K269" s="526">
        <f t="shared" si="26"/>
        <v>262</v>
      </c>
      <c r="L269" s="526">
        <f t="shared" si="26"/>
        <v>263</v>
      </c>
      <c r="M269" s="526">
        <f t="shared" si="26"/>
        <v>264</v>
      </c>
      <c r="N269" s="526">
        <f t="shared" si="26"/>
        <v>265</v>
      </c>
      <c r="O269" s="526">
        <f t="shared" si="26"/>
        <v>266</v>
      </c>
      <c r="P269" s="526">
        <f t="shared" si="26"/>
        <v>267</v>
      </c>
      <c r="Q269" s="526">
        <f t="shared" si="26"/>
        <v>268</v>
      </c>
      <c r="R269" s="526">
        <f t="shared" si="26"/>
        <v>269</v>
      </c>
      <c r="S269" s="526">
        <f t="shared" si="26"/>
        <v>270</v>
      </c>
      <c r="T269" s="526">
        <f t="shared" si="25"/>
        <v>271</v>
      </c>
      <c r="U269" s="526">
        <f t="shared" si="25"/>
        <v>272</v>
      </c>
      <c r="V269" s="526">
        <f t="shared" si="25"/>
        <v>273</v>
      </c>
      <c r="W269" s="526">
        <f t="shared" si="25"/>
        <v>274</v>
      </c>
      <c r="X269" s="526">
        <f t="shared" si="25"/>
        <v>275</v>
      </c>
      <c r="Y269" s="526">
        <f t="shared" si="25"/>
        <v>276</v>
      </c>
    </row>
    <row r="270" spans="2:25" s="526" customFormat="1" ht="15.75">
      <c r="B270" s="530" t="s">
        <v>41</v>
      </c>
      <c r="C270" s="526">
        <f t="shared" si="27"/>
        <v>277</v>
      </c>
      <c r="D270" s="526">
        <f t="shared" si="26"/>
        <v>278</v>
      </c>
      <c r="E270" s="526">
        <f t="shared" si="26"/>
        <v>279</v>
      </c>
      <c r="F270" s="526">
        <f t="shared" si="26"/>
        <v>280</v>
      </c>
      <c r="G270" s="526">
        <f t="shared" si="26"/>
        <v>281</v>
      </c>
      <c r="H270" s="526">
        <f t="shared" si="26"/>
        <v>282</v>
      </c>
      <c r="I270" s="526">
        <f t="shared" si="26"/>
        <v>283</v>
      </c>
      <c r="J270" s="526">
        <f t="shared" si="26"/>
        <v>284</v>
      </c>
      <c r="K270" s="526">
        <f t="shared" si="26"/>
        <v>285</v>
      </c>
      <c r="L270" s="526">
        <f t="shared" si="26"/>
        <v>286</v>
      </c>
      <c r="M270" s="526">
        <f t="shared" si="26"/>
        <v>287</v>
      </c>
      <c r="N270" s="526">
        <f t="shared" si="26"/>
        <v>288</v>
      </c>
      <c r="O270" s="526">
        <f t="shared" si="26"/>
        <v>289</v>
      </c>
      <c r="P270" s="526">
        <f t="shared" si="26"/>
        <v>290</v>
      </c>
      <c r="Q270" s="526">
        <f t="shared" si="26"/>
        <v>291</v>
      </c>
      <c r="R270" s="526">
        <f t="shared" si="26"/>
        <v>292</v>
      </c>
      <c r="S270" s="526">
        <f t="shared" si="26"/>
        <v>293</v>
      </c>
      <c r="T270" s="526">
        <f t="shared" si="25"/>
        <v>294</v>
      </c>
      <c r="U270" s="526">
        <f t="shared" si="25"/>
        <v>295</v>
      </c>
      <c r="V270" s="526">
        <f t="shared" si="25"/>
        <v>296</v>
      </c>
      <c r="W270" s="526">
        <f t="shared" si="25"/>
        <v>297</v>
      </c>
      <c r="X270" s="526">
        <f t="shared" si="25"/>
        <v>298</v>
      </c>
      <c r="Y270" s="526">
        <f t="shared" si="25"/>
        <v>299</v>
      </c>
    </row>
    <row r="271" spans="2:25" s="526" customFormat="1" ht="15.75">
      <c r="B271" s="530" t="s">
        <v>42</v>
      </c>
      <c r="C271" s="526">
        <f t="shared" si="27"/>
        <v>300</v>
      </c>
      <c r="D271" s="526">
        <f t="shared" si="26"/>
        <v>301</v>
      </c>
      <c r="E271" s="526">
        <f t="shared" si="26"/>
        <v>302</v>
      </c>
      <c r="F271" s="526">
        <f t="shared" si="26"/>
        <v>303</v>
      </c>
      <c r="G271" s="526">
        <f t="shared" si="26"/>
        <v>304</v>
      </c>
      <c r="H271" s="526">
        <f t="shared" si="26"/>
        <v>305</v>
      </c>
      <c r="I271" s="526">
        <f t="shared" si="26"/>
        <v>306</v>
      </c>
      <c r="J271" s="526">
        <f t="shared" si="26"/>
        <v>307</v>
      </c>
      <c r="K271" s="526">
        <f t="shared" si="26"/>
        <v>308</v>
      </c>
      <c r="L271" s="526">
        <f t="shared" si="26"/>
        <v>309</v>
      </c>
      <c r="M271" s="526">
        <f t="shared" si="26"/>
        <v>310</v>
      </c>
      <c r="N271" s="526">
        <f t="shared" si="26"/>
        <v>311</v>
      </c>
      <c r="O271" s="526">
        <f t="shared" si="26"/>
        <v>312</v>
      </c>
      <c r="P271" s="526">
        <f t="shared" si="26"/>
        <v>313</v>
      </c>
      <c r="Q271" s="526">
        <f t="shared" si="26"/>
        <v>314</v>
      </c>
      <c r="R271" s="526">
        <f t="shared" si="26"/>
        <v>315</v>
      </c>
      <c r="S271" s="526">
        <f t="shared" si="26"/>
        <v>316</v>
      </c>
      <c r="T271" s="526">
        <f t="shared" si="25"/>
        <v>317</v>
      </c>
      <c r="U271" s="526">
        <f t="shared" si="25"/>
        <v>318</v>
      </c>
      <c r="V271" s="526">
        <f t="shared" si="25"/>
        <v>319</v>
      </c>
      <c r="W271" s="526">
        <f t="shared" si="25"/>
        <v>320</v>
      </c>
      <c r="X271" s="526">
        <f t="shared" si="25"/>
        <v>321</v>
      </c>
      <c r="Y271" s="526">
        <f t="shared" si="25"/>
        <v>322</v>
      </c>
    </row>
    <row r="272" spans="2:25" s="526" customFormat="1" ht="15.75">
      <c r="B272" s="530" t="s">
        <v>43</v>
      </c>
      <c r="C272" s="526">
        <f t="shared" si="27"/>
        <v>323</v>
      </c>
      <c r="D272" s="526">
        <f t="shared" si="26"/>
        <v>324</v>
      </c>
      <c r="E272" s="526">
        <f t="shared" si="26"/>
        <v>325</v>
      </c>
      <c r="F272" s="526">
        <f t="shared" si="26"/>
        <v>326</v>
      </c>
      <c r="G272" s="526">
        <f t="shared" si="26"/>
        <v>327</v>
      </c>
      <c r="H272" s="526">
        <f t="shared" si="26"/>
        <v>328</v>
      </c>
      <c r="I272" s="526">
        <f t="shared" si="26"/>
        <v>329</v>
      </c>
      <c r="J272" s="526">
        <f t="shared" si="26"/>
        <v>330</v>
      </c>
      <c r="K272" s="526">
        <f t="shared" si="26"/>
        <v>331</v>
      </c>
      <c r="L272" s="526">
        <f t="shared" si="26"/>
        <v>332</v>
      </c>
      <c r="M272" s="526">
        <f t="shared" si="26"/>
        <v>333</v>
      </c>
      <c r="N272" s="526">
        <f t="shared" si="26"/>
        <v>334</v>
      </c>
      <c r="O272" s="526">
        <f t="shared" si="26"/>
        <v>335</v>
      </c>
      <c r="P272" s="526">
        <f t="shared" si="26"/>
        <v>336</v>
      </c>
      <c r="Q272" s="526">
        <f t="shared" si="26"/>
        <v>337</v>
      </c>
      <c r="R272" s="526">
        <f t="shared" si="26"/>
        <v>338</v>
      </c>
      <c r="S272" s="526">
        <f t="shared" si="26"/>
        <v>339</v>
      </c>
      <c r="T272" s="526">
        <f t="shared" si="25"/>
        <v>340</v>
      </c>
      <c r="U272" s="526">
        <f t="shared" si="25"/>
        <v>341</v>
      </c>
      <c r="V272" s="526">
        <f t="shared" si="25"/>
        <v>342</v>
      </c>
      <c r="W272" s="526">
        <f t="shared" si="25"/>
        <v>343</v>
      </c>
      <c r="X272" s="526">
        <f t="shared" si="25"/>
        <v>344</v>
      </c>
      <c r="Y272" s="526">
        <f t="shared" si="25"/>
        <v>345</v>
      </c>
    </row>
    <row r="273" spans="2:25" s="526" customFormat="1" ht="15.75">
      <c r="B273" s="530" t="s">
        <v>44</v>
      </c>
      <c r="C273" s="526">
        <f t="shared" si="27"/>
        <v>346</v>
      </c>
      <c r="D273" s="526">
        <f t="shared" si="26"/>
        <v>347</v>
      </c>
      <c r="E273" s="526">
        <f t="shared" si="26"/>
        <v>348</v>
      </c>
      <c r="F273" s="526">
        <f t="shared" si="26"/>
        <v>349</v>
      </c>
      <c r="G273" s="526">
        <f t="shared" si="26"/>
        <v>350</v>
      </c>
      <c r="H273" s="526">
        <f t="shared" si="26"/>
        <v>351</v>
      </c>
      <c r="I273" s="526">
        <f t="shared" si="26"/>
        <v>352</v>
      </c>
      <c r="J273" s="526">
        <f t="shared" si="26"/>
        <v>353</v>
      </c>
      <c r="K273" s="526">
        <f t="shared" si="26"/>
        <v>354</v>
      </c>
      <c r="L273" s="526">
        <f t="shared" si="26"/>
        <v>355</v>
      </c>
      <c r="M273" s="526">
        <f t="shared" si="26"/>
        <v>356</v>
      </c>
      <c r="N273" s="526">
        <f t="shared" si="26"/>
        <v>357</v>
      </c>
      <c r="O273" s="526">
        <f t="shared" si="26"/>
        <v>358</v>
      </c>
      <c r="P273" s="526">
        <f t="shared" si="26"/>
        <v>359</v>
      </c>
      <c r="Q273" s="526">
        <f t="shared" si="26"/>
        <v>360</v>
      </c>
      <c r="R273" s="526">
        <f t="shared" si="26"/>
        <v>361</v>
      </c>
      <c r="S273" s="526">
        <f t="shared" si="26"/>
        <v>362</v>
      </c>
      <c r="T273" s="526">
        <f t="shared" si="25"/>
        <v>363</v>
      </c>
      <c r="U273" s="526">
        <f t="shared" si="25"/>
        <v>364</v>
      </c>
      <c r="V273" s="526">
        <f t="shared" si="25"/>
        <v>365</v>
      </c>
      <c r="W273" s="526">
        <f t="shared" si="25"/>
        <v>366</v>
      </c>
      <c r="X273" s="526">
        <f t="shared" si="25"/>
        <v>367</v>
      </c>
      <c r="Y273" s="526">
        <f t="shared" si="25"/>
        <v>368</v>
      </c>
    </row>
    <row r="274" spans="2:25" s="526" customFormat="1" ht="15.75">
      <c r="B274" s="530" t="s">
        <v>45</v>
      </c>
      <c r="C274" s="526">
        <f t="shared" si="27"/>
        <v>369</v>
      </c>
      <c r="D274" s="526">
        <f t="shared" si="26"/>
        <v>370</v>
      </c>
      <c r="E274" s="526">
        <f t="shared" si="26"/>
        <v>371</v>
      </c>
      <c r="F274" s="526">
        <f t="shared" si="26"/>
        <v>372</v>
      </c>
      <c r="G274" s="526">
        <f t="shared" si="26"/>
        <v>373</v>
      </c>
      <c r="H274" s="526">
        <f t="shared" si="26"/>
        <v>374</v>
      </c>
      <c r="I274" s="526">
        <f t="shared" si="26"/>
        <v>375</v>
      </c>
      <c r="J274" s="526">
        <f t="shared" si="26"/>
        <v>376</v>
      </c>
      <c r="K274" s="526">
        <f t="shared" si="26"/>
        <v>377</v>
      </c>
      <c r="L274" s="526">
        <f t="shared" si="26"/>
        <v>378</v>
      </c>
      <c r="M274" s="526">
        <f t="shared" si="26"/>
        <v>379</v>
      </c>
      <c r="N274" s="526">
        <f t="shared" si="26"/>
        <v>380</v>
      </c>
      <c r="O274" s="526">
        <f t="shared" si="26"/>
        <v>381</v>
      </c>
      <c r="P274" s="526">
        <f t="shared" si="26"/>
        <v>382</v>
      </c>
      <c r="Q274" s="526">
        <f t="shared" si="26"/>
        <v>383</v>
      </c>
      <c r="R274" s="526">
        <f t="shared" si="26"/>
        <v>384</v>
      </c>
      <c r="S274" s="526">
        <f t="shared" ref="S274:Y286" si="28">R274+1</f>
        <v>385</v>
      </c>
      <c r="T274" s="526">
        <f t="shared" si="28"/>
        <v>386</v>
      </c>
      <c r="U274" s="526">
        <f t="shared" si="28"/>
        <v>387</v>
      </c>
      <c r="V274" s="526">
        <f t="shared" si="28"/>
        <v>388</v>
      </c>
      <c r="W274" s="526">
        <f t="shared" si="28"/>
        <v>389</v>
      </c>
      <c r="X274" s="526">
        <f t="shared" si="28"/>
        <v>390</v>
      </c>
      <c r="Y274" s="526">
        <f t="shared" si="28"/>
        <v>391</v>
      </c>
    </row>
    <row r="275" spans="2:25" s="526" customFormat="1" ht="15.75">
      <c r="B275" s="530" t="s">
        <v>295</v>
      </c>
      <c r="C275" s="526">
        <f t="shared" si="27"/>
        <v>392</v>
      </c>
      <c r="D275" s="526">
        <f t="shared" ref="D275:S286" si="29">C275+1</f>
        <v>393</v>
      </c>
      <c r="E275" s="526">
        <f t="shared" si="29"/>
        <v>394</v>
      </c>
      <c r="F275" s="526">
        <f t="shared" si="29"/>
        <v>395</v>
      </c>
      <c r="G275" s="526">
        <f t="shared" si="29"/>
        <v>396</v>
      </c>
      <c r="H275" s="526">
        <f t="shared" si="29"/>
        <v>397</v>
      </c>
      <c r="I275" s="526">
        <f t="shared" si="29"/>
        <v>398</v>
      </c>
      <c r="J275" s="526">
        <f t="shared" si="29"/>
        <v>399</v>
      </c>
      <c r="K275" s="526">
        <f t="shared" si="29"/>
        <v>400</v>
      </c>
      <c r="L275" s="526">
        <f t="shared" si="29"/>
        <v>401</v>
      </c>
      <c r="M275" s="526">
        <f t="shared" si="29"/>
        <v>402</v>
      </c>
      <c r="N275" s="526">
        <f t="shared" si="29"/>
        <v>403</v>
      </c>
      <c r="O275" s="526">
        <f t="shared" si="29"/>
        <v>404</v>
      </c>
      <c r="P275" s="526">
        <f t="shared" si="29"/>
        <v>405</v>
      </c>
      <c r="Q275" s="526">
        <f t="shared" si="29"/>
        <v>406</v>
      </c>
      <c r="R275" s="526">
        <f t="shared" si="29"/>
        <v>407</v>
      </c>
      <c r="S275" s="526">
        <f t="shared" si="29"/>
        <v>408</v>
      </c>
      <c r="T275" s="526">
        <f t="shared" si="28"/>
        <v>409</v>
      </c>
      <c r="U275" s="526">
        <f t="shared" si="28"/>
        <v>410</v>
      </c>
      <c r="V275" s="526">
        <f t="shared" si="28"/>
        <v>411</v>
      </c>
      <c r="W275" s="526">
        <f t="shared" si="28"/>
        <v>412</v>
      </c>
      <c r="X275" s="526">
        <f t="shared" si="28"/>
        <v>413</v>
      </c>
      <c r="Y275" s="526">
        <f t="shared" si="28"/>
        <v>414</v>
      </c>
    </row>
    <row r="276" spans="2:25" s="526" customFormat="1" ht="15.75">
      <c r="B276" s="530" t="s">
        <v>47</v>
      </c>
      <c r="C276" s="526">
        <f t="shared" si="27"/>
        <v>415</v>
      </c>
      <c r="D276" s="526">
        <f t="shared" si="29"/>
        <v>416</v>
      </c>
      <c r="E276" s="526">
        <f t="shared" si="29"/>
        <v>417</v>
      </c>
      <c r="F276" s="526">
        <f t="shared" si="29"/>
        <v>418</v>
      </c>
      <c r="G276" s="526">
        <f t="shared" si="29"/>
        <v>419</v>
      </c>
      <c r="H276" s="526">
        <f t="shared" si="29"/>
        <v>420</v>
      </c>
      <c r="I276" s="526">
        <f t="shared" si="29"/>
        <v>421</v>
      </c>
      <c r="J276" s="526">
        <f t="shared" si="29"/>
        <v>422</v>
      </c>
      <c r="K276" s="526">
        <f t="shared" si="29"/>
        <v>423</v>
      </c>
      <c r="L276" s="526">
        <f t="shared" si="29"/>
        <v>424</v>
      </c>
      <c r="M276" s="526">
        <f t="shared" si="29"/>
        <v>425</v>
      </c>
      <c r="N276" s="526">
        <f t="shared" si="29"/>
        <v>426</v>
      </c>
      <c r="O276" s="526">
        <f t="shared" si="29"/>
        <v>427</v>
      </c>
      <c r="P276" s="526">
        <f t="shared" si="29"/>
        <v>428</v>
      </c>
      <c r="Q276" s="526">
        <f t="shared" si="29"/>
        <v>429</v>
      </c>
      <c r="R276" s="526">
        <f t="shared" si="29"/>
        <v>430</v>
      </c>
      <c r="S276" s="526">
        <f t="shared" si="29"/>
        <v>431</v>
      </c>
      <c r="T276" s="526">
        <f t="shared" si="28"/>
        <v>432</v>
      </c>
      <c r="U276" s="526">
        <f t="shared" si="28"/>
        <v>433</v>
      </c>
      <c r="V276" s="526">
        <f t="shared" si="28"/>
        <v>434</v>
      </c>
      <c r="W276" s="526">
        <f t="shared" si="28"/>
        <v>435</v>
      </c>
      <c r="X276" s="526">
        <f t="shared" si="28"/>
        <v>436</v>
      </c>
      <c r="Y276" s="526">
        <f t="shared" si="28"/>
        <v>437</v>
      </c>
    </row>
    <row r="277" spans="2:25" s="526" customFormat="1" ht="15.75">
      <c r="B277" s="530" t="s">
        <v>48</v>
      </c>
      <c r="C277" s="526">
        <f t="shared" si="27"/>
        <v>438</v>
      </c>
      <c r="D277" s="526">
        <f t="shared" si="29"/>
        <v>439</v>
      </c>
      <c r="E277" s="526">
        <f t="shared" si="29"/>
        <v>440</v>
      </c>
      <c r="F277" s="526">
        <f t="shared" si="29"/>
        <v>441</v>
      </c>
      <c r="G277" s="526">
        <f t="shared" si="29"/>
        <v>442</v>
      </c>
      <c r="H277" s="526">
        <f t="shared" si="29"/>
        <v>443</v>
      </c>
      <c r="I277" s="526">
        <f t="shared" si="29"/>
        <v>444</v>
      </c>
      <c r="J277" s="526">
        <f t="shared" si="29"/>
        <v>445</v>
      </c>
      <c r="K277" s="526">
        <f t="shared" si="29"/>
        <v>446</v>
      </c>
      <c r="L277" s="526">
        <f t="shared" si="29"/>
        <v>447</v>
      </c>
      <c r="M277" s="526">
        <f t="shared" si="29"/>
        <v>448</v>
      </c>
      <c r="N277" s="526">
        <f t="shared" si="29"/>
        <v>449</v>
      </c>
      <c r="O277" s="526">
        <f t="shared" si="29"/>
        <v>450</v>
      </c>
      <c r="P277" s="526">
        <f t="shared" si="29"/>
        <v>451</v>
      </c>
      <c r="Q277" s="526">
        <f t="shared" si="29"/>
        <v>452</v>
      </c>
      <c r="R277" s="526">
        <f t="shared" si="29"/>
        <v>453</v>
      </c>
      <c r="S277" s="526">
        <f t="shared" si="29"/>
        <v>454</v>
      </c>
      <c r="T277" s="526">
        <f t="shared" si="28"/>
        <v>455</v>
      </c>
      <c r="U277" s="526">
        <f t="shared" si="28"/>
        <v>456</v>
      </c>
      <c r="V277" s="526">
        <f t="shared" si="28"/>
        <v>457</v>
      </c>
      <c r="W277" s="526">
        <f t="shared" si="28"/>
        <v>458</v>
      </c>
      <c r="X277" s="526">
        <f t="shared" si="28"/>
        <v>459</v>
      </c>
      <c r="Y277" s="526">
        <f t="shared" si="28"/>
        <v>460</v>
      </c>
    </row>
    <row r="278" spans="2:25" s="526" customFormat="1" ht="15.75">
      <c r="B278" s="530" t="s">
        <v>176</v>
      </c>
      <c r="C278" s="526">
        <f t="shared" si="27"/>
        <v>461</v>
      </c>
      <c r="D278" s="526">
        <f t="shared" si="29"/>
        <v>462</v>
      </c>
      <c r="E278" s="526">
        <f t="shared" si="29"/>
        <v>463</v>
      </c>
      <c r="F278" s="526">
        <f t="shared" si="29"/>
        <v>464</v>
      </c>
      <c r="G278" s="526">
        <f t="shared" si="29"/>
        <v>465</v>
      </c>
      <c r="H278" s="526">
        <f t="shared" si="29"/>
        <v>466</v>
      </c>
      <c r="I278" s="526">
        <f t="shared" si="29"/>
        <v>467</v>
      </c>
      <c r="J278" s="526">
        <f t="shared" si="29"/>
        <v>468</v>
      </c>
      <c r="K278" s="526">
        <f t="shared" si="29"/>
        <v>469</v>
      </c>
      <c r="L278" s="526">
        <f t="shared" si="29"/>
        <v>470</v>
      </c>
      <c r="M278" s="526">
        <f t="shared" si="29"/>
        <v>471</v>
      </c>
      <c r="N278" s="526">
        <f t="shared" si="29"/>
        <v>472</v>
      </c>
      <c r="O278" s="526">
        <f t="shared" si="29"/>
        <v>473</v>
      </c>
      <c r="P278" s="526">
        <f t="shared" si="29"/>
        <v>474</v>
      </c>
      <c r="Q278" s="526">
        <f t="shared" si="29"/>
        <v>475</v>
      </c>
      <c r="R278" s="526">
        <f t="shared" si="29"/>
        <v>476</v>
      </c>
      <c r="S278" s="526">
        <f t="shared" si="29"/>
        <v>477</v>
      </c>
      <c r="T278" s="526">
        <f t="shared" si="28"/>
        <v>478</v>
      </c>
      <c r="U278" s="526">
        <f t="shared" si="28"/>
        <v>479</v>
      </c>
      <c r="V278" s="526">
        <f t="shared" si="28"/>
        <v>480</v>
      </c>
      <c r="W278" s="526">
        <f t="shared" si="28"/>
        <v>481</v>
      </c>
      <c r="X278" s="526">
        <f t="shared" si="28"/>
        <v>482</v>
      </c>
      <c r="Y278" s="526">
        <f t="shared" si="28"/>
        <v>483</v>
      </c>
    </row>
    <row r="279" spans="2:25" s="526" customFormat="1" ht="15.75">
      <c r="B279" s="530" t="s">
        <v>124</v>
      </c>
      <c r="C279" s="526">
        <f t="shared" si="27"/>
        <v>484</v>
      </c>
      <c r="D279" s="526">
        <f t="shared" si="29"/>
        <v>485</v>
      </c>
      <c r="E279" s="526">
        <f t="shared" si="29"/>
        <v>486</v>
      </c>
      <c r="F279" s="526">
        <f t="shared" si="29"/>
        <v>487</v>
      </c>
      <c r="G279" s="526">
        <f t="shared" si="29"/>
        <v>488</v>
      </c>
      <c r="H279" s="526">
        <f t="shared" si="29"/>
        <v>489</v>
      </c>
      <c r="I279" s="526">
        <f t="shared" si="29"/>
        <v>490</v>
      </c>
      <c r="J279" s="526">
        <f t="shared" si="29"/>
        <v>491</v>
      </c>
      <c r="K279" s="526">
        <f t="shared" si="29"/>
        <v>492</v>
      </c>
      <c r="L279" s="526">
        <f t="shared" si="29"/>
        <v>493</v>
      </c>
      <c r="M279" s="526">
        <f t="shared" si="29"/>
        <v>494</v>
      </c>
      <c r="N279" s="526">
        <f t="shared" si="29"/>
        <v>495</v>
      </c>
      <c r="O279" s="526">
        <f t="shared" si="29"/>
        <v>496</v>
      </c>
      <c r="P279" s="526">
        <f t="shared" si="29"/>
        <v>497</v>
      </c>
      <c r="Q279" s="526">
        <f t="shared" si="29"/>
        <v>498</v>
      </c>
      <c r="R279" s="526">
        <f t="shared" si="29"/>
        <v>499</v>
      </c>
      <c r="S279" s="526">
        <f t="shared" si="29"/>
        <v>500</v>
      </c>
      <c r="T279" s="526">
        <f t="shared" si="28"/>
        <v>501</v>
      </c>
      <c r="U279" s="526">
        <f t="shared" si="28"/>
        <v>502</v>
      </c>
      <c r="V279" s="526">
        <f t="shared" si="28"/>
        <v>503</v>
      </c>
      <c r="W279" s="526">
        <f t="shared" si="28"/>
        <v>504</v>
      </c>
      <c r="X279" s="526">
        <f t="shared" si="28"/>
        <v>505</v>
      </c>
      <c r="Y279" s="526">
        <f t="shared" si="28"/>
        <v>506</v>
      </c>
    </row>
    <row r="280" spans="2:25" s="526" customFormat="1" ht="15.75">
      <c r="B280" s="530" t="s">
        <v>125</v>
      </c>
      <c r="C280" s="526">
        <f t="shared" si="27"/>
        <v>507</v>
      </c>
      <c r="D280" s="526">
        <f t="shared" si="29"/>
        <v>508</v>
      </c>
      <c r="E280" s="526">
        <f t="shared" si="29"/>
        <v>509</v>
      </c>
      <c r="F280" s="526">
        <f t="shared" si="29"/>
        <v>510</v>
      </c>
      <c r="G280" s="526">
        <f t="shared" si="29"/>
        <v>511</v>
      </c>
      <c r="H280" s="526">
        <f t="shared" si="29"/>
        <v>512</v>
      </c>
      <c r="I280" s="526">
        <f t="shared" si="29"/>
        <v>513</v>
      </c>
      <c r="J280" s="526">
        <f t="shared" si="29"/>
        <v>514</v>
      </c>
      <c r="K280" s="526">
        <f t="shared" si="29"/>
        <v>515</v>
      </c>
      <c r="L280" s="526">
        <f t="shared" si="29"/>
        <v>516</v>
      </c>
      <c r="M280" s="526">
        <f t="shared" si="29"/>
        <v>517</v>
      </c>
      <c r="N280" s="526">
        <f t="shared" si="29"/>
        <v>518</v>
      </c>
      <c r="O280" s="526">
        <f t="shared" si="29"/>
        <v>519</v>
      </c>
      <c r="P280" s="526">
        <f t="shared" si="29"/>
        <v>520</v>
      </c>
      <c r="Q280" s="526">
        <f t="shared" si="29"/>
        <v>521</v>
      </c>
      <c r="R280" s="526">
        <f t="shared" si="29"/>
        <v>522</v>
      </c>
      <c r="S280" s="526">
        <f t="shared" si="29"/>
        <v>523</v>
      </c>
      <c r="T280" s="526">
        <f t="shared" si="28"/>
        <v>524</v>
      </c>
      <c r="U280" s="526">
        <f t="shared" si="28"/>
        <v>525</v>
      </c>
      <c r="V280" s="526">
        <f t="shared" si="28"/>
        <v>526</v>
      </c>
      <c r="W280" s="526">
        <f t="shared" si="28"/>
        <v>527</v>
      </c>
      <c r="X280" s="526">
        <f t="shared" si="28"/>
        <v>528</v>
      </c>
      <c r="Y280" s="526">
        <f t="shared" si="28"/>
        <v>529</v>
      </c>
    </row>
    <row r="281" spans="2:25" s="526" customFormat="1" ht="15.75">
      <c r="B281" s="530" t="s">
        <v>52</v>
      </c>
      <c r="C281" s="526">
        <f t="shared" si="27"/>
        <v>530</v>
      </c>
      <c r="D281" s="526">
        <f t="shared" si="29"/>
        <v>531</v>
      </c>
      <c r="E281" s="526">
        <f t="shared" si="29"/>
        <v>532</v>
      </c>
      <c r="F281" s="526">
        <f t="shared" si="29"/>
        <v>533</v>
      </c>
      <c r="G281" s="526">
        <f t="shared" si="29"/>
        <v>534</v>
      </c>
      <c r="H281" s="526">
        <f t="shared" si="29"/>
        <v>535</v>
      </c>
      <c r="I281" s="526">
        <f t="shared" si="29"/>
        <v>536</v>
      </c>
      <c r="J281" s="526">
        <f t="shared" si="29"/>
        <v>537</v>
      </c>
      <c r="K281" s="526">
        <f t="shared" si="29"/>
        <v>538</v>
      </c>
      <c r="L281" s="526">
        <f t="shared" si="29"/>
        <v>539</v>
      </c>
      <c r="M281" s="526">
        <f t="shared" si="29"/>
        <v>540</v>
      </c>
      <c r="N281" s="526">
        <f t="shared" si="29"/>
        <v>541</v>
      </c>
      <c r="O281" s="526">
        <f t="shared" si="29"/>
        <v>542</v>
      </c>
      <c r="P281" s="526">
        <f t="shared" si="29"/>
        <v>543</v>
      </c>
      <c r="Q281" s="526">
        <f t="shared" si="29"/>
        <v>544</v>
      </c>
      <c r="R281" s="526">
        <f t="shared" si="29"/>
        <v>545</v>
      </c>
      <c r="S281" s="526">
        <f t="shared" si="29"/>
        <v>546</v>
      </c>
      <c r="T281" s="526">
        <f t="shared" si="28"/>
        <v>547</v>
      </c>
      <c r="U281" s="526">
        <f t="shared" si="28"/>
        <v>548</v>
      </c>
      <c r="V281" s="526">
        <f t="shared" si="28"/>
        <v>549</v>
      </c>
      <c r="W281" s="526">
        <f t="shared" si="28"/>
        <v>550</v>
      </c>
      <c r="X281" s="526">
        <f t="shared" si="28"/>
        <v>551</v>
      </c>
      <c r="Y281" s="526">
        <f t="shared" si="28"/>
        <v>552</v>
      </c>
    </row>
    <row r="282" spans="2:25" s="526" customFormat="1" ht="15.75">
      <c r="B282" s="530" t="s">
        <v>53</v>
      </c>
      <c r="C282" s="526">
        <f t="shared" si="27"/>
        <v>553</v>
      </c>
      <c r="D282" s="526">
        <f t="shared" si="29"/>
        <v>554</v>
      </c>
      <c r="E282" s="526">
        <f t="shared" si="29"/>
        <v>555</v>
      </c>
      <c r="F282" s="526">
        <f t="shared" si="29"/>
        <v>556</v>
      </c>
      <c r="G282" s="526">
        <f t="shared" si="29"/>
        <v>557</v>
      </c>
      <c r="H282" s="526">
        <f t="shared" si="29"/>
        <v>558</v>
      </c>
      <c r="I282" s="526">
        <f t="shared" si="29"/>
        <v>559</v>
      </c>
      <c r="J282" s="526">
        <f t="shared" si="29"/>
        <v>560</v>
      </c>
      <c r="K282" s="526">
        <f t="shared" si="29"/>
        <v>561</v>
      </c>
      <c r="L282" s="526">
        <f t="shared" si="29"/>
        <v>562</v>
      </c>
      <c r="M282" s="526">
        <f t="shared" si="29"/>
        <v>563</v>
      </c>
      <c r="N282" s="526">
        <f t="shared" si="29"/>
        <v>564</v>
      </c>
      <c r="O282" s="526">
        <f t="shared" si="29"/>
        <v>565</v>
      </c>
      <c r="P282" s="526">
        <f t="shared" si="29"/>
        <v>566</v>
      </c>
      <c r="Q282" s="526">
        <f t="shared" si="29"/>
        <v>567</v>
      </c>
      <c r="R282" s="526">
        <f t="shared" si="29"/>
        <v>568</v>
      </c>
      <c r="S282" s="526">
        <f t="shared" si="29"/>
        <v>569</v>
      </c>
      <c r="T282" s="526">
        <f t="shared" si="28"/>
        <v>570</v>
      </c>
      <c r="U282" s="526">
        <f t="shared" si="28"/>
        <v>571</v>
      </c>
      <c r="V282" s="526">
        <f t="shared" si="28"/>
        <v>572</v>
      </c>
      <c r="W282" s="526">
        <f t="shared" si="28"/>
        <v>573</v>
      </c>
      <c r="X282" s="526">
        <f t="shared" si="28"/>
        <v>574</v>
      </c>
      <c r="Y282" s="526">
        <f t="shared" si="28"/>
        <v>575</v>
      </c>
    </row>
    <row r="283" spans="2:25" s="526" customFormat="1" ht="15.75">
      <c r="B283" s="530" t="s">
        <v>54</v>
      </c>
      <c r="C283" s="526">
        <f t="shared" si="27"/>
        <v>576</v>
      </c>
      <c r="D283" s="526">
        <f t="shared" si="29"/>
        <v>577</v>
      </c>
      <c r="E283" s="526">
        <f t="shared" si="29"/>
        <v>578</v>
      </c>
      <c r="F283" s="526">
        <f t="shared" si="29"/>
        <v>579</v>
      </c>
      <c r="G283" s="526">
        <f t="shared" si="29"/>
        <v>580</v>
      </c>
      <c r="H283" s="526">
        <f t="shared" si="29"/>
        <v>581</v>
      </c>
      <c r="I283" s="526">
        <f t="shared" si="29"/>
        <v>582</v>
      </c>
      <c r="J283" s="526">
        <f t="shared" si="29"/>
        <v>583</v>
      </c>
      <c r="K283" s="526">
        <f t="shared" si="29"/>
        <v>584</v>
      </c>
      <c r="L283" s="526">
        <f t="shared" si="29"/>
        <v>585</v>
      </c>
      <c r="M283" s="526">
        <f t="shared" si="29"/>
        <v>586</v>
      </c>
      <c r="N283" s="526">
        <f t="shared" si="29"/>
        <v>587</v>
      </c>
      <c r="O283" s="526">
        <f t="shared" si="29"/>
        <v>588</v>
      </c>
      <c r="P283" s="526">
        <f t="shared" si="29"/>
        <v>589</v>
      </c>
      <c r="Q283" s="526">
        <f t="shared" si="29"/>
        <v>590</v>
      </c>
      <c r="R283" s="526">
        <f t="shared" si="29"/>
        <v>591</v>
      </c>
      <c r="S283" s="526">
        <f t="shared" si="29"/>
        <v>592</v>
      </c>
      <c r="T283" s="526">
        <f t="shared" si="28"/>
        <v>593</v>
      </c>
      <c r="U283" s="526">
        <f t="shared" si="28"/>
        <v>594</v>
      </c>
      <c r="V283" s="526">
        <f t="shared" si="28"/>
        <v>595</v>
      </c>
      <c r="W283" s="526">
        <f t="shared" si="28"/>
        <v>596</v>
      </c>
      <c r="X283" s="526">
        <f t="shared" si="28"/>
        <v>597</v>
      </c>
      <c r="Y283" s="526">
        <f t="shared" si="28"/>
        <v>598</v>
      </c>
    </row>
    <row r="284" spans="2:25" s="526" customFormat="1" ht="15.75">
      <c r="B284" s="530" t="s">
        <v>55</v>
      </c>
      <c r="C284" s="526">
        <f t="shared" si="27"/>
        <v>599</v>
      </c>
      <c r="D284" s="526">
        <f t="shared" si="29"/>
        <v>600</v>
      </c>
      <c r="E284" s="526">
        <f t="shared" si="29"/>
        <v>601</v>
      </c>
      <c r="F284" s="526">
        <f t="shared" si="29"/>
        <v>602</v>
      </c>
      <c r="G284" s="526">
        <f t="shared" si="29"/>
        <v>603</v>
      </c>
      <c r="H284" s="526">
        <f t="shared" si="29"/>
        <v>604</v>
      </c>
      <c r="I284" s="526">
        <f t="shared" si="29"/>
        <v>605</v>
      </c>
      <c r="J284" s="526">
        <f t="shared" si="29"/>
        <v>606</v>
      </c>
      <c r="K284" s="526">
        <f t="shared" si="29"/>
        <v>607</v>
      </c>
      <c r="L284" s="526">
        <f t="shared" si="29"/>
        <v>608</v>
      </c>
      <c r="M284" s="526">
        <f t="shared" si="29"/>
        <v>609</v>
      </c>
      <c r="N284" s="526">
        <f t="shared" si="29"/>
        <v>610</v>
      </c>
      <c r="O284" s="526">
        <f t="shared" si="29"/>
        <v>611</v>
      </c>
      <c r="P284" s="526">
        <f t="shared" si="29"/>
        <v>612</v>
      </c>
      <c r="Q284" s="526">
        <f t="shared" si="29"/>
        <v>613</v>
      </c>
      <c r="R284" s="526">
        <f t="shared" si="29"/>
        <v>614</v>
      </c>
      <c r="S284" s="526">
        <f t="shared" si="29"/>
        <v>615</v>
      </c>
      <c r="T284" s="526">
        <f t="shared" si="28"/>
        <v>616</v>
      </c>
      <c r="U284" s="526">
        <f t="shared" si="28"/>
        <v>617</v>
      </c>
      <c r="V284" s="526">
        <f t="shared" si="28"/>
        <v>618</v>
      </c>
      <c r="W284" s="526">
        <f t="shared" si="28"/>
        <v>619</v>
      </c>
      <c r="X284" s="526">
        <f t="shared" si="28"/>
        <v>620</v>
      </c>
      <c r="Y284" s="526">
        <f t="shared" si="28"/>
        <v>621</v>
      </c>
    </row>
    <row r="285" spans="2:25" s="526" customFormat="1" ht="15.75">
      <c r="B285" s="530" t="s">
        <v>214</v>
      </c>
      <c r="C285" s="526">
        <f t="shared" si="27"/>
        <v>622</v>
      </c>
      <c r="D285" s="526">
        <f t="shared" si="29"/>
        <v>623</v>
      </c>
      <c r="E285" s="526">
        <f t="shared" si="29"/>
        <v>624</v>
      </c>
      <c r="F285" s="526">
        <f t="shared" si="29"/>
        <v>625</v>
      </c>
      <c r="G285" s="526">
        <f t="shared" si="29"/>
        <v>626</v>
      </c>
      <c r="H285" s="526">
        <f t="shared" si="29"/>
        <v>627</v>
      </c>
      <c r="I285" s="526">
        <f t="shared" si="29"/>
        <v>628</v>
      </c>
      <c r="J285" s="526">
        <f t="shared" si="29"/>
        <v>629</v>
      </c>
      <c r="K285" s="526">
        <f t="shared" si="29"/>
        <v>630</v>
      </c>
      <c r="L285" s="526">
        <f t="shared" si="29"/>
        <v>631</v>
      </c>
      <c r="M285" s="526">
        <f t="shared" si="29"/>
        <v>632</v>
      </c>
      <c r="N285" s="526">
        <f t="shared" si="29"/>
        <v>633</v>
      </c>
      <c r="O285" s="526">
        <f t="shared" si="29"/>
        <v>634</v>
      </c>
      <c r="P285" s="526">
        <f t="shared" si="29"/>
        <v>635</v>
      </c>
      <c r="Q285" s="526">
        <f t="shared" si="29"/>
        <v>636</v>
      </c>
      <c r="R285" s="526">
        <f t="shared" si="29"/>
        <v>637</v>
      </c>
      <c r="S285" s="526">
        <f t="shared" si="29"/>
        <v>638</v>
      </c>
      <c r="T285" s="526">
        <f t="shared" si="28"/>
        <v>639</v>
      </c>
      <c r="U285" s="526">
        <f t="shared" si="28"/>
        <v>640</v>
      </c>
      <c r="V285" s="526">
        <f t="shared" si="28"/>
        <v>641</v>
      </c>
      <c r="W285" s="526">
        <f t="shared" si="28"/>
        <v>642</v>
      </c>
      <c r="X285" s="526">
        <f t="shared" si="28"/>
        <v>643</v>
      </c>
      <c r="Y285" s="526">
        <f t="shared" si="28"/>
        <v>644</v>
      </c>
    </row>
    <row r="286" spans="2:25" s="526" customFormat="1" ht="15.75">
      <c r="B286" s="530" t="s">
        <v>57</v>
      </c>
      <c r="C286" s="526">
        <f t="shared" si="27"/>
        <v>645</v>
      </c>
      <c r="D286" s="526">
        <f t="shared" si="29"/>
        <v>646</v>
      </c>
      <c r="E286" s="526">
        <f t="shared" si="29"/>
        <v>647</v>
      </c>
      <c r="F286" s="526">
        <f t="shared" si="29"/>
        <v>648</v>
      </c>
      <c r="G286" s="526">
        <f t="shared" si="29"/>
        <v>649</v>
      </c>
      <c r="H286" s="526">
        <f t="shared" si="29"/>
        <v>650</v>
      </c>
      <c r="I286" s="526">
        <f t="shared" si="29"/>
        <v>651</v>
      </c>
      <c r="J286" s="526">
        <f t="shared" si="29"/>
        <v>652</v>
      </c>
      <c r="K286" s="526">
        <f t="shared" si="29"/>
        <v>653</v>
      </c>
      <c r="L286" s="526">
        <f t="shared" si="29"/>
        <v>654</v>
      </c>
      <c r="M286" s="526">
        <f t="shared" si="29"/>
        <v>655</v>
      </c>
      <c r="N286" s="526">
        <f t="shared" si="29"/>
        <v>656</v>
      </c>
      <c r="O286" s="526">
        <f t="shared" si="29"/>
        <v>657</v>
      </c>
      <c r="P286" s="526">
        <f t="shared" si="29"/>
        <v>658</v>
      </c>
      <c r="Q286" s="526">
        <f t="shared" si="29"/>
        <v>659</v>
      </c>
      <c r="R286" s="526">
        <f t="shared" si="29"/>
        <v>660</v>
      </c>
      <c r="S286" s="526">
        <f t="shared" si="29"/>
        <v>661</v>
      </c>
      <c r="T286" s="526">
        <f t="shared" si="28"/>
        <v>662</v>
      </c>
      <c r="U286" s="526">
        <f t="shared" si="28"/>
        <v>663</v>
      </c>
      <c r="V286" s="526">
        <f t="shared" si="28"/>
        <v>664</v>
      </c>
      <c r="W286" s="526">
        <f t="shared" si="28"/>
        <v>665</v>
      </c>
      <c r="X286" s="526">
        <f t="shared" si="28"/>
        <v>666</v>
      </c>
      <c r="Y286" s="526">
        <f t="shared" si="28"/>
        <v>667</v>
      </c>
    </row>
  </sheetData>
  <sheetProtection password="80F5" sheet="1" objects="1" scenarios="1"/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30</vt:i4>
      </vt:variant>
    </vt:vector>
  </HeadingPairs>
  <TitlesOfParts>
    <vt:vector size="75" baseType="lpstr">
      <vt:lpstr>Contents</vt:lpstr>
      <vt:lpstr>Alpine</vt:lpstr>
      <vt:lpstr>Aurora</vt:lpstr>
      <vt:lpstr>Buller</vt:lpstr>
      <vt:lpstr>Centralines</vt:lpstr>
      <vt:lpstr>Counties</vt:lpstr>
      <vt:lpstr>Eastland</vt:lpstr>
      <vt:lpstr>Electra</vt:lpstr>
      <vt:lpstr>Ashburton</vt:lpstr>
      <vt:lpstr>Invercargill</vt:lpstr>
      <vt:lpstr>Horizon</vt:lpstr>
      <vt:lpstr>LinesCo</vt:lpstr>
      <vt:lpstr>Mainpower</vt:lpstr>
      <vt:lpstr>Marlborough</vt:lpstr>
      <vt:lpstr>Nelson</vt:lpstr>
      <vt:lpstr>Tasman</vt:lpstr>
      <vt:lpstr>Waitaki</vt:lpstr>
      <vt:lpstr>Northpower</vt:lpstr>
      <vt:lpstr>Orion</vt:lpstr>
      <vt:lpstr>OtagoNet</vt:lpstr>
      <vt:lpstr>PowerCo</vt:lpstr>
      <vt:lpstr>Scanpower</vt:lpstr>
      <vt:lpstr>TEL</vt:lpstr>
      <vt:lpstr>Unison</vt:lpstr>
      <vt:lpstr>Vector</vt:lpstr>
      <vt:lpstr>Waipa</vt:lpstr>
      <vt:lpstr>WEL</vt:lpstr>
      <vt:lpstr>Wellington</vt:lpstr>
      <vt:lpstr>Westpower</vt:lpstr>
      <vt:lpstr>TPCL</vt:lpstr>
      <vt:lpstr>Total</vt:lpstr>
      <vt:lpstr>&gt;&gt;&gt;&gt; input data</vt:lpstr>
      <vt:lpstr>FS (2011)</vt:lpstr>
      <vt:lpstr>AV (2011)</vt:lpstr>
      <vt:lpstr>MP (2011)</vt:lpstr>
      <vt:lpstr>AM (2011)</vt:lpstr>
      <vt:lpstr>MED price allocation</vt:lpstr>
      <vt:lpstr>Compliance data</vt:lpstr>
      <vt:lpstr>CPI</vt:lpstr>
      <vt:lpstr>Industry calcs</vt:lpstr>
      <vt:lpstr>FS (nominal)</vt:lpstr>
      <vt:lpstr>AV (nominal)</vt:lpstr>
      <vt:lpstr>MP (nominal)</vt:lpstr>
      <vt:lpstr>AM (nominal)</vt:lpstr>
      <vt:lpstr>References</vt:lpstr>
      <vt:lpstr>Alpine!EDBs</vt:lpstr>
      <vt:lpstr>Ashburton!EDBs</vt:lpstr>
      <vt:lpstr>Aurora!EDBs</vt:lpstr>
      <vt:lpstr>Buller!EDBs</vt:lpstr>
      <vt:lpstr>Centralines!EDBs</vt:lpstr>
      <vt:lpstr>Counties!EDBs</vt:lpstr>
      <vt:lpstr>Eastland!EDBs</vt:lpstr>
      <vt:lpstr>Electra!EDBs</vt:lpstr>
      <vt:lpstr>Horizon!EDBs</vt:lpstr>
      <vt:lpstr>Invercargill!EDBs</vt:lpstr>
      <vt:lpstr>LinesCo!EDBs</vt:lpstr>
      <vt:lpstr>Mainpower!EDBs</vt:lpstr>
      <vt:lpstr>Marlborough!EDBs</vt:lpstr>
      <vt:lpstr>Nelson!EDBs</vt:lpstr>
      <vt:lpstr>Northpower!EDBs</vt:lpstr>
      <vt:lpstr>Orion!EDBs</vt:lpstr>
      <vt:lpstr>OtagoNet!EDBs</vt:lpstr>
      <vt:lpstr>PowerCo!EDBs</vt:lpstr>
      <vt:lpstr>Scanpower!EDBs</vt:lpstr>
      <vt:lpstr>Tasman!EDBs</vt:lpstr>
      <vt:lpstr>TEL!EDBs</vt:lpstr>
      <vt:lpstr>TPCL!EDBs</vt:lpstr>
      <vt:lpstr>Unison!EDBs</vt:lpstr>
      <vt:lpstr>Vector!EDBs</vt:lpstr>
      <vt:lpstr>Waipa!EDBs</vt:lpstr>
      <vt:lpstr>Waitaki!EDBs</vt:lpstr>
      <vt:lpstr>WEL!EDBs</vt:lpstr>
      <vt:lpstr>Wellington!EDBs</vt:lpstr>
      <vt:lpstr>Westpower!EDBs</vt:lpstr>
      <vt:lpstr>EDBs</vt:lpstr>
    </vt:vector>
  </TitlesOfParts>
  <Company>Commerce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Isobel Oxley</dc:creator>
  <cp:lastModifiedBy>Marama Handcock-Scott</cp:lastModifiedBy>
  <cp:lastPrinted>2012-12-10T21:05:33Z</cp:lastPrinted>
  <dcterms:created xsi:type="dcterms:W3CDTF">2012-01-05T00:09:26Z</dcterms:created>
  <dcterms:modified xsi:type="dcterms:W3CDTF">2013-02-03T22:34:25Z</dcterms:modified>
</cp:coreProperties>
</file>